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208E92D7-1DFA-408B-909B-47C77DCCE64E}" xr6:coauthVersionLast="47" xr6:coauthVersionMax="47" xr10:uidLastSave="{00000000-0000-0000-0000-000000000000}"/>
  <bookViews>
    <workbookView xWindow="-57720" yWindow="-120" windowWidth="29040" windowHeight="15840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Modules!$A$2:$AVJ$2842</definedName>
    <definedName name="_xlnm._FilterDatabase" localSheetId="1" hidden="1">'NEW PO'!$D$2:$BA$2</definedName>
    <definedName name="_xlnm._FilterDatabase" localSheetId="2" hidden="1">Q.HOME!$A$1:$AO$1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1413" i="7" l="1"/>
  <c r="AC1413" i="7" s="1"/>
  <c r="Y1412" i="7"/>
  <c r="Y1411" i="7"/>
  <c r="AC1411" i="7" s="1"/>
  <c r="Y1410" i="7"/>
  <c r="Y1409" i="7"/>
  <c r="AC1409" i="7" s="1"/>
  <c r="Y1408" i="7"/>
  <c r="AC1408" i="7" s="1"/>
  <c r="Y1407" i="7"/>
  <c r="AC1407" i="7" s="1"/>
  <c r="AA1406" i="7"/>
  <c r="AF1406" i="7" s="1"/>
  <c r="Y1406" i="7"/>
  <c r="AC1406" i="7" s="1"/>
  <c r="Y1405" i="7"/>
  <c r="AC1405" i="7" s="1"/>
  <c r="Y1404" i="7"/>
  <c r="AC1404" i="7" s="1"/>
  <c r="Y1403" i="7"/>
  <c r="AC1403" i="7" s="1"/>
  <c r="Y1402" i="7"/>
  <c r="AC1402" i="7" s="1"/>
  <c r="Y1401" i="7"/>
  <c r="AC1401" i="7" s="1"/>
  <c r="Y1400" i="7"/>
  <c r="Y1399" i="7"/>
  <c r="AC1399" i="7" s="1"/>
  <c r="Y1398" i="7"/>
  <c r="Y1397" i="7"/>
  <c r="AC1397" i="7" s="1"/>
  <c r="Y1396" i="7"/>
  <c r="Y1395" i="7"/>
  <c r="AC1395" i="7" s="1"/>
  <c r="Y1394" i="7"/>
  <c r="Y1393" i="7"/>
  <c r="AC1393" i="7" s="1"/>
  <c r="Y1392" i="7"/>
  <c r="Y1391" i="7"/>
  <c r="AC1391" i="7" s="1"/>
  <c r="Y1390" i="7"/>
  <c r="Y1389" i="7"/>
  <c r="AC1389" i="7" s="1"/>
  <c r="Y1388" i="7"/>
  <c r="Y1387" i="7"/>
  <c r="AC1387" i="7" s="1"/>
  <c r="Y1386" i="7"/>
  <c r="Y1385" i="7"/>
  <c r="AC1385" i="7" s="1"/>
  <c r="Y1384" i="7"/>
  <c r="AC1383" i="7"/>
  <c r="AA1383" i="7"/>
  <c r="AF1383" i="7" s="1"/>
  <c r="Y1383" i="7"/>
  <c r="Y1382" i="7"/>
  <c r="AC1381" i="7"/>
  <c r="AA1381" i="7"/>
  <c r="AF1381" i="7" s="1"/>
  <c r="Y1381" i="7"/>
  <c r="Y1380" i="7"/>
  <c r="AC1379" i="7"/>
  <c r="AA1379" i="7"/>
  <c r="AF1379" i="7" s="1"/>
  <c r="Y1379" i="7"/>
  <c r="Y1378" i="7"/>
  <c r="AC1377" i="7"/>
  <c r="AA1377" i="7"/>
  <c r="AF1377" i="7" s="1"/>
  <c r="Y1377" i="7"/>
  <c r="Y1376" i="7"/>
  <c r="AC1375" i="7"/>
  <c r="AA1375" i="7"/>
  <c r="AF1375" i="7" s="1"/>
  <c r="Y1375" i="7"/>
  <c r="Y1374" i="7"/>
  <c r="AC1373" i="7"/>
  <c r="AA1373" i="7"/>
  <c r="AF1373" i="7" s="1"/>
  <c r="Y1373" i="7"/>
  <c r="Y1372" i="7"/>
  <c r="AC1371" i="7"/>
  <c r="Y1371" i="7"/>
  <c r="AA1371" i="7" s="1"/>
  <c r="AF1371" i="7" s="1"/>
  <c r="Y1370" i="7"/>
  <c r="Y1369" i="7"/>
  <c r="AC1369" i="7" s="1"/>
  <c r="Y1368" i="7"/>
  <c r="Y1367" i="7"/>
  <c r="AC1367" i="7" s="1"/>
  <c r="Y1366" i="7"/>
  <c r="Y1365" i="7"/>
  <c r="AC1365" i="7" s="1"/>
  <c r="Y1364" i="7"/>
  <c r="Y1363" i="7"/>
  <c r="AC1363" i="7" s="1"/>
  <c r="Y1362" i="7"/>
  <c r="Y1361" i="7"/>
  <c r="AC1361" i="7" s="1"/>
  <c r="Y1360" i="7"/>
  <c r="Y1359" i="7"/>
  <c r="AC1359" i="7" s="1"/>
  <c r="Y1358" i="7"/>
  <c r="AC1357" i="7"/>
  <c r="AA1357" i="7"/>
  <c r="AF1357" i="7" s="1"/>
  <c r="Y1357" i="7"/>
  <c r="Y1356" i="7"/>
  <c r="Y1355" i="7"/>
  <c r="AC1355" i="7" s="1"/>
  <c r="Y1354" i="7"/>
  <c r="Y1353" i="7"/>
  <c r="AC1353" i="7" s="1"/>
  <c r="Y1352" i="7"/>
  <c r="Y1351" i="7"/>
  <c r="AC1351" i="7" s="1"/>
  <c r="Y1350" i="7"/>
  <c r="Y1349" i="7"/>
  <c r="AC1349" i="7" s="1"/>
  <c r="Y1348" i="7"/>
  <c r="Y1347" i="7"/>
  <c r="AC1347" i="7" s="1"/>
  <c r="Y1346" i="7"/>
  <c r="Y1345" i="7"/>
  <c r="AC1345" i="7" s="1"/>
  <c r="Y1344" i="7"/>
  <c r="Y1343" i="7"/>
  <c r="AC1343" i="7" s="1"/>
  <c r="Y1342" i="7"/>
  <c r="Y1341" i="7"/>
  <c r="AC1341" i="7" s="1"/>
  <c r="Y1340" i="7"/>
  <c r="Y1339" i="7"/>
  <c r="AC1339" i="7" s="1"/>
  <c r="Y1338" i="7"/>
  <c r="Y1337" i="7"/>
  <c r="AC1337" i="7" s="1"/>
  <c r="Y1336" i="7"/>
  <c r="Y1335" i="7"/>
  <c r="AC1335" i="7" s="1"/>
  <c r="Y1334" i="7"/>
  <c r="Y1333" i="7"/>
  <c r="AC1333" i="7" s="1"/>
  <c r="Y1332" i="7"/>
  <c r="Y1331" i="7"/>
  <c r="AC1331" i="7" s="1"/>
  <c r="Y1330" i="7"/>
  <c r="Y1329" i="7"/>
  <c r="AC1329" i="7" s="1"/>
  <c r="Y1328" i="7"/>
  <c r="Y1327" i="7"/>
  <c r="AC1327" i="7" s="1"/>
  <c r="Y1326" i="7"/>
  <c r="Y1325" i="7"/>
  <c r="AC1325" i="7" s="1"/>
  <c r="Y1324" i="7"/>
  <c r="Y1323" i="7"/>
  <c r="AC1323" i="7" s="1"/>
  <c r="Y1322" i="7"/>
  <c r="Y1321" i="7"/>
  <c r="AC1321" i="7" s="1"/>
  <c r="Y1320" i="7"/>
  <c r="Y1319" i="7"/>
  <c r="AC1319" i="7" s="1"/>
  <c r="Y1318" i="7"/>
  <c r="Y1317" i="7"/>
  <c r="AC1317" i="7" s="1"/>
  <c r="AA1316" i="7"/>
  <c r="AF1316" i="7" s="1"/>
  <c r="Y1316" i="7"/>
  <c r="AC1316" i="7" s="1"/>
  <c r="Y1315" i="7"/>
  <c r="AC1315" i="7" s="1"/>
  <c r="AA1314" i="7"/>
  <c r="AF1314" i="7" s="1"/>
  <c r="Y1314" i="7"/>
  <c r="AC1314" i="7" s="1"/>
  <c r="Y1313" i="7"/>
  <c r="AC1313" i="7" s="1"/>
  <c r="Y1312" i="7"/>
  <c r="AC1312" i="7" s="1"/>
  <c r="Y1311" i="7"/>
  <c r="AC1311" i="7" s="1"/>
  <c r="AA1310" i="7"/>
  <c r="AF1310" i="7" s="1"/>
  <c r="Y1310" i="7"/>
  <c r="AC1310" i="7" s="1"/>
  <c r="Y1309" i="7"/>
  <c r="AC1309" i="7" s="1"/>
  <c r="AA1308" i="7"/>
  <c r="AF1308" i="7" s="1"/>
  <c r="Y1308" i="7"/>
  <c r="AC1308" i="7" s="1"/>
  <c r="Y1307" i="7"/>
  <c r="AC1307" i="7" s="1"/>
  <c r="X1307" i="7"/>
  <c r="AC1306" i="7"/>
  <c r="AA1306" i="7"/>
  <c r="AF1306" i="7" s="1"/>
  <c r="Y1306" i="7"/>
  <c r="AA1305" i="7"/>
  <c r="AF1305" i="7" s="1"/>
  <c r="Y1305" i="7"/>
  <c r="AC1305" i="7" s="1"/>
  <c r="AC1304" i="7"/>
  <c r="AA1304" i="7"/>
  <c r="AF1304" i="7" s="1"/>
  <c r="Y1304" i="7"/>
  <c r="AA1303" i="7"/>
  <c r="AF1303" i="7" s="1"/>
  <c r="Y1303" i="7"/>
  <c r="AC1303" i="7" s="1"/>
  <c r="AC1302" i="7"/>
  <c r="AA1302" i="7"/>
  <c r="AF1302" i="7" s="1"/>
  <c r="Y1302" i="7"/>
  <c r="AA1301" i="7"/>
  <c r="AF1301" i="7" s="1"/>
  <c r="Y1301" i="7"/>
  <c r="AC1301" i="7" s="1"/>
  <c r="Y1300" i="7"/>
  <c r="AA1300" i="7" s="1"/>
  <c r="AF1300" i="7" s="1"/>
  <c r="Y1299" i="7"/>
  <c r="AA1299" i="7" s="1"/>
  <c r="AF1299" i="7" s="1"/>
  <c r="Y1298" i="7"/>
  <c r="AA1298" i="7" s="1"/>
  <c r="AF1298" i="7" s="1"/>
  <c r="AF1297" i="7"/>
  <c r="AA1297" i="7"/>
  <c r="Y1297" i="7"/>
  <c r="Y1296" i="7"/>
  <c r="AA1296" i="7" s="1"/>
  <c r="AF1296" i="7" s="1"/>
  <c r="Y1295" i="7"/>
  <c r="AA1295" i="7" s="1"/>
  <c r="AF1295" i="7" s="1"/>
  <c r="AF1294" i="7"/>
  <c r="Y1294" i="7"/>
  <c r="AA1294" i="7" s="1"/>
  <c r="AA1293" i="7"/>
  <c r="AF1293" i="7" s="1"/>
  <c r="Y1293" i="7"/>
  <c r="Y2888" i="6"/>
  <c r="Y2887" i="6"/>
  <c r="AC2887" i="6" s="1"/>
  <c r="Y2886" i="6"/>
  <c r="AC2885" i="6"/>
  <c r="Y2885" i="6"/>
  <c r="AA2885" i="6" s="1"/>
  <c r="AF2885" i="6" s="1"/>
  <c r="Y2884" i="6"/>
  <c r="Y2883" i="6"/>
  <c r="Y2882" i="6"/>
  <c r="Y2881" i="6"/>
  <c r="AC2881" i="6" s="1"/>
  <c r="Y2880" i="6"/>
  <c r="AC2879" i="6"/>
  <c r="AA2879" i="6"/>
  <c r="AF2879" i="6" s="1"/>
  <c r="Y2879" i="6"/>
  <c r="Y2878" i="6"/>
  <c r="Y2877" i="6"/>
  <c r="AC2877" i="6" s="1"/>
  <c r="Y2876" i="6"/>
  <c r="Y2875" i="6"/>
  <c r="AC2875" i="6" s="1"/>
  <c r="Y2874" i="6"/>
  <c r="AA2874" i="6" s="1"/>
  <c r="AF2874" i="6" s="1"/>
  <c r="Y2873" i="6"/>
  <c r="AA2873" i="6" s="1"/>
  <c r="AF2873" i="6" s="1"/>
  <c r="AF2872" i="6"/>
  <c r="AA2872" i="6"/>
  <c r="Y2872" i="6"/>
  <c r="Y2871" i="6"/>
  <c r="AA2871" i="6" s="1"/>
  <c r="AF2871" i="6" s="1"/>
  <c r="Y2870" i="6"/>
  <c r="Y2869" i="6"/>
  <c r="Y2868" i="6"/>
  <c r="AC2868" i="6" s="1"/>
  <c r="Y2867" i="6"/>
  <c r="AC2866" i="6"/>
  <c r="AA2866" i="6"/>
  <c r="AF2866" i="6" s="1"/>
  <c r="Y2866" i="6"/>
  <c r="Y2865" i="6"/>
  <c r="AA2864" i="6"/>
  <c r="AF2864" i="6" s="1"/>
  <c r="Y2864" i="6"/>
  <c r="Y2863" i="6"/>
  <c r="AC2863" i="6" s="1"/>
  <c r="X2862" i="6"/>
  <c r="Y2862" i="6" s="1"/>
  <c r="Y2861" i="6"/>
  <c r="AC2860" i="6"/>
  <c r="AA2860" i="6"/>
  <c r="AF2860" i="6" s="1"/>
  <c r="Y2860" i="6"/>
  <c r="X2859" i="6"/>
  <c r="Y2859" i="6" s="1"/>
  <c r="AC2858" i="6"/>
  <c r="AA2858" i="6"/>
  <c r="AF2858" i="6" s="1"/>
  <c r="Y2858" i="6"/>
  <c r="AA2857" i="6"/>
  <c r="AF2857" i="6" s="1"/>
  <c r="Y2857" i="6"/>
  <c r="AC2857" i="6" s="1"/>
  <c r="AC2856" i="6"/>
  <c r="AA2856" i="6"/>
  <c r="AF2856" i="6" s="1"/>
  <c r="Y2856" i="6"/>
  <c r="Y2855" i="6"/>
  <c r="AA2855" i="6" s="1"/>
  <c r="AF2855" i="6" s="1"/>
  <c r="AF2854" i="6"/>
  <c r="AC2854" i="6"/>
  <c r="AA2854" i="6"/>
  <c r="Y2854" i="6"/>
  <c r="Y2853" i="6"/>
  <c r="Y2852" i="6"/>
  <c r="Y2851" i="6"/>
  <c r="AA2851" i="6" s="1"/>
  <c r="AF2851" i="6" s="1"/>
  <c r="Y2850" i="6"/>
  <c r="AC2850" i="6" s="1"/>
  <c r="AF2849" i="6"/>
  <c r="AA2849" i="6"/>
  <c r="Y2849" i="6"/>
  <c r="AC2848" i="6"/>
  <c r="AA2848" i="6"/>
  <c r="AF2848" i="6" s="1"/>
  <c r="Y2848" i="6"/>
  <c r="AF2847" i="6"/>
  <c r="AC2847" i="6"/>
  <c r="AA2847" i="6"/>
  <c r="Y2847" i="6"/>
  <c r="Y2846" i="6"/>
  <c r="AA2846" i="6" s="1"/>
  <c r="AF2846" i="6" s="1"/>
  <c r="X2846" i="6"/>
  <c r="AA2845" i="6"/>
  <c r="AF2845" i="6" s="1"/>
  <c r="Y2845" i="6"/>
  <c r="Y2844" i="6"/>
  <c r="AA2844" i="6" s="1"/>
  <c r="AF2844" i="6" s="1"/>
  <c r="Y2843" i="6"/>
  <c r="AA2843" i="6" s="1"/>
  <c r="AF2843" i="6" s="1"/>
  <c r="AF2842" i="6"/>
  <c r="AA2842" i="6"/>
  <c r="Y2842" i="6"/>
  <c r="Y2841" i="6"/>
  <c r="AA2841" i="6" s="1"/>
  <c r="AF2841" i="6" s="1"/>
  <c r="AA2840" i="6"/>
  <c r="AF2840" i="6" s="1"/>
  <c r="Y2840" i="6"/>
  <c r="Y2839" i="6"/>
  <c r="AA2839" i="6" s="1"/>
  <c r="AF2839" i="6" s="1"/>
  <c r="Y2838" i="6"/>
  <c r="AA2838" i="6" s="1"/>
  <c r="AF2838" i="6" s="1"/>
  <c r="AA2837" i="6"/>
  <c r="AF2837" i="6" s="1"/>
  <c r="Y2837" i="6"/>
  <c r="Y2836" i="6"/>
  <c r="AA2836" i="6" s="1"/>
  <c r="AF2836" i="6" s="1"/>
  <c r="Y2835" i="6"/>
  <c r="AA2835" i="6" s="1"/>
  <c r="AF2835" i="6" s="1"/>
  <c r="X2834" i="6"/>
  <c r="Y2834" i="6" s="1"/>
  <c r="AA2834" i="6" s="1"/>
  <c r="AF2834" i="6" s="1"/>
  <c r="Y2833" i="6"/>
  <c r="AA2833" i="6" s="1"/>
  <c r="AF2833" i="6" s="1"/>
  <c r="AF2832" i="6"/>
  <c r="AA2832" i="6"/>
  <c r="Y2832" i="6"/>
  <c r="X2831" i="6"/>
  <c r="Y2831" i="6" s="1"/>
  <c r="AA2831" i="6" s="1"/>
  <c r="AF2831" i="6" s="1"/>
  <c r="Y2830" i="6"/>
  <c r="AA2830" i="6" s="1"/>
  <c r="AF2830" i="6" s="1"/>
  <c r="X2830" i="6"/>
  <c r="Y2829" i="6"/>
  <c r="AA2829" i="6" s="1"/>
  <c r="AF2829" i="6" s="1"/>
  <c r="Y2828" i="6"/>
  <c r="AA2828" i="6" s="1"/>
  <c r="AF2828" i="6" s="1"/>
  <c r="AF2827" i="6"/>
  <c r="AA2827" i="6"/>
  <c r="Y2827" i="6"/>
  <c r="AA2826" i="6"/>
  <c r="AF2826" i="6" s="1"/>
  <c r="Y2826" i="6"/>
  <c r="Y2825" i="6"/>
  <c r="AA2825" i="6" s="1"/>
  <c r="AF2825" i="6" s="1"/>
  <c r="X2824" i="6"/>
  <c r="Y2824" i="6" s="1"/>
  <c r="AA2824" i="6" s="1"/>
  <c r="AF2824" i="6" s="1"/>
  <c r="AA2823" i="6"/>
  <c r="AF2823" i="6" s="1"/>
  <c r="Y2823" i="6"/>
  <c r="X2823" i="6"/>
  <c r="Y2822" i="6"/>
  <c r="AA2822" i="6" s="1"/>
  <c r="AF2822" i="6" s="1"/>
  <c r="Y2821" i="6"/>
  <c r="AA2821" i="6" s="1"/>
  <c r="AF2821" i="6" s="1"/>
  <c r="AF2820" i="6"/>
  <c r="AA2820" i="6"/>
  <c r="Y2820" i="6"/>
  <c r="Y2819" i="6"/>
  <c r="AA2819" i="6" s="1"/>
  <c r="AF2819" i="6" s="1"/>
  <c r="Y2818" i="6"/>
  <c r="AA2818" i="6" s="1"/>
  <c r="AF2818" i="6" s="1"/>
  <c r="AF2817" i="6"/>
  <c r="AA2817" i="6"/>
  <c r="Y2817" i="6"/>
  <c r="AA2816" i="6"/>
  <c r="AF2816" i="6" s="1"/>
  <c r="Y2816" i="6"/>
  <c r="Y2815" i="6"/>
  <c r="AA2815" i="6" s="1"/>
  <c r="AF2815" i="6" s="1"/>
  <c r="Y2814" i="6"/>
  <c r="AA2814" i="6" s="1"/>
  <c r="AF2814" i="6" s="1"/>
  <c r="AF2813" i="6"/>
  <c r="AA2813" i="6"/>
  <c r="Y2813" i="6"/>
  <c r="AF2812" i="6"/>
  <c r="AA2812" i="6"/>
  <c r="Y2812" i="6"/>
  <c r="Y2811" i="6"/>
  <c r="AA2811" i="6" s="1"/>
  <c r="AF2811" i="6" s="1"/>
  <c r="AA2810" i="6"/>
  <c r="AF2810" i="6" s="1"/>
  <c r="Y2810" i="6"/>
  <c r="AF2809" i="6"/>
  <c r="AA2809" i="6"/>
  <c r="Y2809" i="6"/>
  <c r="Y2808" i="6"/>
  <c r="AA2808" i="6" s="1"/>
  <c r="AF2808" i="6" s="1"/>
  <c r="Y2807" i="6"/>
  <c r="AA2807" i="6" s="1"/>
  <c r="AF2807" i="6" s="1"/>
  <c r="Y2806" i="6"/>
  <c r="AA2806" i="6" s="1"/>
  <c r="AF2806" i="6" s="1"/>
  <c r="Y2805" i="6"/>
  <c r="AA2805" i="6" s="1"/>
  <c r="AF2805" i="6" s="1"/>
  <c r="AA2804" i="6"/>
  <c r="AF2804" i="6" s="1"/>
  <c r="Y2804" i="6"/>
  <c r="Y2803" i="6"/>
  <c r="AA2803" i="6" s="1"/>
  <c r="AF2803" i="6" s="1"/>
  <c r="Y2802" i="6"/>
  <c r="AA2802" i="6" s="1"/>
  <c r="AF2802" i="6" s="1"/>
  <c r="AF2801" i="6"/>
  <c r="AA2801" i="6"/>
  <c r="Y2801" i="6"/>
  <c r="AA2800" i="6"/>
  <c r="AF2800" i="6" s="1"/>
  <c r="Y2800" i="6"/>
  <c r="Y2799" i="6"/>
  <c r="AA2799" i="6" s="1"/>
  <c r="AF2799" i="6" s="1"/>
  <c r="Y2798" i="6"/>
  <c r="AA2798" i="6" s="1"/>
  <c r="AF2798" i="6" s="1"/>
  <c r="Y2797" i="6"/>
  <c r="AA2797" i="6" s="1"/>
  <c r="AF2797" i="6" s="1"/>
  <c r="AF2796" i="6"/>
  <c r="AA2796" i="6"/>
  <c r="Y2796" i="6"/>
  <c r="Y2795" i="6"/>
  <c r="AA2795" i="6" s="1"/>
  <c r="AF2795" i="6" s="1"/>
  <c r="Y2794" i="6"/>
  <c r="AA2794" i="6" s="1"/>
  <c r="AF2794" i="6" s="1"/>
  <c r="AF2793" i="6"/>
  <c r="AA2793" i="6"/>
  <c r="Y2793" i="6"/>
  <c r="Y2792" i="6"/>
  <c r="AA2792" i="6" s="1"/>
  <c r="AF2792" i="6" s="1"/>
  <c r="Y2791" i="6"/>
  <c r="AA2791" i="6" s="1"/>
  <c r="AF2791" i="6" s="1"/>
  <c r="Y2790" i="6"/>
  <c r="AA2790" i="6" s="1"/>
  <c r="AF2790" i="6" s="1"/>
  <c r="AF2789" i="6"/>
  <c r="AA2789" i="6"/>
  <c r="Y2789" i="6"/>
  <c r="AA2788" i="6"/>
  <c r="AF2788" i="6" s="1"/>
  <c r="Y2788" i="6"/>
  <c r="X2787" i="6"/>
  <c r="Y2787" i="6" s="1"/>
  <c r="AA2787" i="6" s="1"/>
  <c r="AF2787" i="6" s="1"/>
  <c r="AF2786" i="6"/>
  <c r="AA2786" i="6"/>
  <c r="Y2786" i="6"/>
  <c r="Y2785" i="6"/>
  <c r="AA2785" i="6" s="1"/>
  <c r="AF2785" i="6" s="1"/>
  <c r="Y2784" i="6"/>
  <c r="AA2784" i="6" s="1"/>
  <c r="AF2784" i="6" s="1"/>
  <c r="AA2783" i="6"/>
  <c r="AF2783" i="6" s="1"/>
  <c r="Y2783" i="6"/>
  <c r="Y2782" i="6"/>
  <c r="AA2782" i="6" s="1"/>
  <c r="AF2782" i="6" s="1"/>
  <c r="Y2781" i="6"/>
  <c r="AA2781" i="6" s="1"/>
  <c r="AF2781" i="6" s="1"/>
  <c r="AF2780" i="6"/>
  <c r="AA2780" i="6"/>
  <c r="Y2780" i="6"/>
  <c r="AA2779" i="6"/>
  <c r="AF2779" i="6" s="1"/>
  <c r="Y2779" i="6"/>
  <c r="Y2778" i="6"/>
  <c r="AA2778" i="6" s="1"/>
  <c r="AF2778" i="6" s="1"/>
  <c r="Y2777" i="6"/>
  <c r="AA2777" i="6" s="1"/>
  <c r="AF2777" i="6" s="1"/>
  <c r="AA2776" i="6"/>
  <c r="AF2776" i="6" s="1"/>
  <c r="Y2776" i="6"/>
  <c r="AA2775" i="6"/>
  <c r="AF2775" i="6" s="1"/>
  <c r="Y2775" i="6"/>
  <c r="Y2774" i="6"/>
  <c r="AA2774" i="6" s="1"/>
  <c r="AF2774" i="6" s="1"/>
  <c r="AA2773" i="6"/>
  <c r="AF2773" i="6" s="1"/>
  <c r="Y2773" i="6"/>
  <c r="AF2772" i="6"/>
  <c r="AA2772" i="6"/>
  <c r="Y2772" i="6"/>
  <c r="Y2771" i="6"/>
  <c r="AA2771" i="6" s="1"/>
  <c r="AF2771" i="6" s="1"/>
  <c r="Y2770" i="6"/>
  <c r="AA2770" i="6" s="1"/>
  <c r="AF2770" i="6" s="1"/>
  <c r="Y2769" i="6"/>
  <c r="AA2769" i="6" s="1"/>
  <c r="AF2769" i="6" s="1"/>
  <c r="Y2768" i="6"/>
  <c r="AA2768" i="6" s="1"/>
  <c r="AF2768" i="6" s="1"/>
  <c r="AA2767" i="6"/>
  <c r="AF2767" i="6" s="1"/>
  <c r="Y2767" i="6"/>
  <c r="Y2766" i="6"/>
  <c r="AA2766" i="6" s="1"/>
  <c r="AF2766" i="6" s="1"/>
  <c r="AF2765" i="6"/>
  <c r="AA2765" i="6"/>
  <c r="Y2765" i="6"/>
  <c r="AF2764" i="6"/>
  <c r="AA2764" i="6"/>
  <c r="Y2764" i="6"/>
  <c r="AA2763" i="6"/>
  <c r="AF2763" i="6" s="1"/>
  <c r="Y2763" i="6"/>
  <c r="Y2762" i="6"/>
  <c r="AA2762" i="6" s="1"/>
  <c r="AF2762" i="6" s="1"/>
  <c r="Y2761" i="6"/>
  <c r="AA2761" i="6" s="1"/>
  <c r="AF2761" i="6" s="1"/>
  <c r="Y2760" i="6"/>
  <c r="AA2760" i="6" s="1"/>
  <c r="AF2760" i="6" s="1"/>
  <c r="AF2759" i="6"/>
  <c r="AA2759" i="6"/>
  <c r="Y2759" i="6"/>
  <c r="Y2758" i="6"/>
  <c r="AA2758" i="6" s="1"/>
  <c r="AF2758" i="6" s="1"/>
  <c r="Y2757" i="6"/>
  <c r="AA2757" i="6" s="1"/>
  <c r="AF2757" i="6" s="1"/>
  <c r="AF2756" i="6"/>
  <c r="AA2756" i="6"/>
  <c r="Y2756" i="6"/>
  <c r="Y2755" i="6"/>
  <c r="AA2755" i="6" s="1"/>
  <c r="AF2755" i="6" s="1"/>
  <c r="Y2754" i="6"/>
  <c r="AA2754" i="6" s="1"/>
  <c r="AF2754" i="6" s="1"/>
  <c r="Y2753" i="6"/>
  <c r="AA2753" i="6" s="1"/>
  <c r="AF2753" i="6" s="1"/>
  <c r="AF2752" i="6"/>
  <c r="AA2752" i="6"/>
  <c r="Y2752" i="6"/>
  <c r="AA2751" i="6"/>
  <c r="AF2751" i="6" s="1"/>
  <c r="Y2751" i="6"/>
  <c r="Y2750" i="6"/>
  <c r="AA2750" i="6" s="1"/>
  <c r="AF2750" i="6" s="1"/>
  <c r="AA2749" i="6"/>
  <c r="AF2749" i="6" s="1"/>
  <c r="Y2749" i="6"/>
  <c r="AF2748" i="6"/>
  <c r="AA2748" i="6"/>
  <c r="Y2748" i="6"/>
  <c r="Y2747" i="6"/>
  <c r="AA2747" i="6" s="1"/>
  <c r="AF2747" i="6" s="1"/>
  <c r="AA2746" i="6"/>
  <c r="AF2746" i="6" s="1"/>
  <c r="Y2746" i="6"/>
  <c r="Y2745" i="6"/>
  <c r="AA2745" i="6" s="1"/>
  <c r="AF2745" i="6" s="1"/>
  <c r="Y2744" i="6"/>
  <c r="AA2744" i="6" s="1"/>
  <c r="AF2744" i="6" s="1"/>
  <c r="AA2743" i="6"/>
  <c r="AF2743" i="6" s="1"/>
  <c r="Y2743" i="6"/>
  <c r="Y2742" i="6"/>
  <c r="AA2742" i="6" s="1"/>
  <c r="AF2742" i="6" s="1"/>
  <c r="Y2741" i="6"/>
  <c r="AA2741" i="6" s="1"/>
  <c r="AF2741" i="6" s="1"/>
  <c r="Y2740" i="6"/>
  <c r="AA2740" i="6" s="1"/>
  <c r="AF2740" i="6" s="1"/>
  <c r="Y2739" i="6"/>
  <c r="AA2739" i="6" s="1"/>
  <c r="AF2739" i="6" s="1"/>
  <c r="Y2738" i="6"/>
  <c r="AA2738" i="6" s="1"/>
  <c r="AF2738" i="6" s="1"/>
  <c r="Y2737" i="6"/>
  <c r="AA2737" i="6" s="1"/>
  <c r="AF2737" i="6" s="1"/>
  <c r="Y2736" i="6"/>
  <c r="AA2736" i="6" s="1"/>
  <c r="AF2736" i="6" s="1"/>
  <c r="AF2735" i="6"/>
  <c r="AA2735" i="6"/>
  <c r="Y2735" i="6"/>
  <c r="Y2734" i="6"/>
  <c r="AA2734" i="6" s="1"/>
  <c r="AF2734" i="6" s="1"/>
  <c r="Y2733" i="6"/>
  <c r="AA2733" i="6" s="1"/>
  <c r="AF2733" i="6" s="1"/>
  <c r="Y2732" i="6"/>
  <c r="AA2732" i="6" s="1"/>
  <c r="AF2732" i="6" s="1"/>
  <c r="AA2731" i="6"/>
  <c r="AF2731" i="6" s="1"/>
  <c r="Y2731" i="6"/>
  <c r="Y2730" i="6"/>
  <c r="AA2730" i="6" s="1"/>
  <c r="AF2730" i="6" s="1"/>
  <c r="AA2729" i="6"/>
  <c r="AF2729" i="6" s="1"/>
  <c r="Y2729" i="6"/>
  <c r="AF2728" i="6"/>
  <c r="AA2728" i="6"/>
  <c r="Y2728" i="6"/>
  <c r="AA2727" i="6"/>
  <c r="AF2727" i="6" s="1"/>
  <c r="Y2727" i="6"/>
  <c r="Y2726" i="6"/>
  <c r="AA2726" i="6" s="1"/>
  <c r="AF2726" i="6" s="1"/>
  <c r="AA2725" i="6"/>
  <c r="AF2725" i="6" s="1"/>
  <c r="Y2725" i="6"/>
  <c r="Y2724" i="6"/>
  <c r="AA2724" i="6" s="1"/>
  <c r="AF2724" i="6" s="1"/>
  <c r="Y2723" i="6"/>
  <c r="AA2723" i="6" s="1"/>
  <c r="AF2723" i="6" s="1"/>
  <c r="Y2722" i="6"/>
  <c r="AA2722" i="6" s="1"/>
  <c r="AF2722" i="6" s="1"/>
  <c r="AA2721" i="6"/>
  <c r="AF2721" i="6" s="1"/>
  <c r="Y2721" i="6"/>
  <c r="Y2720" i="6"/>
  <c r="AA2720" i="6" s="1"/>
  <c r="AF2720" i="6" s="1"/>
  <c r="AA2719" i="6"/>
  <c r="AF2719" i="6" s="1"/>
  <c r="Y2719" i="6"/>
  <c r="Y2718" i="6"/>
  <c r="AA2718" i="6" s="1"/>
  <c r="AF2718" i="6" s="1"/>
  <c r="Y2717" i="6"/>
  <c r="AA2717" i="6" s="1"/>
  <c r="AF2717" i="6" s="1"/>
  <c r="AF2716" i="6"/>
  <c r="AA2716" i="6"/>
  <c r="Y2716" i="6"/>
  <c r="AA2715" i="6"/>
  <c r="AF2715" i="6" s="1"/>
  <c r="Y2715" i="6"/>
  <c r="Y2714" i="6"/>
  <c r="AA2714" i="6" s="1"/>
  <c r="AF2714" i="6" s="1"/>
  <c r="Y2713" i="6"/>
  <c r="AA2713" i="6" s="1"/>
  <c r="AF2713" i="6" s="1"/>
  <c r="AA2712" i="6"/>
  <c r="AF2712" i="6" s="1"/>
  <c r="Y2712" i="6"/>
  <c r="AF2711" i="6"/>
  <c r="AA2711" i="6"/>
  <c r="Y2711" i="6"/>
  <c r="Y2710" i="6"/>
  <c r="AA2710" i="6" s="1"/>
  <c r="AF2710" i="6" s="1"/>
  <c r="Y2709" i="6"/>
  <c r="AA2709" i="6" s="1"/>
  <c r="AF2709" i="6" s="1"/>
  <c r="AF2708" i="6"/>
  <c r="AA2708" i="6"/>
  <c r="Y2708" i="6"/>
  <c r="Y2707" i="6"/>
  <c r="AA2707" i="6" s="1"/>
  <c r="AF2707" i="6" s="1"/>
  <c r="Y2706" i="6"/>
  <c r="AA2706" i="6" s="1"/>
  <c r="AF2706" i="6" s="1"/>
  <c r="Y2705" i="6"/>
  <c r="AA2705" i="6" s="1"/>
  <c r="AF2705" i="6" s="1"/>
  <c r="Y2704" i="6"/>
  <c r="AA2704" i="6" s="1"/>
  <c r="AF2704" i="6" s="1"/>
  <c r="X2703" i="6"/>
  <c r="Y2703" i="6" s="1"/>
  <c r="AA2703" i="6" s="1"/>
  <c r="AF2703" i="6" s="1"/>
  <c r="Y2702" i="6"/>
  <c r="AA2702" i="6" s="1"/>
  <c r="AF2702" i="6" s="1"/>
  <c r="Y2701" i="6"/>
  <c r="AA2701" i="6" s="1"/>
  <c r="AF2701" i="6" s="1"/>
  <c r="AA2700" i="6"/>
  <c r="AF2700" i="6" s="1"/>
  <c r="Y2700" i="6"/>
  <c r="Y2699" i="6"/>
  <c r="AA2699" i="6" s="1"/>
  <c r="AF2699" i="6" s="1"/>
  <c r="AF2698" i="6"/>
  <c r="AA2698" i="6"/>
  <c r="Y2698" i="6"/>
  <c r="Y2697" i="6"/>
  <c r="AA2697" i="6" s="1"/>
  <c r="AF2697" i="6" s="1"/>
  <c r="Y2696" i="6"/>
  <c r="AA2696" i="6" s="1"/>
  <c r="AF2696" i="6" s="1"/>
  <c r="AF2695" i="6"/>
  <c r="Y2695" i="6"/>
  <c r="AA2695" i="6" s="1"/>
  <c r="Y2694" i="6"/>
  <c r="AA2694" i="6" s="1"/>
  <c r="AF2694" i="6" s="1"/>
  <c r="Y2693" i="6"/>
  <c r="AA2693" i="6" s="1"/>
  <c r="AF2693" i="6" s="1"/>
  <c r="AA2692" i="6"/>
  <c r="AF2692" i="6" s="1"/>
  <c r="Y2692" i="6"/>
  <c r="Y2691" i="6"/>
  <c r="AA2691" i="6" s="1"/>
  <c r="AF2691" i="6" s="1"/>
  <c r="AA2690" i="6"/>
  <c r="AF2690" i="6" s="1"/>
  <c r="Y2690" i="6"/>
  <c r="Y2689" i="6"/>
  <c r="AC2689" i="6" s="1"/>
  <c r="AF2688" i="6"/>
  <c r="AA2688" i="6"/>
  <c r="Y2688" i="6"/>
  <c r="AA2687" i="6"/>
  <c r="AF2687" i="6" s="1"/>
  <c r="Y2687" i="6"/>
  <c r="Y2686" i="6"/>
  <c r="AA2686" i="6" s="1"/>
  <c r="AF2686" i="6" s="1"/>
  <c r="AF2685" i="6"/>
  <c r="AA2685" i="6"/>
  <c r="Y2685" i="6"/>
  <c r="Y2684" i="6"/>
  <c r="AA2684" i="6" s="1"/>
  <c r="AF2684" i="6" s="1"/>
  <c r="Y2683" i="6"/>
  <c r="AA2683" i="6" s="1"/>
  <c r="AF2683" i="6" s="1"/>
  <c r="AF2682" i="6"/>
  <c r="Y2682" i="6"/>
  <c r="AA2682" i="6" s="1"/>
  <c r="Y2681" i="6"/>
  <c r="AA2681" i="6" s="1"/>
  <c r="AF2681" i="6" s="1"/>
  <c r="Y2680" i="6"/>
  <c r="AA2680" i="6" s="1"/>
  <c r="AF2680" i="6" s="1"/>
  <c r="Y2679" i="6"/>
  <c r="AA2679" i="6" s="1"/>
  <c r="AF2679" i="6" s="1"/>
  <c r="AF2678" i="6"/>
  <c r="AA2678" i="6"/>
  <c r="Y2678" i="6"/>
  <c r="AA2677" i="6"/>
  <c r="AF2677" i="6" s="1"/>
  <c r="Y2677" i="6"/>
  <c r="Y2676" i="6"/>
  <c r="AA2676" i="6" s="1"/>
  <c r="AF2676" i="6" s="1"/>
  <c r="AF2675" i="6"/>
  <c r="AA2675" i="6"/>
  <c r="Y2675" i="6"/>
  <c r="Y2674" i="6"/>
  <c r="AA2674" i="6" s="1"/>
  <c r="AF2674" i="6" s="1"/>
  <c r="Y2673" i="6"/>
  <c r="AA2673" i="6" s="1"/>
  <c r="AF2673" i="6" s="1"/>
  <c r="AA2672" i="6"/>
  <c r="AF2672" i="6" s="1"/>
  <c r="Y2672" i="6"/>
  <c r="Y2671" i="6"/>
  <c r="AA2671" i="6" s="1"/>
  <c r="AF2671" i="6" s="1"/>
  <c r="Y2670" i="6"/>
  <c r="AA2670" i="6" s="1"/>
  <c r="AF2670" i="6" s="1"/>
  <c r="AA2669" i="6"/>
  <c r="AF2669" i="6" s="1"/>
  <c r="Y2669" i="6"/>
  <c r="Y2668" i="6"/>
  <c r="AA2668" i="6" s="1"/>
  <c r="AF2668" i="6" s="1"/>
  <c r="Y2667" i="6"/>
  <c r="AA2667" i="6" s="1"/>
  <c r="AF2667" i="6" s="1"/>
  <c r="Y2666" i="6"/>
  <c r="AA2666" i="6" s="1"/>
  <c r="AF2666" i="6" s="1"/>
  <c r="Y2665" i="6"/>
  <c r="AA2665" i="6" s="1"/>
  <c r="AF2665" i="6" s="1"/>
  <c r="AF2664" i="6"/>
  <c r="AA2664" i="6"/>
  <c r="Y2664" i="6"/>
  <c r="Y2663" i="6"/>
  <c r="AA2663" i="6" s="1"/>
  <c r="AF2663" i="6" s="1"/>
  <c r="Y2662" i="6"/>
  <c r="AA2662" i="6" s="1"/>
  <c r="AF2662" i="6" s="1"/>
  <c r="AA2661" i="6"/>
  <c r="AF2661" i="6" s="1"/>
  <c r="Y2661" i="6"/>
  <c r="Y2660" i="6"/>
  <c r="AA2660" i="6" s="1"/>
  <c r="AF2660" i="6" s="1"/>
  <c r="Y2659" i="6"/>
  <c r="AA2659" i="6" s="1"/>
  <c r="AF2659" i="6" s="1"/>
  <c r="Y2658" i="6"/>
  <c r="AA2658" i="6" s="1"/>
  <c r="AF2658" i="6" s="1"/>
  <c r="AA2657" i="6"/>
  <c r="AF2657" i="6" s="1"/>
  <c r="Y2657" i="6"/>
  <c r="Y2656" i="6"/>
  <c r="AA2656" i="6" s="1"/>
  <c r="AF2656" i="6" s="1"/>
  <c r="Y2655" i="6"/>
  <c r="AA2655" i="6" s="1"/>
  <c r="AF2655" i="6" s="1"/>
  <c r="Y2654" i="6"/>
  <c r="AA2654" i="6" s="1"/>
  <c r="AF2654" i="6" s="1"/>
  <c r="AF2653" i="6"/>
  <c r="AA2653" i="6"/>
  <c r="Y2653" i="6"/>
  <c r="X2652" i="6"/>
  <c r="Y2652" i="6" s="1"/>
  <c r="AA2652" i="6" s="1"/>
  <c r="AF2652" i="6" s="1"/>
  <c r="AA2651" i="6"/>
  <c r="AF2651" i="6" s="1"/>
  <c r="Y2651" i="6"/>
  <c r="X2651" i="6"/>
  <c r="Y2650" i="6"/>
  <c r="AA2650" i="6" s="1"/>
  <c r="AF2650" i="6" s="1"/>
  <c r="X2650" i="6"/>
  <c r="Y2649" i="6"/>
  <c r="AA2649" i="6" s="1"/>
  <c r="AF2649" i="6" s="1"/>
  <c r="X2649" i="6"/>
  <c r="Y2648" i="6"/>
  <c r="AA2648" i="6" s="1"/>
  <c r="AF2648" i="6" s="1"/>
  <c r="X2648" i="6"/>
  <c r="Y2647" i="6"/>
  <c r="AA2647" i="6" s="1"/>
  <c r="AF2647" i="6" s="1"/>
  <c r="Y2646" i="6"/>
  <c r="AA2646" i="6" s="1"/>
  <c r="AF2646" i="6" s="1"/>
  <c r="AA2645" i="6"/>
  <c r="AF2645" i="6" s="1"/>
  <c r="Y2645" i="6"/>
  <c r="X2645" i="6"/>
  <c r="X2644" i="6"/>
  <c r="Y2644" i="6" s="1"/>
  <c r="AA2644" i="6" s="1"/>
  <c r="AF2644" i="6" s="1"/>
  <c r="X2643" i="6"/>
  <c r="Y2643" i="6" s="1"/>
  <c r="AA2643" i="6" s="1"/>
  <c r="AF2643" i="6" s="1"/>
  <c r="AF2642" i="6"/>
  <c r="AA2642" i="6"/>
  <c r="Y2642" i="6"/>
  <c r="Y2641" i="6"/>
  <c r="AA2641" i="6" s="1"/>
  <c r="AF2641" i="6" s="1"/>
  <c r="Y2640" i="6"/>
  <c r="AA2640" i="6" s="1"/>
  <c r="AF2640" i="6" s="1"/>
  <c r="X2639" i="6"/>
  <c r="Y2639" i="6" s="1"/>
  <c r="AA2639" i="6" s="1"/>
  <c r="AF2639" i="6" s="1"/>
  <c r="X2638" i="6"/>
  <c r="Y2638" i="6" s="1"/>
  <c r="AA2638" i="6" s="1"/>
  <c r="AF2638" i="6" s="1"/>
  <c r="Y2637" i="6"/>
  <c r="AA2637" i="6" s="1"/>
  <c r="AF2637" i="6" s="1"/>
  <c r="Y2636" i="6"/>
  <c r="AA2636" i="6" s="1"/>
  <c r="AF2636" i="6" s="1"/>
  <c r="AF2635" i="6"/>
  <c r="AA2635" i="6"/>
  <c r="Y2635" i="6"/>
  <c r="Y2634" i="6"/>
  <c r="AA2634" i="6" s="1"/>
  <c r="AF2634" i="6" s="1"/>
  <c r="Y2633" i="6"/>
  <c r="AA2633" i="6" s="1"/>
  <c r="AF2633" i="6" s="1"/>
  <c r="AF2632" i="6"/>
  <c r="AA2632" i="6"/>
  <c r="Y2632" i="6"/>
  <c r="Y2631" i="6"/>
  <c r="AA2631" i="6" s="1"/>
  <c r="AF2631" i="6" s="1"/>
  <c r="Y2630" i="6"/>
  <c r="AA2630" i="6" s="1"/>
  <c r="AF2630" i="6" s="1"/>
  <c r="Y2629" i="6"/>
  <c r="AA2629" i="6" s="1"/>
  <c r="AF2629" i="6" s="1"/>
  <c r="Y2628" i="6"/>
  <c r="AA2628" i="6" s="1"/>
  <c r="AF2628" i="6" s="1"/>
  <c r="AA2627" i="6"/>
  <c r="AF2627" i="6" s="1"/>
  <c r="Y2627" i="6"/>
  <c r="Y2626" i="6"/>
  <c r="AA2626" i="6" s="1"/>
  <c r="AF2626" i="6" s="1"/>
  <c r="AF2625" i="6"/>
  <c r="AA2625" i="6"/>
  <c r="Y2625" i="6"/>
  <c r="AF2624" i="6"/>
  <c r="AA2624" i="6"/>
  <c r="Y2624" i="6"/>
  <c r="Y2623" i="6"/>
  <c r="AA2623" i="6" s="1"/>
  <c r="AF2623" i="6" s="1"/>
  <c r="AF2622" i="6"/>
  <c r="AA2622" i="6"/>
  <c r="Y2622" i="6"/>
  <c r="Y2621" i="6"/>
  <c r="AA2621" i="6" s="1"/>
  <c r="AF2621" i="6" s="1"/>
  <c r="Y2620" i="6"/>
  <c r="AA2620" i="6" s="1"/>
  <c r="AF2620" i="6" s="1"/>
  <c r="AF2619" i="6"/>
  <c r="AA2619" i="6"/>
  <c r="Y2619" i="6"/>
  <c r="Y2618" i="6"/>
  <c r="AA2618" i="6" s="1"/>
  <c r="AF2618" i="6" s="1"/>
  <c r="Y2617" i="6"/>
  <c r="AA2617" i="6" s="1"/>
  <c r="AF2617" i="6" s="1"/>
  <c r="AF2616" i="6"/>
  <c r="AA2616" i="6"/>
  <c r="Y2616" i="6"/>
  <c r="X2615" i="6"/>
  <c r="Y2615" i="6" s="1"/>
  <c r="AA2615" i="6" s="1"/>
  <c r="AF2615" i="6" s="1"/>
  <c r="AA2614" i="6"/>
  <c r="AF2614" i="6" s="1"/>
  <c r="Y2614" i="6"/>
  <c r="Y2613" i="6"/>
  <c r="AA2613" i="6" s="1"/>
  <c r="AF2613" i="6" s="1"/>
  <c r="AF2612" i="6"/>
  <c r="AA2612" i="6"/>
  <c r="Y2612" i="6"/>
  <c r="AF2611" i="6"/>
  <c r="AA2611" i="6"/>
  <c r="Y2611" i="6"/>
  <c r="X2610" i="6"/>
  <c r="Y2610" i="6" s="1"/>
  <c r="AA2610" i="6" s="1"/>
  <c r="AF2610" i="6" s="1"/>
  <c r="AF2609" i="6"/>
  <c r="AA2609" i="6"/>
  <c r="Y2609" i="6"/>
  <c r="X2609" i="6"/>
  <c r="Y2608" i="6"/>
  <c r="AA2608" i="6" s="1"/>
  <c r="AF2608" i="6" s="1"/>
  <c r="AA2607" i="6"/>
  <c r="AF2607" i="6" s="1"/>
  <c r="Y2607" i="6"/>
  <c r="AF2606" i="6"/>
  <c r="AA2606" i="6"/>
  <c r="Y2606" i="6"/>
  <c r="Y2605" i="6"/>
  <c r="AA2605" i="6" s="1"/>
  <c r="AF2605" i="6" s="1"/>
  <c r="AF2604" i="6"/>
  <c r="AA2604" i="6"/>
  <c r="Y2604" i="6"/>
  <c r="Y2603" i="6"/>
  <c r="AA2603" i="6" s="1"/>
  <c r="AF2603" i="6" s="1"/>
  <c r="Y2602" i="6"/>
  <c r="AA2602" i="6" s="1"/>
  <c r="AF2602" i="6" s="1"/>
  <c r="AF2601" i="6"/>
  <c r="AA2601" i="6"/>
  <c r="Y2601" i="6"/>
  <c r="Y2600" i="6"/>
  <c r="AA2600" i="6" s="1"/>
  <c r="AF2600" i="6" s="1"/>
  <c r="Y2599" i="6"/>
  <c r="AA2599" i="6" s="1"/>
  <c r="AF2599" i="6" s="1"/>
  <c r="Y2598" i="6"/>
  <c r="AA2598" i="6" s="1"/>
  <c r="AF2598" i="6" s="1"/>
  <c r="AF2597" i="6"/>
  <c r="AA2597" i="6"/>
  <c r="Y2597" i="6"/>
  <c r="AA2596" i="6"/>
  <c r="AF2596" i="6" s="1"/>
  <c r="Y2596" i="6"/>
  <c r="Y2595" i="6"/>
  <c r="AA2595" i="6" s="1"/>
  <c r="AF2595" i="6" s="1"/>
  <c r="AA2594" i="6"/>
  <c r="AF2594" i="6" s="1"/>
  <c r="Y2594" i="6"/>
  <c r="AA2593" i="6"/>
  <c r="AF2593" i="6" s="1"/>
  <c r="Y2593" i="6"/>
  <c r="Y2592" i="6"/>
  <c r="AA2592" i="6" s="1"/>
  <c r="AF2592" i="6" s="1"/>
  <c r="AF2591" i="6"/>
  <c r="AA2591" i="6"/>
  <c r="Y2591" i="6"/>
  <c r="Y2590" i="6"/>
  <c r="AA2590" i="6" s="1"/>
  <c r="AF2590" i="6" s="1"/>
  <c r="Y2589" i="6"/>
  <c r="AA2589" i="6" s="1"/>
  <c r="AF2589" i="6" s="1"/>
  <c r="AF2588" i="6"/>
  <c r="AA2588" i="6"/>
  <c r="Y2588" i="6"/>
  <c r="Y2587" i="6"/>
  <c r="AA2587" i="6" s="1"/>
  <c r="AF2587" i="6" s="1"/>
  <c r="Y2586" i="6"/>
  <c r="AA2586" i="6" s="1"/>
  <c r="AF2586" i="6" s="1"/>
  <c r="AA2585" i="6"/>
  <c r="AF2585" i="6" s="1"/>
  <c r="Y2585" i="6"/>
  <c r="AF2584" i="6"/>
  <c r="AA2584" i="6"/>
  <c r="Y2584" i="6"/>
  <c r="Y2583" i="6"/>
  <c r="AA2583" i="6" s="1"/>
  <c r="AF2583" i="6" s="1"/>
  <c r="AF2582" i="6"/>
  <c r="AA2582" i="6"/>
  <c r="Y2582" i="6"/>
  <c r="AA2581" i="6"/>
  <c r="AF2581" i="6" s="1"/>
  <c r="Y2581" i="6"/>
  <c r="Y2580" i="6"/>
  <c r="AA2580" i="6" s="1"/>
  <c r="AF2580" i="6" s="1"/>
  <c r="AF2579" i="6"/>
  <c r="AA2579" i="6"/>
  <c r="Y2579" i="6"/>
  <c r="Y2578" i="6"/>
  <c r="AA2578" i="6" s="1"/>
  <c r="AF2578" i="6" s="1"/>
  <c r="Y2577" i="6"/>
  <c r="AA2577" i="6" s="1"/>
  <c r="AF2577" i="6" s="1"/>
  <c r="Y2576" i="6"/>
  <c r="AA2576" i="6" s="1"/>
  <c r="AF2576" i="6" s="1"/>
  <c r="Y2575" i="6"/>
  <c r="AA2575" i="6" s="1"/>
  <c r="AF2575" i="6" s="1"/>
  <c r="AA2574" i="6"/>
  <c r="AF2574" i="6" s="1"/>
  <c r="Y2574" i="6"/>
  <c r="AA2573" i="6"/>
  <c r="AF2573" i="6" s="1"/>
  <c r="Y2573" i="6"/>
  <c r="Y2572" i="6"/>
  <c r="AA2572" i="6" s="1"/>
  <c r="AF2572" i="6" s="1"/>
  <c r="AF2571" i="6"/>
  <c r="AA2571" i="6"/>
  <c r="Y2571" i="6"/>
  <c r="Y2570" i="6"/>
  <c r="AA2570" i="6" s="1"/>
  <c r="AF2570" i="6" s="1"/>
  <c r="AA2569" i="6"/>
  <c r="AF2569" i="6" s="1"/>
  <c r="Y2569" i="6"/>
  <c r="Y2568" i="6"/>
  <c r="AA2568" i="6" s="1"/>
  <c r="AF2568" i="6" s="1"/>
  <c r="Y2567" i="6"/>
  <c r="AA2567" i="6" s="1"/>
  <c r="AF2567" i="6" s="1"/>
  <c r="AF2566" i="6"/>
  <c r="AA2566" i="6"/>
  <c r="Y2566" i="6"/>
  <c r="Y2565" i="6"/>
  <c r="AA2565" i="6" s="1"/>
  <c r="AF2565" i="6" s="1"/>
  <c r="Y2564" i="6"/>
  <c r="AA2564" i="6" s="1"/>
  <c r="AF2564" i="6" s="1"/>
  <c r="AF2563" i="6"/>
  <c r="AA2563" i="6"/>
  <c r="Y2563" i="6"/>
  <c r="Y2562" i="6"/>
  <c r="AA2562" i="6" s="1"/>
  <c r="AF2562" i="6" s="1"/>
  <c r="AA2561" i="6"/>
  <c r="AF2561" i="6" s="1"/>
  <c r="Y2561" i="6"/>
  <c r="Y2560" i="6"/>
  <c r="AA2560" i="6" s="1"/>
  <c r="AF2560" i="6" s="1"/>
  <c r="Y2559" i="6"/>
  <c r="AA2559" i="6" s="1"/>
  <c r="AF2559" i="6" s="1"/>
  <c r="AF2558" i="6"/>
  <c r="AA2558" i="6"/>
  <c r="Y2558" i="6"/>
  <c r="Y2557" i="6"/>
  <c r="AA2557" i="6" s="1"/>
  <c r="AF2557" i="6" s="1"/>
  <c r="Y2556" i="6"/>
  <c r="AA2556" i="6" s="1"/>
  <c r="AF2556" i="6" s="1"/>
  <c r="AF2555" i="6"/>
  <c r="AA2555" i="6"/>
  <c r="Y2555" i="6"/>
  <c r="Y2554" i="6"/>
  <c r="AA2554" i="6" s="1"/>
  <c r="AF2554" i="6" s="1"/>
  <c r="Y2553" i="6"/>
  <c r="AA2553" i="6" s="1"/>
  <c r="AF2553" i="6" s="1"/>
  <c r="Y2552" i="6"/>
  <c r="AA2552" i="6" s="1"/>
  <c r="AF2552" i="6" s="1"/>
  <c r="Y2551" i="6"/>
  <c r="AA2551" i="6" s="1"/>
  <c r="AF2551" i="6" s="1"/>
  <c r="AA2550" i="6"/>
  <c r="AF2550" i="6" s="1"/>
  <c r="Y2550" i="6"/>
  <c r="Y2549" i="6"/>
  <c r="AA2549" i="6" s="1"/>
  <c r="AF2549" i="6" s="1"/>
  <c r="Y2548" i="6"/>
  <c r="AA2548" i="6" s="1"/>
  <c r="AF2548" i="6" s="1"/>
  <c r="AF2547" i="6"/>
  <c r="AA2547" i="6"/>
  <c r="Y2547" i="6"/>
  <c r="Y2546" i="6"/>
  <c r="AA2546" i="6" s="1"/>
  <c r="AF2546" i="6" s="1"/>
  <c r="AA2545" i="6"/>
  <c r="AF2545" i="6" s="1"/>
  <c r="Y2545" i="6"/>
  <c r="AF2544" i="6"/>
  <c r="AA2544" i="6"/>
  <c r="Y2544" i="6"/>
  <c r="Y2543" i="6"/>
  <c r="AA2543" i="6" s="1"/>
  <c r="AF2543" i="6" s="1"/>
  <c r="AF2542" i="6"/>
  <c r="AA2542" i="6"/>
  <c r="Y2542" i="6"/>
  <c r="Y2541" i="6"/>
  <c r="AA2541" i="6" s="1"/>
  <c r="AF2541" i="6" s="1"/>
  <c r="Y2540" i="6"/>
  <c r="AA2540" i="6" s="1"/>
  <c r="AF2540" i="6" s="1"/>
  <c r="Y2539" i="6"/>
  <c r="AA2539" i="6" s="1"/>
  <c r="AF2539" i="6" s="1"/>
  <c r="Y2538" i="6"/>
  <c r="AA2538" i="6" s="1"/>
  <c r="AF2538" i="6" s="1"/>
  <c r="AA2537" i="6"/>
  <c r="AF2537" i="6" s="1"/>
  <c r="Y2537" i="6"/>
  <c r="AA2536" i="6"/>
  <c r="AF2536" i="6" s="1"/>
  <c r="Y2536" i="6"/>
  <c r="Y2535" i="6"/>
  <c r="AA2535" i="6" s="1"/>
  <c r="AF2535" i="6" s="1"/>
  <c r="AA2534" i="6"/>
  <c r="AF2534" i="6" s="1"/>
  <c r="Y2534" i="6"/>
  <c r="Y2533" i="6"/>
  <c r="AA2533" i="6" s="1"/>
  <c r="AF2533" i="6" s="1"/>
  <c r="Y2532" i="6"/>
  <c r="AA2532" i="6" s="1"/>
  <c r="AF2532" i="6" s="1"/>
  <c r="AF2531" i="6"/>
  <c r="Y2531" i="6"/>
  <c r="AA2531" i="6" s="1"/>
  <c r="Y2530" i="6"/>
  <c r="AA2530" i="6" s="1"/>
  <c r="AF2530" i="6" s="1"/>
  <c r="Y2529" i="6"/>
  <c r="AA2529" i="6" s="1"/>
  <c r="AF2529" i="6" s="1"/>
  <c r="AA2528" i="6"/>
  <c r="AF2528" i="6" s="1"/>
  <c r="Y2528" i="6"/>
  <c r="Y2527" i="6"/>
  <c r="AA2527" i="6" s="1"/>
  <c r="AF2527" i="6" s="1"/>
  <c r="AF2526" i="6"/>
  <c r="AA2526" i="6"/>
  <c r="Y2526" i="6"/>
  <c r="AF2525" i="6"/>
  <c r="AA2525" i="6"/>
  <c r="Y2525" i="6"/>
  <c r="Y2524" i="6"/>
  <c r="AA2524" i="6" s="1"/>
  <c r="AF2524" i="6" s="1"/>
  <c r="Y2523" i="6"/>
  <c r="AA2523" i="6" s="1"/>
  <c r="AF2523" i="6" s="1"/>
  <c r="Y2522" i="6"/>
  <c r="AA2522" i="6" s="1"/>
  <c r="AF2522" i="6" s="1"/>
  <c r="AA2521" i="6"/>
  <c r="AF2521" i="6" s="1"/>
  <c r="Y2521" i="6"/>
  <c r="AA2520" i="6"/>
  <c r="AF2520" i="6" s="1"/>
  <c r="Y2520" i="6"/>
  <c r="Y2519" i="6"/>
  <c r="AA2519" i="6" s="1"/>
  <c r="AF2519" i="6" s="1"/>
  <c r="AA2518" i="6"/>
  <c r="AF2518" i="6" s="1"/>
  <c r="Y2518" i="6"/>
  <c r="Y2517" i="6"/>
  <c r="AA2517" i="6" s="1"/>
  <c r="AF2517" i="6" s="1"/>
  <c r="Y2516" i="6"/>
  <c r="AA2516" i="6" s="1"/>
  <c r="AF2516" i="6" s="1"/>
  <c r="Y2515" i="6"/>
  <c r="AA2515" i="6" s="1"/>
  <c r="AF2515" i="6" s="1"/>
  <c r="Y2514" i="6"/>
  <c r="AA2514" i="6" s="1"/>
  <c r="AF2514" i="6" s="1"/>
  <c r="Y2513" i="6"/>
  <c r="AA2513" i="6" s="1"/>
  <c r="AF2513" i="6" s="1"/>
  <c r="AA2512" i="6"/>
  <c r="AF2512" i="6" s="1"/>
  <c r="Y2512" i="6"/>
  <c r="Y2511" i="6"/>
  <c r="AA2511" i="6" s="1"/>
  <c r="AF2511" i="6" s="1"/>
  <c r="X2510" i="6"/>
  <c r="Y2510" i="6" s="1"/>
  <c r="AA2510" i="6" s="1"/>
  <c r="AF2510" i="6" s="1"/>
  <c r="X2509" i="6"/>
  <c r="Y2509" i="6" s="1"/>
  <c r="AA2509" i="6" s="1"/>
  <c r="AF2509" i="6" s="1"/>
  <c r="AA2508" i="6"/>
  <c r="AF2508" i="6" s="1"/>
  <c r="Y2508" i="6"/>
  <c r="Y2507" i="6"/>
  <c r="AA2507" i="6" s="1"/>
  <c r="AF2507" i="6" s="1"/>
  <c r="Y2506" i="6"/>
  <c r="AA2506" i="6" s="1"/>
  <c r="AF2506" i="6" s="1"/>
  <c r="AF2505" i="6"/>
  <c r="AA2505" i="6"/>
  <c r="Y2505" i="6"/>
  <c r="X2505" i="6"/>
  <c r="Y2504" i="6"/>
  <c r="AA2504" i="6" s="1"/>
  <c r="AF2504" i="6" s="1"/>
  <c r="AF2503" i="6"/>
  <c r="AA2503" i="6"/>
  <c r="Y2503" i="6"/>
  <c r="Y2502" i="6"/>
  <c r="AA2502" i="6" s="1"/>
  <c r="AF2502" i="6" s="1"/>
  <c r="Y2501" i="6"/>
  <c r="AA2501" i="6" s="1"/>
  <c r="AF2501" i="6" s="1"/>
  <c r="AF2500" i="6"/>
  <c r="AA2500" i="6"/>
  <c r="Y2500" i="6"/>
  <c r="Y2499" i="6"/>
  <c r="AA2499" i="6" s="1"/>
  <c r="AF2499" i="6" s="1"/>
  <c r="Y2498" i="6"/>
  <c r="AA2498" i="6" s="1"/>
  <c r="AF2498" i="6" s="1"/>
  <c r="Y2497" i="6"/>
  <c r="AA2497" i="6" s="1"/>
  <c r="AF2497" i="6" s="1"/>
  <c r="AA2496" i="6"/>
  <c r="AF2496" i="6" s="1"/>
  <c r="Y2496" i="6"/>
  <c r="AF2495" i="6"/>
  <c r="AA2495" i="6"/>
  <c r="Y2495" i="6"/>
  <c r="Y2494" i="6"/>
  <c r="AC2494" i="6" s="1"/>
  <c r="AC2493" i="6"/>
  <c r="AA2493" i="6"/>
  <c r="AF2493" i="6" s="1"/>
  <c r="Y2493" i="6"/>
  <c r="Y2492" i="6"/>
  <c r="AC2492" i="6" s="1"/>
  <c r="AC2491" i="6"/>
  <c r="AA2491" i="6"/>
  <c r="AF2491" i="6" s="1"/>
  <c r="Y2491" i="6"/>
  <c r="Y2490" i="6"/>
  <c r="AC2490" i="6" s="1"/>
  <c r="AC2489" i="6"/>
  <c r="AA2489" i="6"/>
  <c r="AF2489" i="6" s="1"/>
  <c r="Y2489" i="6"/>
  <c r="X2489" i="6"/>
  <c r="Y2488" i="6"/>
  <c r="AC2488" i="6" s="1"/>
  <c r="AF2487" i="6"/>
  <c r="AC2487" i="6"/>
  <c r="AA2487" i="6"/>
  <c r="Y2487" i="6"/>
  <c r="Y2486" i="6"/>
  <c r="AC2486" i="6" s="1"/>
  <c r="AF2485" i="6"/>
  <c r="AC2485" i="6"/>
  <c r="AA2485" i="6"/>
  <c r="Y2485" i="6"/>
  <c r="X2484" i="6"/>
  <c r="Y2484" i="6" s="1"/>
  <c r="AC2483" i="6"/>
  <c r="Y2483" i="6"/>
  <c r="AA2483" i="6" s="1"/>
  <c r="AF2483" i="6" s="1"/>
  <c r="Y2482" i="6"/>
  <c r="AC2481" i="6"/>
  <c r="Y2481" i="6"/>
  <c r="AA2481" i="6" s="1"/>
  <c r="AF2481" i="6" s="1"/>
  <c r="X2481" i="6"/>
  <c r="Y2480" i="6"/>
  <c r="AC2480" i="6" s="1"/>
  <c r="Y2479" i="6"/>
  <c r="AC2479" i="6" s="1"/>
  <c r="AA2478" i="6"/>
  <c r="AF2478" i="6" s="1"/>
  <c r="Y2478" i="6"/>
  <c r="AC2478" i="6" s="1"/>
  <c r="Y2477" i="6"/>
  <c r="AC2477" i="6" s="1"/>
  <c r="AA2476" i="6"/>
  <c r="AF2476" i="6" s="1"/>
  <c r="Y2476" i="6"/>
  <c r="AC2476" i="6" s="1"/>
  <c r="Y2475" i="6"/>
  <c r="AC2475" i="6" s="1"/>
  <c r="Y2474" i="6"/>
  <c r="AC2474" i="6" s="1"/>
  <c r="X2474" i="6"/>
  <c r="AC2473" i="6"/>
  <c r="AA2473" i="6"/>
  <c r="AF2473" i="6" s="1"/>
  <c r="Y2473" i="6"/>
  <c r="AC2472" i="6"/>
  <c r="AA2472" i="6"/>
  <c r="AF2472" i="6" s="1"/>
  <c r="Y2472" i="6"/>
  <c r="AC2471" i="6"/>
  <c r="Y2471" i="6"/>
  <c r="AA2471" i="6" s="1"/>
  <c r="AF2471" i="6" s="1"/>
  <c r="AC2470" i="6"/>
  <c r="AA2470" i="6"/>
  <c r="AF2470" i="6" s="1"/>
  <c r="Y2470" i="6"/>
  <c r="AC2469" i="6"/>
  <c r="Y2469" i="6"/>
  <c r="AA2469" i="6" s="1"/>
  <c r="AF2469" i="6" s="1"/>
  <c r="AC2468" i="6"/>
  <c r="AA2468" i="6"/>
  <c r="AF2468" i="6" s="1"/>
  <c r="Y2468" i="6"/>
  <c r="Y2467" i="6"/>
  <c r="AC2467" i="6" s="1"/>
  <c r="AC2466" i="6"/>
  <c r="AA2466" i="6"/>
  <c r="AF2466" i="6" s="1"/>
  <c r="Y2466" i="6"/>
  <c r="Y2465" i="6"/>
  <c r="AC2465" i="6" s="1"/>
  <c r="AC2464" i="6"/>
  <c r="AA2464" i="6"/>
  <c r="AF2464" i="6" s="1"/>
  <c r="Y2464" i="6"/>
  <c r="Y2463" i="6"/>
  <c r="AC2463" i="6" s="1"/>
  <c r="AC2462" i="6"/>
  <c r="AA2462" i="6"/>
  <c r="AF2462" i="6" s="1"/>
  <c r="Y2462" i="6"/>
  <c r="AC2461" i="6"/>
  <c r="AA2461" i="6"/>
  <c r="AF2461" i="6" s="1"/>
  <c r="Y2461" i="6"/>
  <c r="AC2460" i="6"/>
  <c r="AA2460" i="6"/>
  <c r="AF2460" i="6" s="1"/>
  <c r="Y2460" i="6"/>
  <c r="Y2459" i="6"/>
  <c r="AC2459" i="6" s="1"/>
  <c r="AC2458" i="6"/>
  <c r="AA2458" i="6"/>
  <c r="AF2458" i="6" s="1"/>
  <c r="Y2458" i="6"/>
  <c r="X2458" i="6"/>
  <c r="Y2457" i="6"/>
  <c r="AC2457" i="6" s="1"/>
  <c r="AC2456" i="6"/>
  <c r="AA2456" i="6"/>
  <c r="AF2456" i="6" s="1"/>
  <c r="Y2456" i="6"/>
  <c r="Y2455" i="6"/>
  <c r="X2455" i="6"/>
  <c r="AF2454" i="6"/>
  <c r="AC2454" i="6"/>
  <c r="AA2454" i="6"/>
  <c r="Y2454" i="6"/>
  <c r="AF2453" i="6"/>
  <c r="AA2453" i="6"/>
  <c r="Y2453" i="6"/>
  <c r="AC2453" i="6" s="1"/>
  <c r="AA2452" i="6"/>
  <c r="AF2452" i="6" s="1"/>
  <c r="Y2452" i="6"/>
  <c r="Y2451" i="6"/>
  <c r="AA2451" i="6" s="1"/>
  <c r="AF2451" i="6" s="1"/>
  <c r="AF2450" i="6"/>
  <c r="AA2450" i="6"/>
  <c r="Y2450" i="6"/>
  <c r="AF2449" i="6"/>
  <c r="AA2449" i="6"/>
  <c r="Y2449" i="6"/>
  <c r="AC2448" i="6"/>
  <c r="AA2448" i="6"/>
  <c r="AF2448" i="6" s="1"/>
  <c r="Y2448" i="6"/>
  <c r="AC2447" i="6"/>
  <c r="AA2447" i="6"/>
  <c r="AF2447" i="6" s="1"/>
  <c r="Y2447" i="6"/>
  <c r="AC2446" i="6"/>
  <c r="AA2446" i="6"/>
  <c r="AF2446" i="6" s="1"/>
  <c r="Y2446" i="6"/>
  <c r="AC2445" i="6"/>
  <c r="AA2445" i="6"/>
  <c r="AF2445" i="6" s="1"/>
  <c r="Y2445" i="6"/>
  <c r="AF2444" i="6"/>
  <c r="AC2444" i="6"/>
  <c r="AA2444" i="6"/>
  <c r="Y2444" i="6"/>
  <c r="AC2443" i="6"/>
  <c r="AA2443" i="6"/>
  <c r="AF2443" i="6" s="1"/>
  <c r="Y2443" i="6"/>
  <c r="AF2442" i="6"/>
  <c r="AC2442" i="6"/>
  <c r="AA2442" i="6"/>
  <c r="Y2442" i="6"/>
  <c r="AC2441" i="6"/>
  <c r="AA2441" i="6"/>
  <c r="AF2441" i="6" s="1"/>
  <c r="Y2441" i="6"/>
  <c r="AA2440" i="6"/>
  <c r="AF2440" i="6" s="1"/>
  <c r="Y2440" i="6"/>
  <c r="AC2439" i="6"/>
  <c r="AA2439" i="6"/>
  <c r="AE2439" i="6" s="1"/>
  <c r="AF2439" i="6" s="1"/>
  <c r="Y2439" i="6"/>
  <c r="Y2438" i="6"/>
  <c r="AA2438" i="6" s="1"/>
  <c r="AF2438" i="6" s="1"/>
  <c r="Y2437" i="6"/>
  <c r="AA2437" i="6" s="1"/>
  <c r="AF2437" i="6" s="1"/>
  <c r="Y2436" i="6"/>
  <c r="AA2436" i="6" s="1"/>
  <c r="AF2436" i="6" s="1"/>
  <c r="AF2435" i="6"/>
  <c r="AC2435" i="6"/>
  <c r="AA2435" i="6"/>
  <c r="Y2435" i="6"/>
  <c r="AF2434" i="6"/>
  <c r="AA2434" i="6"/>
  <c r="Y2434" i="6"/>
  <c r="AF2433" i="6"/>
  <c r="AA2433" i="6"/>
  <c r="Y2433" i="6"/>
  <c r="AA2432" i="6"/>
  <c r="AF2432" i="6" s="1"/>
  <c r="Y2432" i="6"/>
  <c r="AC2432" i="6" s="1"/>
  <c r="Y2431" i="6"/>
  <c r="AC2431" i="6" s="1"/>
  <c r="AA2430" i="6"/>
  <c r="AF2430" i="6" s="1"/>
  <c r="Y2430" i="6"/>
  <c r="AC2430" i="6" s="1"/>
  <c r="Y2429" i="6"/>
  <c r="AC2429" i="6" s="1"/>
  <c r="AA2428" i="6"/>
  <c r="AF2428" i="6" s="1"/>
  <c r="Y2428" i="6"/>
  <c r="AC2428" i="6" s="1"/>
  <c r="AC2427" i="6"/>
  <c r="AA2427" i="6"/>
  <c r="AF2427" i="6" s="1"/>
  <c r="Y2427" i="6"/>
  <c r="AA2426" i="6"/>
  <c r="AF2426" i="6" s="1"/>
  <c r="Y2426" i="6"/>
  <c r="AC2426" i="6" s="1"/>
  <c r="Y2425" i="6"/>
  <c r="AA2425" i="6" s="1"/>
  <c r="AF2425" i="6" s="1"/>
  <c r="AF2424" i="6"/>
  <c r="AA2424" i="6"/>
  <c r="Y2424" i="6"/>
  <c r="Y2423" i="6"/>
  <c r="AF2422" i="6"/>
  <c r="AC2422" i="6"/>
  <c r="AA2422" i="6"/>
  <c r="Y2422" i="6"/>
  <c r="Y2421" i="6"/>
  <c r="AF2420" i="6"/>
  <c r="AC2420" i="6"/>
  <c r="X2420" i="6"/>
  <c r="Y2420" i="6" s="1"/>
  <c r="AA2420" i="6" s="1"/>
  <c r="Y2419" i="6"/>
  <c r="AC2419" i="6" s="1"/>
  <c r="Y2418" i="6"/>
  <c r="AC2418" i="6" s="1"/>
  <c r="Y2417" i="6"/>
  <c r="AC2417" i="6" s="1"/>
  <c r="Y2416" i="6"/>
  <c r="AC2416" i="6" s="1"/>
  <c r="Y2415" i="6"/>
  <c r="AC2415" i="6" s="1"/>
  <c r="Y2414" i="6"/>
  <c r="AC2414" i="6" s="1"/>
  <c r="Y2413" i="6"/>
  <c r="AC2413" i="6" s="1"/>
  <c r="Y2412" i="6"/>
  <c r="AC2412" i="6" s="1"/>
  <c r="Y2411" i="6"/>
  <c r="AC2411" i="6" s="1"/>
  <c r="X2411" i="6"/>
  <c r="AA2410" i="6"/>
  <c r="AF2410" i="6" s="1"/>
  <c r="Y2410" i="6"/>
  <c r="AC2410" i="6" s="1"/>
  <c r="X2410" i="6"/>
  <c r="AF2409" i="6"/>
  <c r="AC2409" i="6"/>
  <c r="AA2409" i="6"/>
  <c r="Y2409" i="6"/>
  <c r="AC2408" i="6"/>
  <c r="AA2408" i="6"/>
  <c r="AF2408" i="6" s="1"/>
  <c r="Y2408" i="6"/>
  <c r="AF2407" i="6"/>
  <c r="AC2407" i="6"/>
  <c r="AA2407" i="6"/>
  <c r="Y2407" i="6"/>
  <c r="AA2406" i="6"/>
  <c r="AF2406" i="6" s="1"/>
  <c r="Y2406" i="6"/>
  <c r="Y2405" i="6"/>
  <c r="AA2405" i="6" s="1"/>
  <c r="AF2405" i="6" s="1"/>
  <c r="AA2404" i="6"/>
  <c r="AF2404" i="6" s="1"/>
  <c r="Y2404" i="6"/>
  <c r="AC2404" i="6" s="1"/>
  <c r="AA2403" i="6"/>
  <c r="AF2403" i="6" s="1"/>
  <c r="Y2403" i="6"/>
  <c r="AC2403" i="6" s="1"/>
  <c r="AA2402" i="6"/>
  <c r="AF2402" i="6" s="1"/>
  <c r="Y2402" i="6"/>
  <c r="AC2402" i="6" s="1"/>
  <c r="AC2401" i="6"/>
  <c r="AA2401" i="6"/>
  <c r="AF2401" i="6" s="1"/>
  <c r="Y2401" i="6"/>
  <c r="AA2400" i="6"/>
  <c r="AF2400" i="6" s="1"/>
  <c r="Y2400" i="6"/>
  <c r="AC2400" i="6" s="1"/>
  <c r="Y2399" i="6"/>
  <c r="AC2399" i="6" s="1"/>
  <c r="AA2398" i="6"/>
  <c r="AF2398" i="6" s="1"/>
  <c r="Y2398" i="6"/>
  <c r="AC2398" i="6" s="1"/>
  <c r="Y2397" i="6"/>
  <c r="AC2397" i="6" s="1"/>
  <c r="AA2396" i="6"/>
  <c r="AF2396" i="6" s="1"/>
  <c r="Y2396" i="6"/>
  <c r="AC2396" i="6" s="1"/>
  <c r="AC2395" i="6"/>
  <c r="AA2395" i="6"/>
  <c r="AF2395" i="6" s="1"/>
  <c r="Y2395" i="6"/>
  <c r="Y2394" i="6"/>
  <c r="AC2394" i="6" s="1"/>
  <c r="AA2393" i="6"/>
  <c r="AF2393" i="6" s="1"/>
  <c r="Y2393" i="6"/>
  <c r="AC2393" i="6" s="1"/>
  <c r="Y2392" i="6"/>
  <c r="AC2392" i="6" s="1"/>
  <c r="AC2391" i="6"/>
  <c r="AA2391" i="6"/>
  <c r="AF2391" i="6" s="1"/>
  <c r="Y2391" i="6"/>
  <c r="Y2390" i="6"/>
  <c r="AC2390" i="6" s="1"/>
  <c r="AA2389" i="6"/>
  <c r="AF2389" i="6" s="1"/>
  <c r="Y2389" i="6"/>
  <c r="AC2389" i="6" s="1"/>
  <c r="X2389" i="6"/>
  <c r="AC2388" i="6"/>
  <c r="AA2388" i="6"/>
  <c r="AF2388" i="6" s="1"/>
  <c r="Y2388" i="6"/>
  <c r="AC2387" i="6"/>
  <c r="AA2387" i="6"/>
  <c r="AF2387" i="6" s="1"/>
  <c r="Y2387" i="6"/>
  <c r="X2386" i="6"/>
  <c r="Y2386" i="6" s="1"/>
  <c r="AF2385" i="6"/>
  <c r="AC2385" i="6"/>
  <c r="X2385" i="6"/>
  <c r="Y2385" i="6" s="1"/>
  <c r="AA2385" i="6" s="1"/>
  <c r="AA2384" i="6"/>
  <c r="AF2384" i="6" s="1"/>
  <c r="Y2384" i="6"/>
  <c r="AC2384" i="6" s="1"/>
  <c r="Y2383" i="6"/>
  <c r="AC2383" i="6" s="1"/>
  <c r="Y2382" i="6"/>
  <c r="AC2382" i="6" s="1"/>
  <c r="Y2381" i="6"/>
  <c r="AC2381" i="6" s="1"/>
  <c r="AA2380" i="6"/>
  <c r="AF2380" i="6" s="1"/>
  <c r="Y2380" i="6"/>
  <c r="AC2380" i="6" s="1"/>
  <c r="Y2379" i="6"/>
  <c r="AC2379" i="6" s="1"/>
  <c r="Y2378" i="6"/>
  <c r="AC2378" i="6" s="1"/>
  <c r="AF2377" i="6"/>
  <c r="AA2377" i="6"/>
  <c r="Y2377" i="6"/>
  <c r="AA2376" i="6"/>
  <c r="AF2376" i="6" s="1"/>
  <c r="Y2376" i="6"/>
  <c r="Y2375" i="6"/>
  <c r="AA2375" i="6" s="1"/>
  <c r="AF2375" i="6" s="1"/>
  <c r="Y2374" i="6"/>
  <c r="AA2374" i="6" s="1"/>
  <c r="AF2374" i="6" s="1"/>
  <c r="Y2373" i="6"/>
  <c r="AA2373" i="6" s="1"/>
  <c r="AF2373" i="6" s="1"/>
  <c r="AF2372" i="6"/>
  <c r="AA2372" i="6"/>
  <c r="Y2372" i="6"/>
  <c r="Z2371" i="6"/>
  <c r="AA2371" i="6" s="1"/>
  <c r="AF2371" i="6" s="1"/>
  <c r="Y2371" i="6"/>
  <c r="AA2370" i="6"/>
  <c r="AF2370" i="6" s="1"/>
  <c r="Y2370" i="6"/>
  <c r="Y2369" i="6"/>
  <c r="AA2369" i="6" s="1"/>
  <c r="AF2369" i="6" s="1"/>
  <c r="Y2368" i="6"/>
  <c r="AC2368" i="6" s="1"/>
  <c r="Y2367" i="6"/>
  <c r="AC2367" i="6" s="1"/>
  <c r="X2367" i="6"/>
  <c r="AF2366" i="6"/>
  <c r="AC2366" i="6"/>
  <c r="AA2366" i="6"/>
  <c r="Y2366" i="6"/>
  <c r="X2366" i="6"/>
  <c r="X2365" i="6"/>
  <c r="Y2365" i="6" s="1"/>
  <c r="AA2365" i="6" s="1"/>
  <c r="AF2365" i="6" s="1"/>
  <c r="AA2364" i="6"/>
  <c r="AF2364" i="6" s="1"/>
  <c r="Z2364" i="6"/>
  <c r="Y2364" i="6"/>
  <c r="Z2363" i="6"/>
  <c r="Y2363" i="6"/>
  <c r="AA2363" i="6" s="1"/>
  <c r="AF2363" i="6" s="1"/>
  <c r="AA2362" i="6"/>
  <c r="AF2362" i="6" s="1"/>
  <c r="Z2362" i="6"/>
  <c r="Y2362" i="6"/>
  <c r="Z2361" i="6"/>
  <c r="Y2361" i="6"/>
  <c r="AA2361" i="6" s="1"/>
  <c r="AF2361" i="6" s="1"/>
  <c r="AF2360" i="6"/>
  <c r="AA2360" i="6"/>
  <c r="Z2360" i="6"/>
  <c r="Y2360" i="6"/>
  <c r="Z2359" i="6"/>
  <c r="Y2359" i="6"/>
  <c r="AA2359" i="6" s="1"/>
  <c r="AF2359" i="6" s="1"/>
  <c r="AF2358" i="6"/>
  <c r="AA2358" i="6"/>
  <c r="Z2358" i="6"/>
  <c r="Y2358" i="6"/>
  <c r="Z2357" i="6"/>
  <c r="Y2357" i="6"/>
  <c r="AA2357" i="6" s="1"/>
  <c r="AF2357" i="6" s="1"/>
  <c r="AA2356" i="6"/>
  <c r="AF2356" i="6" s="1"/>
  <c r="Z2356" i="6"/>
  <c r="Y2356" i="6"/>
  <c r="Z2355" i="6"/>
  <c r="Y2355" i="6"/>
  <c r="AA2355" i="6" s="1"/>
  <c r="AF2355" i="6" s="1"/>
  <c r="AA2354" i="6"/>
  <c r="AF2354" i="6" s="1"/>
  <c r="Y2354" i="6"/>
  <c r="Y2353" i="6"/>
  <c r="AF2352" i="6"/>
  <c r="AA2352" i="6"/>
  <c r="Z2352" i="6"/>
  <c r="Y2352" i="6"/>
  <c r="Z2351" i="6"/>
  <c r="Y2351" i="6"/>
  <c r="AA2351" i="6" s="1"/>
  <c r="AF2351" i="6" s="1"/>
  <c r="AA2350" i="6"/>
  <c r="AF2350" i="6" s="1"/>
  <c r="Z2350" i="6"/>
  <c r="Y2350" i="6"/>
  <c r="Y2349" i="6"/>
  <c r="X2349" i="6"/>
  <c r="X2348" i="6"/>
  <c r="Y2348" i="6" s="1"/>
  <c r="Y2347" i="6"/>
  <c r="AA2347" i="6" s="1"/>
  <c r="AF2347" i="6" s="1"/>
  <c r="X2347" i="6"/>
  <c r="X2346" i="6"/>
  <c r="Y2346" i="6" s="1"/>
  <c r="X2345" i="6"/>
  <c r="Y2345" i="6" s="1"/>
  <c r="AA2345" i="6" s="1"/>
  <c r="AF2345" i="6" s="1"/>
  <c r="X2344" i="6"/>
  <c r="Y2344" i="6" s="1"/>
  <c r="Y2343" i="6"/>
  <c r="AC2343" i="6" s="1"/>
  <c r="X2343" i="6"/>
  <c r="AC2342" i="6"/>
  <c r="AA2342" i="6"/>
  <c r="AF2342" i="6" s="1"/>
  <c r="Y2342" i="6"/>
  <c r="X2342" i="6"/>
  <c r="Y2341" i="6"/>
  <c r="X2341" i="6"/>
  <c r="X2340" i="6"/>
  <c r="Y2340" i="6" s="1"/>
  <c r="Y2339" i="6"/>
  <c r="AC2339" i="6" s="1"/>
  <c r="Y2338" i="6"/>
  <c r="AC2338" i="6" s="1"/>
  <c r="X2338" i="6"/>
  <c r="AF2337" i="6"/>
  <c r="AC2337" i="6"/>
  <c r="AA2337" i="6"/>
  <c r="Y2337" i="6"/>
  <c r="AC2336" i="6"/>
  <c r="AA2336" i="6"/>
  <c r="AF2336" i="6" s="1"/>
  <c r="Y2336" i="6"/>
  <c r="AF2335" i="6"/>
  <c r="AC2335" i="6"/>
  <c r="AA2335" i="6"/>
  <c r="Y2335" i="6"/>
  <c r="AC2334" i="6"/>
  <c r="AA2334" i="6"/>
  <c r="AF2334" i="6" s="1"/>
  <c r="Y2334" i="6"/>
  <c r="AF2333" i="6"/>
  <c r="AC2333" i="6"/>
  <c r="AA2333" i="6"/>
  <c r="Y2333" i="6"/>
  <c r="AC2332" i="6"/>
  <c r="AA2332" i="6"/>
  <c r="AF2332" i="6" s="1"/>
  <c r="Y2332" i="6"/>
  <c r="AC2331" i="6"/>
  <c r="AA2331" i="6"/>
  <c r="AF2331" i="6" s="1"/>
  <c r="Y2331" i="6"/>
  <c r="AC2330" i="6"/>
  <c r="AA2330" i="6"/>
  <c r="AF2330" i="6" s="1"/>
  <c r="Y2330" i="6"/>
  <c r="AC2329" i="6"/>
  <c r="AA2329" i="6"/>
  <c r="AF2329" i="6" s="1"/>
  <c r="Y2329" i="6"/>
  <c r="Y2328" i="6"/>
  <c r="Y2327" i="6"/>
  <c r="AC2327" i="6" s="1"/>
  <c r="Y2326" i="6"/>
  <c r="AC2326" i="6" s="1"/>
  <c r="Y2325" i="6"/>
  <c r="AC2325" i="6" s="1"/>
  <c r="Y2324" i="6"/>
  <c r="AA2324" i="6" s="1"/>
  <c r="AF2324" i="6" s="1"/>
  <c r="AF2323" i="6"/>
  <c r="AA2323" i="6"/>
  <c r="Y2323" i="6"/>
  <c r="Y2322" i="6"/>
  <c r="AA2322" i="6" s="1"/>
  <c r="AF2322" i="6" s="1"/>
  <c r="Y2321" i="6"/>
  <c r="AA2321" i="6" s="1"/>
  <c r="AF2321" i="6" s="1"/>
  <c r="Y2320" i="6"/>
  <c r="AC2320" i="6" s="1"/>
  <c r="X2319" i="6"/>
  <c r="Y2319" i="6" s="1"/>
  <c r="AC2318" i="6"/>
  <c r="AA2318" i="6"/>
  <c r="AE2318" i="6" s="1"/>
  <c r="AF2318" i="6" s="1"/>
  <c r="Y2318" i="6"/>
  <c r="AF2317" i="6"/>
  <c r="AE2317" i="6"/>
  <c r="AC2317" i="6"/>
  <c r="AA2317" i="6"/>
  <c r="Y2317" i="6"/>
  <c r="AA2316" i="6"/>
  <c r="AF2316" i="6" s="1"/>
  <c r="Y2316" i="6"/>
  <c r="AA2315" i="6"/>
  <c r="AF2315" i="6" s="1"/>
  <c r="Y2315" i="6"/>
  <c r="Y2314" i="6"/>
  <c r="AC2314" i="6" s="1"/>
  <c r="X2313" i="6"/>
  <c r="Y2313" i="6" s="1"/>
  <c r="AA2313" i="6" s="1"/>
  <c r="AF2313" i="6" s="1"/>
  <c r="Y2312" i="6"/>
  <c r="AA2312" i="6" s="1"/>
  <c r="AF2312" i="6" s="1"/>
  <c r="Y2311" i="6"/>
  <c r="AC2311" i="6" s="1"/>
  <c r="Y2310" i="6"/>
  <c r="AC2310" i="6" s="1"/>
  <c r="Y2309" i="6"/>
  <c r="AC2309" i="6" s="1"/>
  <c r="AF2308" i="6"/>
  <c r="AA2308" i="6"/>
  <c r="Y2308" i="6"/>
  <c r="AA2307" i="6"/>
  <c r="AF2307" i="6" s="1"/>
  <c r="Y2307" i="6"/>
  <c r="Y2306" i="6"/>
  <c r="AA2306" i="6" s="1"/>
  <c r="AF2306" i="6" s="1"/>
  <c r="Y2305" i="6"/>
  <c r="AA2305" i="6" s="1"/>
  <c r="AF2305" i="6" s="1"/>
  <c r="Y2304" i="6"/>
  <c r="AA2304" i="6" s="1"/>
  <c r="AF2304" i="6" s="1"/>
  <c r="AA2303" i="6"/>
  <c r="AF2303" i="6" s="1"/>
  <c r="Y2303" i="6"/>
  <c r="Y2302" i="6"/>
  <c r="AA2302" i="6" s="1"/>
  <c r="AF2302" i="6" s="1"/>
  <c r="Y2301" i="6"/>
  <c r="AA2301" i="6" s="1"/>
  <c r="AF2301" i="6" s="1"/>
  <c r="AF2300" i="6"/>
  <c r="AA2300" i="6"/>
  <c r="Y2300" i="6"/>
  <c r="Y2299" i="6"/>
  <c r="AF2298" i="6"/>
  <c r="AC2298" i="6"/>
  <c r="AA2298" i="6"/>
  <c r="Y2298" i="6"/>
  <c r="Y2297" i="6"/>
  <c r="AF2296" i="6"/>
  <c r="AC2296" i="6"/>
  <c r="AA2296" i="6"/>
  <c r="Y2296" i="6"/>
  <c r="Y2295" i="6"/>
  <c r="AF2294" i="6"/>
  <c r="AC2294" i="6"/>
  <c r="AA2294" i="6"/>
  <c r="Y2294" i="6"/>
  <c r="AA2293" i="6"/>
  <c r="AF2293" i="6" s="1"/>
  <c r="Y2293" i="6"/>
  <c r="AF2292" i="6"/>
  <c r="AE2292" i="6"/>
  <c r="AC2292" i="6"/>
  <c r="AA2292" i="6"/>
  <c r="Y2292" i="6"/>
  <c r="Y2291" i="6"/>
  <c r="AF2290" i="6"/>
  <c r="AC2290" i="6"/>
  <c r="AA2290" i="6"/>
  <c r="Y2290" i="6"/>
  <c r="X2289" i="6"/>
  <c r="Y2289" i="6" s="1"/>
  <c r="AA2289" i="6" s="1"/>
  <c r="AF2289" i="6" s="1"/>
  <c r="AF2288" i="6"/>
  <c r="AC2288" i="6"/>
  <c r="AA2288" i="6"/>
  <c r="Y2288" i="6"/>
  <c r="AF2287" i="6"/>
  <c r="AA2287" i="6"/>
  <c r="Y2287" i="6"/>
  <c r="Y2286" i="6"/>
  <c r="AA2286" i="6" s="1"/>
  <c r="AF2286" i="6" s="1"/>
  <c r="AA2285" i="6"/>
  <c r="AF2285" i="6" s="1"/>
  <c r="Y2285" i="6"/>
  <c r="AC2285" i="6" s="1"/>
  <c r="AC2284" i="6"/>
  <c r="AA2284" i="6"/>
  <c r="AF2284" i="6" s="1"/>
  <c r="Y2284" i="6"/>
  <c r="AA2283" i="6"/>
  <c r="AF2283" i="6" s="1"/>
  <c r="Y2283" i="6"/>
  <c r="AC2283" i="6" s="1"/>
  <c r="Y2282" i="6"/>
  <c r="AC2282" i="6" s="1"/>
  <c r="X2282" i="6"/>
  <c r="AC2281" i="6"/>
  <c r="AA2281" i="6"/>
  <c r="AF2281" i="6" s="1"/>
  <c r="Y2281" i="6"/>
  <c r="AC2280" i="6"/>
  <c r="AA2280" i="6"/>
  <c r="AF2280" i="6" s="1"/>
  <c r="Y2280" i="6"/>
  <c r="AC2279" i="6"/>
  <c r="AA2279" i="6"/>
  <c r="AF2279" i="6" s="1"/>
  <c r="Y2279" i="6"/>
  <c r="AC2278" i="6"/>
  <c r="AA2278" i="6"/>
  <c r="AF2278" i="6" s="1"/>
  <c r="Y2278" i="6"/>
  <c r="AC2277" i="6"/>
  <c r="AA2277" i="6"/>
  <c r="AF2277" i="6" s="1"/>
  <c r="Y2277" i="6"/>
  <c r="Y2276" i="6"/>
  <c r="AA2276" i="6" s="1"/>
  <c r="AF2276" i="6" s="1"/>
  <c r="AA2275" i="6"/>
  <c r="AF2275" i="6" s="1"/>
  <c r="Y2275" i="6"/>
  <c r="AC2275" i="6" s="1"/>
  <c r="AE2274" i="6"/>
  <c r="AF2274" i="6" s="1"/>
  <c r="AC2274" i="6"/>
  <c r="AA2274" i="6"/>
  <c r="Y2274" i="6"/>
  <c r="AA2273" i="6"/>
  <c r="AF2273" i="6" s="1"/>
  <c r="Y2273" i="6"/>
  <c r="Y2272" i="6"/>
  <c r="AC2272" i="6" s="1"/>
  <c r="Z2271" i="6"/>
  <c r="Y2271" i="6"/>
  <c r="AA2271" i="6" s="1"/>
  <c r="AF2271" i="6" s="1"/>
  <c r="Z2270" i="6"/>
  <c r="Y2270" i="6"/>
  <c r="AA2270" i="6" s="1"/>
  <c r="AF2270" i="6" s="1"/>
  <c r="AA2269" i="6"/>
  <c r="AF2269" i="6" s="1"/>
  <c r="Y2269" i="6"/>
  <c r="AC2269" i="6" s="1"/>
  <c r="Y2268" i="6"/>
  <c r="AA2268" i="6" s="1"/>
  <c r="AF2268" i="6" s="1"/>
  <c r="AF2267" i="6"/>
  <c r="AA2267" i="6"/>
  <c r="Y2267" i="6"/>
  <c r="AF2266" i="6"/>
  <c r="AA2266" i="6"/>
  <c r="Y2266" i="6"/>
  <c r="AF2265" i="6"/>
  <c r="AC2265" i="6"/>
  <c r="AA2265" i="6"/>
  <c r="Y2265" i="6"/>
  <c r="AC2264" i="6"/>
  <c r="AA2264" i="6"/>
  <c r="AF2264" i="6" s="1"/>
  <c r="Y2264" i="6"/>
  <c r="Y2263" i="6"/>
  <c r="AA2263" i="6" s="1"/>
  <c r="AF2263" i="6" s="1"/>
  <c r="AA2262" i="6"/>
  <c r="AF2262" i="6" s="1"/>
  <c r="Y2262" i="6"/>
  <c r="AC2262" i="6" s="1"/>
  <c r="Y2261" i="6"/>
  <c r="AC2261" i="6" s="1"/>
  <c r="X2261" i="6"/>
  <c r="AA2260" i="6"/>
  <c r="AF2260" i="6" s="1"/>
  <c r="Y2260" i="6"/>
  <c r="AC2259" i="6"/>
  <c r="AA2259" i="6"/>
  <c r="AF2259" i="6" s="1"/>
  <c r="Y2259" i="6"/>
  <c r="X2259" i="6"/>
  <c r="Y2258" i="6"/>
  <c r="AF2257" i="6"/>
  <c r="AC2257" i="6"/>
  <c r="X2257" i="6"/>
  <c r="Y2257" i="6" s="1"/>
  <c r="AA2257" i="6" s="1"/>
  <c r="AA2256" i="6"/>
  <c r="AF2256" i="6" s="1"/>
  <c r="Y2256" i="6"/>
  <c r="AC2256" i="6" s="1"/>
  <c r="Y2255" i="6"/>
  <c r="Y2254" i="6"/>
  <c r="AC2254" i="6" s="1"/>
  <c r="X2254" i="6"/>
  <c r="AA2253" i="6"/>
  <c r="AF2253" i="6" s="1"/>
  <c r="Y2253" i="6"/>
  <c r="AC2253" i="6" s="1"/>
  <c r="Y2252" i="6"/>
  <c r="AC2252" i="6" s="1"/>
  <c r="Y2251" i="6"/>
  <c r="AC2251" i="6" s="1"/>
  <c r="AC2250" i="6"/>
  <c r="AA2250" i="6"/>
  <c r="AF2250" i="6" s="1"/>
  <c r="Y2250" i="6"/>
  <c r="Y2249" i="6"/>
  <c r="AC2249" i="6" s="1"/>
  <c r="Y2248" i="6"/>
  <c r="AA2248" i="6" s="1"/>
  <c r="AF2248" i="6" s="1"/>
  <c r="AF2247" i="6"/>
  <c r="AA2247" i="6"/>
  <c r="Y2247" i="6"/>
  <c r="AC2247" i="6" s="1"/>
  <c r="Y2246" i="6"/>
  <c r="AC2246" i="6" s="1"/>
  <c r="AF2245" i="6"/>
  <c r="AE2245" i="6"/>
  <c r="AC2245" i="6"/>
  <c r="AA2245" i="6"/>
  <c r="Y2245" i="6"/>
  <c r="Y2244" i="6"/>
  <c r="AC2244" i="6" s="1"/>
  <c r="AC2243" i="6"/>
  <c r="AA2243" i="6"/>
  <c r="AF2243" i="6" s="1"/>
  <c r="Y2243" i="6"/>
  <c r="Y2242" i="6"/>
  <c r="AC2242" i="6" s="1"/>
  <c r="Y2241" i="6"/>
  <c r="AA2241" i="6" s="1"/>
  <c r="AF2241" i="6" s="1"/>
  <c r="AC2240" i="6"/>
  <c r="AA2240" i="6"/>
  <c r="AF2240" i="6" s="1"/>
  <c r="Y2240" i="6"/>
  <c r="Y2239" i="6"/>
  <c r="AA2239" i="6" s="1"/>
  <c r="AF2239" i="6" s="1"/>
  <c r="Y2238" i="6"/>
  <c r="AC2238" i="6" s="1"/>
  <c r="X2238" i="6"/>
  <c r="Z2237" i="6"/>
  <c r="Y2237" i="6"/>
  <c r="AA2237" i="6" s="1"/>
  <c r="AF2237" i="6" s="1"/>
  <c r="Z2236" i="6"/>
  <c r="Y2236" i="6"/>
  <c r="AA2236" i="6" s="1"/>
  <c r="AF2236" i="6" s="1"/>
  <c r="Z2235" i="6"/>
  <c r="Y2235" i="6"/>
  <c r="Y2234" i="6"/>
  <c r="AA2234" i="6" s="1"/>
  <c r="AF2234" i="6" s="1"/>
  <c r="Y2233" i="6"/>
  <c r="AA2233" i="6" s="1"/>
  <c r="AF2233" i="6" s="1"/>
  <c r="AF2232" i="6"/>
  <c r="Y2232" i="6"/>
  <c r="AA2232" i="6" s="1"/>
  <c r="X2232" i="6"/>
  <c r="AA2231" i="6"/>
  <c r="AF2231" i="6" s="1"/>
  <c r="Y2231" i="6"/>
  <c r="AA2230" i="6"/>
  <c r="AF2230" i="6" s="1"/>
  <c r="Y2230" i="6"/>
  <c r="AF2229" i="6"/>
  <c r="AA2229" i="6"/>
  <c r="Y2229" i="6"/>
  <c r="Y2228" i="6"/>
  <c r="AC2228" i="6" s="1"/>
  <c r="AC2227" i="6"/>
  <c r="AA2227" i="6"/>
  <c r="AF2227" i="6" s="1"/>
  <c r="Y2227" i="6"/>
  <c r="Y2226" i="6"/>
  <c r="AC2226" i="6" s="1"/>
  <c r="Y2225" i="6"/>
  <c r="AA2225" i="6" s="1"/>
  <c r="AF2225" i="6" s="1"/>
  <c r="AF2224" i="6"/>
  <c r="AA2224" i="6"/>
  <c r="Y2224" i="6"/>
  <c r="AC2224" i="6" s="1"/>
  <c r="Y2223" i="6"/>
  <c r="AC2223" i="6" s="1"/>
  <c r="AF2222" i="6"/>
  <c r="AC2222" i="6"/>
  <c r="AA2222" i="6"/>
  <c r="Y2222" i="6"/>
  <c r="Y2221" i="6"/>
  <c r="AC2221" i="6" s="1"/>
  <c r="AF2220" i="6"/>
  <c r="AC2220" i="6"/>
  <c r="AA2220" i="6"/>
  <c r="Y2220" i="6"/>
  <c r="Y2219" i="6"/>
  <c r="AC2219" i="6" s="1"/>
  <c r="AF2218" i="6"/>
  <c r="AC2218" i="6"/>
  <c r="AA2218" i="6"/>
  <c r="Y2218" i="6"/>
  <c r="Y2217" i="6"/>
  <c r="AA2217" i="6" s="1"/>
  <c r="AF2217" i="6" s="1"/>
  <c r="AF2216" i="6"/>
  <c r="AC2216" i="6"/>
  <c r="AA2216" i="6"/>
  <c r="Y2216" i="6"/>
  <c r="Y2215" i="6"/>
  <c r="AA2215" i="6" s="1"/>
  <c r="AF2215" i="6" s="1"/>
  <c r="AC2214" i="6"/>
  <c r="AA2214" i="6"/>
  <c r="AF2214" i="6" s="1"/>
  <c r="Y2214" i="6"/>
  <c r="Y2213" i="6"/>
  <c r="AA2213" i="6" s="1"/>
  <c r="AF2213" i="6" s="1"/>
  <c r="Y2212" i="6"/>
  <c r="AA2212" i="6" s="1"/>
  <c r="AF2212" i="6" s="1"/>
  <c r="AF2211" i="6"/>
  <c r="AA2211" i="6"/>
  <c r="Y2211" i="6"/>
  <c r="Y2210" i="6"/>
  <c r="AA2210" i="6" s="1"/>
  <c r="AF2210" i="6" s="1"/>
  <c r="AA2209" i="6"/>
  <c r="AF2209" i="6" s="1"/>
  <c r="Y2209" i="6"/>
  <c r="Y2208" i="6"/>
  <c r="AC2208" i="6" s="1"/>
  <c r="AC2207" i="6"/>
  <c r="AA2207" i="6"/>
  <c r="AF2207" i="6" s="1"/>
  <c r="Y2207" i="6"/>
  <c r="Y2206" i="6"/>
  <c r="AC2206" i="6" s="1"/>
  <c r="AC2205" i="6"/>
  <c r="AA2205" i="6"/>
  <c r="AF2205" i="6" s="1"/>
  <c r="Y2205" i="6"/>
  <c r="Y2204" i="6"/>
  <c r="AC2204" i="6" s="1"/>
  <c r="AC2203" i="6"/>
  <c r="AA2203" i="6"/>
  <c r="AF2203" i="6" s="1"/>
  <c r="Y2203" i="6"/>
  <c r="Y2202" i="6"/>
  <c r="AA2202" i="6" s="1"/>
  <c r="AF2202" i="6" s="1"/>
  <c r="Z2201" i="6"/>
  <c r="Y2201" i="6"/>
  <c r="AA2201" i="6" s="1"/>
  <c r="AF2201" i="6" s="1"/>
  <c r="Z2200" i="6"/>
  <c r="Y2200" i="6"/>
  <c r="AA2200" i="6" s="1"/>
  <c r="AF2200" i="6" s="1"/>
  <c r="Z2199" i="6"/>
  <c r="Y2199" i="6"/>
  <c r="AA2199" i="6" s="1"/>
  <c r="AF2199" i="6" s="1"/>
  <c r="X2199" i="6"/>
  <c r="Z2198" i="6"/>
  <c r="Y2198" i="6"/>
  <c r="AA2198" i="6" s="1"/>
  <c r="AF2198" i="6" s="1"/>
  <c r="Z2197" i="6"/>
  <c r="AA2197" i="6" s="1"/>
  <c r="AF2197" i="6" s="1"/>
  <c r="Y2197" i="6"/>
  <c r="Z2196" i="6"/>
  <c r="Y2196" i="6"/>
  <c r="AA2196" i="6" s="1"/>
  <c r="AF2196" i="6" s="1"/>
  <c r="Z2195" i="6"/>
  <c r="AA2195" i="6" s="1"/>
  <c r="AF2195" i="6" s="1"/>
  <c r="Y2195" i="6"/>
  <c r="X2195" i="6"/>
  <c r="Z2194" i="6"/>
  <c r="Y2194" i="6"/>
  <c r="AA2194" i="6" s="1"/>
  <c r="AF2194" i="6" s="1"/>
  <c r="AA2193" i="6"/>
  <c r="AF2193" i="6" s="1"/>
  <c r="Z2193" i="6"/>
  <c r="Y2193" i="6"/>
  <c r="Z2192" i="6"/>
  <c r="Y2192" i="6"/>
  <c r="AA2192" i="6" s="1"/>
  <c r="AF2192" i="6" s="1"/>
  <c r="AA2191" i="6"/>
  <c r="AF2191" i="6" s="1"/>
  <c r="Z2191" i="6"/>
  <c r="Y2191" i="6"/>
  <c r="Z2190" i="6"/>
  <c r="Y2190" i="6"/>
  <c r="AA2190" i="6" s="1"/>
  <c r="AF2190" i="6" s="1"/>
  <c r="AA2189" i="6"/>
  <c r="AF2189" i="6" s="1"/>
  <c r="Y2189" i="6"/>
  <c r="Y2188" i="6"/>
  <c r="AA2188" i="6" s="1"/>
  <c r="AF2188" i="6" s="1"/>
  <c r="Y2187" i="6"/>
  <c r="AA2187" i="6" s="1"/>
  <c r="AF2187" i="6" s="1"/>
  <c r="AF2186" i="6"/>
  <c r="AA2186" i="6"/>
  <c r="Y2186" i="6"/>
  <c r="Y2185" i="6"/>
  <c r="AA2185" i="6" s="1"/>
  <c r="AF2185" i="6" s="1"/>
  <c r="Y2184" i="6"/>
  <c r="AA2184" i="6" s="1"/>
  <c r="AF2184" i="6" s="1"/>
  <c r="X2184" i="6"/>
  <c r="Z2183" i="6"/>
  <c r="Y2183" i="6"/>
  <c r="AA2183" i="6" s="1"/>
  <c r="AF2183" i="6" s="1"/>
  <c r="Y2182" i="6"/>
  <c r="AA2182" i="6" s="1"/>
  <c r="AF2182" i="6" s="1"/>
  <c r="AF2181" i="6"/>
  <c r="AA2181" i="6"/>
  <c r="Y2181" i="6"/>
  <c r="Y2180" i="6"/>
  <c r="AC2180" i="6" s="1"/>
  <c r="AF2179" i="6"/>
  <c r="AC2179" i="6"/>
  <c r="AA2179" i="6"/>
  <c r="Y2179" i="6"/>
  <c r="Y2178" i="6"/>
  <c r="AC2178" i="6" s="1"/>
  <c r="AF2177" i="6"/>
  <c r="AC2177" i="6"/>
  <c r="AA2177" i="6"/>
  <c r="Y2177" i="6"/>
  <c r="X2176" i="6"/>
  <c r="Y2176" i="6" s="1"/>
  <c r="Y2175" i="6"/>
  <c r="AC2175" i="6" s="1"/>
  <c r="Y2174" i="6"/>
  <c r="AA2174" i="6" s="1"/>
  <c r="AF2174" i="6" s="1"/>
  <c r="X2174" i="6"/>
  <c r="X2173" i="6"/>
  <c r="Y2173" i="6" s="1"/>
  <c r="AA2172" i="6"/>
  <c r="AF2172" i="6" s="1"/>
  <c r="Y2172" i="6"/>
  <c r="Y2171" i="6"/>
  <c r="AC2171" i="6" s="1"/>
  <c r="AC2170" i="6"/>
  <c r="AA2170" i="6"/>
  <c r="AF2170" i="6" s="1"/>
  <c r="Y2170" i="6"/>
  <c r="Y2169" i="6"/>
  <c r="AA2169" i="6" s="1"/>
  <c r="AF2169" i="6" s="1"/>
  <c r="Y2168" i="6"/>
  <c r="AA2168" i="6" s="1"/>
  <c r="AF2168" i="6" s="1"/>
  <c r="AF2167" i="6"/>
  <c r="AA2167" i="6"/>
  <c r="Y2167" i="6"/>
  <c r="Y2166" i="6"/>
  <c r="AC2166" i="6" s="1"/>
  <c r="AF2165" i="6"/>
  <c r="AC2165" i="6"/>
  <c r="AA2165" i="6"/>
  <c r="Y2165" i="6"/>
  <c r="Y2164" i="6"/>
  <c r="AC2164" i="6" s="1"/>
  <c r="AF2163" i="6"/>
  <c r="AC2163" i="6"/>
  <c r="AA2163" i="6"/>
  <c r="Y2163" i="6"/>
  <c r="Y2162" i="6"/>
  <c r="AC2162" i="6" s="1"/>
  <c r="AF2161" i="6"/>
  <c r="AC2161" i="6"/>
  <c r="AA2161" i="6"/>
  <c r="Y2161" i="6"/>
  <c r="Y2160" i="6"/>
  <c r="AC2160" i="6" s="1"/>
  <c r="AF2159" i="6"/>
  <c r="AC2159" i="6"/>
  <c r="AA2159" i="6"/>
  <c r="Y2159" i="6"/>
  <c r="Y2158" i="6"/>
  <c r="AC2158" i="6" s="1"/>
  <c r="AF2157" i="6"/>
  <c r="AC2157" i="6"/>
  <c r="AA2157" i="6"/>
  <c r="Y2157" i="6"/>
  <c r="Y2156" i="6"/>
  <c r="AC2156" i="6" s="1"/>
  <c r="AF2155" i="6"/>
  <c r="AC2155" i="6"/>
  <c r="AA2155" i="6"/>
  <c r="Y2155" i="6"/>
  <c r="Y2154" i="6"/>
  <c r="AC2154" i="6" s="1"/>
  <c r="AF2153" i="6"/>
  <c r="AC2153" i="6"/>
  <c r="AA2153" i="6"/>
  <c r="Y2153" i="6"/>
  <c r="Y2152" i="6"/>
  <c r="AC2152" i="6" s="1"/>
  <c r="AF2151" i="6"/>
  <c r="AC2151" i="6"/>
  <c r="AA2151" i="6"/>
  <c r="Y2151" i="6"/>
  <c r="Y2150" i="6"/>
  <c r="AC2150" i="6" s="1"/>
  <c r="AE2149" i="6"/>
  <c r="AF2149" i="6" s="1"/>
  <c r="AC2149" i="6"/>
  <c r="AA2149" i="6"/>
  <c r="Y2149" i="6"/>
  <c r="Y2148" i="6"/>
  <c r="AC2148" i="6" s="1"/>
  <c r="AF2147" i="6"/>
  <c r="AC2147" i="6"/>
  <c r="AA2147" i="6"/>
  <c r="Y2147" i="6"/>
  <c r="Y2146" i="6"/>
  <c r="AC2146" i="6" s="1"/>
  <c r="AF2145" i="6"/>
  <c r="AC2145" i="6"/>
  <c r="AA2145" i="6"/>
  <c r="Y2145" i="6"/>
  <c r="Y2144" i="6"/>
  <c r="AC2144" i="6" s="1"/>
  <c r="AF2143" i="6"/>
  <c r="AC2143" i="6"/>
  <c r="AA2143" i="6"/>
  <c r="Y2143" i="6"/>
  <c r="Y2142" i="6"/>
  <c r="AC2142" i="6" s="1"/>
  <c r="AF2141" i="6"/>
  <c r="AC2141" i="6"/>
  <c r="AA2141" i="6"/>
  <c r="Y2141" i="6"/>
  <c r="Y2140" i="6"/>
  <c r="AA2140" i="6" s="1"/>
  <c r="AF2140" i="6" s="1"/>
  <c r="AA2139" i="6"/>
  <c r="AF2139" i="6" s="1"/>
  <c r="Y2139" i="6"/>
  <c r="X2139" i="6"/>
  <c r="Y2138" i="6"/>
  <c r="AA2138" i="6" s="1"/>
  <c r="AF2138" i="6" s="1"/>
  <c r="Y2137" i="6"/>
  <c r="AA2137" i="6" s="1"/>
  <c r="AF2137" i="6" s="1"/>
  <c r="AF2136" i="6"/>
  <c r="AA2136" i="6"/>
  <c r="Y2136" i="6"/>
  <c r="Y2135" i="6"/>
  <c r="AC2135" i="6" s="1"/>
  <c r="AF2134" i="6"/>
  <c r="AC2134" i="6"/>
  <c r="AA2134" i="6"/>
  <c r="Y2134" i="6"/>
  <c r="Y2133" i="6"/>
  <c r="AA2133" i="6" s="1"/>
  <c r="AF2133" i="6" s="1"/>
  <c r="AA2132" i="6"/>
  <c r="AF2132" i="6" s="1"/>
  <c r="Y2132" i="6"/>
  <c r="Y2131" i="6"/>
  <c r="AA2131" i="6" s="1"/>
  <c r="AF2131" i="6" s="1"/>
  <c r="Y2130" i="6"/>
  <c r="AA2130" i="6" s="1"/>
  <c r="AF2130" i="6" s="1"/>
  <c r="AF2129" i="6"/>
  <c r="AA2129" i="6"/>
  <c r="Y2129" i="6"/>
  <c r="Y2128" i="6"/>
  <c r="AA2128" i="6" s="1"/>
  <c r="AF2128" i="6" s="1"/>
  <c r="AC2127" i="6"/>
  <c r="AA2127" i="6"/>
  <c r="AF2127" i="6" s="1"/>
  <c r="Y2127" i="6"/>
  <c r="X2126" i="6"/>
  <c r="Y2126" i="6" s="1"/>
  <c r="AA2125" i="6"/>
  <c r="AF2125" i="6" s="1"/>
  <c r="Y2125" i="6"/>
  <c r="AC1292" i="7"/>
  <c r="Y1292" i="7"/>
  <c r="AA1292" i="7" s="1"/>
  <c r="AF1292" i="7" s="1"/>
  <c r="Y1291" i="7"/>
  <c r="AC1290" i="7"/>
  <c r="Y1290" i="7"/>
  <c r="AA1290" i="7" s="1"/>
  <c r="AF1290" i="7" s="1"/>
  <c r="Y1289" i="7"/>
  <c r="X1289" i="7"/>
  <c r="AF1288" i="7"/>
  <c r="AA1288" i="7"/>
  <c r="Y1288" i="7"/>
  <c r="AC1288" i="7" s="1"/>
  <c r="AC1287" i="7"/>
  <c r="AA1287" i="7"/>
  <c r="AF1287" i="7" s="1"/>
  <c r="Y1287" i="7"/>
  <c r="AF1286" i="7"/>
  <c r="AA1286" i="7"/>
  <c r="Y1286" i="7"/>
  <c r="AC1286" i="7" s="1"/>
  <c r="AC1285" i="7"/>
  <c r="AA1285" i="7"/>
  <c r="AF1285" i="7" s="1"/>
  <c r="Y1285" i="7"/>
  <c r="AF1284" i="7"/>
  <c r="AA1284" i="7"/>
  <c r="Y1284" i="7"/>
  <c r="AC1284" i="7" s="1"/>
  <c r="AC1283" i="7"/>
  <c r="AA1283" i="7"/>
  <c r="AF1283" i="7" s="1"/>
  <c r="Y1283" i="7"/>
  <c r="AF1282" i="7"/>
  <c r="AA1282" i="7"/>
  <c r="Y1282" i="7"/>
  <c r="AC1282" i="7" s="1"/>
  <c r="Y1281" i="7"/>
  <c r="AA1281" i="7" s="1"/>
  <c r="AF1281" i="7" s="1"/>
  <c r="AF1280" i="7"/>
  <c r="AA1280" i="7"/>
  <c r="Y1280" i="7"/>
  <c r="Y1279" i="7"/>
  <c r="AA1279" i="7" s="1"/>
  <c r="AF1279" i="7" s="1"/>
  <c r="AA1278" i="7"/>
  <c r="AF1278" i="7" s="1"/>
  <c r="Y1278" i="7"/>
  <c r="Y1277" i="7"/>
  <c r="AA1277" i="7" s="1"/>
  <c r="AF1277" i="7" s="1"/>
  <c r="Y1276" i="7"/>
  <c r="AA1276" i="7" s="1"/>
  <c r="AF1276" i="7" s="1"/>
  <c r="AF1275" i="7"/>
  <c r="AA1275" i="7"/>
  <c r="Y1275" i="7"/>
  <c r="AA1274" i="7"/>
  <c r="AF1274" i="7" s="1"/>
  <c r="Y1274" i="7"/>
  <c r="Y1273" i="7"/>
  <c r="AA1273" i="7" s="1"/>
  <c r="AF1273" i="7" s="1"/>
  <c r="AF1272" i="7"/>
  <c r="AA1272" i="7"/>
  <c r="Y1272" i="7"/>
  <c r="Y1271" i="7"/>
  <c r="AA1271" i="7" s="1"/>
  <c r="AF1271" i="7" s="1"/>
  <c r="AA1270" i="7"/>
  <c r="AF1270" i="7" s="1"/>
  <c r="Y1270" i="7"/>
  <c r="Y1269" i="7"/>
  <c r="AA1269" i="7" s="1"/>
  <c r="AF1269" i="7" s="1"/>
  <c r="Y1268" i="7"/>
  <c r="AA1268" i="7" s="1"/>
  <c r="AF1268" i="7" s="1"/>
  <c r="AF1267" i="7"/>
  <c r="AA1267" i="7"/>
  <c r="Y1267" i="7"/>
  <c r="AA1266" i="7"/>
  <c r="AF1266" i="7" s="1"/>
  <c r="Y1266" i="7"/>
  <c r="Y1265" i="7"/>
  <c r="AA1265" i="7" s="1"/>
  <c r="AF1265" i="7" s="1"/>
  <c r="AF1264" i="7"/>
  <c r="AA1264" i="7"/>
  <c r="Y1264" i="7"/>
  <c r="Y1263" i="7"/>
  <c r="AA1263" i="7" s="1"/>
  <c r="AF1263" i="7" s="1"/>
  <c r="AA1262" i="7"/>
  <c r="AF1262" i="7" s="1"/>
  <c r="Y1262" i="7"/>
  <c r="Y1261" i="7"/>
  <c r="AA1261" i="7" s="1"/>
  <c r="AF1261" i="7" s="1"/>
  <c r="Y1260" i="7"/>
  <c r="AA1260" i="7" s="1"/>
  <c r="AF1260" i="7" s="1"/>
  <c r="AF1259" i="7"/>
  <c r="AA1259" i="7"/>
  <c r="Y1259" i="7"/>
  <c r="Y1258" i="7"/>
  <c r="AA1258" i="7" s="1"/>
  <c r="AF1258" i="7" s="1"/>
  <c r="Y1257" i="7"/>
  <c r="AA1257" i="7" s="1"/>
  <c r="AF1257" i="7" s="1"/>
  <c r="AF1256" i="7"/>
  <c r="AA1256" i="7"/>
  <c r="Y1256" i="7"/>
  <c r="AA1255" i="7"/>
  <c r="AF1255" i="7" s="1"/>
  <c r="Y1255" i="7"/>
  <c r="AA1254" i="7"/>
  <c r="AF1254" i="7" s="1"/>
  <c r="Y1254" i="7"/>
  <c r="Y1253" i="7"/>
  <c r="AA1253" i="7" s="1"/>
  <c r="AF1253" i="7" s="1"/>
  <c r="Y1252" i="7"/>
  <c r="AA1252" i="7" s="1"/>
  <c r="AF1252" i="7" s="1"/>
  <c r="AF1251" i="7"/>
  <c r="AA1251" i="7"/>
  <c r="Y1251" i="7"/>
  <c r="Y1250" i="7"/>
  <c r="AA1250" i="7" s="1"/>
  <c r="AF1250" i="7" s="1"/>
  <c r="Y1249" i="7"/>
  <c r="AA1249" i="7" s="1"/>
  <c r="AF1249" i="7" s="1"/>
  <c r="AF1248" i="7"/>
  <c r="AA1248" i="7"/>
  <c r="Y1248" i="7"/>
  <c r="AA1247" i="7"/>
  <c r="AF1247" i="7" s="1"/>
  <c r="Y1247" i="7"/>
  <c r="AA1246" i="7"/>
  <c r="AF1246" i="7" s="1"/>
  <c r="Y1246" i="7"/>
  <c r="Y1245" i="7"/>
  <c r="AA1245" i="7" s="1"/>
  <c r="AF1245" i="7" s="1"/>
  <c r="Y1244" i="7"/>
  <c r="AA1244" i="7" s="1"/>
  <c r="AF1244" i="7" s="1"/>
  <c r="AF1243" i="7"/>
  <c r="AA1243" i="7"/>
  <c r="Y1243" i="7"/>
  <c r="Y1242" i="7"/>
  <c r="AA1242" i="7" s="1"/>
  <c r="AF1242" i="7" s="1"/>
  <c r="Y1241" i="7"/>
  <c r="AA1241" i="7" s="1"/>
  <c r="AF1241" i="7" s="1"/>
  <c r="AF1240" i="7"/>
  <c r="AA1240" i="7"/>
  <c r="Y1240" i="7"/>
  <c r="AF1239" i="7"/>
  <c r="AA1239" i="7"/>
  <c r="Y1239" i="7"/>
  <c r="AA1238" i="7"/>
  <c r="AF1238" i="7" s="1"/>
  <c r="Y1238" i="7"/>
  <c r="Y1237" i="7"/>
  <c r="AA1237" i="7" s="1"/>
  <c r="AF1237" i="7" s="1"/>
  <c r="Y1236" i="7"/>
  <c r="AA1236" i="7" s="1"/>
  <c r="AF1236" i="7" s="1"/>
  <c r="AF1235" i="7"/>
  <c r="AC1235" i="7"/>
  <c r="AA1235" i="7"/>
  <c r="Y1235" i="7"/>
  <c r="Y1234" i="7"/>
  <c r="AC1234" i="7" s="1"/>
  <c r="AF1233" i="7"/>
  <c r="AC1233" i="7"/>
  <c r="AA1233" i="7"/>
  <c r="Y1233" i="7"/>
  <c r="Y1232" i="7"/>
  <c r="AC1232" i="7" s="1"/>
  <c r="AF1231" i="7"/>
  <c r="AC1231" i="7"/>
  <c r="AA1231" i="7"/>
  <c r="Y1231" i="7"/>
  <c r="Y1230" i="7"/>
  <c r="AC1230" i="7" s="1"/>
  <c r="AF1229" i="7"/>
  <c r="AC1229" i="7"/>
  <c r="AA1229" i="7"/>
  <c r="Y1229" i="7"/>
  <c r="Y1228" i="7"/>
  <c r="AC1228" i="7" s="1"/>
  <c r="AF1227" i="7"/>
  <c r="AC1227" i="7"/>
  <c r="AA1227" i="7"/>
  <c r="Y1227" i="7"/>
  <c r="Y1226" i="7"/>
  <c r="AA1226" i="7" s="1"/>
  <c r="AF1226" i="7" s="1"/>
  <c r="AF1225" i="7"/>
  <c r="AC1225" i="7"/>
  <c r="AA1225" i="7"/>
  <c r="Y1225" i="7"/>
  <c r="AC1224" i="7"/>
  <c r="Y1224" i="7"/>
  <c r="AA1224" i="7" s="1"/>
  <c r="AF1224" i="7" s="1"/>
  <c r="AF1223" i="7"/>
  <c r="AC1223" i="7"/>
  <c r="AA1223" i="7"/>
  <c r="Y1223" i="7"/>
  <c r="AA1222" i="7"/>
  <c r="AF1222" i="7" s="1"/>
  <c r="Y1222" i="7"/>
  <c r="Y1221" i="7"/>
  <c r="AA1221" i="7" s="1"/>
  <c r="AF1221" i="7" s="1"/>
  <c r="AF1220" i="7"/>
  <c r="AA1220" i="7"/>
  <c r="Y1220" i="7"/>
  <c r="AF1219" i="7"/>
  <c r="AA1219" i="7"/>
  <c r="Y1219" i="7"/>
  <c r="AA1218" i="7"/>
  <c r="AF1218" i="7" s="1"/>
  <c r="Y1218" i="7"/>
  <c r="Y1217" i="7"/>
  <c r="AA1217" i="7" s="1"/>
  <c r="AF1217" i="7" s="1"/>
  <c r="Y1216" i="7"/>
  <c r="AA1216" i="7" s="1"/>
  <c r="AF1216" i="7" s="1"/>
  <c r="AF1215" i="7"/>
  <c r="AA1215" i="7"/>
  <c r="Y1215" i="7"/>
  <c r="AA1214" i="7"/>
  <c r="AF1214" i="7" s="1"/>
  <c r="Y1214" i="7"/>
  <c r="AC1213" i="7"/>
  <c r="AA1213" i="7"/>
  <c r="AF1213" i="7" s="1"/>
  <c r="Y1213" i="7"/>
  <c r="AF1212" i="7"/>
  <c r="AA1212" i="7"/>
  <c r="Y1212" i="7"/>
  <c r="AC1212" i="7" s="1"/>
  <c r="AC1211" i="7"/>
  <c r="AA1211" i="7"/>
  <c r="AF1211" i="7" s="1"/>
  <c r="Y1211" i="7"/>
  <c r="AF1210" i="7"/>
  <c r="AA1210" i="7"/>
  <c r="Y1210" i="7"/>
  <c r="AC1210" i="7" s="1"/>
  <c r="AC1209" i="7"/>
  <c r="AA1209" i="7"/>
  <c r="AF1209" i="7" s="1"/>
  <c r="Y1209" i="7"/>
  <c r="AF1208" i="7"/>
  <c r="AA1208" i="7"/>
  <c r="Y1208" i="7"/>
  <c r="AC1208" i="7" s="1"/>
  <c r="AC1207" i="7"/>
  <c r="AA1207" i="7"/>
  <c r="AF1207" i="7" s="1"/>
  <c r="Y1207" i="7"/>
  <c r="AF1206" i="7"/>
  <c r="AA1206" i="7"/>
  <c r="Y1206" i="7"/>
  <c r="AC1206" i="7" s="1"/>
  <c r="AC1205" i="7"/>
  <c r="AA1205" i="7"/>
  <c r="AF1205" i="7" s="1"/>
  <c r="Y1205" i="7"/>
  <c r="AF1204" i="7"/>
  <c r="AA1204" i="7"/>
  <c r="Y1204" i="7"/>
  <c r="AC1204" i="7" s="1"/>
  <c r="AC1203" i="7"/>
  <c r="AA1203" i="7"/>
  <c r="AF1203" i="7" s="1"/>
  <c r="Y1203" i="7"/>
  <c r="Y1202" i="7"/>
  <c r="AA1202" i="7" s="1"/>
  <c r="AF1202" i="7" s="1"/>
  <c r="Y1201" i="7"/>
  <c r="AA1201" i="7" s="1"/>
  <c r="AF1201" i="7" s="1"/>
  <c r="AF1200" i="7"/>
  <c r="AA1200" i="7"/>
  <c r="Y1200" i="7"/>
  <c r="AA1199" i="7"/>
  <c r="AF1199" i="7" s="1"/>
  <c r="Y1199" i="7"/>
  <c r="Y1198" i="7"/>
  <c r="AA1198" i="7" s="1"/>
  <c r="AF1198" i="7" s="1"/>
  <c r="AF1197" i="7"/>
  <c r="AA1197" i="7"/>
  <c r="Y1197" i="7"/>
  <c r="Y1196" i="7"/>
  <c r="AA1196" i="7" s="1"/>
  <c r="AF1196" i="7" s="1"/>
  <c r="AA1195" i="7"/>
  <c r="AF1195" i="7" s="1"/>
  <c r="Y1195" i="7"/>
  <c r="Y1194" i="7"/>
  <c r="AA1194" i="7" s="1"/>
  <c r="AF1194" i="7" s="1"/>
  <c r="Y1193" i="7"/>
  <c r="AA1193" i="7" s="1"/>
  <c r="AF1193" i="7" s="1"/>
  <c r="AF1192" i="7"/>
  <c r="AA1192" i="7"/>
  <c r="Y1192" i="7"/>
  <c r="Y1191" i="7"/>
  <c r="AA1191" i="7" s="1"/>
  <c r="AF1191" i="7" s="1"/>
  <c r="Y1190" i="7"/>
  <c r="AA1190" i="7" s="1"/>
  <c r="AF1190" i="7" s="1"/>
  <c r="AF1189" i="7"/>
  <c r="AA1189" i="7"/>
  <c r="Y1189" i="7"/>
  <c r="Y1188" i="7"/>
  <c r="AA1188" i="7" s="1"/>
  <c r="AF1188" i="7" s="1"/>
  <c r="AF1187" i="7"/>
  <c r="AC1187" i="7"/>
  <c r="AA1187" i="7"/>
  <c r="Y1187" i="7"/>
  <c r="Y1186" i="7"/>
  <c r="AA1186" i="7" s="1"/>
  <c r="AF1186" i="7" s="1"/>
  <c r="Y1185" i="7"/>
  <c r="AA1185" i="7" s="1"/>
  <c r="AF1185" i="7" s="1"/>
  <c r="AF1184" i="7"/>
  <c r="AA1184" i="7"/>
  <c r="Y1184" i="7"/>
  <c r="Y1183" i="7"/>
  <c r="AA1183" i="7" s="1"/>
  <c r="AF1183" i="7" s="1"/>
  <c r="AA1182" i="7"/>
  <c r="AF1182" i="7" s="1"/>
  <c r="Y1182" i="7"/>
  <c r="Y1181" i="7"/>
  <c r="AA1181" i="7" s="1"/>
  <c r="AF1181" i="7" s="1"/>
  <c r="Y1180" i="7"/>
  <c r="AA1180" i="7" s="1"/>
  <c r="AF1180" i="7" s="1"/>
  <c r="AF1179" i="7"/>
  <c r="AA1179" i="7"/>
  <c r="Y1179" i="7"/>
  <c r="Y1178" i="7"/>
  <c r="AA1178" i="7" s="1"/>
  <c r="AF1178" i="7" s="1"/>
  <c r="Y1177" i="7"/>
  <c r="AA1177" i="7" s="1"/>
  <c r="AF1177" i="7" s="1"/>
  <c r="AF1176" i="7"/>
  <c r="AA1176" i="7"/>
  <c r="Y1176" i="7"/>
  <c r="Y1175" i="7"/>
  <c r="AA1175" i="7" s="1"/>
  <c r="AF1175" i="7" s="1"/>
  <c r="AF1174" i="7"/>
  <c r="AC1174" i="7"/>
  <c r="AA1174" i="7"/>
  <c r="Y1174" i="7"/>
  <c r="AC1173" i="7"/>
  <c r="Y1173" i="7"/>
  <c r="AA1173" i="7" s="1"/>
  <c r="AF1173" i="7" s="1"/>
  <c r="AF1172" i="7"/>
  <c r="AC1172" i="7"/>
  <c r="AA1172" i="7"/>
  <c r="Y1172" i="7"/>
  <c r="AC1171" i="7"/>
  <c r="AA1171" i="7"/>
  <c r="AF1171" i="7" s="1"/>
  <c r="Y1171" i="7"/>
  <c r="AF1170" i="7"/>
  <c r="AC1170" i="7"/>
  <c r="AA1170" i="7"/>
  <c r="Y1170" i="7"/>
  <c r="AA1169" i="7"/>
  <c r="AF1169" i="7" s="1"/>
  <c r="Y1169" i="7"/>
  <c r="Y1168" i="7"/>
  <c r="AA1168" i="7" s="1"/>
  <c r="AF1168" i="7" s="1"/>
  <c r="AF1167" i="7"/>
  <c r="AA1167" i="7"/>
  <c r="Y1167" i="7"/>
  <c r="Y1166" i="7"/>
  <c r="AA1166" i="7" s="1"/>
  <c r="AF1166" i="7" s="1"/>
  <c r="AA1165" i="7"/>
  <c r="AF1165" i="7" s="1"/>
  <c r="Y1165" i="7"/>
  <c r="Y1164" i="7"/>
  <c r="AA1164" i="7" s="1"/>
  <c r="AF1164" i="7" s="1"/>
  <c r="Y1163" i="7"/>
  <c r="AA1163" i="7" s="1"/>
  <c r="AF1163" i="7" s="1"/>
  <c r="AF1162" i="7"/>
  <c r="AA1162" i="7"/>
  <c r="Y1162" i="7"/>
  <c r="Y1161" i="7"/>
  <c r="AA1161" i="7" s="1"/>
  <c r="AF1161" i="7" s="1"/>
  <c r="Y1160" i="7"/>
  <c r="AA1160" i="7" s="1"/>
  <c r="AF1160" i="7" s="1"/>
  <c r="AF1159" i="7"/>
  <c r="AA1159" i="7"/>
  <c r="Y1159" i="7"/>
  <c r="Y1158" i="7"/>
  <c r="AA1158" i="7" s="1"/>
  <c r="AF1158" i="7" s="1"/>
  <c r="AA1157" i="7"/>
  <c r="AF1157" i="7" s="1"/>
  <c r="Y1157" i="7"/>
  <c r="Y1156" i="7"/>
  <c r="AA1156" i="7" s="1"/>
  <c r="AF1156" i="7" s="1"/>
  <c r="Y1155" i="7"/>
  <c r="AA1155" i="7" s="1"/>
  <c r="AF1155" i="7" s="1"/>
  <c r="AF1154" i="7"/>
  <c r="AA1154" i="7"/>
  <c r="Y1154" i="7"/>
  <c r="Y1153" i="7"/>
  <c r="AA1153" i="7" s="1"/>
  <c r="AF1153" i="7" s="1"/>
  <c r="Y1152" i="7"/>
  <c r="AA1152" i="7" s="1"/>
  <c r="AF1152" i="7" s="1"/>
  <c r="AF1151" i="7"/>
  <c r="AA1151" i="7"/>
  <c r="Y1151" i="7"/>
  <c r="Y1150" i="7"/>
  <c r="AA1150" i="7" s="1"/>
  <c r="AF1150" i="7" s="1"/>
  <c r="AA1149" i="7"/>
  <c r="AF1149" i="7" s="1"/>
  <c r="Y1149" i="7"/>
  <c r="Y1148" i="7"/>
  <c r="AA1148" i="7" s="1"/>
  <c r="AF1148" i="7" s="1"/>
  <c r="Y1147" i="7"/>
  <c r="AA1147" i="7" s="1"/>
  <c r="AF1147" i="7" s="1"/>
  <c r="AF1146" i="7"/>
  <c r="AA1146" i="7"/>
  <c r="Y1146" i="7"/>
  <c r="Y1145" i="7"/>
  <c r="AA1145" i="7" s="1"/>
  <c r="AF1145" i="7" s="1"/>
  <c r="Y1144" i="7"/>
  <c r="AA1144" i="7" s="1"/>
  <c r="AF1144" i="7" s="1"/>
  <c r="Y1143" i="7"/>
  <c r="AA1143" i="7" s="1"/>
  <c r="AF1143" i="7" s="1"/>
  <c r="Y1142" i="7"/>
  <c r="AA1142" i="7" s="1"/>
  <c r="AF1142" i="7" s="1"/>
  <c r="AA1141" i="7"/>
  <c r="AF1141" i="7" s="1"/>
  <c r="Y1141" i="7"/>
  <c r="Y1140" i="7"/>
  <c r="AA1140" i="7" s="1"/>
  <c r="AF1140" i="7" s="1"/>
  <c r="Y1139" i="7"/>
  <c r="AA1139" i="7" s="1"/>
  <c r="AF1139" i="7" s="1"/>
  <c r="AF1138" i="7"/>
  <c r="AA1138" i="7"/>
  <c r="Y1138" i="7"/>
  <c r="Y1137" i="7"/>
  <c r="AA1137" i="7" s="1"/>
  <c r="AF1137" i="7" s="1"/>
  <c r="Y1136" i="7"/>
  <c r="AA1136" i="7" s="1"/>
  <c r="AF1136" i="7" s="1"/>
  <c r="AF1135" i="7"/>
  <c r="AA1135" i="7"/>
  <c r="Y1135" i="7"/>
  <c r="Y1134" i="7"/>
  <c r="AA1134" i="7" s="1"/>
  <c r="AF1134" i="7" s="1"/>
  <c r="AA1133" i="7"/>
  <c r="AF1133" i="7" s="1"/>
  <c r="Y1133" i="7"/>
  <c r="Y1132" i="7"/>
  <c r="AA1132" i="7" s="1"/>
  <c r="AF1132" i="7" s="1"/>
  <c r="Y1131" i="7"/>
  <c r="AA1131" i="7" s="1"/>
  <c r="AF1131" i="7" s="1"/>
  <c r="AF1130" i="7"/>
  <c r="AA1130" i="7"/>
  <c r="Y1130" i="7"/>
  <c r="Y1129" i="7"/>
  <c r="AA1129" i="7" s="1"/>
  <c r="AF1129" i="7" s="1"/>
  <c r="Y1128" i="7"/>
  <c r="AA1128" i="7" s="1"/>
  <c r="AF1128" i="7" s="1"/>
  <c r="Y1127" i="7"/>
  <c r="AA1127" i="7" s="1"/>
  <c r="AF1127" i="7" s="1"/>
  <c r="Y1126" i="7"/>
  <c r="AA1126" i="7" s="1"/>
  <c r="AF1126" i="7" s="1"/>
  <c r="AA1125" i="7"/>
  <c r="AF1125" i="7" s="1"/>
  <c r="Y1125" i="7"/>
  <c r="Y1124" i="7"/>
  <c r="AA1124" i="7" s="1"/>
  <c r="AF1124" i="7" s="1"/>
  <c r="Y1123" i="7"/>
  <c r="AA1123" i="7" s="1"/>
  <c r="AF1123" i="7" s="1"/>
  <c r="AF1122" i="7"/>
  <c r="AA1122" i="7"/>
  <c r="Y1122" i="7"/>
  <c r="Y1121" i="7"/>
  <c r="AA1121" i="7" s="1"/>
  <c r="AF1121" i="7" s="1"/>
  <c r="Y1120" i="7"/>
  <c r="AA1120" i="7" s="1"/>
  <c r="AF1120" i="7" s="1"/>
  <c r="AF1119" i="7"/>
  <c r="AA1119" i="7"/>
  <c r="Y1119" i="7"/>
  <c r="Y1118" i="7"/>
  <c r="AA1118" i="7" s="1"/>
  <c r="AF1118" i="7" s="1"/>
  <c r="AA1117" i="7"/>
  <c r="AF1117" i="7" s="1"/>
  <c r="Y1117" i="7"/>
  <c r="Y1116" i="7"/>
  <c r="AA1116" i="7" s="1"/>
  <c r="AF1116" i="7" s="1"/>
  <c r="Y1115" i="7"/>
  <c r="AA1115" i="7" s="1"/>
  <c r="AF1115" i="7" s="1"/>
  <c r="AF1114" i="7"/>
  <c r="AA1114" i="7"/>
  <c r="Y1114" i="7"/>
  <c r="Y1113" i="7"/>
  <c r="AA1113" i="7" s="1"/>
  <c r="AF1113" i="7" s="1"/>
  <c r="Y1112" i="7"/>
  <c r="AA1112" i="7" s="1"/>
  <c r="AF1112" i="7" s="1"/>
  <c r="AF1111" i="7"/>
  <c r="AA1111" i="7"/>
  <c r="Y1111" i="7"/>
  <c r="AA1110" i="7"/>
  <c r="AF1110" i="7" s="1"/>
  <c r="Y1110" i="7"/>
  <c r="AF1109" i="7"/>
  <c r="AA1109" i="7"/>
  <c r="Y1109" i="7"/>
  <c r="Y1108" i="7"/>
  <c r="AC1108" i="7" s="1"/>
  <c r="Y1107" i="7"/>
  <c r="AA1107" i="7" s="1"/>
  <c r="AF1107" i="7" s="1"/>
  <c r="AF1106" i="7"/>
  <c r="AA1106" i="7"/>
  <c r="Y1106" i="7"/>
  <c r="AA1105" i="7"/>
  <c r="AF1105" i="7" s="1"/>
  <c r="Y1105" i="7"/>
  <c r="AA1104" i="7"/>
  <c r="AF1104" i="7" s="1"/>
  <c r="Y1104" i="7"/>
  <c r="Y1103" i="7"/>
  <c r="AA1103" i="7" s="1"/>
  <c r="AF1103" i="7" s="1"/>
  <c r="Y1102" i="7"/>
  <c r="AA1102" i="7" s="1"/>
  <c r="AF1102" i="7" s="1"/>
  <c r="AF1101" i="7"/>
  <c r="AA1101" i="7"/>
  <c r="Y1101" i="7"/>
  <c r="Y1100" i="7"/>
  <c r="AA1100" i="7" s="1"/>
  <c r="AF1100" i="7" s="1"/>
  <c r="Y1099" i="7"/>
  <c r="AA1099" i="7" s="1"/>
  <c r="AF1099" i="7" s="1"/>
  <c r="AF1098" i="7"/>
  <c r="AA1098" i="7"/>
  <c r="Y1098" i="7"/>
  <c r="AA1097" i="7"/>
  <c r="AF1097" i="7" s="1"/>
  <c r="Y1097" i="7"/>
  <c r="AA1096" i="7"/>
  <c r="AF1096" i="7" s="1"/>
  <c r="Y1096" i="7"/>
  <c r="Y1095" i="7"/>
  <c r="AA1095" i="7" s="1"/>
  <c r="AF1095" i="7" s="1"/>
  <c r="Y1094" i="7"/>
  <c r="AA1094" i="7" s="1"/>
  <c r="AF1094" i="7" s="1"/>
  <c r="AF1093" i="7"/>
  <c r="AA1093" i="7"/>
  <c r="Y1093" i="7"/>
  <c r="Y1092" i="7"/>
  <c r="AA1092" i="7" s="1"/>
  <c r="AF1092" i="7" s="1"/>
  <c r="Y1091" i="7"/>
  <c r="AA1091" i="7" s="1"/>
  <c r="AF1091" i="7" s="1"/>
  <c r="Y1090" i="7"/>
  <c r="AC1090" i="7" s="1"/>
  <c r="Y1089" i="7"/>
  <c r="AA1089" i="7" s="1"/>
  <c r="AF1089" i="7" s="1"/>
  <c r="AF1088" i="7"/>
  <c r="AA1088" i="7"/>
  <c r="Y1088" i="7"/>
  <c r="Y1087" i="7"/>
  <c r="AA1087" i="7" s="1"/>
  <c r="AF1087" i="7" s="1"/>
  <c r="Y1086" i="7"/>
  <c r="AA1086" i="7" s="1"/>
  <c r="AF1086" i="7" s="1"/>
  <c r="AF1085" i="7"/>
  <c r="AA1085" i="7"/>
  <c r="Y1085" i="7"/>
  <c r="AA1084" i="7"/>
  <c r="AF1084" i="7" s="1"/>
  <c r="Y1084" i="7"/>
  <c r="AA1083" i="7"/>
  <c r="AF1083" i="7" s="1"/>
  <c r="Y1083" i="7"/>
  <c r="Y1082" i="7"/>
  <c r="AA1082" i="7" s="1"/>
  <c r="AF1082" i="7" s="1"/>
  <c r="Y1081" i="7"/>
  <c r="AA1081" i="7" s="1"/>
  <c r="AF1081" i="7" s="1"/>
  <c r="AF1080" i="7"/>
  <c r="AA1080" i="7"/>
  <c r="Y1080" i="7"/>
  <c r="Y1079" i="7"/>
  <c r="AA1079" i="7" s="1"/>
  <c r="AF1079" i="7" s="1"/>
  <c r="Y1078" i="7"/>
  <c r="AA1078" i="7" s="1"/>
  <c r="AF1078" i="7" s="1"/>
  <c r="AF1077" i="7"/>
  <c r="AA1077" i="7"/>
  <c r="Y1077" i="7"/>
  <c r="AA1076" i="7"/>
  <c r="AF1076" i="7" s="1"/>
  <c r="Y1076" i="7"/>
  <c r="AA1075" i="7"/>
  <c r="AF1075" i="7" s="1"/>
  <c r="Y1075" i="7"/>
  <c r="Y1074" i="7"/>
  <c r="AA1074" i="7" s="1"/>
  <c r="AF1074" i="7" s="1"/>
  <c r="Y1073" i="7"/>
  <c r="AA1073" i="7" s="1"/>
  <c r="AF1073" i="7" s="1"/>
  <c r="AF1072" i="7"/>
  <c r="AA1072" i="7"/>
  <c r="Y1072" i="7"/>
  <c r="Y1071" i="7"/>
  <c r="AA1071" i="7" s="1"/>
  <c r="AF1071" i="7" s="1"/>
  <c r="AC1070" i="7"/>
  <c r="AA1070" i="7"/>
  <c r="AF1070" i="7" s="1"/>
  <c r="Y1070" i="7"/>
  <c r="Y1069" i="7"/>
  <c r="AA1069" i="7" s="1"/>
  <c r="AF1069" i="7" s="1"/>
  <c r="Y1068" i="7"/>
  <c r="AA1068" i="7" s="1"/>
  <c r="AF1068" i="7" s="1"/>
  <c r="AF1067" i="7"/>
  <c r="AA1067" i="7"/>
  <c r="Y1067" i="7"/>
  <c r="Y1066" i="7"/>
  <c r="AA1066" i="7" s="1"/>
  <c r="AF1066" i="7" s="1"/>
  <c r="AA1065" i="7"/>
  <c r="AF1065" i="7" s="1"/>
  <c r="Y1065" i="7"/>
  <c r="AF1064" i="7"/>
  <c r="AA1064" i="7"/>
  <c r="Y1064" i="7"/>
  <c r="AA1063" i="7"/>
  <c r="AF1063" i="7" s="1"/>
  <c r="Y1063" i="7"/>
  <c r="AA1062" i="7"/>
  <c r="AF1062" i="7" s="1"/>
  <c r="Y1062" i="7"/>
  <c r="Y1061" i="7"/>
  <c r="AA1061" i="7" s="1"/>
  <c r="AF1061" i="7" s="1"/>
  <c r="Y1060" i="7"/>
  <c r="AA1060" i="7" s="1"/>
  <c r="AF1060" i="7" s="1"/>
  <c r="AF1059" i="7"/>
  <c r="AA1059" i="7"/>
  <c r="Y1059" i="7"/>
  <c r="Y1058" i="7"/>
  <c r="AA1058" i="7" s="1"/>
  <c r="AF1058" i="7" s="1"/>
  <c r="AA1057" i="7"/>
  <c r="AF1057" i="7" s="1"/>
  <c r="Y1057" i="7"/>
  <c r="AF1056" i="7"/>
  <c r="AA1056" i="7"/>
  <c r="Y1056" i="7"/>
  <c r="AA1055" i="7"/>
  <c r="AF1055" i="7" s="1"/>
  <c r="Y1055" i="7"/>
  <c r="AA1054" i="7"/>
  <c r="AF1054" i="7" s="1"/>
  <c r="Y1054" i="7"/>
  <c r="Y1053" i="7"/>
  <c r="AA1053" i="7" s="1"/>
  <c r="AF1053" i="7" s="1"/>
  <c r="Y1052" i="7"/>
  <c r="AA1052" i="7" s="1"/>
  <c r="AF1052" i="7" s="1"/>
  <c r="AF1051" i="7"/>
  <c r="AA1051" i="7"/>
  <c r="Y1051" i="7"/>
  <c r="Y1050" i="7"/>
  <c r="AA1050" i="7" s="1"/>
  <c r="AF1050" i="7" s="1"/>
  <c r="AA1049" i="7"/>
  <c r="AF1049" i="7" s="1"/>
  <c r="Y1049" i="7"/>
  <c r="Y1048" i="7"/>
  <c r="AA1048" i="7" s="1"/>
  <c r="AF1048" i="7" s="1"/>
  <c r="Y1047" i="7"/>
  <c r="AF1046" i="7"/>
  <c r="AA1046" i="7"/>
  <c r="Y1046" i="7"/>
  <c r="Y1045" i="7"/>
  <c r="AA1045" i="7" s="1"/>
  <c r="AF1045" i="7" s="1"/>
  <c r="AA1044" i="7"/>
  <c r="AF1044" i="7" s="1"/>
  <c r="Y1044" i="7"/>
  <c r="AF1043" i="7"/>
  <c r="AA1043" i="7"/>
  <c r="Y1043" i="7"/>
  <c r="AA1042" i="7"/>
  <c r="AF1042" i="7" s="1"/>
  <c r="Y1042" i="7"/>
  <c r="AA1041" i="7"/>
  <c r="AF1041" i="7" s="1"/>
  <c r="Y1041" i="7"/>
  <c r="Y1040" i="7"/>
  <c r="AA1040" i="7" s="1"/>
  <c r="AF1040" i="7" s="1"/>
  <c r="Y2124" i="6"/>
  <c r="AC2124" i="6" s="1"/>
  <c r="AC2123" i="6"/>
  <c r="AA2123" i="6"/>
  <c r="AF2123" i="6" s="1"/>
  <c r="Y2122" i="6"/>
  <c r="AC2122" i="6" s="1"/>
  <c r="Y2121" i="6"/>
  <c r="AF2120" i="6"/>
  <c r="AC2120" i="6"/>
  <c r="AA2120" i="6"/>
  <c r="Y2119" i="6"/>
  <c r="AC2119" i="6" s="1"/>
  <c r="AF2118" i="6"/>
  <c r="AC2118" i="6"/>
  <c r="AA2118" i="6"/>
  <c r="Y2118" i="6"/>
  <c r="Y2117" i="6"/>
  <c r="AC2117" i="6" s="1"/>
  <c r="AF2116" i="6"/>
  <c r="AC2116" i="6"/>
  <c r="AA2116" i="6"/>
  <c r="AC2115" i="6"/>
  <c r="AA2115" i="6"/>
  <c r="AF2115" i="6" s="1"/>
  <c r="Y2115" i="6"/>
  <c r="AA2114" i="6"/>
  <c r="AF2114" i="6" s="1"/>
  <c r="Y2114" i="6"/>
  <c r="Y2113" i="6"/>
  <c r="AA2113" i="6" s="1"/>
  <c r="AF2113" i="6" s="1"/>
  <c r="Y2112" i="6"/>
  <c r="AF2111" i="6"/>
  <c r="AC2111" i="6"/>
  <c r="AA2111" i="6"/>
  <c r="Y2110" i="6"/>
  <c r="AC2110" i="6" s="1"/>
  <c r="AF2109" i="6"/>
  <c r="AC2109" i="6"/>
  <c r="AA2109" i="6"/>
  <c r="Y2109" i="6"/>
  <c r="Y2108" i="6"/>
  <c r="AC2108" i="6" s="1"/>
  <c r="Y2107" i="6"/>
  <c r="AA2107" i="6" s="1"/>
  <c r="AF2107" i="6" s="1"/>
  <c r="AC2106" i="6"/>
  <c r="AA2106" i="6"/>
  <c r="AF2106" i="6" s="1"/>
  <c r="AA2105" i="6"/>
  <c r="AF2105" i="6" s="1"/>
  <c r="Y2105" i="6"/>
  <c r="AC2105" i="6" s="1"/>
  <c r="Y2104" i="6"/>
  <c r="AC2104" i="6" s="1"/>
  <c r="AA2103" i="6"/>
  <c r="AF2103" i="6" s="1"/>
  <c r="Y2103" i="6"/>
  <c r="AC2103" i="6" s="1"/>
  <c r="Y2102" i="6"/>
  <c r="AC2102" i="6" s="1"/>
  <c r="X2102" i="6"/>
  <c r="AC2101" i="6"/>
  <c r="Y2101" i="6"/>
  <c r="AA2101" i="6" s="1"/>
  <c r="AF2101" i="6" s="1"/>
  <c r="X2101" i="6"/>
  <c r="AC2100" i="6"/>
  <c r="Y2100" i="6"/>
  <c r="AA2100" i="6" s="1"/>
  <c r="AF2100" i="6" s="1"/>
  <c r="X2099" i="6"/>
  <c r="Y2099" i="6" s="1"/>
  <c r="Y2098" i="6"/>
  <c r="X2097" i="6"/>
  <c r="Y2097" i="6" s="1"/>
  <c r="AA2096" i="6"/>
  <c r="AF2096" i="6" s="1"/>
  <c r="Y2096" i="6"/>
  <c r="AC2096" i="6" s="1"/>
  <c r="Y2095" i="6"/>
  <c r="AA2095" i="6" s="1"/>
  <c r="AF2095" i="6" s="1"/>
  <c r="X2094" i="6"/>
  <c r="Y2094" i="6" s="1"/>
  <c r="AA2094" i="6" s="1"/>
  <c r="AF2094" i="6" s="1"/>
  <c r="Y2093" i="6"/>
  <c r="AA2093" i="6" s="1"/>
  <c r="AF2093" i="6" s="1"/>
  <c r="AA2092" i="6"/>
  <c r="AF2092" i="6" s="1"/>
  <c r="Y2092" i="6"/>
  <c r="X2091" i="6"/>
  <c r="Y2091" i="6" s="1"/>
  <c r="AA2091" i="6" s="1"/>
  <c r="AF2091" i="6" s="1"/>
  <c r="Y2090" i="6"/>
  <c r="AA2090" i="6" s="1"/>
  <c r="AF2090" i="6" s="1"/>
  <c r="Y2089" i="6"/>
  <c r="AA2089" i="6" s="1"/>
  <c r="AF2089" i="6" s="1"/>
  <c r="Y2088" i="6"/>
  <c r="AA2088" i="6" s="1"/>
  <c r="AF2088" i="6" s="1"/>
  <c r="X2087" i="6"/>
  <c r="Y2087" i="6" s="1"/>
  <c r="AA2087" i="6" s="1"/>
  <c r="AF2087" i="6" s="1"/>
  <c r="AF2086" i="6"/>
  <c r="Y2086" i="6"/>
  <c r="AA2086" i="6" s="1"/>
  <c r="Y2085" i="6"/>
  <c r="AA2085" i="6" s="1"/>
  <c r="AF2085" i="6" s="1"/>
  <c r="Y2084" i="6"/>
  <c r="AA2084" i="6" s="1"/>
  <c r="AF2084" i="6" s="1"/>
  <c r="Y2083" i="6"/>
  <c r="AA2083" i="6" s="1"/>
  <c r="AF2083" i="6" s="1"/>
  <c r="X2083" i="6"/>
  <c r="Y2082" i="6"/>
  <c r="AA2082" i="6" s="1"/>
  <c r="AF2082" i="6" s="1"/>
  <c r="Y2081" i="6"/>
  <c r="AA2081" i="6" s="1"/>
  <c r="AF2081" i="6" s="1"/>
  <c r="Y2080" i="6"/>
  <c r="AC2080" i="6" s="1"/>
  <c r="Y2079" i="6"/>
  <c r="AA2079" i="6" s="1"/>
  <c r="AF2079" i="6" s="1"/>
  <c r="Y2078" i="6"/>
  <c r="AC2078" i="6" s="1"/>
  <c r="Y2077" i="6"/>
  <c r="AA2077" i="6" s="1"/>
  <c r="AF2077" i="6" s="1"/>
  <c r="Y2076" i="6"/>
  <c r="AA2076" i="6" s="1"/>
  <c r="AF2076" i="6" s="1"/>
  <c r="AC2075" i="6"/>
  <c r="AA2075" i="6"/>
  <c r="AF2075" i="6" s="1"/>
  <c r="X2074" i="6"/>
  <c r="Y2074" i="6" s="1"/>
  <c r="X2073" i="6"/>
  <c r="Y2073" i="6" s="1"/>
  <c r="AA2073" i="6" s="1"/>
  <c r="AF2073" i="6" s="1"/>
  <c r="Y2072" i="6"/>
  <c r="AC2072" i="6" s="1"/>
  <c r="AF2071" i="6"/>
  <c r="Y2071" i="6"/>
  <c r="AA2071" i="6" s="1"/>
  <c r="X2070" i="6"/>
  <c r="Y2070" i="6" s="1"/>
  <c r="X2069" i="6"/>
  <c r="Y2069" i="6" s="1"/>
  <c r="AA2068" i="6"/>
  <c r="AF2068" i="6" s="1"/>
  <c r="Y2068" i="6"/>
  <c r="AC2068" i="6" s="1"/>
  <c r="AC2067" i="6"/>
  <c r="Y2067" i="6"/>
  <c r="AA2067" i="6" s="1"/>
  <c r="AF2067" i="6" s="1"/>
  <c r="Y2066" i="6"/>
  <c r="AA2066" i="6" s="1"/>
  <c r="AF2066" i="6" s="1"/>
  <c r="Y2065" i="6"/>
  <c r="AA2065" i="6" s="1"/>
  <c r="AF2065" i="6" s="1"/>
  <c r="Y2064" i="6"/>
  <c r="AA2064" i="6" s="1"/>
  <c r="AF2064" i="6" s="1"/>
  <c r="AA2063" i="6"/>
  <c r="AF2063" i="6" s="1"/>
  <c r="Y2063" i="6"/>
  <c r="X2062" i="6"/>
  <c r="Y2062" i="6" s="1"/>
  <c r="AA2062" i="6" s="1"/>
  <c r="AF2062" i="6" s="1"/>
  <c r="Y2061" i="6"/>
  <c r="AA2061" i="6" s="1"/>
  <c r="AF2061" i="6" s="1"/>
  <c r="Y2060" i="6"/>
  <c r="AA2060" i="6" s="1"/>
  <c r="AF2060" i="6" s="1"/>
  <c r="Y2059" i="6"/>
  <c r="AA2059" i="6" s="1"/>
  <c r="AF2059" i="6" s="1"/>
  <c r="X2058" i="6"/>
  <c r="Y2058" i="6" s="1"/>
  <c r="AA2058" i="6" s="1"/>
  <c r="AF2058" i="6" s="1"/>
  <c r="Y2057" i="6"/>
  <c r="AA2057" i="6" s="1"/>
  <c r="AF2057" i="6" s="1"/>
  <c r="AA2056" i="6"/>
  <c r="AF2056" i="6" s="1"/>
  <c r="Y2056" i="6"/>
  <c r="AC2056" i="6" s="1"/>
  <c r="AA2055" i="6"/>
  <c r="AF2055" i="6" s="1"/>
  <c r="Y2055" i="6"/>
  <c r="Y2054" i="6"/>
  <c r="AA2053" i="6"/>
  <c r="AF2053" i="6" s="1"/>
  <c r="Y2053" i="6"/>
  <c r="AC2053" i="6" s="1"/>
  <c r="Y2046" i="6"/>
  <c r="AA2046" i="6" s="1"/>
  <c r="AF2046" i="6" s="1"/>
  <c r="Y2045" i="6"/>
  <c r="AA2045" i="6" s="1"/>
  <c r="AF2045" i="6" s="1"/>
  <c r="Y2044" i="6"/>
  <c r="AA2044" i="6" s="1"/>
  <c r="AF2044" i="6" s="1"/>
  <c r="Y2043" i="6"/>
  <c r="AA2043" i="6" s="1"/>
  <c r="AF2043" i="6" s="1"/>
  <c r="Y2042" i="6"/>
  <c r="AA2042" i="6" s="1"/>
  <c r="AF2042" i="6" s="1"/>
  <c r="Y2041" i="6"/>
  <c r="AA2041" i="6" s="1"/>
  <c r="AF2041" i="6" s="1"/>
  <c r="AC2040" i="6"/>
  <c r="Y2040" i="6"/>
  <c r="AA2040" i="6" s="1"/>
  <c r="AF2040" i="6" s="1"/>
  <c r="Y2039" i="6"/>
  <c r="AC2039" i="6" s="1"/>
  <c r="AC2038" i="6"/>
  <c r="Y2038" i="6"/>
  <c r="AA2038" i="6" s="1"/>
  <c r="AF2038" i="6" s="1"/>
  <c r="Y2037" i="6"/>
  <c r="AC2037" i="6" s="1"/>
  <c r="AC2036" i="6"/>
  <c r="Y2036" i="6"/>
  <c r="AA2036" i="6" s="1"/>
  <c r="AF2036" i="6" s="1"/>
  <c r="Y2035" i="6"/>
  <c r="AC2035" i="6" s="1"/>
  <c r="X2034" i="6"/>
  <c r="Y2034" i="6" s="1"/>
  <c r="AA2034" i="6" s="1"/>
  <c r="AF2034" i="6" s="1"/>
  <c r="X2033" i="6"/>
  <c r="Y2033" i="6" s="1"/>
  <c r="AA2032" i="6"/>
  <c r="AF2032" i="6" s="1"/>
  <c r="Y2032" i="6"/>
  <c r="AC2032" i="6" s="1"/>
  <c r="Y2031" i="6"/>
  <c r="X2031" i="6"/>
  <c r="AC2030" i="6"/>
  <c r="Y2030" i="6"/>
  <c r="AA2030" i="6" s="1"/>
  <c r="AF2030" i="6" s="1"/>
  <c r="AA2029" i="6"/>
  <c r="AF2029" i="6" s="1"/>
  <c r="Y2029" i="6"/>
  <c r="AC2029" i="6" s="1"/>
  <c r="AC2028" i="6"/>
  <c r="Y2028" i="6"/>
  <c r="AA2028" i="6" s="1"/>
  <c r="AF2028" i="6" s="1"/>
  <c r="AA2027" i="6"/>
  <c r="AF2027" i="6" s="1"/>
  <c r="Y2027" i="6"/>
  <c r="AC2027" i="6" s="1"/>
  <c r="AC2026" i="6"/>
  <c r="Y2026" i="6"/>
  <c r="AA2026" i="6" s="1"/>
  <c r="AF2026" i="6" s="1"/>
  <c r="AA2025" i="6"/>
  <c r="AF2025" i="6" s="1"/>
  <c r="Y2025" i="6"/>
  <c r="AC2025" i="6" s="1"/>
  <c r="AC2024" i="6"/>
  <c r="Y2024" i="6"/>
  <c r="AA2024" i="6" s="1"/>
  <c r="AF2024" i="6" s="1"/>
  <c r="AA2023" i="6"/>
  <c r="AF2023" i="6" s="1"/>
  <c r="Y2023" i="6"/>
  <c r="AC2023" i="6" s="1"/>
  <c r="AC2022" i="6"/>
  <c r="Y2022" i="6"/>
  <c r="AA2022" i="6" s="1"/>
  <c r="AF2022" i="6" s="1"/>
  <c r="AA2021" i="6"/>
  <c r="AF2021" i="6" s="1"/>
  <c r="Y2021" i="6"/>
  <c r="AC2021" i="6" s="1"/>
  <c r="AC2020" i="6"/>
  <c r="Y2020" i="6"/>
  <c r="AA2020" i="6" s="1"/>
  <c r="AF2020" i="6" s="1"/>
  <c r="AA2019" i="6"/>
  <c r="AF2019" i="6" s="1"/>
  <c r="Y2019" i="6"/>
  <c r="AC2019" i="6" s="1"/>
  <c r="AC2018" i="6"/>
  <c r="Y2018" i="6"/>
  <c r="AA2018" i="6" s="1"/>
  <c r="AF2018" i="6" s="1"/>
  <c r="AA2017" i="6"/>
  <c r="AF2017" i="6" s="1"/>
  <c r="Y2017" i="6"/>
  <c r="AC2017" i="6" s="1"/>
  <c r="AC2016" i="6"/>
  <c r="Y2016" i="6"/>
  <c r="AA2016" i="6" s="1"/>
  <c r="AF2016" i="6" s="1"/>
  <c r="X2016" i="6"/>
  <c r="AC2015" i="6"/>
  <c r="Y2015" i="6"/>
  <c r="AA2015" i="6" s="1"/>
  <c r="AF2015" i="6" s="1"/>
  <c r="Y2014" i="6"/>
  <c r="AC2014" i="6" s="1"/>
  <c r="X2014" i="6"/>
  <c r="Y2013" i="6"/>
  <c r="AA2013" i="6" s="1"/>
  <c r="AF2013" i="6" s="1"/>
  <c r="X2013" i="6"/>
  <c r="Y2012" i="6"/>
  <c r="AA2011" i="6"/>
  <c r="AF2011" i="6" s="1"/>
  <c r="Y2011" i="6"/>
  <c r="AC2011" i="6" s="1"/>
  <c r="Y2010" i="6"/>
  <c r="AA2009" i="6"/>
  <c r="AF2009" i="6" s="1"/>
  <c r="Y2009" i="6"/>
  <c r="AC2009" i="6" s="1"/>
  <c r="Y2008" i="6"/>
  <c r="AA2007" i="6"/>
  <c r="AF2007" i="6" s="1"/>
  <c r="Y2007" i="6"/>
  <c r="AC2007" i="6" s="1"/>
  <c r="Y2006" i="6"/>
  <c r="AA2005" i="6"/>
  <c r="AF2005" i="6" s="1"/>
  <c r="Y2005" i="6"/>
  <c r="AC2005" i="6" s="1"/>
  <c r="Y2004" i="6"/>
  <c r="AA2003" i="6"/>
  <c r="AF2003" i="6" s="1"/>
  <c r="Y2003" i="6"/>
  <c r="AC2003" i="6" s="1"/>
  <c r="AA2002" i="6"/>
  <c r="AF2002" i="6" s="1"/>
  <c r="Y2002" i="6"/>
  <c r="AF2001" i="6"/>
  <c r="Y2001" i="6"/>
  <c r="AA2001" i="6" s="1"/>
  <c r="Y2000" i="6"/>
  <c r="AA2000" i="6" s="1"/>
  <c r="AF2000" i="6" s="1"/>
  <c r="Y1999" i="6"/>
  <c r="AA1999" i="6" s="1"/>
  <c r="AF1999" i="6" s="1"/>
  <c r="Y1998" i="6"/>
  <c r="AA1998" i="6" s="1"/>
  <c r="AF1998" i="6" s="1"/>
  <c r="Y1997" i="6"/>
  <c r="AA1997" i="6" s="1"/>
  <c r="AF1997" i="6" s="1"/>
  <c r="AA1996" i="6"/>
  <c r="AF1996" i="6" s="1"/>
  <c r="Y1996" i="6"/>
  <c r="AA1995" i="6"/>
  <c r="AF1995" i="6" s="1"/>
  <c r="Y1995" i="6"/>
  <c r="AA1994" i="6"/>
  <c r="AF1994" i="6" s="1"/>
  <c r="Y1994" i="6"/>
  <c r="Y1993" i="6"/>
  <c r="AA1993" i="6" s="1"/>
  <c r="AF1993" i="6" s="1"/>
  <c r="AF1992" i="6"/>
  <c r="AA1992" i="6"/>
  <c r="Y1992" i="6"/>
  <c r="Y1991" i="6"/>
  <c r="AA1991" i="6" s="1"/>
  <c r="AF1991" i="6" s="1"/>
  <c r="Y1990" i="6"/>
  <c r="AA1990" i="6" s="1"/>
  <c r="AF1990" i="6" s="1"/>
  <c r="Y1989" i="6"/>
  <c r="AA1989" i="6" s="1"/>
  <c r="AF1989" i="6" s="1"/>
  <c r="AA1988" i="6"/>
  <c r="AF1988" i="6" s="1"/>
  <c r="Y1988" i="6"/>
  <c r="AF1987" i="6"/>
  <c r="AC1987" i="6"/>
  <c r="AA1987" i="6"/>
  <c r="Y1987" i="6"/>
  <c r="AA1986" i="6"/>
  <c r="AF1986" i="6" s="1"/>
  <c r="Y1986" i="6"/>
  <c r="AC1986" i="6" s="1"/>
  <c r="AA1985" i="6"/>
  <c r="AF1985" i="6" s="1"/>
  <c r="Y1985" i="6"/>
  <c r="Y1984" i="6"/>
  <c r="AA1984" i="6" s="1"/>
  <c r="AF1984" i="6" s="1"/>
  <c r="AF1983" i="6"/>
  <c r="Y1983" i="6"/>
  <c r="AA1983" i="6" s="1"/>
  <c r="X1983" i="6"/>
  <c r="Y1982" i="6"/>
  <c r="AC1981" i="6"/>
  <c r="AA1981" i="6"/>
  <c r="AF1981" i="6" s="1"/>
  <c r="Y1981" i="6"/>
  <c r="Y1980" i="6"/>
  <c r="AC1979" i="6"/>
  <c r="AA1979" i="6"/>
  <c r="AF1979" i="6" s="1"/>
  <c r="Y1979" i="6"/>
  <c r="Y1978" i="6"/>
  <c r="AC1977" i="6"/>
  <c r="AA1977" i="6"/>
  <c r="AF1977" i="6" s="1"/>
  <c r="Y1977" i="6"/>
  <c r="Y1976" i="6"/>
  <c r="AF1975" i="6"/>
  <c r="AC1975" i="6"/>
  <c r="AA1975" i="6"/>
  <c r="Y1975" i="6"/>
  <c r="Y1974" i="6"/>
  <c r="AC1973" i="6"/>
  <c r="AA1973" i="6"/>
  <c r="AF1973" i="6" s="1"/>
  <c r="Y1973" i="6"/>
  <c r="Y1972" i="6"/>
  <c r="AC1971" i="6"/>
  <c r="AA1971" i="6"/>
  <c r="AF1971" i="6" s="1"/>
  <c r="Y1971" i="6"/>
  <c r="Y1970" i="6"/>
  <c r="Y1969" i="6"/>
  <c r="AC1969" i="6" s="1"/>
  <c r="Y1968" i="6"/>
  <c r="Y1967" i="6"/>
  <c r="AC1967" i="6" s="1"/>
  <c r="Y1966" i="6"/>
  <c r="Y1965" i="6"/>
  <c r="AC1965" i="6" s="1"/>
  <c r="Y1964" i="6"/>
  <c r="AA1964" i="6" s="1"/>
  <c r="AC1963" i="6"/>
  <c r="Y1963" i="6"/>
  <c r="AA1963" i="6" s="1"/>
  <c r="AF1963" i="6" s="1"/>
  <c r="X1963" i="6"/>
  <c r="Y1962" i="6"/>
  <c r="AC1962" i="6" s="1"/>
  <c r="AF1961" i="6"/>
  <c r="AA1961" i="6"/>
  <c r="Y1961" i="6"/>
  <c r="AC1961" i="6" s="1"/>
  <c r="Y1960" i="6"/>
  <c r="AC1960" i="6" s="1"/>
  <c r="AF1959" i="6"/>
  <c r="AA1959" i="6"/>
  <c r="Y1959" i="6"/>
  <c r="AC1959" i="6" s="1"/>
  <c r="Y1958" i="6"/>
  <c r="AC1958" i="6" s="1"/>
  <c r="AF1957" i="6"/>
  <c r="Y1957" i="6"/>
  <c r="AA1957" i="6" s="1"/>
  <c r="Y1956" i="6"/>
  <c r="AC1956" i="6" s="1"/>
  <c r="Y1955" i="6"/>
  <c r="AA1955" i="6" s="1"/>
  <c r="AF1955" i="6" s="1"/>
  <c r="Y1954" i="6"/>
  <c r="AC1954" i="6" s="1"/>
  <c r="Y1953" i="6"/>
  <c r="AA1953" i="6" s="1"/>
  <c r="AF1953" i="6" s="1"/>
  <c r="Y1952" i="6"/>
  <c r="AC1952" i="6" s="1"/>
  <c r="AF1951" i="6"/>
  <c r="Y1951" i="6"/>
  <c r="AA1951" i="6" s="1"/>
  <c r="Y1950" i="6"/>
  <c r="AA1950" i="6" s="1"/>
  <c r="AF1950" i="6" s="1"/>
  <c r="AC1949" i="6"/>
  <c r="Y1949" i="6"/>
  <c r="AA1949" i="6" s="1"/>
  <c r="AF1949" i="6" s="1"/>
  <c r="AC1948" i="6"/>
  <c r="Y1948" i="6"/>
  <c r="AA1948" i="6" s="1"/>
  <c r="AF1948" i="6" s="1"/>
  <c r="AC1947" i="6"/>
  <c r="Y1947" i="6"/>
  <c r="AA1947" i="6" s="1"/>
  <c r="AF1947" i="6" s="1"/>
  <c r="AC1946" i="6"/>
  <c r="Y1946" i="6"/>
  <c r="AA1946" i="6" s="1"/>
  <c r="AF1946" i="6" s="1"/>
  <c r="AC1945" i="6"/>
  <c r="Y1945" i="6"/>
  <c r="AA1945" i="6" s="1"/>
  <c r="AF1945" i="6" s="1"/>
  <c r="AC1944" i="6"/>
  <c r="Y1944" i="6"/>
  <c r="AA1944" i="6" s="1"/>
  <c r="AF1944" i="6" s="1"/>
  <c r="AC1943" i="6"/>
  <c r="Y1943" i="6"/>
  <c r="AA1943" i="6" s="1"/>
  <c r="AF1943" i="6" s="1"/>
  <c r="AC1942" i="6"/>
  <c r="Y1942" i="6"/>
  <c r="AA1942" i="6" s="1"/>
  <c r="AF1942" i="6" s="1"/>
  <c r="AC1941" i="6"/>
  <c r="Y1941" i="6"/>
  <c r="AA1941" i="6" s="1"/>
  <c r="AF1941" i="6" s="1"/>
  <c r="AC1940" i="6"/>
  <c r="Y1940" i="6"/>
  <c r="AA1940" i="6" s="1"/>
  <c r="AF1940" i="6" s="1"/>
  <c r="AC1939" i="6"/>
  <c r="Y1939" i="6"/>
  <c r="AA1939" i="6" s="1"/>
  <c r="AF1939" i="6" s="1"/>
  <c r="AC1938" i="6"/>
  <c r="Y1938" i="6"/>
  <c r="AA1938" i="6" s="1"/>
  <c r="AF1938" i="6" s="1"/>
  <c r="AC1937" i="6"/>
  <c r="Y1937" i="6"/>
  <c r="AA1937" i="6" s="1"/>
  <c r="AF1937" i="6" s="1"/>
  <c r="AC1936" i="6"/>
  <c r="Y1936" i="6"/>
  <c r="AA1936" i="6" s="1"/>
  <c r="AF1936" i="6" s="1"/>
  <c r="AC1935" i="6"/>
  <c r="Y1935" i="6"/>
  <c r="AA1935" i="6" s="1"/>
  <c r="AF1935" i="6" s="1"/>
  <c r="AC1934" i="6"/>
  <c r="Y1934" i="6"/>
  <c r="AA1934" i="6" s="1"/>
  <c r="AF1934" i="6" s="1"/>
  <c r="AC1933" i="6"/>
  <c r="Y1933" i="6"/>
  <c r="AA1933" i="6" s="1"/>
  <c r="AF1933" i="6" s="1"/>
  <c r="AC1932" i="6"/>
  <c r="Y1932" i="6"/>
  <c r="AA1932" i="6" s="1"/>
  <c r="AF1932" i="6" s="1"/>
  <c r="AC1931" i="6"/>
  <c r="Y1931" i="6"/>
  <c r="AA1931" i="6" s="1"/>
  <c r="AF1931" i="6" s="1"/>
  <c r="AC1930" i="6"/>
  <c r="Y1930" i="6"/>
  <c r="AA1930" i="6" s="1"/>
  <c r="AF1930" i="6" s="1"/>
  <c r="AC1929" i="6"/>
  <c r="Y1929" i="6"/>
  <c r="AA1929" i="6" s="1"/>
  <c r="AF1929" i="6" s="1"/>
  <c r="AC1928" i="6"/>
  <c r="Y1928" i="6"/>
  <c r="AA1928" i="6" s="1"/>
  <c r="AF1928" i="6" s="1"/>
  <c r="AC1927" i="6"/>
  <c r="Y1927" i="6"/>
  <c r="AA1927" i="6" s="1"/>
  <c r="AF1927" i="6" s="1"/>
  <c r="Y1926" i="6"/>
  <c r="AC1926" i="6" s="1"/>
  <c r="AA1925" i="6"/>
  <c r="AF1925" i="6" s="1"/>
  <c r="Y1925" i="6"/>
  <c r="Y1924" i="6"/>
  <c r="AA1924" i="6" s="1"/>
  <c r="AF1924" i="6" s="1"/>
  <c r="AA1923" i="6"/>
  <c r="AF1923" i="6" s="1"/>
  <c r="Y1923" i="6"/>
  <c r="AF1922" i="6"/>
  <c r="AA1922" i="6"/>
  <c r="Y1922" i="6"/>
  <c r="AC1922" i="6" s="1"/>
  <c r="AA1921" i="6"/>
  <c r="AF1921" i="6" s="1"/>
  <c r="Y1921" i="6"/>
  <c r="AC1921" i="6" s="1"/>
  <c r="AF1920" i="6"/>
  <c r="Y1920" i="6"/>
  <c r="AA1920" i="6" s="1"/>
  <c r="AA1919" i="6"/>
  <c r="AF1919" i="6" s="1"/>
  <c r="Y1919" i="6"/>
  <c r="AC1919" i="6" s="1"/>
  <c r="AF1918" i="6"/>
  <c r="Y1918" i="6"/>
  <c r="AA1918" i="6" s="1"/>
  <c r="AA1917" i="6"/>
  <c r="AF1917" i="6" s="1"/>
  <c r="Y1917" i="6"/>
  <c r="AC1917" i="6" s="1"/>
  <c r="AF1916" i="6"/>
  <c r="Y1916" i="6"/>
  <c r="AA1916" i="6" s="1"/>
  <c r="Y1915" i="6"/>
  <c r="AA1915" i="6" s="1"/>
  <c r="AF1915" i="6" s="1"/>
  <c r="AA1914" i="6"/>
  <c r="AF1914" i="6" s="1"/>
  <c r="Y1914" i="6"/>
  <c r="AC1913" i="6"/>
  <c r="AA1913" i="6"/>
  <c r="AF1913" i="6" s="1"/>
  <c r="Y1913" i="6"/>
  <c r="Y1912" i="6"/>
  <c r="AA1912" i="6" s="1"/>
  <c r="AF1912" i="6" s="1"/>
  <c r="Y1911" i="6"/>
  <c r="AC1911" i="6" s="1"/>
  <c r="AA1910" i="6"/>
  <c r="AF1910" i="6" s="1"/>
  <c r="Y1910" i="6"/>
  <c r="AF1909" i="6"/>
  <c r="Y1909" i="6"/>
  <c r="AA1909" i="6" s="1"/>
  <c r="Y1908" i="6"/>
  <c r="AA1908" i="6" s="1"/>
  <c r="AF1908" i="6" s="1"/>
  <c r="AA1907" i="6"/>
  <c r="AF1907" i="6" s="1"/>
  <c r="Y1907" i="6"/>
  <c r="AC1906" i="6"/>
  <c r="AA1906" i="6"/>
  <c r="AF1906" i="6" s="1"/>
  <c r="Y1906" i="6"/>
  <c r="Y1905" i="6"/>
  <c r="AA1905" i="6" s="1"/>
  <c r="AF1905" i="6" s="1"/>
  <c r="Y1904" i="6"/>
  <c r="AA1904" i="6" s="1"/>
  <c r="AF1904" i="6" s="1"/>
  <c r="Y1903" i="6"/>
  <c r="AA1903" i="6" s="1"/>
  <c r="AF1903" i="6" s="1"/>
  <c r="AC1902" i="6"/>
  <c r="Y1902" i="6"/>
  <c r="AA1902" i="6" s="1"/>
  <c r="AF1902" i="6" s="1"/>
  <c r="AA1901" i="6"/>
  <c r="AF1901" i="6" s="1"/>
  <c r="Y1901" i="6"/>
  <c r="AA1900" i="6"/>
  <c r="AF1900" i="6" s="1"/>
  <c r="Y1900" i="6"/>
  <c r="AC1900" i="6" s="1"/>
  <c r="AC1899" i="6"/>
  <c r="AA1899" i="6"/>
  <c r="AF1899" i="6" s="1"/>
  <c r="Y1899" i="6"/>
  <c r="AA1898" i="6"/>
  <c r="AF1898" i="6" s="1"/>
  <c r="Y1898" i="6"/>
  <c r="AC1898" i="6" s="1"/>
  <c r="Y1897" i="6"/>
  <c r="AA1897" i="6" s="1"/>
  <c r="AF1897" i="6" s="1"/>
  <c r="AA1896" i="6"/>
  <c r="AF1896" i="6" s="1"/>
  <c r="Y1896" i="6"/>
  <c r="Y1895" i="6"/>
  <c r="AA1895" i="6" s="1"/>
  <c r="AF1895" i="6" s="1"/>
  <c r="AA1894" i="6"/>
  <c r="AF1894" i="6" s="1"/>
  <c r="Z1894" i="6"/>
  <c r="Y1894" i="6"/>
  <c r="AA1893" i="6"/>
  <c r="AF1893" i="6" s="1"/>
  <c r="Y1893" i="6"/>
  <c r="Y1892" i="6"/>
  <c r="AA1892" i="6" s="1"/>
  <c r="AF1892" i="6" s="1"/>
  <c r="AA1886" i="6"/>
  <c r="AF1886" i="6" s="1"/>
  <c r="Y1886" i="6"/>
  <c r="Y1884" i="6"/>
  <c r="AA1884" i="6" s="1"/>
  <c r="AF1884" i="6" s="1"/>
  <c r="AF1883" i="6"/>
  <c r="AA1883" i="6"/>
  <c r="Y1883" i="6"/>
  <c r="AC1883" i="6" s="1"/>
  <c r="AF1882" i="6"/>
  <c r="Y1882" i="6"/>
  <c r="AA1882" i="6" s="1"/>
  <c r="AF1881" i="6"/>
  <c r="AA1881" i="6"/>
  <c r="Y1881" i="6"/>
  <c r="AC1881" i="6" s="1"/>
  <c r="Y1880" i="6"/>
  <c r="AA1880" i="6" s="1"/>
  <c r="AF1880" i="6" s="1"/>
  <c r="AF1879" i="6"/>
  <c r="AA1879" i="6"/>
  <c r="Y1879" i="6"/>
  <c r="AC1879" i="6" s="1"/>
  <c r="AF1878" i="6"/>
  <c r="Y1878" i="6"/>
  <c r="AA1878" i="6" s="1"/>
  <c r="AF1877" i="6"/>
  <c r="AA1877" i="6"/>
  <c r="Y1877" i="6"/>
  <c r="AC1877" i="6" s="1"/>
  <c r="Y1876" i="6"/>
  <c r="AA1876" i="6" s="1"/>
  <c r="AF1876" i="6" s="1"/>
  <c r="AF1875" i="6"/>
  <c r="AA1875" i="6"/>
  <c r="Y1875" i="6"/>
  <c r="AC1875" i="6" s="1"/>
  <c r="AF1874" i="6"/>
  <c r="Y1874" i="6"/>
  <c r="AA1874" i="6" s="1"/>
  <c r="AA1873" i="6"/>
  <c r="AF1873" i="6" s="1"/>
  <c r="Y1873" i="6"/>
  <c r="Y1872" i="6"/>
  <c r="AA1872" i="6" s="1"/>
  <c r="AF1872" i="6" s="1"/>
  <c r="Y1871" i="6"/>
  <c r="AA1871" i="6" s="1"/>
  <c r="AF1871" i="6" s="1"/>
  <c r="AF1870" i="6"/>
  <c r="Y1870" i="6"/>
  <c r="AA1870" i="6" s="1"/>
  <c r="AC1869" i="6"/>
  <c r="Y1869" i="6"/>
  <c r="AA1869" i="6" s="1"/>
  <c r="AF1869" i="6" s="1"/>
  <c r="AF1868" i="6"/>
  <c r="Y1868" i="6"/>
  <c r="AA1868" i="6" s="1"/>
  <c r="AC1867" i="6"/>
  <c r="Y1867" i="6"/>
  <c r="AA1867" i="6" s="1"/>
  <c r="AF1867" i="6" s="1"/>
  <c r="Y1866" i="6"/>
  <c r="AC1866" i="6" s="1"/>
  <c r="AF1865" i="6"/>
  <c r="AC1865" i="6"/>
  <c r="Y1865" i="6"/>
  <c r="AA1865" i="6" s="1"/>
  <c r="Y1864" i="6"/>
  <c r="AC1864" i="6" s="1"/>
  <c r="AF1863" i="6"/>
  <c r="AC1863" i="6"/>
  <c r="AA1863" i="6"/>
  <c r="Y1863" i="6"/>
  <c r="Y1862" i="6"/>
  <c r="AC1862" i="6" s="1"/>
  <c r="Y1861" i="6"/>
  <c r="AA1861" i="6" s="1"/>
  <c r="AF1861" i="6" s="1"/>
  <c r="AA1860" i="6"/>
  <c r="AF1860" i="6" s="1"/>
  <c r="Y1860" i="6"/>
  <c r="Z1859" i="6"/>
  <c r="AA1859" i="6" s="1"/>
  <c r="AF1859" i="6" s="1"/>
  <c r="Y1859" i="6"/>
  <c r="Z1858" i="6"/>
  <c r="Y1858" i="6"/>
  <c r="AA1858" i="6" s="1"/>
  <c r="AF1858" i="6" s="1"/>
  <c r="AC1857" i="6"/>
  <c r="AA1857" i="6"/>
  <c r="AF1857" i="6" s="1"/>
  <c r="Y1857" i="6"/>
  <c r="Z1856" i="6"/>
  <c r="Y1856" i="6"/>
  <c r="AA1856" i="6" s="1"/>
  <c r="AF1856" i="6" s="1"/>
  <c r="Y1855" i="6"/>
  <c r="AA1855" i="6" s="1"/>
  <c r="AF1855" i="6" s="1"/>
  <c r="AA1854" i="6"/>
  <c r="AF1854" i="6" s="1"/>
  <c r="Y1854" i="6"/>
  <c r="Z1853" i="6"/>
  <c r="Y1853" i="6"/>
  <c r="AA1853" i="6" s="1"/>
  <c r="AF1853" i="6" s="1"/>
  <c r="AF1852" i="6"/>
  <c r="AA1852" i="6"/>
  <c r="Y1852" i="6"/>
  <c r="AC1852" i="6" s="1"/>
  <c r="AA1851" i="6"/>
  <c r="AF1851" i="6" s="1"/>
  <c r="Y1851" i="6"/>
  <c r="AC1851" i="6" s="1"/>
  <c r="Y1850" i="6"/>
  <c r="AA1850" i="6" s="1"/>
  <c r="AF1850" i="6" s="1"/>
  <c r="AA1849" i="6"/>
  <c r="AF1849" i="6" s="1"/>
  <c r="Y1849" i="6"/>
  <c r="Y1848" i="6"/>
  <c r="AA1848" i="6" s="1"/>
  <c r="AF1848" i="6" s="1"/>
  <c r="AA1847" i="6"/>
  <c r="AF1847" i="6" s="1"/>
  <c r="Y1847" i="6"/>
  <c r="AA1846" i="6"/>
  <c r="AF1846" i="6" s="1"/>
  <c r="Y1846" i="6"/>
  <c r="AC1846" i="6" s="1"/>
  <c r="AA1845" i="6"/>
  <c r="Y1845" i="6"/>
  <c r="AA1844" i="6"/>
  <c r="Y1844" i="6"/>
  <c r="AA1843" i="6"/>
  <c r="Y1843" i="6"/>
  <c r="AC1842" i="6"/>
  <c r="AA1842" i="6"/>
  <c r="AF1842" i="6" s="1"/>
  <c r="Y1842" i="6"/>
  <c r="AA1841" i="6"/>
  <c r="Y1841" i="6"/>
  <c r="AA1840" i="6"/>
  <c r="Y1840" i="6"/>
  <c r="Y1839" i="6"/>
  <c r="AA1839" i="6" s="1"/>
  <c r="AA1838" i="6"/>
  <c r="Y1838" i="6"/>
  <c r="AA1837" i="6"/>
  <c r="Y1837" i="6"/>
  <c r="AA1836" i="6"/>
  <c r="Y1836" i="6"/>
  <c r="AC1835" i="6"/>
  <c r="AA1835" i="6"/>
  <c r="AF1835" i="6" s="1"/>
  <c r="Y1835" i="6"/>
  <c r="Y1834" i="6"/>
  <c r="AA1834" i="6" s="1"/>
  <c r="Y1833" i="6"/>
  <c r="AA1833" i="6" s="1"/>
  <c r="Y1832" i="6"/>
  <c r="AA1832" i="6" s="1"/>
  <c r="AA1831" i="6"/>
  <c r="Y1831" i="6"/>
  <c r="Y1830" i="6"/>
  <c r="AA1830" i="6" s="1"/>
  <c r="Y1829" i="6"/>
  <c r="Y1828" i="6"/>
  <c r="Y1827" i="6"/>
  <c r="AA1827" i="6" s="1"/>
  <c r="AA1826" i="6"/>
  <c r="Y1826" i="6"/>
  <c r="Y1825" i="6"/>
  <c r="AA1825" i="6" s="1"/>
  <c r="Y1824" i="6"/>
  <c r="AA1824" i="6" s="1"/>
  <c r="Y1823" i="6"/>
  <c r="AA1823" i="6" s="1"/>
  <c r="AC1822" i="6"/>
  <c r="Y1822" i="6"/>
  <c r="AA1822" i="6" s="1"/>
  <c r="AF1822" i="6" s="1"/>
  <c r="Y1821" i="6"/>
  <c r="AC1821" i="6" s="1"/>
  <c r="AC1820" i="6"/>
  <c r="Y1820" i="6"/>
  <c r="AA1820" i="6" s="1"/>
  <c r="AF1820" i="6" s="1"/>
  <c r="Y1819" i="6"/>
  <c r="AC1819" i="6" s="1"/>
  <c r="AC1818" i="6"/>
  <c r="Y1818" i="6"/>
  <c r="AA1818" i="6" s="1"/>
  <c r="AF1818" i="6" s="1"/>
  <c r="Y1817" i="6"/>
  <c r="AC1817" i="6" s="1"/>
  <c r="AC1816" i="6"/>
  <c r="Y1816" i="6"/>
  <c r="AA1816" i="6" s="1"/>
  <c r="AF1816" i="6" s="1"/>
  <c r="Y1815" i="6"/>
  <c r="AC1815" i="6" s="1"/>
  <c r="AC1814" i="6"/>
  <c r="Y1814" i="6"/>
  <c r="AA1814" i="6" s="1"/>
  <c r="AF1814" i="6" s="1"/>
  <c r="Y1813" i="6"/>
  <c r="AC1813" i="6" s="1"/>
  <c r="AC1812" i="6"/>
  <c r="Y1812" i="6"/>
  <c r="AA1812" i="6" s="1"/>
  <c r="AF1812" i="6" s="1"/>
  <c r="Y1811" i="6"/>
  <c r="AC1811" i="6" s="1"/>
  <c r="AC1810" i="6"/>
  <c r="Y1810" i="6"/>
  <c r="AA1810" i="6" s="1"/>
  <c r="AF1810" i="6" s="1"/>
  <c r="Y1809" i="6"/>
  <c r="AC1809" i="6" s="1"/>
  <c r="AC1808" i="6"/>
  <c r="Y1808" i="6"/>
  <c r="AA1808" i="6" s="1"/>
  <c r="AF1808" i="6" s="1"/>
  <c r="Y1807" i="6"/>
  <c r="AC1807" i="6" s="1"/>
  <c r="Y1806" i="6"/>
  <c r="AA1806" i="6" s="1"/>
  <c r="AF1806" i="6" s="1"/>
  <c r="Y1805" i="6"/>
  <c r="AC1805" i="6" s="1"/>
  <c r="Y1804" i="6"/>
  <c r="AA1804" i="6" s="1"/>
  <c r="AF1804" i="6" s="1"/>
  <c r="Y1803" i="6"/>
  <c r="AC1803" i="6" s="1"/>
  <c r="AC1802" i="6"/>
  <c r="Y1802" i="6"/>
  <c r="AA1802" i="6" s="1"/>
  <c r="Y1801" i="6"/>
  <c r="AC1801" i="6" s="1"/>
  <c r="AC1800" i="6"/>
  <c r="Y1800" i="6"/>
  <c r="AA1800" i="6" s="1"/>
  <c r="AF1800" i="6" s="1"/>
  <c r="Y1799" i="6"/>
  <c r="AC1799" i="6" s="1"/>
  <c r="AC1798" i="6"/>
  <c r="Y1798" i="6"/>
  <c r="AA1798" i="6" s="1"/>
  <c r="AF1798" i="6" s="1"/>
  <c r="Y1797" i="6"/>
  <c r="AC1797" i="6" s="1"/>
  <c r="AC1796" i="6"/>
  <c r="Y1796" i="6"/>
  <c r="AA1796" i="6" s="1"/>
  <c r="AF1796" i="6" s="1"/>
  <c r="Y1795" i="6"/>
  <c r="AC1795" i="6" s="1"/>
  <c r="AA1794" i="6"/>
  <c r="AF1794" i="6" s="1"/>
  <c r="Y1794" i="6"/>
  <c r="Y1793" i="6"/>
  <c r="AA1793" i="6" s="1"/>
  <c r="AF1793" i="6" s="1"/>
  <c r="AA1792" i="6"/>
  <c r="AF1792" i="6" s="1"/>
  <c r="Y1792" i="6"/>
  <c r="Y1791" i="6"/>
  <c r="AA1791" i="6" s="1"/>
  <c r="AF1791" i="6" s="1"/>
  <c r="Y1790" i="6"/>
  <c r="AA1790" i="6" s="1"/>
  <c r="AF1790" i="6" s="1"/>
  <c r="Y1789" i="6"/>
  <c r="AA1789" i="6" s="1"/>
  <c r="AF1789" i="6" s="1"/>
  <c r="Y1788" i="6"/>
  <c r="AA1788" i="6" s="1"/>
  <c r="AF1788" i="6" s="1"/>
  <c r="Y1787" i="6"/>
  <c r="AA1787" i="6" s="1"/>
  <c r="AF1787" i="6" s="1"/>
  <c r="AA1786" i="6"/>
  <c r="AF1786" i="6" s="1"/>
  <c r="Y1786" i="6"/>
  <c r="Y1785" i="6"/>
  <c r="AA1785" i="6" s="1"/>
  <c r="AF1785" i="6" s="1"/>
  <c r="Y1784" i="6"/>
  <c r="AC1784" i="6" s="1"/>
  <c r="Y1783" i="6"/>
  <c r="AC1783" i="6" s="1"/>
  <c r="AA1782" i="6"/>
  <c r="AF1782" i="6" s="1"/>
  <c r="Y1782" i="6"/>
  <c r="Y1781" i="6"/>
  <c r="AA1781" i="6" s="1"/>
  <c r="AF1781" i="6" s="1"/>
  <c r="Y1780" i="6"/>
  <c r="AA1780" i="6" s="1"/>
  <c r="AF1780" i="6" s="1"/>
  <c r="Y1779" i="6"/>
  <c r="AA1779" i="6" s="1"/>
  <c r="AF1779" i="6" s="1"/>
  <c r="Y1778" i="6"/>
  <c r="AA1778" i="6" s="1"/>
  <c r="AF1778" i="6" s="1"/>
  <c r="Y1777" i="6"/>
  <c r="AA1777" i="6" s="1"/>
  <c r="AF1777" i="6" s="1"/>
  <c r="AA1776" i="6"/>
  <c r="AF1776" i="6" s="1"/>
  <c r="Y1776" i="6"/>
  <c r="Y1775" i="6"/>
  <c r="AA1775" i="6" s="1"/>
  <c r="AF1775" i="6" s="1"/>
  <c r="X1774" i="6"/>
  <c r="Y1774" i="6" s="1"/>
  <c r="AA1774" i="6" s="1"/>
  <c r="AF1774" i="6" s="1"/>
  <c r="Y1773" i="6"/>
  <c r="AA1773" i="6" s="1"/>
  <c r="AF1773" i="6" s="1"/>
  <c r="AC1772" i="6"/>
  <c r="AA1772" i="6"/>
  <c r="AF1772" i="6" s="1"/>
  <c r="Y1772" i="6"/>
  <c r="Y1771" i="6"/>
  <c r="AA1771" i="6" s="1"/>
  <c r="AF1771" i="6" s="1"/>
  <c r="AC1770" i="6"/>
  <c r="AA1770" i="6"/>
  <c r="AF1770" i="6" s="1"/>
  <c r="Y1770" i="6"/>
  <c r="Y1769" i="6"/>
  <c r="AA1769" i="6" s="1"/>
  <c r="AF1769" i="6" s="1"/>
  <c r="AC1768" i="6"/>
  <c r="AA1768" i="6"/>
  <c r="AF1768" i="6" s="1"/>
  <c r="Y1768" i="6"/>
  <c r="Y1767" i="6"/>
  <c r="AA1767" i="6" s="1"/>
  <c r="AF1767" i="6" s="1"/>
  <c r="AC1766" i="6"/>
  <c r="AA1766" i="6"/>
  <c r="AF1766" i="6" s="1"/>
  <c r="Y1766" i="6"/>
  <c r="Y1765" i="6"/>
  <c r="AA1765" i="6" s="1"/>
  <c r="AF1765" i="6" s="1"/>
  <c r="AC1764" i="6"/>
  <c r="AA1764" i="6"/>
  <c r="AF1764" i="6" s="1"/>
  <c r="Y1764" i="6"/>
  <c r="Y1763" i="6"/>
  <c r="AA1763" i="6" s="1"/>
  <c r="AF1763" i="6" s="1"/>
  <c r="AC1762" i="6"/>
  <c r="AA1762" i="6"/>
  <c r="AF1762" i="6" s="1"/>
  <c r="Y1762" i="6"/>
  <c r="Y1761" i="6"/>
  <c r="AA1761" i="6" s="1"/>
  <c r="AF1761" i="6" s="1"/>
  <c r="AC1760" i="6"/>
  <c r="AA1760" i="6"/>
  <c r="AF1760" i="6" s="1"/>
  <c r="Y1760" i="6"/>
  <c r="Y1759" i="6"/>
  <c r="AA1759" i="6" s="1"/>
  <c r="AF1759" i="6" s="1"/>
  <c r="AC1758" i="6"/>
  <c r="AA1758" i="6"/>
  <c r="AF1758" i="6" s="1"/>
  <c r="Y1758" i="6"/>
  <c r="Y1757" i="6"/>
  <c r="AA1757" i="6" s="1"/>
  <c r="AF1757" i="6" s="1"/>
  <c r="AC1756" i="6"/>
  <c r="AA1756" i="6"/>
  <c r="AF1756" i="6" s="1"/>
  <c r="Y1756" i="6"/>
  <c r="Y1755" i="6"/>
  <c r="AA1755" i="6" s="1"/>
  <c r="AF1755" i="6" s="1"/>
  <c r="Y1754" i="6"/>
  <c r="AA1754" i="6" s="1"/>
  <c r="AF1754" i="6" s="1"/>
  <c r="AA1753" i="6"/>
  <c r="AF1753" i="6" s="1"/>
  <c r="Y1753" i="6"/>
  <c r="AA1752" i="6"/>
  <c r="AF1752" i="6" s="1"/>
  <c r="Y1752" i="6"/>
  <c r="AA1751" i="6"/>
  <c r="AF1751" i="6" s="1"/>
  <c r="Y1751" i="6"/>
  <c r="AF1750" i="6"/>
  <c r="AA1750" i="6"/>
  <c r="Y1750" i="6"/>
  <c r="Y1749" i="6"/>
  <c r="AC1749" i="6" s="1"/>
  <c r="AA1748" i="6"/>
  <c r="AF1748" i="6" s="1"/>
  <c r="Y1748" i="6"/>
  <c r="AA1747" i="6"/>
  <c r="AF1747" i="6" s="1"/>
  <c r="Y1747" i="6"/>
  <c r="AF1746" i="6"/>
  <c r="AA1746" i="6"/>
  <c r="Y1746" i="6"/>
  <c r="AC1039" i="7"/>
  <c r="Y1039" i="7"/>
  <c r="AA1039" i="7" s="1"/>
  <c r="AF1039" i="7" s="1"/>
  <c r="AA1038" i="7"/>
  <c r="AF1038" i="7" s="1"/>
  <c r="Y1038" i="7"/>
  <c r="AC1038" i="7" s="1"/>
  <c r="AC1037" i="7"/>
  <c r="Y1037" i="7"/>
  <c r="AA1037" i="7" s="1"/>
  <c r="AF1037" i="7" s="1"/>
  <c r="AA1036" i="7"/>
  <c r="AF1036" i="7" s="1"/>
  <c r="Y1036" i="7"/>
  <c r="AC1036" i="7" s="1"/>
  <c r="AC1035" i="7"/>
  <c r="Y1035" i="7"/>
  <c r="AA1035" i="7" s="1"/>
  <c r="AF1035" i="7" s="1"/>
  <c r="AA1034" i="7"/>
  <c r="AF1034" i="7" s="1"/>
  <c r="Y1034" i="7"/>
  <c r="AC1034" i="7" s="1"/>
  <c r="AC1033" i="7"/>
  <c r="Y1033" i="7"/>
  <c r="AA1033" i="7" s="1"/>
  <c r="AF1033" i="7" s="1"/>
  <c r="AA1032" i="7"/>
  <c r="AF1032" i="7" s="1"/>
  <c r="Y1032" i="7"/>
  <c r="AC1032" i="7" s="1"/>
  <c r="AC1031" i="7"/>
  <c r="Y1031" i="7"/>
  <c r="AA1031" i="7" s="1"/>
  <c r="AF1031" i="7" s="1"/>
  <c r="AA1030" i="7"/>
  <c r="AF1030" i="7" s="1"/>
  <c r="Y1030" i="7"/>
  <c r="AC1030" i="7" s="1"/>
  <c r="AC1029" i="7"/>
  <c r="Y1029" i="7"/>
  <c r="AA1029" i="7" s="1"/>
  <c r="AF1029" i="7" s="1"/>
  <c r="AA1028" i="7"/>
  <c r="AF1028" i="7" s="1"/>
  <c r="Y1028" i="7"/>
  <c r="AC1028" i="7" s="1"/>
  <c r="AC1027" i="7"/>
  <c r="Y1027" i="7"/>
  <c r="AA1027" i="7" s="1"/>
  <c r="AF1027" i="7" s="1"/>
  <c r="AA1026" i="7"/>
  <c r="AF1026" i="7" s="1"/>
  <c r="Y1026" i="7"/>
  <c r="AC1026" i="7" s="1"/>
  <c r="AC1025" i="7"/>
  <c r="Y1025" i="7"/>
  <c r="AA1025" i="7" s="1"/>
  <c r="AF1025" i="7" s="1"/>
  <c r="AC1024" i="7"/>
  <c r="AA1024" i="7"/>
  <c r="AF1024" i="7" s="1"/>
  <c r="Y1024" i="7"/>
  <c r="AC1023" i="7"/>
  <c r="Y1023" i="7"/>
  <c r="AA1023" i="7" s="1"/>
  <c r="AF1023" i="7" s="1"/>
  <c r="AC1022" i="7"/>
  <c r="AA1022" i="7"/>
  <c r="AF1022" i="7" s="1"/>
  <c r="Y1022" i="7"/>
  <c r="AC1021" i="7"/>
  <c r="Y1021" i="7"/>
  <c r="AA1021" i="7" s="1"/>
  <c r="AF1021" i="7" s="1"/>
  <c r="AC1020" i="7"/>
  <c r="AA1020" i="7"/>
  <c r="AF1020" i="7" s="1"/>
  <c r="Y1020" i="7"/>
  <c r="AC1019" i="7"/>
  <c r="Y1019" i="7"/>
  <c r="AA1019" i="7" s="1"/>
  <c r="AF1019" i="7" s="1"/>
  <c r="AC1018" i="7"/>
  <c r="AA1018" i="7"/>
  <c r="AF1018" i="7" s="1"/>
  <c r="Y1018" i="7"/>
  <c r="AC1017" i="7"/>
  <c r="Y1017" i="7"/>
  <c r="AA1017" i="7" s="1"/>
  <c r="AF1017" i="7" s="1"/>
  <c r="AC1016" i="7"/>
  <c r="AA1016" i="7"/>
  <c r="AF1016" i="7" s="1"/>
  <c r="Y1016" i="7"/>
  <c r="AC1015" i="7"/>
  <c r="Y1015" i="7"/>
  <c r="AA1015" i="7" s="1"/>
  <c r="AF1015" i="7" s="1"/>
  <c r="AA1014" i="7"/>
  <c r="AF1014" i="7" s="1"/>
  <c r="Y1014" i="7"/>
  <c r="AC1014" i="7" s="1"/>
  <c r="AC1013" i="7"/>
  <c r="Y1013" i="7"/>
  <c r="AA1013" i="7" s="1"/>
  <c r="AF1013" i="7" s="1"/>
  <c r="AA1012" i="7"/>
  <c r="AF1012" i="7" s="1"/>
  <c r="Y1012" i="7"/>
  <c r="AC1012" i="7" s="1"/>
  <c r="AC1011" i="7"/>
  <c r="Y1011" i="7"/>
  <c r="AA1011" i="7" s="1"/>
  <c r="AF1011" i="7" s="1"/>
  <c r="AA1010" i="7"/>
  <c r="AF1010" i="7" s="1"/>
  <c r="Y1010" i="7"/>
  <c r="AC1010" i="7" s="1"/>
  <c r="AF1009" i="7"/>
  <c r="AC1009" i="7"/>
  <c r="AA1009" i="7"/>
  <c r="Y1009" i="7"/>
  <c r="AC1008" i="7"/>
  <c r="AA1008" i="7"/>
  <c r="AF1008" i="7" s="1"/>
  <c r="Y1008" i="7"/>
  <c r="AC1007" i="7"/>
  <c r="Y1007" i="7"/>
  <c r="AA1007" i="7" s="1"/>
  <c r="AF1007" i="7" s="1"/>
  <c r="AC1006" i="7"/>
  <c r="AA1006" i="7"/>
  <c r="AF1006" i="7" s="1"/>
  <c r="Y1006" i="7"/>
  <c r="AF1005" i="7"/>
  <c r="AC1005" i="7"/>
  <c r="AA1005" i="7"/>
  <c r="Y1005" i="7"/>
  <c r="AA1004" i="7"/>
  <c r="AF1004" i="7" s="1"/>
  <c r="Y1004" i="7"/>
  <c r="AC1004" i="7" s="1"/>
  <c r="AC1003" i="7"/>
  <c r="Y1003" i="7"/>
  <c r="AA1003" i="7" s="1"/>
  <c r="AF1003" i="7" s="1"/>
  <c r="AA1002" i="7"/>
  <c r="AF1002" i="7" s="1"/>
  <c r="Y1002" i="7"/>
  <c r="AC1002" i="7" s="1"/>
  <c r="AC1001" i="7"/>
  <c r="Y1001" i="7"/>
  <c r="AA1001" i="7" s="1"/>
  <c r="AF1001" i="7" s="1"/>
  <c r="AA1000" i="7"/>
  <c r="AF1000" i="7" s="1"/>
  <c r="Y1000" i="7"/>
  <c r="AC1000" i="7" s="1"/>
  <c r="AC999" i="7"/>
  <c r="Y999" i="7"/>
  <c r="AA999" i="7" s="1"/>
  <c r="AF999" i="7" s="1"/>
  <c r="AA998" i="7"/>
  <c r="AF998" i="7" s="1"/>
  <c r="Y998" i="7"/>
  <c r="AC998" i="7" s="1"/>
  <c r="AC997" i="7"/>
  <c r="Y997" i="7"/>
  <c r="AA997" i="7" s="1"/>
  <c r="AF997" i="7" s="1"/>
  <c r="AA996" i="7"/>
  <c r="AF996" i="7" s="1"/>
  <c r="Y996" i="7"/>
  <c r="AC996" i="7" s="1"/>
  <c r="AC995" i="7"/>
  <c r="Y995" i="7"/>
  <c r="AA995" i="7" s="1"/>
  <c r="AF995" i="7" s="1"/>
  <c r="AA994" i="7"/>
  <c r="AF994" i="7" s="1"/>
  <c r="Y994" i="7"/>
  <c r="AC994" i="7" s="1"/>
  <c r="AC993" i="7"/>
  <c r="Y993" i="7"/>
  <c r="AA993" i="7" s="1"/>
  <c r="AF993" i="7" s="1"/>
  <c r="AA992" i="7"/>
  <c r="AF992" i="7" s="1"/>
  <c r="Y992" i="7"/>
  <c r="AC992" i="7" s="1"/>
  <c r="AC991" i="7"/>
  <c r="Y991" i="7"/>
  <c r="AA991" i="7" s="1"/>
  <c r="AF991" i="7" s="1"/>
  <c r="AA990" i="7"/>
  <c r="AF990" i="7" s="1"/>
  <c r="Y990" i="7"/>
  <c r="AC990" i="7" s="1"/>
  <c r="Y989" i="7"/>
  <c r="AC989" i="7" s="1"/>
  <c r="AA988" i="7"/>
  <c r="AF988" i="7" s="1"/>
  <c r="Y988" i="7"/>
  <c r="AC988" i="7" s="1"/>
  <c r="AC987" i="7"/>
  <c r="Y987" i="7"/>
  <c r="AA987" i="7" s="1"/>
  <c r="AF987" i="7" s="1"/>
  <c r="AA986" i="7"/>
  <c r="AF986" i="7" s="1"/>
  <c r="Y986" i="7"/>
  <c r="AC986" i="7" s="1"/>
  <c r="Y985" i="7"/>
  <c r="AC985" i="7" s="1"/>
  <c r="AA984" i="7"/>
  <c r="AF984" i="7" s="1"/>
  <c r="Y984" i="7"/>
  <c r="AC984" i="7" s="1"/>
  <c r="Y983" i="7"/>
  <c r="AC983" i="7" s="1"/>
  <c r="AA982" i="7"/>
  <c r="AF982" i="7" s="1"/>
  <c r="Y982" i="7"/>
  <c r="AC982" i="7" s="1"/>
  <c r="Y981" i="7"/>
  <c r="AC981" i="7" s="1"/>
  <c r="AA980" i="7"/>
  <c r="AF980" i="7" s="1"/>
  <c r="Y980" i="7"/>
  <c r="AC980" i="7" s="1"/>
  <c r="AA979" i="7"/>
  <c r="AF979" i="7" s="1"/>
  <c r="Y979" i="7"/>
  <c r="AC979" i="7" s="1"/>
  <c r="AA978" i="7"/>
  <c r="AF978" i="7" s="1"/>
  <c r="Y978" i="7"/>
  <c r="AC978" i="7" s="1"/>
  <c r="Y977" i="7"/>
  <c r="AC977" i="7" s="1"/>
  <c r="AA976" i="7"/>
  <c r="AF976" i="7" s="1"/>
  <c r="Y976" i="7"/>
  <c r="AC976" i="7" s="1"/>
  <c r="Y975" i="7"/>
  <c r="AC975" i="7" s="1"/>
  <c r="AA974" i="7"/>
  <c r="AF974" i="7" s="1"/>
  <c r="Y974" i="7"/>
  <c r="AC974" i="7" s="1"/>
  <c r="Y973" i="7"/>
  <c r="AC973" i="7" s="1"/>
  <c r="AA972" i="7"/>
  <c r="AF972" i="7" s="1"/>
  <c r="Y972" i="7"/>
  <c r="AC972" i="7" s="1"/>
  <c r="Y971" i="7"/>
  <c r="AC971" i="7" s="1"/>
  <c r="AA970" i="7"/>
  <c r="AF970" i="7" s="1"/>
  <c r="Y970" i="7"/>
  <c r="AC970" i="7" s="1"/>
  <c r="Y969" i="7"/>
  <c r="AC969" i="7" s="1"/>
  <c r="AA968" i="7"/>
  <c r="AF968" i="7" s="1"/>
  <c r="Y968" i="7"/>
  <c r="AC968" i="7" s="1"/>
  <c r="Y967" i="7"/>
  <c r="AC967" i="7" s="1"/>
  <c r="AA966" i="7"/>
  <c r="AF966" i="7" s="1"/>
  <c r="Y966" i="7"/>
  <c r="AC966" i="7" s="1"/>
  <c r="Y965" i="7"/>
  <c r="AC965" i="7" s="1"/>
  <c r="AA964" i="7"/>
  <c r="AF964" i="7" s="1"/>
  <c r="Y964" i="7"/>
  <c r="AC964" i="7" s="1"/>
  <c r="Y963" i="7"/>
  <c r="AC963" i="7" s="1"/>
  <c r="AA962" i="7"/>
  <c r="AF962" i="7" s="1"/>
  <c r="Y962" i="7"/>
  <c r="AC962" i="7" s="1"/>
  <c r="Y961" i="7"/>
  <c r="AC961" i="7" s="1"/>
  <c r="AA960" i="7"/>
  <c r="AF960" i="7" s="1"/>
  <c r="Y960" i="7"/>
  <c r="AC960" i="7" s="1"/>
  <c r="Y959" i="7"/>
  <c r="AC959" i="7" s="1"/>
  <c r="AA958" i="7"/>
  <c r="AF958" i="7" s="1"/>
  <c r="Y958" i="7"/>
  <c r="AC958" i="7" s="1"/>
  <c r="Y957" i="7"/>
  <c r="AC957" i="7" s="1"/>
  <c r="AA956" i="7"/>
  <c r="AF956" i="7" s="1"/>
  <c r="Y956" i="7"/>
  <c r="AC956" i="7" s="1"/>
  <c r="Y955" i="7"/>
  <c r="AC955" i="7" s="1"/>
  <c r="AA954" i="7"/>
  <c r="AF954" i="7" s="1"/>
  <c r="Y954" i="7"/>
  <c r="AC954" i="7" s="1"/>
  <c r="Y953" i="7"/>
  <c r="AC953" i="7" s="1"/>
  <c r="AA952" i="7"/>
  <c r="AF952" i="7" s="1"/>
  <c r="Y952" i="7"/>
  <c r="AC952" i="7" s="1"/>
  <c r="Y951" i="7"/>
  <c r="AC951" i="7" s="1"/>
  <c r="AA950" i="7"/>
  <c r="AF950" i="7" s="1"/>
  <c r="Y950" i="7"/>
  <c r="AC950" i="7" s="1"/>
  <c r="Y949" i="7"/>
  <c r="AC949" i="7" s="1"/>
  <c r="AA948" i="7"/>
  <c r="AF948" i="7" s="1"/>
  <c r="Y948" i="7"/>
  <c r="AC948" i="7" s="1"/>
  <c r="Y947" i="7"/>
  <c r="AC947" i="7" s="1"/>
  <c r="AA946" i="7"/>
  <c r="AF946" i="7" s="1"/>
  <c r="Y946" i="7"/>
  <c r="AC946" i="7" s="1"/>
  <c r="Y945" i="7"/>
  <c r="AC945" i="7" s="1"/>
  <c r="AA944" i="7"/>
  <c r="AF944" i="7" s="1"/>
  <c r="Y944" i="7"/>
  <c r="AC944" i="7" s="1"/>
  <c r="Y943" i="7"/>
  <c r="AC943" i="7" s="1"/>
  <c r="AA942" i="7"/>
  <c r="AF942" i="7" s="1"/>
  <c r="Y942" i="7"/>
  <c r="AC942" i="7" s="1"/>
  <c r="Y941" i="7"/>
  <c r="AC941" i="7" s="1"/>
  <c r="AA940" i="7"/>
  <c r="AF940" i="7" s="1"/>
  <c r="Y940" i="7"/>
  <c r="AC940" i="7" s="1"/>
  <c r="Y939" i="7"/>
  <c r="AC939" i="7" s="1"/>
  <c r="AA938" i="7"/>
  <c r="AF938" i="7" s="1"/>
  <c r="Y938" i="7"/>
  <c r="AC938" i="7" s="1"/>
  <c r="Y937" i="7"/>
  <c r="AC937" i="7" s="1"/>
  <c r="AC936" i="7"/>
  <c r="AA936" i="7"/>
  <c r="AF936" i="7" s="1"/>
  <c r="Y936" i="7"/>
  <c r="Y935" i="7"/>
  <c r="AC935" i="7" s="1"/>
  <c r="AA934" i="7"/>
  <c r="AF934" i="7" s="1"/>
  <c r="Y934" i="7"/>
  <c r="AC934" i="7" s="1"/>
  <c r="Y933" i="7"/>
  <c r="AC933" i="7" s="1"/>
  <c r="AA932" i="7"/>
  <c r="AF932" i="7" s="1"/>
  <c r="Y932" i="7"/>
  <c r="AC932" i="7" s="1"/>
  <c r="Y931" i="7"/>
  <c r="AC931" i="7" s="1"/>
  <c r="AA930" i="7"/>
  <c r="AF930" i="7" s="1"/>
  <c r="Y930" i="7"/>
  <c r="AC930" i="7" s="1"/>
  <c r="Y929" i="7"/>
  <c r="AC929" i="7" s="1"/>
  <c r="AA928" i="7"/>
  <c r="AF928" i="7" s="1"/>
  <c r="Y928" i="7"/>
  <c r="AC928" i="7" s="1"/>
  <c r="Y927" i="7"/>
  <c r="AC927" i="7" s="1"/>
  <c r="AA926" i="7"/>
  <c r="AF926" i="7" s="1"/>
  <c r="Y926" i="7"/>
  <c r="AC926" i="7" s="1"/>
  <c r="Y925" i="7"/>
  <c r="AC925" i="7" s="1"/>
  <c r="AA924" i="7"/>
  <c r="AF924" i="7" s="1"/>
  <c r="Y924" i="7"/>
  <c r="AC924" i="7" s="1"/>
  <c r="Y923" i="7"/>
  <c r="AC923" i="7" s="1"/>
  <c r="AA922" i="7"/>
  <c r="AF922" i="7" s="1"/>
  <c r="Y922" i="7"/>
  <c r="AC922" i="7" s="1"/>
  <c r="Y921" i="7"/>
  <c r="AC921" i="7" s="1"/>
  <c r="AA920" i="7"/>
  <c r="AF920" i="7" s="1"/>
  <c r="Y920" i="7"/>
  <c r="AC920" i="7" s="1"/>
  <c r="Y919" i="7"/>
  <c r="AC919" i="7" s="1"/>
  <c r="AA918" i="7"/>
  <c r="AF918" i="7" s="1"/>
  <c r="Y918" i="7"/>
  <c r="AC918" i="7" s="1"/>
  <c r="Y917" i="7"/>
  <c r="AC917" i="7" s="1"/>
  <c r="AA916" i="7"/>
  <c r="AF916" i="7" s="1"/>
  <c r="Y916" i="7"/>
  <c r="AC916" i="7" s="1"/>
  <c r="Y915" i="7"/>
  <c r="AC915" i="7" s="1"/>
  <c r="AV914" i="7"/>
  <c r="AC914" i="7"/>
  <c r="AA914" i="7"/>
  <c r="AF914" i="7" s="1"/>
  <c r="Y914" i="7"/>
  <c r="AV913" i="7"/>
  <c r="AA913" i="7"/>
  <c r="AF913" i="7" s="1"/>
  <c r="Y913" i="7"/>
  <c r="AC913" i="7" s="1"/>
  <c r="AV912" i="7"/>
  <c r="AF912" i="7"/>
  <c r="AA912" i="7"/>
  <c r="Y912" i="7"/>
  <c r="AC912" i="7" s="1"/>
  <c r="AV911" i="7"/>
  <c r="AA911" i="7"/>
  <c r="AF911" i="7" s="1"/>
  <c r="Y911" i="7"/>
  <c r="AC911" i="7" s="1"/>
  <c r="AV910" i="7"/>
  <c r="AA910" i="7"/>
  <c r="AF910" i="7" s="1"/>
  <c r="Y910" i="7"/>
  <c r="AC910" i="7" s="1"/>
  <c r="AV909" i="7"/>
  <c r="AC909" i="7"/>
  <c r="Y909" i="7"/>
  <c r="AA909" i="7" s="1"/>
  <c r="AF909" i="7" s="1"/>
  <c r="AV908" i="7"/>
  <c r="Y908" i="7"/>
  <c r="AV907" i="7"/>
  <c r="Y907" i="7"/>
  <c r="AC907" i="7" s="1"/>
  <c r="AV906" i="7"/>
  <c r="AC906" i="7"/>
  <c r="AA906" i="7"/>
  <c r="AF906" i="7" s="1"/>
  <c r="Y906" i="7"/>
  <c r="AV905" i="7"/>
  <c r="AC905" i="7"/>
  <c r="Y905" i="7"/>
  <c r="AA905" i="7" s="1"/>
  <c r="AF905" i="7" s="1"/>
  <c r="AV904" i="7"/>
  <c r="AC904" i="7"/>
  <c r="Y904" i="7"/>
  <c r="AA904" i="7" s="1"/>
  <c r="AF904" i="7" s="1"/>
  <c r="AV903" i="7"/>
  <c r="AA903" i="7"/>
  <c r="AF903" i="7" s="1"/>
  <c r="Y903" i="7"/>
  <c r="AC903" i="7" s="1"/>
  <c r="AV902" i="7"/>
  <c r="AA902" i="7"/>
  <c r="AF902" i="7" s="1"/>
  <c r="Y902" i="7"/>
  <c r="AC902" i="7" s="1"/>
  <c r="AV901" i="7"/>
  <c r="AF901" i="7"/>
  <c r="AC901" i="7"/>
  <c r="AA901" i="7"/>
  <c r="Y901" i="7"/>
  <c r="AV900" i="7"/>
  <c r="Y900" i="7"/>
  <c r="AV899" i="7"/>
  <c r="Y899" i="7"/>
  <c r="AC899" i="7" s="1"/>
  <c r="AV898" i="7"/>
  <c r="AC898" i="7"/>
  <c r="Y898" i="7"/>
  <c r="AA898" i="7" s="1"/>
  <c r="AF898" i="7" s="1"/>
  <c r="AV897" i="7"/>
  <c r="Y897" i="7"/>
  <c r="AC897" i="7" s="1"/>
  <c r="AF896" i="7"/>
  <c r="AC896" i="7"/>
  <c r="AA896" i="7"/>
  <c r="Y896" i="7"/>
  <c r="Y895" i="7"/>
  <c r="AC895" i="7" s="1"/>
  <c r="AF894" i="7"/>
  <c r="AA894" i="7"/>
  <c r="Y894" i="7"/>
  <c r="AC894" i="7" s="1"/>
  <c r="Y893" i="7"/>
  <c r="AC893" i="7" s="1"/>
  <c r="AF892" i="7"/>
  <c r="AA892" i="7"/>
  <c r="Y892" i="7"/>
  <c r="AC892" i="7" s="1"/>
  <c r="Y891" i="7"/>
  <c r="AC891" i="7" s="1"/>
  <c r="AF890" i="7"/>
  <c r="AA890" i="7"/>
  <c r="Y890" i="7"/>
  <c r="AC890" i="7" s="1"/>
  <c r="Y889" i="7"/>
  <c r="AC889" i="7" s="1"/>
  <c r="AF888" i="7"/>
  <c r="AA888" i="7"/>
  <c r="Y888" i="7"/>
  <c r="AC888" i="7" s="1"/>
  <c r="Y887" i="7"/>
  <c r="AC887" i="7" s="1"/>
  <c r="AF886" i="7"/>
  <c r="AA886" i="7"/>
  <c r="Y886" i="7"/>
  <c r="AC886" i="7" s="1"/>
  <c r="Y885" i="7"/>
  <c r="AC885" i="7" s="1"/>
  <c r="AF884" i="7"/>
  <c r="AA884" i="7"/>
  <c r="Y884" i="7"/>
  <c r="AC884" i="7" s="1"/>
  <c r="Y883" i="7"/>
  <c r="AC883" i="7" s="1"/>
  <c r="AF882" i="7"/>
  <c r="AA882" i="7"/>
  <c r="Y882" i="7"/>
  <c r="AC882" i="7" s="1"/>
  <c r="Y881" i="7"/>
  <c r="AC881" i="7" s="1"/>
  <c r="AF880" i="7"/>
  <c r="AA880" i="7"/>
  <c r="Y880" i="7"/>
  <c r="AC880" i="7" s="1"/>
  <c r="Y879" i="7"/>
  <c r="AC879" i="7" s="1"/>
  <c r="AF878" i="7"/>
  <c r="AA878" i="7"/>
  <c r="Y878" i="7"/>
  <c r="AC878" i="7" s="1"/>
  <c r="Y877" i="7"/>
  <c r="AC877" i="7" s="1"/>
  <c r="AF876" i="7"/>
  <c r="AA876" i="7"/>
  <c r="Y876" i="7"/>
  <c r="AC876" i="7" s="1"/>
  <c r="Y875" i="7"/>
  <c r="AC875" i="7" s="1"/>
  <c r="AF874" i="7"/>
  <c r="AA874" i="7"/>
  <c r="Y874" i="7"/>
  <c r="AC874" i="7" s="1"/>
  <c r="Y873" i="7"/>
  <c r="AC873" i="7" s="1"/>
  <c r="AF872" i="7"/>
  <c r="AA872" i="7"/>
  <c r="Y872" i="7"/>
  <c r="AC872" i="7" s="1"/>
  <c r="Y871" i="7"/>
  <c r="AC871" i="7" s="1"/>
  <c r="AF870" i="7"/>
  <c r="AA870" i="7"/>
  <c r="Y870" i="7"/>
  <c r="AC870" i="7" s="1"/>
  <c r="Y869" i="7"/>
  <c r="AC869" i="7" s="1"/>
  <c r="AA868" i="7"/>
  <c r="AF868" i="7" s="1"/>
  <c r="Y868" i="7"/>
  <c r="AC868" i="7" s="1"/>
  <c r="Y867" i="7"/>
  <c r="AC867" i="7" s="1"/>
  <c r="AF866" i="7"/>
  <c r="AA866" i="7"/>
  <c r="Y866" i="7"/>
  <c r="AC866" i="7" s="1"/>
  <c r="Y865" i="7"/>
  <c r="AC865" i="7" s="1"/>
  <c r="AA864" i="7"/>
  <c r="AF864" i="7" s="1"/>
  <c r="Y864" i="7"/>
  <c r="AC864" i="7" s="1"/>
  <c r="Y863" i="7"/>
  <c r="AC863" i="7" s="1"/>
  <c r="Y862" i="7"/>
  <c r="AA862" i="7" s="1"/>
  <c r="AF862" i="7" s="1"/>
  <c r="AA861" i="7"/>
  <c r="AF861" i="7" s="1"/>
  <c r="Y861" i="7"/>
  <c r="AC861" i="7" s="1"/>
  <c r="AA860" i="7"/>
  <c r="AF860" i="7" s="1"/>
  <c r="Y860" i="7"/>
  <c r="AC860" i="7" s="1"/>
  <c r="AF859" i="7"/>
  <c r="AC859" i="7"/>
  <c r="AA859" i="7"/>
  <c r="Y859" i="7"/>
  <c r="AA858" i="7"/>
  <c r="AF858" i="7" s="1"/>
  <c r="Y858" i="7"/>
  <c r="AC858" i="7" s="1"/>
  <c r="AF857" i="7"/>
  <c r="AC857" i="7"/>
  <c r="AA857" i="7"/>
  <c r="Y857" i="7"/>
  <c r="AA856" i="7"/>
  <c r="AF856" i="7" s="1"/>
  <c r="Y856" i="7"/>
  <c r="AC856" i="7" s="1"/>
  <c r="AC855" i="7"/>
  <c r="Y855" i="7"/>
  <c r="AA855" i="7" s="1"/>
  <c r="AF855" i="7" s="1"/>
  <c r="AA854" i="7"/>
  <c r="AF854" i="7" s="1"/>
  <c r="Y854" i="7"/>
  <c r="AC854" i="7" s="1"/>
  <c r="AC853" i="7"/>
  <c r="Y853" i="7"/>
  <c r="AA853" i="7" s="1"/>
  <c r="AF853" i="7" s="1"/>
  <c r="AA852" i="7"/>
  <c r="AF852" i="7" s="1"/>
  <c r="Y852" i="7"/>
  <c r="AC852" i="7" s="1"/>
  <c r="AC851" i="7"/>
  <c r="Y851" i="7"/>
  <c r="AA851" i="7" s="1"/>
  <c r="AF851" i="7" s="1"/>
  <c r="AA850" i="7"/>
  <c r="AF850" i="7" s="1"/>
  <c r="Y850" i="7"/>
  <c r="AC850" i="7" s="1"/>
  <c r="AC849" i="7"/>
  <c r="Y849" i="7"/>
  <c r="AA849" i="7" s="1"/>
  <c r="AF849" i="7" s="1"/>
  <c r="AA848" i="7"/>
  <c r="AF848" i="7" s="1"/>
  <c r="Y848" i="7"/>
  <c r="AC848" i="7" s="1"/>
  <c r="AC847" i="7"/>
  <c r="Y847" i="7"/>
  <c r="AA847" i="7" s="1"/>
  <c r="AF847" i="7" s="1"/>
  <c r="AC846" i="7"/>
  <c r="AA846" i="7"/>
  <c r="AF846" i="7" s="1"/>
  <c r="Y846" i="7"/>
  <c r="AC845" i="7"/>
  <c r="Y845" i="7"/>
  <c r="AA845" i="7" s="1"/>
  <c r="AF845" i="7" s="1"/>
  <c r="AA844" i="7"/>
  <c r="AF844" i="7" s="1"/>
  <c r="Y844" i="7"/>
  <c r="AC844" i="7" s="1"/>
  <c r="AC843" i="7"/>
  <c r="Y843" i="7"/>
  <c r="AA843" i="7" s="1"/>
  <c r="AF843" i="7" s="1"/>
  <c r="AA842" i="7"/>
  <c r="AF842" i="7" s="1"/>
  <c r="Y842" i="7"/>
  <c r="AC842" i="7" s="1"/>
  <c r="AC841" i="7"/>
  <c r="Y841" i="7"/>
  <c r="AA841" i="7" s="1"/>
  <c r="AF841" i="7" s="1"/>
  <c r="AA840" i="7"/>
  <c r="AF840" i="7" s="1"/>
  <c r="Y840" i="7"/>
  <c r="AC840" i="7" s="1"/>
  <c r="AC839" i="7"/>
  <c r="Y839" i="7"/>
  <c r="AA839" i="7" s="1"/>
  <c r="AF839" i="7" s="1"/>
  <c r="AA838" i="7"/>
  <c r="AF838" i="7" s="1"/>
  <c r="Y838" i="7"/>
  <c r="AC838" i="7" s="1"/>
  <c r="AC837" i="7"/>
  <c r="Y837" i="7"/>
  <c r="AA837" i="7" s="1"/>
  <c r="AF837" i="7" s="1"/>
  <c r="AA836" i="7"/>
  <c r="AF836" i="7" s="1"/>
  <c r="Y836" i="7"/>
  <c r="AC836" i="7" s="1"/>
  <c r="AC835" i="7"/>
  <c r="Y835" i="7"/>
  <c r="AA835" i="7" s="1"/>
  <c r="AF835" i="7" s="1"/>
  <c r="AA834" i="7"/>
  <c r="AF834" i="7" s="1"/>
  <c r="Y834" i="7"/>
  <c r="AC834" i="7" s="1"/>
  <c r="AC833" i="7"/>
  <c r="Y833" i="7"/>
  <c r="AA833" i="7" s="1"/>
  <c r="AF833" i="7" s="1"/>
  <c r="AA832" i="7"/>
  <c r="AF832" i="7" s="1"/>
  <c r="Y832" i="7"/>
  <c r="AC832" i="7" s="1"/>
  <c r="AC831" i="7"/>
  <c r="Y831" i="7"/>
  <c r="AA831" i="7" s="1"/>
  <c r="AF831" i="7" s="1"/>
  <c r="AA830" i="7"/>
  <c r="AF830" i="7" s="1"/>
  <c r="Y830" i="7"/>
  <c r="AC830" i="7" s="1"/>
  <c r="AF829" i="7"/>
  <c r="AC829" i="7"/>
  <c r="AA829" i="7"/>
  <c r="Y829" i="7"/>
  <c r="AA828" i="7"/>
  <c r="AF828" i="7" s="1"/>
  <c r="Y828" i="7"/>
  <c r="AC828" i="7" s="1"/>
  <c r="AC827" i="7"/>
  <c r="Y827" i="7"/>
  <c r="AA827" i="7" s="1"/>
  <c r="AF827" i="7" s="1"/>
  <c r="AA826" i="7"/>
  <c r="AF826" i="7" s="1"/>
  <c r="Y826" i="7"/>
  <c r="AC826" i="7" s="1"/>
  <c r="AC825" i="7"/>
  <c r="Y825" i="7"/>
  <c r="AA825" i="7" s="1"/>
  <c r="AF825" i="7" s="1"/>
  <c r="AA824" i="7"/>
  <c r="AF824" i="7" s="1"/>
  <c r="Y824" i="7"/>
  <c r="AC824" i="7" s="1"/>
  <c r="AC823" i="7"/>
  <c r="Y823" i="7"/>
  <c r="AA823" i="7" s="1"/>
  <c r="AF823" i="7" s="1"/>
  <c r="AA822" i="7"/>
  <c r="AF822" i="7" s="1"/>
  <c r="Y822" i="7"/>
  <c r="AC822" i="7" s="1"/>
  <c r="AC821" i="7"/>
  <c r="Y821" i="7"/>
  <c r="AA821" i="7" s="1"/>
  <c r="AF821" i="7" s="1"/>
  <c r="AA820" i="7"/>
  <c r="AF820" i="7" s="1"/>
  <c r="Y820" i="7"/>
  <c r="AC820" i="7" s="1"/>
  <c r="AC819" i="7"/>
  <c r="Y819" i="7"/>
  <c r="AA819" i="7" s="1"/>
  <c r="AF819" i="7" s="1"/>
  <c r="AA818" i="7"/>
  <c r="AF818" i="7" s="1"/>
  <c r="Y818" i="7"/>
  <c r="AC818" i="7" s="1"/>
  <c r="AC817" i="7"/>
  <c r="Y817" i="7"/>
  <c r="AA817" i="7" s="1"/>
  <c r="AF817" i="7" s="1"/>
  <c r="AA816" i="7"/>
  <c r="AF816" i="7" s="1"/>
  <c r="Y816" i="7"/>
  <c r="AC816" i="7" s="1"/>
  <c r="AC815" i="7"/>
  <c r="Y815" i="7"/>
  <c r="AA815" i="7" s="1"/>
  <c r="AF815" i="7" s="1"/>
  <c r="AA814" i="7"/>
  <c r="AF814" i="7" s="1"/>
  <c r="Y814" i="7"/>
  <c r="AC814" i="7" s="1"/>
  <c r="AC813" i="7"/>
  <c r="Y813" i="7"/>
  <c r="AA813" i="7" s="1"/>
  <c r="AF813" i="7" s="1"/>
  <c r="AA812" i="7"/>
  <c r="AF812" i="7" s="1"/>
  <c r="Y812" i="7"/>
  <c r="AC812" i="7" s="1"/>
  <c r="AC811" i="7"/>
  <c r="Y811" i="7"/>
  <c r="AA811" i="7" s="1"/>
  <c r="AF811" i="7" s="1"/>
  <c r="AA810" i="7"/>
  <c r="AF810" i="7" s="1"/>
  <c r="Y810" i="7"/>
  <c r="AC810" i="7" s="1"/>
  <c r="AC809" i="7"/>
  <c r="Y809" i="7"/>
  <c r="AA809" i="7" s="1"/>
  <c r="AF809" i="7" s="1"/>
  <c r="AA808" i="7"/>
  <c r="AF808" i="7" s="1"/>
  <c r="Y808" i="7"/>
  <c r="AC808" i="7" s="1"/>
  <c r="AC807" i="7"/>
  <c r="Y807" i="7"/>
  <c r="AA807" i="7" s="1"/>
  <c r="AF807" i="7" s="1"/>
  <c r="AA806" i="7"/>
  <c r="AF806" i="7" s="1"/>
  <c r="Y806" i="7"/>
  <c r="AC806" i="7" s="1"/>
  <c r="AC805" i="7"/>
  <c r="Y805" i="7"/>
  <c r="AA805" i="7" s="1"/>
  <c r="AF805" i="7" s="1"/>
  <c r="AA804" i="7"/>
  <c r="AF804" i="7" s="1"/>
  <c r="Y804" i="7"/>
  <c r="AC804" i="7" s="1"/>
  <c r="AC803" i="7"/>
  <c r="Y803" i="7"/>
  <c r="AA803" i="7" s="1"/>
  <c r="AF803" i="7" s="1"/>
  <c r="AA802" i="7"/>
  <c r="AF802" i="7" s="1"/>
  <c r="Y802" i="7"/>
  <c r="AC802" i="7" s="1"/>
  <c r="AC801" i="7"/>
  <c r="Y801" i="7"/>
  <c r="AA801" i="7" s="1"/>
  <c r="AF801" i="7" s="1"/>
  <c r="AA800" i="7"/>
  <c r="AF800" i="7" s="1"/>
  <c r="Y800" i="7"/>
  <c r="AC800" i="7" s="1"/>
  <c r="AC799" i="7"/>
  <c r="Y799" i="7"/>
  <c r="AA799" i="7" s="1"/>
  <c r="AF799" i="7" s="1"/>
  <c r="AA798" i="7"/>
  <c r="AF798" i="7" s="1"/>
  <c r="Y798" i="7"/>
  <c r="AC798" i="7" s="1"/>
  <c r="AC797" i="7"/>
  <c r="Y797" i="7"/>
  <c r="AA797" i="7" s="1"/>
  <c r="AF797" i="7" s="1"/>
  <c r="AA796" i="7"/>
  <c r="AF796" i="7" s="1"/>
  <c r="Y796" i="7"/>
  <c r="AC796" i="7" s="1"/>
  <c r="AC795" i="7"/>
  <c r="Y795" i="7"/>
  <c r="AA795" i="7" s="1"/>
  <c r="AF795" i="7" s="1"/>
  <c r="AA794" i="7"/>
  <c r="AF794" i="7" s="1"/>
  <c r="Y794" i="7"/>
  <c r="AC794" i="7" s="1"/>
  <c r="AC793" i="7"/>
  <c r="Y793" i="7"/>
  <c r="AA793" i="7" s="1"/>
  <c r="AF793" i="7" s="1"/>
  <c r="AA792" i="7"/>
  <c r="AF792" i="7" s="1"/>
  <c r="Y792" i="7"/>
  <c r="AC792" i="7" s="1"/>
  <c r="AC791" i="7"/>
  <c r="Y791" i="7"/>
  <c r="AA791" i="7" s="1"/>
  <c r="AF791" i="7" s="1"/>
  <c r="AA790" i="7"/>
  <c r="AF790" i="7" s="1"/>
  <c r="Y790" i="7"/>
  <c r="AC790" i="7" s="1"/>
  <c r="AC789" i="7"/>
  <c r="Y789" i="7"/>
  <c r="AA789" i="7" s="1"/>
  <c r="AF789" i="7" s="1"/>
  <c r="AA788" i="7"/>
  <c r="AF788" i="7" s="1"/>
  <c r="Y788" i="7"/>
  <c r="AC788" i="7" s="1"/>
  <c r="AC787" i="7"/>
  <c r="Y787" i="7"/>
  <c r="AA787" i="7" s="1"/>
  <c r="AF787" i="7" s="1"/>
  <c r="AA786" i="7"/>
  <c r="AF786" i="7" s="1"/>
  <c r="Y786" i="7"/>
  <c r="AC786" i="7" s="1"/>
  <c r="AC785" i="7"/>
  <c r="Y785" i="7"/>
  <c r="AA785" i="7" s="1"/>
  <c r="AF785" i="7" s="1"/>
  <c r="AA784" i="7"/>
  <c r="AF784" i="7" s="1"/>
  <c r="Y784" i="7"/>
  <c r="AC784" i="7" s="1"/>
  <c r="AC1745" i="6"/>
  <c r="Y1745" i="6"/>
  <c r="AA1745" i="6" s="1"/>
  <c r="AF1745" i="6" s="1"/>
  <c r="Y1744" i="6"/>
  <c r="AC1743" i="6"/>
  <c r="Y1743" i="6"/>
  <c r="AA1743" i="6" s="1"/>
  <c r="AF1743" i="6" s="1"/>
  <c r="Y1742" i="6"/>
  <c r="AC1741" i="6"/>
  <c r="Y1741" i="6"/>
  <c r="AA1741" i="6" s="1"/>
  <c r="AF1741" i="6" s="1"/>
  <c r="Y1740" i="6"/>
  <c r="AC1739" i="6"/>
  <c r="Y1739" i="6"/>
  <c r="AA1739" i="6" s="1"/>
  <c r="AF1739" i="6" s="1"/>
  <c r="Y1738" i="6"/>
  <c r="AC1737" i="6"/>
  <c r="Y1737" i="6"/>
  <c r="AA1737" i="6" s="1"/>
  <c r="AF1737" i="6" s="1"/>
  <c r="Y1736" i="6"/>
  <c r="AC1735" i="6"/>
  <c r="Y1735" i="6"/>
  <c r="AA1735" i="6" s="1"/>
  <c r="AF1735" i="6" s="1"/>
  <c r="Y1734" i="6"/>
  <c r="AC1733" i="6"/>
  <c r="X1733" i="6"/>
  <c r="Y1733" i="6" s="1"/>
  <c r="AA1733" i="6" s="1"/>
  <c r="AF1733" i="6" s="1"/>
  <c r="AA1732" i="6"/>
  <c r="AF1732" i="6" s="1"/>
  <c r="Y1732" i="6"/>
  <c r="AC1732" i="6" s="1"/>
  <c r="X1731" i="6"/>
  <c r="Y1731" i="6" s="1"/>
  <c r="AC1730" i="6"/>
  <c r="Y1730" i="6"/>
  <c r="AA1730" i="6" s="1"/>
  <c r="AF1730" i="6" s="1"/>
  <c r="Y1729" i="6"/>
  <c r="AC1729" i="6" s="1"/>
  <c r="Y1728" i="6"/>
  <c r="AA1728" i="6" s="1"/>
  <c r="AF1728" i="6" s="1"/>
  <c r="Y1727" i="6"/>
  <c r="AC1727" i="6" s="1"/>
  <c r="Y1726" i="6"/>
  <c r="AA1726" i="6" s="1"/>
  <c r="AF1726" i="6" s="1"/>
  <c r="Y1725" i="6"/>
  <c r="AC1725" i="6" s="1"/>
  <c r="AC1724" i="6"/>
  <c r="Y1724" i="6"/>
  <c r="AA1724" i="6" s="1"/>
  <c r="AF1724" i="6" s="1"/>
  <c r="X1724" i="6"/>
  <c r="AA1723" i="6"/>
  <c r="AF1723" i="6" s="1"/>
  <c r="Y1723" i="6"/>
  <c r="AC1723" i="6" s="1"/>
  <c r="AA1722" i="6"/>
  <c r="AF1722" i="6" s="1"/>
  <c r="Y1722" i="6"/>
  <c r="AC1722" i="6" s="1"/>
  <c r="AA1721" i="6"/>
  <c r="AF1721" i="6" s="1"/>
  <c r="Y1721" i="6"/>
  <c r="AC1721" i="6" s="1"/>
  <c r="AA1720" i="6"/>
  <c r="AF1720" i="6" s="1"/>
  <c r="Y1720" i="6"/>
  <c r="AC1720" i="6" s="1"/>
  <c r="Y1719" i="6"/>
  <c r="AC1719" i="6" s="1"/>
  <c r="AF1718" i="6"/>
  <c r="AA1718" i="6"/>
  <c r="Y1718" i="6"/>
  <c r="AC1718" i="6" s="1"/>
  <c r="Y1717" i="6"/>
  <c r="AC1717" i="6" s="1"/>
  <c r="AA1716" i="6"/>
  <c r="AF1716" i="6" s="1"/>
  <c r="Y1716" i="6"/>
  <c r="AC1716" i="6" s="1"/>
  <c r="X1715" i="6"/>
  <c r="Y1715" i="6" s="1"/>
  <c r="AC1714" i="6"/>
  <c r="Y1714" i="6"/>
  <c r="AA1714" i="6" s="1"/>
  <c r="AF1714" i="6" s="1"/>
  <c r="Y1713" i="6"/>
  <c r="AC1712" i="6"/>
  <c r="Y1712" i="6"/>
  <c r="AA1712" i="6" s="1"/>
  <c r="AF1712" i="6" s="1"/>
  <c r="Y1711" i="6"/>
  <c r="AC1710" i="6"/>
  <c r="Y1710" i="6"/>
  <c r="AA1710" i="6" s="1"/>
  <c r="AF1710" i="6" s="1"/>
  <c r="Y1709" i="6"/>
  <c r="AC1708" i="6"/>
  <c r="Y1708" i="6"/>
  <c r="AA1708" i="6" s="1"/>
  <c r="AF1708" i="6" s="1"/>
  <c r="Y1707" i="6"/>
  <c r="AC1706" i="6"/>
  <c r="Y1706" i="6"/>
  <c r="AA1706" i="6" s="1"/>
  <c r="AF1706" i="6" s="1"/>
  <c r="Y1705" i="6"/>
  <c r="AC1704" i="6"/>
  <c r="Y1704" i="6"/>
  <c r="AA1704" i="6" s="1"/>
  <c r="AF1704" i="6" s="1"/>
  <c r="Y1703" i="6"/>
  <c r="AC1702" i="6"/>
  <c r="Y1702" i="6"/>
  <c r="AA1702" i="6" s="1"/>
  <c r="AF1702" i="6" s="1"/>
  <c r="Y1701" i="6"/>
  <c r="AA1700" i="6"/>
  <c r="AF1700" i="6" s="1"/>
  <c r="Y1700" i="6"/>
  <c r="Y1699" i="6"/>
  <c r="AC1699" i="6" s="1"/>
  <c r="AF1698" i="6"/>
  <c r="AA1698" i="6"/>
  <c r="Y1698" i="6"/>
  <c r="AC1698" i="6" s="1"/>
  <c r="Y1697" i="6"/>
  <c r="AC1697" i="6" s="1"/>
  <c r="AA1696" i="6"/>
  <c r="AF1696" i="6" s="1"/>
  <c r="Y1696" i="6"/>
  <c r="AC1696" i="6" s="1"/>
  <c r="AF1690" i="6"/>
  <c r="AF1688" i="6"/>
  <c r="AF1686" i="6"/>
  <c r="AC1683" i="6"/>
  <c r="Z1683" i="6"/>
  <c r="AA1683" i="6" s="1"/>
  <c r="AF1683" i="6" s="1"/>
  <c r="X1683" i="6"/>
  <c r="Y1683" i="6" s="1"/>
  <c r="AC1682" i="6"/>
  <c r="Z1682" i="6"/>
  <c r="AA1682" i="6" s="1"/>
  <c r="AF1682" i="6" s="1"/>
  <c r="Y1682" i="6"/>
  <c r="AF1681" i="6"/>
  <c r="AA1681" i="6"/>
  <c r="Z1681" i="6"/>
  <c r="Y1681" i="6"/>
  <c r="AC1681" i="6" s="1"/>
  <c r="AC1680" i="6"/>
  <c r="Z1680" i="6"/>
  <c r="AA1680" i="6" s="1"/>
  <c r="AF1680" i="6" s="1"/>
  <c r="Y1680" i="6"/>
  <c r="Z1679" i="6"/>
  <c r="Y1679" i="6"/>
  <c r="AC1678" i="6"/>
  <c r="Z1678" i="6"/>
  <c r="AA1678" i="6" s="1"/>
  <c r="AF1678" i="6" s="1"/>
  <c r="Y1678" i="6"/>
  <c r="Z1677" i="6"/>
  <c r="Y1677" i="6"/>
  <c r="AC1677" i="6" s="1"/>
  <c r="AC1676" i="6"/>
  <c r="Z1676" i="6"/>
  <c r="AA1676" i="6" s="1"/>
  <c r="AF1676" i="6" s="1"/>
  <c r="Y1676" i="6"/>
  <c r="AF1675" i="6"/>
  <c r="AA1675" i="6"/>
  <c r="Z1675" i="6"/>
  <c r="Y1675" i="6"/>
  <c r="AC1675" i="6" s="1"/>
  <c r="AC1674" i="6"/>
  <c r="Z1674" i="6"/>
  <c r="AA1674" i="6" s="1"/>
  <c r="AF1674" i="6" s="1"/>
  <c r="Y1674" i="6"/>
  <c r="AF1673" i="6"/>
  <c r="AA1673" i="6"/>
  <c r="Z1673" i="6"/>
  <c r="Y1673" i="6"/>
  <c r="AC1673" i="6" s="1"/>
  <c r="AC1672" i="6"/>
  <c r="Z1672" i="6"/>
  <c r="AA1672" i="6" s="1"/>
  <c r="AF1672" i="6" s="1"/>
  <c r="Y1672" i="6"/>
  <c r="Z1671" i="6"/>
  <c r="Y1671" i="6"/>
  <c r="AC1670" i="6"/>
  <c r="Z1670" i="6"/>
  <c r="AA1670" i="6" s="1"/>
  <c r="AF1670" i="6" s="1"/>
  <c r="Y1670" i="6"/>
  <c r="Z1669" i="6"/>
  <c r="Y1669" i="6"/>
  <c r="AC1668" i="6"/>
  <c r="Z1668" i="6"/>
  <c r="AA1668" i="6" s="1"/>
  <c r="AF1668" i="6" s="1"/>
  <c r="Y1668" i="6"/>
  <c r="AF1667" i="6"/>
  <c r="AA1667" i="6"/>
  <c r="Z1667" i="6"/>
  <c r="Y1667" i="6"/>
  <c r="AC1667" i="6" s="1"/>
  <c r="AC1666" i="6"/>
  <c r="Z1666" i="6"/>
  <c r="AA1666" i="6" s="1"/>
  <c r="AF1666" i="6" s="1"/>
  <c r="Y1666" i="6"/>
  <c r="AF1665" i="6"/>
  <c r="AA1665" i="6"/>
  <c r="Z1665" i="6"/>
  <c r="Y1665" i="6"/>
  <c r="AC1665" i="6" s="1"/>
  <c r="AC1664" i="6"/>
  <c r="Z1664" i="6"/>
  <c r="AA1664" i="6" s="1"/>
  <c r="AF1664" i="6" s="1"/>
  <c r="Y1664" i="6"/>
  <c r="Z1663" i="6"/>
  <c r="Y1663" i="6"/>
  <c r="AC1662" i="6"/>
  <c r="Z1662" i="6"/>
  <c r="AA1662" i="6" s="1"/>
  <c r="AF1662" i="6" s="1"/>
  <c r="Y1662" i="6"/>
  <c r="Z1661" i="6"/>
  <c r="Y1661" i="6"/>
  <c r="AC1660" i="6"/>
  <c r="Z1660" i="6"/>
  <c r="AA1660" i="6" s="1"/>
  <c r="AF1660" i="6" s="1"/>
  <c r="Y1660" i="6"/>
  <c r="AA1659" i="6"/>
  <c r="AF1659" i="6" s="1"/>
  <c r="Z1659" i="6"/>
  <c r="Y1659" i="6"/>
  <c r="AC1659" i="6" s="1"/>
  <c r="AC1658" i="6"/>
  <c r="Z1658" i="6"/>
  <c r="AA1658" i="6" s="1"/>
  <c r="AF1658" i="6" s="1"/>
  <c r="Y1658" i="6"/>
  <c r="AF1657" i="6"/>
  <c r="AA1657" i="6"/>
  <c r="Z1657" i="6"/>
  <c r="Y1657" i="6"/>
  <c r="AC1657" i="6" s="1"/>
  <c r="AC1656" i="6"/>
  <c r="Z1656" i="6"/>
  <c r="AA1656" i="6" s="1"/>
  <c r="AF1656" i="6" s="1"/>
  <c r="Y1656" i="6"/>
  <c r="Z1655" i="6"/>
  <c r="Y1655" i="6"/>
  <c r="AC1654" i="6"/>
  <c r="Z1654" i="6"/>
  <c r="AA1654" i="6" s="1"/>
  <c r="AF1654" i="6" s="1"/>
  <c r="Y1654" i="6"/>
  <c r="AA1653" i="6"/>
  <c r="AF1653" i="6" s="1"/>
  <c r="Z1653" i="6"/>
  <c r="Y1653" i="6"/>
  <c r="AC1653" i="6" s="1"/>
  <c r="AC1652" i="6"/>
  <c r="Z1652" i="6"/>
  <c r="AA1652" i="6" s="1"/>
  <c r="AF1652" i="6" s="1"/>
  <c r="Y1652" i="6"/>
  <c r="AF1651" i="6"/>
  <c r="AA1651" i="6"/>
  <c r="Z1651" i="6"/>
  <c r="Y1651" i="6"/>
  <c r="AC1651" i="6" s="1"/>
  <c r="AC1650" i="6"/>
  <c r="Z1650" i="6"/>
  <c r="AA1650" i="6" s="1"/>
  <c r="AF1650" i="6" s="1"/>
  <c r="Y1650" i="6"/>
  <c r="AF1649" i="6"/>
  <c r="AA1649" i="6"/>
  <c r="Z1649" i="6"/>
  <c r="Y1649" i="6"/>
  <c r="AC1649" i="6" s="1"/>
  <c r="AC1648" i="6"/>
  <c r="Z1648" i="6"/>
  <c r="AA1648" i="6" s="1"/>
  <c r="AF1648" i="6" s="1"/>
  <c r="Y1648" i="6"/>
  <c r="Z1647" i="6"/>
  <c r="Y1647" i="6"/>
  <c r="AC1646" i="6"/>
  <c r="Z1646" i="6"/>
  <c r="AA1646" i="6" s="1"/>
  <c r="AF1646" i="6" s="1"/>
  <c r="Y1646" i="6"/>
  <c r="AA1645" i="6"/>
  <c r="AF1645" i="6" s="1"/>
  <c r="Z1645" i="6"/>
  <c r="Y1645" i="6"/>
  <c r="AC1645" i="6" s="1"/>
  <c r="AC1644" i="6"/>
  <c r="Z1644" i="6"/>
  <c r="AA1644" i="6" s="1"/>
  <c r="AF1644" i="6" s="1"/>
  <c r="Y1644" i="6"/>
  <c r="AA1643" i="6"/>
  <c r="AF1643" i="6" s="1"/>
  <c r="Z1643" i="6"/>
  <c r="Y1643" i="6"/>
  <c r="AC1643" i="6" s="1"/>
  <c r="AC1642" i="6"/>
  <c r="Z1642" i="6"/>
  <c r="AA1642" i="6" s="1"/>
  <c r="AF1642" i="6" s="1"/>
  <c r="Y1642" i="6"/>
  <c r="AF1641" i="6"/>
  <c r="AA1641" i="6"/>
  <c r="Z1641" i="6"/>
  <c r="Y1641" i="6"/>
  <c r="AC1641" i="6" s="1"/>
  <c r="AC1640" i="6"/>
  <c r="Z1640" i="6"/>
  <c r="AA1640" i="6" s="1"/>
  <c r="AF1640" i="6" s="1"/>
  <c r="Y1640" i="6"/>
  <c r="Z1639" i="6"/>
  <c r="Y1639" i="6"/>
  <c r="AC1638" i="6"/>
  <c r="Z1638" i="6"/>
  <c r="AA1638" i="6" s="1"/>
  <c r="AF1638" i="6" s="1"/>
  <c r="Y1638" i="6"/>
  <c r="AA1637" i="6"/>
  <c r="AF1637" i="6" s="1"/>
  <c r="Z1637" i="6"/>
  <c r="Y1637" i="6"/>
  <c r="AC1637" i="6" s="1"/>
  <c r="AC1636" i="6"/>
  <c r="Z1636" i="6"/>
  <c r="AA1636" i="6" s="1"/>
  <c r="AF1636" i="6" s="1"/>
  <c r="Y1636" i="6"/>
  <c r="AA1635" i="6"/>
  <c r="AF1635" i="6" s="1"/>
  <c r="Z1635" i="6"/>
  <c r="Y1635" i="6"/>
  <c r="AC1635" i="6" s="1"/>
  <c r="AC1634" i="6"/>
  <c r="Z1634" i="6"/>
  <c r="AA1634" i="6" s="1"/>
  <c r="AF1634" i="6" s="1"/>
  <c r="Y1634" i="6"/>
  <c r="AF1633" i="6"/>
  <c r="AA1633" i="6"/>
  <c r="Z1633" i="6"/>
  <c r="Y1633" i="6"/>
  <c r="AC1633" i="6" s="1"/>
  <c r="AC1632" i="6"/>
  <c r="Z1632" i="6"/>
  <c r="AA1632" i="6" s="1"/>
  <c r="AF1632" i="6" s="1"/>
  <c r="Y1632" i="6"/>
  <c r="Z1631" i="6"/>
  <c r="Y1631" i="6"/>
  <c r="AC1630" i="6"/>
  <c r="Z1630" i="6"/>
  <c r="AA1630" i="6" s="1"/>
  <c r="AF1630" i="6" s="1"/>
  <c r="Y1630" i="6"/>
  <c r="AA1629" i="6"/>
  <c r="AF1629" i="6" s="1"/>
  <c r="Z1629" i="6"/>
  <c r="Y1629" i="6"/>
  <c r="AC1629" i="6" s="1"/>
  <c r="AC1628" i="6"/>
  <c r="Z1628" i="6"/>
  <c r="AA1628" i="6" s="1"/>
  <c r="AF1628" i="6" s="1"/>
  <c r="Y1628" i="6"/>
  <c r="AF1627" i="6"/>
  <c r="AA1627" i="6"/>
  <c r="Z1627" i="6"/>
  <c r="Y1627" i="6"/>
  <c r="AC1627" i="6" s="1"/>
  <c r="AC1626" i="6"/>
  <c r="Z1626" i="6"/>
  <c r="AA1626" i="6" s="1"/>
  <c r="AF1626" i="6" s="1"/>
  <c r="Y1626" i="6"/>
  <c r="AF1625" i="6"/>
  <c r="AA1625" i="6"/>
  <c r="Z1625" i="6"/>
  <c r="Y1625" i="6"/>
  <c r="AC1625" i="6" s="1"/>
  <c r="AC1624" i="6"/>
  <c r="Z1624" i="6"/>
  <c r="AA1624" i="6" s="1"/>
  <c r="AF1624" i="6" s="1"/>
  <c r="Y1624" i="6"/>
  <c r="Z1623" i="6"/>
  <c r="Y1623" i="6"/>
  <c r="AC1622" i="6"/>
  <c r="Z1622" i="6"/>
  <c r="AA1622" i="6" s="1"/>
  <c r="AF1622" i="6" s="1"/>
  <c r="Y1622" i="6"/>
  <c r="Z1621" i="6"/>
  <c r="Y1621" i="6"/>
  <c r="AC1621" i="6" s="1"/>
  <c r="AC1620" i="6"/>
  <c r="AA1620" i="6"/>
  <c r="AF1620" i="6" s="1"/>
  <c r="Z1620" i="6"/>
  <c r="Y1620" i="6"/>
  <c r="AF1619" i="6"/>
  <c r="AA1619" i="6"/>
  <c r="Z1619" i="6"/>
  <c r="Y1619" i="6"/>
  <c r="AC1619" i="6" s="1"/>
  <c r="AC1618" i="6"/>
  <c r="Z1618" i="6"/>
  <c r="AA1618" i="6" s="1"/>
  <c r="AF1618" i="6" s="1"/>
  <c r="Y1618" i="6"/>
  <c r="AF1617" i="6"/>
  <c r="AA1617" i="6"/>
  <c r="Z1617" i="6"/>
  <c r="Y1617" i="6"/>
  <c r="AC1617" i="6" s="1"/>
  <c r="AC1616" i="6"/>
  <c r="Z1616" i="6"/>
  <c r="AA1616" i="6" s="1"/>
  <c r="AF1616" i="6" s="1"/>
  <c r="Y1616" i="6"/>
  <c r="Z1615" i="6"/>
  <c r="Y1615" i="6"/>
  <c r="AC1614" i="6"/>
  <c r="Z1614" i="6"/>
  <c r="AA1614" i="6" s="1"/>
  <c r="AF1614" i="6" s="1"/>
  <c r="Y1614" i="6"/>
  <c r="Z1613" i="6"/>
  <c r="Y1613" i="6"/>
  <c r="X1613" i="6"/>
  <c r="Z1612" i="6"/>
  <c r="Y1612" i="6"/>
  <c r="AC1611" i="6"/>
  <c r="Z1611" i="6"/>
  <c r="AA1611" i="6" s="1"/>
  <c r="AF1611" i="6" s="1"/>
  <c r="Y1611" i="6"/>
  <c r="Z1610" i="6"/>
  <c r="Y1610" i="6"/>
  <c r="AC1609" i="6"/>
  <c r="AA1609" i="6"/>
  <c r="AF1609" i="6" s="1"/>
  <c r="Z1609" i="6"/>
  <c r="Y1609" i="6"/>
  <c r="AF1608" i="6"/>
  <c r="AA1608" i="6"/>
  <c r="Z1608" i="6"/>
  <c r="Y1608" i="6"/>
  <c r="AC1608" i="6" s="1"/>
  <c r="AC1607" i="6"/>
  <c r="Z1607" i="6"/>
  <c r="AA1607" i="6" s="1"/>
  <c r="AF1607" i="6" s="1"/>
  <c r="Y1607" i="6"/>
  <c r="AF1606" i="6"/>
  <c r="AA1606" i="6"/>
  <c r="Z1606" i="6"/>
  <c r="Y1606" i="6"/>
  <c r="AC1606" i="6" s="1"/>
  <c r="AC1605" i="6"/>
  <c r="Z1605" i="6"/>
  <c r="AA1605" i="6" s="1"/>
  <c r="AF1605" i="6" s="1"/>
  <c r="Y1605" i="6"/>
  <c r="Z1604" i="6"/>
  <c r="Y1604" i="6"/>
  <c r="AC1603" i="6"/>
  <c r="Z1603" i="6"/>
  <c r="AA1603" i="6" s="1"/>
  <c r="AF1603" i="6" s="1"/>
  <c r="Y1603" i="6"/>
  <c r="AA1602" i="6"/>
  <c r="AF1602" i="6" s="1"/>
  <c r="Z1602" i="6"/>
  <c r="Y1602" i="6"/>
  <c r="AC1602" i="6" s="1"/>
  <c r="AC1601" i="6"/>
  <c r="Z1601" i="6"/>
  <c r="AA1601" i="6" s="1"/>
  <c r="AF1601" i="6" s="1"/>
  <c r="Y1601" i="6"/>
  <c r="AA1600" i="6"/>
  <c r="AF1600" i="6" s="1"/>
  <c r="Z1600" i="6"/>
  <c r="Y1600" i="6"/>
  <c r="AC1600" i="6" s="1"/>
  <c r="X1600" i="6"/>
  <c r="Z1599" i="6"/>
  <c r="Y1599" i="6"/>
  <c r="AC1599" i="6" s="1"/>
  <c r="AC1598" i="6"/>
  <c r="Z1598" i="6"/>
  <c r="AA1598" i="6" s="1"/>
  <c r="AF1598" i="6" s="1"/>
  <c r="Y1598" i="6"/>
  <c r="AF1597" i="6"/>
  <c r="AA1597" i="6"/>
  <c r="Z1597" i="6"/>
  <c r="Y1597" i="6"/>
  <c r="AC1597" i="6" s="1"/>
  <c r="Z1596" i="6"/>
  <c r="AA1596" i="6" s="1"/>
  <c r="AF1596" i="6" s="1"/>
  <c r="Y1596" i="6"/>
  <c r="AC1596" i="6" s="1"/>
  <c r="AF1595" i="6"/>
  <c r="AA1595" i="6"/>
  <c r="Z1595" i="6"/>
  <c r="Y1595" i="6"/>
  <c r="AC1595" i="6" s="1"/>
  <c r="AC1594" i="6"/>
  <c r="Z1594" i="6"/>
  <c r="AA1594" i="6" s="1"/>
  <c r="AF1594" i="6" s="1"/>
  <c r="Y1594" i="6"/>
  <c r="Z1593" i="6"/>
  <c r="Y1593" i="6"/>
  <c r="AC1592" i="6"/>
  <c r="Z1592" i="6"/>
  <c r="AA1592" i="6" s="1"/>
  <c r="AF1592" i="6" s="1"/>
  <c r="Y1592" i="6"/>
  <c r="Z1591" i="6"/>
  <c r="Y1591" i="6"/>
  <c r="AC1591" i="6" s="1"/>
  <c r="X1591" i="6"/>
  <c r="Z1590" i="6"/>
  <c r="Y1590" i="6"/>
  <c r="AC1589" i="6"/>
  <c r="Z1589" i="6"/>
  <c r="AA1589" i="6" s="1"/>
  <c r="AF1589" i="6" s="1"/>
  <c r="Y1589" i="6"/>
  <c r="Z1588" i="6"/>
  <c r="Y1588" i="6"/>
  <c r="AC1588" i="6" s="1"/>
  <c r="AC1587" i="6"/>
  <c r="Z1587" i="6"/>
  <c r="AA1587" i="6" s="1"/>
  <c r="AF1587" i="6" s="1"/>
  <c r="Y1587" i="6"/>
  <c r="AF1586" i="6"/>
  <c r="AA1586" i="6"/>
  <c r="Z1586" i="6"/>
  <c r="Y1586" i="6"/>
  <c r="AC1586" i="6" s="1"/>
  <c r="Z1585" i="6"/>
  <c r="AA1585" i="6" s="1"/>
  <c r="AF1585" i="6" s="1"/>
  <c r="Y1585" i="6"/>
  <c r="AC1585" i="6" s="1"/>
  <c r="AF1584" i="6"/>
  <c r="AC1584" i="6"/>
  <c r="AA1584" i="6"/>
  <c r="Z1584" i="6"/>
  <c r="Y1584" i="6"/>
  <c r="AC1583" i="6"/>
  <c r="Z1583" i="6"/>
  <c r="AA1583" i="6" s="1"/>
  <c r="AF1583" i="6" s="1"/>
  <c r="Y1583" i="6"/>
  <c r="Z1582" i="6"/>
  <c r="AA1582" i="6" s="1"/>
  <c r="AF1582" i="6" s="1"/>
  <c r="Y1582" i="6"/>
  <c r="AC1582" i="6" s="1"/>
  <c r="AC1581" i="6"/>
  <c r="Z1581" i="6"/>
  <c r="AA1581" i="6" s="1"/>
  <c r="AF1581" i="6" s="1"/>
  <c r="Y1581" i="6"/>
  <c r="Z1580" i="6"/>
  <c r="Y1580" i="6"/>
  <c r="AC1579" i="6"/>
  <c r="Z1579" i="6"/>
  <c r="Y1579" i="6"/>
  <c r="AA1579" i="6" s="1"/>
  <c r="AF1579" i="6" s="1"/>
  <c r="AF1578" i="6"/>
  <c r="AA1578" i="6"/>
  <c r="Z1578" i="6"/>
  <c r="Y1578" i="6"/>
  <c r="AC1578" i="6" s="1"/>
  <c r="Z1577" i="6"/>
  <c r="AA1577" i="6" s="1"/>
  <c r="AF1577" i="6" s="1"/>
  <c r="Y1577" i="6"/>
  <c r="AC1577" i="6" s="1"/>
  <c r="Z1576" i="6"/>
  <c r="X1576" i="6"/>
  <c r="Y1576" i="6" s="1"/>
  <c r="AA1575" i="6"/>
  <c r="AF1575" i="6" s="1"/>
  <c r="Z1575" i="6"/>
  <c r="Y1575" i="6"/>
  <c r="AC1575" i="6" s="1"/>
  <c r="X1575" i="6"/>
  <c r="AA1574" i="6"/>
  <c r="AF1574" i="6" s="1"/>
  <c r="Z1574" i="6"/>
  <c r="Y1574" i="6"/>
  <c r="AC1574" i="6" s="1"/>
  <c r="X1574" i="6"/>
  <c r="Z1573" i="6"/>
  <c r="AA1573" i="6" s="1"/>
  <c r="AF1573" i="6" s="1"/>
  <c r="Y1573" i="6"/>
  <c r="AC1573" i="6" s="1"/>
  <c r="AC1572" i="6"/>
  <c r="Z1572" i="6"/>
  <c r="AA1572" i="6" s="1"/>
  <c r="AF1572" i="6" s="1"/>
  <c r="Y1572" i="6"/>
  <c r="AA1571" i="6"/>
  <c r="AF1571" i="6" s="1"/>
  <c r="Z1571" i="6"/>
  <c r="Y1571" i="6"/>
  <c r="AC1571" i="6" s="1"/>
  <c r="AC1570" i="6"/>
  <c r="Z1570" i="6"/>
  <c r="Y1570" i="6"/>
  <c r="AA1570" i="6" s="1"/>
  <c r="AF1570" i="6" s="1"/>
  <c r="AF1569" i="6"/>
  <c r="AA1569" i="6"/>
  <c r="Z1569" i="6"/>
  <c r="Y1569" i="6"/>
  <c r="AC1569" i="6" s="1"/>
  <c r="Z1568" i="6"/>
  <c r="AA1568" i="6" s="1"/>
  <c r="AF1568" i="6" s="1"/>
  <c r="Y1568" i="6"/>
  <c r="AC1568" i="6" s="1"/>
  <c r="AF1567" i="6"/>
  <c r="AA1567" i="6"/>
  <c r="Z1567" i="6"/>
  <c r="Y1567" i="6"/>
  <c r="AC1567" i="6" s="1"/>
  <c r="AC1566" i="6"/>
  <c r="Z1566" i="6"/>
  <c r="AA1566" i="6" s="1"/>
  <c r="AF1566" i="6" s="1"/>
  <c r="Y1566" i="6"/>
  <c r="Z1565" i="6"/>
  <c r="Y1565" i="6"/>
  <c r="AC1564" i="6"/>
  <c r="Z1564" i="6"/>
  <c r="AA1564" i="6" s="1"/>
  <c r="AF1564" i="6" s="1"/>
  <c r="Y1564" i="6"/>
  <c r="AA1563" i="6"/>
  <c r="AF1563" i="6" s="1"/>
  <c r="Z1563" i="6"/>
  <c r="Y1563" i="6"/>
  <c r="AC1563" i="6" s="1"/>
  <c r="AC1562" i="6"/>
  <c r="AA1562" i="6"/>
  <c r="AF1562" i="6" s="1"/>
  <c r="Z1562" i="6"/>
  <c r="Y1562" i="6"/>
  <c r="AF1561" i="6"/>
  <c r="AA1561" i="6"/>
  <c r="Z1561" i="6"/>
  <c r="Y1561" i="6"/>
  <c r="AC1561" i="6" s="1"/>
  <c r="Z1560" i="6"/>
  <c r="AA1560" i="6" s="1"/>
  <c r="AF1560" i="6" s="1"/>
  <c r="Y1560" i="6"/>
  <c r="AC1560" i="6" s="1"/>
  <c r="AA1559" i="6"/>
  <c r="AF1559" i="6" s="1"/>
  <c r="Z1559" i="6"/>
  <c r="Y1559" i="6"/>
  <c r="AC1559" i="6" s="1"/>
  <c r="AC1558" i="6"/>
  <c r="Z1558" i="6"/>
  <c r="AA1558" i="6" s="1"/>
  <c r="AF1558" i="6" s="1"/>
  <c r="Y1558" i="6"/>
  <c r="Z1557" i="6"/>
  <c r="Y1557" i="6"/>
  <c r="AC1556" i="6"/>
  <c r="Z1556" i="6"/>
  <c r="AA1556" i="6" s="1"/>
  <c r="AF1556" i="6" s="1"/>
  <c r="Y1556" i="6"/>
  <c r="Z1555" i="6"/>
  <c r="Y1555" i="6"/>
  <c r="AC1555" i="6" s="1"/>
  <c r="AC1554" i="6"/>
  <c r="Z1554" i="6"/>
  <c r="AA1554" i="6" s="1"/>
  <c r="AF1554" i="6" s="1"/>
  <c r="Y1554" i="6"/>
  <c r="Z1553" i="6"/>
  <c r="Y1553" i="6"/>
  <c r="AC1553" i="6" s="1"/>
  <c r="Z1552" i="6"/>
  <c r="AA1552" i="6" s="1"/>
  <c r="AF1552" i="6" s="1"/>
  <c r="Y1552" i="6"/>
  <c r="AC1552" i="6" s="1"/>
  <c r="AF1551" i="6"/>
  <c r="AA1551" i="6"/>
  <c r="Z1551" i="6"/>
  <c r="Y1551" i="6"/>
  <c r="AC1551" i="6" s="1"/>
  <c r="AC1550" i="6"/>
  <c r="Z1550" i="6"/>
  <c r="AA1550" i="6" s="1"/>
  <c r="AF1550" i="6" s="1"/>
  <c r="Y1550" i="6"/>
  <c r="Z1549" i="6"/>
  <c r="Y1549" i="6"/>
  <c r="AC1548" i="6"/>
  <c r="Z1548" i="6"/>
  <c r="AA1548" i="6" s="1"/>
  <c r="AF1548" i="6" s="1"/>
  <c r="Y1548" i="6"/>
  <c r="X1548" i="6"/>
  <c r="Z1547" i="6"/>
  <c r="AA1547" i="6" s="1"/>
  <c r="AF1547" i="6" s="1"/>
  <c r="X1547" i="6"/>
  <c r="Y1547" i="6" s="1"/>
  <c r="AC1547" i="6" s="1"/>
  <c r="Z1546" i="6"/>
  <c r="AA1546" i="6" s="1"/>
  <c r="AF1546" i="6" s="1"/>
  <c r="X1546" i="6"/>
  <c r="Y1546" i="6" s="1"/>
  <c r="AC1546" i="6" s="1"/>
  <c r="AC1545" i="6"/>
  <c r="AA1545" i="6"/>
  <c r="AF1545" i="6" s="1"/>
  <c r="Z1545" i="6"/>
  <c r="Y1545" i="6"/>
  <c r="AF1544" i="6"/>
  <c r="AA1544" i="6"/>
  <c r="Z1544" i="6"/>
  <c r="Y1544" i="6"/>
  <c r="AC1544" i="6" s="1"/>
  <c r="Z1543" i="6"/>
  <c r="AA1543" i="6" s="1"/>
  <c r="AF1543" i="6" s="1"/>
  <c r="Y1543" i="6"/>
  <c r="AC1543" i="6" s="1"/>
  <c r="AA1542" i="6"/>
  <c r="AF1542" i="6" s="1"/>
  <c r="Z1542" i="6"/>
  <c r="Y1542" i="6"/>
  <c r="AC1542" i="6" s="1"/>
  <c r="X1542" i="6"/>
  <c r="Z1541" i="6"/>
  <c r="Y1541" i="6"/>
  <c r="AC1541" i="6" s="1"/>
  <c r="X1541" i="6"/>
  <c r="AA1540" i="6"/>
  <c r="AF1540" i="6" s="1"/>
  <c r="Z1540" i="6"/>
  <c r="Y1540" i="6"/>
  <c r="AC1540" i="6" s="1"/>
  <c r="AC1539" i="6"/>
  <c r="Z1539" i="6"/>
  <c r="X1539" i="6"/>
  <c r="Y1539" i="6" s="1"/>
  <c r="AA1539" i="6" s="1"/>
  <c r="AF1539" i="6" s="1"/>
  <c r="AC1538" i="6"/>
  <c r="Z1538" i="6"/>
  <c r="AA1538" i="6" s="1"/>
  <c r="AF1538" i="6" s="1"/>
  <c r="Y1538" i="6"/>
  <c r="AA1537" i="6"/>
  <c r="AF1537" i="6" s="1"/>
  <c r="Z1537" i="6"/>
  <c r="Y1537" i="6"/>
  <c r="AC1537" i="6" s="1"/>
  <c r="AC1536" i="6"/>
  <c r="AA1536" i="6"/>
  <c r="AF1536" i="6" s="1"/>
  <c r="Z1536" i="6"/>
  <c r="Y1536" i="6"/>
  <c r="AA1535" i="6"/>
  <c r="AF1535" i="6" s="1"/>
  <c r="Z1535" i="6"/>
  <c r="Y1535" i="6"/>
  <c r="AC1535" i="6" s="1"/>
  <c r="Z1534" i="6"/>
  <c r="AA1534" i="6" s="1"/>
  <c r="AF1534" i="6" s="1"/>
  <c r="Y1534" i="6"/>
  <c r="AC1534" i="6" s="1"/>
  <c r="Z1533" i="6"/>
  <c r="X1533" i="6"/>
  <c r="Y1533" i="6" s="1"/>
  <c r="AF1532" i="6"/>
  <c r="AA1532" i="6"/>
  <c r="Z1532" i="6"/>
  <c r="Y1532" i="6"/>
  <c r="AC1532" i="6" s="1"/>
  <c r="Z1531" i="6"/>
  <c r="AA1531" i="6" s="1"/>
  <c r="AF1531" i="6" s="1"/>
  <c r="Y1531" i="6"/>
  <c r="AC1531" i="6" s="1"/>
  <c r="AA1530" i="6"/>
  <c r="AF1530" i="6" s="1"/>
  <c r="Z1530" i="6"/>
  <c r="Y1530" i="6"/>
  <c r="AC1530" i="6" s="1"/>
  <c r="X1530" i="6"/>
  <c r="Z1529" i="6"/>
  <c r="Y1529" i="6"/>
  <c r="Z1528" i="6"/>
  <c r="AA1528" i="6" s="1"/>
  <c r="AF1528" i="6" s="1"/>
  <c r="Y1528" i="6"/>
  <c r="AC1528" i="6" s="1"/>
  <c r="AF1527" i="6"/>
  <c r="AA1527" i="6"/>
  <c r="Y1527" i="6"/>
  <c r="AC1527" i="6" s="1"/>
  <c r="AA1526" i="6"/>
  <c r="AF1526" i="6" s="1"/>
  <c r="Y1526" i="6"/>
  <c r="AC1526" i="6" s="1"/>
  <c r="AF1525" i="6"/>
  <c r="AA1525" i="6"/>
  <c r="Y1525" i="6"/>
  <c r="AC1525" i="6" s="1"/>
  <c r="AA1524" i="6"/>
  <c r="AF1524" i="6" s="1"/>
  <c r="Y1524" i="6"/>
  <c r="AC1524" i="6" s="1"/>
  <c r="AA1523" i="6"/>
  <c r="AF1523" i="6" s="1"/>
  <c r="Y1523" i="6"/>
  <c r="AC1523" i="6" s="1"/>
  <c r="AA1522" i="6"/>
  <c r="AF1522" i="6" s="1"/>
  <c r="Y1522" i="6"/>
  <c r="AC1522" i="6" s="1"/>
  <c r="AF1521" i="6"/>
  <c r="AA1521" i="6"/>
  <c r="Y1521" i="6"/>
  <c r="AC1521" i="6" s="1"/>
  <c r="AA1520" i="6"/>
  <c r="AF1520" i="6" s="1"/>
  <c r="Y1520" i="6"/>
  <c r="AC1520" i="6" s="1"/>
  <c r="Y1519" i="6"/>
  <c r="AC1519" i="6" s="1"/>
  <c r="AA1518" i="6"/>
  <c r="AF1518" i="6" s="1"/>
  <c r="Y1518" i="6"/>
  <c r="AC1518" i="6" s="1"/>
  <c r="Y1517" i="6"/>
  <c r="AC1517" i="6" s="1"/>
  <c r="Y1516" i="6"/>
  <c r="AC1516" i="6" s="1"/>
  <c r="X1515" i="6"/>
  <c r="Y1515" i="6" s="1"/>
  <c r="Y1514" i="6"/>
  <c r="AC1514" i="6" s="1"/>
  <c r="AC1513" i="6"/>
  <c r="Y1513" i="6"/>
  <c r="AA1513" i="6" s="1"/>
  <c r="AF1513" i="6" s="1"/>
  <c r="Y1512" i="6"/>
  <c r="AC1512" i="6" s="1"/>
  <c r="AC1511" i="6"/>
  <c r="Y1511" i="6"/>
  <c r="AA1511" i="6" s="1"/>
  <c r="AF1511" i="6" s="1"/>
  <c r="Y1510" i="6"/>
  <c r="AC1510" i="6" s="1"/>
  <c r="AC1509" i="6"/>
  <c r="Y1509" i="6"/>
  <c r="AA1509" i="6" s="1"/>
  <c r="AF1509" i="6" s="1"/>
  <c r="Y1508" i="6"/>
  <c r="AC1508" i="6" s="1"/>
  <c r="AC1507" i="6"/>
  <c r="Y1507" i="6"/>
  <c r="AA1507" i="6" s="1"/>
  <c r="AF1507" i="6" s="1"/>
  <c r="Y1506" i="6"/>
  <c r="AC1506" i="6" s="1"/>
  <c r="Y1505" i="6"/>
  <c r="AC1505" i="6" s="1"/>
  <c r="AA1504" i="6"/>
  <c r="AF1504" i="6" s="1"/>
  <c r="Y1504" i="6"/>
  <c r="AC1504" i="6" s="1"/>
  <c r="Y1503" i="6"/>
  <c r="AC1503" i="6" s="1"/>
  <c r="Y1502" i="6"/>
  <c r="AC1502" i="6" s="1"/>
  <c r="Y1501" i="6"/>
  <c r="AC1501" i="6" s="1"/>
  <c r="AA1500" i="6"/>
  <c r="AF1500" i="6" s="1"/>
  <c r="Y1500" i="6"/>
  <c r="AC1500" i="6" s="1"/>
  <c r="Y1499" i="6"/>
  <c r="AC1499" i="6" s="1"/>
  <c r="Y1498" i="6"/>
  <c r="AC1498" i="6" s="1"/>
  <c r="Y1497" i="6"/>
  <c r="AC1497" i="6" s="1"/>
  <c r="AA1496" i="6"/>
  <c r="AF1496" i="6" s="1"/>
  <c r="Y1496" i="6"/>
  <c r="AC1496" i="6" s="1"/>
  <c r="Y1495" i="6"/>
  <c r="AC1495" i="6" s="1"/>
  <c r="AA1494" i="6"/>
  <c r="AF1494" i="6" s="1"/>
  <c r="Y1494" i="6"/>
  <c r="AC1494" i="6" s="1"/>
  <c r="Y1493" i="6"/>
  <c r="AC1493" i="6" s="1"/>
  <c r="Y1492" i="6"/>
  <c r="AC1492" i="6" s="1"/>
  <c r="Y1491" i="6"/>
  <c r="AC1491" i="6" s="1"/>
  <c r="Y1490" i="6"/>
  <c r="AC1490" i="6" s="1"/>
  <c r="Z1489" i="6"/>
  <c r="AA1489" i="6" s="1"/>
  <c r="AF1489" i="6" s="1"/>
  <c r="Y1489" i="6"/>
  <c r="AC1489" i="6" s="1"/>
  <c r="AC1488" i="6"/>
  <c r="AA1488" i="6"/>
  <c r="AF1488" i="6" s="1"/>
  <c r="Z1488" i="6"/>
  <c r="Y1488" i="6"/>
  <c r="Y1487" i="6"/>
  <c r="AC1487" i="6" s="1"/>
  <c r="AF1486" i="6"/>
  <c r="AC1486" i="6"/>
  <c r="AA1486" i="6"/>
  <c r="Y1486" i="6"/>
  <c r="AA1485" i="6"/>
  <c r="Y1484" i="6"/>
  <c r="AA1484" i="6" s="1"/>
  <c r="Y1483" i="6"/>
  <c r="AA1483" i="6" s="1"/>
  <c r="AA1482" i="6"/>
  <c r="Y1482" i="6"/>
  <c r="Y1481" i="6"/>
  <c r="AA1481" i="6" s="1"/>
  <c r="Y1480" i="6"/>
  <c r="AA1479" i="6"/>
  <c r="Y1479" i="6"/>
  <c r="Y1478" i="6"/>
  <c r="AA1478" i="6" s="1"/>
  <c r="Y1477" i="6"/>
  <c r="AA1477" i="6" s="1"/>
  <c r="AC1476" i="6"/>
  <c r="AA1476" i="6"/>
  <c r="AF1476" i="6" s="1"/>
  <c r="Y1476" i="6"/>
  <c r="Y1475" i="6"/>
  <c r="AC1475" i="6" s="1"/>
  <c r="AC1474" i="6"/>
  <c r="AA1474" i="6"/>
  <c r="AF1474" i="6" s="1"/>
  <c r="Y1474" i="6"/>
  <c r="X1474" i="6"/>
  <c r="Y1473" i="6"/>
  <c r="AC1473" i="6" s="1"/>
  <c r="AF1472" i="6"/>
  <c r="AC1472" i="6"/>
  <c r="AA1472" i="6"/>
  <c r="Y1472" i="6"/>
  <c r="Y1471" i="6"/>
  <c r="AC1471" i="6" s="1"/>
  <c r="AF1470" i="6"/>
  <c r="AC1470" i="6"/>
  <c r="X1470" i="6"/>
  <c r="Y1470" i="6" s="1"/>
  <c r="AA1470" i="6" s="1"/>
  <c r="Y1469" i="6"/>
  <c r="X1469" i="6"/>
  <c r="Y1468" i="6"/>
  <c r="AC1468" i="6" s="1"/>
  <c r="Y1467" i="6"/>
  <c r="AC1467" i="6" s="1"/>
  <c r="Y1466" i="6"/>
  <c r="AC1466" i="6" s="1"/>
  <c r="AA1465" i="6"/>
  <c r="AF1465" i="6" s="1"/>
  <c r="Y1465" i="6"/>
  <c r="AC1465" i="6" s="1"/>
  <c r="Y1464" i="6"/>
  <c r="AC1464" i="6" s="1"/>
  <c r="AA1463" i="6"/>
  <c r="AF1463" i="6" s="1"/>
  <c r="Y1463" i="6"/>
  <c r="AC1463" i="6" s="1"/>
  <c r="Y1462" i="6"/>
  <c r="AC1462" i="6" s="1"/>
  <c r="Y1461" i="6"/>
  <c r="AC1461" i="6" s="1"/>
  <c r="X1461" i="6"/>
  <c r="Y1460" i="6"/>
  <c r="AC1460" i="6" s="1"/>
  <c r="AC1459" i="6"/>
  <c r="AA1459" i="6"/>
  <c r="AF1459" i="6" s="1"/>
  <c r="Y1459" i="6"/>
  <c r="Y1458" i="6"/>
  <c r="AC1458" i="6" s="1"/>
  <c r="AC1457" i="6"/>
  <c r="AA1457" i="6"/>
  <c r="AF1457" i="6" s="1"/>
  <c r="Y1457" i="6"/>
  <c r="Y1456" i="6"/>
  <c r="AC1456" i="6" s="1"/>
  <c r="AC1455" i="6"/>
  <c r="AA1455" i="6"/>
  <c r="AF1455" i="6" s="1"/>
  <c r="Y1455" i="6"/>
  <c r="Y1454" i="6"/>
  <c r="AC1454" i="6" s="1"/>
  <c r="AC1453" i="6"/>
  <c r="AA1453" i="6"/>
  <c r="AF1453" i="6" s="1"/>
  <c r="Y1453" i="6"/>
  <c r="Y1452" i="6"/>
  <c r="AC1452" i="6" s="1"/>
  <c r="AC1451" i="6"/>
  <c r="AA1451" i="6"/>
  <c r="AF1451" i="6" s="1"/>
  <c r="Y1451" i="6"/>
  <c r="Y1450" i="6"/>
  <c r="AC1450" i="6" s="1"/>
  <c r="AC1449" i="6"/>
  <c r="AA1449" i="6"/>
  <c r="AF1449" i="6" s="1"/>
  <c r="Y1449" i="6"/>
  <c r="Y1448" i="6"/>
  <c r="AC1448" i="6" s="1"/>
  <c r="AC1447" i="6"/>
  <c r="AA1447" i="6"/>
  <c r="AF1447" i="6" s="1"/>
  <c r="Y1447" i="6"/>
  <c r="X1447" i="6"/>
  <c r="X1446" i="6"/>
  <c r="Y1446" i="6" s="1"/>
  <c r="AF1445" i="6"/>
  <c r="AA1445" i="6"/>
  <c r="Y1445" i="6"/>
  <c r="X1444" i="6"/>
  <c r="Y1444" i="6" s="1"/>
  <c r="AF1443" i="6"/>
  <c r="AC1443" i="6"/>
  <c r="Y1443" i="6"/>
  <c r="AA1443" i="6" s="1"/>
  <c r="X1442" i="6"/>
  <c r="Y1442" i="6" s="1"/>
  <c r="X1441" i="6"/>
  <c r="Y1441" i="6" s="1"/>
  <c r="AC1440" i="6"/>
  <c r="AA1440" i="6"/>
  <c r="AF1440" i="6" s="1"/>
  <c r="Y1440" i="6"/>
  <c r="Y1439" i="6"/>
  <c r="AC1439" i="6" s="1"/>
  <c r="AC1438" i="6"/>
  <c r="AA1438" i="6"/>
  <c r="AF1438" i="6" s="1"/>
  <c r="Y1438" i="6"/>
  <c r="X1438" i="6"/>
  <c r="Y1437" i="6"/>
  <c r="AC1437" i="6" s="1"/>
  <c r="AF1436" i="6"/>
  <c r="AC1436" i="6"/>
  <c r="AA1436" i="6"/>
  <c r="Y1436" i="6"/>
  <c r="Y1435" i="6"/>
  <c r="AC1435" i="6" s="1"/>
  <c r="AF1434" i="6"/>
  <c r="AC1434" i="6"/>
  <c r="X1434" i="6"/>
  <c r="Y1434" i="6" s="1"/>
  <c r="AA1434" i="6" s="1"/>
  <c r="Y1433" i="6"/>
  <c r="AF1432" i="6"/>
  <c r="AC1432" i="6"/>
  <c r="Y1432" i="6"/>
  <c r="AA1432" i="6" s="1"/>
  <c r="X1432" i="6"/>
  <c r="Y1431" i="6"/>
  <c r="AC1431" i="6" s="1"/>
  <c r="X1430" i="6"/>
  <c r="Y1430" i="6" s="1"/>
  <c r="AC1429" i="6"/>
  <c r="AA1429" i="6"/>
  <c r="AF1429" i="6" s="1"/>
  <c r="Y1429" i="6"/>
  <c r="X1429" i="6"/>
  <c r="Y1428" i="6"/>
  <c r="AC1428" i="6" s="1"/>
  <c r="AF1427" i="6"/>
  <c r="AC1427" i="6"/>
  <c r="AA1427" i="6"/>
  <c r="Y1427" i="6"/>
  <c r="Y1426" i="6"/>
  <c r="AC1426" i="6" s="1"/>
  <c r="AF1425" i="6"/>
  <c r="AC1425" i="6"/>
  <c r="AA1425" i="6"/>
  <c r="Y1425" i="6"/>
  <c r="Y1424" i="6"/>
  <c r="AC1424" i="6" s="1"/>
  <c r="AC1423" i="6"/>
  <c r="X1423" i="6"/>
  <c r="Y1423" i="6" s="1"/>
  <c r="AA1423" i="6" s="1"/>
  <c r="AF1423" i="6" s="1"/>
  <c r="Y1422" i="6"/>
  <c r="AC1421" i="6"/>
  <c r="Y1421" i="6"/>
  <c r="AA1421" i="6" s="1"/>
  <c r="AF1421" i="6" s="1"/>
  <c r="Y1420" i="6"/>
  <c r="AC1419" i="6"/>
  <c r="Y1419" i="6"/>
  <c r="AA1419" i="6" s="1"/>
  <c r="AF1419" i="6" s="1"/>
  <c r="Y1418" i="6"/>
  <c r="AC1417" i="6"/>
  <c r="Y1417" i="6"/>
  <c r="AA1417" i="6" s="1"/>
  <c r="AF1417" i="6" s="1"/>
  <c r="Y1416" i="6"/>
  <c r="AC1415" i="6"/>
  <c r="Y1415" i="6"/>
  <c r="AA1415" i="6" s="1"/>
  <c r="AF1415" i="6" s="1"/>
  <c r="Y1414" i="6"/>
  <c r="AC1413" i="6"/>
  <c r="Y1413" i="6"/>
  <c r="AA1413" i="6" s="1"/>
  <c r="AF1413" i="6" s="1"/>
  <c r="Y1412" i="6"/>
  <c r="AU1411" i="6"/>
  <c r="Y1411" i="6"/>
  <c r="AC1411" i="6" s="1"/>
  <c r="AU1410" i="6"/>
  <c r="AC1410" i="6"/>
  <c r="AA1410" i="6"/>
  <c r="AF1410" i="6" s="1"/>
  <c r="Y1410" i="6"/>
  <c r="AC1409" i="6"/>
  <c r="AA1409" i="6"/>
  <c r="AF1409" i="6" s="1"/>
  <c r="Y1409" i="6"/>
  <c r="AC1408" i="6"/>
  <c r="AA1408" i="6"/>
  <c r="AF1408" i="6" s="1"/>
  <c r="Y1408" i="6"/>
  <c r="AC1407" i="6"/>
  <c r="Y1407" i="6"/>
  <c r="AA1407" i="6" s="1"/>
  <c r="AF1407" i="6" s="1"/>
  <c r="AC1406" i="6"/>
  <c r="AA1406" i="6"/>
  <c r="AF1406" i="6" s="1"/>
  <c r="Y1406" i="6"/>
  <c r="AC1405" i="6"/>
  <c r="Y1405" i="6"/>
  <c r="AA1405" i="6" s="1"/>
  <c r="AF1405" i="6" s="1"/>
  <c r="AC1404" i="6"/>
  <c r="AA1404" i="6"/>
  <c r="AF1404" i="6" s="1"/>
  <c r="Y1404" i="6"/>
  <c r="AC1403" i="6"/>
  <c r="Y1403" i="6"/>
  <c r="AA1403" i="6" s="1"/>
  <c r="AF1403" i="6" s="1"/>
  <c r="AC1402" i="6"/>
  <c r="AA1402" i="6"/>
  <c r="AF1402" i="6" s="1"/>
  <c r="Y1402" i="6"/>
  <c r="AC1401" i="6"/>
  <c r="Y1401" i="6"/>
  <c r="AA1401" i="6" s="1"/>
  <c r="AF1401" i="6" s="1"/>
  <c r="AC1400" i="6"/>
  <c r="AA1400" i="6"/>
  <c r="AF1400" i="6" s="1"/>
  <c r="Y1400" i="6"/>
  <c r="AC1399" i="6"/>
  <c r="Y1399" i="6"/>
  <c r="AA1399" i="6" s="1"/>
  <c r="AF1399" i="6" s="1"/>
  <c r="AC1398" i="6"/>
  <c r="AA1398" i="6"/>
  <c r="AF1398" i="6" s="1"/>
  <c r="Y1398" i="6"/>
  <c r="AC1397" i="6"/>
  <c r="Y1397" i="6"/>
  <c r="AA1397" i="6" s="1"/>
  <c r="AF1397" i="6" s="1"/>
  <c r="AC1396" i="6"/>
  <c r="AA1396" i="6"/>
  <c r="AF1396" i="6" s="1"/>
  <c r="Y1396" i="6"/>
  <c r="AC1395" i="6"/>
  <c r="Y1395" i="6"/>
  <c r="AA1395" i="6" s="1"/>
  <c r="AF1395" i="6" s="1"/>
  <c r="AC1394" i="6"/>
  <c r="AA1394" i="6"/>
  <c r="AF1394" i="6" s="1"/>
  <c r="Y1394" i="6"/>
  <c r="AC1393" i="6"/>
  <c r="Y1393" i="6"/>
  <c r="AA1393" i="6" s="1"/>
  <c r="AF1393" i="6" s="1"/>
  <c r="AC1392" i="6"/>
  <c r="AA1392" i="6"/>
  <c r="AF1392" i="6" s="1"/>
  <c r="Y1392" i="6"/>
  <c r="AC1391" i="6"/>
  <c r="Y1391" i="6"/>
  <c r="AA1391" i="6" s="1"/>
  <c r="AF1391" i="6" s="1"/>
  <c r="AC1390" i="6"/>
  <c r="AA1390" i="6"/>
  <c r="AF1390" i="6" s="1"/>
  <c r="Y1390" i="6"/>
  <c r="AC1389" i="6"/>
  <c r="Y1389" i="6"/>
  <c r="AA1389" i="6" s="1"/>
  <c r="AF1389" i="6" s="1"/>
  <c r="AC1388" i="6"/>
  <c r="AA1388" i="6"/>
  <c r="AF1388" i="6" s="1"/>
  <c r="Z1388" i="6"/>
  <c r="Y1388" i="6"/>
  <c r="Z1387" i="6"/>
  <c r="AA1387" i="6" s="1"/>
  <c r="AF1387" i="6" s="1"/>
  <c r="Y1387" i="6"/>
  <c r="AC1387" i="6" s="1"/>
  <c r="AF1386" i="6"/>
  <c r="AC1386" i="6"/>
  <c r="Z1386" i="6"/>
  <c r="AA1386" i="6" s="1"/>
  <c r="Y1386" i="6"/>
  <c r="Z1385" i="6"/>
  <c r="AA1385" i="6" s="1"/>
  <c r="AF1385" i="6" s="1"/>
  <c r="Y1385" i="6"/>
  <c r="AC1385" i="6" s="1"/>
  <c r="AC1384" i="6"/>
  <c r="Z1384" i="6"/>
  <c r="Y1384" i="6"/>
  <c r="AA1384" i="6" s="1"/>
  <c r="AF1384" i="6" s="1"/>
  <c r="AC1383" i="6"/>
  <c r="Z1383" i="6"/>
  <c r="Y1383" i="6"/>
  <c r="AA1383" i="6" s="1"/>
  <c r="AF1383" i="6" s="1"/>
  <c r="Z1382" i="6"/>
  <c r="AA1382" i="6" s="1"/>
  <c r="AF1382" i="6" s="1"/>
  <c r="Y1382" i="6"/>
  <c r="AC1382" i="6" s="1"/>
  <c r="AA1381" i="6"/>
  <c r="AF1381" i="6" s="1"/>
  <c r="Z1381" i="6"/>
  <c r="Y1381" i="6"/>
  <c r="AC1381" i="6" s="1"/>
  <c r="AC1380" i="6"/>
  <c r="AA1380" i="6"/>
  <c r="AF1380" i="6" s="1"/>
  <c r="Z1380" i="6"/>
  <c r="Y1380" i="6"/>
  <c r="Z1379" i="6"/>
  <c r="Y1379" i="6"/>
  <c r="AC1379" i="6" s="1"/>
  <c r="AF1378" i="6"/>
  <c r="AC1378" i="6"/>
  <c r="Z1378" i="6"/>
  <c r="AA1378" i="6" s="1"/>
  <c r="Y1378" i="6"/>
  <c r="Z1377" i="6"/>
  <c r="AA1377" i="6" s="1"/>
  <c r="AF1377" i="6" s="1"/>
  <c r="Y1377" i="6"/>
  <c r="AC1377" i="6" s="1"/>
  <c r="AC1376" i="6"/>
  <c r="Z1376" i="6"/>
  <c r="Y1376" i="6"/>
  <c r="AA1376" i="6" s="1"/>
  <c r="AF1376" i="6" s="1"/>
  <c r="AC1375" i="6"/>
  <c r="Z1375" i="6"/>
  <c r="Y1375" i="6"/>
  <c r="AA1375" i="6" s="1"/>
  <c r="AF1375" i="6" s="1"/>
  <c r="Z1374" i="6"/>
  <c r="Y1374" i="6"/>
  <c r="AC1374" i="6" s="1"/>
  <c r="AC1373" i="6"/>
  <c r="AA1373" i="6"/>
  <c r="AF1373" i="6" s="1"/>
  <c r="Y1373" i="6"/>
  <c r="Y1372" i="6"/>
  <c r="AC1372" i="6" s="1"/>
  <c r="AC1371" i="6"/>
  <c r="AA1371" i="6"/>
  <c r="AF1371" i="6" s="1"/>
  <c r="Y1371" i="6"/>
  <c r="AA1370" i="6"/>
  <c r="AF1370" i="6" s="1"/>
  <c r="Y1370" i="6"/>
  <c r="AC1370" i="6" s="1"/>
  <c r="AF1369" i="6"/>
  <c r="AC1369" i="6"/>
  <c r="AA1369" i="6"/>
  <c r="Y1369" i="6"/>
  <c r="Y1368" i="6"/>
  <c r="AC1368" i="6" s="1"/>
  <c r="AF1366" i="6"/>
  <c r="AC1366" i="6"/>
  <c r="AA1366" i="6"/>
  <c r="Y1366" i="6"/>
  <c r="Y1364" i="6"/>
  <c r="AC1364" i="6" s="1"/>
  <c r="AF1363" i="6"/>
  <c r="AC1363" i="6"/>
  <c r="AA1363" i="6"/>
  <c r="Y1363" i="6"/>
  <c r="Y1362" i="6"/>
  <c r="AC1362" i="6" s="1"/>
  <c r="AF1361" i="6"/>
  <c r="AA1361" i="6"/>
  <c r="Y1361" i="6"/>
  <c r="AC1361" i="6" s="1"/>
  <c r="AA1360" i="6"/>
  <c r="AF1360" i="6" s="1"/>
  <c r="Y1360" i="6"/>
  <c r="AC1360" i="6" s="1"/>
  <c r="Y1359" i="6"/>
  <c r="Y1358" i="6"/>
  <c r="AA1357" i="6"/>
  <c r="Y1357" i="6"/>
  <c r="Y1356" i="6"/>
  <c r="Y1355" i="6"/>
  <c r="Y1354" i="6"/>
  <c r="Y1353" i="6"/>
  <c r="Y1352" i="6"/>
  <c r="AC1351" i="6"/>
  <c r="Y1351" i="6"/>
  <c r="AA1351" i="6" s="1"/>
  <c r="AF1351" i="6" s="1"/>
  <c r="AA1350" i="6"/>
  <c r="AF1350" i="6" s="1"/>
  <c r="Y1350" i="6"/>
  <c r="AC1350" i="6" s="1"/>
  <c r="AC1349" i="6"/>
  <c r="Y1349" i="6"/>
  <c r="AA1349" i="6" s="1"/>
  <c r="AF1349" i="6" s="1"/>
  <c r="Y1348" i="6"/>
  <c r="AC1348" i="6" s="1"/>
  <c r="AA1347" i="6"/>
  <c r="AF1347" i="6" s="1"/>
  <c r="Y1347" i="6"/>
  <c r="Y1346" i="6"/>
  <c r="AA1346" i="6" s="1"/>
  <c r="AF1345" i="6"/>
  <c r="AC1345" i="6"/>
  <c r="AA1345" i="6"/>
  <c r="Y1345" i="6"/>
  <c r="Y1344" i="6"/>
  <c r="AC1344" i="6" s="1"/>
  <c r="AC1343" i="6"/>
  <c r="AA1343" i="6"/>
  <c r="AF1343" i="6" s="1"/>
  <c r="Y1343" i="6"/>
  <c r="Y1342" i="6"/>
  <c r="AC1342" i="6" s="1"/>
  <c r="AC1341" i="6"/>
  <c r="AA1341" i="6"/>
  <c r="AF1341" i="6" s="1"/>
  <c r="Y1341" i="6"/>
  <c r="Y1340" i="6"/>
  <c r="AC1340" i="6" s="1"/>
  <c r="AC1339" i="6"/>
  <c r="AA1339" i="6"/>
  <c r="AF1339" i="6" s="1"/>
  <c r="Y1339" i="6"/>
  <c r="Y1338" i="6"/>
  <c r="AC1338" i="6" s="1"/>
  <c r="AF1337" i="6"/>
  <c r="AC1337" i="6"/>
  <c r="AA1337" i="6"/>
  <c r="Y1337" i="6"/>
  <c r="Y1336" i="6"/>
  <c r="AC1336" i="6" s="1"/>
  <c r="AC1335" i="6"/>
  <c r="AA1335" i="6"/>
  <c r="AF1335" i="6" s="1"/>
  <c r="Y1335" i="6"/>
  <c r="Y1334" i="6"/>
  <c r="AC1334" i="6" s="1"/>
  <c r="AC1333" i="6"/>
  <c r="AA1333" i="6"/>
  <c r="AF1333" i="6" s="1"/>
  <c r="Y1333" i="6"/>
  <c r="Y1332" i="6"/>
  <c r="AC1332" i="6" s="1"/>
  <c r="AC1331" i="6"/>
  <c r="AA1331" i="6"/>
  <c r="AF1331" i="6" s="1"/>
  <c r="Y1331" i="6"/>
  <c r="Y1330" i="6"/>
  <c r="AC1330" i="6" s="1"/>
  <c r="AF1329" i="6"/>
  <c r="AC1329" i="6"/>
  <c r="AA1329" i="6"/>
  <c r="Y1329" i="6"/>
  <c r="Y1328" i="6"/>
  <c r="AC1328" i="6" s="1"/>
  <c r="AC1327" i="6"/>
  <c r="AA1327" i="6"/>
  <c r="AF1327" i="6" s="1"/>
  <c r="Y1327" i="6"/>
  <c r="Y1326" i="6"/>
  <c r="AC1326" i="6" s="1"/>
  <c r="AC1325" i="6"/>
  <c r="AA1325" i="6"/>
  <c r="AF1325" i="6" s="1"/>
  <c r="Y1325" i="6"/>
  <c r="Y1324" i="6"/>
  <c r="AC1324" i="6" s="1"/>
  <c r="AC1323" i="6"/>
  <c r="AA1323" i="6"/>
  <c r="AF1323" i="6" s="1"/>
  <c r="Y1323" i="6"/>
  <c r="Y1322" i="6"/>
  <c r="AC1322" i="6" s="1"/>
  <c r="AF1321" i="6"/>
  <c r="AC1321" i="6"/>
  <c r="AA1321" i="6"/>
  <c r="Y1321" i="6"/>
  <c r="Y1320" i="6"/>
  <c r="AC1320" i="6" s="1"/>
  <c r="AC1319" i="6"/>
  <c r="AA1319" i="6"/>
  <c r="AF1319" i="6" s="1"/>
  <c r="Y1319" i="6"/>
  <c r="Y1318" i="6"/>
  <c r="AC1318" i="6" s="1"/>
  <c r="AC1317" i="6"/>
  <c r="AA1317" i="6"/>
  <c r="AF1317" i="6" s="1"/>
  <c r="Y1317" i="6"/>
  <c r="Y1316" i="6"/>
  <c r="AC1316" i="6" s="1"/>
  <c r="AC1315" i="6"/>
  <c r="AA1315" i="6"/>
  <c r="AF1315" i="6" s="1"/>
  <c r="Y1315" i="6"/>
  <c r="Y1314" i="6"/>
  <c r="AC1314" i="6" s="1"/>
  <c r="AF1313" i="6"/>
  <c r="AC1313" i="6"/>
  <c r="AA1313" i="6"/>
  <c r="X1313" i="6"/>
  <c r="Y1313" i="6" s="1"/>
  <c r="Y1312" i="6"/>
  <c r="AC1311" i="6"/>
  <c r="Y1311" i="6"/>
  <c r="AA1311" i="6" s="1"/>
  <c r="AF1311" i="6" s="1"/>
  <c r="Y1310" i="6"/>
  <c r="AF1309" i="6"/>
  <c r="AC1309" i="6"/>
  <c r="Y1309" i="6"/>
  <c r="AA1309" i="6" s="1"/>
  <c r="Y1308" i="6"/>
  <c r="AC1307" i="6"/>
  <c r="Y1307" i="6"/>
  <c r="AA1307" i="6" s="1"/>
  <c r="AF1307" i="6" s="1"/>
  <c r="Y1306" i="6"/>
  <c r="AF1305" i="6"/>
  <c r="AC1305" i="6"/>
  <c r="Y1305" i="6"/>
  <c r="AA1305" i="6" s="1"/>
  <c r="Y1304" i="6"/>
  <c r="AC1303" i="6"/>
  <c r="Y1303" i="6"/>
  <c r="AA1303" i="6" s="1"/>
  <c r="AF1303" i="6" s="1"/>
  <c r="Y1302" i="6"/>
  <c r="Y1301" i="6"/>
  <c r="AA1301" i="6" s="1"/>
  <c r="AF1301" i="6" s="1"/>
  <c r="Y1300" i="6"/>
  <c r="AC1300" i="6" s="1"/>
  <c r="Y1299" i="6"/>
  <c r="AC1299" i="6" s="1"/>
  <c r="Y1298" i="6"/>
  <c r="AC1298" i="6" s="1"/>
  <c r="Y1297" i="6"/>
  <c r="AC1297" i="6" s="1"/>
  <c r="Y1296" i="6"/>
  <c r="AC1296" i="6" s="1"/>
  <c r="Y1295" i="6"/>
  <c r="AC1295" i="6" s="1"/>
  <c r="Y1294" i="6"/>
  <c r="AC1294" i="6" s="1"/>
  <c r="Y1293" i="6"/>
  <c r="AC1293" i="6" s="1"/>
  <c r="Y1292" i="6"/>
  <c r="AC1292" i="6" s="1"/>
  <c r="Y1291" i="6"/>
  <c r="AC1291" i="6" s="1"/>
  <c r="Y1290" i="6"/>
  <c r="AC1290" i="6" s="1"/>
  <c r="X1290" i="6"/>
  <c r="Y1289" i="6"/>
  <c r="AC1289" i="6" s="1"/>
  <c r="AC1288" i="6"/>
  <c r="AA1288" i="6"/>
  <c r="AF1288" i="6" s="1"/>
  <c r="Y1288" i="6"/>
  <c r="Y1287" i="6"/>
  <c r="AC1287" i="6" s="1"/>
  <c r="AC1286" i="6"/>
  <c r="AA1286" i="6"/>
  <c r="AF1286" i="6" s="1"/>
  <c r="Y1286" i="6"/>
  <c r="Y1285" i="6"/>
  <c r="AC1285" i="6" s="1"/>
  <c r="AC1284" i="6"/>
  <c r="AA1284" i="6"/>
  <c r="AF1284" i="6" s="1"/>
  <c r="Y1284" i="6"/>
  <c r="X1284" i="6"/>
  <c r="Y1283" i="6"/>
  <c r="AC1283" i="6" s="1"/>
  <c r="AF1282" i="6"/>
  <c r="AC1282" i="6"/>
  <c r="AA1282" i="6"/>
  <c r="Y1282" i="6"/>
  <c r="X1282" i="6"/>
  <c r="AA1281" i="6"/>
  <c r="AF1281" i="6" s="1"/>
  <c r="Y1281" i="6"/>
  <c r="AC1281" i="6" s="1"/>
  <c r="AF1280" i="6"/>
  <c r="AC1280" i="6"/>
  <c r="AA1280" i="6"/>
  <c r="Y1280" i="6"/>
  <c r="AA1279" i="6"/>
  <c r="AF1279" i="6" s="1"/>
  <c r="Y1279" i="6"/>
  <c r="AC1279" i="6" s="1"/>
  <c r="AF1278" i="6"/>
  <c r="AC1278" i="6"/>
  <c r="AA1278" i="6"/>
  <c r="Y1278" i="6"/>
  <c r="AA1277" i="6"/>
  <c r="AF1277" i="6" s="1"/>
  <c r="Y1277" i="6"/>
  <c r="AC1277" i="6" s="1"/>
  <c r="AF1276" i="6"/>
  <c r="AC1276" i="6"/>
  <c r="AA1276" i="6"/>
  <c r="Y1276" i="6"/>
  <c r="AA1275" i="6"/>
  <c r="AF1275" i="6" s="1"/>
  <c r="Y1275" i="6"/>
  <c r="AC1275" i="6" s="1"/>
  <c r="AF1274" i="6"/>
  <c r="AC1274" i="6"/>
  <c r="AA1274" i="6"/>
  <c r="Y1274" i="6"/>
  <c r="AA1273" i="6"/>
  <c r="AF1273" i="6" s="1"/>
  <c r="Y1273" i="6"/>
  <c r="AC1273" i="6" s="1"/>
  <c r="AF1272" i="6"/>
  <c r="AC1272" i="6"/>
  <c r="AA1272" i="6"/>
  <c r="Y1272" i="6"/>
  <c r="AA1271" i="6"/>
  <c r="AF1271" i="6" s="1"/>
  <c r="Y1271" i="6"/>
  <c r="AC1271" i="6" s="1"/>
  <c r="AF1270" i="6"/>
  <c r="AC1270" i="6"/>
  <c r="AA1270" i="6"/>
  <c r="Y1270" i="6"/>
  <c r="AA1269" i="6"/>
  <c r="AF1269" i="6" s="1"/>
  <c r="Y1269" i="6"/>
  <c r="AC1269" i="6" s="1"/>
  <c r="AF1268" i="6"/>
  <c r="AC1268" i="6"/>
  <c r="AA1268" i="6"/>
  <c r="Y1268" i="6"/>
  <c r="AA1267" i="6"/>
  <c r="AF1267" i="6" s="1"/>
  <c r="Y1267" i="6"/>
  <c r="AC1267" i="6" s="1"/>
  <c r="AF1266" i="6"/>
  <c r="AC1266" i="6"/>
  <c r="AA1266" i="6"/>
  <c r="Y1266" i="6"/>
  <c r="AA1265" i="6"/>
  <c r="AF1265" i="6" s="1"/>
  <c r="Y1265" i="6"/>
  <c r="AC1265" i="6" s="1"/>
  <c r="AF1264" i="6"/>
  <c r="AC1264" i="6"/>
  <c r="AA1264" i="6"/>
  <c r="Y1264" i="6"/>
  <c r="AA1263" i="6"/>
  <c r="AF1263" i="6" s="1"/>
  <c r="Y1263" i="6"/>
  <c r="AC1263" i="6" s="1"/>
  <c r="AF1262" i="6"/>
  <c r="AC1262" i="6"/>
  <c r="AA1262" i="6"/>
  <c r="Y1262" i="6"/>
  <c r="AA1261" i="6"/>
  <c r="AF1261" i="6" s="1"/>
  <c r="Y1261" i="6"/>
  <c r="AC1261" i="6" s="1"/>
  <c r="AE62" i="8"/>
  <c r="AF62" i="8" s="1"/>
  <c r="AD62" i="8"/>
  <c r="AE61" i="8"/>
  <c r="AF61" i="8" s="1"/>
  <c r="AD61" i="8"/>
  <c r="AE60" i="8"/>
  <c r="AF60" i="8" s="1"/>
  <c r="AD60" i="8"/>
  <c r="AF59" i="8"/>
  <c r="AE59" i="8"/>
  <c r="AD59" i="8"/>
  <c r="AF58" i="8"/>
  <c r="AE58" i="8"/>
  <c r="AD58" i="8"/>
  <c r="AF57" i="8"/>
  <c r="AE57" i="8"/>
  <c r="AD57" i="8"/>
  <c r="AF56" i="8"/>
  <c r="AE56" i="8"/>
  <c r="AD56" i="8"/>
  <c r="AF55" i="8"/>
  <c r="AE55" i="8"/>
  <c r="AD55" i="8"/>
  <c r="AE54" i="8"/>
  <c r="AF54" i="8" s="1"/>
  <c r="AD54" i="8"/>
  <c r="AE53" i="8"/>
  <c r="AF53" i="8" s="1"/>
  <c r="AD53" i="8"/>
  <c r="AE52" i="8"/>
  <c r="AF52" i="8" s="1"/>
  <c r="AD52" i="8"/>
  <c r="AE51" i="8"/>
  <c r="AF51" i="8" s="1"/>
  <c r="AD51" i="8"/>
  <c r="AF50" i="8"/>
  <c r="AE50" i="8"/>
  <c r="AD50" i="8"/>
  <c r="AF49" i="8"/>
  <c r="AE49" i="8"/>
  <c r="AD49" i="8"/>
  <c r="AF48" i="8"/>
  <c r="AE48" i="8"/>
  <c r="AD48" i="8"/>
  <c r="AF47" i="8"/>
  <c r="AE47" i="8"/>
  <c r="AD47" i="8"/>
  <c r="AE46" i="8"/>
  <c r="AF46" i="8" s="1"/>
  <c r="AD46" i="8"/>
  <c r="AE45" i="8"/>
  <c r="AF45" i="8" s="1"/>
  <c r="AD45" i="8"/>
  <c r="AE44" i="8"/>
  <c r="AF44" i="8" s="1"/>
  <c r="AD44" i="8"/>
  <c r="AE43" i="8"/>
  <c r="AF43" i="8" s="1"/>
  <c r="AD43" i="8"/>
  <c r="AF42" i="8"/>
  <c r="AE42" i="8"/>
  <c r="AD42" i="8"/>
  <c r="AF41" i="8"/>
  <c r="AE41" i="8"/>
  <c r="AD41" i="8"/>
  <c r="AF40" i="8"/>
  <c r="AE40" i="8"/>
  <c r="AD40" i="8"/>
  <c r="AF39" i="8"/>
  <c r="AE39" i="8"/>
  <c r="AD39" i="8"/>
  <c r="AE38" i="8"/>
  <c r="AF38" i="8" s="1"/>
  <c r="AD38" i="8"/>
  <c r="AE37" i="8"/>
  <c r="AF37" i="8" s="1"/>
  <c r="AD37" i="8"/>
  <c r="AE36" i="8"/>
  <c r="AF36" i="8" s="1"/>
  <c r="AD36" i="8"/>
  <c r="AE35" i="8"/>
  <c r="AF35" i="8" s="1"/>
  <c r="AD35" i="8"/>
  <c r="AE34" i="8"/>
  <c r="AF34" i="8" s="1"/>
  <c r="AD34" i="8"/>
  <c r="AF33" i="8"/>
  <c r="AE33" i="8"/>
  <c r="AD33" i="8"/>
  <c r="AF32" i="8"/>
  <c r="AE32" i="8"/>
  <c r="AD32" i="8"/>
  <c r="AF31" i="8"/>
  <c r="AE31" i="8"/>
  <c r="AD31" i="8"/>
  <c r="AE30" i="8"/>
  <c r="AF30" i="8" s="1"/>
  <c r="AD30" i="8"/>
  <c r="AE29" i="8"/>
  <c r="AF29" i="8" s="1"/>
  <c r="AD29" i="8"/>
  <c r="AE28" i="8"/>
  <c r="AF28" i="8" s="1"/>
  <c r="AD28" i="8"/>
  <c r="AE27" i="8"/>
  <c r="AF27" i="8" s="1"/>
  <c r="AD27" i="8"/>
  <c r="AE26" i="8"/>
  <c r="AF26" i="8" s="1"/>
  <c r="AD26" i="8"/>
  <c r="AF25" i="8"/>
  <c r="AE25" i="8"/>
  <c r="AD25" i="8"/>
  <c r="AF24" i="8"/>
  <c r="AE24" i="8"/>
  <c r="AD24" i="8"/>
  <c r="AF23" i="8"/>
  <c r="AE23" i="8"/>
  <c r="AD23" i="8"/>
  <c r="AE22" i="8"/>
  <c r="AF22" i="8" s="1"/>
  <c r="AD22" i="8"/>
  <c r="AE21" i="8"/>
  <c r="AF21" i="8" s="1"/>
  <c r="AD21" i="8"/>
  <c r="AE20" i="8"/>
  <c r="AF20" i="8" s="1"/>
  <c r="AD20" i="8"/>
  <c r="AE19" i="8"/>
  <c r="AF19" i="8" s="1"/>
  <c r="AD19" i="8"/>
  <c r="AE18" i="8"/>
  <c r="AF18" i="8" s="1"/>
  <c r="AD18" i="8"/>
  <c r="AF17" i="8"/>
  <c r="AE17" i="8"/>
  <c r="AD17" i="8"/>
  <c r="AF16" i="8"/>
  <c r="AE16" i="8"/>
  <c r="AD16" i="8"/>
  <c r="AF15" i="8"/>
  <c r="AE15" i="8"/>
  <c r="AD15" i="8"/>
  <c r="AE14" i="8"/>
  <c r="AF14" i="8" s="1"/>
  <c r="AD14" i="8"/>
  <c r="AF13" i="8"/>
  <c r="AE13" i="8"/>
  <c r="AD13" i="8"/>
  <c r="AE12" i="8"/>
  <c r="AF12" i="8" s="1"/>
  <c r="AD12" i="8"/>
  <c r="AE11" i="8"/>
  <c r="AF11" i="8" s="1"/>
  <c r="AD11" i="8"/>
  <c r="AA62" i="8"/>
  <c r="Z62" i="8"/>
  <c r="Y62" i="8"/>
  <c r="AA61" i="8"/>
  <c r="Z61" i="8"/>
  <c r="Y61" i="8"/>
  <c r="AA60" i="8"/>
  <c r="Z60" i="8"/>
  <c r="Y60" i="8"/>
  <c r="AA59" i="8"/>
  <c r="Z59" i="8"/>
  <c r="Y59" i="8"/>
  <c r="AA58" i="8"/>
  <c r="Z58" i="8"/>
  <c r="Y58" i="8"/>
  <c r="AA57" i="8"/>
  <c r="Z57" i="8"/>
  <c r="Y57" i="8"/>
  <c r="AA56" i="8"/>
  <c r="Z56" i="8"/>
  <c r="Y56" i="8"/>
  <c r="AA55" i="8"/>
  <c r="Z55" i="8"/>
  <c r="Y55" i="8"/>
  <c r="AA54" i="8"/>
  <c r="Z54" i="8"/>
  <c r="Y54" i="8"/>
  <c r="AA53" i="8"/>
  <c r="Z53" i="8"/>
  <c r="Y53" i="8"/>
  <c r="AA52" i="8"/>
  <c r="Z52" i="8"/>
  <c r="Y52" i="8"/>
  <c r="AA51" i="8"/>
  <c r="Z51" i="8"/>
  <c r="Y51" i="8"/>
  <c r="AA50" i="8"/>
  <c r="Z50" i="8"/>
  <c r="Y50" i="8"/>
  <c r="AA49" i="8"/>
  <c r="Z49" i="8"/>
  <c r="Y49" i="8"/>
  <c r="AA48" i="8"/>
  <c r="Z48" i="8"/>
  <c r="Y48" i="8"/>
  <c r="AA47" i="8"/>
  <c r="Z47" i="8"/>
  <c r="Y47" i="8"/>
  <c r="AA46" i="8"/>
  <c r="Z46" i="8"/>
  <c r="Y46" i="8"/>
  <c r="AA45" i="8"/>
  <c r="Z45" i="8"/>
  <c r="Y45" i="8"/>
  <c r="AA44" i="8"/>
  <c r="Z44" i="8"/>
  <c r="Y44" i="8"/>
  <c r="AA43" i="8"/>
  <c r="Z43" i="8"/>
  <c r="Y43" i="8"/>
  <c r="AA42" i="8"/>
  <c r="Z42" i="8"/>
  <c r="Y42" i="8"/>
  <c r="AA41" i="8"/>
  <c r="Z41" i="8"/>
  <c r="Y41" i="8"/>
  <c r="AA40" i="8"/>
  <c r="Z40" i="8"/>
  <c r="Y40" i="8"/>
  <c r="AA39" i="8"/>
  <c r="Z39" i="8"/>
  <c r="Y39" i="8"/>
  <c r="AA38" i="8"/>
  <c r="Z38" i="8"/>
  <c r="Y38" i="8"/>
  <c r="AA37" i="8"/>
  <c r="Z37" i="8"/>
  <c r="Y37" i="8"/>
  <c r="AA36" i="8"/>
  <c r="Z36" i="8"/>
  <c r="Y36" i="8"/>
  <c r="AA35" i="8"/>
  <c r="Z35" i="8"/>
  <c r="Y35" i="8"/>
  <c r="AA34" i="8"/>
  <c r="Z34" i="8"/>
  <c r="Y34" i="8"/>
  <c r="AA33" i="8"/>
  <c r="Z33" i="8"/>
  <c r="Y33" i="8"/>
  <c r="AA32" i="8"/>
  <c r="Z32" i="8"/>
  <c r="Y32" i="8"/>
  <c r="AA31" i="8"/>
  <c r="Z31" i="8"/>
  <c r="Y31" i="8"/>
  <c r="AA30" i="8"/>
  <c r="Z30" i="8"/>
  <c r="Y30" i="8"/>
  <c r="AA29" i="8"/>
  <c r="Z29" i="8"/>
  <c r="Y29" i="8"/>
  <c r="AA28" i="8"/>
  <c r="Z28" i="8"/>
  <c r="Y28" i="8"/>
  <c r="AA27" i="8"/>
  <c r="Z27" i="8"/>
  <c r="Y27" i="8"/>
  <c r="AA26" i="8"/>
  <c r="Z26" i="8"/>
  <c r="Y26" i="8"/>
  <c r="AA25" i="8"/>
  <c r="Z25" i="8"/>
  <c r="Y25" i="8"/>
  <c r="AA24" i="8"/>
  <c r="Z24" i="8"/>
  <c r="Y24" i="8"/>
  <c r="AA23" i="8"/>
  <c r="Z23" i="8"/>
  <c r="Y23" i="8"/>
  <c r="AA22" i="8"/>
  <c r="Z22" i="8"/>
  <c r="Y22" i="8"/>
  <c r="AA21" i="8"/>
  <c r="Z21" i="8"/>
  <c r="Y21" i="8"/>
  <c r="AA20" i="8"/>
  <c r="Z20" i="8"/>
  <c r="Y20" i="8"/>
  <c r="AA19" i="8"/>
  <c r="Z19" i="8"/>
  <c r="Y19" i="8"/>
  <c r="AA18" i="8"/>
  <c r="Z18" i="8"/>
  <c r="Y18" i="8"/>
  <c r="AA17" i="8"/>
  <c r="Z17" i="8"/>
  <c r="Y17" i="8"/>
  <c r="AA16" i="8"/>
  <c r="Z16" i="8"/>
  <c r="Y16" i="8"/>
  <c r="AA15" i="8"/>
  <c r="Z15" i="8"/>
  <c r="Y15" i="8"/>
  <c r="AA14" i="8"/>
  <c r="Z14" i="8"/>
  <c r="Y14" i="8"/>
  <c r="AA13" i="8"/>
  <c r="Z13" i="8"/>
  <c r="Y1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Y783" i="7"/>
  <c r="AA783" i="7" s="1"/>
  <c r="AF783" i="7" s="1"/>
  <c r="AA782" i="7"/>
  <c r="AF782" i="7" s="1"/>
  <c r="Y782" i="7"/>
  <c r="AA781" i="7"/>
  <c r="AF781" i="7" s="1"/>
  <c r="Y781" i="7"/>
  <c r="AA780" i="7"/>
  <c r="AF780" i="7" s="1"/>
  <c r="Y780" i="7"/>
  <c r="Y779" i="7"/>
  <c r="AA779" i="7" s="1"/>
  <c r="AF779" i="7" s="1"/>
  <c r="AF778" i="7"/>
  <c r="AA778" i="7"/>
  <c r="Y778" i="7"/>
  <c r="Y777" i="7"/>
  <c r="AA777" i="7" s="1"/>
  <c r="AF777" i="7" s="1"/>
  <c r="Y776" i="7"/>
  <c r="AA776" i="7" s="1"/>
  <c r="AF776" i="7" s="1"/>
  <c r="Y775" i="7"/>
  <c r="AA775" i="7" s="1"/>
  <c r="AF775" i="7" s="1"/>
  <c r="AA774" i="7"/>
  <c r="AF774" i="7" s="1"/>
  <c r="Y774" i="7"/>
  <c r="AA773" i="7"/>
  <c r="AF773" i="7" s="1"/>
  <c r="Y773" i="7"/>
  <c r="AA772" i="7"/>
  <c r="AF772" i="7" s="1"/>
  <c r="Y772" i="7"/>
  <c r="Y771" i="7"/>
  <c r="AA771" i="7" s="1"/>
  <c r="AF771" i="7" s="1"/>
  <c r="AF770" i="7"/>
  <c r="AA770" i="7"/>
  <c r="Y770" i="7"/>
  <c r="Y769" i="7"/>
  <c r="AA769" i="7" s="1"/>
  <c r="AF769" i="7" s="1"/>
  <c r="Y768" i="7"/>
  <c r="AA768" i="7" s="1"/>
  <c r="AF768" i="7" s="1"/>
  <c r="Y767" i="7"/>
  <c r="AA767" i="7" s="1"/>
  <c r="AF767" i="7" s="1"/>
  <c r="AA766" i="7"/>
  <c r="AF766" i="7" s="1"/>
  <c r="Y766" i="7"/>
  <c r="AA765" i="7"/>
  <c r="AF765" i="7" s="1"/>
  <c r="Y765" i="7"/>
  <c r="Y764" i="7"/>
  <c r="AA764" i="7" s="1"/>
  <c r="AF764" i="7" s="1"/>
  <c r="Y763" i="7"/>
  <c r="AA763" i="7" s="1"/>
  <c r="AF763" i="7" s="1"/>
  <c r="AF762" i="7"/>
  <c r="AA762" i="7"/>
  <c r="Y762" i="7"/>
  <c r="Y761" i="7"/>
  <c r="AA761" i="7" s="1"/>
  <c r="AF761" i="7" s="1"/>
  <c r="Y760" i="7"/>
  <c r="AA760" i="7" s="1"/>
  <c r="AF760" i="7" s="1"/>
  <c r="Y759" i="7"/>
  <c r="AA759" i="7" s="1"/>
  <c r="AF759" i="7" s="1"/>
  <c r="AA758" i="7"/>
  <c r="AF758" i="7" s="1"/>
  <c r="Y758" i="7"/>
  <c r="AA757" i="7"/>
  <c r="AF757" i="7" s="1"/>
  <c r="Y757" i="7"/>
  <c r="Y756" i="7"/>
  <c r="AA756" i="7" s="1"/>
  <c r="AF756" i="7" s="1"/>
  <c r="Y755" i="7"/>
  <c r="AA755" i="7" s="1"/>
  <c r="AF755" i="7" s="1"/>
  <c r="Y754" i="7"/>
  <c r="AA754" i="7" s="1"/>
  <c r="AF754" i="7" s="1"/>
  <c r="Y753" i="7"/>
  <c r="AA753" i="7" s="1"/>
  <c r="AF753" i="7" s="1"/>
  <c r="Y752" i="7"/>
  <c r="AA752" i="7" s="1"/>
  <c r="AF752" i="7" s="1"/>
  <c r="Y751" i="7"/>
  <c r="AA751" i="7" s="1"/>
  <c r="AF751" i="7" s="1"/>
  <c r="AA750" i="7"/>
  <c r="AF750" i="7" s="1"/>
  <c r="Y750" i="7"/>
  <c r="AA749" i="7"/>
  <c r="AF749" i="7" s="1"/>
  <c r="Y749" i="7"/>
  <c r="Y748" i="7"/>
  <c r="AA748" i="7" s="1"/>
  <c r="AF748" i="7" s="1"/>
  <c r="Y747" i="7"/>
  <c r="AA747" i="7" s="1"/>
  <c r="AF747" i="7" s="1"/>
  <c r="Y746" i="7"/>
  <c r="AA746" i="7" s="1"/>
  <c r="AF746" i="7" s="1"/>
  <c r="Y745" i="7"/>
  <c r="AA745" i="7" s="1"/>
  <c r="AF745" i="7" s="1"/>
  <c r="Y744" i="7"/>
  <c r="AA744" i="7" s="1"/>
  <c r="AF744" i="7" s="1"/>
  <c r="Y743" i="7"/>
  <c r="AA743" i="7" s="1"/>
  <c r="AF743" i="7" s="1"/>
  <c r="AA742" i="7"/>
  <c r="AF742" i="7" s="1"/>
  <c r="Y742" i="7"/>
  <c r="AA741" i="7"/>
  <c r="AF741" i="7" s="1"/>
  <c r="Y741" i="7"/>
  <c r="Y740" i="7"/>
  <c r="AA740" i="7" s="1"/>
  <c r="AF740" i="7" s="1"/>
  <c r="Y739" i="7"/>
  <c r="AA739" i="7" s="1"/>
  <c r="AF739" i="7" s="1"/>
  <c r="AF738" i="7"/>
  <c r="AA738" i="7"/>
  <c r="Y738" i="7"/>
  <c r="Y737" i="7"/>
  <c r="AA737" i="7" s="1"/>
  <c r="AF737" i="7" s="1"/>
  <c r="Y736" i="7"/>
  <c r="AA736" i="7" s="1"/>
  <c r="AF736" i="7" s="1"/>
  <c r="Y735" i="7"/>
  <c r="AA735" i="7" s="1"/>
  <c r="AF735" i="7" s="1"/>
  <c r="AA734" i="7"/>
  <c r="AF734" i="7" s="1"/>
  <c r="Y734" i="7"/>
  <c r="AA733" i="7"/>
  <c r="AF733" i="7" s="1"/>
  <c r="Y733" i="7"/>
  <c r="Y732" i="7"/>
  <c r="AA732" i="7" s="1"/>
  <c r="AF732" i="7" s="1"/>
  <c r="Y731" i="7"/>
  <c r="AA731" i="7" s="1"/>
  <c r="AF731" i="7" s="1"/>
  <c r="AF730" i="7"/>
  <c r="AA730" i="7"/>
  <c r="Y730" i="7"/>
  <c r="Y729" i="7"/>
  <c r="AA729" i="7" s="1"/>
  <c r="AF729" i="7" s="1"/>
  <c r="Y728" i="7"/>
  <c r="AA728" i="7" s="1"/>
  <c r="AF728" i="7" s="1"/>
  <c r="Y727" i="7"/>
  <c r="AA727" i="7" s="1"/>
  <c r="AF727" i="7" s="1"/>
  <c r="Y726" i="7"/>
  <c r="AA726" i="7" s="1"/>
  <c r="AF726" i="7" s="1"/>
  <c r="AA725" i="7"/>
  <c r="AF725" i="7" s="1"/>
  <c r="Y725" i="7"/>
  <c r="Y724" i="7"/>
  <c r="AA724" i="7" s="1"/>
  <c r="AF724" i="7" s="1"/>
  <c r="Y723" i="7"/>
  <c r="AA723" i="7" s="1"/>
  <c r="AF723" i="7" s="1"/>
  <c r="Y722" i="7"/>
  <c r="AA722" i="7" s="1"/>
  <c r="AF722" i="7" s="1"/>
  <c r="Y721" i="7"/>
  <c r="AA721" i="7" s="1"/>
  <c r="AF721" i="7" s="1"/>
  <c r="Y720" i="7"/>
  <c r="AA720" i="7" s="1"/>
  <c r="AF720" i="7" s="1"/>
  <c r="Y719" i="7"/>
  <c r="AA719" i="7" s="1"/>
  <c r="AF719" i="7" s="1"/>
  <c r="Y718" i="7"/>
  <c r="AA718" i="7" s="1"/>
  <c r="AF718" i="7" s="1"/>
  <c r="AA717" i="7"/>
  <c r="AF717" i="7" s="1"/>
  <c r="Y717" i="7"/>
  <c r="Y716" i="7"/>
  <c r="AA716" i="7" s="1"/>
  <c r="AF716" i="7" s="1"/>
  <c r="Y715" i="7"/>
  <c r="AA715" i="7" s="1"/>
  <c r="AF715" i="7" s="1"/>
  <c r="Y714" i="7"/>
  <c r="AA714" i="7" s="1"/>
  <c r="AF714" i="7" s="1"/>
  <c r="Y713" i="7"/>
  <c r="AA713" i="7" s="1"/>
  <c r="AF713" i="7" s="1"/>
  <c r="Y712" i="7"/>
  <c r="AA712" i="7" s="1"/>
  <c r="AF712" i="7" s="1"/>
  <c r="Y711" i="7"/>
  <c r="AA711" i="7" s="1"/>
  <c r="AF711" i="7" s="1"/>
  <c r="Y710" i="7"/>
  <c r="AA710" i="7" s="1"/>
  <c r="AF710" i="7" s="1"/>
  <c r="AA709" i="7"/>
  <c r="AF709" i="7" s="1"/>
  <c r="Y709" i="7"/>
  <c r="Y708" i="7"/>
  <c r="AA708" i="7" s="1"/>
  <c r="AF708" i="7" s="1"/>
  <c r="Y707" i="7"/>
  <c r="AA707" i="7" s="1"/>
  <c r="AF707" i="7" s="1"/>
  <c r="AF706" i="7"/>
  <c r="AA706" i="7"/>
  <c r="Y706" i="7"/>
  <c r="Y705" i="7"/>
  <c r="AA705" i="7" s="1"/>
  <c r="AF705" i="7" s="1"/>
  <c r="Y704" i="7"/>
  <c r="AA704" i="7" s="1"/>
  <c r="AF704" i="7" s="1"/>
  <c r="Y703" i="7"/>
  <c r="AA703" i="7" s="1"/>
  <c r="AF703" i="7" s="1"/>
  <c r="Y702" i="7"/>
  <c r="AA702" i="7" s="1"/>
  <c r="AF702" i="7" s="1"/>
  <c r="AA701" i="7"/>
  <c r="AF701" i="7" s="1"/>
  <c r="Y701" i="7"/>
  <c r="Y700" i="7"/>
  <c r="AA700" i="7" s="1"/>
  <c r="AF700" i="7" s="1"/>
  <c r="Y699" i="7"/>
  <c r="AA699" i="7" s="1"/>
  <c r="AF699" i="7" s="1"/>
  <c r="Y698" i="7"/>
  <c r="AA698" i="7" s="1"/>
  <c r="AF698" i="7" s="1"/>
  <c r="Y697" i="7"/>
  <c r="AA697" i="7" s="1"/>
  <c r="AF697" i="7" s="1"/>
  <c r="Y696" i="7"/>
  <c r="AA696" i="7" s="1"/>
  <c r="AF696" i="7" s="1"/>
  <c r="Y695" i="7"/>
  <c r="AA695" i="7" s="1"/>
  <c r="AF695" i="7" s="1"/>
  <c r="Y694" i="7"/>
  <c r="AA694" i="7" s="1"/>
  <c r="AF694" i="7" s="1"/>
  <c r="AA693" i="7"/>
  <c r="AF693" i="7" s="1"/>
  <c r="Y693" i="7"/>
  <c r="Y692" i="7"/>
  <c r="AA692" i="7" s="1"/>
  <c r="AF692" i="7" s="1"/>
  <c r="Y691" i="7"/>
  <c r="AA691" i="7" s="1"/>
  <c r="AF691" i="7" s="1"/>
  <c r="AF690" i="7"/>
  <c r="AA690" i="7"/>
  <c r="Y690" i="7"/>
  <c r="Y689" i="7"/>
  <c r="AA689" i="7" s="1"/>
  <c r="AF689" i="7" s="1"/>
  <c r="Y688" i="7"/>
  <c r="AA688" i="7" s="1"/>
  <c r="AF688" i="7" s="1"/>
  <c r="Y687" i="7"/>
  <c r="AA687" i="7" s="1"/>
  <c r="AF687" i="7" s="1"/>
  <c r="Y686" i="7"/>
  <c r="AA686" i="7" s="1"/>
  <c r="AF686" i="7" s="1"/>
  <c r="AA685" i="7"/>
  <c r="AF685" i="7" s="1"/>
  <c r="Y685" i="7"/>
  <c r="Y684" i="7"/>
  <c r="AA684" i="7" s="1"/>
  <c r="AF684" i="7" s="1"/>
  <c r="Y683" i="7"/>
  <c r="AA683" i="7" s="1"/>
  <c r="AF683" i="7" s="1"/>
  <c r="AF682" i="7"/>
  <c r="AA682" i="7"/>
  <c r="Y682" i="7"/>
  <c r="Y681" i="7"/>
  <c r="AA681" i="7" s="1"/>
  <c r="AF681" i="7" s="1"/>
  <c r="Y680" i="7"/>
  <c r="AA680" i="7" s="1"/>
  <c r="AF680" i="7" s="1"/>
  <c r="Y1260" i="6"/>
  <c r="AA1260" i="6" s="1"/>
  <c r="AF1260" i="6" s="1"/>
  <c r="AA1259" i="6"/>
  <c r="AF1259" i="6" s="1"/>
  <c r="Y1259" i="6"/>
  <c r="AF1258" i="6"/>
  <c r="AA1258" i="6"/>
  <c r="Y1258" i="6"/>
  <c r="Y1257" i="6"/>
  <c r="AA1257" i="6" s="1"/>
  <c r="AA1256" i="6"/>
  <c r="AF1256" i="6" s="1"/>
  <c r="Y1256" i="6"/>
  <c r="AF1255" i="6"/>
  <c r="AA1255" i="6"/>
  <c r="Y1255" i="6"/>
  <c r="AA1254" i="6"/>
  <c r="AF1254" i="6" s="1"/>
  <c r="Y1254" i="6"/>
  <c r="AA1253" i="6"/>
  <c r="Y1253" i="6"/>
  <c r="AF1252" i="6"/>
  <c r="AA1252" i="6"/>
  <c r="Y1252" i="6"/>
  <c r="AA1251" i="6"/>
  <c r="AF1251" i="6" s="1"/>
  <c r="Y1251" i="6"/>
  <c r="Y1250" i="6"/>
  <c r="AA1250" i="6" s="1"/>
  <c r="AF1250" i="6" s="1"/>
  <c r="AA1249" i="6"/>
  <c r="Y1249" i="6"/>
  <c r="AA1248" i="6"/>
  <c r="AF1248" i="6" s="1"/>
  <c r="Y1248" i="6"/>
  <c r="Y1247" i="6"/>
  <c r="AA1247" i="6" s="1"/>
  <c r="AF1247" i="6" s="1"/>
  <c r="AA1246" i="6"/>
  <c r="Y1246" i="6"/>
  <c r="Y1245" i="6"/>
  <c r="AA1245" i="6" s="1"/>
  <c r="AA1244" i="6"/>
  <c r="AF1244" i="6" s="1"/>
  <c r="Y1244" i="6"/>
  <c r="AF1243" i="6"/>
  <c r="AA1243" i="6"/>
  <c r="Y1243" i="6"/>
  <c r="AA1242" i="6"/>
  <c r="AF1242" i="6" s="1"/>
  <c r="Y1242" i="6"/>
  <c r="AA1241" i="6"/>
  <c r="Y1241" i="6"/>
  <c r="AA1240" i="6"/>
  <c r="Y1240" i="6"/>
  <c r="Y1239" i="6"/>
  <c r="AA1239" i="6" s="1"/>
  <c r="AF1239" i="6" s="1"/>
  <c r="AA1238" i="6"/>
  <c r="AF1238" i="6" s="1"/>
  <c r="Y1238" i="6"/>
  <c r="AF1237" i="6"/>
  <c r="AA1237" i="6"/>
  <c r="Y1237" i="6"/>
  <c r="Y1236" i="6"/>
  <c r="AA1236" i="6" s="1"/>
  <c r="AF1236" i="6" s="1"/>
  <c r="Y1235" i="6"/>
  <c r="AA1235" i="6" s="1"/>
  <c r="AF1235" i="6" s="1"/>
  <c r="Y1234" i="6"/>
  <c r="AA1234" i="6" s="1"/>
  <c r="AF1234" i="6" s="1"/>
  <c r="Y1233" i="6"/>
  <c r="AA1233" i="6" s="1"/>
  <c r="AF1233" i="6" s="1"/>
  <c r="AA1232" i="6"/>
  <c r="AF1232" i="6" s="1"/>
  <c r="Y1232" i="6"/>
  <c r="Y1231" i="6"/>
  <c r="AA1231" i="6" s="1"/>
  <c r="AF1231" i="6" s="1"/>
  <c r="AA1230" i="6"/>
  <c r="AF1230" i="6" s="1"/>
  <c r="Y1230" i="6"/>
  <c r="AA1229" i="6"/>
  <c r="Y1229" i="6"/>
  <c r="Y1228" i="6"/>
  <c r="AA1228" i="6" s="1"/>
  <c r="Y1227" i="6"/>
  <c r="AA1227" i="6" s="1"/>
  <c r="AF1227" i="6" s="1"/>
  <c r="AA1226" i="6"/>
  <c r="AF1226" i="6" s="1"/>
  <c r="Y1226" i="6"/>
  <c r="Y1225" i="6"/>
  <c r="AA1225" i="6" s="1"/>
  <c r="AF1225" i="6" s="1"/>
  <c r="AA1224" i="6"/>
  <c r="AF1224" i="6" s="1"/>
  <c r="Y1224" i="6"/>
  <c r="AF1223" i="6"/>
  <c r="AA1223" i="6"/>
  <c r="Y1223" i="6"/>
  <c r="Y1222" i="6"/>
  <c r="AA1222" i="6" s="1"/>
  <c r="AF1222" i="6" s="1"/>
  <c r="Y1221" i="6"/>
  <c r="AA1221" i="6" s="1"/>
  <c r="AF1221" i="6" s="1"/>
  <c r="Y1220" i="6"/>
  <c r="AA1220" i="6" s="1"/>
  <c r="AF1220" i="6" s="1"/>
  <c r="Y1219" i="6"/>
  <c r="AA1219" i="6" s="1"/>
  <c r="AF1219" i="6" s="1"/>
  <c r="AA1218" i="6"/>
  <c r="AF1218" i="6" s="1"/>
  <c r="Y1218" i="6"/>
  <c r="AA1217" i="6"/>
  <c r="AF1217" i="6" s="1"/>
  <c r="Y1217" i="6"/>
  <c r="AA1216" i="6"/>
  <c r="AF1216" i="6" s="1"/>
  <c r="Y1216" i="6"/>
  <c r="AF1215" i="6"/>
  <c r="AA1215" i="6"/>
  <c r="Y1215" i="6"/>
  <c r="Y1214" i="6"/>
  <c r="AA1214" i="6" s="1"/>
  <c r="AF1214" i="6" s="1"/>
  <c r="Y1213" i="6"/>
  <c r="AA1213" i="6" s="1"/>
  <c r="AF1213" i="6" s="1"/>
  <c r="Y1212" i="6"/>
  <c r="AA1212" i="6" s="1"/>
  <c r="AF1212" i="6" s="1"/>
  <c r="AA1211" i="6"/>
  <c r="AF1211" i="6" s="1"/>
  <c r="Y1211" i="6"/>
  <c r="AA1210" i="6"/>
  <c r="AF1210" i="6" s="1"/>
  <c r="Y1210" i="6"/>
  <c r="Y1209" i="6"/>
  <c r="AA1209" i="6" s="1"/>
  <c r="AF1209" i="6" s="1"/>
  <c r="Y1208" i="6"/>
  <c r="AA1208" i="6" s="1"/>
  <c r="AF1208" i="6" s="1"/>
  <c r="AF1207" i="6"/>
  <c r="AA1207" i="6"/>
  <c r="Y1207" i="6"/>
  <c r="Y1206" i="6"/>
  <c r="AA1206" i="6" s="1"/>
  <c r="AF1206" i="6" s="1"/>
  <c r="Y1205" i="6"/>
  <c r="AA1205" i="6" s="1"/>
  <c r="AF1205" i="6" s="1"/>
  <c r="Y1204" i="6"/>
  <c r="AA1204" i="6" s="1"/>
  <c r="AF1204" i="6" s="1"/>
  <c r="AA1203" i="6"/>
  <c r="AF1203" i="6" s="1"/>
  <c r="Y1203" i="6"/>
  <c r="AA1202" i="6"/>
  <c r="AF1202" i="6" s="1"/>
  <c r="Y1202" i="6"/>
  <c r="Y1201" i="6"/>
  <c r="AA1201" i="6" s="1"/>
  <c r="AF1201" i="6" s="1"/>
  <c r="AA1200" i="6"/>
  <c r="AF1200" i="6" s="1"/>
  <c r="Y1200" i="6"/>
  <c r="AF1199" i="6"/>
  <c r="AA1199" i="6"/>
  <c r="Y1199" i="6"/>
  <c r="AA1198" i="6"/>
  <c r="AF1198" i="6" s="1"/>
  <c r="Y1198" i="6"/>
  <c r="Y1197" i="6"/>
  <c r="AA1197" i="6" s="1"/>
  <c r="AF1197" i="6" s="1"/>
  <c r="Y1196" i="6"/>
  <c r="AA1196" i="6" s="1"/>
  <c r="AF1196" i="6" s="1"/>
  <c r="Y1195" i="6"/>
  <c r="AA1195" i="6" s="1"/>
  <c r="AF1195" i="6" s="1"/>
  <c r="AA1194" i="6"/>
  <c r="AF1194" i="6" s="1"/>
  <c r="Y1194" i="6"/>
  <c r="Y1193" i="6"/>
  <c r="AA1193" i="6" s="1"/>
  <c r="AF1193" i="6" s="1"/>
  <c r="Y1192" i="6"/>
  <c r="AA1192" i="6" s="1"/>
  <c r="AF1192" i="6" s="1"/>
  <c r="AF1191" i="6"/>
  <c r="AA1191" i="6"/>
  <c r="Y1191" i="6"/>
  <c r="Y1190" i="6"/>
  <c r="AA1190" i="6" s="1"/>
  <c r="AF1190" i="6" s="1"/>
  <c r="Y1189" i="6"/>
  <c r="AA1189" i="6" s="1"/>
  <c r="AF1189" i="6" s="1"/>
  <c r="Y1188" i="6"/>
  <c r="AA1188" i="6" s="1"/>
  <c r="AF1188" i="6" s="1"/>
  <c r="Y1187" i="6"/>
  <c r="AA1187" i="6" s="1"/>
  <c r="AF1187" i="6" s="1"/>
  <c r="AA1186" i="6"/>
  <c r="AF1186" i="6" s="1"/>
  <c r="Y1186" i="6"/>
  <c r="Y1185" i="6"/>
  <c r="AA1185" i="6" s="1"/>
  <c r="AF1185" i="6" s="1"/>
  <c r="Y1184" i="6"/>
  <c r="AA1184" i="6" s="1"/>
  <c r="AF1184" i="6" s="1"/>
  <c r="AF1183" i="6"/>
  <c r="AA1183" i="6"/>
  <c r="Y1183" i="6"/>
  <c r="Y1182" i="6"/>
  <c r="AA1182" i="6" s="1"/>
  <c r="AF1182" i="6" s="1"/>
  <c r="Y1181" i="6"/>
  <c r="AA1181" i="6" s="1"/>
  <c r="AF1181" i="6" s="1"/>
  <c r="AF1180" i="6"/>
  <c r="AA1180" i="6"/>
  <c r="Y1180" i="6"/>
  <c r="AA1179" i="6"/>
  <c r="AF1179" i="6" s="1"/>
  <c r="Y1179" i="6"/>
  <c r="AA1178" i="6"/>
  <c r="AF1178" i="6" s="1"/>
  <c r="Y1178" i="6"/>
  <c r="Y1177" i="6"/>
  <c r="AA1177" i="6" s="1"/>
  <c r="AF1177" i="6" s="1"/>
  <c r="Y1176" i="6"/>
  <c r="AA1176" i="6" s="1"/>
  <c r="AF1176" i="6" s="1"/>
  <c r="AF1175" i="6"/>
  <c r="AA1175" i="6"/>
  <c r="Y1175" i="6"/>
  <c r="AA1174" i="6"/>
  <c r="AF1174" i="6" s="1"/>
  <c r="Y1174" i="6"/>
  <c r="Y1173" i="6"/>
  <c r="AA1173" i="6" s="1"/>
  <c r="AF1173" i="6" s="1"/>
  <c r="Y1172" i="6"/>
  <c r="AA1172" i="6" s="1"/>
  <c r="AF1172" i="6" s="1"/>
  <c r="Y1171" i="6"/>
  <c r="AA1171" i="6" s="1"/>
  <c r="AF1171" i="6" s="1"/>
  <c r="AA1170" i="6"/>
  <c r="AF1170" i="6" s="1"/>
  <c r="Y1170" i="6"/>
  <c r="Y1169" i="6"/>
  <c r="AA1169" i="6" s="1"/>
  <c r="AF1169" i="6" s="1"/>
  <c r="Y1168" i="6"/>
  <c r="AA1168" i="6" s="1"/>
  <c r="AF1168" i="6" s="1"/>
  <c r="AF1167" i="6"/>
  <c r="AA1167" i="6"/>
  <c r="Y1167" i="6"/>
  <c r="AA1166" i="6"/>
  <c r="AF1166" i="6" s="1"/>
  <c r="Y1166" i="6"/>
  <c r="Y1165" i="6"/>
  <c r="AA1165" i="6" s="1"/>
  <c r="AF1165" i="6" s="1"/>
  <c r="Y1164" i="6"/>
  <c r="AA1164" i="6" s="1"/>
  <c r="AF1164" i="6" s="1"/>
  <c r="Y1163" i="6"/>
  <c r="AA1163" i="6" s="1"/>
  <c r="AF1163" i="6" s="1"/>
  <c r="AA1162" i="6"/>
  <c r="AF1162" i="6" s="1"/>
  <c r="Y1162" i="6"/>
  <c r="Y1161" i="6"/>
  <c r="AA1161" i="6" s="1"/>
  <c r="AF1161" i="6" s="1"/>
  <c r="Y1160" i="6"/>
  <c r="AA1160" i="6" s="1"/>
  <c r="AF1160" i="6" s="1"/>
  <c r="AF1159" i="6"/>
  <c r="AA1159" i="6"/>
  <c r="Y1159" i="6"/>
  <c r="Y1158" i="6"/>
  <c r="AA1158" i="6" s="1"/>
  <c r="AF1158" i="6" s="1"/>
  <c r="Y1157" i="6"/>
  <c r="AA1157" i="6" s="1"/>
  <c r="AF1157" i="6" s="1"/>
  <c r="Y1156" i="6"/>
  <c r="AA1156" i="6" s="1"/>
  <c r="AF1156" i="6" s="1"/>
  <c r="Y1155" i="6"/>
  <c r="AA1155" i="6" s="1"/>
  <c r="AF1155" i="6" s="1"/>
  <c r="AA1154" i="6"/>
  <c r="AF1154" i="6" s="1"/>
  <c r="Y1154" i="6"/>
  <c r="Y1153" i="6"/>
  <c r="AA1153" i="6" s="1"/>
  <c r="AF1153" i="6" s="1"/>
  <c r="Y1152" i="6"/>
  <c r="AA1152" i="6" s="1"/>
  <c r="AF1152" i="6" s="1"/>
  <c r="AF1151" i="6"/>
  <c r="AA1151" i="6"/>
  <c r="Y1151" i="6"/>
  <c r="Y1150" i="6"/>
  <c r="AA1150" i="6" s="1"/>
  <c r="AF1150" i="6" s="1"/>
  <c r="Y1149" i="6"/>
  <c r="AA1149" i="6" s="1"/>
  <c r="AF1149" i="6" s="1"/>
  <c r="Y1148" i="6"/>
  <c r="AA1148" i="6" s="1"/>
  <c r="AF1148" i="6" s="1"/>
  <c r="Y1147" i="6"/>
  <c r="AA1147" i="6" s="1"/>
  <c r="AF1147" i="6" s="1"/>
  <c r="AA1146" i="6"/>
  <c r="AF1146" i="6" s="1"/>
  <c r="Y1146" i="6"/>
  <c r="Y1145" i="6"/>
  <c r="AA1145" i="6" s="1"/>
  <c r="AF1145" i="6" s="1"/>
  <c r="Y1144" i="6"/>
  <c r="AA1144" i="6" s="1"/>
  <c r="AF1144" i="6" s="1"/>
  <c r="AF1143" i="6"/>
  <c r="AA1143" i="6"/>
  <c r="Y1143" i="6"/>
  <c r="Y1142" i="6"/>
  <c r="AA1142" i="6" s="1"/>
  <c r="AF1142" i="6" s="1"/>
  <c r="Y1141" i="6"/>
  <c r="AA1141" i="6" s="1"/>
  <c r="AF1141" i="6" s="1"/>
  <c r="Y1140" i="6"/>
  <c r="AA1140" i="6" s="1"/>
  <c r="AF1140" i="6" s="1"/>
  <c r="AF1139" i="6"/>
  <c r="AA1139" i="6"/>
  <c r="Y1139" i="6"/>
  <c r="AA1138" i="6"/>
  <c r="AF1138" i="6" s="1"/>
  <c r="Y1138" i="6"/>
  <c r="Y1137" i="6"/>
  <c r="AA1137" i="6" s="1"/>
  <c r="AF1137" i="6" s="1"/>
  <c r="Y1136" i="6"/>
  <c r="AA1136" i="6" s="1"/>
  <c r="AF1136" i="6" s="1"/>
  <c r="AF1135" i="6"/>
  <c r="AA1135" i="6"/>
  <c r="Y1135" i="6"/>
  <c r="AA1134" i="6"/>
  <c r="AF1134" i="6" s="1"/>
  <c r="Y1134" i="6"/>
  <c r="Y1133" i="6"/>
  <c r="AA1133" i="6" s="1"/>
  <c r="AF1133" i="6" s="1"/>
  <c r="Y1132" i="6"/>
  <c r="AA1132" i="6" s="1"/>
  <c r="AF1132" i="6" s="1"/>
  <c r="Y1131" i="6"/>
  <c r="AA1131" i="6" s="1"/>
  <c r="AF1131" i="6" s="1"/>
  <c r="AA1130" i="6"/>
  <c r="AF1130" i="6" s="1"/>
  <c r="Y1130" i="6"/>
  <c r="Y1129" i="6"/>
  <c r="AA1129" i="6" s="1"/>
  <c r="AF1129" i="6" s="1"/>
  <c r="Y1128" i="6"/>
  <c r="AA1128" i="6" s="1"/>
  <c r="AF1128" i="6" s="1"/>
  <c r="AF1127" i="6"/>
  <c r="AA1127" i="6"/>
  <c r="Y1127" i="6"/>
  <c r="AA1126" i="6"/>
  <c r="AF1126" i="6" s="1"/>
  <c r="Y1126" i="6"/>
  <c r="Y1125" i="6"/>
  <c r="AA1125" i="6" s="1"/>
  <c r="AF1125" i="6" s="1"/>
  <c r="Y1124" i="6"/>
  <c r="AA1124" i="6" s="1"/>
  <c r="AF1124" i="6" s="1"/>
  <c r="AA1123" i="6"/>
  <c r="AF1123" i="6" s="1"/>
  <c r="Y1123" i="6"/>
  <c r="AA1122" i="6"/>
  <c r="AF1122" i="6" s="1"/>
  <c r="Y1122" i="6"/>
  <c r="Y1121" i="6"/>
  <c r="AA1121" i="6" s="1"/>
  <c r="AF1121" i="6" s="1"/>
  <c r="Y1120" i="6"/>
  <c r="AA1120" i="6" s="1"/>
  <c r="AF1120" i="6" s="1"/>
  <c r="AF1119" i="6"/>
  <c r="AA1119" i="6"/>
  <c r="Y1119" i="6"/>
  <c r="Y1118" i="6"/>
  <c r="AA1118" i="6" s="1"/>
  <c r="AF1118" i="6" s="1"/>
  <c r="Y1117" i="6"/>
  <c r="AA1117" i="6" s="1"/>
  <c r="AF1117" i="6" s="1"/>
  <c r="Y1116" i="6"/>
  <c r="AA1116" i="6" s="1"/>
  <c r="AF1116" i="6" s="1"/>
  <c r="AF1115" i="6"/>
  <c r="AA1115" i="6"/>
  <c r="Y1115" i="6"/>
  <c r="AA1114" i="6"/>
  <c r="AF1114" i="6" s="1"/>
  <c r="Y1114" i="6"/>
  <c r="Y1113" i="6"/>
  <c r="AA1113" i="6" s="1"/>
  <c r="AF1113" i="6" s="1"/>
  <c r="Y1112" i="6"/>
  <c r="AA1112" i="6" s="1"/>
  <c r="AF1112" i="6" s="1"/>
  <c r="AF1111" i="6"/>
  <c r="AA1111" i="6"/>
  <c r="Y1111" i="6"/>
  <c r="AA1110" i="6"/>
  <c r="AF1110" i="6" s="1"/>
  <c r="Y1110" i="6"/>
  <c r="Y1109" i="6"/>
  <c r="AA1109" i="6" s="1"/>
  <c r="AF1109" i="6" s="1"/>
  <c r="AF1108" i="6"/>
  <c r="AA1108" i="6"/>
  <c r="Y1108" i="6"/>
  <c r="AF1107" i="6"/>
  <c r="AA1107" i="6"/>
  <c r="Y1107" i="6"/>
  <c r="AA1106" i="6"/>
  <c r="AF1106" i="6" s="1"/>
  <c r="Y1106" i="6"/>
  <c r="Y1105" i="6"/>
  <c r="AA1105" i="6" s="1"/>
  <c r="AF1105" i="6" s="1"/>
  <c r="Y1104" i="6"/>
  <c r="AA1104" i="6" s="1"/>
  <c r="AF1104" i="6" s="1"/>
  <c r="AF1103" i="6"/>
  <c r="AA1103" i="6"/>
  <c r="Y1103" i="6"/>
  <c r="Y1102" i="6"/>
  <c r="AA1102" i="6" s="1"/>
  <c r="AF1102" i="6" s="1"/>
  <c r="Y1101" i="6"/>
  <c r="AA1101" i="6" s="1"/>
  <c r="AF1101" i="6" s="1"/>
  <c r="Y1100" i="6"/>
  <c r="AA1100" i="6" s="1"/>
  <c r="AF1100" i="6" s="1"/>
  <c r="AA1099" i="6"/>
  <c r="AF1099" i="6" s="1"/>
  <c r="Y1099" i="6"/>
  <c r="AA1098" i="6"/>
  <c r="AF1098" i="6" s="1"/>
  <c r="Y1098" i="6"/>
  <c r="Y1097" i="6"/>
  <c r="AA1097" i="6" s="1"/>
  <c r="AF1097" i="6" s="1"/>
  <c r="Y1096" i="6"/>
  <c r="AA1096" i="6" s="1"/>
  <c r="AF1096" i="6" s="1"/>
  <c r="AF1095" i="6"/>
  <c r="AA1095" i="6"/>
  <c r="Y1095" i="6"/>
  <c r="AA1094" i="6"/>
  <c r="AF1094" i="6" s="1"/>
  <c r="Y1094" i="6"/>
  <c r="Y1093" i="6"/>
  <c r="AA1093" i="6" s="1"/>
  <c r="AF1093" i="6" s="1"/>
  <c r="Y1092" i="6"/>
  <c r="AA1092" i="6" s="1"/>
  <c r="AF1092" i="6" s="1"/>
  <c r="AF1091" i="6"/>
  <c r="AA1091" i="6"/>
  <c r="Y1091" i="6"/>
  <c r="AA1090" i="6"/>
  <c r="AF1090" i="6" s="1"/>
  <c r="Y1090" i="6"/>
  <c r="Y1089" i="6"/>
  <c r="AA1089" i="6" s="1"/>
  <c r="AF1089" i="6" s="1"/>
  <c r="Y1088" i="6"/>
  <c r="AA1088" i="6" s="1"/>
  <c r="AF1088" i="6" s="1"/>
  <c r="AF1087" i="6"/>
  <c r="AA1087" i="6"/>
  <c r="Y1087" i="6"/>
  <c r="AA1086" i="6"/>
  <c r="AF1086" i="6" s="1"/>
  <c r="Y1086" i="6"/>
  <c r="Y1085" i="6"/>
  <c r="AA1085" i="6" s="1"/>
  <c r="AF1085" i="6" s="1"/>
  <c r="Y1084" i="6"/>
  <c r="AA1084" i="6" s="1"/>
  <c r="AF1084" i="6" s="1"/>
  <c r="Y1083" i="6"/>
  <c r="AA1083" i="6" s="1"/>
  <c r="AF1083" i="6" s="1"/>
  <c r="AA1082" i="6"/>
  <c r="AF1082" i="6" s="1"/>
  <c r="Y1082" i="6"/>
  <c r="Y1081" i="6"/>
  <c r="AA1081" i="6" s="1"/>
  <c r="AF1081" i="6" s="1"/>
  <c r="Y1080" i="6"/>
  <c r="AA1080" i="6" s="1"/>
  <c r="AF1080" i="6" s="1"/>
  <c r="AF1079" i="6"/>
  <c r="AA1079" i="6"/>
  <c r="Y1079" i="6"/>
  <c r="AA1078" i="6"/>
  <c r="AF1078" i="6" s="1"/>
  <c r="Y1078" i="6"/>
  <c r="Y1077" i="6"/>
  <c r="AA1077" i="6" s="1"/>
  <c r="AF1077" i="6" s="1"/>
  <c r="AF1076" i="6"/>
  <c r="AA1076" i="6"/>
  <c r="Y1076" i="6"/>
  <c r="Y1075" i="6"/>
  <c r="AA1075" i="6" s="1"/>
  <c r="AF1075" i="6" s="1"/>
  <c r="AA1074" i="6"/>
  <c r="AF1074" i="6" s="1"/>
  <c r="Y1074" i="6"/>
  <c r="Y1073" i="6"/>
  <c r="AA1073" i="6" s="1"/>
  <c r="AF1073" i="6" s="1"/>
  <c r="Y1072" i="6"/>
  <c r="AA1072" i="6" s="1"/>
  <c r="AF1072" i="6" s="1"/>
  <c r="AF1071" i="6"/>
  <c r="AA1071" i="6"/>
  <c r="Y1071" i="6"/>
  <c r="Y1070" i="6"/>
  <c r="AA1070" i="6" s="1"/>
  <c r="AF1070" i="6" s="1"/>
  <c r="Y1069" i="6"/>
  <c r="AA1069" i="6" s="1"/>
  <c r="AF1069" i="6" s="1"/>
  <c r="Y1068" i="6"/>
  <c r="AA1068" i="6" s="1"/>
  <c r="AF1068" i="6" s="1"/>
  <c r="Y1067" i="6"/>
  <c r="AA1067" i="6" s="1"/>
  <c r="AF1067" i="6" s="1"/>
  <c r="AA1066" i="6"/>
  <c r="AF1066" i="6" s="1"/>
  <c r="Y1066" i="6"/>
  <c r="Y1065" i="6"/>
  <c r="AA1065" i="6" s="1"/>
  <c r="AF1065" i="6" s="1"/>
  <c r="Y1064" i="6"/>
  <c r="AA1064" i="6" s="1"/>
  <c r="AF1064" i="6" s="1"/>
  <c r="AF1063" i="6"/>
  <c r="AA1063" i="6"/>
  <c r="Y1063" i="6"/>
  <c r="Y1062" i="6"/>
  <c r="AA1062" i="6" s="1"/>
  <c r="AF1062" i="6" s="1"/>
  <c r="Y1061" i="6"/>
  <c r="AA1061" i="6" s="1"/>
  <c r="AF1061" i="6" s="1"/>
  <c r="Y1060" i="6"/>
  <c r="AA1060" i="6" s="1"/>
  <c r="AF1060" i="6" s="1"/>
  <c r="Y1059" i="6"/>
  <c r="AA1059" i="6" s="1"/>
  <c r="AF1059" i="6" s="1"/>
  <c r="AA1058" i="6"/>
  <c r="AF1058" i="6" s="1"/>
  <c r="Y1058" i="6"/>
  <c r="Y1057" i="6"/>
  <c r="AA1057" i="6" s="1"/>
  <c r="AF1057" i="6" s="1"/>
  <c r="Y1056" i="6"/>
  <c r="AA1056" i="6" s="1"/>
  <c r="AF1056" i="6" s="1"/>
  <c r="AF1055" i="6"/>
  <c r="AA1055" i="6"/>
  <c r="Y1055" i="6"/>
  <c r="AA1054" i="6"/>
  <c r="AF1054" i="6" s="1"/>
  <c r="Y1054" i="6"/>
  <c r="Y1053" i="6"/>
  <c r="AA1053" i="6" s="1"/>
  <c r="AF1053" i="6" s="1"/>
  <c r="Y1052" i="6"/>
  <c r="AA1052" i="6" s="1"/>
  <c r="AF1052" i="6" s="1"/>
  <c r="AA1051" i="6"/>
  <c r="AF1051" i="6" s="1"/>
  <c r="Y1051" i="6"/>
  <c r="AA1050" i="6"/>
  <c r="AF1050" i="6" s="1"/>
  <c r="Y1050" i="6"/>
  <c r="Y1049" i="6"/>
  <c r="AA1049" i="6" s="1"/>
  <c r="AF1049" i="6" s="1"/>
  <c r="Y1048" i="6"/>
  <c r="AA1048" i="6" s="1"/>
  <c r="AF1048" i="6" s="1"/>
  <c r="AF1047" i="6"/>
  <c r="AA1047" i="6"/>
  <c r="Y1047" i="6"/>
  <c r="Y1046" i="6"/>
  <c r="AA1046" i="6" s="1"/>
  <c r="AF1046" i="6" s="1"/>
  <c r="Y1045" i="6"/>
  <c r="AA1045" i="6" s="1"/>
  <c r="AF1045" i="6" s="1"/>
  <c r="Y1044" i="6"/>
  <c r="AA1044" i="6" s="1"/>
  <c r="AF1044" i="6" s="1"/>
  <c r="AA1043" i="6"/>
  <c r="AF1043" i="6" s="1"/>
  <c r="Y1043" i="6"/>
  <c r="AA1042" i="6"/>
  <c r="AF1042" i="6" s="1"/>
  <c r="Y1042" i="6"/>
  <c r="Y1041" i="6"/>
  <c r="AA1041" i="6" s="1"/>
  <c r="AF1041" i="6" s="1"/>
  <c r="AA1040" i="6"/>
  <c r="AF1040" i="6" s="1"/>
  <c r="Y1040" i="6"/>
  <c r="AF1039" i="6"/>
  <c r="AA1039" i="6"/>
  <c r="Y1039" i="6"/>
  <c r="Y1038" i="6"/>
  <c r="AA1038" i="6" s="1"/>
  <c r="AF1038" i="6" s="1"/>
  <c r="Y1037" i="6"/>
  <c r="AA1037" i="6" s="1"/>
  <c r="AF1037" i="6" s="1"/>
  <c r="Y1036" i="6"/>
  <c r="AA1036" i="6" s="1"/>
  <c r="AF1036" i="6" s="1"/>
  <c r="Y1035" i="6"/>
  <c r="AA1035" i="6" s="1"/>
  <c r="AF1035" i="6" s="1"/>
  <c r="AA1034" i="6"/>
  <c r="AF1034" i="6" s="1"/>
  <c r="Y1034" i="6"/>
  <c r="Y1033" i="6"/>
  <c r="AA1033" i="6" s="1"/>
  <c r="AF1033" i="6" s="1"/>
  <c r="AA1032" i="6"/>
  <c r="AF1032" i="6" s="1"/>
  <c r="Y1032" i="6"/>
  <c r="AF1031" i="6"/>
  <c r="AA1031" i="6"/>
  <c r="Y1031" i="6"/>
  <c r="AA1030" i="6"/>
  <c r="AF1030" i="6" s="1"/>
  <c r="Y1030" i="6"/>
  <c r="V14" i="8"/>
  <c r="V13" i="8"/>
  <c r="V12" i="8"/>
  <c r="V11" i="8"/>
  <c r="V10" i="8"/>
  <c r="V9" i="8"/>
  <c r="V8" i="8"/>
  <c r="V7" i="8"/>
  <c r="V6" i="8"/>
  <c r="V5" i="8"/>
  <c r="V4" i="8"/>
  <c r="V3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AA12" i="8"/>
  <c r="Z12" i="8"/>
  <c r="Y12" i="8"/>
  <c r="AA11" i="8"/>
  <c r="Z11" i="8"/>
  <c r="Y11" i="8"/>
  <c r="AA10" i="8"/>
  <c r="Z10" i="8"/>
  <c r="Y10" i="8"/>
  <c r="AA9" i="8"/>
  <c r="Z9" i="8"/>
  <c r="Y9" i="8"/>
  <c r="AA8" i="8"/>
  <c r="Z8" i="8"/>
  <c r="Y8" i="8"/>
  <c r="AA7" i="8"/>
  <c r="AD7" i="8" s="1"/>
  <c r="Z7" i="8"/>
  <c r="Y7" i="8"/>
  <c r="AA6" i="8"/>
  <c r="Z6" i="8"/>
  <c r="Y6" i="8"/>
  <c r="AA5" i="8"/>
  <c r="Z5" i="8"/>
  <c r="Y5" i="8"/>
  <c r="AA4" i="8"/>
  <c r="Z4" i="8"/>
  <c r="Y4" i="8"/>
  <c r="AA3" i="8"/>
  <c r="AD3" i="8" s="1"/>
  <c r="Z3" i="8"/>
  <c r="Y3" i="8"/>
  <c r="AF10" i="8"/>
  <c r="AE10" i="8"/>
  <c r="AD10" i="8"/>
  <c r="AE9" i="8"/>
  <c r="AF9" i="8" s="1"/>
  <c r="AD9" i="8"/>
  <c r="AE8" i="8"/>
  <c r="AF8" i="8" s="1"/>
  <c r="AD8" i="8"/>
  <c r="AE7" i="8"/>
  <c r="AF7" i="8" s="1"/>
  <c r="AE6" i="8"/>
  <c r="AF6" i="8" s="1"/>
  <c r="AD6" i="8"/>
  <c r="AE5" i="8"/>
  <c r="AF5" i="8" s="1"/>
  <c r="AD5" i="8"/>
  <c r="AF4" i="8"/>
  <c r="AE4" i="8"/>
  <c r="AD4" i="8"/>
  <c r="AF3" i="8"/>
  <c r="AE3" i="8"/>
  <c r="Y2" i="8"/>
  <c r="Z2" i="8"/>
  <c r="V2" i="8"/>
  <c r="T2" i="8"/>
  <c r="Z679" i="7"/>
  <c r="AA679" i="7" s="1"/>
  <c r="AF679" i="7" s="1"/>
  <c r="Y679" i="7"/>
  <c r="AC679" i="7" s="1"/>
  <c r="AF678" i="7"/>
  <c r="AC678" i="7"/>
  <c r="AA678" i="7"/>
  <c r="Z678" i="7"/>
  <c r="Y678" i="7"/>
  <c r="Z677" i="7"/>
  <c r="AA677" i="7" s="1"/>
  <c r="AF677" i="7" s="1"/>
  <c r="Y677" i="7"/>
  <c r="AC677" i="7" s="1"/>
  <c r="AF676" i="7"/>
  <c r="AC676" i="7"/>
  <c r="AA676" i="7"/>
  <c r="Z676" i="7"/>
  <c r="Y676" i="7"/>
  <c r="AC675" i="7"/>
  <c r="AA675" i="7"/>
  <c r="AF675" i="7" s="1"/>
  <c r="Z675" i="7"/>
  <c r="Y675" i="7"/>
  <c r="Z674" i="7"/>
  <c r="AA674" i="7" s="1"/>
  <c r="AF674" i="7" s="1"/>
  <c r="Y674" i="7"/>
  <c r="AC674" i="7" s="1"/>
  <c r="AF673" i="7"/>
  <c r="AA673" i="7"/>
  <c r="Y673" i="7"/>
  <c r="Y672" i="7"/>
  <c r="AA672" i="7" s="1"/>
  <c r="AF672" i="7" s="1"/>
  <c r="Y671" i="7"/>
  <c r="AA671" i="7" s="1"/>
  <c r="AF671" i="7" s="1"/>
  <c r="AF670" i="7"/>
  <c r="AA670" i="7"/>
  <c r="Y670" i="7"/>
  <c r="Y669" i="7"/>
  <c r="AA669" i="7" s="1"/>
  <c r="AF669" i="7" s="1"/>
  <c r="AA668" i="7"/>
  <c r="AF668" i="7" s="1"/>
  <c r="Y668" i="7"/>
  <c r="AF667" i="7"/>
  <c r="AA667" i="7"/>
  <c r="Y667" i="7"/>
  <c r="Y666" i="7"/>
  <c r="AA666" i="7" s="1"/>
  <c r="AF666" i="7" s="1"/>
  <c r="AF665" i="7"/>
  <c r="AA665" i="7"/>
  <c r="Y665" i="7"/>
  <c r="Y664" i="7"/>
  <c r="AA664" i="7" s="1"/>
  <c r="AF664" i="7" s="1"/>
  <c r="Y663" i="7"/>
  <c r="AA663" i="7" s="1"/>
  <c r="AF663" i="7" s="1"/>
  <c r="AF662" i="7"/>
  <c r="AA662" i="7"/>
  <c r="Y662" i="7"/>
  <c r="Y661" i="7"/>
  <c r="AA661" i="7" s="1"/>
  <c r="AF661" i="7" s="1"/>
  <c r="AA660" i="7"/>
  <c r="AF660" i="7" s="1"/>
  <c r="Y660" i="7"/>
  <c r="Y659" i="7"/>
  <c r="AA659" i="7" s="1"/>
  <c r="AF659" i="7" s="1"/>
  <c r="Y658" i="7"/>
  <c r="AA658" i="7" s="1"/>
  <c r="AF658" i="7" s="1"/>
  <c r="AF657" i="7"/>
  <c r="AA657" i="7"/>
  <c r="Y657" i="7"/>
  <c r="Y656" i="7"/>
  <c r="AA656" i="7" s="1"/>
  <c r="AF656" i="7" s="1"/>
  <c r="Y655" i="7"/>
  <c r="AA655" i="7" s="1"/>
  <c r="AF655" i="7" s="1"/>
  <c r="AF654" i="7"/>
  <c r="AA654" i="7"/>
  <c r="Y654" i="7"/>
  <c r="Y653" i="7"/>
  <c r="AA653" i="7" s="1"/>
  <c r="AF653" i="7" s="1"/>
  <c r="AA652" i="7"/>
  <c r="AF652" i="7" s="1"/>
  <c r="Y652" i="7"/>
  <c r="Y651" i="7"/>
  <c r="AA651" i="7" s="1"/>
  <c r="AF651" i="7" s="1"/>
  <c r="Y650" i="7"/>
  <c r="AA650" i="7" s="1"/>
  <c r="AF650" i="7" s="1"/>
  <c r="AF649" i="7"/>
  <c r="AA649" i="7"/>
  <c r="Y649" i="7"/>
  <c r="Y648" i="7"/>
  <c r="AA648" i="7" s="1"/>
  <c r="AF648" i="7" s="1"/>
  <c r="Y647" i="7"/>
  <c r="AA647" i="7" s="1"/>
  <c r="AF647" i="7" s="1"/>
  <c r="AF646" i="7"/>
  <c r="AA646" i="7"/>
  <c r="Y646" i="7"/>
  <c r="Y645" i="7"/>
  <c r="AA645" i="7" s="1"/>
  <c r="AF645" i="7" s="1"/>
  <c r="AA644" i="7"/>
  <c r="AF644" i="7" s="1"/>
  <c r="Y644" i="7"/>
  <c r="Y643" i="7"/>
  <c r="AA643" i="7" s="1"/>
  <c r="AF643" i="7" s="1"/>
  <c r="Y642" i="7"/>
  <c r="AA642" i="7" s="1"/>
  <c r="AF642" i="7" s="1"/>
  <c r="AF641" i="7"/>
  <c r="AA641" i="7"/>
  <c r="Y641" i="7"/>
  <c r="Y640" i="7"/>
  <c r="AA640" i="7" s="1"/>
  <c r="AF640" i="7" s="1"/>
  <c r="Y639" i="7"/>
  <c r="AA639" i="7" s="1"/>
  <c r="AF639" i="7" s="1"/>
  <c r="Y638" i="7"/>
  <c r="AA638" i="7" s="1"/>
  <c r="AF638" i="7" s="1"/>
  <c r="Y637" i="7"/>
  <c r="AA637" i="7" s="1"/>
  <c r="AF637" i="7" s="1"/>
  <c r="AA636" i="7"/>
  <c r="AF636" i="7" s="1"/>
  <c r="Y636" i="7"/>
  <c r="Y635" i="7"/>
  <c r="AA635" i="7" s="1"/>
  <c r="AF635" i="7" s="1"/>
  <c r="Y634" i="7"/>
  <c r="AA634" i="7" s="1"/>
  <c r="AF634" i="7" s="1"/>
  <c r="AF633" i="7"/>
  <c r="AA633" i="7"/>
  <c r="Y633" i="7"/>
  <c r="AA632" i="7"/>
  <c r="AF632" i="7" s="1"/>
  <c r="Y632" i="7"/>
  <c r="Y631" i="7"/>
  <c r="AA631" i="7" s="1"/>
  <c r="AF631" i="7" s="1"/>
  <c r="Y630" i="7"/>
  <c r="AA630" i="7" s="1"/>
  <c r="AF630" i="7" s="1"/>
  <c r="Z629" i="7"/>
  <c r="Y629" i="7"/>
  <c r="AC629" i="7" s="1"/>
  <c r="Y628" i="7"/>
  <c r="AC628" i="7" s="1"/>
  <c r="Y627" i="7"/>
  <c r="Y626" i="7"/>
  <c r="AC626" i="7" s="1"/>
  <c r="Z625" i="7"/>
  <c r="AA625" i="7" s="1"/>
  <c r="AF625" i="7" s="1"/>
  <c r="Y625" i="7"/>
  <c r="AC625" i="7" s="1"/>
  <c r="Z624" i="7"/>
  <c r="Y624" i="7"/>
  <c r="AC624" i="7" s="1"/>
  <c r="AF623" i="7"/>
  <c r="AC623" i="7"/>
  <c r="AA623" i="7"/>
  <c r="Z623" i="7"/>
  <c r="Y623" i="7"/>
  <c r="Z622" i="7"/>
  <c r="Y622" i="7"/>
  <c r="AC622" i="7" s="1"/>
  <c r="Z621" i="7"/>
  <c r="AA621" i="7" s="1"/>
  <c r="AF621" i="7" s="1"/>
  <c r="Y621" i="7"/>
  <c r="AC621" i="7" s="1"/>
  <c r="AC620" i="7"/>
  <c r="AA620" i="7"/>
  <c r="AF620" i="7" s="1"/>
  <c r="Z620" i="7"/>
  <c r="Y620" i="7"/>
  <c r="Z619" i="7"/>
  <c r="AA619" i="7" s="1"/>
  <c r="AF619" i="7" s="1"/>
  <c r="Y619" i="7"/>
  <c r="AC619" i="7" s="1"/>
  <c r="AC618" i="7"/>
  <c r="Z618" i="7"/>
  <c r="AA618" i="7" s="1"/>
  <c r="AF618" i="7" s="1"/>
  <c r="Y618" i="7"/>
  <c r="Z617" i="7"/>
  <c r="AA617" i="7" s="1"/>
  <c r="AF617" i="7" s="1"/>
  <c r="Y617" i="7"/>
  <c r="AC617" i="7" s="1"/>
  <c r="Z616" i="7"/>
  <c r="AA616" i="7" s="1"/>
  <c r="AF616" i="7" s="1"/>
  <c r="Y616" i="7"/>
  <c r="AC616" i="7" s="1"/>
  <c r="AF615" i="7"/>
  <c r="AC615" i="7"/>
  <c r="AA615" i="7"/>
  <c r="Z615" i="7"/>
  <c r="Y615" i="7"/>
  <c r="Z614" i="7"/>
  <c r="Y614" i="7"/>
  <c r="AC614" i="7" s="1"/>
  <c r="Z613" i="7"/>
  <c r="AA613" i="7" s="1"/>
  <c r="AF613" i="7" s="1"/>
  <c r="Y613" i="7"/>
  <c r="AC613" i="7" s="1"/>
  <c r="AC612" i="7"/>
  <c r="AA612" i="7"/>
  <c r="AF612" i="7" s="1"/>
  <c r="Z612" i="7"/>
  <c r="Y612" i="7"/>
  <c r="Z611" i="7"/>
  <c r="AA611" i="7" s="1"/>
  <c r="AF611" i="7" s="1"/>
  <c r="Y611" i="7"/>
  <c r="AC611" i="7" s="1"/>
  <c r="AC610" i="7"/>
  <c r="Z610" i="7"/>
  <c r="AA610" i="7" s="1"/>
  <c r="AF610" i="7" s="1"/>
  <c r="Y610" i="7"/>
  <c r="Z609" i="7"/>
  <c r="AA609" i="7" s="1"/>
  <c r="AF609" i="7" s="1"/>
  <c r="Y609" i="7"/>
  <c r="AC609" i="7" s="1"/>
  <c r="Z608" i="7"/>
  <c r="Y608" i="7"/>
  <c r="AC608" i="7" s="1"/>
  <c r="AF607" i="7"/>
  <c r="AC607" i="7"/>
  <c r="AA607" i="7"/>
  <c r="Z607" i="7"/>
  <c r="Y607" i="7"/>
  <c r="Z606" i="7"/>
  <c r="AA606" i="7" s="1"/>
  <c r="AF606" i="7" s="1"/>
  <c r="Y606" i="7"/>
  <c r="AC606" i="7" s="1"/>
  <c r="Z605" i="7"/>
  <c r="AA605" i="7" s="1"/>
  <c r="AF605" i="7" s="1"/>
  <c r="Y605" i="7"/>
  <c r="AC605" i="7" s="1"/>
  <c r="AC604" i="7"/>
  <c r="AA604" i="7"/>
  <c r="AF604" i="7" s="1"/>
  <c r="Z604" i="7"/>
  <c r="Y604" i="7"/>
  <c r="Z603" i="7"/>
  <c r="AA603" i="7" s="1"/>
  <c r="AF603" i="7" s="1"/>
  <c r="Y603" i="7"/>
  <c r="AC603" i="7" s="1"/>
  <c r="AC602" i="7"/>
  <c r="Z602" i="7"/>
  <c r="AA602" i="7" s="1"/>
  <c r="AF602" i="7" s="1"/>
  <c r="Y602" i="7"/>
  <c r="Z601" i="7"/>
  <c r="AA601" i="7" s="1"/>
  <c r="AF601" i="7" s="1"/>
  <c r="Y601" i="7"/>
  <c r="AC601" i="7" s="1"/>
  <c r="Z600" i="7"/>
  <c r="Y600" i="7"/>
  <c r="AC600" i="7" s="1"/>
  <c r="AF599" i="7"/>
  <c r="AC599" i="7"/>
  <c r="AA599" i="7"/>
  <c r="Z599" i="7"/>
  <c r="Y599" i="7"/>
  <c r="Z598" i="7"/>
  <c r="Y598" i="7"/>
  <c r="AC598" i="7" s="1"/>
  <c r="Z597" i="7"/>
  <c r="AA597" i="7" s="1"/>
  <c r="AF597" i="7" s="1"/>
  <c r="Y597" i="7"/>
  <c r="AC597" i="7" s="1"/>
  <c r="AC596" i="7"/>
  <c r="AA596" i="7"/>
  <c r="AF596" i="7" s="1"/>
  <c r="Z596" i="7"/>
  <c r="Y596" i="7"/>
  <c r="Z595" i="7"/>
  <c r="AA595" i="7" s="1"/>
  <c r="AF595" i="7" s="1"/>
  <c r="Y595" i="7"/>
  <c r="AC595" i="7" s="1"/>
  <c r="AF594" i="7"/>
  <c r="AC594" i="7"/>
  <c r="Z594" i="7"/>
  <c r="AA594" i="7" s="1"/>
  <c r="Y594" i="7"/>
  <c r="Z593" i="7"/>
  <c r="AA593" i="7" s="1"/>
  <c r="AF593" i="7" s="1"/>
  <c r="Y593" i="7"/>
  <c r="AC593" i="7" s="1"/>
  <c r="Z592" i="7"/>
  <c r="AA592" i="7" s="1"/>
  <c r="AF592" i="7" s="1"/>
  <c r="Y592" i="7"/>
  <c r="AC592" i="7" s="1"/>
  <c r="AF591" i="7"/>
  <c r="AC591" i="7"/>
  <c r="AA591" i="7"/>
  <c r="Z591" i="7"/>
  <c r="Y591" i="7"/>
  <c r="Z590" i="7"/>
  <c r="AA590" i="7" s="1"/>
  <c r="AF590" i="7" s="1"/>
  <c r="Y590" i="7"/>
  <c r="AC590" i="7" s="1"/>
  <c r="Z589" i="7"/>
  <c r="AA589" i="7" s="1"/>
  <c r="AF589" i="7" s="1"/>
  <c r="Y589" i="7"/>
  <c r="AC589" i="7" s="1"/>
  <c r="AC588" i="7"/>
  <c r="AA588" i="7"/>
  <c r="AF588" i="7" s="1"/>
  <c r="Z588" i="7"/>
  <c r="Y588" i="7"/>
  <c r="Z587" i="7"/>
  <c r="AA587" i="7" s="1"/>
  <c r="AF587" i="7" s="1"/>
  <c r="Y587" i="7"/>
  <c r="AC587" i="7" s="1"/>
  <c r="AF586" i="7"/>
  <c r="AC586" i="7"/>
  <c r="Z586" i="7"/>
  <c r="AA586" i="7" s="1"/>
  <c r="Y586" i="7"/>
  <c r="Z585" i="7"/>
  <c r="AA585" i="7" s="1"/>
  <c r="AF585" i="7" s="1"/>
  <c r="Y585" i="7"/>
  <c r="AC585" i="7" s="1"/>
  <c r="Z584" i="7"/>
  <c r="Y584" i="7"/>
  <c r="AC584" i="7" s="1"/>
  <c r="AF583" i="7"/>
  <c r="AC583" i="7"/>
  <c r="AA583" i="7"/>
  <c r="Z583" i="7"/>
  <c r="Y583" i="7"/>
  <c r="Z582" i="7"/>
  <c r="Y582" i="7"/>
  <c r="AC582" i="7" s="1"/>
  <c r="AF581" i="7"/>
  <c r="AA581" i="7"/>
  <c r="Z581" i="7"/>
  <c r="Y581" i="7"/>
  <c r="AC581" i="7" s="1"/>
  <c r="AC580" i="7"/>
  <c r="AA580" i="7"/>
  <c r="AF580" i="7" s="1"/>
  <c r="Z580" i="7"/>
  <c r="Y580" i="7"/>
  <c r="Z579" i="7"/>
  <c r="AA579" i="7" s="1"/>
  <c r="AF579" i="7" s="1"/>
  <c r="Y579" i="7"/>
  <c r="AC579" i="7" s="1"/>
  <c r="AF578" i="7"/>
  <c r="AC578" i="7"/>
  <c r="Z578" i="7"/>
  <c r="AA578" i="7" s="1"/>
  <c r="Y578" i="7"/>
  <c r="Z577" i="7"/>
  <c r="AA577" i="7" s="1"/>
  <c r="AF577" i="7" s="1"/>
  <c r="Y577" i="7"/>
  <c r="AC577" i="7" s="1"/>
  <c r="Z576" i="7"/>
  <c r="Y576" i="7"/>
  <c r="AC576" i="7" s="1"/>
  <c r="AF575" i="7"/>
  <c r="AC575" i="7"/>
  <c r="AA575" i="7"/>
  <c r="Z575" i="7"/>
  <c r="Y575" i="7"/>
  <c r="Z574" i="7"/>
  <c r="AA574" i="7" s="1"/>
  <c r="AF574" i="7" s="1"/>
  <c r="Y574" i="7"/>
  <c r="AC574" i="7" s="1"/>
  <c r="AF573" i="7"/>
  <c r="AC573" i="7"/>
  <c r="AA573" i="7"/>
  <c r="Z573" i="7"/>
  <c r="Y573" i="7"/>
  <c r="AC572" i="7"/>
  <c r="AA572" i="7"/>
  <c r="AF572" i="7" s="1"/>
  <c r="Z572" i="7"/>
  <c r="Y572" i="7"/>
  <c r="Z571" i="7"/>
  <c r="AA571" i="7" s="1"/>
  <c r="AF571" i="7" s="1"/>
  <c r="Y571" i="7"/>
  <c r="AC571" i="7" s="1"/>
  <c r="AC570" i="7"/>
  <c r="Z570" i="7"/>
  <c r="AA570" i="7" s="1"/>
  <c r="AF570" i="7" s="1"/>
  <c r="Y570" i="7"/>
  <c r="Z569" i="7"/>
  <c r="AA569" i="7" s="1"/>
  <c r="AF569" i="7" s="1"/>
  <c r="Y569" i="7"/>
  <c r="AC569" i="7" s="1"/>
  <c r="Z568" i="7"/>
  <c r="Y568" i="7"/>
  <c r="AC568" i="7" s="1"/>
  <c r="AF567" i="7"/>
  <c r="AC567" i="7"/>
  <c r="AA567" i="7"/>
  <c r="Z567" i="7"/>
  <c r="Y567" i="7"/>
  <c r="Z566" i="7"/>
  <c r="AA566" i="7" s="1"/>
  <c r="AF566" i="7" s="1"/>
  <c r="Y566" i="7"/>
  <c r="AC566" i="7" s="1"/>
  <c r="AF565" i="7"/>
  <c r="AC565" i="7"/>
  <c r="AA565" i="7"/>
  <c r="Z565" i="7"/>
  <c r="Y565" i="7"/>
  <c r="AC564" i="7"/>
  <c r="AA564" i="7"/>
  <c r="AF564" i="7" s="1"/>
  <c r="Z564" i="7"/>
  <c r="Y564" i="7"/>
  <c r="Z563" i="7"/>
  <c r="AA563" i="7" s="1"/>
  <c r="AF563" i="7" s="1"/>
  <c r="Y563" i="7"/>
  <c r="AC563" i="7" s="1"/>
  <c r="AC562" i="7"/>
  <c r="Z562" i="7"/>
  <c r="Y562" i="7"/>
  <c r="AA562" i="7" s="1"/>
  <c r="AF562" i="7" s="1"/>
  <c r="Z561" i="7"/>
  <c r="AA561" i="7" s="1"/>
  <c r="AF561" i="7" s="1"/>
  <c r="Y561" i="7"/>
  <c r="AC561" i="7" s="1"/>
  <c r="Z560" i="7"/>
  <c r="Y560" i="7"/>
  <c r="AC560" i="7" s="1"/>
  <c r="AF559" i="7"/>
  <c r="AC559" i="7"/>
  <c r="AA559" i="7"/>
  <c r="Z559" i="7"/>
  <c r="Y559" i="7"/>
  <c r="Z558" i="7"/>
  <c r="Y558" i="7"/>
  <c r="AC558" i="7" s="1"/>
  <c r="AF557" i="7"/>
  <c r="AC557" i="7"/>
  <c r="AA557" i="7"/>
  <c r="Z557" i="7"/>
  <c r="Y557" i="7"/>
  <c r="AC556" i="7"/>
  <c r="AA556" i="7"/>
  <c r="AF556" i="7" s="1"/>
  <c r="Z556" i="7"/>
  <c r="Y556" i="7"/>
  <c r="Z555" i="7"/>
  <c r="AA555" i="7" s="1"/>
  <c r="AF555" i="7" s="1"/>
  <c r="Y555" i="7"/>
  <c r="AC555" i="7" s="1"/>
  <c r="AF554" i="7"/>
  <c r="AC554" i="7"/>
  <c r="AA554" i="7"/>
  <c r="Z554" i="7"/>
  <c r="Y554" i="7"/>
  <c r="Z553" i="7"/>
  <c r="AA553" i="7" s="1"/>
  <c r="AF553" i="7" s="1"/>
  <c r="Y553" i="7"/>
  <c r="AC553" i="7" s="1"/>
  <c r="Z552" i="7"/>
  <c r="Y552" i="7"/>
  <c r="AC552" i="7" s="1"/>
  <c r="AF551" i="7"/>
  <c r="AC551" i="7"/>
  <c r="AA551" i="7"/>
  <c r="Z551" i="7"/>
  <c r="Y551" i="7"/>
  <c r="Z550" i="7"/>
  <c r="Y550" i="7"/>
  <c r="AC550" i="7" s="1"/>
  <c r="AF549" i="7"/>
  <c r="AC549" i="7"/>
  <c r="AA549" i="7"/>
  <c r="Z549" i="7"/>
  <c r="Y549" i="7"/>
  <c r="AC548" i="7"/>
  <c r="AA548" i="7"/>
  <c r="AF548" i="7" s="1"/>
  <c r="Z548" i="7"/>
  <c r="Y548" i="7"/>
  <c r="Z547" i="7"/>
  <c r="AA547" i="7" s="1"/>
  <c r="AF547" i="7" s="1"/>
  <c r="Y547" i="7"/>
  <c r="AC547" i="7" s="1"/>
  <c r="AF546" i="7"/>
  <c r="AC546" i="7"/>
  <c r="AA546" i="7"/>
  <c r="Z546" i="7"/>
  <c r="Y546" i="7"/>
  <c r="Z545" i="7"/>
  <c r="AA545" i="7" s="1"/>
  <c r="AF545" i="7" s="1"/>
  <c r="Y545" i="7"/>
  <c r="AC545" i="7" s="1"/>
  <c r="Z544" i="7"/>
  <c r="Y544" i="7"/>
  <c r="AC544" i="7" s="1"/>
  <c r="AF543" i="7"/>
  <c r="AC543" i="7"/>
  <c r="AA543" i="7"/>
  <c r="Z543" i="7"/>
  <c r="Y543" i="7"/>
  <c r="Z542" i="7"/>
  <c r="AA542" i="7" s="1"/>
  <c r="AF542" i="7" s="1"/>
  <c r="Y542" i="7"/>
  <c r="AC542" i="7" s="1"/>
  <c r="AC541" i="7"/>
  <c r="Y541" i="7"/>
  <c r="AA541" i="7" s="1"/>
  <c r="AF541" i="7" s="1"/>
  <c r="Y540" i="7"/>
  <c r="AC540" i="7" s="1"/>
  <c r="AC539" i="7"/>
  <c r="Y539" i="7"/>
  <c r="AA539" i="7" s="1"/>
  <c r="AF539" i="7" s="1"/>
  <c r="AA538" i="7"/>
  <c r="AF538" i="7" s="1"/>
  <c r="Z538" i="7"/>
  <c r="Y538" i="7"/>
  <c r="AC538" i="7" s="1"/>
  <c r="AF537" i="7"/>
  <c r="AC537" i="7"/>
  <c r="AA537" i="7"/>
  <c r="Y537" i="7"/>
  <c r="AC536" i="7"/>
  <c r="AA536" i="7"/>
  <c r="AF536" i="7" s="1"/>
  <c r="Y536" i="7"/>
  <c r="AF535" i="7"/>
  <c r="AC535" i="7"/>
  <c r="AA535" i="7"/>
  <c r="Y535" i="7"/>
  <c r="AC534" i="7"/>
  <c r="AA534" i="7"/>
  <c r="AF534" i="7" s="1"/>
  <c r="Y534" i="7"/>
  <c r="AF533" i="7"/>
  <c r="AC533" i="7"/>
  <c r="AA533" i="7"/>
  <c r="Y533" i="7"/>
  <c r="AC532" i="7"/>
  <c r="AA532" i="7"/>
  <c r="AF532" i="7" s="1"/>
  <c r="Y532" i="7"/>
  <c r="AF531" i="7"/>
  <c r="AC531" i="7"/>
  <c r="AA531" i="7"/>
  <c r="Y531" i="7"/>
  <c r="AC530" i="7"/>
  <c r="AA530" i="7"/>
  <c r="AF530" i="7" s="1"/>
  <c r="Y530" i="7"/>
  <c r="AF529" i="7"/>
  <c r="AC529" i="7"/>
  <c r="AA529" i="7"/>
  <c r="Y529" i="7"/>
  <c r="AC528" i="7"/>
  <c r="AA528" i="7"/>
  <c r="AF528" i="7" s="1"/>
  <c r="Y528" i="7"/>
  <c r="AF527" i="7"/>
  <c r="AC527" i="7"/>
  <c r="AA527" i="7"/>
  <c r="Y527" i="7"/>
  <c r="AC526" i="7"/>
  <c r="AA526" i="7"/>
  <c r="AF526" i="7" s="1"/>
  <c r="Y526" i="7"/>
  <c r="AF525" i="7"/>
  <c r="AC525" i="7"/>
  <c r="AA525" i="7"/>
  <c r="Y525" i="7"/>
  <c r="AC524" i="7"/>
  <c r="AA524" i="7"/>
  <c r="AF524" i="7" s="1"/>
  <c r="Z524" i="7"/>
  <c r="Y524" i="7"/>
  <c r="Z523" i="7"/>
  <c r="AA523" i="7" s="1"/>
  <c r="AF523" i="7" s="1"/>
  <c r="Y523" i="7"/>
  <c r="AC523" i="7" s="1"/>
  <c r="AF522" i="7"/>
  <c r="AA522" i="7"/>
  <c r="Z522" i="7"/>
  <c r="Y522" i="7"/>
  <c r="AC522" i="7" s="1"/>
  <c r="Z521" i="7"/>
  <c r="AA521" i="7" s="1"/>
  <c r="AF521" i="7" s="1"/>
  <c r="Y521" i="7"/>
  <c r="AC521" i="7" s="1"/>
  <c r="Z520" i="7"/>
  <c r="Y520" i="7"/>
  <c r="AC520" i="7" s="1"/>
  <c r="AF519" i="7"/>
  <c r="AC519" i="7"/>
  <c r="Z519" i="7"/>
  <c r="AA519" i="7" s="1"/>
  <c r="Y519" i="7"/>
  <c r="Y518" i="7"/>
  <c r="AF517" i="7"/>
  <c r="Y517" i="7"/>
  <c r="AA517" i="7" s="1"/>
  <c r="Y516" i="7"/>
  <c r="AF515" i="7"/>
  <c r="Y515" i="7"/>
  <c r="AA515" i="7" s="1"/>
  <c r="Y514" i="7"/>
  <c r="Y513" i="7"/>
  <c r="AA513" i="7" s="1"/>
  <c r="AF513" i="7" s="1"/>
  <c r="Y512" i="7"/>
  <c r="Y511" i="7"/>
  <c r="AA511" i="7" s="1"/>
  <c r="AF511" i="7" s="1"/>
  <c r="Y510" i="7"/>
  <c r="Y509" i="7"/>
  <c r="AA509" i="7" s="1"/>
  <c r="AF509" i="7" s="1"/>
  <c r="Y508" i="7"/>
  <c r="Y507" i="7"/>
  <c r="AA507" i="7" s="1"/>
  <c r="AF507" i="7" s="1"/>
  <c r="Y506" i="7"/>
  <c r="Y505" i="7"/>
  <c r="AA505" i="7" s="1"/>
  <c r="AF505" i="7" s="1"/>
  <c r="Y504" i="7"/>
  <c r="Y503" i="7"/>
  <c r="AA503" i="7" s="1"/>
  <c r="AF503" i="7" s="1"/>
  <c r="Y502" i="7"/>
  <c r="AF501" i="7"/>
  <c r="Y501" i="7"/>
  <c r="AA501" i="7" s="1"/>
  <c r="Y500" i="7"/>
  <c r="AF499" i="7"/>
  <c r="Y499" i="7"/>
  <c r="AA499" i="7" s="1"/>
  <c r="Y498" i="7"/>
  <c r="Y497" i="7"/>
  <c r="AA497" i="7" s="1"/>
  <c r="AF497" i="7" s="1"/>
  <c r="Y496" i="7"/>
  <c r="Y495" i="7"/>
  <c r="AA495" i="7" s="1"/>
  <c r="AF495" i="7" s="1"/>
  <c r="Y494" i="7"/>
  <c r="Y493" i="7"/>
  <c r="AA493" i="7" s="1"/>
  <c r="AF493" i="7" s="1"/>
  <c r="Y492" i="7"/>
  <c r="Y491" i="7"/>
  <c r="AA491" i="7" s="1"/>
  <c r="AF491" i="7" s="1"/>
  <c r="Y490" i="7"/>
  <c r="Y489" i="7"/>
  <c r="AA489" i="7" s="1"/>
  <c r="AF489" i="7" s="1"/>
  <c r="Y488" i="7"/>
  <c r="Y487" i="7"/>
  <c r="AA487" i="7" s="1"/>
  <c r="AF487" i="7" s="1"/>
  <c r="Y486" i="7"/>
  <c r="AF485" i="7"/>
  <c r="Y485" i="7"/>
  <c r="AA485" i="7" s="1"/>
  <c r="Y484" i="7"/>
  <c r="AF483" i="7"/>
  <c r="Y483" i="7"/>
  <c r="AA483" i="7" s="1"/>
  <c r="Y482" i="7"/>
  <c r="Y481" i="7"/>
  <c r="AA481" i="7" s="1"/>
  <c r="AF481" i="7" s="1"/>
  <c r="Y480" i="7"/>
  <c r="Y479" i="7"/>
  <c r="AA479" i="7" s="1"/>
  <c r="AF479" i="7" s="1"/>
  <c r="Y478" i="7"/>
  <c r="Y477" i="7"/>
  <c r="AA477" i="7" s="1"/>
  <c r="AF477" i="7" s="1"/>
  <c r="Y476" i="7"/>
  <c r="Y475" i="7"/>
  <c r="AA475" i="7" s="1"/>
  <c r="AF475" i="7" s="1"/>
  <c r="Y474" i="7"/>
  <c r="Y473" i="7"/>
  <c r="AA473" i="7" s="1"/>
  <c r="AF473" i="7" s="1"/>
  <c r="Y472" i="7"/>
  <c r="Y471" i="7"/>
  <c r="Y470" i="7"/>
  <c r="Y469" i="7"/>
  <c r="AA469" i="7" s="1"/>
  <c r="AF469" i="7" s="1"/>
  <c r="Y468" i="7"/>
  <c r="Y467" i="7"/>
  <c r="AC467" i="7" s="1"/>
  <c r="Y466" i="7"/>
  <c r="AC465" i="7"/>
  <c r="Y465" i="7"/>
  <c r="AA465" i="7" s="1"/>
  <c r="AF465" i="7" s="1"/>
  <c r="Y464" i="7"/>
  <c r="AC463" i="7"/>
  <c r="Y463" i="7"/>
  <c r="AA463" i="7" s="1"/>
  <c r="AF463" i="7" s="1"/>
  <c r="AA462" i="7"/>
  <c r="AF462" i="7" s="1"/>
  <c r="Y462" i="7"/>
  <c r="AC462" i="7" s="1"/>
  <c r="Y461" i="7"/>
  <c r="AC461" i="7" s="1"/>
  <c r="AC460" i="7"/>
  <c r="AA460" i="7"/>
  <c r="AF460" i="7" s="1"/>
  <c r="Z460" i="7"/>
  <c r="Y460" i="7"/>
  <c r="AA459" i="7"/>
  <c r="AF459" i="7" s="1"/>
  <c r="Z459" i="7"/>
  <c r="Y459" i="7"/>
  <c r="AC459" i="7" s="1"/>
  <c r="Z458" i="7"/>
  <c r="AA458" i="7" s="1"/>
  <c r="AF458" i="7" s="1"/>
  <c r="Y458" i="7"/>
  <c r="AC458" i="7" s="1"/>
  <c r="AC457" i="7"/>
  <c r="Z457" i="7"/>
  <c r="AA457" i="7" s="1"/>
  <c r="AF457" i="7" s="1"/>
  <c r="Y457" i="7"/>
  <c r="Z456" i="7"/>
  <c r="AA456" i="7" s="1"/>
  <c r="AF456" i="7" s="1"/>
  <c r="Y456" i="7"/>
  <c r="AC456" i="7" s="1"/>
  <c r="AF455" i="7"/>
  <c r="AC455" i="7"/>
  <c r="AA455" i="7"/>
  <c r="Z455" i="7"/>
  <c r="Y455" i="7"/>
  <c r="AC454" i="7"/>
  <c r="Z454" i="7"/>
  <c r="AA454" i="7" s="1"/>
  <c r="AF454" i="7" s="1"/>
  <c r="Y454" i="7"/>
  <c r="Z453" i="7"/>
  <c r="AA453" i="7" s="1"/>
  <c r="AF453" i="7" s="1"/>
  <c r="Y453" i="7"/>
  <c r="AC453" i="7" s="1"/>
  <c r="AC452" i="7"/>
  <c r="AA452" i="7"/>
  <c r="AF452" i="7" s="1"/>
  <c r="Y452" i="7"/>
  <c r="Y451" i="7"/>
  <c r="AC451" i="7" s="1"/>
  <c r="AC450" i="7"/>
  <c r="AA450" i="7"/>
  <c r="AF450" i="7" s="1"/>
  <c r="Y450" i="7"/>
  <c r="Y449" i="7"/>
  <c r="AC449" i="7" s="1"/>
  <c r="AC448" i="7"/>
  <c r="AA448" i="7"/>
  <c r="AF448" i="7" s="1"/>
  <c r="Y448" i="7"/>
  <c r="Y447" i="7"/>
  <c r="AC447" i="7" s="1"/>
  <c r="AC446" i="7"/>
  <c r="AA446" i="7"/>
  <c r="AF446" i="7" s="1"/>
  <c r="Y446" i="7"/>
  <c r="Y445" i="7"/>
  <c r="AC445" i="7" s="1"/>
  <c r="AC444" i="7"/>
  <c r="AA444" i="7"/>
  <c r="AF444" i="7" s="1"/>
  <c r="Y444" i="7"/>
  <c r="Y443" i="7"/>
  <c r="AC443" i="7" s="1"/>
  <c r="AC442" i="7"/>
  <c r="AA442" i="7"/>
  <c r="AF442" i="7" s="1"/>
  <c r="Y442" i="7"/>
  <c r="Y441" i="7"/>
  <c r="AC441" i="7" s="1"/>
  <c r="AC440" i="7"/>
  <c r="AA440" i="7"/>
  <c r="AF440" i="7" s="1"/>
  <c r="Y440" i="7"/>
  <c r="Y439" i="7"/>
  <c r="AC439" i="7" s="1"/>
  <c r="AC438" i="7"/>
  <c r="AA438" i="7"/>
  <c r="AF438" i="7" s="1"/>
  <c r="Y438" i="7"/>
  <c r="Y437" i="7"/>
  <c r="AC437" i="7" s="1"/>
  <c r="AC436" i="7"/>
  <c r="AA436" i="7"/>
  <c r="AF436" i="7" s="1"/>
  <c r="Y436" i="7"/>
  <c r="Y435" i="7"/>
  <c r="AC435" i="7" s="1"/>
  <c r="AC434" i="7"/>
  <c r="AA434" i="7"/>
  <c r="AF434" i="7" s="1"/>
  <c r="Y434" i="7"/>
  <c r="Y433" i="7"/>
  <c r="AC433" i="7" s="1"/>
  <c r="AA432" i="7"/>
  <c r="AF432" i="7" s="1"/>
  <c r="Y432" i="7"/>
  <c r="AC432" i="7" s="1"/>
  <c r="Y431" i="7"/>
  <c r="AC431" i="7" s="1"/>
  <c r="AA430" i="7"/>
  <c r="AF430" i="7" s="1"/>
  <c r="Y430" i="7"/>
  <c r="AC430" i="7" s="1"/>
  <c r="Y429" i="7"/>
  <c r="AC429" i="7" s="1"/>
  <c r="AA428" i="7"/>
  <c r="AF428" i="7" s="1"/>
  <c r="Y428" i="7"/>
  <c r="AC428" i="7" s="1"/>
  <c r="Y427" i="7"/>
  <c r="AC427" i="7" s="1"/>
  <c r="AA426" i="7"/>
  <c r="AF426" i="7" s="1"/>
  <c r="Y426" i="7"/>
  <c r="AC426" i="7" s="1"/>
  <c r="Z425" i="7"/>
  <c r="AA425" i="7" s="1"/>
  <c r="AF425" i="7" s="1"/>
  <c r="Y425" i="7"/>
  <c r="AC425" i="7" s="1"/>
  <c r="Y424" i="7"/>
  <c r="AC424" i="7" s="1"/>
  <c r="AA423" i="7"/>
  <c r="AF423" i="7" s="1"/>
  <c r="Y423" i="7"/>
  <c r="AC423" i="7" s="1"/>
  <c r="AC422" i="7"/>
  <c r="AA422" i="7"/>
  <c r="AF422" i="7" s="1"/>
  <c r="Y422" i="7"/>
  <c r="AA421" i="7"/>
  <c r="AF421" i="7" s="1"/>
  <c r="Y421" i="7"/>
  <c r="AC421" i="7" s="1"/>
  <c r="AF420" i="7"/>
  <c r="AC420" i="7"/>
  <c r="AA420" i="7"/>
  <c r="Z420" i="7"/>
  <c r="Y420" i="7"/>
  <c r="AC419" i="7"/>
  <c r="Z419" i="7"/>
  <c r="AA419" i="7" s="1"/>
  <c r="AF419" i="7" s="1"/>
  <c r="Y419" i="7"/>
  <c r="Y418" i="7"/>
  <c r="AC418" i="7" s="1"/>
  <c r="Y417" i="7"/>
  <c r="AA417" i="7" s="1"/>
  <c r="AF417" i="7" s="1"/>
  <c r="Y416" i="7"/>
  <c r="AC416" i="7" s="1"/>
  <c r="Z415" i="7"/>
  <c r="AA415" i="7" s="1"/>
  <c r="AF415" i="7" s="1"/>
  <c r="Y415" i="7"/>
  <c r="AC415" i="7" s="1"/>
  <c r="Z414" i="7"/>
  <c r="AA414" i="7" s="1"/>
  <c r="AF414" i="7" s="1"/>
  <c r="Y414" i="7"/>
  <c r="AC414" i="7" s="1"/>
  <c r="Z413" i="7"/>
  <c r="AA413" i="7" s="1"/>
  <c r="AF413" i="7" s="1"/>
  <c r="Y413" i="7"/>
  <c r="AC413" i="7" s="1"/>
  <c r="AC412" i="7"/>
  <c r="Z412" i="7"/>
  <c r="AA412" i="7" s="1"/>
  <c r="AF412" i="7" s="1"/>
  <c r="Y412" i="7"/>
  <c r="Z411" i="7"/>
  <c r="Y411" i="7"/>
  <c r="AC411" i="7" s="1"/>
  <c r="AA410" i="7"/>
  <c r="AF410" i="7" s="1"/>
  <c r="Z410" i="7"/>
  <c r="Y410" i="7"/>
  <c r="AC410" i="7" s="1"/>
  <c r="AA409" i="7"/>
  <c r="AF409" i="7" s="1"/>
  <c r="Z409" i="7"/>
  <c r="Y409" i="7"/>
  <c r="AC409" i="7" s="1"/>
  <c r="Z408" i="7"/>
  <c r="AA408" i="7" s="1"/>
  <c r="AF408" i="7" s="1"/>
  <c r="Y408" i="7"/>
  <c r="AC408" i="7" s="1"/>
  <c r="Z407" i="7"/>
  <c r="AA407" i="7" s="1"/>
  <c r="AF407" i="7" s="1"/>
  <c r="Y407" i="7"/>
  <c r="AC407" i="7" s="1"/>
  <c r="Y406" i="7"/>
  <c r="AC406" i="7" s="1"/>
  <c r="AA405" i="7"/>
  <c r="AF405" i="7" s="1"/>
  <c r="Y405" i="7"/>
  <c r="AC405" i="7" s="1"/>
  <c r="Y404" i="7"/>
  <c r="AC404" i="7" s="1"/>
  <c r="AA403" i="7"/>
  <c r="AF403" i="7" s="1"/>
  <c r="Y403" i="7"/>
  <c r="AC403" i="7" s="1"/>
  <c r="Y402" i="7"/>
  <c r="AC402" i="7" s="1"/>
  <c r="AA401" i="7"/>
  <c r="AF401" i="7" s="1"/>
  <c r="Y401" i="7"/>
  <c r="AC401" i="7" s="1"/>
  <c r="Y400" i="7"/>
  <c r="AC400" i="7" s="1"/>
  <c r="AA399" i="7"/>
  <c r="AF399" i="7" s="1"/>
  <c r="Y399" i="7"/>
  <c r="AC399" i="7" s="1"/>
  <c r="Y398" i="7"/>
  <c r="AC398" i="7" s="1"/>
  <c r="AA397" i="7"/>
  <c r="AF397" i="7" s="1"/>
  <c r="Y397" i="7"/>
  <c r="AC397" i="7" s="1"/>
  <c r="Y396" i="7"/>
  <c r="AC396" i="7" s="1"/>
  <c r="AA395" i="7"/>
  <c r="AF395" i="7" s="1"/>
  <c r="Y395" i="7"/>
  <c r="AC395" i="7" s="1"/>
  <c r="Y394" i="7"/>
  <c r="AC394" i="7" s="1"/>
  <c r="AA393" i="7"/>
  <c r="AF393" i="7" s="1"/>
  <c r="Y393" i="7"/>
  <c r="AC393" i="7" s="1"/>
  <c r="Y392" i="7"/>
  <c r="AC392" i="7" s="1"/>
  <c r="AA391" i="7"/>
  <c r="AF391" i="7" s="1"/>
  <c r="Y391" i="7"/>
  <c r="AC391" i="7" s="1"/>
  <c r="Y390" i="7"/>
  <c r="AC390" i="7" s="1"/>
  <c r="AA389" i="7"/>
  <c r="AF389" i="7" s="1"/>
  <c r="Y389" i="7"/>
  <c r="AC389" i="7" s="1"/>
  <c r="Y388" i="7"/>
  <c r="AC388" i="7" s="1"/>
  <c r="Y387" i="7"/>
  <c r="AC387" i="7" s="1"/>
  <c r="Y386" i="7"/>
  <c r="AC386" i="7" s="1"/>
  <c r="AA385" i="7"/>
  <c r="AF385" i="7" s="1"/>
  <c r="Y385" i="7"/>
  <c r="AC385" i="7" s="1"/>
  <c r="Y384" i="7"/>
  <c r="AC384" i="7" s="1"/>
  <c r="AA383" i="7"/>
  <c r="AF383" i="7" s="1"/>
  <c r="Y383" i="7"/>
  <c r="AC383" i="7" s="1"/>
  <c r="Y382" i="7"/>
  <c r="AC382" i="7" s="1"/>
  <c r="AA381" i="7"/>
  <c r="AF381" i="7" s="1"/>
  <c r="Y381" i="7"/>
  <c r="AC381" i="7" s="1"/>
  <c r="Y380" i="7"/>
  <c r="AC380" i="7" s="1"/>
  <c r="AA379" i="7"/>
  <c r="AF379" i="7" s="1"/>
  <c r="Y379" i="7"/>
  <c r="AC379" i="7" s="1"/>
  <c r="Y378" i="7"/>
  <c r="AC378" i="7" s="1"/>
  <c r="AA377" i="7"/>
  <c r="AF377" i="7" s="1"/>
  <c r="Y377" i="7"/>
  <c r="AC377" i="7" s="1"/>
  <c r="Y376" i="7"/>
  <c r="AC376" i="7" s="1"/>
  <c r="AA375" i="7"/>
  <c r="AF375" i="7" s="1"/>
  <c r="Y375" i="7"/>
  <c r="AC375" i="7" s="1"/>
  <c r="Y374" i="7"/>
  <c r="AC374" i="7" s="1"/>
  <c r="AA373" i="7"/>
  <c r="AF373" i="7" s="1"/>
  <c r="Z373" i="7"/>
  <c r="Y373" i="7"/>
  <c r="AC373" i="7" s="1"/>
  <c r="AC372" i="7"/>
  <c r="AA372" i="7"/>
  <c r="AF372" i="7" s="1"/>
  <c r="Z372" i="7"/>
  <c r="Y372" i="7"/>
  <c r="AC371" i="7"/>
  <c r="Z371" i="7"/>
  <c r="AA371" i="7" s="1"/>
  <c r="AF371" i="7" s="1"/>
  <c r="Y371" i="7"/>
  <c r="Z370" i="7"/>
  <c r="AA370" i="7" s="1"/>
  <c r="AF370" i="7" s="1"/>
  <c r="Y370" i="7"/>
  <c r="AC370" i="7" s="1"/>
  <c r="AC369" i="7"/>
  <c r="Z369" i="7"/>
  <c r="AA369" i="7" s="1"/>
  <c r="AF369" i="7" s="1"/>
  <c r="Y369" i="7"/>
  <c r="AC368" i="7"/>
  <c r="AA368" i="7"/>
  <c r="AF368" i="7" s="1"/>
  <c r="Y368" i="7"/>
  <c r="AC367" i="7"/>
  <c r="AA367" i="7"/>
  <c r="AF367" i="7" s="1"/>
  <c r="Y367" i="7"/>
  <c r="AC366" i="7"/>
  <c r="AA366" i="7"/>
  <c r="AF366" i="7" s="1"/>
  <c r="Y366" i="7"/>
  <c r="AC365" i="7"/>
  <c r="AA365" i="7"/>
  <c r="AF365" i="7" s="1"/>
  <c r="Y365" i="7"/>
  <c r="AC364" i="7"/>
  <c r="AA364" i="7"/>
  <c r="AF364" i="7" s="1"/>
  <c r="Y364" i="7"/>
  <c r="AC363" i="7"/>
  <c r="AA363" i="7"/>
  <c r="AF363" i="7" s="1"/>
  <c r="Y363" i="7"/>
  <c r="AC362" i="7"/>
  <c r="AA362" i="7"/>
  <c r="AF362" i="7" s="1"/>
  <c r="Y362" i="7"/>
  <c r="AC361" i="7"/>
  <c r="AA361" i="7"/>
  <c r="AF361" i="7" s="1"/>
  <c r="Y361" i="7"/>
  <c r="AC360" i="7"/>
  <c r="AA360" i="7"/>
  <c r="AF360" i="7" s="1"/>
  <c r="Y360" i="7"/>
  <c r="AC359" i="7"/>
  <c r="AA359" i="7"/>
  <c r="AF359" i="7" s="1"/>
  <c r="Y359" i="7"/>
  <c r="AC358" i="7"/>
  <c r="AA358" i="7"/>
  <c r="AF358" i="7" s="1"/>
  <c r="Z358" i="7"/>
  <c r="Y358" i="7"/>
  <c r="AC357" i="7"/>
  <c r="Z357" i="7"/>
  <c r="Y357" i="7"/>
  <c r="AA357" i="7" s="1"/>
  <c r="AF357" i="7" s="1"/>
  <c r="Z356" i="7"/>
  <c r="AA356" i="7" s="1"/>
  <c r="AF356" i="7" s="1"/>
  <c r="Y356" i="7"/>
  <c r="AC356" i="7" s="1"/>
  <c r="AA355" i="7"/>
  <c r="AF355" i="7" s="1"/>
  <c r="Z355" i="7"/>
  <c r="Y355" i="7"/>
  <c r="AC355" i="7" s="1"/>
  <c r="AC354" i="7"/>
  <c r="AA354" i="7"/>
  <c r="AF354" i="7" s="1"/>
  <c r="Z354" i="7"/>
  <c r="Y354" i="7"/>
  <c r="Z353" i="7"/>
  <c r="Y353" i="7"/>
  <c r="AC353" i="7" s="1"/>
  <c r="Z352" i="7"/>
  <c r="AA352" i="7" s="1"/>
  <c r="AF352" i="7" s="1"/>
  <c r="Y352" i="7"/>
  <c r="AC352" i="7" s="1"/>
  <c r="Z351" i="7"/>
  <c r="AA351" i="7" s="1"/>
  <c r="AF351" i="7" s="1"/>
  <c r="Y351" i="7"/>
  <c r="AC351" i="7" s="1"/>
  <c r="AC350" i="7"/>
  <c r="AA350" i="7"/>
  <c r="AF350" i="7" s="1"/>
  <c r="Z350" i="7"/>
  <c r="Y350" i="7"/>
  <c r="AC349" i="7"/>
  <c r="Z349" i="7"/>
  <c r="Y349" i="7"/>
  <c r="AA349" i="7" s="1"/>
  <c r="AF349" i="7" s="1"/>
  <c r="Z348" i="7"/>
  <c r="AA348" i="7" s="1"/>
  <c r="AF348" i="7" s="1"/>
  <c r="Y348" i="7"/>
  <c r="AC348" i="7" s="1"/>
  <c r="AA347" i="7"/>
  <c r="AF347" i="7" s="1"/>
  <c r="Z347" i="7"/>
  <c r="Y347" i="7"/>
  <c r="AC347" i="7" s="1"/>
  <c r="AC346" i="7"/>
  <c r="AA346" i="7"/>
  <c r="AF346" i="7" s="1"/>
  <c r="Z346" i="7"/>
  <c r="Y346" i="7"/>
  <c r="AC345" i="7"/>
  <c r="Y345" i="7"/>
  <c r="AA345" i="7" s="1"/>
  <c r="AF345" i="7" s="1"/>
  <c r="AC344" i="7"/>
  <c r="AA344" i="7"/>
  <c r="AF344" i="7" s="1"/>
  <c r="Y344" i="7"/>
  <c r="Z343" i="7"/>
  <c r="AA343" i="7" s="1"/>
  <c r="AF343" i="7" s="1"/>
  <c r="Y343" i="7"/>
  <c r="AC343" i="7" s="1"/>
  <c r="Z342" i="7"/>
  <c r="AA342" i="7" s="1"/>
  <c r="AF342" i="7" s="1"/>
  <c r="Y342" i="7"/>
  <c r="AC342" i="7" s="1"/>
  <c r="Y1029" i="6"/>
  <c r="AA1029" i="6" s="1"/>
  <c r="AF1029" i="6" s="1"/>
  <c r="AA1028" i="6"/>
  <c r="AF1028" i="6" s="1"/>
  <c r="Y1028" i="6"/>
  <c r="AA1027" i="6"/>
  <c r="AF1027" i="6" s="1"/>
  <c r="Y1027" i="6"/>
  <c r="Y1026" i="6"/>
  <c r="AA1026" i="6" s="1"/>
  <c r="AF1026" i="6" s="1"/>
  <c r="AF1025" i="6"/>
  <c r="Y1025" i="6"/>
  <c r="AA1025" i="6" s="1"/>
  <c r="AF1024" i="6"/>
  <c r="AA1024" i="6"/>
  <c r="Y1024" i="6"/>
  <c r="Y1023" i="6"/>
  <c r="AA1023" i="6" s="1"/>
  <c r="AF1023" i="6" s="1"/>
  <c r="Y1022" i="6"/>
  <c r="AA1022" i="6" s="1"/>
  <c r="AF1022" i="6" s="1"/>
  <c r="Y1021" i="6"/>
  <c r="AA1021" i="6" s="1"/>
  <c r="AF1021" i="6" s="1"/>
  <c r="AA1020" i="6"/>
  <c r="AF1020" i="6" s="1"/>
  <c r="Y1020" i="6"/>
  <c r="AA1019" i="6"/>
  <c r="AF1019" i="6" s="1"/>
  <c r="Y1019" i="6"/>
  <c r="Z1017" i="6"/>
  <c r="Y1017" i="6"/>
  <c r="AA1016" i="6"/>
  <c r="AF1016" i="6" s="1"/>
  <c r="Y1016" i="6"/>
  <c r="Y1015" i="6"/>
  <c r="AA1015" i="6" s="1"/>
  <c r="AF1015" i="6" s="1"/>
  <c r="AA1014" i="6"/>
  <c r="AF1014" i="6" s="1"/>
  <c r="Y1014" i="6"/>
  <c r="AF1013" i="6"/>
  <c r="AA1013" i="6"/>
  <c r="Z1013" i="6"/>
  <c r="Y1013" i="6"/>
  <c r="Y1012" i="6"/>
  <c r="AA1012" i="6" s="1"/>
  <c r="AF1012" i="6" s="1"/>
  <c r="AA1011" i="6"/>
  <c r="AF1011" i="6" s="1"/>
  <c r="Y1011" i="6"/>
  <c r="Y1010" i="6"/>
  <c r="AA1010" i="6" s="1"/>
  <c r="AF1010" i="6" s="1"/>
  <c r="AA1009" i="6"/>
  <c r="AF1009" i="6" s="1"/>
  <c r="Y1009" i="6"/>
  <c r="AA1008" i="6"/>
  <c r="AF1008" i="6" s="1"/>
  <c r="Y1008" i="6"/>
  <c r="AA1007" i="6"/>
  <c r="AF1007" i="6" s="1"/>
  <c r="Y1007" i="6"/>
  <c r="Y1006" i="6"/>
  <c r="AA1006" i="6" s="1"/>
  <c r="AF1006" i="6" s="1"/>
  <c r="Y1005" i="6"/>
  <c r="AA1005" i="6" s="1"/>
  <c r="AF1005" i="6" s="1"/>
  <c r="Y1004" i="6"/>
  <c r="AA1004" i="6" s="1"/>
  <c r="AF1004" i="6" s="1"/>
  <c r="Y1003" i="6"/>
  <c r="AA1003" i="6" s="1"/>
  <c r="AF1003" i="6" s="1"/>
  <c r="Z1002" i="6"/>
  <c r="AA1002" i="6" s="1"/>
  <c r="AF1002" i="6" s="1"/>
  <c r="Y1002" i="6"/>
  <c r="AF1001" i="6"/>
  <c r="Y1001" i="6"/>
  <c r="AA1001" i="6" s="1"/>
  <c r="Y1000" i="6"/>
  <c r="AA1000" i="6" s="1"/>
  <c r="AF1000" i="6" s="1"/>
  <c r="Y999" i="6"/>
  <c r="AA999" i="6" s="1"/>
  <c r="AF999" i="6" s="1"/>
  <c r="AA998" i="6"/>
  <c r="AF998" i="6" s="1"/>
  <c r="Y998" i="6"/>
  <c r="Y997" i="6"/>
  <c r="AA997" i="6" s="1"/>
  <c r="AF997" i="6" s="1"/>
  <c r="AA996" i="6"/>
  <c r="AF996" i="6" s="1"/>
  <c r="Y996" i="6"/>
  <c r="AA995" i="6"/>
  <c r="AF995" i="6" s="1"/>
  <c r="Y995" i="6"/>
  <c r="Z994" i="6"/>
  <c r="Y994" i="6"/>
  <c r="AA994" i="6" s="1"/>
  <c r="AF994" i="6" s="1"/>
  <c r="Z993" i="6"/>
  <c r="AA993" i="6" s="1"/>
  <c r="AF993" i="6" s="1"/>
  <c r="Y993" i="6"/>
  <c r="Z992" i="6"/>
  <c r="Y992" i="6"/>
  <c r="AA992" i="6" s="1"/>
  <c r="AF992" i="6" s="1"/>
  <c r="Z991" i="6"/>
  <c r="AA991" i="6" s="1"/>
  <c r="AF991" i="6" s="1"/>
  <c r="Y991" i="6"/>
  <c r="Z990" i="6"/>
  <c r="Y990" i="6"/>
  <c r="AA990" i="6" s="1"/>
  <c r="AF990" i="6" s="1"/>
  <c r="Z989" i="6"/>
  <c r="AA989" i="6" s="1"/>
  <c r="AF989" i="6" s="1"/>
  <c r="Y989" i="6"/>
  <c r="Z988" i="6"/>
  <c r="Y988" i="6"/>
  <c r="AA988" i="6" s="1"/>
  <c r="AF988" i="6" s="1"/>
  <c r="AA987" i="6"/>
  <c r="AF987" i="6" s="1"/>
  <c r="Z987" i="6"/>
  <c r="Y987" i="6"/>
  <c r="Z986" i="6"/>
  <c r="Y986" i="6"/>
  <c r="AA986" i="6" s="1"/>
  <c r="AF986" i="6" s="1"/>
  <c r="AA985" i="6"/>
  <c r="AF985" i="6" s="1"/>
  <c r="Z985" i="6"/>
  <c r="Y985" i="6"/>
  <c r="Z984" i="6"/>
  <c r="Y984" i="6"/>
  <c r="AA984" i="6" s="1"/>
  <c r="AF984" i="6" s="1"/>
  <c r="AA983" i="6"/>
  <c r="AF983" i="6" s="1"/>
  <c r="Z983" i="6"/>
  <c r="Y983" i="6"/>
  <c r="Z982" i="6"/>
  <c r="Y982" i="6"/>
  <c r="AA982" i="6" s="1"/>
  <c r="AF982" i="6" s="1"/>
  <c r="AA981" i="6"/>
  <c r="AF981" i="6" s="1"/>
  <c r="Z981" i="6"/>
  <c r="Y981" i="6"/>
  <c r="Z980" i="6"/>
  <c r="Y980" i="6"/>
  <c r="AA980" i="6" s="1"/>
  <c r="AF980" i="6" s="1"/>
  <c r="Z979" i="6"/>
  <c r="AA979" i="6" s="1"/>
  <c r="AF979" i="6" s="1"/>
  <c r="Y979" i="6"/>
  <c r="Z978" i="6"/>
  <c r="Y978" i="6"/>
  <c r="AA978" i="6" s="1"/>
  <c r="AF978" i="6" s="1"/>
  <c r="Z977" i="6"/>
  <c r="AA977" i="6" s="1"/>
  <c r="AF977" i="6" s="1"/>
  <c r="Y977" i="6"/>
  <c r="Z976" i="6"/>
  <c r="Y976" i="6"/>
  <c r="AA976" i="6" s="1"/>
  <c r="AF976" i="6" s="1"/>
  <c r="Z974" i="6"/>
  <c r="AA974" i="6" s="1"/>
  <c r="AF974" i="6" s="1"/>
  <c r="Y974" i="6"/>
  <c r="Z973" i="6"/>
  <c r="Y973" i="6"/>
  <c r="AA973" i="6" s="1"/>
  <c r="AF973" i="6" s="1"/>
  <c r="Z972" i="6"/>
  <c r="AA972" i="6" s="1"/>
  <c r="AF972" i="6" s="1"/>
  <c r="Y972" i="6"/>
  <c r="Z964" i="6"/>
  <c r="Y964" i="6"/>
  <c r="AA964" i="6" s="1"/>
  <c r="AF964" i="6" s="1"/>
  <c r="AA963" i="6"/>
  <c r="AF963" i="6" s="1"/>
  <c r="Z963" i="6"/>
  <c r="Y963" i="6"/>
  <c r="Z962" i="6"/>
  <c r="Y962" i="6"/>
  <c r="AA962" i="6" s="1"/>
  <c r="AF962" i="6" s="1"/>
  <c r="AA961" i="6"/>
  <c r="AF961" i="6" s="1"/>
  <c r="Z961" i="6"/>
  <c r="Y961" i="6"/>
  <c r="Z960" i="6"/>
  <c r="Y960" i="6"/>
  <c r="AA960" i="6" s="1"/>
  <c r="AF960" i="6" s="1"/>
  <c r="AA959" i="6"/>
  <c r="AF959" i="6" s="1"/>
  <c r="Z959" i="6"/>
  <c r="Y959" i="6"/>
  <c r="Z958" i="6"/>
  <c r="Y958" i="6"/>
  <c r="AA958" i="6" s="1"/>
  <c r="AF958" i="6" s="1"/>
  <c r="Z957" i="6"/>
  <c r="AA957" i="6" s="1"/>
  <c r="AF957" i="6" s="1"/>
  <c r="Y957" i="6"/>
  <c r="Z956" i="6"/>
  <c r="Y956" i="6"/>
  <c r="AA956" i="6" s="1"/>
  <c r="AF956" i="6" s="1"/>
  <c r="Z946" i="6"/>
  <c r="AA946" i="6" s="1"/>
  <c r="AF946" i="6" s="1"/>
  <c r="Y946" i="6"/>
  <c r="Z945" i="6"/>
  <c r="Y945" i="6"/>
  <c r="AA945" i="6" s="1"/>
  <c r="AF945" i="6" s="1"/>
  <c r="Z944" i="6"/>
  <c r="AA944" i="6" s="1"/>
  <c r="AF944" i="6" s="1"/>
  <c r="Y944" i="6"/>
  <c r="Z943" i="6"/>
  <c r="Y943" i="6"/>
  <c r="AA943" i="6" s="1"/>
  <c r="AF943" i="6" s="1"/>
  <c r="Z942" i="6"/>
  <c r="AA942" i="6" s="1"/>
  <c r="AF942" i="6" s="1"/>
  <c r="Y942" i="6"/>
  <c r="Z941" i="6"/>
  <c r="Y941" i="6"/>
  <c r="AA941" i="6" s="1"/>
  <c r="AF941" i="6" s="1"/>
  <c r="Z940" i="6"/>
  <c r="AA940" i="6" s="1"/>
  <c r="AF940" i="6" s="1"/>
  <c r="Y940" i="6"/>
  <c r="Z939" i="6"/>
  <c r="Y939" i="6"/>
  <c r="AA939" i="6" s="1"/>
  <c r="AF939" i="6" s="1"/>
  <c r="AA938" i="6"/>
  <c r="AF938" i="6" s="1"/>
  <c r="Z938" i="6"/>
  <c r="Y938" i="6"/>
  <c r="Z937" i="6"/>
  <c r="Y937" i="6"/>
  <c r="AA937" i="6" s="1"/>
  <c r="AF937" i="6" s="1"/>
  <c r="AA936" i="6"/>
  <c r="AF936" i="6" s="1"/>
  <c r="Z936" i="6"/>
  <c r="Y936" i="6"/>
  <c r="Z935" i="6"/>
  <c r="Y935" i="6"/>
  <c r="AA935" i="6" s="1"/>
  <c r="AF935" i="6" s="1"/>
  <c r="AA934" i="6"/>
  <c r="AF934" i="6" s="1"/>
  <c r="Z934" i="6"/>
  <c r="Y934" i="6"/>
  <c r="Z933" i="6"/>
  <c r="Y933" i="6"/>
  <c r="AA933" i="6" s="1"/>
  <c r="AF933" i="6" s="1"/>
  <c r="Z932" i="6"/>
  <c r="AA932" i="6" s="1"/>
  <c r="AF932" i="6" s="1"/>
  <c r="Y932" i="6"/>
  <c r="Z931" i="6"/>
  <c r="Y931" i="6"/>
  <c r="AA931" i="6" s="1"/>
  <c r="AF931" i="6" s="1"/>
  <c r="Z930" i="6"/>
  <c r="AA930" i="6" s="1"/>
  <c r="AF930" i="6" s="1"/>
  <c r="Y930" i="6"/>
  <c r="Z929" i="6"/>
  <c r="Y929" i="6"/>
  <c r="AA929" i="6" s="1"/>
  <c r="AF929" i="6" s="1"/>
  <c r="Z928" i="6"/>
  <c r="AA928" i="6" s="1"/>
  <c r="AF928" i="6" s="1"/>
  <c r="Y928" i="6"/>
  <c r="Z927" i="6"/>
  <c r="Y927" i="6"/>
  <c r="AA927" i="6" s="1"/>
  <c r="AF927" i="6" s="1"/>
  <c r="Z926" i="6"/>
  <c r="AA926" i="6" s="1"/>
  <c r="AF926" i="6" s="1"/>
  <c r="Y926" i="6"/>
  <c r="Z925" i="6"/>
  <c r="Y925" i="6"/>
  <c r="AA925" i="6" s="1"/>
  <c r="AF925" i="6" s="1"/>
  <c r="Z924" i="6"/>
  <c r="AA924" i="6" s="1"/>
  <c r="AF924" i="6" s="1"/>
  <c r="Y924" i="6"/>
  <c r="Z923" i="6"/>
  <c r="Y923" i="6"/>
  <c r="AA923" i="6" s="1"/>
  <c r="AF923" i="6" s="1"/>
  <c r="AA922" i="6"/>
  <c r="AF922" i="6" s="1"/>
  <c r="Z922" i="6"/>
  <c r="Y922" i="6"/>
  <c r="Z921" i="6"/>
  <c r="AA921" i="6" s="1"/>
  <c r="AF921" i="6" s="1"/>
  <c r="Y921" i="6"/>
  <c r="AC921" i="6" s="1"/>
  <c r="AF920" i="6"/>
  <c r="AC920" i="6"/>
  <c r="AA920" i="6"/>
  <c r="Z920" i="6"/>
  <c r="Y920" i="6"/>
  <c r="Z919" i="6"/>
  <c r="Y919" i="6"/>
  <c r="AC919" i="6" s="1"/>
  <c r="Z918" i="6"/>
  <c r="AA918" i="6" s="1"/>
  <c r="AF918" i="6" s="1"/>
  <c r="Y918" i="6"/>
  <c r="Z917" i="6"/>
  <c r="AA917" i="6" s="1"/>
  <c r="AF917" i="6" s="1"/>
  <c r="Y917" i="6"/>
  <c r="Z916" i="6"/>
  <c r="AA916" i="6" s="1"/>
  <c r="AF916" i="6" s="1"/>
  <c r="Y916" i="6"/>
  <c r="Z915" i="6"/>
  <c r="AA915" i="6" s="1"/>
  <c r="AF915" i="6" s="1"/>
  <c r="Y915" i="6"/>
  <c r="Z914" i="6"/>
  <c r="AA914" i="6" s="1"/>
  <c r="AF914" i="6" s="1"/>
  <c r="Y914" i="6"/>
  <c r="Z913" i="6"/>
  <c r="AA913" i="6" s="1"/>
  <c r="AF913" i="6" s="1"/>
  <c r="Y913" i="6"/>
  <c r="Z911" i="6"/>
  <c r="Y911" i="6"/>
  <c r="AA911" i="6" s="1"/>
  <c r="AF911" i="6" s="1"/>
  <c r="Z910" i="6"/>
  <c r="AA910" i="6" s="1"/>
  <c r="AF910" i="6" s="1"/>
  <c r="Y910" i="6"/>
  <c r="Z909" i="6"/>
  <c r="Y909" i="6"/>
  <c r="AA909" i="6" s="1"/>
  <c r="AF909" i="6" s="1"/>
  <c r="Z908" i="6"/>
  <c r="Y908" i="6"/>
  <c r="Z907" i="6"/>
  <c r="Y907" i="6"/>
  <c r="AA907" i="6" s="1"/>
  <c r="AF907" i="6" s="1"/>
  <c r="AF906" i="6"/>
  <c r="Y906" i="6"/>
  <c r="AA906" i="6" s="1"/>
  <c r="AF904" i="6"/>
  <c r="Y904" i="6"/>
  <c r="AA904" i="6" s="1"/>
  <c r="Y895" i="6"/>
  <c r="AA895" i="6" s="1"/>
  <c r="AF895" i="6" s="1"/>
  <c r="AA894" i="6"/>
  <c r="AF894" i="6" s="1"/>
  <c r="Z894" i="6"/>
  <c r="Y894" i="6"/>
  <c r="Z893" i="6"/>
  <c r="AA893" i="6" s="1"/>
  <c r="AF893" i="6" s="1"/>
  <c r="Y893" i="6"/>
  <c r="AC888" i="6"/>
  <c r="AA888" i="6"/>
  <c r="AF888" i="6" s="1"/>
  <c r="Y888" i="6"/>
  <c r="Y887" i="6"/>
  <c r="AC886" i="6"/>
  <c r="AA886" i="6"/>
  <c r="AF886" i="6" s="1"/>
  <c r="Y886" i="6"/>
  <c r="Y885" i="6"/>
  <c r="AC884" i="6"/>
  <c r="AA884" i="6"/>
  <c r="AF884" i="6" s="1"/>
  <c r="Y884" i="6"/>
  <c r="Y883" i="6"/>
  <c r="AC882" i="6"/>
  <c r="AA882" i="6"/>
  <c r="AF882" i="6" s="1"/>
  <c r="Y882" i="6"/>
  <c r="Y881" i="6"/>
  <c r="AC880" i="6"/>
  <c r="AA880" i="6"/>
  <c r="AF880" i="6" s="1"/>
  <c r="Y880" i="6"/>
  <c r="Y879" i="6"/>
  <c r="AC878" i="6"/>
  <c r="AA878" i="6"/>
  <c r="AF878" i="6" s="1"/>
  <c r="Y878" i="6"/>
  <c r="Y877" i="6"/>
  <c r="AC876" i="6"/>
  <c r="AA876" i="6"/>
  <c r="AF876" i="6" s="1"/>
  <c r="Y876" i="6"/>
  <c r="Y875" i="6"/>
  <c r="AC874" i="6"/>
  <c r="AA874" i="6"/>
  <c r="AF874" i="6" s="1"/>
  <c r="Y874" i="6"/>
  <c r="Y873" i="6"/>
  <c r="AC872" i="6"/>
  <c r="AA872" i="6"/>
  <c r="AF872" i="6" s="1"/>
  <c r="Y872" i="6"/>
  <c r="Y871" i="6"/>
  <c r="AC870" i="6"/>
  <c r="AA870" i="6"/>
  <c r="AF870" i="6" s="1"/>
  <c r="Y870" i="6"/>
  <c r="Y869" i="6"/>
  <c r="AC868" i="6"/>
  <c r="AA868" i="6"/>
  <c r="AF868" i="6" s="1"/>
  <c r="Y868" i="6"/>
  <c r="Y867" i="6"/>
  <c r="AC866" i="6"/>
  <c r="AA866" i="6"/>
  <c r="AF866" i="6" s="1"/>
  <c r="Y866" i="6"/>
  <c r="Y865" i="6"/>
  <c r="AC864" i="6"/>
  <c r="AA864" i="6"/>
  <c r="AF864" i="6" s="1"/>
  <c r="Z864" i="6"/>
  <c r="Y864" i="6"/>
  <c r="Z863" i="6"/>
  <c r="Y863" i="6"/>
  <c r="AC863" i="6" s="1"/>
  <c r="AC862" i="6"/>
  <c r="Z862" i="6"/>
  <c r="Y862" i="6"/>
  <c r="AA862" i="6" s="1"/>
  <c r="AF862" i="6" s="1"/>
  <c r="Z861" i="6"/>
  <c r="AA861" i="6" s="1"/>
  <c r="AF861" i="6" s="1"/>
  <c r="Y861" i="6"/>
  <c r="AC861" i="6" s="1"/>
  <c r="Z860" i="6"/>
  <c r="AA860" i="6" s="1"/>
  <c r="AF860" i="6" s="1"/>
  <c r="Y860" i="6"/>
  <c r="AC860" i="6" s="1"/>
  <c r="AF859" i="6"/>
  <c r="AC859" i="6"/>
  <c r="AA859" i="6"/>
  <c r="Z859" i="6"/>
  <c r="Y859" i="6"/>
  <c r="Z858" i="6"/>
  <c r="Y858" i="6"/>
  <c r="AC858" i="6" s="1"/>
  <c r="Z857" i="6"/>
  <c r="Y857" i="6"/>
  <c r="AC856" i="6"/>
  <c r="AA856" i="6"/>
  <c r="AF856" i="6" s="1"/>
  <c r="Z856" i="6"/>
  <c r="Y856" i="6"/>
  <c r="Z855" i="6"/>
  <c r="Y855" i="6"/>
  <c r="AC855" i="6" s="1"/>
  <c r="AF854" i="6"/>
  <c r="AC854" i="6"/>
  <c r="Z854" i="6"/>
  <c r="Y854" i="6"/>
  <c r="AA854" i="6" s="1"/>
  <c r="Z853" i="6"/>
  <c r="AA853" i="6" s="1"/>
  <c r="AF853" i="6" s="1"/>
  <c r="Y853" i="6"/>
  <c r="AC853" i="6" s="1"/>
  <c r="Z852" i="6"/>
  <c r="AA852" i="6" s="1"/>
  <c r="AF852" i="6" s="1"/>
  <c r="Y852" i="6"/>
  <c r="Z851" i="6"/>
  <c r="AA851" i="6" s="1"/>
  <c r="AF851" i="6" s="1"/>
  <c r="Y851" i="6"/>
  <c r="Z850" i="6"/>
  <c r="Y850" i="6"/>
  <c r="Z849" i="6"/>
  <c r="AA849" i="6" s="1"/>
  <c r="AF849" i="6" s="1"/>
  <c r="Y849" i="6"/>
  <c r="Z848" i="6"/>
  <c r="Y848" i="6"/>
  <c r="AA847" i="6"/>
  <c r="AF847" i="6" s="1"/>
  <c r="Z847" i="6"/>
  <c r="Y847" i="6"/>
  <c r="Z846" i="6"/>
  <c r="Y846" i="6"/>
  <c r="AA845" i="6"/>
  <c r="AF845" i="6" s="1"/>
  <c r="Z845" i="6"/>
  <c r="Y845" i="6"/>
  <c r="Z844" i="6"/>
  <c r="AA844" i="6" s="1"/>
  <c r="AF844" i="6" s="1"/>
  <c r="Y844" i="6"/>
  <c r="AA843" i="6"/>
  <c r="AF843" i="6" s="1"/>
  <c r="Z843" i="6"/>
  <c r="Y843" i="6"/>
  <c r="Z842" i="6"/>
  <c r="AA842" i="6" s="1"/>
  <c r="AF842" i="6" s="1"/>
  <c r="Y842" i="6"/>
  <c r="Z841" i="6"/>
  <c r="AA841" i="6" s="1"/>
  <c r="AF841" i="6" s="1"/>
  <c r="Y841" i="6"/>
  <c r="Z840" i="6"/>
  <c r="AA840" i="6" s="1"/>
  <c r="AF840" i="6" s="1"/>
  <c r="Y840" i="6"/>
  <c r="AA839" i="6"/>
  <c r="AF839" i="6" s="1"/>
  <c r="Z839" i="6"/>
  <c r="Y839" i="6"/>
  <c r="Z838" i="6"/>
  <c r="Y838" i="6"/>
  <c r="Z837" i="6"/>
  <c r="AA837" i="6" s="1"/>
  <c r="AF837" i="6" s="1"/>
  <c r="Y837" i="6"/>
  <c r="Z836" i="6"/>
  <c r="Y836" i="6"/>
  <c r="Z835" i="6"/>
  <c r="AA835" i="6" s="1"/>
  <c r="AF835" i="6" s="1"/>
  <c r="Y835" i="6"/>
  <c r="Z834" i="6"/>
  <c r="Y834" i="6"/>
  <c r="Z833" i="6"/>
  <c r="AA833" i="6" s="1"/>
  <c r="AF833" i="6" s="1"/>
  <c r="Y833" i="6"/>
  <c r="Y831" i="6"/>
  <c r="AA831" i="6" s="1"/>
  <c r="AF831" i="6" s="1"/>
  <c r="Y830" i="6"/>
  <c r="AA830" i="6" s="1"/>
  <c r="AF830" i="6" s="1"/>
  <c r="AF829" i="6"/>
  <c r="AA829" i="6"/>
  <c r="Y829" i="6"/>
  <c r="Y828" i="6"/>
  <c r="AA828" i="6" s="1"/>
  <c r="AF828" i="6" s="1"/>
  <c r="AA827" i="6"/>
  <c r="AF827" i="6" s="1"/>
  <c r="Y827" i="6"/>
  <c r="Y826" i="6"/>
  <c r="AA826" i="6" s="1"/>
  <c r="AF826" i="6" s="1"/>
  <c r="AA825" i="6"/>
  <c r="AF825" i="6" s="1"/>
  <c r="Y825" i="6"/>
  <c r="AA824" i="6"/>
  <c r="Z824" i="6"/>
  <c r="Y824" i="6"/>
  <c r="Y823" i="6"/>
  <c r="AA823" i="6" s="1"/>
  <c r="AF823" i="6" s="1"/>
  <c r="Y822" i="6"/>
  <c r="AA822" i="6" s="1"/>
  <c r="AF822" i="6" s="1"/>
  <c r="AA821" i="6"/>
  <c r="Z821" i="6"/>
  <c r="Y821" i="6"/>
  <c r="Y820" i="6"/>
  <c r="AA820" i="6" s="1"/>
  <c r="AF820" i="6" s="1"/>
  <c r="AA819" i="6"/>
  <c r="AF819" i="6" s="1"/>
  <c r="Y819" i="6"/>
  <c r="Y818" i="6"/>
  <c r="AC818" i="6" s="1"/>
  <c r="AA817" i="6"/>
  <c r="AF817" i="6" s="1"/>
  <c r="Y817" i="6"/>
  <c r="AC817" i="6" s="1"/>
  <c r="Y816" i="6"/>
  <c r="AC816" i="6" s="1"/>
  <c r="Y815" i="6"/>
  <c r="AA815" i="6" s="1"/>
  <c r="AF815" i="6" s="1"/>
  <c r="AF814" i="6"/>
  <c r="AC814" i="6"/>
  <c r="Y814" i="6"/>
  <c r="AA814" i="6" s="1"/>
  <c r="AA813" i="6"/>
  <c r="AF813" i="6" s="1"/>
  <c r="Y813" i="6"/>
  <c r="AF812" i="6"/>
  <c r="AC812" i="6"/>
  <c r="AA812" i="6"/>
  <c r="Y812" i="6"/>
  <c r="Y811" i="6"/>
  <c r="AA811" i="6" s="1"/>
  <c r="AF811" i="6" s="1"/>
  <c r="AC810" i="6"/>
  <c r="AA810" i="6"/>
  <c r="AF810" i="6" s="1"/>
  <c r="Y810" i="6"/>
  <c r="Y809" i="6"/>
  <c r="AA809" i="6" s="1"/>
  <c r="AF809" i="6" s="1"/>
  <c r="AA808" i="6"/>
  <c r="AF808" i="6" s="1"/>
  <c r="Y808" i="6"/>
  <c r="AC808" i="6" s="1"/>
  <c r="Y807" i="6"/>
  <c r="AC807" i="6" s="1"/>
  <c r="Y806" i="6"/>
  <c r="AA806" i="6" s="1"/>
  <c r="AF806" i="6" s="1"/>
  <c r="AF805" i="6"/>
  <c r="AA805" i="6"/>
  <c r="Y805" i="6"/>
  <c r="Y804" i="6"/>
  <c r="AA804" i="6" s="1"/>
  <c r="AF804" i="6" s="1"/>
  <c r="AA803" i="6"/>
  <c r="AF803" i="6" s="1"/>
  <c r="Y803" i="6"/>
  <c r="Y802" i="6"/>
  <c r="AA802" i="6" s="1"/>
  <c r="AF802" i="6" s="1"/>
  <c r="AA801" i="6"/>
  <c r="AF801" i="6" s="1"/>
  <c r="Y801" i="6"/>
  <c r="AF800" i="6"/>
  <c r="AA800" i="6"/>
  <c r="Y800" i="6"/>
  <c r="Y799" i="6"/>
  <c r="AC798" i="6"/>
  <c r="AA798" i="6"/>
  <c r="AF798" i="6" s="1"/>
  <c r="Y798" i="6"/>
  <c r="Y797" i="6"/>
  <c r="AA797" i="6" s="1"/>
  <c r="AF797" i="6" s="1"/>
  <c r="AF796" i="6"/>
  <c r="Y796" i="6"/>
  <c r="AA796" i="6" s="1"/>
  <c r="AF795" i="6"/>
  <c r="AA795" i="6"/>
  <c r="Y795" i="6"/>
  <c r="AA794" i="6"/>
  <c r="AF794" i="6" s="1"/>
  <c r="Y794" i="6"/>
  <c r="AC794" i="6" s="1"/>
  <c r="AF793" i="6"/>
  <c r="AC793" i="6"/>
  <c r="AA793" i="6"/>
  <c r="Y793" i="6"/>
  <c r="AA792" i="6"/>
  <c r="AF792" i="6" s="1"/>
  <c r="Y792" i="6"/>
  <c r="AC792" i="6" s="1"/>
  <c r="AF791" i="6"/>
  <c r="AC791" i="6"/>
  <c r="AA791" i="6"/>
  <c r="Y791" i="6"/>
  <c r="AA790" i="6"/>
  <c r="AF790" i="6" s="1"/>
  <c r="Y790" i="6"/>
  <c r="AC790" i="6" s="1"/>
  <c r="AF789" i="6"/>
  <c r="AC789" i="6"/>
  <c r="AA789" i="6"/>
  <c r="Y789" i="6"/>
  <c r="Y788" i="6"/>
  <c r="AA788" i="6" s="1"/>
  <c r="AF788" i="6" s="1"/>
  <c r="AA787" i="6"/>
  <c r="AF787" i="6" s="1"/>
  <c r="Y787" i="6"/>
  <c r="AA786" i="6"/>
  <c r="AF786" i="6" s="1"/>
  <c r="Y786" i="6"/>
  <c r="AA785" i="6"/>
  <c r="AF785" i="6" s="1"/>
  <c r="Y785" i="6"/>
  <c r="AF784" i="6"/>
  <c r="AA784" i="6"/>
  <c r="Y784" i="6"/>
  <c r="Y783" i="6"/>
  <c r="AA783" i="6" s="1"/>
  <c r="AF783" i="6" s="1"/>
  <c r="Y782" i="6"/>
  <c r="AA782" i="6" s="1"/>
  <c r="AF782" i="6" s="1"/>
  <c r="AF781" i="6"/>
  <c r="AA781" i="6"/>
  <c r="Y781" i="6"/>
  <c r="Y780" i="6"/>
  <c r="AA780" i="6" s="1"/>
  <c r="AF780" i="6" s="1"/>
  <c r="AF779" i="6"/>
  <c r="Y779" i="6"/>
  <c r="AA779" i="6" s="1"/>
  <c r="AF778" i="6"/>
  <c r="AA778" i="6"/>
  <c r="Y778" i="6"/>
  <c r="Y777" i="6"/>
  <c r="AA777" i="6" s="1"/>
  <c r="AF777" i="6" s="1"/>
  <c r="AA776" i="6"/>
  <c r="AF776" i="6" s="1"/>
  <c r="Y776" i="6"/>
  <c r="Y775" i="6"/>
  <c r="AA775" i="6" s="1"/>
  <c r="AF775" i="6" s="1"/>
  <c r="AA774" i="6"/>
  <c r="AF774" i="6" s="1"/>
  <c r="Y774" i="6"/>
  <c r="AF773" i="6"/>
  <c r="AA773" i="6"/>
  <c r="Y773" i="6"/>
  <c r="AA772" i="6"/>
  <c r="AF772" i="6" s="1"/>
  <c r="Y772" i="6"/>
  <c r="AF771" i="6"/>
  <c r="Y771" i="6"/>
  <c r="AA771" i="6" s="1"/>
  <c r="Y770" i="6"/>
  <c r="AA770" i="6" s="1"/>
  <c r="AF770" i="6" s="1"/>
  <c r="Y769" i="6"/>
  <c r="AA769" i="6" s="1"/>
  <c r="AF769" i="6" s="1"/>
  <c r="Y768" i="6"/>
  <c r="AA768" i="6" s="1"/>
  <c r="AF768" i="6" s="1"/>
  <c r="Y767" i="6"/>
  <c r="AA767" i="6" s="1"/>
  <c r="AF767" i="6" s="1"/>
  <c r="AA766" i="6"/>
  <c r="AF766" i="6" s="1"/>
  <c r="Y766" i="6"/>
  <c r="AA765" i="6"/>
  <c r="AF765" i="6" s="1"/>
  <c r="Y765" i="6"/>
  <c r="AA764" i="6"/>
  <c r="AF764" i="6" s="1"/>
  <c r="Y764" i="6"/>
  <c r="Y763" i="6"/>
  <c r="AA763" i="6" s="1"/>
  <c r="AF763" i="6" s="1"/>
  <c r="AF762" i="6"/>
  <c r="Y762" i="6"/>
  <c r="AA762" i="6" s="1"/>
  <c r="Y761" i="6"/>
  <c r="AA761" i="6" s="1"/>
  <c r="AF761" i="6" s="1"/>
  <c r="Y760" i="6"/>
  <c r="AA760" i="6" s="1"/>
  <c r="AF760" i="6" s="1"/>
  <c r="Y759" i="6"/>
  <c r="AA759" i="6" s="1"/>
  <c r="AF759" i="6" s="1"/>
  <c r="Z758" i="6"/>
  <c r="Y758" i="6"/>
  <c r="AA758" i="6" s="1"/>
  <c r="AF758" i="6" s="1"/>
  <c r="Z757" i="6"/>
  <c r="AA757" i="6" s="1"/>
  <c r="AF757" i="6" s="1"/>
  <c r="Y757" i="6"/>
  <c r="AA756" i="6"/>
  <c r="AF756" i="6" s="1"/>
  <c r="Z756" i="6"/>
  <c r="Y756" i="6"/>
  <c r="AF755" i="6"/>
  <c r="Z755" i="6"/>
  <c r="AA755" i="6" s="1"/>
  <c r="Y755" i="6"/>
  <c r="Z754" i="6"/>
  <c r="Y754" i="6"/>
  <c r="AA754" i="6" s="1"/>
  <c r="AF754" i="6" s="1"/>
  <c r="AF753" i="6"/>
  <c r="Z753" i="6"/>
  <c r="AA753" i="6" s="1"/>
  <c r="Y753" i="6"/>
  <c r="Z752" i="6"/>
  <c r="Y752" i="6"/>
  <c r="AA752" i="6" s="1"/>
  <c r="AF752" i="6" s="1"/>
  <c r="Z751" i="6"/>
  <c r="AA751" i="6" s="1"/>
  <c r="AF751" i="6" s="1"/>
  <c r="Y751" i="6"/>
  <c r="Z750" i="6"/>
  <c r="Y750" i="6"/>
  <c r="AA750" i="6" s="1"/>
  <c r="AF750" i="6" s="1"/>
  <c r="Z749" i="6"/>
  <c r="AA749" i="6" s="1"/>
  <c r="AF749" i="6" s="1"/>
  <c r="Y749" i="6"/>
  <c r="Y748" i="6"/>
  <c r="AA748" i="6" s="1"/>
  <c r="AF748" i="6" s="1"/>
  <c r="Y747" i="6"/>
  <c r="AC747" i="6" s="1"/>
  <c r="AC746" i="6"/>
  <c r="Y746" i="6"/>
  <c r="AA746" i="6" s="1"/>
  <c r="AF746" i="6" s="1"/>
  <c r="Y745" i="6"/>
  <c r="AC745" i="6" s="1"/>
  <c r="Y744" i="6"/>
  <c r="AA744" i="6" s="1"/>
  <c r="AF744" i="6" s="1"/>
  <c r="Y743" i="6"/>
  <c r="AC743" i="6" s="1"/>
  <c r="Z742" i="6"/>
  <c r="Y742" i="6"/>
  <c r="AA742" i="6" s="1"/>
  <c r="AF742" i="6" s="1"/>
  <c r="Z741" i="6"/>
  <c r="AA741" i="6" s="1"/>
  <c r="AF741" i="6" s="1"/>
  <c r="Y741" i="6"/>
  <c r="Z740" i="6"/>
  <c r="Y740" i="6"/>
  <c r="AA740" i="6" s="1"/>
  <c r="AF740" i="6" s="1"/>
  <c r="Z739" i="6"/>
  <c r="AA739" i="6" s="1"/>
  <c r="AF739" i="6" s="1"/>
  <c r="Y739" i="6"/>
  <c r="AA738" i="6"/>
  <c r="AF738" i="6" s="1"/>
  <c r="Z738" i="6"/>
  <c r="Y738" i="6"/>
  <c r="AF737" i="6"/>
  <c r="Z737" i="6"/>
  <c r="AA737" i="6" s="1"/>
  <c r="Y737" i="6"/>
  <c r="Z736" i="6"/>
  <c r="Y736" i="6"/>
  <c r="AA736" i="6" s="1"/>
  <c r="AF736" i="6" s="1"/>
  <c r="AF735" i="6"/>
  <c r="Z735" i="6"/>
  <c r="AA735" i="6" s="1"/>
  <c r="Y735" i="6"/>
  <c r="Z734" i="6"/>
  <c r="Y734" i="6"/>
  <c r="AA734" i="6" s="1"/>
  <c r="AF734" i="6" s="1"/>
  <c r="Z733" i="6"/>
  <c r="AA733" i="6" s="1"/>
  <c r="AF733" i="6" s="1"/>
  <c r="Y733" i="6"/>
  <c r="Z732" i="6"/>
  <c r="Y732" i="6"/>
  <c r="AA732" i="6" s="1"/>
  <c r="AF732" i="6" s="1"/>
  <c r="Z731" i="6"/>
  <c r="AA731" i="6" s="1"/>
  <c r="AF731" i="6" s="1"/>
  <c r="Y731" i="6"/>
  <c r="AA730" i="6"/>
  <c r="AF730" i="6" s="1"/>
  <c r="Z730" i="6"/>
  <c r="Y730" i="6"/>
  <c r="AF729" i="6"/>
  <c r="Z729" i="6"/>
  <c r="AA729" i="6" s="1"/>
  <c r="Y729" i="6"/>
  <c r="Z728" i="6"/>
  <c r="Y728" i="6"/>
  <c r="AA728" i="6" s="1"/>
  <c r="AF728" i="6" s="1"/>
  <c r="AF727" i="6"/>
  <c r="Z727" i="6"/>
  <c r="AA727" i="6" s="1"/>
  <c r="Y727" i="6"/>
  <c r="Z726" i="6"/>
  <c r="Y726" i="6"/>
  <c r="AA726" i="6" s="1"/>
  <c r="AF726" i="6" s="1"/>
  <c r="Z725" i="6"/>
  <c r="AA725" i="6" s="1"/>
  <c r="AF725" i="6" s="1"/>
  <c r="Y725" i="6"/>
  <c r="Z724" i="6"/>
  <c r="Y724" i="6"/>
  <c r="AA724" i="6" s="1"/>
  <c r="AF724" i="6" s="1"/>
  <c r="Z723" i="6"/>
  <c r="AA723" i="6" s="1"/>
  <c r="AF723" i="6" s="1"/>
  <c r="Y723" i="6"/>
  <c r="AA722" i="6"/>
  <c r="AF722" i="6" s="1"/>
  <c r="Z722" i="6"/>
  <c r="Y722" i="6"/>
  <c r="AF721" i="6"/>
  <c r="Z721" i="6"/>
  <c r="AA721" i="6" s="1"/>
  <c r="Y721" i="6"/>
  <c r="Z720" i="6"/>
  <c r="Y720" i="6"/>
  <c r="AA720" i="6" s="1"/>
  <c r="AF720" i="6" s="1"/>
  <c r="AF719" i="6"/>
  <c r="Z719" i="6"/>
  <c r="AA719" i="6" s="1"/>
  <c r="Y719" i="6"/>
  <c r="Z718" i="6"/>
  <c r="Y718" i="6"/>
  <c r="AA718" i="6" s="1"/>
  <c r="AF718" i="6" s="1"/>
  <c r="Z717" i="6"/>
  <c r="AA717" i="6" s="1"/>
  <c r="AF717" i="6" s="1"/>
  <c r="Y717" i="6"/>
  <c r="Z716" i="6"/>
  <c r="Y716" i="6"/>
  <c r="AA716" i="6" s="1"/>
  <c r="AF716" i="6" s="1"/>
  <c r="Z715" i="6"/>
  <c r="AA715" i="6" s="1"/>
  <c r="AF715" i="6" s="1"/>
  <c r="Y715" i="6"/>
  <c r="AA714" i="6"/>
  <c r="AF714" i="6" s="1"/>
  <c r="Y714" i="6"/>
  <c r="AA713" i="6"/>
  <c r="AF713" i="6" s="1"/>
  <c r="Y713" i="6"/>
  <c r="Z712" i="6"/>
  <c r="Y712" i="6"/>
  <c r="AA712" i="6" s="1"/>
  <c r="AF712" i="6" s="1"/>
  <c r="Z711" i="6"/>
  <c r="AA711" i="6" s="1"/>
  <c r="AF711" i="6" s="1"/>
  <c r="Y711" i="6"/>
  <c r="AA710" i="6"/>
  <c r="AF710" i="6" s="1"/>
  <c r="Y710" i="6"/>
  <c r="Z709" i="6"/>
  <c r="Y709" i="6"/>
  <c r="Z708" i="6"/>
  <c r="AA708" i="6" s="1"/>
  <c r="AF708" i="6" s="1"/>
  <c r="Y708" i="6"/>
  <c r="Z707" i="6"/>
  <c r="Y707" i="6"/>
  <c r="Z706" i="6"/>
  <c r="AA706" i="6" s="1"/>
  <c r="AF706" i="6" s="1"/>
  <c r="Y706" i="6"/>
  <c r="Z705" i="6"/>
  <c r="Y705" i="6"/>
  <c r="Z704" i="6"/>
  <c r="Y704" i="6"/>
  <c r="AA704" i="6" s="1"/>
  <c r="AF704" i="6" s="1"/>
  <c r="AE703" i="6"/>
  <c r="Z703" i="6"/>
  <c r="AA703" i="6" s="1"/>
  <c r="AF703" i="6" s="1"/>
  <c r="Y703" i="6"/>
  <c r="Z702" i="6"/>
  <c r="Y702" i="6"/>
  <c r="Z701" i="6"/>
  <c r="AA701" i="6" s="1"/>
  <c r="AF701" i="6" s="1"/>
  <c r="Y701" i="6"/>
  <c r="Z700" i="6"/>
  <c r="Y700" i="6"/>
  <c r="Z699" i="6"/>
  <c r="AA699" i="6" s="1"/>
  <c r="AF699" i="6" s="1"/>
  <c r="Y699" i="6"/>
  <c r="Z698" i="6"/>
  <c r="Y698" i="6"/>
  <c r="AA698" i="6" s="1"/>
  <c r="AF698" i="6" s="1"/>
  <c r="AA697" i="6"/>
  <c r="AF697" i="6" s="1"/>
  <c r="Z697" i="6"/>
  <c r="Y697" i="6"/>
  <c r="Z696" i="6"/>
  <c r="Y696" i="6"/>
  <c r="AA696" i="6" s="1"/>
  <c r="AF696" i="6" s="1"/>
  <c r="AA695" i="6"/>
  <c r="AF695" i="6" s="1"/>
  <c r="Z695" i="6"/>
  <c r="Y695" i="6"/>
  <c r="Z694" i="6"/>
  <c r="Y694" i="6"/>
  <c r="AA694" i="6" s="1"/>
  <c r="AF694" i="6" s="1"/>
  <c r="AA693" i="6"/>
  <c r="AF693" i="6" s="1"/>
  <c r="Z693" i="6"/>
  <c r="Y693" i="6"/>
  <c r="Z692" i="6"/>
  <c r="Y692" i="6"/>
  <c r="AA692" i="6" s="1"/>
  <c r="AF692" i="6" s="1"/>
  <c r="AA691" i="6"/>
  <c r="AF691" i="6" s="1"/>
  <c r="Z691" i="6"/>
  <c r="Y691" i="6"/>
  <c r="Z690" i="6"/>
  <c r="Y690" i="6"/>
  <c r="AA690" i="6" s="1"/>
  <c r="AF690" i="6" s="1"/>
  <c r="Z689" i="6"/>
  <c r="AA689" i="6" s="1"/>
  <c r="AF689" i="6" s="1"/>
  <c r="Y689" i="6"/>
  <c r="Z688" i="6"/>
  <c r="Y688" i="6"/>
  <c r="AA688" i="6" s="1"/>
  <c r="AF688" i="6" s="1"/>
  <c r="Z687" i="6"/>
  <c r="AA687" i="6" s="1"/>
  <c r="AF687" i="6" s="1"/>
  <c r="Y687" i="6"/>
  <c r="Z686" i="6"/>
  <c r="Y686" i="6"/>
  <c r="AA686" i="6" s="1"/>
  <c r="AF686" i="6" s="1"/>
  <c r="Z685" i="6"/>
  <c r="AA685" i="6" s="1"/>
  <c r="AF685" i="6" s="1"/>
  <c r="Y685" i="6"/>
  <c r="Z684" i="6"/>
  <c r="Y684" i="6"/>
  <c r="AA684" i="6" s="1"/>
  <c r="AF684" i="6" s="1"/>
  <c r="Z683" i="6"/>
  <c r="AA683" i="6" s="1"/>
  <c r="AF683" i="6" s="1"/>
  <c r="Y683" i="6"/>
  <c r="Z682" i="6"/>
  <c r="Y682" i="6"/>
  <c r="AA682" i="6" s="1"/>
  <c r="AF682" i="6" s="1"/>
  <c r="AA681" i="6"/>
  <c r="AF681" i="6" s="1"/>
  <c r="Z681" i="6"/>
  <c r="Y681" i="6"/>
  <c r="Z680" i="6"/>
  <c r="Y680" i="6"/>
  <c r="AA680" i="6" s="1"/>
  <c r="AF680" i="6" s="1"/>
  <c r="AA679" i="6"/>
  <c r="AF679" i="6" s="1"/>
  <c r="Z679" i="6"/>
  <c r="Y679" i="6"/>
  <c r="Z678" i="6"/>
  <c r="Y678" i="6"/>
  <c r="AA678" i="6" s="1"/>
  <c r="AF678" i="6" s="1"/>
  <c r="AA677" i="6"/>
  <c r="AF677" i="6" s="1"/>
  <c r="Z677" i="6"/>
  <c r="Y677" i="6"/>
  <c r="Z676" i="6"/>
  <c r="Y676" i="6"/>
  <c r="AA676" i="6" s="1"/>
  <c r="AF676" i="6" s="1"/>
  <c r="AA675" i="6"/>
  <c r="AF675" i="6" s="1"/>
  <c r="Z675" i="6"/>
  <c r="Y675" i="6"/>
  <c r="Z674" i="6"/>
  <c r="Y674" i="6"/>
  <c r="AA674" i="6" s="1"/>
  <c r="AF674" i="6" s="1"/>
  <c r="Z673" i="6"/>
  <c r="AA673" i="6" s="1"/>
  <c r="AF673" i="6" s="1"/>
  <c r="Y673" i="6"/>
  <c r="Z672" i="6"/>
  <c r="Y672" i="6"/>
  <c r="AA672" i="6" s="1"/>
  <c r="AF672" i="6" s="1"/>
  <c r="Z671" i="6"/>
  <c r="AA671" i="6" s="1"/>
  <c r="AF671" i="6" s="1"/>
  <c r="Y671" i="6"/>
  <c r="Z670" i="6"/>
  <c r="Y670" i="6"/>
  <c r="AA670" i="6" s="1"/>
  <c r="AF670" i="6" s="1"/>
  <c r="Z669" i="6"/>
  <c r="AA669" i="6" s="1"/>
  <c r="AF669" i="6" s="1"/>
  <c r="Y669" i="6"/>
  <c r="Z668" i="6"/>
  <c r="Y668" i="6"/>
  <c r="AA668" i="6" s="1"/>
  <c r="AF668" i="6" s="1"/>
  <c r="Z667" i="6"/>
  <c r="AA667" i="6" s="1"/>
  <c r="AF667" i="6" s="1"/>
  <c r="Y667" i="6"/>
  <c r="Z666" i="6"/>
  <c r="Y666" i="6"/>
  <c r="AA666" i="6" s="1"/>
  <c r="AF666" i="6" s="1"/>
  <c r="AA665" i="6"/>
  <c r="AF665" i="6" s="1"/>
  <c r="Z665" i="6"/>
  <c r="Y665" i="6"/>
  <c r="Z664" i="6"/>
  <c r="Y664" i="6"/>
  <c r="AA664" i="6" s="1"/>
  <c r="AF664" i="6" s="1"/>
  <c r="AA663" i="6"/>
  <c r="AF663" i="6" s="1"/>
  <c r="Z663" i="6"/>
  <c r="Y663" i="6"/>
  <c r="Z662" i="6"/>
  <c r="Y662" i="6"/>
  <c r="AA662" i="6" s="1"/>
  <c r="AF662" i="6" s="1"/>
  <c r="AA661" i="6"/>
  <c r="AF661" i="6" s="1"/>
  <c r="Z661" i="6"/>
  <c r="Y661" i="6"/>
  <c r="Z660" i="6"/>
  <c r="Y660" i="6"/>
  <c r="AA660" i="6" s="1"/>
  <c r="AF660" i="6" s="1"/>
  <c r="AA659" i="6"/>
  <c r="AF659" i="6" s="1"/>
  <c r="Z659" i="6"/>
  <c r="Y659" i="6"/>
  <c r="Z658" i="6"/>
  <c r="Y658" i="6"/>
  <c r="AA658" i="6" s="1"/>
  <c r="AF658" i="6" s="1"/>
  <c r="Z657" i="6"/>
  <c r="AA657" i="6" s="1"/>
  <c r="AF657" i="6" s="1"/>
  <c r="Y657" i="6"/>
  <c r="Z656" i="6"/>
  <c r="Y656" i="6"/>
  <c r="AA656" i="6" s="1"/>
  <c r="AF656" i="6" s="1"/>
  <c r="Z655" i="6"/>
  <c r="AA655" i="6" s="1"/>
  <c r="AF655" i="6" s="1"/>
  <c r="Y655" i="6"/>
  <c r="Z654" i="6"/>
  <c r="Y654" i="6"/>
  <c r="AA654" i="6" s="1"/>
  <c r="AF654" i="6" s="1"/>
  <c r="Z653" i="6"/>
  <c r="AA653" i="6" s="1"/>
  <c r="AF653" i="6" s="1"/>
  <c r="Y653" i="6"/>
  <c r="Z652" i="6"/>
  <c r="Y652" i="6"/>
  <c r="AA652" i="6" s="1"/>
  <c r="AF652" i="6" s="1"/>
  <c r="Z651" i="6"/>
  <c r="AA651" i="6" s="1"/>
  <c r="AF651" i="6" s="1"/>
  <c r="Y651" i="6"/>
  <c r="Z650" i="6"/>
  <c r="Y650" i="6"/>
  <c r="AA650" i="6" s="1"/>
  <c r="AF650" i="6" s="1"/>
  <c r="AA649" i="6"/>
  <c r="AF649" i="6" s="1"/>
  <c r="Z649" i="6"/>
  <c r="Y649" i="6"/>
  <c r="Z648" i="6"/>
  <c r="Y648" i="6"/>
  <c r="AA648" i="6" s="1"/>
  <c r="AF648" i="6" s="1"/>
  <c r="AA647" i="6"/>
  <c r="AF647" i="6" s="1"/>
  <c r="Z647" i="6"/>
  <c r="Y647" i="6"/>
  <c r="AA646" i="6"/>
  <c r="AF646" i="6" s="1"/>
  <c r="Y646" i="6"/>
  <c r="AF645" i="6"/>
  <c r="Y645" i="6"/>
  <c r="AA645" i="6" s="1"/>
  <c r="AF644" i="6"/>
  <c r="AA644" i="6"/>
  <c r="Y644" i="6"/>
  <c r="Y643" i="6"/>
  <c r="AA643" i="6" s="1"/>
  <c r="AF643" i="6" s="1"/>
  <c r="AA642" i="6"/>
  <c r="AF642" i="6" s="1"/>
  <c r="Y642" i="6"/>
  <c r="Y641" i="6"/>
  <c r="AA641" i="6" s="1"/>
  <c r="AF641" i="6" s="1"/>
  <c r="AA640" i="6"/>
  <c r="AF640" i="6" s="1"/>
  <c r="Y640" i="6"/>
  <c r="AF639" i="6"/>
  <c r="AA639" i="6"/>
  <c r="Y639" i="6"/>
  <c r="Y638" i="6"/>
  <c r="AA638" i="6" s="1"/>
  <c r="AF638" i="6" s="1"/>
  <c r="Z637" i="6"/>
  <c r="AA637" i="6" s="1"/>
  <c r="AF637" i="6" s="1"/>
  <c r="Y637" i="6"/>
  <c r="Z636" i="6"/>
  <c r="Y636" i="6"/>
  <c r="AA636" i="6" s="1"/>
  <c r="AF636" i="6" s="1"/>
  <c r="Y635" i="6"/>
  <c r="AA635" i="6" s="1"/>
  <c r="AF635" i="6" s="1"/>
  <c r="AF634" i="6"/>
  <c r="AA634" i="6"/>
  <c r="Z634" i="6"/>
  <c r="Y634" i="6"/>
  <c r="AA633" i="6"/>
  <c r="AF633" i="6" s="1"/>
  <c r="Z633" i="6"/>
  <c r="Y633" i="6"/>
  <c r="AF632" i="6"/>
  <c r="AA632" i="6"/>
  <c r="Z632" i="6"/>
  <c r="Y632" i="6"/>
  <c r="Z631" i="6"/>
  <c r="Y631" i="6"/>
  <c r="AA631" i="6" s="1"/>
  <c r="AF631" i="6" s="1"/>
  <c r="AC630" i="6"/>
  <c r="Z630" i="6"/>
  <c r="AA630" i="6" s="1"/>
  <c r="AF630" i="6" s="1"/>
  <c r="Y630" i="6"/>
  <c r="Z629" i="6"/>
  <c r="Y629" i="6"/>
  <c r="Z626" i="6"/>
  <c r="AA626" i="6" s="1"/>
  <c r="AF626" i="6" s="1"/>
  <c r="Y626" i="6"/>
  <c r="AC626" i="6" s="1"/>
  <c r="AC625" i="6"/>
  <c r="AA625" i="6"/>
  <c r="AF625" i="6" s="1"/>
  <c r="Z625" i="6"/>
  <c r="Y625" i="6"/>
  <c r="Z624" i="6"/>
  <c r="Y624" i="6"/>
  <c r="AC624" i="6" s="1"/>
  <c r="Z623" i="6"/>
  <c r="AA623" i="6" s="1"/>
  <c r="AF623" i="6" s="1"/>
  <c r="X623" i="6"/>
  <c r="Y623" i="6" s="1"/>
  <c r="AC623" i="6" s="1"/>
  <c r="AC622" i="6"/>
  <c r="AA622" i="6"/>
  <c r="AF622" i="6" s="1"/>
  <c r="Z622" i="6"/>
  <c r="Y622" i="6"/>
  <c r="AA621" i="6"/>
  <c r="AF621" i="6" s="1"/>
  <c r="Z621" i="6"/>
  <c r="Y621" i="6"/>
  <c r="AC621" i="6" s="1"/>
  <c r="AF620" i="6"/>
  <c r="AC620" i="6"/>
  <c r="Z620" i="6"/>
  <c r="Y620" i="6"/>
  <c r="AA620" i="6" s="1"/>
  <c r="AA619" i="6"/>
  <c r="AF619" i="6" s="1"/>
  <c r="Z619" i="6"/>
  <c r="Y619" i="6"/>
  <c r="AC619" i="6" s="1"/>
  <c r="Z618" i="6"/>
  <c r="AA618" i="6" s="1"/>
  <c r="AF618" i="6" s="1"/>
  <c r="Y618" i="6"/>
  <c r="AA617" i="6"/>
  <c r="AF617" i="6" s="1"/>
  <c r="Z617" i="6"/>
  <c r="Y617" i="6"/>
  <c r="Z616" i="6"/>
  <c r="AA616" i="6" s="1"/>
  <c r="AF616" i="6" s="1"/>
  <c r="Y616" i="6"/>
  <c r="AA615" i="6"/>
  <c r="AF615" i="6" s="1"/>
  <c r="Z615" i="6"/>
  <c r="Y615" i="6"/>
  <c r="Z614" i="6"/>
  <c r="AA614" i="6" s="1"/>
  <c r="AF614" i="6" s="1"/>
  <c r="Y614" i="6"/>
  <c r="Z613" i="6"/>
  <c r="AA613" i="6" s="1"/>
  <c r="AF613" i="6" s="1"/>
  <c r="Y613" i="6"/>
  <c r="Z612" i="6"/>
  <c r="AA612" i="6" s="1"/>
  <c r="AF612" i="6" s="1"/>
  <c r="Y612" i="6"/>
  <c r="Z611" i="6"/>
  <c r="AA611" i="6" s="1"/>
  <c r="AF611" i="6" s="1"/>
  <c r="Y611" i="6"/>
  <c r="Z610" i="6"/>
  <c r="Y610" i="6"/>
  <c r="AU609" i="6"/>
  <c r="AF609" i="6"/>
  <c r="AA609" i="6"/>
  <c r="Z609" i="6"/>
  <c r="Y609" i="6"/>
  <c r="AU608" i="6"/>
  <c r="AA608" i="6"/>
  <c r="AF608" i="6" s="1"/>
  <c r="Z608" i="6"/>
  <c r="Y608" i="6"/>
  <c r="AF607" i="6"/>
  <c r="AA607" i="6"/>
  <c r="Y607" i="6"/>
  <c r="AU606" i="6"/>
  <c r="Z606" i="6"/>
  <c r="Y606" i="6"/>
  <c r="AA606" i="6" s="1"/>
  <c r="AF606" i="6" s="1"/>
  <c r="AU605" i="6"/>
  <c r="Z605" i="6"/>
  <c r="Y605" i="6"/>
  <c r="AA605" i="6" s="1"/>
  <c r="AF605" i="6" s="1"/>
  <c r="Z604" i="6"/>
  <c r="Z603" i="6"/>
  <c r="Z602" i="6"/>
  <c r="AF601" i="6"/>
  <c r="AA601" i="6"/>
  <c r="Z601" i="6"/>
  <c r="Y601" i="6"/>
  <c r="AA600" i="6"/>
  <c r="AF600" i="6" s="1"/>
  <c r="Y600" i="6"/>
  <c r="AF599" i="6"/>
  <c r="AA599" i="6"/>
  <c r="Y599" i="6"/>
  <c r="Z598" i="6"/>
  <c r="AA598" i="6" s="1"/>
  <c r="AF598" i="6" s="1"/>
  <c r="Y598" i="6"/>
  <c r="AA597" i="6"/>
  <c r="AF597" i="6" s="1"/>
  <c r="Z597" i="6"/>
  <c r="Y597" i="6"/>
  <c r="Z596" i="6"/>
  <c r="AA596" i="6" s="1"/>
  <c r="AF596" i="6" s="1"/>
  <c r="Y596" i="6"/>
  <c r="AC596" i="6" s="1"/>
  <c r="AF595" i="6"/>
  <c r="AC595" i="6"/>
  <c r="AA595" i="6"/>
  <c r="Z595" i="6"/>
  <c r="Y595" i="6"/>
  <c r="Z594" i="6"/>
  <c r="AA594" i="6" s="1"/>
  <c r="AF594" i="6" s="1"/>
  <c r="Y594" i="6"/>
  <c r="AC594" i="6" s="1"/>
  <c r="Z593" i="6"/>
  <c r="Y593" i="6"/>
  <c r="AC593" i="6" s="1"/>
  <c r="AC592" i="6"/>
  <c r="AA592" i="6"/>
  <c r="AF592" i="6" s="1"/>
  <c r="Z592" i="6"/>
  <c r="X592" i="6"/>
  <c r="Y592" i="6" s="1"/>
  <c r="Z591" i="6"/>
  <c r="Y591" i="6"/>
  <c r="AC591" i="6" s="1"/>
  <c r="Z590" i="6"/>
  <c r="AA590" i="6" s="1"/>
  <c r="AF590" i="6" s="1"/>
  <c r="Y590" i="6"/>
  <c r="AC590" i="6" s="1"/>
  <c r="X590" i="6"/>
  <c r="AF589" i="6"/>
  <c r="AC589" i="6"/>
  <c r="AA589" i="6"/>
  <c r="Z589" i="6"/>
  <c r="Y589" i="6"/>
  <c r="AA588" i="6"/>
  <c r="AF588" i="6" s="1"/>
  <c r="Z588" i="6"/>
  <c r="Y588" i="6"/>
  <c r="AF587" i="6"/>
  <c r="AA587" i="6"/>
  <c r="Z587" i="6"/>
  <c r="Y587" i="6"/>
  <c r="AC586" i="6"/>
  <c r="Z586" i="6"/>
  <c r="AA586" i="6" s="1"/>
  <c r="AF586" i="6" s="1"/>
  <c r="Y586" i="6"/>
  <c r="Z585" i="6"/>
  <c r="AA585" i="6" s="1"/>
  <c r="AF585" i="6" s="1"/>
  <c r="Y585" i="6"/>
  <c r="Z584" i="6"/>
  <c r="AA584" i="6" s="1"/>
  <c r="AF584" i="6" s="1"/>
  <c r="Y584" i="6"/>
  <c r="Z583" i="6"/>
  <c r="AA583" i="6" s="1"/>
  <c r="AF583" i="6" s="1"/>
  <c r="Y583" i="6"/>
  <c r="AA582" i="6"/>
  <c r="AF582" i="6" s="1"/>
  <c r="Z582" i="6"/>
  <c r="Y582" i="6"/>
  <c r="AC582" i="6" s="1"/>
  <c r="X582" i="6"/>
  <c r="Z581" i="6"/>
  <c r="Y581" i="6"/>
  <c r="AC581" i="6" s="1"/>
  <c r="AC580" i="6"/>
  <c r="Z580" i="6"/>
  <c r="AA580" i="6" s="1"/>
  <c r="AF580" i="6" s="1"/>
  <c r="Y580" i="6"/>
  <c r="Z579" i="6"/>
  <c r="AA579" i="6" s="1"/>
  <c r="AF579" i="6" s="1"/>
  <c r="Y579" i="6"/>
  <c r="AC579" i="6" s="1"/>
  <c r="Z578" i="6"/>
  <c r="AA578" i="6" s="1"/>
  <c r="AF578" i="6" s="1"/>
  <c r="Y578" i="6"/>
  <c r="AC578" i="6" s="1"/>
  <c r="AF577" i="6"/>
  <c r="AC577" i="6"/>
  <c r="AA577" i="6"/>
  <c r="Z577" i="6"/>
  <c r="Y577" i="6"/>
  <c r="AC576" i="6"/>
  <c r="Z576" i="6"/>
  <c r="Y576" i="6"/>
  <c r="Z575" i="6"/>
  <c r="AA575" i="6" s="1"/>
  <c r="AF575" i="6" s="1"/>
  <c r="Y575" i="6"/>
  <c r="AC575" i="6" s="1"/>
  <c r="AC574" i="6"/>
  <c r="AA574" i="6"/>
  <c r="AF574" i="6" s="1"/>
  <c r="Z574" i="6"/>
  <c r="Y574" i="6"/>
  <c r="Z573" i="6"/>
  <c r="Y573" i="6"/>
  <c r="AC573" i="6" s="1"/>
  <c r="AA572" i="6"/>
  <c r="Y572" i="6"/>
  <c r="Y571" i="6"/>
  <c r="AA571" i="6" s="1"/>
  <c r="Y570" i="6"/>
  <c r="AA570" i="6" s="1"/>
  <c r="Y569" i="6"/>
  <c r="AA569" i="6" s="1"/>
  <c r="AA568" i="6"/>
  <c r="Y568" i="6"/>
  <c r="Y567" i="6"/>
  <c r="AA567" i="6" s="1"/>
  <c r="Y566" i="6"/>
  <c r="AA566" i="6" s="1"/>
  <c r="Y565" i="6"/>
  <c r="AA565" i="6" s="1"/>
  <c r="AC564" i="6"/>
  <c r="Z564" i="6"/>
  <c r="AA564" i="6" s="1"/>
  <c r="AF564" i="6" s="1"/>
  <c r="Y564" i="6"/>
  <c r="AF563" i="6"/>
  <c r="AA563" i="6"/>
  <c r="Z563" i="6"/>
  <c r="Y563" i="6"/>
  <c r="AC563" i="6" s="1"/>
  <c r="Z562" i="6"/>
  <c r="X562" i="6"/>
  <c r="Y562" i="6" s="1"/>
  <c r="AC562" i="6" s="1"/>
  <c r="AF561" i="6"/>
  <c r="AC561" i="6"/>
  <c r="Z561" i="6"/>
  <c r="AA561" i="6" s="1"/>
  <c r="Y561" i="6"/>
  <c r="AA560" i="6"/>
  <c r="AF560" i="6" s="1"/>
  <c r="Z560" i="6"/>
  <c r="Y560" i="6"/>
  <c r="AC560" i="6" s="1"/>
  <c r="Y559" i="6"/>
  <c r="AA559" i="6" s="1"/>
  <c r="Y558" i="6"/>
  <c r="AA558" i="6" s="1"/>
  <c r="Y557" i="6"/>
  <c r="AA557" i="6" s="1"/>
  <c r="AA556" i="6"/>
  <c r="Y556" i="6"/>
  <c r="Y555" i="6"/>
  <c r="AA555" i="6" s="1"/>
  <c r="Y554" i="6"/>
  <c r="AA554" i="6" s="1"/>
  <c r="AC553" i="6"/>
  <c r="AA553" i="6"/>
  <c r="AF553" i="6" s="1"/>
  <c r="Z553" i="6"/>
  <c r="Y553" i="6"/>
  <c r="Z552" i="6"/>
  <c r="Y552" i="6"/>
  <c r="AC552" i="6" s="1"/>
  <c r="AF551" i="6"/>
  <c r="AC551" i="6"/>
  <c r="Z551" i="6"/>
  <c r="Y551" i="6"/>
  <c r="AA551" i="6" s="1"/>
  <c r="Z550" i="6"/>
  <c r="Y550" i="6"/>
  <c r="AC550" i="6" s="1"/>
  <c r="Z549" i="6"/>
  <c r="AA549" i="6" s="1"/>
  <c r="AF549" i="6" s="1"/>
  <c r="Y549" i="6"/>
  <c r="AC549" i="6" s="1"/>
  <c r="AA548" i="6"/>
  <c r="Y548" i="6"/>
  <c r="AA547" i="6"/>
  <c r="Y547" i="6"/>
  <c r="Y546" i="6"/>
  <c r="AA546" i="6" s="1"/>
  <c r="Z545" i="6"/>
  <c r="AA545" i="6" s="1"/>
  <c r="AF545" i="6" s="1"/>
  <c r="Y545" i="6"/>
  <c r="AC545" i="6" s="1"/>
  <c r="Y544" i="6"/>
  <c r="AA544" i="6" s="1"/>
  <c r="AA543" i="6"/>
  <c r="Y543" i="6"/>
  <c r="AC542" i="6"/>
  <c r="Z542" i="6"/>
  <c r="AA542" i="6" s="1"/>
  <c r="AF542" i="6" s="1"/>
  <c r="Y542" i="6"/>
  <c r="AC541" i="6"/>
  <c r="AA541" i="6"/>
  <c r="AF541" i="6" s="1"/>
  <c r="Z541" i="6"/>
  <c r="Y541" i="6"/>
  <c r="AA540" i="6"/>
  <c r="Y540" i="6"/>
  <c r="Z539" i="6"/>
  <c r="AA539" i="6" s="1"/>
  <c r="AF539" i="6" s="1"/>
  <c r="Y539" i="6"/>
  <c r="AC539" i="6" s="1"/>
  <c r="AF538" i="6"/>
  <c r="AC538" i="6"/>
  <c r="AA538" i="6"/>
  <c r="Z538" i="6"/>
  <c r="Y538" i="6"/>
  <c r="Y537" i="6"/>
  <c r="AA537" i="6" s="1"/>
  <c r="Y536" i="6"/>
  <c r="AA536" i="6" s="1"/>
  <c r="AA535" i="6"/>
  <c r="Y535" i="6"/>
  <c r="Y534" i="6"/>
  <c r="AA534" i="6" s="1"/>
  <c r="Y533" i="6"/>
  <c r="AA533" i="6" s="1"/>
  <c r="AA532" i="6"/>
  <c r="Y532" i="6"/>
  <c r="AA531" i="6"/>
  <c r="Y531" i="6"/>
  <c r="Z530" i="6"/>
  <c r="AA530" i="6" s="1"/>
  <c r="AF530" i="6" s="1"/>
  <c r="Y530" i="6"/>
  <c r="AC530" i="6" s="1"/>
  <c r="Z529" i="6"/>
  <c r="Y529" i="6"/>
  <c r="AC529" i="6" s="1"/>
  <c r="AC528" i="6"/>
  <c r="AA528" i="6"/>
  <c r="AF528" i="6" s="1"/>
  <c r="Z528" i="6"/>
  <c r="Y528" i="6"/>
  <c r="AA527" i="6"/>
  <c r="Y527" i="6"/>
  <c r="AC526" i="6"/>
  <c r="Z526" i="6"/>
  <c r="AA526" i="6" s="1"/>
  <c r="AF526" i="6" s="1"/>
  <c r="Y526" i="6"/>
  <c r="Z525" i="6"/>
  <c r="AA525" i="6" s="1"/>
  <c r="AF525" i="6" s="1"/>
  <c r="Y525" i="6"/>
  <c r="AC525" i="6" s="1"/>
  <c r="AC524" i="6"/>
  <c r="Z524" i="6"/>
  <c r="AA524" i="6" s="1"/>
  <c r="AF524" i="6" s="1"/>
  <c r="Y524" i="6"/>
  <c r="Z523" i="6"/>
  <c r="AA523" i="6" s="1"/>
  <c r="AF523" i="6" s="1"/>
  <c r="Y523" i="6"/>
  <c r="AC523" i="6" s="1"/>
  <c r="Y522" i="6"/>
  <c r="AA522" i="6" s="1"/>
  <c r="AA521" i="6"/>
  <c r="Y521" i="6"/>
  <c r="AA520" i="6"/>
  <c r="Y520" i="6"/>
  <c r="Y519" i="6"/>
  <c r="AA519" i="6" s="1"/>
  <c r="Y518" i="6"/>
  <c r="AA518" i="6" s="1"/>
  <c r="AA517" i="6"/>
  <c r="Y517" i="6"/>
  <c r="AA516" i="6"/>
  <c r="Y516" i="6"/>
  <c r="Y515" i="6"/>
  <c r="AA515" i="6" s="1"/>
  <c r="Y514" i="6"/>
  <c r="AA514" i="6" s="1"/>
  <c r="X514" i="6"/>
  <c r="Y513" i="6"/>
  <c r="AA513" i="6" s="1"/>
  <c r="Y512" i="6"/>
  <c r="AA512" i="6" s="1"/>
  <c r="AA511" i="6"/>
  <c r="Y511" i="6"/>
  <c r="Z510" i="6"/>
  <c r="AA510" i="6" s="1"/>
  <c r="AF510" i="6" s="1"/>
  <c r="Y510" i="6"/>
  <c r="AC510" i="6" s="1"/>
  <c r="AA509" i="6"/>
  <c r="AF509" i="6" s="1"/>
  <c r="Z509" i="6"/>
  <c r="Y509" i="6"/>
  <c r="Z508" i="6"/>
  <c r="AA508" i="6" s="1"/>
  <c r="AF508" i="6" s="1"/>
  <c r="Y508" i="6"/>
  <c r="AA507" i="6"/>
  <c r="AF507" i="6" s="1"/>
  <c r="Z507" i="6"/>
  <c r="Y507" i="6"/>
  <c r="Z506" i="6"/>
  <c r="AA506" i="6" s="1"/>
  <c r="AF506" i="6" s="1"/>
  <c r="Y506" i="6"/>
  <c r="AC505" i="6"/>
  <c r="Z505" i="6"/>
  <c r="AA505" i="6" s="1"/>
  <c r="AF505" i="6" s="1"/>
  <c r="Y505" i="6"/>
  <c r="Z504" i="6"/>
  <c r="AA504" i="6" s="1"/>
  <c r="AF504" i="6" s="1"/>
  <c r="Y504" i="6"/>
  <c r="AC504" i="6" s="1"/>
  <c r="Z503" i="6"/>
  <c r="Y503" i="6"/>
  <c r="AC503" i="6" s="1"/>
  <c r="AC502" i="6"/>
  <c r="AA502" i="6"/>
  <c r="AF502" i="6" s="1"/>
  <c r="Z502" i="6"/>
  <c r="Y502" i="6"/>
  <c r="AA501" i="6"/>
  <c r="Y501" i="6"/>
  <c r="AA500" i="6"/>
  <c r="Y500" i="6"/>
  <c r="AC499" i="6"/>
  <c r="Z499" i="6"/>
  <c r="AA499" i="6" s="1"/>
  <c r="AF499" i="6" s="1"/>
  <c r="Y499" i="6"/>
  <c r="Z498" i="6"/>
  <c r="AA498" i="6" s="1"/>
  <c r="AF498" i="6" s="1"/>
  <c r="Y498" i="6"/>
  <c r="AC498" i="6" s="1"/>
  <c r="Z497" i="6"/>
  <c r="Y497" i="6"/>
  <c r="AC497" i="6" s="1"/>
  <c r="Z496" i="6"/>
  <c r="AA496" i="6" s="1"/>
  <c r="AF496" i="6" s="1"/>
  <c r="Y496" i="6"/>
  <c r="Z495" i="6"/>
  <c r="Y495" i="6"/>
  <c r="AA495" i="6" s="1"/>
  <c r="AF495" i="6" s="1"/>
  <c r="Z494" i="6"/>
  <c r="AA494" i="6" s="1"/>
  <c r="AF494" i="6" s="1"/>
  <c r="Y494" i="6"/>
  <c r="Z493" i="6"/>
  <c r="Y493" i="6"/>
  <c r="AA493" i="6" s="1"/>
  <c r="AF493" i="6" s="1"/>
  <c r="Z492" i="6"/>
  <c r="AA492" i="6" s="1"/>
  <c r="AF492" i="6" s="1"/>
  <c r="Y492" i="6"/>
  <c r="AF491" i="6"/>
  <c r="AA491" i="6"/>
  <c r="Y491" i="6"/>
  <c r="Z490" i="6"/>
  <c r="AA490" i="6" s="1"/>
  <c r="AF490" i="6" s="1"/>
  <c r="Y490" i="6"/>
  <c r="AF2" i="8"/>
  <c r="AE2" i="8"/>
  <c r="AA2" i="8"/>
  <c r="AD2" i="8" s="1"/>
  <c r="AU341" i="7"/>
  <c r="Z341" i="7"/>
  <c r="Y341" i="7"/>
  <c r="AC341" i="7" s="1"/>
  <c r="AU340" i="7"/>
  <c r="Z340" i="7"/>
  <c r="Y340" i="7"/>
  <c r="AC340" i="7" s="1"/>
  <c r="AU339" i="7"/>
  <c r="AC339" i="7"/>
  <c r="Z339" i="7"/>
  <c r="AA339" i="7" s="1"/>
  <c r="AF339" i="7" s="1"/>
  <c r="Y339" i="7"/>
  <c r="AU338" i="7"/>
  <c r="Z338" i="7"/>
  <c r="Y338" i="7"/>
  <c r="AC338" i="7" s="1"/>
  <c r="AU337" i="7"/>
  <c r="Z337" i="7"/>
  <c r="AA337" i="7" s="1"/>
  <c r="AF337" i="7" s="1"/>
  <c r="Y337" i="7"/>
  <c r="AC337" i="7" s="1"/>
  <c r="AU336" i="7"/>
  <c r="Z336" i="7"/>
  <c r="AA336" i="7" s="1"/>
  <c r="AF336" i="7" s="1"/>
  <c r="Y336" i="7"/>
  <c r="AC336" i="7" s="1"/>
  <c r="AU335" i="7"/>
  <c r="Z335" i="7"/>
  <c r="AA335" i="7" s="1"/>
  <c r="AF335" i="7" s="1"/>
  <c r="Y335" i="7"/>
  <c r="AC335" i="7" s="1"/>
  <c r="AU334" i="7"/>
  <c r="Z334" i="7"/>
  <c r="Y334" i="7"/>
  <c r="AC334" i="7" s="1"/>
  <c r="Z333" i="7"/>
  <c r="Y333" i="7"/>
  <c r="AC333" i="7" s="1"/>
  <c r="AU332" i="7"/>
  <c r="AA332" i="7"/>
  <c r="AF332" i="7" s="1"/>
  <c r="Z332" i="7"/>
  <c r="Y332" i="7"/>
  <c r="AU331" i="7"/>
  <c r="Z331" i="7"/>
  <c r="Y331" i="7"/>
  <c r="AU330" i="7"/>
  <c r="Z330" i="7"/>
  <c r="Y330" i="7"/>
  <c r="AA330" i="7" s="1"/>
  <c r="AF330" i="7" s="1"/>
  <c r="AU329" i="7"/>
  <c r="Z329" i="7"/>
  <c r="Y329" i="7"/>
  <c r="AU328" i="7"/>
  <c r="Z328" i="7"/>
  <c r="AA328" i="7" s="1"/>
  <c r="AF328" i="7" s="1"/>
  <c r="Y328" i="7"/>
  <c r="AC328" i="7" s="1"/>
  <c r="AU327" i="7"/>
  <c r="AC327" i="7"/>
  <c r="Z327" i="7"/>
  <c r="AA327" i="7" s="1"/>
  <c r="AF327" i="7" s="1"/>
  <c r="Y327" i="7"/>
  <c r="AU326" i="7"/>
  <c r="Z326" i="7"/>
  <c r="AA326" i="7" s="1"/>
  <c r="AF326" i="7" s="1"/>
  <c r="Y326" i="7"/>
  <c r="AC326" i="7" s="1"/>
  <c r="AU325" i="7"/>
  <c r="Z325" i="7"/>
  <c r="AA325" i="7" s="1"/>
  <c r="AF325" i="7" s="1"/>
  <c r="Y325" i="7"/>
  <c r="AC325" i="7" s="1"/>
  <c r="AU324" i="7"/>
  <c r="Z324" i="7"/>
  <c r="AA324" i="7" s="1"/>
  <c r="AF324" i="7" s="1"/>
  <c r="Y324" i="7"/>
  <c r="AC324" i="7" s="1"/>
  <c r="AU323" i="7"/>
  <c r="Z323" i="7"/>
  <c r="Y323" i="7"/>
  <c r="AC323" i="7" s="1"/>
  <c r="AU322" i="7"/>
  <c r="Z322" i="7"/>
  <c r="Y322" i="7"/>
  <c r="AC322" i="7" s="1"/>
  <c r="AU321" i="7"/>
  <c r="Z321" i="7"/>
  <c r="Y321" i="7"/>
  <c r="AC321" i="7" s="1"/>
  <c r="Z320" i="7"/>
  <c r="AA320" i="7" s="1"/>
  <c r="AF320" i="7" s="1"/>
  <c r="Y320" i="7"/>
  <c r="Z319" i="7"/>
  <c r="AA319" i="7" s="1"/>
  <c r="AF319" i="7" s="1"/>
  <c r="Y319" i="7"/>
  <c r="AU318" i="7"/>
  <c r="Z318" i="7"/>
  <c r="AA318" i="7" s="1"/>
  <c r="AF318" i="7" s="1"/>
  <c r="Y318" i="7"/>
  <c r="AC318" i="7" s="1"/>
  <c r="AU317" i="7"/>
  <c r="Z317" i="7"/>
  <c r="AA317" i="7" s="1"/>
  <c r="AF317" i="7" s="1"/>
  <c r="Y317" i="7"/>
  <c r="AC317" i="7" s="1"/>
  <c r="AU316" i="7"/>
  <c r="AA316" i="7"/>
  <c r="AF316" i="7" s="1"/>
  <c r="Z316" i="7"/>
  <c r="Y316" i="7"/>
  <c r="AC316" i="7" s="1"/>
  <c r="AU315" i="7"/>
  <c r="Z315" i="7"/>
  <c r="AA315" i="7" s="1"/>
  <c r="AF315" i="7" s="1"/>
  <c r="Y315" i="7"/>
  <c r="AC315" i="7" s="1"/>
  <c r="AU314" i="7"/>
  <c r="Z314" i="7"/>
  <c r="Y314" i="7"/>
  <c r="AC314" i="7" s="1"/>
  <c r="AU313" i="7"/>
  <c r="Z313" i="7"/>
  <c r="Y313" i="7"/>
  <c r="AC313" i="7" s="1"/>
  <c r="AU312" i="7"/>
  <c r="Z312" i="7"/>
  <c r="Y312" i="7"/>
  <c r="AC312" i="7" s="1"/>
  <c r="AU311" i="7"/>
  <c r="Z311" i="7"/>
  <c r="Y311" i="7"/>
  <c r="AC311" i="7" s="1"/>
  <c r="AU310" i="7"/>
  <c r="Z310" i="7"/>
  <c r="Y310" i="7"/>
  <c r="AC310" i="7" s="1"/>
  <c r="AU309" i="7"/>
  <c r="Z309" i="7"/>
  <c r="AA309" i="7" s="1"/>
  <c r="AF309" i="7" s="1"/>
  <c r="Y309" i="7"/>
  <c r="AC309" i="7" s="1"/>
  <c r="AU308" i="7"/>
  <c r="AC308" i="7"/>
  <c r="AA308" i="7"/>
  <c r="AF308" i="7" s="1"/>
  <c r="Z308" i="7"/>
  <c r="Y308" i="7"/>
  <c r="AU307" i="7"/>
  <c r="Z307" i="7"/>
  <c r="AA307" i="7" s="1"/>
  <c r="AF307" i="7" s="1"/>
  <c r="Y307" i="7"/>
  <c r="AC307" i="7" s="1"/>
  <c r="AU306" i="7"/>
  <c r="Z306" i="7"/>
  <c r="Y306" i="7"/>
  <c r="AC306" i="7" s="1"/>
  <c r="AU305" i="7"/>
  <c r="Z305" i="7"/>
  <c r="AA305" i="7" s="1"/>
  <c r="AF305" i="7" s="1"/>
  <c r="Y305" i="7"/>
  <c r="AC305" i="7" s="1"/>
  <c r="AU304" i="7"/>
  <c r="Z304" i="7"/>
  <c r="Y304" i="7"/>
  <c r="AC304" i="7" s="1"/>
  <c r="AU303" i="7"/>
  <c r="Z303" i="7"/>
  <c r="Y303" i="7"/>
  <c r="AU302" i="7"/>
  <c r="Z302" i="7"/>
  <c r="Y302" i="7"/>
  <c r="AC302" i="7" s="1"/>
  <c r="AU301" i="7"/>
  <c r="Z301" i="7"/>
  <c r="Y301" i="7"/>
  <c r="AA301" i="7" s="1"/>
  <c r="AF301" i="7" s="1"/>
  <c r="AU300" i="7"/>
  <c r="Z300" i="7"/>
  <c r="AA300" i="7" s="1"/>
  <c r="AF300" i="7" s="1"/>
  <c r="Y300" i="7"/>
  <c r="AU299" i="7"/>
  <c r="Z299" i="7"/>
  <c r="AA299" i="7" s="1"/>
  <c r="AF299" i="7" s="1"/>
  <c r="Y299" i="7"/>
  <c r="AU298" i="7"/>
  <c r="Z298" i="7"/>
  <c r="Y298" i="7"/>
  <c r="AA298" i="7" s="1"/>
  <c r="AF298" i="7" s="1"/>
  <c r="AU297" i="7"/>
  <c r="Z297" i="7"/>
  <c r="Y297" i="7"/>
  <c r="AA297" i="7" s="1"/>
  <c r="AF297" i="7" s="1"/>
  <c r="AU296" i="7"/>
  <c r="Z296" i="7"/>
  <c r="Y296" i="7"/>
  <c r="AU295" i="7"/>
  <c r="Z295" i="7"/>
  <c r="AA295" i="7" s="1"/>
  <c r="AF295" i="7" s="1"/>
  <c r="Y295" i="7"/>
  <c r="AU294" i="7"/>
  <c r="AA294" i="7"/>
  <c r="AF294" i="7" s="1"/>
  <c r="Z294" i="7"/>
  <c r="Y294" i="7"/>
  <c r="AU293" i="7"/>
  <c r="Z293" i="7"/>
  <c r="Y293" i="7"/>
  <c r="AA293" i="7" s="1"/>
  <c r="AF293" i="7" s="1"/>
  <c r="AU292" i="7"/>
  <c r="Z292" i="7"/>
  <c r="Y292" i="7"/>
  <c r="AU291" i="7"/>
  <c r="Z291" i="7"/>
  <c r="Y291" i="7"/>
  <c r="AU290" i="7"/>
  <c r="Z290" i="7"/>
  <c r="AA290" i="7" s="1"/>
  <c r="AF290" i="7" s="1"/>
  <c r="Y290" i="7"/>
  <c r="AU289" i="7"/>
  <c r="Z289" i="7"/>
  <c r="Y289" i="7"/>
  <c r="AU288" i="7"/>
  <c r="Z288" i="7"/>
  <c r="Y288" i="7"/>
  <c r="AU287" i="7"/>
  <c r="Z287" i="7"/>
  <c r="Y287" i="7"/>
  <c r="AU286" i="7"/>
  <c r="AC286" i="7"/>
  <c r="Z286" i="7"/>
  <c r="Y286" i="7"/>
  <c r="AU285" i="7"/>
  <c r="Z285" i="7"/>
  <c r="Y285" i="7"/>
  <c r="AC285" i="7" s="1"/>
  <c r="AU284" i="7"/>
  <c r="Z284" i="7"/>
  <c r="Y284" i="7"/>
  <c r="AC284" i="7" s="1"/>
  <c r="AU283" i="7"/>
  <c r="Z283" i="7"/>
  <c r="AA283" i="7" s="1"/>
  <c r="AF283" i="7" s="1"/>
  <c r="Y283" i="7"/>
  <c r="AC283" i="7" s="1"/>
  <c r="AU282" i="7"/>
  <c r="AC282" i="7"/>
  <c r="Z282" i="7"/>
  <c r="Y282" i="7"/>
  <c r="AA282" i="7" s="1"/>
  <c r="AF282" i="7" s="1"/>
  <c r="AU281" i="7"/>
  <c r="Z281" i="7"/>
  <c r="AA281" i="7" s="1"/>
  <c r="AF281" i="7" s="1"/>
  <c r="Y281" i="7"/>
  <c r="AC281" i="7" s="1"/>
  <c r="AU280" i="7"/>
  <c r="Z280" i="7"/>
  <c r="AA280" i="7" s="1"/>
  <c r="AF280" i="7" s="1"/>
  <c r="Y280" i="7"/>
  <c r="AC280" i="7" s="1"/>
  <c r="AU279" i="7"/>
  <c r="Z279" i="7"/>
  <c r="Y279" i="7"/>
  <c r="AC279" i="7" s="1"/>
  <c r="AU278" i="7"/>
  <c r="Z278" i="7"/>
  <c r="Y278" i="7"/>
  <c r="AC278" i="7" s="1"/>
  <c r="AU277" i="7"/>
  <c r="Z277" i="7"/>
  <c r="Y277" i="7"/>
  <c r="AC277" i="7" s="1"/>
  <c r="AU276" i="7"/>
  <c r="Z276" i="7"/>
  <c r="Y276" i="7"/>
  <c r="AC276" i="7" s="1"/>
  <c r="AU275" i="7"/>
  <c r="AA275" i="7"/>
  <c r="AF275" i="7" s="1"/>
  <c r="Z275" i="7"/>
  <c r="Y275" i="7"/>
  <c r="AC275" i="7" s="1"/>
  <c r="AU274" i="7"/>
  <c r="Z274" i="7"/>
  <c r="Y274" i="7"/>
  <c r="AA274" i="7" s="1"/>
  <c r="AF274" i="7" s="1"/>
  <c r="AU273" i="7"/>
  <c r="AC273" i="7"/>
  <c r="Z273" i="7"/>
  <c r="AA273" i="7" s="1"/>
  <c r="AF273" i="7" s="1"/>
  <c r="Y273" i="7"/>
  <c r="AU272" i="7"/>
  <c r="Z272" i="7"/>
  <c r="AA272" i="7" s="1"/>
  <c r="AF272" i="7" s="1"/>
  <c r="Y272" i="7"/>
  <c r="AC272" i="7" s="1"/>
  <c r="AU271" i="7"/>
  <c r="Z271" i="7"/>
  <c r="AA271" i="7" s="1"/>
  <c r="AF271" i="7" s="1"/>
  <c r="Y271" i="7"/>
  <c r="AC271" i="7" s="1"/>
  <c r="AU270" i="7"/>
  <c r="AC270" i="7"/>
  <c r="Z270" i="7"/>
  <c r="Y270" i="7"/>
  <c r="AU269" i="7"/>
  <c r="Z269" i="7"/>
  <c r="Y269" i="7"/>
  <c r="AC269" i="7" s="1"/>
  <c r="AU268" i="7"/>
  <c r="Z268" i="7"/>
  <c r="AA268" i="7" s="1"/>
  <c r="AF268" i="7" s="1"/>
  <c r="Y268" i="7"/>
  <c r="AC268" i="7" s="1"/>
  <c r="AU267" i="7"/>
  <c r="AA267" i="7"/>
  <c r="AF267" i="7" s="1"/>
  <c r="Z267" i="7"/>
  <c r="Y267" i="7"/>
  <c r="AC267" i="7" s="1"/>
  <c r="AU266" i="7"/>
  <c r="Z266" i="7"/>
  <c r="Y266" i="7"/>
  <c r="AU265" i="7"/>
  <c r="AC265" i="7"/>
  <c r="Z265" i="7"/>
  <c r="Y265" i="7"/>
  <c r="AU264" i="7"/>
  <c r="Z264" i="7"/>
  <c r="Y264" i="7"/>
  <c r="AC264" i="7" s="1"/>
  <c r="AU263" i="7"/>
  <c r="Z263" i="7"/>
  <c r="AA263" i="7" s="1"/>
  <c r="AF263" i="7" s="1"/>
  <c r="Y263" i="7"/>
  <c r="AC263" i="7" s="1"/>
  <c r="AU262" i="7"/>
  <c r="Z262" i="7"/>
  <c r="Y262" i="7"/>
  <c r="AA262" i="7" s="1"/>
  <c r="AF262" i="7" s="1"/>
  <c r="AU261" i="7"/>
  <c r="Z261" i="7"/>
  <c r="Y261" i="7"/>
  <c r="AU260" i="7"/>
  <c r="Z260" i="7"/>
  <c r="AA260" i="7" s="1"/>
  <c r="AF260" i="7" s="1"/>
  <c r="Y260" i="7"/>
  <c r="AU259" i="7"/>
  <c r="Z259" i="7"/>
  <c r="AA259" i="7" s="1"/>
  <c r="AF259" i="7" s="1"/>
  <c r="Y259" i="7"/>
  <c r="AU258" i="7"/>
  <c r="Z258" i="7"/>
  <c r="AA258" i="7" s="1"/>
  <c r="AF258" i="7" s="1"/>
  <c r="Y258" i="7"/>
  <c r="AU257" i="7"/>
  <c r="Z257" i="7"/>
  <c r="Y257" i="7"/>
  <c r="AU256" i="7"/>
  <c r="Z256" i="7"/>
  <c r="Y256" i="7"/>
  <c r="AU255" i="7"/>
  <c r="Z255" i="7"/>
  <c r="AA255" i="7" s="1"/>
  <c r="AF255" i="7" s="1"/>
  <c r="Y255" i="7"/>
  <c r="AU254" i="7"/>
  <c r="AC254" i="7"/>
  <c r="Z254" i="7"/>
  <c r="Y254" i="7"/>
  <c r="AA254" i="7" s="1"/>
  <c r="AF254" i="7" s="1"/>
  <c r="AU253" i="7"/>
  <c r="Z253" i="7"/>
  <c r="AA253" i="7" s="1"/>
  <c r="AF253" i="7" s="1"/>
  <c r="Y253" i="7"/>
  <c r="AC253" i="7" s="1"/>
  <c r="AU252" i="7"/>
  <c r="Z252" i="7"/>
  <c r="AA252" i="7" s="1"/>
  <c r="AF252" i="7" s="1"/>
  <c r="Y252" i="7"/>
  <c r="AC252" i="7" s="1"/>
  <c r="AU251" i="7"/>
  <c r="AA251" i="7"/>
  <c r="AF251" i="7" s="1"/>
  <c r="Z251" i="7"/>
  <c r="Y251" i="7"/>
  <c r="AC251" i="7" s="1"/>
  <c r="AU250" i="7"/>
  <c r="Z250" i="7"/>
  <c r="Y250" i="7"/>
  <c r="AU249" i="7"/>
  <c r="Z249" i="7"/>
  <c r="AA249" i="7" s="1"/>
  <c r="AF249" i="7" s="1"/>
  <c r="Y249" i="7"/>
  <c r="AC249" i="7" s="1"/>
  <c r="AU248" i="7"/>
  <c r="Z248" i="7"/>
  <c r="AA248" i="7" s="1"/>
  <c r="AF248" i="7" s="1"/>
  <c r="Y248" i="7"/>
  <c r="AC248" i="7" s="1"/>
  <c r="AU247" i="7"/>
  <c r="Z247" i="7"/>
  <c r="Y247" i="7"/>
  <c r="AU246" i="7"/>
  <c r="Z246" i="7"/>
  <c r="Y246" i="7"/>
  <c r="AU245" i="7"/>
  <c r="Z245" i="7"/>
  <c r="Y245" i="7"/>
  <c r="AU244" i="7"/>
  <c r="Z244" i="7"/>
  <c r="Y244" i="7"/>
  <c r="AA244" i="7" s="1"/>
  <c r="AF244" i="7" s="1"/>
  <c r="AU243" i="7"/>
  <c r="Z243" i="7"/>
  <c r="Y243" i="7"/>
  <c r="AU242" i="7"/>
  <c r="AA242" i="7"/>
  <c r="AF242" i="7" s="1"/>
  <c r="Z242" i="7"/>
  <c r="Y242" i="7"/>
  <c r="AU241" i="7"/>
  <c r="Z241" i="7"/>
  <c r="Y241" i="7"/>
  <c r="AA241" i="7" s="1"/>
  <c r="AF241" i="7" s="1"/>
  <c r="AU240" i="7"/>
  <c r="Z240" i="7"/>
  <c r="AA240" i="7" s="1"/>
  <c r="AF240" i="7" s="1"/>
  <c r="Y240" i="7"/>
  <c r="AC240" i="7" s="1"/>
  <c r="AU239" i="7"/>
  <c r="Z239" i="7"/>
  <c r="AA239" i="7" s="1"/>
  <c r="AF239" i="7" s="1"/>
  <c r="Y239" i="7"/>
  <c r="AC239" i="7" s="1"/>
  <c r="AU238" i="7"/>
  <c r="Z238" i="7"/>
  <c r="AA238" i="7" s="1"/>
  <c r="AF238" i="7" s="1"/>
  <c r="Y238" i="7"/>
  <c r="AC238" i="7" s="1"/>
  <c r="AU237" i="7"/>
  <c r="AC237" i="7"/>
  <c r="Z237" i="7"/>
  <c r="Y237" i="7"/>
  <c r="AA237" i="7" s="1"/>
  <c r="AF237" i="7" s="1"/>
  <c r="AU236" i="7"/>
  <c r="Z236" i="7"/>
  <c r="AA236" i="7" s="1"/>
  <c r="AF236" i="7" s="1"/>
  <c r="Y236" i="7"/>
  <c r="AC236" i="7" s="1"/>
  <c r="AU235" i="7"/>
  <c r="AC235" i="7"/>
  <c r="AA235" i="7"/>
  <c r="AF235" i="7" s="1"/>
  <c r="Z235" i="7"/>
  <c r="Y235" i="7"/>
  <c r="AU234" i="7"/>
  <c r="Z234" i="7"/>
  <c r="Y234" i="7"/>
  <c r="AC234" i="7" s="1"/>
  <c r="AU233" i="7"/>
  <c r="AC233" i="7"/>
  <c r="Z233" i="7"/>
  <c r="Y233" i="7"/>
  <c r="AU232" i="7"/>
  <c r="Z232" i="7"/>
  <c r="Y232" i="7"/>
  <c r="AU231" i="7"/>
  <c r="Z231" i="7"/>
  <c r="Y231" i="7"/>
  <c r="AA231" i="7" s="1"/>
  <c r="AF231" i="7" s="1"/>
  <c r="AU230" i="7"/>
  <c r="Z230" i="7"/>
  <c r="AA230" i="7" s="1"/>
  <c r="AF230" i="7" s="1"/>
  <c r="Y230" i="7"/>
  <c r="AU229" i="7"/>
  <c r="Z229" i="7"/>
  <c r="Y229" i="7"/>
  <c r="AU228" i="7"/>
  <c r="AA228" i="7"/>
  <c r="AF228" i="7" s="1"/>
  <c r="Z228" i="7"/>
  <c r="Y228" i="7"/>
  <c r="AU227" i="7"/>
  <c r="Z227" i="7"/>
  <c r="AA227" i="7" s="1"/>
  <c r="AF227" i="7" s="1"/>
  <c r="Y227" i="7"/>
  <c r="AU226" i="7"/>
  <c r="Z226" i="7"/>
  <c r="AA226" i="7" s="1"/>
  <c r="AF226" i="7" s="1"/>
  <c r="Y226" i="7"/>
  <c r="AU225" i="7"/>
  <c r="Z225" i="7"/>
  <c r="Y225" i="7"/>
  <c r="AA225" i="7" s="1"/>
  <c r="AF225" i="7" s="1"/>
  <c r="AU224" i="7"/>
  <c r="Z224" i="7"/>
  <c r="Y224" i="7"/>
  <c r="AA224" i="7" s="1"/>
  <c r="AF224" i="7" s="1"/>
  <c r="AU223" i="7"/>
  <c r="Z223" i="7"/>
  <c r="Y223" i="7"/>
  <c r="AU222" i="7"/>
  <c r="AA222" i="7"/>
  <c r="AF222" i="7" s="1"/>
  <c r="Z222" i="7"/>
  <c r="Y222" i="7"/>
  <c r="AU221" i="7"/>
  <c r="Z221" i="7"/>
  <c r="Y221" i="7"/>
  <c r="AU220" i="7"/>
  <c r="Z220" i="7"/>
  <c r="Y220" i="7"/>
  <c r="AA220" i="7" s="1"/>
  <c r="AF220" i="7" s="1"/>
  <c r="AU219" i="7"/>
  <c r="AA219" i="7"/>
  <c r="AF219" i="7" s="1"/>
  <c r="Z219" i="7"/>
  <c r="Y219" i="7"/>
  <c r="AC219" i="7" s="1"/>
  <c r="AU218" i="7"/>
  <c r="Z218" i="7"/>
  <c r="Y218" i="7"/>
  <c r="AU217" i="7"/>
  <c r="Z217" i="7"/>
  <c r="Y217" i="7"/>
  <c r="AC217" i="7" s="1"/>
  <c r="AU216" i="7"/>
  <c r="Z216" i="7"/>
  <c r="AA216" i="7" s="1"/>
  <c r="AF216" i="7" s="1"/>
  <c r="Y216" i="7"/>
  <c r="AU215" i="7"/>
  <c r="Z215" i="7"/>
  <c r="Y215" i="7"/>
  <c r="AU214" i="7"/>
  <c r="Z214" i="7"/>
  <c r="Y214" i="7"/>
  <c r="AU213" i="7"/>
  <c r="Z213" i="7"/>
  <c r="Y213" i="7"/>
  <c r="AC213" i="7" s="1"/>
  <c r="AU212" i="7"/>
  <c r="Z212" i="7"/>
  <c r="AA212" i="7" s="1"/>
  <c r="AF212" i="7" s="1"/>
  <c r="Y212" i="7"/>
  <c r="AC212" i="7" s="1"/>
  <c r="AU211" i="7"/>
  <c r="Z211" i="7"/>
  <c r="AA211" i="7" s="1"/>
  <c r="AF211" i="7" s="1"/>
  <c r="Y211" i="7"/>
  <c r="AC211" i="7" s="1"/>
  <c r="AU210" i="7"/>
  <c r="Z210" i="7"/>
  <c r="AA210" i="7" s="1"/>
  <c r="AF210" i="7" s="1"/>
  <c r="Y210" i="7"/>
  <c r="AC210" i="7" s="1"/>
  <c r="AU209" i="7"/>
  <c r="Z209" i="7"/>
  <c r="Y209" i="7"/>
  <c r="AC209" i="7" s="1"/>
  <c r="AU208" i="7"/>
  <c r="Z208" i="7"/>
  <c r="AA208" i="7" s="1"/>
  <c r="AF208" i="7" s="1"/>
  <c r="Y208" i="7"/>
  <c r="AC208" i="7" s="1"/>
  <c r="AU207" i="7"/>
  <c r="Z207" i="7"/>
  <c r="AA207" i="7" s="1"/>
  <c r="AF207" i="7" s="1"/>
  <c r="Y207" i="7"/>
  <c r="AC207" i="7" s="1"/>
  <c r="AU206" i="7"/>
  <c r="Z206" i="7"/>
  <c r="AA206" i="7" s="1"/>
  <c r="AF206" i="7" s="1"/>
  <c r="Y206" i="7"/>
  <c r="AC206" i="7" s="1"/>
  <c r="AU205" i="7"/>
  <c r="Z205" i="7"/>
  <c r="AA205" i="7" s="1"/>
  <c r="AE205" i="7" s="1"/>
  <c r="AF205" i="7" s="1"/>
  <c r="Y205" i="7"/>
  <c r="AC205" i="7" s="1"/>
  <c r="AU204" i="7"/>
  <c r="Z204" i="7"/>
  <c r="Y204" i="7"/>
  <c r="AC204" i="7" s="1"/>
  <c r="AU203" i="7"/>
  <c r="Z203" i="7"/>
  <c r="AA203" i="7" s="1"/>
  <c r="AE203" i="7" s="1"/>
  <c r="AF203" i="7" s="1"/>
  <c r="Y203" i="7"/>
  <c r="AC203" i="7" s="1"/>
  <c r="AU202" i="7"/>
  <c r="Z202" i="7"/>
  <c r="Y202" i="7"/>
  <c r="AC202" i="7" s="1"/>
  <c r="AU201" i="7"/>
  <c r="Z201" i="7"/>
  <c r="Y201" i="7"/>
  <c r="AU200" i="7"/>
  <c r="AA200" i="7"/>
  <c r="AE200" i="7" s="1"/>
  <c r="AF200" i="7" s="1"/>
  <c r="Z200" i="7"/>
  <c r="Y200" i="7"/>
  <c r="AC200" i="7" s="1"/>
  <c r="AU199" i="7"/>
  <c r="Z199" i="7"/>
  <c r="AA199" i="7" s="1"/>
  <c r="AE199" i="7" s="1"/>
  <c r="AF199" i="7" s="1"/>
  <c r="Y199" i="7"/>
  <c r="AC199" i="7" s="1"/>
  <c r="AU198" i="7"/>
  <c r="Z198" i="7"/>
  <c r="AA198" i="7" s="1"/>
  <c r="AE198" i="7" s="1"/>
  <c r="AF198" i="7" s="1"/>
  <c r="Y198" i="7"/>
  <c r="AC198" i="7" s="1"/>
  <c r="AU197" i="7"/>
  <c r="Z197" i="7"/>
  <c r="AA197" i="7" s="1"/>
  <c r="AE197" i="7" s="1"/>
  <c r="AF197" i="7" s="1"/>
  <c r="Y197" i="7"/>
  <c r="AC197" i="7" s="1"/>
  <c r="AU196" i="7"/>
  <c r="Z196" i="7"/>
  <c r="Y196" i="7"/>
  <c r="AA196" i="7" s="1"/>
  <c r="AE196" i="7" s="1"/>
  <c r="AF196" i="7" s="1"/>
  <c r="AU195" i="7"/>
  <c r="Z195" i="7"/>
  <c r="AA195" i="7" s="1"/>
  <c r="AE195" i="7" s="1"/>
  <c r="AF195" i="7" s="1"/>
  <c r="Y195" i="7"/>
  <c r="AC195" i="7" s="1"/>
  <c r="AU194" i="7"/>
  <c r="Z194" i="7"/>
  <c r="AA194" i="7" s="1"/>
  <c r="AE194" i="7" s="1"/>
  <c r="AF194" i="7" s="1"/>
  <c r="Y194" i="7"/>
  <c r="AC194" i="7" s="1"/>
  <c r="AU193" i="7"/>
  <c r="Z193" i="7"/>
  <c r="Y193" i="7"/>
  <c r="AC193" i="7" s="1"/>
  <c r="AU192" i="7"/>
  <c r="AA192" i="7"/>
  <c r="AE192" i="7" s="1"/>
  <c r="AF192" i="7" s="1"/>
  <c r="Z192" i="7"/>
  <c r="Y192" i="7"/>
  <c r="AC192" i="7" s="1"/>
  <c r="AU191" i="7"/>
  <c r="Z191" i="7"/>
  <c r="AA191" i="7" s="1"/>
  <c r="AE191" i="7" s="1"/>
  <c r="AF191" i="7" s="1"/>
  <c r="Y191" i="7"/>
  <c r="AC191" i="7" s="1"/>
  <c r="AU190" i="7"/>
  <c r="AF190" i="7"/>
  <c r="Z190" i="7"/>
  <c r="AA190" i="7" s="1"/>
  <c r="AE190" i="7" s="1"/>
  <c r="Y190" i="7"/>
  <c r="AC190" i="7" s="1"/>
  <c r="AU189" i="7"/>
  <c r="Z189" i="7"/>
  <c r="Y189" i="7"/>
  <c r="AC189" i="7" s="1"/>
  <c r="AU188" i="7"/>
  <c r="Z188" i="7"/>
  <c r="Y188" i="7"/>
  <c r="AC188" i="7" s="1"/>
  <c r="AU187" i="7"/>
  <c r="Z187" i="7"/>
  <c r="Y187" i="7"/>
  <c r="AC187" i="7" s="1"/>
  <c r="AU186" i="7"/>
  <c r="Z186" i="7"/>
  <c r="Y186" i="7"/>
  <c r="AC186" i="7" s="1"/>
  <c r="AU185" i="7"/>
  <c r="Z185" i="7"/>
  <c r="Y185" i="7"/>
  <c r="AC185" i="7" s="1"/>
  <c r="AU184" i="7"/>
  <c r="Z184" i="7"/>
  <c r="AA184" i="7" s="1"/>
  <c r="AE184" i="7" s="1"/>
  <c r="AF184" i="7" s="1"/>
  <c r="Y184" i="7"/>
  <c r="AC184" i="7" s="1"/>
  <c r="AU183" i="7"/>
  <c r="Z183" i="7"/>
  <c r="AA183" i="7" s="1"/>
  <c r="AE183" i="7" s="1"/>
  <c r="AF183" i="7" s="1"/>
  <c r="Y183" i="7"/>
  <c r="AC183" i="7" s="1"/>
  <c r="AU182" i="7"/>
  <c r="Z182" i="7"/>
  <c r="AA182" i="7" s="1"/>
  <c r="AF182" i="7" s="1"/>
  <c r="Y182" i="7"/>
  <c r="AC182" i="7" s="1"/>
  <c r="AU181" i="7"/>
  <c r="Z181" i="7"/>
  <c r="AA181" i="7" s="1"/>
  <c r="AF181" i="7" s="1"/>
  <c r="Y181" i="7"/>
  <c r="AC181" i="7" s="1"/>
  <c r="AU180" i="7"/>
  <c r="Z180" i="7"/>
  <c r="AA180" i="7" s="1"/>
  <c r="AF180" i="7" s="1"/>
  <c r="Y180" i="7"/>
  <c r="AC180" i="7" s="1"/>
  <c r="AU179" i="7"/>
  <c r="Z179" i="7"/>
  <c r="AA179" i="7" s="1"/>
  <c r="AF179" i="7" s="1"/>
  <c r="Y179" i="7"/>
  <c r="AC179" i="7" s="1"/>
  <c r="AU178" i="7"/>
  <c r="Z178" i="7"/>
  <c r="Y178" i="7"/>
  <c r="AC178" i="7" s="1"/>
  <c r="AU177" i="7"/>
  <c r="Z177" i="7"/>
  <c r="AA177" i="7" s="1"/>
  <c r="AF177" i="7" s="1"/>
  <c r="Y177" i="7"/>
  <c r="AC177" i="7" s="1"/>
  <c r="AU176" i="7"/>
  <c r="Z176" i="7"/>
  <c r="AA176" i="7" s="1"/>
  <c r="AF176" i="7" s="1"/>
  <c r="Y176" i="7"/>
  <c r="AC176" i="7" s="1"/>
  <c r="AU175" i="7"/>
  <c r="Z175" i="7"/>
  <c r="AA175" i="7" s="1"/>
  <c r="AF175" i="7" s="1"/>
  <c r="Y175" i="7"/>
  <c r="AC175" i="7" s="1"/>
  <c r="AU174" i="7"/>
  <c r="Z174" i="7"/>
  <c r="Y174" i="7"/>
  <c r="AC174" i="7" s="1"/>
  <c r="AU173" i="7"/>
  <c r="Z173" i="7"/>
  <c r="AA173" i="7" s="1"/>
  <c r="AF173" i="7" s="1"/>
  <c r="Y173" i="7"/>
  <c r="AC173" i="7" s="1"/>
  <c r="AU172" i="7"/>
  <c r="Z172" i="7"/>
  <c r="Y172" i="7"/>
  <c r="AC172" i="7" s="1"/>
  <c r="AU171" i="7"/>
  <c r="Z171" i="7"/>
  <c r="AA171" i="7" s="1"/>
  <c r="AF171" i="7" s="1"/>
  <c r="Y171" i="7"/>
  <c r="AC171" i="7" s="1"/>
  <c r="AU170" i="7"/>
  <c r="AC170" i="7"/>
  <c r="Z170" i="7"/>
  <c r="Y170" i="7"/>
  <c r="AU169" i="7"/>
  <c r="AA169" i="7"/>
  <c r="AF169" i="7" s="1"/>
  <c r="Z169" i="7"/>
  <c r="Y169" i="7"/>
  <c r="AC169" i="7" s="1"/>
  <c r="AU168" i="7"/>
  <c r="Z168" i="7"/>
  <c r="Y168" i="7"/>
  <c r="AU167" i="7"/>
  <c r="Z167" i="7"/>
  <c r="AA167" i="7" s="1"/>
  <c r="AF167" i="7" s="1"/>
  <c r="Y167" i="7"/>
  <c r="AC167" i="7" s="1"/>
  <c r="AU166" i="7"/>
  <c r="AC166" i="7"/>
  <c r="Z166" i="7"/>
  <c r="Y166" i="7"/>
  <c r="AU165" i="7"/>
  <c r="AA165" i="7"/>
  <c r="AF165" i="7" s="1"/>
  <c r="Z165" i="7"/>
  <c r="Y165" i="7"/>
  <c r="AC165" i="7" s="1"/>
  <c r="AU164" i="7"/>
  <c r="Z164" i="7"/>
  <c r="Y164" i="7"/>
  <c r="AC164" i="7" s="1"/>
  <c r="AU163" i="7"/>
  <c r="Z163" i="7"/>
  <c r="Y163" i="7"/>
  <c r="AC163" i="7" s="1"/>
  <c r="AU162" i="7"/>
  <c r="Z162" i="7"/>
  <c r="Y162" i="7"/>
  <c r="AA162" i="7" s="1"/>
  <c r="AF162" i="7" s="1"/>
  <c r="AU161" i="7"/>
  <c r="Z161" i="7"/>
  <c r="AA161" i="7" s="1"/>
  <c r="AF161" i="7" s="1"/>
  <c r="Y161" i="7"/>
  <c r="AC161" i="7" s="1"/>
  <c r="AU160" i="7"/>
  <c r="Z160" i="7"/>
  <c r="Y160" i="7"/>
  <c r="AC160" i="7" s="1"/>
  <c r="AU159" i="7"/>
  <c r="Z159" i="7"/>
  <c r="AA159" i="7" s="1"/>
  <c r="AF159" i="7" s="1"/>
  <c r="Y159" i="7"/>
  <c r="AC159" i="7" s="1"/>
  <c r="AU158" i="7"/>
  <c r="AC158" i="7"/>
  <c r="Z158" i="7"/>
  <c r="Y158" i="7"/>
  <c r="AA158" i="7" s="1"/>
  <c r="AF158" i="7" s="1"/>
  <c r="AU157" i="7"/>
  <c r="AA157" i="7"/>
  <c r="AF157" i="7" s="1"/>
  <c r="Z157" i="7"/>
  <c r="Y157" i="7"/>
  <c r="AC157" i="7" s="1"/>
  <c r="AU156" i="7"/>
  <c r="Z156" i="7"/>
  <c r="Y156" i="7"/>
  <c r="AC156" i="7" s="1"/>
  <c r="AU155" i="7"/>
  <c r="Z155" i="7"/>
  <c r="Y155" i="7"/>
  <c r="AC155" i="7" s="1"/>
  <c r="AU154" i="7"/>
  <c r="Z154" i="7"/>
  <c r="Y154" i="7"/>
  <c r="AC154" i="7" s="1"/>
  <c r="AU153" i="7"/>
  <c r="Z153" i="7"/>
  <c r="AA153" i="7" s="1"/>
  <c r="AF153" i="7" s="1"/>
  <c r="Y153" i="7"/>
  <c r="AC153" i="7" s="1"/>
  <c r="AU152" i="7"/>
  <c r="Z152" i="7"/>
  <c r="Y152" i="7"/>
  <c r="AC152" i="7" s="1"/>
  <c r="AU151" i="7"/>
  <c r="AA151" i="7"/>
  <c r="AF151" i="7" s="1"/>
  <c r="Y151" i="7"/>
  <c r="AC151" i="7" s="1"/>
  <c r="AU150" i="7"/>
  <c r="AC150" i="7"/>
  <c r="AA150" i="7"/>
  <c r="AF150" i="7" s="1"/>
  <c r="Z150" i="7"/>
  <c r="Y150" i="7"/>
  <c r="AU149" i="7"/>
  <c r="Z149" i="7"/>
  <c r="AA149" i="7" s="1"/>
  <c r="AF149" i="7" s="1"/>
  <c r="Y149" i="7"/>
  <c r="AC149" i="7" s="1"/>
  <c r="AU148" i="7"/>
  <c r="Z148" i="7"/>
  <c r="Y148" i="7"/>
  <c r="AC148" i="7" s="1"/>
  <c r="AU147" i="7"/>
  <c r="Z147" i="7"/>
  <c r="Y147" i="7"/>
  <c r="AC147" i="7" s="1"/>
  <c r="AU146" i="7"/>
  <c r="Z146" i="7"/>
  <c r="AA146" i="7" s="1"/>
  <c r="AF146" i="7" s="1"/>
  <c r="Y146" i="7"/>
  <c r="AC146" i="7" s="1"/>
  <c r="AU145" i="7"/>
  <c r="Z145" i="7"/>
  <c r="AA145" i="7" s="1"/>
  <c r="AF145" i="7" s="1"/>
  <c r="Y145" i="7"/>
  <c r="AC145" i="7" s="1"/>
  <c r="AU144" i="7"/>
  <c r="Z144" i="7"/>
  <c r="Y144" i="7"/>
  <c r="AC144" i="7" s="1"/>
  <c r="AU143" i="7"/>
  <c r="Z143" i="7"/>
  <c r="AA143" i="7" s="1"/>
  <c r="AF143" i="7" s="1"/>
  <c r="Y143" i="7"/>
  <c r="AC143" i="7" s="1"/>
  <c r="AU142" i="7"/>
  <c r="AC142" i="7"/>
  <c r="Z142" i="7"/>
  <c r="AA142" i="7" s="1"/>
  <c r="AF142" i="7" s="1"/>
  <c r="Y142" i="7"/>
  <c r="AU141" i="7"/>
  <c r="Z141" i="7"/>
  <c r="AA141" i="7" s="1"/>
  <c r="AF141" i="7" s="1"/>
  <c r="Y141" i="7"/>
  <c r="AC141" i="7" s="1"/>
  <c r="AU140" i="7"/>
  <c r="Z140" i="7"/>
  <c r="Y140" i="7"/>
  <c r="AC140" i="7" s="1"/>
  <c r="AU139" i="7"/>
  <c r="Z139" i="7"/>
  <c r="Y139" i="7"/>
  <c r="AC139" i="7" s="1"/>
  <c r="AU138" i="7"/>
  <c r="AA138" i="7"/>
  <c r="AF138" i="7" s="1"/>
  <c r="Z138" i="7"/>
  <c r="Y138" i="7"/>
  <c r="AC138" i="7" s="1"/>
  <c r="AU137" i="7"/>
  <c r="Z137" i="7"/>
  <c r="Y137" i="7"/>
  <c r="AC137" i="7" s="1"/>
  <c r="AU136" i="7"/>
  <c r="Z136" i="7"/>
  <c r="Y136" i="7"/>
  <c r="AC136" i="7" s="1"/>
  <c r="AU135" i="7"/>
  <c r="Z135" i="7"/>
  <c r="Y135" i="7"/>
  <c r="AC135" i="7" s="1"/>
  <c r="AU134" i="7"/>
  <c r="Z134" i="7"/>
  <c r="Y134" i="7"/>
  <c r="AC134" i="7" s="1"/>
  <c r="AU133" i="7"/>
  <c r="Z133" i="7"/>
  <c r="Y133" i="7"/>
  <c r="AC133" i="7" s="1"/>
  <c r="AU132" i="7"/>
  <c r="Z132" i="7"/>
  <c r="Y132" i="7"/>
  <c r="AC132" i="7" s="1"/>
  <c r="AU131" i="7"/>
  <c r="Y131" i="7"/>
  <c r="AC131" i="7" s="1"/>
  <c r="AU130" i="7"/>
  <c r="Z130" i="7"/>
  <c r="AA130" i="7" s="1"/>
  <c r="AF130" i="7" s="1"/>
  <c r="Y130" i="7"/>
  <c r="AC130" i="7" s="1"/>
  <c r="AU129" i="7"/>
  <c r="Z129" i="7"/>
  <c r="AA129" i="7" s="1"/>
  <c r="AU128" i="7"/>
  <c r="AC128" i="7"/>
  <c r="Z128" i="7"/>
  <c r="AA128" i="7" s="1"/>
  <c r="AF128" i="7" s="1"/>
  <c r="Y128" i="7"/>
  <c r="AU127" i="7"/>
  <c r="Z127" i="7"/>
  <c r="AA127" i="7" s="1"/>
  <c r="AF127" i="7" s="1"/>
  <c r="Y127" i="7"/>
  <c r="AC127" i="7" s="1"/>
  <c r="AU126" i="7"/>
  <c r="Z126" i="7"/>
  <c r="Y126" i="7"/>
  <c r="AC126" i="7" s="1"/>
  <c r="AU125" i="7"/>
  <c r="Z125" i="7"/>
  <c r="Y125" i="7"/>
  <c r="AU124" i="7"/>
  <c r="Z124" i="7"/>
  <c r="AA124" i="7" s="1"/>
  <c r="AF124" i="7" s="1"/>
  <c r="Y124" i="7"/>
  <c r="AC124" i="7" s="1"/>
  <c r="Z123" i="7"/>
  <c r="AA123" i="7" s="1"/>
  <c r="AU122" i="7"/>
  <c r="Z122" i="7"/>
  <c r="AA122" i="7" s="1"/>
  <c r="AU121" i="7"/>
  <c r="Z121" i="7"/>
  <c r="AA121" i="7" s="1"/>
  <c r="AF121" i="7" s="1"/>
  <c r="Y121" i="7"/>
  <c r="AC121" i="7" s="1"/>
  <c r="AU120" i="7"/>
  <c r="AA120" i="7"/>
  <c r="Z120" i="7"/>
  <c r="AU119" i="7"/>
  <c r="Z119" i="7"/>
  <c r="AA119" i="7" s="1"/>
  <c r="AF119" i="7" s="1"/>
  <c r="Y119" i="7"/>
  <c r="AC119" i="7" s="1"/>
  <c r="AU118" i="7"/>
  <c r="Z118" i="7"/>
  <c r="Y118" i="7"/>
  <c r="AU117" i="7"/>
  <c r="Z117" i="7"/>
  <c r="Y117" i="7"/>
  <c r="AC117" i="7" s="1"/>
  <c r="AU116" i="7"/>
  <c r="Z116" i="7"/>
  <c r="Y116" i="7"/>
  <c r="AC116" i="7" s="1"/>
  <c r="AU115" i="7"/>
  <c r="Z115" i="7"/>
  <c r="Y115" i="7"/>
  <c r="AC115" i="7" s="1"/>
  <c r="Z114" i="7"/>
  <c r="Y114" i="7"/>
  <c r="AC114" i="7" s="1"/>
  <c r="AF113" i="7"/>
  <c r="Z113" i="7"/>
  <c r="AA113" i="7" s="1"/>
  <c r="Y113" i="7"/>
  <c r="AC113" i="7" s="1"/>
  <c r="AC112" i="7"/>
  <c r="Z112" i="7"/>
  <c r="AA112" i="7" s="1"/>
  <c r="AF112" i="7" s="1"/>
  <c r="Y112" i="7"/>
  <c r="Z111" i="7"/>
  <c r="Y111" i="7"/>
  <c r="AC111" i="7" s="1"/>
  <c r="AC110" i="7"/>
  <c r="Z110" i="7"/>
  <c r="AA110" i="7" s="1"/>
  <c r="AF110" i="7" s="1"/>
  <c r="Y110" i="7"/>
  <c r="Z109" i="7"/>
  <c r="Y109" i="7"/>
  <c r="AC109" i="7" s="1"/>
  <c r="AC108" i="7"/>
  <c r="Y108" i="7"/>
  <c r="AA108" i="7" s="1"/>
  <c r="AF108" i="7" s="1"/>
  <c r="Z107" i="7"/>
  <c r="Y107" i="7"/>
  <c r="AC107" i="7" s="1"/>
  <c r="AU106" i="7"/>
  <c r="Z106" i="7"/>
  <c r="Y106" i="7"/>
  <c r="AC106" i="7" s="1"/>
  <c r="AU105" i="7"/>
  <c r="Z105" i="7"/>
  <c r="Y105" i="7"/>
  <c r="AC105" i="7" s="1"/>
  <c r="AU104" i="7"/>
  <c r="Z104" i="7"/>
  <c r="Y104" i="7"/>
  <c r="AC104" i="7" s="1"/>
  <c r="AU103" i="7"/>
  <c r="Z103" i="7"/>
  <c r="Y103" i="7"/>
  <c r="AC103" i="7" s="1"/>
  <c r="AU102" i="7"/>
  <c r="Z102" i="7"/>
  <c r="Y102" i="7"/>
  <c r="AC102" i="7" s="1"/>
  <c r="AU101" i="7"/>
  <c r="AC101" i="7"/>
  <c r="AA101" i="7"/>
  <c r="AF101" i="7" s="1"/>
  <c r="Z101" i="7"/>
  <c r="Y101" i="7"/>
  <c r="AU100" i="7"/>
  <c r="Z100" i="7"/>
  <c r="AA100" i="7" s="1"/>
  <c r="AF100" i="7" s="1"/>
  <c r="Y100" i="7"/>
  <c r="AC100" i="7" s="1"/>
  <c r="AU99" i="7"/>
  <c r="Z99" i="7"/>
  <c r="Y99" i="7"/>
  <c r="AC99" i="7" s="1"/>
  <c r="AU98" i="7"/>
  <c r="Z98" i="7"/>
  <c r="Y98" i="7"/>
  <c r="AC98" i="7" s="1"/>
  <c r="AU97" i="7"/>
  <c r="Z97" i="7"/>
  <c r="AA97" i="7" s="1"/>
  <c r="AF97" i="7" s="1"/>
  <c r="Y97" i="7"/>
  <c r="AC97" i="7" s="1"/>
  <c r="AU96" i="7"/>
  <c r="Z96" i="7"/>
  <c r="Y96" i="7"/>
  <c r="AC96" i="7" s="1"/>
  <c r="AU95" i="7"/>
  <c r="Z95" i="7"/>
  <c r="Y95" i="7"/>
  <c r="AC95" i="7" s="1"/>
  <c r="AU94" i="7"/>
  <c r="Z94" i="7"/>
  <c r="Y94" i="7"/>
  <c r="AC94" i="7" s="1"/>
  <c r="AU93" i="7"/>
  <c r="AC93" i="7"/>
  <c r="AA93" i="7"/>
  <c r="AF93" i="7" s="1"/>
  <c r="Z93" i="7"/>
  <c r="Y93" i="7"/>
  <c r="AU92" i="7"/>
  <c r="Z92" i="7"/>
  <c r="AA92" i="7" s="1"/>
  <c r="AF92" i="7" s="1"/>
  <c r="Y92" i="7"/>
  <c r="AC92" i="7" s="1"/>
  <c r="AU91" i="7"/>
  <c r="Z91" i="7"/>
  <c r="Y91" i="7"/>
  <c r="AC91" i="7" s="1"/>
  <c r="AU90" i="7"/>
  <c r="Z90" i="7"/>
  <c r="Y90" i="7"/>
  <c r="AC90" i="7" s="1"/>
  <c r="AU89" i="7"/>
  <c r="Z89" i="7"/>
  <c r="AA89" i="7" s="1"/>
  <c r="AF89" i="7" s="1"/>
  <c r="Y89" i="7"/>
  <c r="AC89" i="7" s="1"/>
  <c r="AU88" i="7"/>
  <c r="Z88" i="7"/>
  <c r="Y88" i="7"/>
  <c r="AC88" i="7" s="1"/>
  <c r="AU87" i="7"/>
  <c r="Z87" i="7"/>
  <c r="Y87" i="7"/>
  <c r="AC87" i="7" s="1"/>
  <c r="AU86" i="7"/>
  <c r="Z86" i="7"/>
  <c r="Y86" i="7"/>
  <c r="AC86" i="7" s="1"/>
  <c r="AU85" i="7"/>
  <c r="AC85" i="7"/>
  <c r="AA85" i="7"/>
  <c r="AF85" i="7" s="1"/>
  <c r="Z85" i="7"/>
  <c r="Y85" i="7"/>
  <c r="AU84" i="7"/>
  <c r="Z84" i="7"/>
  <c r="AA84" i="7" s="1"/>
  <c r="AF84" i="7" s="1"/>
  <c r="Y84" i="7"/>
  <c r="AC84" i="7" s="1"/>
  <c r="AU83" i="7"/>
  <c r="Z83" i="7"/>
  <c r="Y83" i="7"/>
  <c r="AC83" i="7" s="1"/>
  <c r="AU82" i="7"/>
  <c r="Z82" i="7"/>
  <c r="Y82" i="7"/>
  <c r="AC82" i="7" s="1"/>
  <c r="AU81" i="7"/>
  <c r="Z81" i="7"/>
  <c r="Y81" i="7"/>
  <c r="AA81" i="7" s="1"/>
  <c r="AF81" i="7" s="1"/>
  <c r="AU80" i="7"/>
  <c r="Z80" i="7"/>
  <c r="Y80" i="7"/>
  <c r="AU79" i="7"/>
  <c r="Z79" i="7"/>
  <c r="Y79" i="7"/>
  <c r="AA79" i="7" s="1"/>
  <c r="AF79" i="7" s="1"/>
  <c r="AU78" i="7"/>
  <c r="Z78" i="7"/>
  <c r="AA78" i="7" s="1"/>
  <c r="AF78" i="7" s="1"/>
  <c r="Y78" i="7"/>
  <c r="AU77" i="7"/>
  <c r="Z77" i="7"/>
  <c r="AA77" i="7" s="1"/>
  <c r="AF77" i="7" s="1"/>
  <c r="Y77" i="7"/>
  <c r="AU76" i="7"/>
  <c r="AA76" i="7"/>
  <c r="AF76" i="7" s="1"/>
  <c r="Z76" i="7"/>
  <c r="Y76" i="7"/>
  <c r="AU75" i="7"/>
  <c r="Z75" i="7"/>
  <c r="AA75" i="7" s="1"/>
  <c r="AF75" i="7" s="1"/>
  <c r="Y75" i="7"/>
  <c r="AU74" i="7"/>
  <c r="Z74" i="7"/>
  <c r="Y74" i="7"/>
  <c r="AA74" i="7" s="1"/>
  <c r="AF74" i="7" s="1"/>
  <c r="AU73" i="7"/>
  <c r="Z73" i="7"/>
  <c r="AA73" i="7" s="1"/>
  <c r="AF73" i="7" s="1"/>
  <c r="Y73" i="7"/>
  <c r="AU72" i="7"/>
  <c r="Z72" i="7"/>
  <c r="Y72" i="7"/>
  <c r="AA72" i="7" s="1"/>
  <c r="AF72" i="7" s="1"/>
  <c r="AU71" i="7"/>
  <c r="Z71" i="7"/>
  <c r="AA71" i="7" s="1"/>
  <c r="AF71" i="7" s="1"/>
  <c r="Y71" i="7"/>
  <c r="AC71" i="7" s="1"/>
  <c r="AU70" i="7"/>
  <c r="AC70" i="7"/>
  <c r="Z70" i="7"/>
  <c r="Y70" i="7"/>
  <c r="AA70" i="7" s="1"/>
  <c r="AF70" i="7" s="1"/>
  <c r="AU69" i="7"/>
  <c r="Z69" i="7"/>
  <c r="AA69" i="7" s="1"/>
  <c r="AF69" i="7" s="1"/>
  <c r="Y69" i="7"/>
  <c r="AC69" i="7" s="1"/>
  <c r="AU68" i="7"/>
  <c r="Z68" i="7"/>
  <c r="Y68" i="7"/>
  <c r="AC68" i="7" s="1"/>
  <c r="AU67" i="7"/>
  <c r="Z67" i="7"/>
  <c r="Y67" i="7"/>
  <c r="AC67" i="7" s="1"/>
  <c r="AU66" i="7"/>
  <c r="AC66" i="7"/>
  <c r="AA66" i="7"/>
  <c r="AF66" i="7" s="1"/>
  <c r="Z66" i="7"/>
  <c r="Y66" i="7"/>
  <c r="AU65" i="7"/>
  <c r="Z65" i="7"/>
  <c r="Y65" i="7"/>
  <c r="AU64" i="7"/>
  <c r="Z64" i="7"/>
  <c r="Y64" i="7"/>
  <c r="AA64" i="7" s="1"/>
  <c r="AF64" i="7" s="1"/>
  <c r="AU63" i="7"/>
  <c r="Z63" i="7"/>
  <c r="Y63" i="7"/>
  <c r="AA63" i="7" s="1"/>
  <c r="AF63" i="7" s="1"/>
  <c r="AU62" i="7"/>
  <c r="Z62" i="7"/>
  <c r="Y62" i="7"/>
  <c r="AU61" i="7"/>
  <c r="Z61" i="7"/>
  <c r="Y61" i="7"/>
  <c r="AA61" i="7" s="1"/>
  <c r="AF61" i="7" s="1"/>
  <c r="AU60" i="7"/>
  <c r="Z60" i="7"/>
  <c r="AA60" i="7" s="1"/>
  <c r="AF60" i="7" s="1"/>
  <c r="Y60" i="7"/>
  <c r="AU59" i="7"/>
  <c r="Z59" i="7"/>
  <c r="AA59" i="7" s="1"/>
  <c r="AF59" i="7" s="1"/>
  <c r="Y59" i="7"/>
  <c r="AU58" i="7"/>
  <c r="Z58" i="7"/>
  <c r="Y58" i="7"/>
  <c r="AC58" i="7" s="1"/>
  <c r="AU57" i="7"/>
  <c r="Z57" i="7"/>
  <c r="AA57" i="7" s="1"/>
  <c r="AF57" i="7" s="1"/>
  <c r="Y57" i="7"/>
  <c r="AC57" i="7" s="1"/>
  <c r="AU56" i="7"/>
  <c r="Z56" i="7"/>
  <c r="Y56" i="7"/>
  <c r="AC56" i="7" s="1"/>
  <c r="AU55" i="7"/>
  <c r="Z55" i="7"/>
  <c r="AA55" i="7" s="1"/>
  <c r="AF55" i="7" s="1"/>
  <c r="Y55" i="7"/>
  <c r="AC55" i="7" s="1"/>
  <c r="AU54" i="7"/>
  <c r="Z54" i="7"/>
  <c r="AA54" i="7" s="1"/>
  <c r="AF54" i="7" s="1"/>
  <c r="Y54" i="7"/>
  <c r="AC54" i="7" s="1"/>
  <c r="AU53" i="7"/>
  <c r="Z53" i="7"/>
  <c r="AA53" i="7" s="1"/>
  <c r="AF53" i="7" s="1"/>
  <c r="Y53" i="7"/>
  <c r="AC53" i="7" s="1"/>
  <c r="AU52" i="7"/>
  <c r="Z52" i="7"/>
  <c r="AA52" i="7" s="1"/>
  <c r="AF52" i="7" s="1"/>
  <c r="Y52" i="7"/>
  <c r="AC52" i="7" s="1"/>
  <c r="AU51" i="7"/>
  <c r="Z51" i="7"/>
  <c r="Y51" i="7"/>
  <c r="AC51" i="7" s="1"/>
  <c r="AU50" i="7"/>
  <c r="AA50" i="7"/>
  <c r="AF50" i="7" s="1"/>
  <c r="Z50" i="7"/>
  <c r="Y50" i="7"/>
  <c r="AC50" i="7" s="1"/>
  <c r="AU49" i="7"/>
  <c r="AC49" i="7"/>
  <c r="AA49" i="7"/>
  <c r="AF49" i="7" s="1"/>
  <c r="Z49" i="7"/>
  <c r="Y49" i="7"/>
  <c r="AU48" i="7"/>
  <c r="Z48" i="7"/>
  <c r="AA48" i="7" s="1"/>
  <c r="AF48" i="7" s="1"/>
  <c r="Y48" i="7"/>
  <c r="AC48" i="7" s="1"/>
  <c r="AU47" i="7"/>
  <c r="Z47" i="7"/>
  <c r="Y47" i="7"/>
  <c r="AC47" i="7" s="1"/>
  <c r="AU46" i="7"/>
  <c r="AC46" i="7"/>
  <c r="AA46" i="7"/>
  <c r="AF46" i="7" s="1"/>
  <c r="Z46" i="7"/>
  <c r="Y46" i="7"/>
  <c r="AU45" i="7"/>
  <c r="Z45" i="7"/>
  <c r="Y45" i="7"/>
  <c r="AC45" i="7" s="1"/>
  <c r="AU44" i="7"/>
  <c r="Z44" i="7"/>
  <c r="AA44" i="7" s="1"/>
  <c r="AF44" i="7" s="1"/>
  <c r="Y44" i="7"/>
  <c r="AC44" i="7" s="1"/>
  <c r="AU43" i="7"/>
  <c r="Z43" i="7"/>
  <c r="AA43" i="7" s="1"/>
  <c r="AF43" i="7" s="1"/>
  <c r="Y43" i="7"/>
  <c r="AC43" i="7" s="1"/>
  <c r="AU42" i="7"/>
  <c r="AC42" i="7"/>
  <c r="Z42" i="7"/>
  <c r="Y42" i="7"/>
  <c r="AA42" i="7" s="1"/>
  <c r="AF42" i="7" s="1"/>
  <c r="AU41" i="7"/>
  <c r="Z41" i="7"/>
  <c r="AA41" i="7" s="1"/>
  <c r="AF41" i="7" s="1"/>
  <c r="Y41" i="7"/>
  <c r="AC41" i="7" s="1"/>
  <c r="AU40" i="7"/>
  <c r="Z40" i="7"/>
  <c r="Y40" i="7"/>
  <c r="AC40" i="7" s="1"/>
  <c r="AU39" i="7"/>
  <c r="Z39" i="7"/>
  <c r="AA39" i="7" s="1"/>
  <c r="AF39" i="7" s="1"/>
  <c r="Y39" i="7"/>
  <c r="AU38" i="7"/>
  <c r="AA38" i="7"/>
  <c r="AF38" i="7" s="1"/>
  <c r="Z38" i="7"/>
  <c r="Y38" i="7"/>
  <c r="AU37" i="7"/>
  <c r="Z37" i="7"/>
  <c r="Y37" i="7"/>
  <c r="AU36" i="7"/>
  <c r="Z36" i="7"/>
  <c r="Y36" i="7"/>
  <c r="AU35" i="7"/>
  <c r="Z35" i="7"/>
  <c r="AA35" i="7" s="1"/>
  <c r="AF35" i="7" s="1"/>
  <c r="Y35" i="7"/>
  <c r="AC35" i="7" s="1"/>
  <c r="AU34" i="7"/>
  <c r="Z34" i="7"/>
  <c r="AA34" i="7" s="1"/>
  <c r="AF34" i="7" s="1"/>
  <c r="Y34" i="7"/>
  <c r="AC34" i="7" s="1"/>
  <c r="AU33" i="7"/>
  <c r="Z33" i="7"/>
  <c r="Y33" i="7"/>
  <c r="AC33" i="7" s="1"/>
  <c r="AU32" i="7"/>
  <c r="Z32" i="7"/>
  <c r="Y32" i="7"/>
  <c r="AA32" i="7" s="1"/>
  <c r="AF32" i="7" s="1"/>
  <c r="AU31" i="7"/>
  <c r="Z31" i="7"/>
  <c r="AA31" i="7" s="1"/>
  <c r="AF31" i="7" s="1"/>
  <c r="Y31" i="7"/>
  <c r="AC31" i="7" s="1"/>
  <c r="AU30" i="7"/>
  <c r="Z30" i="7"/>
  <c r="Y30" i="7"/>
  <c r="AC30" i="7" s="1"/>
  <c r="AU29" i="7"/>
  <c r="Z29" i="7"/>
  <c r="AA29" i="7" s="1"/>
  <c r="AF29" i="7" s="1"/>
  <c r="Y29" i="7"/>
  <c r="AC29" i="7" s="1"/>
  <c r="AU28" i="7"/>
  <c r="Z28" i="7"/>
  <c r="AA28" i="7" s="1"/>
  <c r="AF28" i="7" s="1"/>
  <c r="Y28" i="7"/>
  <c r="AU27" i="7"/>
  <c r="Z27" i="7"/>
  <c r="Y27" i="7"/>
  <c r="AU26" i="7"/>
  <c r="Z26" i="7"/>
  <c r="AA26" i="7" s="1"/>
  <c r="AF26" i="7" s="1"/>
  <c r="Y26" i="7"/>
  <c r="AU25" i="7"/>
  <c r="AA25" i="7"/>
  <c r="AF25" i="7" s="1"/>
  <c r="Z25" i="7"/>
  <c r="Y25" i="7"/>
  <c r="AU24" i="7"/>
  <c r="Z24" i="7"/>
  <c r="Y24" i="7"/>
  <c r="AU23" i="7"/>
  <c r="Z23" i="7"/>
  <c r="Y23" i="7"/>
  <c r="AU22" i="7"/>
  <c r="Z22" i="7"/>
  <c r="AA22" i="7" s="1"/>
  <c r="AF22" i="7" s="1"/>
  <c r="Y22" i="7"/>
  <c r="AC22" i="7" s="1"/>
  <c r="AU21" i="7"/>
  <c r="Z21" i="7"/>
  <c r="AA21" i="7" s="1"/>
  <c r="AF21" i="7" s="1"/>
  <c r="Y21" i="7"/>
  <c r="AC21" i="7" s="1"/>
  <c r="AU20" i="7"/>
  <c r="Z20" i="7"/>
  <c r="AA20" i="7" s="1"/>
  <c r="AF20" i="7" s="1"/>
  <c r="Y20" i="7"/>
  <c r="AC20" i="7" s="1"/>
  <c r="AU19" i="7"/>
  <c r="Z19" i="7"/>
  <c r="Y19" i="7"/>
  <c r="AC19" i="7" s="1"/>
  <c r="AU18" i="7"/>
  <c r="Z18" i="7"/>
  <c r="AA18" i="7" s="1"/>
  <c r="AF18" i="7" s="1"/>
  <c r="Y18" i="7"/>
  <c r="AC18" i="7" s="1"/>
  <c r="AU17" i="7"/>
  <c r="Z17" i="7"/>
  <c r="AA17" i="7" s="1"/>
  <c r="AF17" i="7" s="1"/>
  <c r="Y17" i="7"/>
  <c r="AC17" i="7" s="1"/>
  <c r="AU16" i="7"/>
  <c r="Z16" i="7"/>
  <c r="Y16" i="7"/>
  <c r="AC16" i="7" s="1"/>
  <c r="AU15" i="7"/>
  <c r="Z15" i="7"/>
  <c r="Y15" i="7"/>
  <c r="AA15" i="7" s="1"/>
  <c r="AF15" i="7" s="1"/>
  <c r="AU14" i="7"/>
  <c r="Z14" i="7"/>
  <c r="AA14" i="7" s="1"/>
  <c r="AF14" i="7" s="1"/>
  <c r="Y14" i="7"/>
  <c r="AC14" i="7" s="1"/>
  <c r="AU13" i="7"/>
  <c r="Z13" i="7"/>
  <c r="Y13" i="7"/>
  <c r="AC13" i="7" s="1"/>
  <c r="AU12" i="7"/>
  <c r="Z12" i="7"/>
  <c r="Y12" i="7"/>
  <c r="AC12" i="7" s="1"/>
  <c r="AU11" i="7"/>
  <c r="AC11" i="7"/>
  <c r="Z11" i="7"/>
  <c r="AA11" i="7" s="1"/>
  <c r="AF11" i="7" s="1"/>
  <c r="Y11" i="7"/>
  <c r="AU10" i="7"/>
  <c r="AC10" i="7"/>
  <c r="Z10" i="7"/>
  <c r="AA10" i="7" s="1"/>
  <c r="AF10" i="7" s="1"/>
  <c r="Y10" i="7"/>
  <c r="AU9" i="7"/>
  <c r="Z9" i="7"/>
  <c r="AA9" i="7" s="1"/>
  <c r="AF9" i="7" s="1"/>
  <c r="Y9" i="7"/>
  <c r="AC9" i="7" s="1"/>
  <c r="AU8" i="7"/>
  <c r="Z8" i="7"/>
  <c r="AA8" i="7" s="1"/>
  <c r="AF8" i="7" s="1"/>
  <c r="Y8" i="7"/>
  <c r="AC8" i="7" s="1"/>
  <c r="AU7" i="7"/>
  <c r="AC7" i="7"/>
  <c r="Z7" i="7"/>
  <c r="Y7" i="7"/>
  <c r="AU6" i="7"/>
  <c r="AC6" i="7"/>
  <c r="AA6" i="7"/>
  <c r="AF6" i="7" s="1"/>
  <c r="Z6" i="7"/>
  <c r="Y6" i="7"/>
  <c r="AU5" i="7"/>
  <c r="Z5" i="7"/>
  <c r="AA5" i="7" s="1"/>
  <c r="AF5" i="7" s="1"/>
  <c r="Y5" i="7"/>
  <c r="AC5" i="7" s="1"/>
  <c r="AU4" i="7"/>
  <c r="Z4" i="7"/>
  <c r="Y4" i="7"/>
  <c r="AC4" i="7" s="1"/>
  <c r="AU3" i="7"/>
  <c r="Z3" i="7"/>
  <c r="Y3" i="7"/>
  <c r="AA3" i="7" s="1"/>
  <c r="AF3" i="7" s="1"/>
  <c r="AU489" i="6"/>
  <c r="Z489" i="6"/>
  <c r="AA489" i="6" s="1"/>
  <c r="AF489" i="6" s="1"/>
  <c r="Y489" i="6"/>
  <c r="AC489" i="6" s="1"/>
  <c r="AU488" i="6"/>
  <c r="Z488" i="6"/>
  <c r="Y488" i="6"/>
  <c r="AC488" i="6" s="1"/>
  <c r="AF487" i="6"/>
  <c r="Y487" i="6"/>
  <c r="AA487" i="6" s="1"/>
  <c r="Y486" i="6"/>
  <c r="AA486" i="6" s="1"/>
  <c r="AF486" i="6" s="1"/>
  <c r="AA485" i="6"/>
  <c r="AF485" i="6" s="1"/>
  <c r="Y485" i="6"/>
  <c r="Y484" i="6"/>
  <c r="AA484" i="6" s="1"/>
  <c r="AF484" i="6" s="1"/>
  <c r="AA483" i="6"/>
  <c r="AF483" i="6" s="1"/>
  <c r="Y483" i="6"/>
  <c r="AA482" i="6"/>
  <c r="AF482" i="6" s="1"/>
  <c r="Y482" i="6"/>
  <c r="AA481" i="6"/>
  <c r="AF481" i="6" s="1"/>
  <c r="Y481" i="6"/>
  <c r="AA480" i="6"/>
  <c r="AF480" i="6" s="1"/>
  <c r="Z480" i="6"/>
  <c r="Y480" i="6"/>
  <c r="AC480" i="6" s="1"/>
  <c r="AF479" i="6"/>
  <c r="AC479" i="6"/>
  <c r="Z479" i="6"/>
  <c r="AA479" i="6" s="1"/>
  <c r="Y479" i="6"/>
  <c r="AC478" i="6"/>
  <c r="Z478" i="6"/>
  <c r="Y478" i="6"/>
  <c r="Z477" i="6"/>
  <c r="Y477" i="6"/>
  <c r="AC477" i="6" s="1"/>
  <c r="AC476" i="6"/>
  <c r="AA476" i="6"/>
  <c r="AF476" i="6" s="1"/>
  <c r="Z476" i="6"/>
  <c r="Y476" i="6"/>
  <c r="Z475" i="6"/>
  <c r="Y475" i="6"/>
  <c r="Z474" i="6"/>
  <c r="Y474" i="6"/>
  <c r="Z473" i="6"/>
  <c r="AA473" i="6" s="1"/>
  <c r="AF473" i="6" s="1"/>
  <c r="Y473" i="6"/>
  <c r="AC473" i="6" s="1"/>
  <c r="Z472" i="6"/>
  <c r="AA472" i="6" s="1"/>
  <c r="AF472" i="6" s="1"/>
  <c r="Y472" i="6"/>
  <c r="AE471" i="6"/>
  <c r="AF471" i="6" s="1"/>
  <c r="AC471" i="6"/>
  <c r="AA471" i="6"/>
  <c r="Z471" i="6"/>
  <c r="Y471" i="6"/>
  <c r="AF470" i="6"/>
  <c r="AE470" i="6"/>
  <c r="Z470" i="6"/>
  <c r="AA470" i="6" s="1"/>
  <c r="Y470" i="6"/>
  <c r="AC470" i="6" s="1"/>
  <c r="AA468" i="6"/>
  <c r="AF468" i="6" s="1"/>
  <c r="Z468" i="6"/>
  <c r="Y468" i="6"/>
  <c r="AC468" i="6" s="1"/>
  <c r="AF467" i="6"/>
  <c r="AA467" i="6"/>
  <c r="Z467" i="6"/>
  <c r="Y467" i="6"/>
  <c r="AU466" i="6"/>
  <c r="Z466" i="6"/>
  <c r="Y466" i="6"/>
  <c r="AC466" i="6" s="1"/>
  <c r="Z465" i="6"/>
  <c r="Y465" i="6"/>
  <c r="AA465" i="6" s="1"/>
  <c r="AF465" i="6" s="1"/>
  <c r="Z464" i="6"/>
  <c r="AA464" i="6" s="1"/>
  <c r="AF464" i="6" s="1"/>
  <c r="Y464" i="6"/>
  <c r="Z463" i="6"/>
  <c r="Y463" i="6"/>
  <c r="AC463" i="6" s="1"/>
  <c r="AU462" i="6"/>
  <c r="AF462" i="6"/>
  <c r="AA462" i="6"/>
  <c r="Z462" i="6"/>
  <c r="Y462" i="6"/>
  <c r="AU461" i="6"/>
  <c r="Z461" i="6"/>
  <c r="Y461" i="6"/>
  <c r="AA461" i="6" s="1"/>
  <c r="AF461" i="6" s="1"/>
  <c r="AU460" i="6"/>
  <c r="Z460" i="6"/>
  <c r="Y460" i="6"/>
  <c r="AA460" i="6" s="1"/>
  <c r="AF460" i="6" s="1"/>
  <c r="Z459" i="6"/>
  <c r="AA459" i="6" s="1"/>
  <c r="AF459" i="6" s="1"/>
  <c r="Y459" i="6"/>
  <c r="AC459" i="6" s="1"/>
  <c r="AA458" i="6"/>
  <c r="AF458" i="6" s="1"/>
  <c r="Z458" i="6"/>
  <c r="Y458" i="6"/>
  <c r="AC458" i="6" s="1"/>
  <c r="AF455" i="6"/>
  <c r="AC455" i="6"/>
  <c r="AA455" i="6"/>
  <c r="Z455" i="6"/>
  <c r="Y455" i="6"/>
  <c r="Z454" i="6"/>
  <c r="Y454" i="6"/>
  <c r="AC454" i="6" s="1"/>
  <c r="Z453" i="6"/>
  <c r="AA453" i="6" s="1"/>
  <c r="AF453" i="6" s="1"/>
  <c r="Y453" i="6"/>
  <c r="AC453" i="6" s="1"/>
  <c r="AC452" i="6"/>
  <c r="AA452" i="6"/>
  <c r="AF452" i="6" s="1"/>
  <c r="Z452" i="6"/>
  <c r="Y452" i="6"/>
  <c r="Z451" i="6"/>
  <c r="AA451" i="6" s="1"/>
  <c r="AF451" i="6" s="1"/>
  <c r="Y451" i="6"/>
  <c r="AU450" i="6"/>
  <c r="Z450" i="6"/>
  <c r="Y450" i="6"/>
  <c r="AC450" i="6" s="1"/>
  <c r="Z449" i="6"/>
  <c r="Y449" i="6"/>
  <c r="Z448" i="6"/>
  <c r="Y448" i="6"/>
  <c r="AA448" i="6" s="1"/>
  <c r="AF448" i="6" s="1"/>
  <c r="Z447" i="6"/>
  <c r="AA447" i="6" s="1"/>
  <c r="AF447" i="6" s="1"/>
  <c r="Y447" i="6"/>
  <c r="AC447" i="6" s="1"/>
  <c r="AU446" i="6"/>
  <c r="AA446" i="6"/>
  <c r="AF446" i="6" s="1"/>
  <c r="Z446" i="6"/>
  <c r="Y446" i="6"/>
  <c r="AU445" i="6"/>
  <c r="AF445" i="6"/>
  <c r="AA445" i="6"/>
  <c r="Z445" i="6"/>
  <c r="Y445" i="6"/>
  <c r="AU444" i="6"/>
  <c r="AF444" i="6"/>
  <c r="Z444" i="6"/>
  <c r="AA444" i="6" s="1"/>
  <c r="Y444" i="6"/>
  <c r="AU443" i="6"/>
  <c r="Z443" i="6"/>
  <c r="AA443" i="6" s="1"/>
  <c r="AF443" i="6" s="1"/>
  <c r="Y443" i="6"/>
  <c r="AC442" i="6"/>
  <c r="AA442" i="6"/>
  <c r="AF442" i="6" s="1"/>
  <c r="Z442" i="6"/>
  <c r="Y442" i="6"/>
  <c r="AA439" i="6"/>
  <c r="AF439" i="6" s="1"/>
  <c r="Z439" i="6"/>
  <c r="Y439" i="6"/>
  <c r="AC439" i="6" s="1"/>
  <c r="Z438" i="6"/>
  <c r="AA438" i="6" s="1"/>
  <c r="AF438" i="6" s="1"/>
  <c r="Y438" i="6"/>
  <c r="AC438" i="6" s="1"/>
  <c r="Z437" i="6"/>
  <c r="Y437" i="6"/>
  <c r="AU436" i="6"/>
  <c r="Z436" i="6"/>
  <c r="AA436" i="6" s="1"/>
  <c r="AF436" i="6" s="1"/>
  <c r="Y436" i="6"/>
  <c r="AC436" i="6" s="1"/>
  <c r="AU435" i="6"/>
  <c r="Z435" i="6"/>
  <c r="Y435" i="6"/>
  <c r="AC435" i="6" s="1"/>
  <c r="Z434" i="6"/>
  <c r="Y434" i="6"/>
  <c r="Z433" i="6"/>
  <c r="AA433" i="6" s="1"/>
  <c r="AF433" i="6" s="1"/>
  <c r="Y433" i="6"/>
  <c r="Z432" i="6"/>
  <c r="AA432" i="6" s="1"/>
  <c r="AF432" i="6" s="1"/>
  <c r="Y432" i="6"/>
  <c r="AC432" i="6" s="1"/>
  <c r="AU431" i="6"/>
  <c r="Z431" i="6"/>
  <c r="AA431" i="6" s="1"/>
  <c r="AF431" i="6" s="1"/>
  <c r="Y431" i="6"/>
  <c r="AU430" i="6"/>
  <c r="AF430" i="6"/>
  <c r="AA430" i="6"/>
  <c r="Z430" i="6"/>
  <c r="Y430" i="6"/>
  <c r="AU429" i="6"/>
  <c r="AF429" i="6"/>
  <c r="Z429" i="6"/>
  <c r="AA429" i="6" s="1"/>
  <c r="Y429" i="6"/>
  <c r="Z428" i="6"/>
  <c r="Y428" i="6"/>
  <c r="AC428" i="6" s="1"/>
  <c r="AC427" i="6"/>
  <c r="AA427" i="6"/>
  <c r="AF427" i="6" s="1"/>
  <c r="Z427" i="6"/>
  <c r="Y427" i="6"/>
  <c r="Z426" i="6"/>
  <c r="Y426" i="6"/>
  <c r="Z425" i="6"/>
  <c r="Y425" i="6"/>
  <c r="AA422" i="6"/>
  <c r="Z422" i="6"/>
  <c r="Y422" i="6"/>
  <c r="AU421" i="6"/>
  <c r="Z421" i="6"/>
  <c r="Y421" i="6"/>
  <c r="AC421" i="6" s="1"/>
  <c r="AC420" i="6"/>
  <c r="AA420" i="6"/>
  <c r="AF420" i="6" s="1"/>
  <c r="Z420" i="6"/>
  <c r="Y420" i="6"/>
  <c r="Z419" i="6"/>
  <c r="Y419" i="6"/>
  <c r="AU418" i="6"/>
  <c r="Z418" i="6"/>
  <c r="Y418" i="6"/>
  <c r="AC418" i="6" s="1"/>
  <c r="AU417" i="6"/>
  <c r="AF417" i="6"/>
  <c r="AC417" i="6"/>
  <c r="AA417" i="6"/>
  <c r="Z417" i="6"/>
  <c r="Y417" i="6"/>
  <c r="AU416" i="6"/>
  <c r="AF416" i="6"/>
  <c r="AA416" i="6"/>
  <c r="Z416" i="6"/>
  <c r="Y416" i="6"/>
  <c r="AC416" i="6" s="1"/>
  <c r="Z415" i="6"/>
  <c r="AA415" i="6" s="1"/>
  <c r="AF415" i="6" s="1"/>
  <c r="Y415" i="6"/>
  <c r="Y414" i="6"/>
  <c r="AA414" i="6" s="1"/>
  <c r="AF414" i="6" s="1"/>
  <c r="Z413" i="6"/>
  <c r="Y413" i="6"/>
  <c r="AA413" i="6" s="1"/>
  <c r="AF413" i="6" s="1"/>
  <c r="Z412" i="6"/>
  <c r="Y412" i="6"/>
  <c r="Z411" i="6"/>
  <c r="AA411" i="6" s="1"/>
  <c r="AF411" i="6" s="1"/>
  <c r="Y411" i="6"/>
  <c r="AC411" i="6" s="1"/>
  <c r="AU410" i="6"/>
  <c r="AF410" i="6"/>
  <c r="AA410" i="6"/>
  <c r="Z410" i="6"/>
  <c r="Y410" i="6"/>
  <c r="AU409" i="6"/>
  <c r="AF409" i="6"/>
  <c r="Z409" i="6"/>
  <c r="Y409" i="6"/>
  <c r="AA409" i="6" s="1"/>
  <c r="AU408" i="6"/>
  <c r="Z408" i="6"/>
  <c r="Y408" i="6"/>
  <c r="AA408" i="6" s="1"/>
  <c r="AF408" i="6" s="1"/>
  <c r="AF407" i="6"/>
  <c r="AA407" i="6"/>
  <c r="Z407" i="6"/>
  <c r="Y407" i="6"/>
  <c r="AC407" i="6" s="1"/>
  <c r="AA406" i="6"/>
  <c r="AF406" i="6" s="1"/>
  <c r="Z406" i="6"/>
  <c r="Y406" i="6"/>
  <c r="AC406" i="6" s="1"/>
  <c r="Z403" i="6"/>
  <c r="AA403" i="6" s="1"/>
  <c r="Y403" i="6"/>
  <c r="Z402" i="6"/>
  <c r="AA402" i="6" s="1"/>
  <c r="AF402" i="6" s="1"/>
  <c r="Y402" i="6"/>
  <c r="AC402" i="6" s="1"/>
  <c r="AU401" i="6"/>
  <c r="Z401" i="6"/>
  <c r="Y401" i="6"/>
  <c r="Z400" i="6"/>
  <c r="Y400" i="6"/>
  <c r="Z399" i="6"/>
  <c r="AA399" i="6" s="1"/>
  <c r="AF399" i="6" s="1"/>
  <c r="Y399" i="6"/>
  <c r="AC399" i="6" s="1"/>
  <c r="AU398" i="6"/>
  <c r="AF398" i="6"/>
  <c r="AC398" i="6"/>
  <c r="AA398" i="6"/>
  <c r="Z398" i="6"/>
  <c r="Y398" i="6"/>
  <c r="AU397" i="6"/>
  <c r="Z397" i="6"/>
  <c r="AA397" i="6" s="1"/>
  <c r="AF397" i="6" s="1"/>
  <c r="Y397" i="6"/>
  <c r="AC397" i="6" s="1"/>
  <c r="AU396" i="6"/>
  <c r="Z396" i="6"/>
  <c r="Y396" i="6"/>
  <c r="AC396" i="6" s="1"/>
  <c r="AU395" i="6"/>
  <c r="Z395" i="6"/>
  <c r="Y395" i="6"/>
  <c r="AC395" i="6" s="1"/>
  <c r="AU394" i="6"/>
  <c r="AF394" i="6"/>
  <c r="AC394" i="6"/>
  <c r="AA394" i="6"/>
  <c r="Z394" i="6"/>
  <c r="Y394" i="6"/>
  <c r="AU393" i="6"/>
  <c r="AA393" i="6"/>
  <c r="AF393" i="6" s="1"/>
  <c r="Z393" i="6"/>
  <c r="Y393" i="6"/>
  <c r="AC393" i="6" s="1"/>
  <c r="Y392" i="6"/>
  <c r="AA392" i="6" s="1"/>
  <c r="AF392" i="6" s="1"/>
  <c r="Z391" i="6"/>
  <c r="Y391" i="6"/>
  <c r="Z390" i="6"/>
  <c r="Y390" i="6"/>
  <c r="AA390" i="6" s="1"/>
  <c r="AF390" i="6" s="1"/>
  <c r="Z389" i="6"/>
  <c r="AA389" i="6" s="1"/>
  <c r="AF389" i="6" s="1"/>
  <c r="Y389" i="6"/>
  <c r="AC389" i="6" s="1"/>
  <c r="AU388" i="6"/>
  <c r="Z388" i="6"/>
  <c r="AA388" i="6" s="1"/>
  <c r="AF388" i="6" s="1"/>
  <c r="Y388" i="6"/>
  <c r="AU387" i="6"/>
  <c r="AF387" i="6"/>
  <c r="AA387" i="6"/>
  <c r="Z387" i="6"/>
  <c r="Y387" i="6"/>
  <c r="AU386" i="6"/>
  <c r="AF386" i="6"/>
  <c r="Z386" i="6"/>
  <c r="AA386" i="6" s="1"/>
  <c r="Y386" i="6"/>
  <c r="AU385" i="6"/>
  <c r="Z385" i="6"/>
  <c r="AA385" i="6" s="1"/>
  <c r="AF385" i="6" s="1"/>
  <c r="Y385" i="6"/>
  <c r="AU384" i="6"/>
  <c r="AA384" i="6"/>
  <c r="AF384" i="6" s="1"/>
  <c r="Z384" i="6"/>
  <c r="Y384" i="6"/>
  <c r="AC383" i="6"/>
  <c r="Z383" i="6"/>
  <c r="AA383" i="6" s="1"/>
  <c r="AE383" i="6" s="1"/>
  <c r="AF383" i="6" s="1"/>
  <c r="Y383" i="6"/>
  <c r="AF382" i="6"/>
  <c r="AA382" i="6"/>
  <c r="Y382" i="6"/>
  <c r="Z381" i="6"/>
  <c r="Y381" i="6"/>
  <c r="AA381" i="6" s="1"/>
  <c r="AF381" i="6" s="1"/>
  <c r="Z380" i="6"/>
  <c r="Y380" i="6"/>
  <c r="Z379" i="6"/>
  <c r="Y379" i="6"/>
  <c r="Z378" i="6"/>
  <c r="AA378" i="6" s="1"/>
  <c r="AF378" i="6" s="1"/>
  <c r="Y378" i="6"/>
  <c r="AC378" i="6" s="1"/>
  <c r="AC377" i="6"/>
  <c r="AA377" i="6"/>
  <c r="AF377" i="6" s="1"/>
  <c r="Z377" i="6"/>
  <c r="Y377" i="6"/>
  <c r="Z376" i="6"/>
  <c r="AA376" i="6" s="1"/>
  <c r="AE376" i="6" s="1"/>
  <c r="AF376" i="6" s="1"/>
  <c r="Y376" i="6"/>
  <c r="AC376" i="6" s="1"/>
  <c r="Z375" i="6"/>
  <c r="AA375" i="6" s="1"/>
  <c r="AE375" i="6" s="1"/>
  <c r="AF375" i="6" s="1"/>
  <c r="Y375" i="6"/>
  <c r="AC375" i="6" s="1"/>
  <c r="Z374" i="6"/>
  <c r="Y374" i="6"/>
  <c r="AF373" i="6"/>
  <c r="AC373" i="6"/>
  <c r="AA373" i="6"/>
  <c r="AE373" i="6" s="1"/>
  <c r="Z373" i="6"/>
  <c r="Y373" i="6"/>
  <c r="Z372" i="6"/>
  <c r="AA372" i="6" s="1"/>
  <c r="AE372" i="6" s="1"/>
  <c r="AF372" i="6" s="1"/>
  <c r="Y372" i="6"/>
  <c r="AC372" i="6" s="1"/>
  <c r="Z371" i="6"/>
  <c r="AA371" i="6" s="1"/>
  <c r="AE371" i="6" s="1"/>
  <c r="AF371" i="6" s="1"/>
  <c r="Y371" i="6"/>
  <c r="AC371" i="6" s="1"/>
  <c r="Z370" i="6"/>
  <c r="Y370" i="6"/>
  <c r="AF369" i="6"/>
  <c r="AC369" i="6"/>
  <c r="AA369" i="6"/>
  <c r="AE369" i="6" s="1"/>
  <c r="Z369" i="6"/>
  <c r="Y369" i="6"/>
  <c r="Z368" i="6"/>
  <c r="AA368" i="6" s="1"/>
  <c r="AE368" i="6" s="1"/>
  <c r="AF368" i="6" s="1"/>
  <c r="Y368" i="6"/>
  <c r="AC368" i="6" s="1"/>
  <c r="Z367" i="6"/>
  <c r="Y367" i="6"/>
  <c r="AC367" i="6" s="1"/>
  <c r="AC366" i="6"/>
  <c r="AA366" i="6"/>
  <c r="AF366" i="6" s="1"/>
  <c r="Z366" i="6"/>
  <c r="Y366" i="6"/>
  <c r="Z363" i="6"/>
  <c r="AA363" i="6" s="1"/>
  <c r="Y363" i="6"/>
  <c r="AC362" i="6"/>
  <c r="AA362" i="6"/>
  <c r="AF362" i="6" s="1"/>
  <c r="Z362" i="6"/>
  <c r="Y362" i="6"/>
  <c r="AU361" i="6"/>
  <c r="AA361" i="6"/>
  <c r="AF361" i="6" s="1"/>
  <c r="Z361" i="6"/>
  <c r="Y361" i="6"/>
  <c r="AU360" i="6"/>
  <c r="Z360" i="6"/>
  <c r="Y360" i="6"/>
  <c r="AC360" i="6" s="1"/>
  <c r="AU359" i="6"/>
  <c r="AF359" i="6"/>
  <c r="AC359" i="6"/>
  <c r="AA359" i="6"/>
  <c r="Z359" i="6"/>
  <c r="Y359" i="6"/>
  <c r="AU358" i="6"/>
  <c r="Z358" i="6"/>
  <c r="AA358" i="6" s="1"/>
  <c r="AF358" i="6" s="1"/>
  <c r="Y358" i="6"/>
  <c r="AC358" i="6" s="1"/>
  <c r="AU357" i="6"/>
  <c r="Z357" i="6"/>
  <c r="Y357" i="6"/>
  <c r="AU356" i="6"/>
  <c r="Z356" i="6"/>
  <c r="Y356" i="6"/>
  <c r="AC356" i="6" s="1"/>
  <c r="AU355" i="6"/>
  <c r="AF355" i="6"/>
  <c r="AC355" i="6"/>
  <c r="AA355" i="6"/>
  <c r="Z355" i="6"/>
  <c r="Y355" i="6"/>
  <c r="AU354" i="6"/>
  <c r="AF354" i="6"/>
  <c r="Z354" i="6"/>
  <c r="AA354" i="6" s="1"/>
  <c r="Y354" i="6"/>
  <c r="Z353" i="6"/>
  <c r="Y353" i="6"/>
  <c r="AC353" i="6" s="1"/>
  <c r="AU352" i="6"/>
  <c r="AF352" i="6"/>
  <c r="AC352" i="6"/>
  <c r="AA352" i="6"/>
  <c r="Z352" i="6"/>
  <c r="Y352" i="6"/>
  <c r="AU351" i="6"/>
  <c r="AA351" i="6"/>
  <c r="AF351" i="6" s="1"/>
  <c r="Z351" i="6"/>
  <c r="Y351" i="6"/>
  <c r="AC351" i="6" s="1"/>
  <c r="AU350" i="6"/>
  <c r="Z350" i="6"/>
  <c r="Y350" i="6"/>
  <c r="AF349" i="6"/>
  <c r="AA349" i="6"/>
  <c r="Y349" i="6"/>
  <c r="AA348" i="6"/>
  <c r="AF348" i="6" s="1"/>
  <c r="Z348" i="6"/>
  <c r="Y348" i="6"/>
  <c r="AU347" i="6"/>
  <c r="AF347" i="6"/>
  <c r="Z347" i="6"/>
  <c r="AA347" i="6" s="1"/>
  <c r="Y347" i="6"/>
  <c r="AC347" i="6" s="1"/>
  <c r="Z346" i="6"/>
  <c r="AA346" i="6" s="1"/>
  <c r="AF346" i="6" s="1"/>
  <c r="Y346" i="6"/>
  <c r="Z345" i="6"/>
  <c r="Y345" i="6"/>
  <c r="AA344" i="6"/>
  <c r="AF344" i="6" s="1"/>
  <c r="Z344" i="6"/>
  <c r="Y344" i="6"/>
  <c r="AC344" i="6" s="1"/>
  <c r="AU343" i="6"/>
  <c r="AA343" i="6"/>
  <c r="AF343" i="6" s="1"/>
  <c r="Z343" i="6"/>
  <c r="Y343" i="6"/>
  <c r="Z342" i="6"/>
  <c r="Y342" i="6"/>
  <c r="AC342" i="6" s="1"/>
  <c r="AF341" i="6"/>
  <c r="AA341" i="6"/>
  <c r="Z341" i="6"/>
  <c r="Y341" i="6"/>
  <c r="AC341" i="6" s="1"/>
  <c r="AC340" i="6"/>
  <c r="AA340" i="6"/>
  <c r="AF340" i="6" s="1"/>
  <c r="Z340" i="6"/>
  <c r="Y340" i="6"/>
  <c r="AF339" i="6"/>
  <c r="AA339" i="6"/>
  <c r="Y339" i="6"/>
  <c r="Z338" i="6"/>
  <c r="Y338" i="6"/>
  <c r="Z337" i="6"/>
  <c r="AA337" i="6" s="1"/>
  <c r="Y337" i="6"/>
  <c r="Z336" i="6"/>
  <c r="Y336" i="6"/>
  <c r="AC336" i="6" s="1"/>
  <c r="AC335" i="6"/>
  <c r="AA335" i="6"/>
  <c r="AF335" i="6" s="1"/>
  <c r="Z335" i="6"/>
  <c r="Y335" i="6"/>
  <c r="Z334" i="6"/>
  <c r="Y334" i="6"/>
  <c r="AC334" i="6" s="1"/>
  <c r="AC333" i="6"/>
  <c r="Z333" i="6"/>
  <c r="AA333" i="6" s="1"/>
  <c r="AE333" i="6" s="1"/>
  <c r="AF333" i="6" s="1"/>
  <c r="Y333" i="6"/>
  <c r="Z332" i="6"/>
  <c r="Y332" i="6"/>
  <c r="AC332" i="6" s="1"/>
  <c r="AF331" i="6"/>
  <c r="AC331" i="6"/>
  <c r="AA331" i="6"/>
  <c r="AE331" i="6" s="1"/>
  <c r="Z331" i="6"/>
  <c r="Y331" i="6"/>
  <c r="Z330" i="6"/>
  <c r="AA330" i="6" s="1"/>
  <c r="AE330" i="6" s="1"/>
  <c r="AF330" i="6" s="1"/>
  <c r="Y330" i="6"/>
  <c r="AC330" i="6" s="1"/>
  <c r="AC329" i="6"/>
  <c r="Z329" i="6"/>
  <c r="AA329" i="6" s="1"/>
  <c r="AE329" i="6" s="1"/>
  <c r="AF329" i="6" s="1"/>
  <c r="Y329" i="6"/>
  <c r="Z328" i="6"/>
  <c r="AA328" i="6" s="1"/>
  <c r="AE328" i="6" s="1"/>
  <c r="AF328" i="6" s="1"/>
  <c r="Y328" i="6"/>
  <c r="AC328" i="6" s="1"/>
  <c r="AC327" i="6"/>
  <c r="AA327" i="6"/>
  <c r="AE327" i="6" s="1"/>
  <c r="AF327" i="6" s="1"/>
  <c r="Z327" i="6"/>
  <c r="Y327" i="6"/>
  <c r="AC326" i="6"/>
  <c r="Z326" i="6"/>
  <c r="AA326" i="6" s="1"/>
  <c r="AE326" i="6" s="1"/>
  <c r="AF326" i="6" s="1"/>
  <c r="Y326" i="6"/>
  <c r="AC325" i="6"/>
  <c r="Z325" i="6"/>
  <c r="AA325" i="6" s="1"/>
  <c r="AE325" i="6" s="1"/>
  <c r="AF325" i="6" s="1"/>
  <c r="Y325" i="6"/>
  <c r="AE324" i="6"/>
  <c r="AF324" i="6" s="1"/>
  <c r="Z324" i="6"/>
  <c r="AA324" i="6" s="1"/>
  <c r="Y324" i="6"/>
  <c r="AC324" i="6" s="1"/>
  <c r="AC323" i="6"/>
  <c r="AA323" i="6"/>
  <c r="AE323" i="6" s="1"/>
  <c r="AF323" i="6" s="1"/>
  <c r="Z323" i="6"/>
  <c r="Y323" i="6"/>
  <c r="AC322" i="6"/>
  <c r="Z322" i="6"/>
  <c r="Y322" i="6"/>
  <c r="Z321" i="6"/>
  <c r="AA321" i="6" s="1"/>
  <c r="AF321" i="6" s="1"/>
  <c r="Y321" i="6"/>
  <c r="AC321" i="6" s="1"/>
  <c r="AC320" i="6"/>
  <c r="AA320" i="6"/>
  <c r="AF320" i="6" s="1"/>
  <c r="Z320" i="6"/>
  <c r="Y320" i="6"/>
  <c r="Z319" i="6"/>
  <c r="Y319" i="6"/>
  <c r="AU318" i="6"/>
  <c r="AA318" i="6"/>
  <c r="Z318" i="6"/>
  <c r="Z317" i="6"/>
  <c r="Z316" i="6"/>
  <c r="Y316" i="6"/>
  <c r="AA316" i="6" s="1"/>
  <c r="AF316" i="6" s="1"/>
  <c r="AU315" i="6"/>
  <c r="Z315" i="6"/>
  <c r="Y315" i="6"/>
  <c r="AC315" i="6" s="1"/>
  <c r="AU314" i="6"/>
  <c r="AF314" i="6"/>
  <c r="AC314" i="6"/>
  <c r="AA314" i="6"/>
  <c r="Z314" i="6"/>
  <c r="Y314" i="6"/>
  <c r="AU313" i="6"/>
  <c r="AF313" i="6"/>
  <c r="AC313" i="6"/>
  <c r="AA313" i="6"/>
  <c r="Z313" i="6"/>
  <c r="Y313" i="6"/>
  <c r="AU312" i="6"/>
  <c r="Z312" i="6"/>
  <c r="Y312" i="6"/>
  <c r="AC312" i="6" s="1"/>
  <c r="Z311" i="6"/>
  <c r="Y311" i="6"/>
  <c r="AC311" i="6" s="1"/>
  <c r="AU310" i="6"/>
  <c r="AC310" i="6"/>
  <c r="AA310" i="6"/>
  <c r="AF310" i="6" s="1"/>
  <c r="Z310" i="6"/>
  <c r="Y310" i="6"/>
  <c r="Z309" i="6"/>
  <c r="Y309" i="6"/>
  <c r="AU308" i="6"/>
  <c r="Z308" i="6"/>
  <c r="Y308" i="6"/>
  <c r="AU307" i="6"/>
  <c r="AA307" i="6"/>
  <c r="AF307" i="6" s="1"/>
  <c r="Z307" i="6"/>
  <c r="Y307" i="6"/>
  <c r="AU306" i="6"/>
  <c r="Z306" i="6"/>
  <c r="AA306" i="6" s="1"/>
  <c r="AF306" i="6" s="1"/>
  <c r="Y306" i="6"/>
  <c r="AU305" i="6"/>
  <c r="Z305" i="6"/>
  <c r="Y305" i="6"/>
  <c r="AC305" i="6" s="1"/>
  <c r="AU304" i="6"/>
  <c r="AC304" i="6"/>
  <c r="AA304" i="6"/>
  <c r="AF304" i="6" s="1"/>
  <c r="Z304" i="6"/>
  <c r="Y304" i="6"/>
  <c r="AU303" i="6"/>
  <c r="AA303" i="6"/>
  <c r="AF303" i="6" s="1"/>
  <c r="Z303" i="6"/>
  <c r="Y303" i="6"/>
  <c r="AU302" i="6"/>
  <c r="Z302" i="6"/>
  <c r="Y302" i="6"/>
  <c r="AA302" i="6" s="1"/>
  <c r="AF302" i="6" s="1"/>
  <c r="AU301" i="6"/>
  <c r="AC301" i="6"/>
  <c r="AA301" i="6"/>
  <c r="AF301" i="6" s="1"/>
  <c r="Z301" i="6"/>
  <c r="Y301" i="6"/>
  <c r="Y300" i="6"/>
  <c r="Y299" i="6"/>
  <c r="AU298" i="6"/>
  <c r="AA298" i="6"/>
  <c r="AF298" i="6" s="1"/>
  <c r="Z298" i="6"/>
  <c r="Y298" i="6"/>
  <c r="AU297" i="6"/>
  <c r="Z297" i="6"/>
  <c r="Y297" i="6"/>
  <c r="AC297" i="6" s="1"/>
  <c r="AF296" i="6"/>
  <c r="AA296" i="6"/>
  <c r="Z296" i="6"/>
  <c r="Y296" i="6"/>
  <c r="Z295" i="6"/>
  <c r="Y295" i="6"/>
  <c r="AA295" i="6" s="1"/>
  <c r="AF295" i="6" s="1"/>
  <c r="AU294" i="6"/>
  <c r="Z294" i="6"/>
  <c r="Y294" i="6"/>
  <c r="AC294" i="6" s="1"/>
  <c r="AC293" i="6"/>
  <c r="AA293" i="6"/>
  <c r="AF293" i="6" s="1"/>
  <c r="Z293" i="6"/>
  <c r="Y293" i="6"/>
  <c r="Z292" i="6"/>
  <c r="Y292" i="6"/>
  <c r="AU291" i="6"/>
  <c r="Z291" i="6"/>
  <c r="Y291" i="6"/>
  <c r="AC291" i="6" s="1"/>
  <c r="AU290" i="6"/>
  <c r="AF290" i="6"/>
  <c r="AC290" i="6"/>
  <c r="AA290" i="6"/>
  <c r="Z290" i="6"/>
  <c r="Y290" i="6"/>
  <c r="Z289" i="6"/>
  <c r="Y289" i="6"/>
  <c r="AA289" i="6" s="1"/>
  <c r="AF289" i="6" s="1"/>
  <c r="AU288" i="6"/>
  <c r="Z288" i="6"/>
  <c r="Y288" i="6"/>
  <c r="AC288" i="6" s="1"/>
  <c r="AU287" i="6"/>
  <c r="AA287" i="6"/>
  <c r="AF287" i="6" s="1"/>
  <c r="Z287" i="6"/>
  <c r="Y287" i="6"/>
  <c r="AU286" i="6"/>
  <c r="AA286" i="6"/>
  <c r="AF286" i="6" s="1"/>
  <c r="Z286" i="6"/>
  <c r="Y286" i="6"/>
  <c r="AU285" i="6"/>
  <c r="Z285" i="6"/>
  <c r="AA285" i="6" s="1"/>
  <c r="AF285" i="6" s="1"/>
  <c r="Y285" i="6"/>
  <c r="AC285" i="6" s="1"/>
  <c r="AA284" i="6"/>
  <c r="AF284" i="6" s="1"/>
  <c r="Z284" i="6"/>
  <c r="Y284" i="6"/>
  <c r="Z283" i="6"/>
  <c r="AA283" i="6" s="1"/>
  <c r="AF283" i="6" s="1"/>
  <c r="Y283" i="6"/>
  <c r="AU282" i="6"/>
  <c r="AF282" i="6"/>
  <c r="AA282" i="6"/>
  <c r="Z282" i="6"/>
  <c r="Y282" i="6"/>
  <c r="AU281" i="6"/>
  <c r="Z281" i="6"/>
  <c r="Y281" i="6"/>
  <c r="AA281" i="6" s="1"/>
  <c r="AF281" i="6" s="1"/>
  <c r="AF280" i="6"/>
  <c r="AA280" i="6"/>
  <c r="Z280" i="6"/>
  <c r="Y280" i="6"/>
  <c r="AA279" i="6"/>
  <c r="Y279" i="6"/>
  <c r="AC278" i="6"/>
  <c r="AA278" i="6"/>
  <c r="AF278" i="6" s="1"/>
  <c r="Z278" i="6"/>
  <c r="Y278" i="6"/>
  <c r="AC277" i="6"/>
  <c r="Z277" i="6"/>
  <c r="AA277" i="6" s="1"/>
  <c r="AE277" i="6" s="1"/>
  <c r="AF277" i="6" s="1"/>
  <c r="Y277" i="6"/>
  <c r="Z276" i="6"/>
  <c r="Y276" i="6"/>
  <c r="AC276" i="6" s="1"/>
  <c r="AU275" i="6"/>
  <c r="AF275" i="6"/>
  <c r="AC275" i="6"/>
  <c r="AA275" i="6"/>
  <c r="Z275" i="6"/>
  <c r="Y275" i="6"/>
  <c r="AC274" i="6"/>
  <c r="Z274" i="6"/>
  <c r="AA274" i="6" s="1"/>
  <c r="AF274" i="6" s="1"/>
  <c r="Y274" i="6"/>
  <c r="Z273" i="6"/>
  <c r="Y273" i="6"/>
  <c r="AC273" i="6" s="1"/>
  <c r="AA272" i="6"/>
  <c r="AF272" i="6" s="1"/>
  <c r="Z272" i="6"/>
  <c r="Y272" i="6"/>
  <c r="Y271" i="6"/>
  <c r="AA271" i="6" s="1"/>
  <c r="AA270" i="6"/>
  <c r="Z270" i="6"/>
  <c r="Y270" i="6"/>
  <c r="AF269" i="6"/>
  <c r="AC269" i="6"/>
  <c r="AA269" i="6"/>
  <c r="Z269" i="6"/>
  <c r="Y269" i="6"/>
  <c r="Z268" i="6"/>
  <c r="Y268" i="6"/>
  <c r="AC268" i="6" s="1"/>
  <c r="Z267" i="6"/>
  <c r="AA267" i="6" s="1"/>
  <c r="AF267" i="6" s="1"/>
  <c r="Y267" i="6"/>
  <c r="AC267" i="6" s="1"/>
  <c r="AE266" i="6"/>
  <c r="AF266" i="6" s="1"/>
  <c r="AC266" i="6"/>
  <c r="AA266" i="6"/>
  <c r="Z266" i="6"/>
  <c r="Y266" i="6"/>
  <c r="AF265" i="6"/>
  <c r="AC265" i="6"/>
  <c r="Z265" i="6"/>
  <c r="AA265" i="6" s="1"/>
  <c r="AE265" i="6" s="1"/>
  <c r="Y265" i="6"/>
  <c r="Z264" i="6"/>
  <c r="Y264" i="6"/>
  <c r="Z263" i="6"/>
  <c r="Y263" i="6"/>
  <c r="AC263" i="6" s="1"/>
  <c r="AE262" i="6"/>
  <c r="AF262" i="6" s="1"/>
  <c r="AC262" i="6"/>
  <c r="AA262" i="6"/>
  <c r="Z262" i="6"/>
  <c r="Y262" i="6"/>
  <c r="AC261" i="6"/>
  <c r="AA261" i="6"/>
  <c r="AE261" i="6" s="1"/>
  <c r="AF261" i="6" s="1"/>
  <c r="Z261" i="6"/>
  <c r="Y261" i="6"/>
  <c r="AC260" i="6"/>
  <c r="AA260" i="6"/>
  <c r="AE260" i="6" s="1"/>
  <c r="AF260" i="6" s="1"/>
  <c r="Z260" i="6"/>
  <c r="Y260" i="6"/>
  <c r="AF259" i="6"/>
  <c r="Z259" i="6"/>
  <c r="AA259" i="6" s="1"/>
  <c r="AE259" i="6" s="1"/>
  <c r="Y259" i="6"/>
  <c r="AC259" i="6" s="1"/>
  <c r="AE258" i="6"/>
  <c r="AF258" i="6" s="1"/>
  <c r="AC258" i="6"/>
  <c r="AA258" i="6"/>
  <c r="Z258" i="6"/>
  <c r="Y258" i="6"/>
  <c r="AF257" i="6"/>
  <c r="AE257" i="6"/>
  <c r="AA257" i="6"/>
  <c r="Z257" i="6"/>
  <c r="Y257" i="6"/>
  <c r="AC257" i="6" s="1"/>
  <c r="AC256" i="6"/>
  <c r="Z256" i="6"/>
  <c r="Y256" i="6"/>
  <c r="AA256" i="6" s="1"/>
  <c r="AE256" i="6" s="1"/>
  <c r="AF256" i="6" s="1"/>
  <c r="AF255" i="6"/>
  <c r="Z255" i="6"/>
  <c r="AA255" i="6" s="1"/>
  <c r="AE255" i="6" s="1"/>
  <c r="Y255" i="6"/>
  <c r="AC255" i="6" s="1"/>
  <c r="AU254" i="6"/>
  <c r="AF254" i="6"/>
  <c r="AC254" i="6"/>
  <c r="AA254" i="6"/>
  <c r="Z254" i="6"/>
  <c r="Y254" i="6"/>
  <c r="AU253" i="6"/>
  <c r="AA253" i="6"/>
  <c r="AF253" i="6" s="1"/>
  <c r="Z253" i="6"/>
  <c r="Y253" i="6"/>
  <c r="AC253" i="6" s="1"/>
  <c r="Z252" i="6"/>
  <c r="AA252" i="6" s="1"/>
  <c r="AF252" i="6" s="1"/>
  <c r="Y252" i="6"/>
  <c r="AC252" i="6" s="1"/>
  <c r="AU251" i="6"/>
  <c r="Z251" i="6"/>
  <c r="Y251" i="6"/>
  <c r="AC251" i="6" s="1"/>
  <c r="AU250" i="6"/>
  <c r="AC250" i="6"/>
  <c r="AA250" i="6"/>
  <c r="AF250" i="6" s="1"/>
  <c r="Z250" i="6"/>
  <c r="Y250" i="6"/>
  <c r="AU249" i="6"/>
  <c r="AC249" i="6"/>
  <c r="Z249" i="6"/>
  <c r="Y249" i="6"/>
  <c r="AU248" i="6"/>
  <c r="AA248" i="6"/>
  <c r="AF248" i="6" s="1"/>
  <c r="Z248" i="6"/>
  <c r="Y248" i="6"/>
  <c r="AC248" i="6" s="1"/>
  <c r="AU247" i="6"/>
  <c r="Z247" i="6"/>
  <c r="Y247" i="6"/>
  <c r="AC247" i="6" s="1"/>
  <c r="AU246" i="6"/>
  <c r="AC246" i="6"/>
  <c r="AA246" i="6"/>
  <c r="AF246" i="6" s="1"/>
  <c r="Z246" i="6"/>
  <c r="Y246" i="6"/>
  <c r="AC245" i="6"/>
  <c r="Z245" i="6"/>
  <c r="Y245" i="6"/>
  <c r="AA245" i="6" s="1"/>
  <c r="AF245" i="6" s="1"/>
  <c r="Z244" i="6"/>
  <c r="Y244" i="6"/>
  <c r="AC244" i="6" s="1"/>
  <c r="Z243" i="6"/>
  <c r="Y243" i="6"/>
  <c r="AC243" i="6" s="1"/>
  <c r="AA242" i="6"/>
  <c r="AF242" i="6" s="1"/>
  <c r="Z242" i="6"/>
  <c r="Y242" i="6"/>
  <c r="AC242" i="6" s="1"/>
  <c r="AF241" i="6"/>
  <c r="AC241" i="6"/>
  <c r="AA241" i="6"/>
  <c r="Z241" i="6"/>
  <c r="Y241" i="6"/>
  <c r="Z240" i="6"/>
  <c r="Y240" i="6"/>
  <c r="AC240" i="6" s="1"/>
  <c r="Z239" i="6"/>
  <c r="Y239" i="6"/>
  <c r="AC239" i="6" s="1"/>
  <c r="AU238" i="6"/>
  <c r="AC238" i="6"/>
  <c r="Z238" i="6"/>
  <c r="AA238" i="6" s="1"/>
  <c r="AF238" i="6" s="1"/>
  <c r="Y238" i="6"/>
  <c r="AU237" i="6"/>
  <c r="AC237" i="6"/>
  <c r="AA237" i="6"/>
  <c r="AF237" i="6" s="1"/>
  <c r="Z237" i="6"/>
  <c r="Y237" i="6"/>
  <c r="Z236" i="6"/>
  <c r="Y236" i="6"/>
  <c r="AC236" i="6" s="1"/>
  <c r="Z235" i="6"/>
  <c r="Y235" i="6"/>
  <c r="AC235" i="6" s="1"/>
  <c r="Z234" i="6"/>
  <c r="AA234" i="6" s="1"/>
  <c r="AF234" i="6" s="1"/>
  <c r="Y234" i="6"/>
  <c r="Z233" i="6"/>
  <c r="AA233" i="6" s="1"/>
  <c r="AF233" i="6" s="1"/>
  <c r="Y233" i="6"/>
  <c r="AC233" i="6" s="1"/>
  <c r="AC232" i="6"/>
  <c r="AA232" i="6"/>
  <c r="AF232" i="6" s="1"/>
  <c r="Z232" i="6"/>
  <c r="Y232" i="6"/>
  <c r="Z231" i="6"/>
  <c r="Y231" i="6"/>
  <c r="AC231" i="6" s="1"/>
  <c r="AU230" i="6"/>
  <c r="Z230" i="6"/>
  <c r="Y230" i="6"/>
  <c r="Z229" i="6"/>
  <c r="AA229" i="6" s="1"/>
  <c r="AF229" i="6" s="1"/>
  <c r="Y229" i="6"/>
  <c r="AU228" i="6"/>
  <c r="Z228" i="6"/>
  <c r="AA228" i="6" s="1"/>
  <c r="AF228" i="6" s="1"/>
  <c r="Y228" i="6"/>
  <c r="AC227" i="6"/>
  <c r="AA227" i="6"/>
  <c r="AF227" i="6" s="1"/>
  <c r="Z227" i="6"/>
  <c r="Y227" i="6"/>
  <c r="AU226" i="6"/>
  <c r="Y226" i="6"/>
  <c r="AA226" i="6" s="1"/>
  <c r="AF226" i="6" s="1"/>
  <c r="AU225" i="6"/>
  <c r="Z225" i="6"/>
  <c r="AA225" i="6" s="1"/>
  <c r="AF225" i="6" s="1"/>
  <c r="Y225" i="6"/>
  <c r="AC225" i="6" s="1"/>
  <c r="AU224" i="6"/>
  <c r="AC224" i="6"/>
  <c r="AA224" i="6"/>
  <c r="AF224" i="6" s="1"/>
  <c r="Z224" i="6"/>
  <c r="Y224" i="6"/>
  <c r="AU223" i="6"/>
  <c r="AF223" i="6"/>
  <c r="Z223" i="6"/>
  <c r="AA223" i="6" s="1"/>
  <c r="Y223" i="6"/>
  <c r="AU222" i="6"/>
  <c r="Z222" i="6"/>
  <c r="Y222" i="6"/>
  <c r="AU221" i="6"/>
  <c r="Z221" i="6"/>
  <c r="AA221" i="6" s="1"/>
  <c r="AF221" i="6" s="1"/>
  <c r="Y221" i="6"/>
  <c r="Y220" i="6"/>
  <c r="Y219" i="6"/>
  <c r="Y218" i="6"/>
  <c r="AU217" i="6"/>
  <c r="Z217" i="6"/>
  <c r="AA217" i="6" s="1"/>
  <c r="AF217" i="6" s="1"/>
  <c r="Y217" i="6"/>
  <c r="AU216" i="6"/>
  <c r="Z216" i="6"/>
  <c r="Y216" i="6"/>
  <c r="AC216" i="6" s="1"/>
  <c r="AU215" i="6"/>
  <c r="AC215" i="6"/>
  <c r="AA215" i="6"/>
  <c r="AF215" i="6" s="1"/>
  <c r="Z215" i="6"/>
  <c r="Y215" i="6"/>
  <c r="AU214" i="6"/>
  <c r="AC214" i="6"/>
  <c r="Z214" i="6"/>
  <c r="Y214" i="6"/>
  <c r="AA214" i="6" s="1"/>
  <c r="AF214" i="6" s="1"/>
  <c r="AA213" i="6"/>
  <c r="Z213" i="6"/>
  <c r="Y213" i="6"/>
  <c r="AA212" i="6"/>
  <c r="AF212" i="6" s="1"/>
  <c r="Z212" i="6"/>
  <c r="Y212" i="6"/>
  <c r="Z211" i="6"/>
  <c r="AA211" i="6" s="1"/>
  <c r="Y211" i="6"/>
  <c r="AU210" i="6"/>
  <c r="AC210" i="6"/>
  <c r="Z210" i="6"/>
  <c r="AA210" i="6" s="1"/>
  <c r="AF210" i="6" s="1"/>
  <c r="Y210" i="6"/>
  <c r="AU209" i="6"/>
  <c r="AA209" i="6"/>
  <c r="AF209" i="6" s="1"/>
  <c r="Z209" i="6"/>
  <c r="Y209" i="6"/>
  <c r="AC209" i="6" s="1"/>
  <c r="AU208" i="6"/>
  <c r="AC208" i="6"/>
  <c r="Z208" i="6"/>
  <c r="Y208" i="6"/>
  <c r="AA208" i="6" s="1"/>
  <c r="AF208" i="6" s="1"/>
  <c r="AF207" i="6"/>
  <c r="Z207" i="6"/>
  <c r="AA207" i="6" s="1"/>
  <c r="Y207" i="6"/>
  <c r="AC207" i="6" s="1"/>
  <c r="Z206" i="6"/>
  <c r="AA206" i="6" s="1"/>
  <c r="AF206" i="6" s="1"/>
  <c r="Y206" i="6"/>
  <c r="AC206" i="6" s="1"/>
  <c r="Z205" i="6"/>
  <c r="AA205" i="6" s="1"/>
  <c r="AF205" i="6" s="1"/>
  <c r="Y205" i="6"/>
  <c r="AU204" i="6"/>
  <c r="AA204" i="6"/>
  <c r="AF204" i="6" s="1"/>
  <c r="Z204" i="6"/>
  <c r="Y204" i="6"/>
  <c r="AU203" i="6"/>
  <c r="Z203" i="6"/>
  <c r="AA203" i="6" s="1"/>
  <c r="AF203" i="6" s="1"/>
  <c r="Y203" i="6"/>
  <c r="AC203" i="6" s="1"/>
  <c r="Z202" i="6"/>
  <c r="Y202" i="6"/>
  <c r="Z201" i="6"/>
  <c r="Y201" i="6"/>
  <c r="AU200" i="6"/>
  <c r="Z200" i="6"/>
  <c r="Y200" i="6"/>
  <c r="AU199" i="6"/>
  <c r="Z199" i="6"/>
  <c r="AA199" i="6" s="1"/>
  <c r="AF199" i="6" s="1"/>
  <c r="Y199" i="6"/>
  <c r="AA198" i="6"/>
  <c r="AF198" i="6" s="1"/>
  <c r="Z198" i="6"/>
  <c r="Y198" i="6"/>
  <c r="AU197" i="6"/>
  <c r="Z197" i="6"/>
  <c r="Y197" i="6"/>
  <c r="AC197" i="6" s="1"/>
  <c r="Z196" i="6"/>
  <c r="Y196" i="6"/>
  <c r="AC196" i="6" s="1"/>
  <c r="AU195" i="6"/>
  <c r="AA195" i="6"/>
  <c r="AF195" i="6" s="1"/>
  <c r="Z195" i="6"/>
  <c r="Y195" i="6"/>
  <c r="AU194" i="6"/>
  <c r="AF194" i="6"/>
  <c r="AA194" i="6"/>
  <c r="Z194" i="6"/>
  <c r="Y194" i="6"/>
  <c r="Z193" i="6"/>
  <c r="Y193" i="6"/>
  <c r="AA193" i="6" s="1"/>
  <c r="AF193" i="6" s="1"/>
  <c r="AF192" i="6"/>
  <c r="Z192" i="6"/>
  <c r="Y192" i="6"/>
  <c r="AA192" i="6" s="1"/>
  <c r="AF191" i="6"/>
  <c r="Z191" i="6"/>
  <c r="AA191" i="6" s="1"/>
  <c r="Y191" i="6"/>
  <c r="AC191" i="6" s="1"/>
  <c r="Z190" i="6"/>
  <c r="AA190" i="6" s="1"/>
  <c r="AF190" i="6" s="1"/>
  <c r="Y190" i="6"/>
  <c r="AC190" i="6" s="1"/>
  <c r="AC189" i="6"/>
  <c r="AA189" i="6"/>
  <c r="AF189" i="6" s="1"/>
  <c r="Z189" i="6"/>
  <c r="Y189" i="6"/>
  <c r="Z188" i="6"/>
  <c r="AA188" i="6" s="1"/>
  <c r="Y188" i="6"/>
  <c r="AC187" i="6"/>
  <c r="AA187" i="6"/>
  <c r="AF187" i="6" s="1"/>
  <c r="Z187" i="6"/>
  <c r="Y187" i="6"/>
  <c r="AA186" i="6"/>
  <c r="Y186" i="6"/>
  <c r="Y185" i="6"/>
  <c r="AA185" i="6" s="1"/>
  <c r="AC184" i="6"/>
  <c r="Z184" i="6"/>
  <c r="Y184" i="6"/>
  <c r="AA184" i="6" s="1"/>
  <c r="AF184" i="6" s="1"/>
  <c r="AF183" i="6"/>
  <c r="Z183" i="6"/>
  <c r="AA183" i="6" s="1"/>
  <c r="Y183" i="6"/>
  <c r="AC183" i="6" s="1"/>
  <c r="Z182" i="6"/>
  <c r="AA182" i="6" s="1"/>
  <c r="AF182" i="6" s="1"/>
  <c r="Y182" i="6"/>
  <c r="AC182" i="6" s="1"/>
  <c r="AU181" i="6"/>
  <c r="AF181" i="6"/>
  <c r="AC181" i="6"/>
  <c r="Z181" i="6"/>
  <c r="AA181" i="6" s="1"/>
  <c r="Y181" i="6"/>
  <c r="AU180" i="6"/>
  <c r="AC180" i="6"/>
  <c r="AA180" i="6"/>
  <c r="AE180" i="6" s="1"/>
  <c r="AF180" i="6" s="1"/>
  <c r="Z180" i="6"/>
  <c r="Y180" i="6"/>
  <c r="AF179" i="6"/>
  <c r="AC179" i="6"/>
  <c r="Z179" i="6"/>
  <c r="Y179" i="6"/>
  <c r="AA179" i="6" s="1"/>
  <c r="AU178" i="6"/>
  <c r="AC178" i="6"/>
  <c r="AA178" i="6"/>
  <c r="AE178" i="6" s="1"/>
  <c r="AF178" i="6" s="1"/>
  <c r="Z178" i="6"/>
  <c r="Y178" i="6"/>
  <c r="AU177" i="6"/>
  <c r="Z177" i="6"/>
  <c r="AA177" i="6" s="1"/>
  <c r="AE177" i="6" s="1"/>
  <c r="AF177" i="6" s="1"/>
  <c r="Y177" i="6"/>
  <c r="AC177" i="6" s="1"/>
  <c r="AC176" i="6"/>
  <c r="Z176" i="6"/>
  <c r="AA176" i="6" s="1"/>
  <c r="AE176" i="6" s="1"/>
  <c r="AF176" i="6" s="1"/>
  <c r="Y176" i="6"/>
  <c r="Z175" i="6"/>
  <c r="AA175" i="6" s="1"/>
  <c r="AE175" i="6" s="1"/>
  <c r="AF175" i="6" s="1"/>
  <c r="Y175" i="6"/>
  <c r="AC175" i="6" s="1"/>
  <c r="AC174" i="6"/>
  <c r="Z174" i="6"/>
  <c r="AA174" i="6" s="1"/>
  <c r="AE174" i="6" s="1"/>
  <c r="AF174" i="6" s="1"/>
  <c r="Y174" i="6"/>
  <c r="Z173" i="6"/>
  <c r="AA173" i="6" s="1"/>
  <c r="AE173" i="6" s="1"/>
  <c r="AF173" i="6" s="1"/>
  <c r="Y173" i="6"/>
  <c r="AC173" i="6" s="1"/>
  <c r="AC172" i="6"/>
  <c r="Z172" i="6"/>
  <c r="AA172" i="6" s="1"/>
  <c r="AE172" i="6" s="1"/>
  <c r="AF172" i="6" s="1"/>
  <c r="Y172" i="6"/>
  <c r="Z171" i="6"/>
  <c r="AA171" i="6" s="1"/>
  <c r="AE171" i="6" s="1"/>
  <c r="AF171" i="6" s="1"/>
  <c r="Y171" i="6"/>
  <c r="AC171" i="6" s="1"/>
  <c r="AC170" i="6"/>
  <c r="Z170" i="6"/>
  <c r="Y170" i="6"/>
  <c r="AA170" i="6" s="1"/>
  <c r="AE170" i="6" s="1"/>
  <c r="AF170" i="6" s="1"/>
  <c r="Z169" i="6"/>
  <c r="AA169" i="6" s="1"/>
  <c r="AE169" i="6" s="1"/>
  <c r="AF169" i="6" s="1"/>
  <c r="Y169" i="6"/>
  <c r="AC169" i="6" s="1"/>
  <c r="AC168" i="6"/>
  <c r="Z168" i="6"/>
  <c r="AA168" i="6" s="1"/>
  <c r="AE168" i="6" s="1"/>
  <c r="AF168" i="6" s="1"/>
  <c r="Y168" i="6"/>
  <c r="Z167" i="6"/>
  <c r="AA167" i="6" s="1"/>
  <c r="AE167" i="6" s="1"/>
  <c r="AF167" i="6" s="1"/>
  <c r="Y167" i="6"/>
  <c r="AC167" i="6" s="1"/>
  <c r="AC166" i="6"/>
  <c r="Z166" i="6"/>
  <c r="Y166" i="6"/>
  <c r="AA166" i="6" s="1"/>
  <c r="AE166" i="6" s="1"/>
  <c r="AF166" i="6" s="1"/>
  <c r="Z165" i="6"/>
  <c r="AA165" i="6" s="1"/>
  <c r="AE165" i="6" s="1"/>
  <c r="AF165" i="6" s="1"/>
  <c r="Y165" i="6"/>
  <c r="AC165" i="6" s="1"/>
  <c r="AC164" i="6"/>
  <c r="Z164" i="6"/>
  <c r="Y164" i="6"/>
  <c r="AA164" i="6" s="1"/>
  <c r="AE164" i="6" s="1"/>
  <c r="AF164" i="6" s="1"/>
  <c r="Z163" i="6"/>
  <c r="AA163" i="6" s="1"/>
  <c r="AE163" i="6" s="1"/>
  <c r="AF163" i="6" s="1"/>
  <c r="Y163" i="6"/>
  <c r="AC163" i="6" s="1"/>
  <c r="AC162" i="6"/>
  <c r="Z162" i="6"/>
  <c r="AA162" i="6" s="1"/>
  <c r="AE162" i="6" s="1"/>
  <c r="AF162" i="6" s="1"/>
  <c r="Y162" i="6"/>
  <c r="Z161" i="6"/>
  <c r="AA161" i="6" s="1"/>
  <c r="AE161" i="6" s="1"/>
  <c r="AF161" i="6" s="1"/>
  <c r="Y161" i="6"/>
  <c r="AC161" i="6" s="1"/>
  <c r="AC160" i="6"/>
  <c r="Z160" i="6"/>
  <c r="Y160" i="6"/>
  <c r="AA160" i="6" s="1"/>
  <c r="AE160" i="6" s="1"/>
  <c r="AF160" i="6" s="1"/>
  <c r="Z159" i="6"/>
  <c r="AA159" i="6" s="1"/>
  <c r="AE159" i="6" s="1"/>
  <c r="AF159" i="6" s="1"/>
  <c r="Y159" i="6"/>
  <c r="AC159" i="6" s="1"/>
  <c r="AU158" i="6"/>
  <c r="AF158" i="6"/>
  <c r="AC158" i="6"/>
  <c r="Z158" i="6"/>
  <c r="AA158" i="6" s="1"/>
  <c r="Y158" i="6"/>
  <c r="Z157" i="6"/>
  <c r="Y157" i="6"/>
  <c r="AC157" i="6" s="1"/>
  <c r="Z156" i="6"/>
  <c r="AA156" i="6" s="1"/>
  <c r="AF156" i="6" s="1"/>
  <c r="Y156" i="6"/>
  <c r="AC156" i="6" s="1"/>
  <c r="AU155" i="6"/>
  <c r="Z155" i="6"/>
  <c r="Y155" i="6"/>
  <c r="Z154" i="6"/>
  <c r="AA154" i="6" s="1"/>
  <c r="AF154" i="6" s="1"/>
  <c r="Y154" i="6"/>
  <c r="AC154" i="6" s="1"/>
  <c r="AU151" i="6"/>
  <c r="AC151" i="6"/>
  <c r="AA151" i="6"/>
  <c r="AF151" i="6" s="1"/>
  <c r="Z151" i="6"/>
  <c r="Y151" i="6"/>
  <c r="AU150" i="6"/>
  <c r="AF150" i="6"/>
  <c r="Z150" i="6"/>
  <c r="AA150" i="6" s="1"/>
  <c r="Y150" i="6"/>
  <c r="AC150" i="6" s="1"/>
  <c r="AU149" i="6"/>
  <c r="AC149" i="6"/>
  <c r="AA149" i="6"/>
  <c r="AF149" i="6" s="1"/>
  <c r="Z149" i="6"/>
  <c r="Y149" i="6"/>
  <c r="AU148" i="6"/>
  <c r="AF148" i="6"/>
  <c r="Z148" i="6"/>
  <c r="AA148" i="6" s="1"/>
  <c r="Y148" i="6"/>
  <c r="AC148" i="6" s="1"/>
  <c r="AU147" i="6"/>
  <c r="AC147" i="6"/>
  <c r="AA147" i="6"/>
  <c r="AF147" i="6" s="1"/>
  <c r="Z147" i="6"/>
  <c r="Y147" i="6"/>
  <c r="AC146" i="6"/>
  <c r="Z146" i="6"/>
  <c r="Y146" i="6"/>
  <c r="Z145" i="6"/>
  <c r="AA145" i="6" s="1"/>
  <c r="AF145" i="6" s="1"/>
  <c r="Y145" i="6"/>
  <c r="AC145" i="6" s="1"/>
  <c r="AC144" i="6"/>
  <c r="AA144" i="6"/>
  <c r="AF144" i="6" s="1"/>
  <c r="Z144" i="6"/>
  <c r="Y144" i="6"/>
  <c r="AU143" i="6"/>
  <c r="AC143" i="6"/>
  <c r="Z143" i="6"/>
  <c r="Y143" i="6"/>
  <c r="AF142" i="6"/>
  <c r="Z142" i="6"/>
  <c r="AA142" i="6" s="1"/>
  <c r="Y142" i="6"/>
  <c r="AC142" i="6" s="1"/>
  <c r="AU141" i="6"/>
  <c r="Z141" i="6"/>
  <c r="AA141" i="6" s="1"/>
  <c r="AF141" i="6" s="1"/>
  <c r="Y141" i="6"/>
  <c r="AU140" i="6"/>
  <c r="AF140" i="6"/>
  <c r="AA140" i="6"/>
  <c r="Z140" i="6"/>
  <c r="Y140" i="6"/>
  <c r="AU139" i="6"/>
  <c r="AF139" i="6"/>
  <c r="Y139" i="6"/>
  <c r="AA139" i="6" s="1"/>
  <c r="AF138" i="6"/>
  <c r="AC138" i="6"/>
  <c r="Z138" i="6"/>
  <c r="AA138" i="6" s="1"/>
  <c r="Y138" i="6"/>
  <c r="Z137" i="6"/>
  <c r="Y137" i="6"/>
  <c r="Z136" i="6"/>
  <c r="Y136" i="6"/>
  <c r="AC136" i="6" s="1"/>
  <c r="AU135" i="6"/>
  <c r="AC135" i="6"/>
  <c r="AA135" i="6"/>
  <c r="AF135" i="6" s="1"/>
  <c r="Z135" i="6"/>
  <c r="Y135" i="6"/>
  <c r="AU134" i="6"/>
  <c r="Z134" i="6"/>
  <c r="AA134" i="6" s="1"/>
  <c r="AF134" i="6" s="1"/>
  <c r="Y134" i="6"/>
  <c r="AC134" i="6" s="1"/>
  <c r="AU133" i="6"/>
  <c r="Z133" i="6"/>
  <c r="AA133" i="6" s="1"/>
  <c r="AF133" i="6" s="1"/>
  <c r="Y133" i="6"/>
  <c r="AU132" i="6"/>
  <c r="AA132" i="6"/>
  <c r="AF132" i="6" s="1"/>
  <c r="Z132" i="6"/>
  <c r="Y132" i="6"/>
  <c r="AU131" i="6"/>
  <c r="AF131" i="6"/>
  <c r="Z131" i="6"/>
  <c r="Y131" i="6"/>
  <c r="AA131" i="6" s="1"/>
  <c r="AU130" i="6"/>
  <c r="Z130" i="6"/>
  <c r="AA130" i="6" s="1"/>
  <c r="AF130" i="6" s="1"/>
  <c r="Y130" i="6"/>
  <c r="AU129" i="6"/>
  <c r="Z129" i="6"/>
  <c r="AA129" i="6" s="1"/>
  <c r="AF129" i="6" s="1"/>
  <c r="Y129" i="6"/>
  <c r="AU128" i="6"/>
  <c r="AF128" i="6"/>
  <c r="AC128" i="6"/>
  <c r="Z128" i="6"/>
  <c r="Y128" i="6"/>
  <c r="AA128" i="6" s="1"/>
  <c r="Z127" i="6"/>
  <c r="Y127" i="6"/>
  <c r="AC127" i="6" s="1"/>
  <c r="AU126" i="6"/>
  <c r="AC126" i="6"/>
  <c r="AA126" i="6"/>
  <c r="AF126" i="6" s="1"/>
  <c r="Z126" i="6"/>
  <c r="Y126" i="6"/>
  <c r="Y125" i="6"/>
  <c r="AU124" i="6"/>
  <c r="Z124" i="6"/>
  <c r="AA124" i="6" s="1"/>
  <c r="AF124" i="6" s="1"/>
  <c r="Y124" i="6"/>
  <c r="Y123" i="6"/>
  <c r="AC122" i="6"/>
  <c r="AA122" i="6"/>
  <c r="AF122" i="6" s="1"/>
  <c r="Y122" i="6"/>
  <c r="AC121" i="6"/>
  <c r="AA121" i="6"/>
  <c r="AF121" i="6" s="1"/>
  <c r="Y121" i="6"/>
  <c r="AC120" i="6"/>
  <c r="AA120" i="6"/>
  <c r="AF120" i="6" s="1"/>
  <c r="Y120" i="6"/>
  <c r="AC119" i="6"/>
  <c r="AA119" i="6"/>
  <c r="AF119" i="6" s="1"/>
  <c r="Z119" i="6"/>
  <c r="Y119" i="6"/>
  <c r="AA118" i="6"/>
  <c r="Z118" i="6"/>
  <c r="Y118" i="6"/>
  <c r="AA117" i="6"/>
  <c r="AF117" i="6" s="1"/>
  <c r="Z117" i="6"/>
  <c r="Y117" i="6"/>
  <c r="Z116" i="6"/>
  <c r="Y116" i="6"/>
  <c r="AU115" i="6"/>
  <c r="AC115" i="6"/>
  <c r="AA115" i="6"/>
  <c r="AF115" i="6" s="1"/>
  <c r="Z115" i="6"/>
  <c r="Y115" i="6"/>
  <c r="Z114" i="6"/>
  <c r="Y114" i="6"/>
  <c r="AC114" i="6" s="1"/>
  <c r="AU113" i="6"/>
  <c r="AA113" i="6"/>
  <c r="AF113" i="6" s="1"/>
  <c r="Z113" i="6"/>
  <c r="Y113" i="6"/>
  <c r="AC113" i="6" s="1"/>
  <c r="Z112" i="6"/>
  <c r="AA112" i="6" s="1"/>
  <c r="AF112" i="6" s="1"/>
  <c r="Y112" i="6"/>
  <c r="AA111" i="6"/>
  <c r="AF111" i="6" s="1"/>
  <c r="Z111" i="6"/>
  <c r="Y111" i="6"/>
  <c r="AA110" i="6"/>
  <c r="AF110" i="6" s="1"/>
  <c r="Z110" i="6"/>
  <c r="X110" i="6"/>
  <c r="Y110" i="6" s="1"/>
  <c r="AA109" i="6"/>
  <c r="AF109" i="6" s="1"/>
  <c r="Z109" i="6"/>
  <c r="Y109" i="6"/>
  <c r="AA108" i="6"/>
  <c r="AF108" i="6" s="1"/>
  <c r="Z108" i="6"/>
  <c r="Y108" i="6"/>
  <c r="AC107" i="6"/>
  <c r="Z107" i="6"/>
  <c r="AA107" i="6" s="1"/>
  <c r="AF107" i="6" s="1"/>
  <c r="Y107" i="6"/>
  <c r="Z106" i="6"/>
  <c r="AA106" i="6" s="1"/>
  <c r="AF106" i="6" s="1"/>
  <c r="Y106" i="6"/>
  <c r="AC106" i="6" s="1"/>
  <c r="Z105" i="6"/>
  <c r="Y105" i="6"/>
  <c r="AU104" i="6"/>
  <c r="AA104" i="6"/>
  <c r="AF104" i="6" s="1"/>
  <c r="Z104" i="6"/>
  <c r="Y104" i="6"/>
  <c r="AA103" i="6"/>
  <c r="Z103" i="6"/>
  <c r="Y103" i="6"/>
  <c r="Z102" i="6"/>
  <c r="Y102" i="6"/>
  <c r="AC101" i="6"/>
  <c r="AA101" i="6"/>
  <c r="AF101" i="6" s="1"/>
  <c r="Z101" i="6"/>
  <c r="Y101" i="6"/>
  <c r="AA100" i="6"/>
  <c r="AF100" i="6" s="1"/>
  <c r="Z100" i="6"/>
  <c r="Y100" i="6"/>
  <c r="AC100" i="6" s="1"/>
  <c r="AU99" i="6"/>
  <c r="Z99" i="6"/>
  <c r="AA99" i="6" s="1"/>
  <c r="AF99" i="6" s="1"/>
  <c r="Y99" i="6"/>
  <c r="AC99" i="6" s="1"/>
  <c r="AU98" i="6"/>
  <c r="AA98" i="6"/>
  <c r="AF98" i="6" s="1"/>
  <c r="Z98" i="6"/>
  <c r="Y98" i="6"/>
  <c r="Z97" i="6"/>
  <c r="AA97" i="6" s="1"/>
  <c r="AF97" i="6" s="1"/>
  <c r="Y97" i="6"/>
  <c r="AA96" i="6"/>
  <c r="AF96" i="6" s="1"/>
  <c r="Z96" i="6"/>
  <c r="Y96" i="6"/>
  <c r="Z95" i="6"/>
  <c r="AA95" i="6" s="1"/>
  <c r="AF95" i="6" s="1"/>
  <c r="Y95" i="6"/>
  <c r="AF94" i="6"/>
  <c r="AC94" i="6"/>
  <c r="AA94" i="6"/>
  <c r="Z94" i="6"/>
  <c r="Y94" i="6"/>
  <c r="Z93" i="6"/>
  <c r="Y93" i="6"/>
  <c r="AC93" i="6" s="1"/>
  <c r="AC92" i="6"/>
  <c r="Z92" i="6"/>
  <c r="AA92" i="6" s="1"/>
  <c r="AE92" i="6" s="1"/>
  <c r="AF92" i="6" s="1"/>
  <c r="Y92" i="6"/>
  <c r="AE91" i="6"/>
  <c r="AF91" i="6" s="1"/>
  <c r="Z91" i="6"/>
  <c r="AA91" i="6" s="1"/>
  <c r="Y91" i="6"/>
  <c r="AC91" i="6" s="1"/>
  <c r="AF90" i="6"/>
  <c r="AC90" i="6"/>
  <c r="AA90" i="6"/>
  <c r="AE90" i="6" s="1"/>
  <c r="Z90" i="6"/>
  <c r="Y90" i="6"/>
  <c r="AU89" i="6"/>
  <c r="Z89" i="6"/>
  <c r="AA89" i="6" s="1"/>
  <c r="AF89" i="6" s="1"/>
  <c r="Y89" i="6"/>
  <c r="AC89" i="6" s="1"/>
  <c r="AU88" i="6"/>
  <c r="AC88" i="6"/>
  <c r="Z88" i="6"/>
  <c r="AA88" i="6" s="1"/>
  <c r="AF88" i="6" s="1"/>
  <c r="Y88" i="6"/>
  <c r="AU87" i="6"/>
  <c r="AF87" i="6"/>
  <c r="Z87" i="6"/>
  <c r="AA87" i="6" s="1"/>
  <c r="Y87" i="6"/>
  <c r="AC87" i="6" s="1"/>
  <c r="Z86" i="6"/>
  <c r="AA86" i="6" s="1"/>
  <c r="AF86" i="6" s="1"/>
  <c r="Y86" i="6"/>
  <c r="AC86" i="6" s="1"/>
  <c r="Z85" i="6"/>
  <c r="Y85" i="6"/>
  <c r="AC84" i="6"/>
  <c r="AA84" i="6"/>
  <c r="AF84" i="6" s="1"/>
  <c r="Z84" i="6"/>
  <c r="Y84" i="6"/>
  <c r="Y83" i="6"/>
  <c r="AA83" i="6" s="1"/>
  <c r="Z82" i="6"/>
  <c r="AA82" i="6" s="1"/>
  <c r="AF82" i="6" s="1"/>
  <c r="Y82" i="6"/>
  <c r="AC82" i="6" s="1"/>
  <c r="AA81" i="6"/>
  <c r="AF81" i="6" s="1"/>
  <c r="Z81" i="6"/>
  <c r="Y81" i="6"/>
  <c r="AC81" i="6" s="1"/>
  <c r="AF80" i="6"/>
  <c r="AC80" i="6"/>
  <c r="AA80" i="6"/>
  <c r="Z80" i="6"/>
  <c r="Y80" i="6"/>
  <c r="AU79" i="6"/>
  <c r="Z79" i="6"/>
  <c r="Y79" i="6"/>
  <c r="AU78" i="6"/>
  <c r="Z78" i="6"/>
  <c r="AA78" i="6" s="1"/>
  <c r="AE78" i="6" s="1"/>
  <c r="AF78" i="6" s="1"/>
  <c r="Y78" i="6"/>
  <c r="Z77" i="6"/>
  <c r="Y77" i="6"/>
  <c r="AC77" i="6" s="1"/>
  <c r="AC76" i="6"/>
  <c r="AA76" i="6"/>
  <c r="AE76" i="6" s="1"/>
  <c r="AF76" i="6" s="1"/>
  <c r="Z76" i="6"/>
  <c r="Y76" i="6"/>
  <c r="AC75" i="6"/>
  <c r="Z75" i="6"/>
  <c r="AA75" i="6" s="1"/>
  <c r="AE75" i="6" s="1"/>
  <c r="AF75" i="6" s="1"/>
  <c r="Y75" i="6"/>
  <c r="AC74" i="6"/>
  <c r="AA74" i="6"/>
  <c r="AE74" i="6" s="1"/>
  <c r="AF74" i="6" s="1"/>
  <c r="Z74" i="6"/>
  <c r="Y74" i="6"/>
  <c r="Z73" i="6"/>
  <c r="AA73" i="6" s="1"/>
  <c r="AE73" i="6" s="1"/>
  <c r="AF73" i="6" s="1"/>
  <c r="Y73" i="6"/>
  <c r="AC73" i="6" s="1"/>
  <c r="AC72" i="6"/>
  <c r="AA72" i="6"/>
  <c r="AE72" i="6" s="1"/>
  <c r="AF72" i="6" s="1"/>
  <c r="Z72" i="6"/>
  <c r="Y72" i="6"/>
  <c r="AE71" i="6"/>
  <c r="AF71" i="6" s="1"/>
  <c r="AC71" i="6"/>
  <c r="Z71" i="6"/>
  <c r="AA71" i="6" s="1"/>
  <c r="Y71" i="6"/>
  <c r="AA70" i="6"/>
  <c r="AE70" i="6" s="1"/>
  <c r="AF70" i="6" s="1"/>
  <c r="Z70" i="6"/>
  <c r="Y70" i="6"/>
  <c r="AC70" i="6" s="1"/>
  <c r="Z69" i="6"/>
  <c r="Y69" i="6"/>
  <c r="AC68" i="6"/>
  <c r="AA68" i="6"/>
  <c r="AE68" i="6" s="1"/>
  <c r="AF68" i="6" s="1"/>
  <c r="Z68" i="6"/>
  <c r="Y68" i="6"/>
  <c r="AU67" i="6"/>
  <c r="Z67" i="6"/>
  <c r="Y67" i="6"/>
  <c r="AC67" i="6" s="1"/>
  <c r="Z66" i="6"/>
  <c r="AA66" i="6" s="1"/>
  <c r="AF66" i="6" s="1"/>
  <c r="Y66" i="6"/>
  <c r="AC66" i="6" s="1"/>
  <c r="AC65" i="6"/>
  <c r="AA65" i="6"/>
  <c r="AF65" i="6" s="1"/>
  <c r="Z65" i="6"/>
  <c r="Y65" i="6"/>
  <c r="AU64" i="6"/>
  <c r="AF64" i="6"/>
  <c r="AC64" i="6"/>
  <c r="Z64" i="6"/>
  <c r="AA64" i="6" s="1"/>
  <c r="Y64" i="6"/>
  <c r="Z63" i="6"/>
  <c r="Y63" i="6"/>
  <c r="AC63" i="6" s="1"/>
  <c r="AC62" i="6"/>
  <c r="AA62" i="6"/>
  <c r="AF62" i="6" s="1"/>
  <c r="Z62" i="6"/>
  <c r="Y62" i="6"/>
  <c r="AU61" i="6"/>
  <c r="AC61" i="6"/>
  <c r="Z61" i="6"/>
  <c r="AA61" i="6" s="1"/>
  <c r="AF61" i="6" s="1"/>
  <c r="Y61" i="6"/>
  <c r="AU60" i="6"/>
  <c r="AA60" i="6"/>
  <c r="AF60" i="6" s="1"/>
  <c r="Z60" i="6"/>
  <c r="Y60" i="6"/>
  <c r="AC60" i="6" s="1"/>
  <c r="AU59" i="6"/>
  <c r="Z59" i="6"/>
  <c r="Y59" i="6"/>
  <c r="AU58" i="6"/>
  <c r="AC58" i="6"/>
  <c r="AA58" i="6"/>
  <c r="AF58" i="6" s="1"/>
  <c r="Z58" i="6"/>
  <c r="Y58" i="6"/>
  <c r="AU57" i="6"/>
  <c r="Z57" i="6"/>
  <c r="Y57" i="6"/>
  <c r="AC57" i="6" s="1"/>
  <c r="AU56" i="6"/>
  <c r="AA56" i="6"/>
  <c r="AF56" i="6" s="1"/>
  <c r="Z56" i="6"/>
  <c r="Y56" i="6"/>
  <c r="AC56" i="6" s="1"/>
  <c r="AF55" i="6"/>
  <c r="AC55" i="6"/>
  <c r="AA55" i="6"/>
  <c r="Z55" i="6"/>
  <c r="Y55" i="6"/>
  <c r="Z54" i="6"/>
  <c r="Y54" i="6"/>
  <c r="AC54" i="6" s="1"/>
  <c r="Z53" i="6"/>
  <c r="AA53" i="6" s="1"/>
  <c r="AF53" i="6" s="1"/>
  <c r="Y53" i="6"/>
  <c r="AC53" i="6" s="1"/>
  <c r="AC52" i="6"/>
  <c r="AA52" i="6"/>
  <c r="AF52" i="6" s="1"/>
  <c r="Z52" i="6"/>
  <c r="Y52" i="6"/>
  <c r="AU51" i="6"/>
  <c r="Z51" i="6"/>
  <c r="Y51" i="6"/>
  <c r="AC51" i="6" s="1"/>
  <c r="AU50" i="6"/>
  <c r="AA50" i="6"/>
  <c r="AF50" i="6" s="1"/>
  <c r="Z50" i="6"/>
  <c r="Y50" i="6"/>
  <c r="AC50" i="6" s="1"/>
  <c r="AU49" i="6"/>
  <c r="Z49" i="6"/>
  <c r="Y49" i="6"/>
  <c r="AC49" i="6" s="1"/>
  <c r="AU48" i="6"/>
  <c r="AC48" i="6"/>
  <c r="AA48" i="6"/>
  <c r="AF48" i="6" s="1"/>
  <c r="Z48" i="6"/>
  <c r="Y48" i="6"/>
  <c r="AU47" i="6"/>
  <c r="AC47" i="6"/>
  <c r="Z47" i="6"/>
  <c r="AA47" i="6" s="1"/>
  <c r="AF47" i="6" s="1"/>
  <c r="Y47" i="6"/>
  <c r="AU46" i="6"/>
  <c r="Z46" i="6"/>
  <c r="AA46" i="6" s="1"/>
  <c r="AF46" i="6" s="1"/>
  <c r="Y46" i="6"/>
  <c r="AC46" i="6" s="1"/>
  <c r="AA45" i="6"/>
  <c r="AF45" i="6" s="1"/>
  <c r="Z45" i="6"/>
  <c r="Y45" i="6"/>
  <c r="AA44" i="6"/>
  <c r="AF44" i="6" s="1"/>
  <c r="Z44" i="6"/>
  <c r="Y44" i="6"/>
  <c r="AC44" i="6" s="1"/>
  <c r="Z43" i="6"/>
  <c r="Y43" i="6"/>
  <c r="AU42" i="6"/>
  <c r="Z42" i="6"/>
  <c r="AA42" i="6" s="1"/>
  <c r="AF42" i="6" s="1"/>
  <c r="Y42" i="6"/>
  <c r="AU41" i="6"/>
  <c r="Z41" i="6"/>
  <c r="AA41" i="6" s="1"/>
  <c r="AF41" i="6" s="1"/>
  <c r="Y41" i="6"/>
  <c r="AU40" i="6"/>
  <c r="AF40" i="6"/>
  <c r="AA40" i="6"/>
  <c r="Z40" i="6"/>
  <c r="Y40" i="6"/>
  <c r="AA39" i="6"/>
  <c r="AF39" i="6" s="1"/>
  <c r="Z39" i="6"/>
  <c r="Y39" i="6"/>
  <c r="AF38" i="6"/>
  <c r="AA38" i="6"/>
  <c r="Z38" i="6"/>
  <c r="Y38" i="6"/>
  <c r="AA37" i="6"/>
  <c r="AF37" i="6" s="1"/>
  <c r="Z37" i="6"/>
  <c r="Y37" i="6"/>
  <c r="Z36" i="6"/>
  <c r="Y36" i="6"/>
  <c r="AC36" i="6" s="1"/>
  <c r="Z35" i="6"/>
  <c r="AA35" i="6" s="1"/>
  <c r="AF35" i="6" s="1"/>
  <c r="Y35" i="6"/>
  <c r="AC35" i="6" s="1"/>
  <c r="AA34" i="6"/>
  <c r="AF34" i="6" s="1"/>
  <c r="Z34" i="6"/>
  <c r="Y34" i="6"/>
  <c r="AC34" i="6" s="1"/>
  <c r="AU33" i="6"/>
  <c r="Z33" i="6"/>
  <c r="Y33" i="6"/>
  <c r="AC33" i="6" s="1"/>
  <c r="AF32" i="6"/>
  <c r="AA32" i="6"/>
  <c r="Y32" i="6"/>
  <c r="AC32" i="6" s="1"/>
  <c r="AU31" i="6"/>
  <c r="AA31" i="6"/>
  <c r="AF31" i="6" s="1"/>
  <c r="Z31" i="6"/>
  <c r="Y31" i="6"/>
  <c r="AC31" i="6" s="1"/>
  <c r="AU30" i="6"/>
  <c r="AF30" i="6"/>
  <c r="Z30" i="6"/>
  <c r="AA30" i="6" s="1"/>
  <c r="Y30" i="6"/>
  <c r="AC30" i="6" s="1"/>
  <c r="AA29" i="6"/>
  <c r="AF29" i="6" s="1"/>
  <c r="Y29" i="6"/>
  <c r="AC29" i="6" s="1"/>
  <c r="Z28" i="6"/>
  <c r="Y28" i="6"/>
  <c r="AC28" i="6" s="1"/>
  <c r="AU27" i="6"/>
  <c r="AF27" i="6"/>
  <c r="AC27" i="6"/>
  <c r="AA27" i="6"/>
  <c r="Z27" i="6"/>
  <c r="Y27" i="6"/>
  <c r="AU26" i="6"/>
  <c r="AF26" i="6"/>
  <c r="AA26" i="6"/>
  <c r="Z26" i="6"/>
  <c r="Y26" i="6"/>
  <c r="AC26" i="6" s="1"/>
  <c r="AU25" i="6"/>
  <c r="AC25" i="6"/>
  <c r="Z25" i="6"/>
  <c r="Y25" i="6"/>
  <c r="AA25" i="6" s="1"/>
  <c r="AF25" i="6" s="1"/>
  <c r="AU24" i="6"/>
  <c r="Z24" i="6"/>
  <c r="AA24" i="6" s="1"/>
  <c r="AF24" i="6" s="1"/>
  <c r="Y24" i="6"/>
  <c r="AC24" i="6" s="1"/>
  <c r="AC23" i="6"/>
  <c r="AA23" i="6"/>
  <c r="AF23" i="6" s="1"/>
  <c r="Z23" i="6"/>
  <c r="Y23" i="6"/>
  <c r="AC22" i="6"/>
  <c r="AA22" i="6"/>
  <c r="AF22" i="6" s="1"/>
  <c r="Z22" i="6"/>
  <c r="Y22" i="6"/>
  <c r="Z21" i="6"/>
  <c r="AA21" i="6" s="1"/>
  <c r="AF21" i="6" s="1"/>
  <c r="Y21" i="6"/>
  <c r="AC21" i="6" s="1"/>
  <c r="AA20" i="6"/>
  <c r="AF20" i="6" s="1"/>
  <c r="Z20" i="6"/>
  <c r="Y20" i="6"/>
  <c r="AC20" i="6" s="1"/>
  <c r="Z19" i="6"/>
  <c r="AA19" i="6" s="1"/>
  <c r="AF19" i="6" s="1"/>
  <c r="Y19" i="6"/>
  <c r="AC19" i="6" s="1"/>
  <c r="AF18" i="6"/>
  <c r="AC18" i="6"/>
  <c r="AA18" i="6"/>
  <c r="Z18" i="6"/>
  <c r="Y18" i="6"/>
  <c r="AU17" i="6"/>
  <c r="AA17" i="6"/>
  <c r="AF17" i="6" s="1"/>
  <c r="Z17" i="6"/>
  <c r="Y17" i="6"/>
  <c r="AC17" i="6" s="1"/>
  <c r="Z16" i="6"/>
  <c r="AA16" i="6" s="1"/>
  <c r="AF16" i="6" s="1"/>
  <c r="Y16" i="6"/>
  <c r="AC15" i="6"/>
  <c r="AA15" i="6"/>
  <c r="AF15" i="6" s="1"/>
  <c r="Z15" i="6"/>
  <c r="Y15" i="6"/>
  <c r="AU14" i="6"/>
  <c r="AC14" i="6"/>
  <c r="Z14" i="6"/>
  <c r="AA14" i="6" s="1"/>
  <c r="AF14" i="6" s="1"/>
  <c r="Y14" i="6"/>
  <c r="Z13" i="6"/>
  <c r="Y13" i="6"/>
  <c r="AC13" i="6" s="1"/>
  <c r="AC12" i="6"/>
  <c r="AA12" i="6"/>
  <c r="AF12" i="6" s="1"/>
  <c r="Z12" i="6"/>
  <c r="Y12" i="6"/>
  <c r="AC11" i="6"/>
  <c r="Z11" i="6"/>
  <c r="Y11" i="6"/>
  <c r="AA11" i="6" s="1"/>
  <c r="AF11" i="6" s="1"/>
  <c r="AF10" i="6"/>
  <c r="Z10" i="6"/>
  <c r="AA10" i="6" s="1"/>
  <c r="Y10" i="6"/>
  <c r="AC10" i="6" s="1"/>
  <c r="AA9" i="6"/>
  <c r="AF9" i="6" s="1"/>
  <c r="Y9" i="6"/>
  <c r="AC9" i="6" s="1"/>
  <c r="Y8" i="6"/>
  <c r="AA8" i="6" s="1"/>
  <c r="AF8" i="6" s="1"/>
  <c r="AC7" i="6"/>
  <c r="Z7" i="6"/>
  <c r="Y7" i="6"/>
  <c r="Z6" i="6"/>
  <c r="Y6" i="6"/>
  <c r="AC6" i="6" s="1"/>
  <c r="AC5" i="6"/>
  <c r="AA5" i="6"/>
  <c r="AF5" i="6" s="1"/>
  <c r="Z5" i="6"/>
  <c r="Y5" i="6"/>
  <c r="Z4" i="6"/>
  <c r="Y4" i="6"/>
  <c r="AC4" i="6" s="1"/>
  <c r="Z3" i="6"/>
  <c r="Y3" i="6"/>
  <c r="AC3" i="6" s="1"/>
  <c r="AC1394" i="7" l="1"/>
  <c r="AA1394" i="7"/>
  <c r="AF1394" i="7" s="1"/>
  <c r="AA1322" i="7"/>
  <c r="AF1322" i="7" s="1"/>
  <c r="AC1322" i="7"/>
  <c r="AA1330" i="7"/>
  <c r="AF1330" i="7" s="1"/>
  <c r="AC1330" i="7"/>
  <c r="AA1338" i="7"/>
  <c r="AF1338" i="7" s="1"/>
  <c r="AC1338" i="7"/>
  <c r="AC1346" i="7"/>
  <c r="AA1346" i="7"/>
  <c r="AF1346" i="7" s="1"/>
  <c r="AC1354" i="7"/>
  <c r="AA1354" i="7"/>
  <c r="AF1354" i="7" s="1"/>
  <c r="AA1360" i="7"/>
  <c r="AF1360" i="7" s="1"/>
  <c r="AC1360" i="7"/>
  <c r="AC1368" i="7"/>
  <c r="AA1368" i="7"/>
  <c r="AF1368" i="7" s="1"/>
  <c r="AA1402" i="7"/>
  <c r="AF1402" i="7" s="1"/>
  <c r="AA1386" i="7"/>
  <c r="AF1386" i="7" s="1"/>
  <c r="AC1386" i="7"/>
  <c r="AA1374" i="7"/>
  <c r="AF1374" i="7" s="1"/>
  <c r="AC1374" i="7"/>
  <c r="AA1378" i="7"/>
  <c r="AF1378" i="7" s="1"/>
  <c r="AC1378" i="7"/>
  <c r="AC1382" i="7"/>
  <c r="AA1382" i="7"/>
  <c r="AF1382" i="7" s="1"/>
  <c r="AC1388" i="7"/>
  <c r="AA1388" i="7"/>
  <c r="AF1388" i="7" s="1"/>
  <c r="AA1396" i="7"/>
  <c r="AF1396" i="7" s="1"/>
  <c r="AC1396" i="7"/>
  <c r="AA1408" i="7"/>
  <c r="AF1408" i="7" s="1"/>
  <c r="AA1324" i="7"/>
  <c r="AF1324" i="7" s="1"/>
  <c r="AC1324" i="7"/>
  <c r="AA1340" i="7"/>
  <c r="AF1340" i="7" s="1"/>
  <c r="AC1340" i="7"/>
  <c r="AA1356" i="7"/>
  <c r="AF1356" i="7" s="1"/>
  <c r="AC1356" i="7"/>
  <c r="AA1370" i="7"/>
  <c r="AF1370" i="7" s="1"/>
  <c r="AC1370" i="7"/>
  <c r="AA1390" i="7"/>
  <c r="AF1390" i="7" s="1"/>
  <c r="AC1390" i="7"/>
  <c r="AA1398" i="7"/>
  <c r="AF1398" i="7" s="1"/>
  <c r="AC1398" i="7"/>
  <c r="AA1404" i="7"/>
  <c r="AF1404" i="7" s="1"/>
  <c r="AA1410" i="7"/>
  <c r="AF1410" i="7" s="1"/>
  <c r="AC1410" i="7"/>
  <c r="AA1312" i="7"/>
  <c r="AF1312" i="7" s="1"/>
  <c r="AA1318" i="7"/>
  <c r="AF1318" i="7" s="1"/>
  <c r="AC1318" i="7"/>
  <c r="AA1326" i="7"/>
  <c r="AF1326" i="7" s="1"/>
  <c r="AC1326" i="7"/>
  <c r="AA1334" i="7"/>
  <c r="AF1334" i="7" s="1"/>
  <c r="AC1334" i="7"/>
  <c r="AC1342" i="7"/>
  <c r="AA1342" i="7"/>
  <c r="AF1342" i="7" s="1"/>
  <c r="AC1350" i="7"/>
  <c r="AA1350" i="7"/>
  <c r="AF1350" i="7" s="1"/>
  <c r="AA1364" i="7"/>
  <c r="AF1364" i="7" s="1"/>
  <c r="AC1364" i="7"/>
  <c r="AA1372" i="7"/>
  <c r="AF1372" i="7" s="1"/>
  <c r="AC1372" i="7"/>
  <c r="AC1376" i="7"/>
  <c r="AA1376" i="7"/>
  <c r="AF1376" i="7" s="1"/>
  <c r="AA1380" i="7"/>
  <c r="AF1380" i="7" s="1"/>
  <c r="AC1380" i="7"/>
  <c r="AA1384" i="7"/>
  <c r="AF1384" i="7" s="1"/>
  <c r="AC1384" i="7"/>
  <c r="AA1392" i="7"/>
  <c r="AF1392" i="7" s="1"/>
  <c r="AC1392" i="7"/>
  <c r="AA1400" i="7"/>
  <c r="AF1400" i="7" s="1"/>
  <c r="AC1400" i="7"/>
  <c r="AC1412" i="7"/>
  <c r="AA1412" i="7"/>
  <c r="AF1412" i="7" s="1"/>
  <c r="AA1332" i="7"/>
  <c r="AF1332" i="7" s="1"/>
  <c r="AC1332" i="7"/>
  <c r="AA1348" i="7"/>
  <c r="AF1348" i="7" s="1"/>
  <c r="AC1348" i="7"/>
  <c r="AC1362" i="7"/>
  <c r="AA1362" i="7"/>
  <c r="AF1362" i="7" s="1"/>
  <c r="AC1320" i="7"/>
  <c r="AA1320" i="7"/>
  <c r="AF1320" i="7" s="1"/>
  <c r="AC1328" i="7"/>
  <c r="AA1328" i="7"/>
  <c r="AF1328" i="7" s="1"/>
  <c r="AC1336" i="7"/>
  <c r="AA1336" i="7"/>
  <c r="AF1336" i="7" s="1"/>
  <c r="AA1344" i="7"/>
  <c r="AF1344" i="7" s="1"/>
  <c r="AC1344" i="7"/>
  <c r="AA1352" i="7"/>
  <c r="AF1352" i="7" s="1"/>
  <c r="AC1352" i="7"/>
  <c r="AA1358" i="7"/>
  <c r="AF1358" i="7" s="1"/>
  <c r="AC1358" i="7"/>
  <c r="AA1366" i="7"/>
  <c r="AF1366" i="7" s="1"/>
  <c r="AC1366" i="7"/>
  <c r="AA1307" i="7"/>
  <c r="AF1307" i="7" s="1"/>
  <c r="AA1309" i="7"/>
  <c r="AF1309" i="7" s="1"/>
  <c r="AA1311" i="7"/>
  <c r="AF1311" i="7" s="1"/>
  <c r="AA1313" i="7"/>
  <c r="AF1313" i="7" s="1"/>
  <c r="AA1315" i="7"/>
  <c r="AF1315" i="7" s="1"/>
  <c r="AA1317" i="7"/>
  <c r="AF1317" i="7" s="1"/>
  <c r="AA1319" i="7"/>
  <c r="AF1319" i="7" s="1"/>
  <c r="AA1321" i="7"/>
  <c r="AF1321" i="7" s="1"/>
  <c r="AA1323" i="7"/>
  <c r="AF1323" i="7" s="1"/>
  <c r="AA1325" i="7"/>
  <c r="AF1325" i="7" s="1"/>
  <c r="AA1327" i="7"/>
  <c r="AF1327" i="7" s="1"/>
  <c r="AA1329" i="7"/>
  <c r="AF1329" i="7" s="1"/>
  <c r="AA1331" i="7"/>
  <c r="AF1331" i="7" s="1"/>
  <c r="AA1333" i="7"/>
  <c r="AF1333" i="7" s="1"/>
  <c r="AA1335" i="7"/>
  <c r="AF1335" i="7" s="1"/>
  <c r="AA1337" i="7"/>
  <c r="AF1337" i="7" s="1"/>
  <c r="AA1339" i="7"/>
  <c r="AF1339" i="7" s="1"/>
  <c r="AA1341" i="7"/>
  <c r="AF1341" i="7" s="1"/>
  <c r="AA1343" i="7"/>
  <c r="AF1343" i="7" s="1"/>
  <c r="AA1345" i="7"/>
  <c r="AF1345" i="7" s="1"/>
  <c r="AA1347" i="7"/>
  <c r="AF1347" i="7" s="1"/>
  <c r="AA1349" i="7"/>
  <c r="AF1349" i="7" s="1"/>
  <c r="AA1351" i="7"/>
  <c r="AF1351" i="7" s="1"/>
  <c r="AA1353" i="7"/>
  <c r="AF1353" i="7" s="1"/>
  <c r="AA1355" i="7"/>
  <c r="AF1355" i="7" s="1"/>
  <c r="AA1359" i="7"/>
  <c r="AF1359" i="7" s="1"/>
  <c r="AA1361" i="7"/>
  <c r="AF1361" i="7" s="1"/>
  <c r="AA1363" i="7"/>
  <c r="AF1363" i="7" s="1"/>
  <c r="AA1365" i="7"/>
  <c r="AF1365" i="7" s="1"/>
  <c r="AA1367" i="7"/>
  <c r="AF1367" i="7" s="1"/>
  <c r="AA1369" i="7"/>
  <c r="AF1369" i="7" s="1"/>
  <c r="AA1385" i="7"/>
  <c r="AF1385" i="7" s="1"/>
  <c r="AA1387" i="7"/>
  <c r="AF1387" i="7" s="1"/>
  <c r="AA1389" i="7"/>
  <c r="AF1389" i="7" s="1"/>
  <c r="AA1391" i="7"/>
  <c r="AF1391" i="7" s="1"/>
  <c r="AA1393" i="7"/>
  <c r="AF1393" i="7" s="1"/>
  <c r="AA1395" i="7"/>
  <c r="AF1395" i="7" s="1"/>
  <c r="AA1397" i="7"/>
  <c r="AF1397" i="7" s="1"/>
  <c r="AA1399" i="7"/>
  <c r="AF1399" i="7" s="1"/>
  <c r="AA1401" i="7"/>
  <c r="AF1401" i="7" s="1"/>
  <c r="AA1403" i="7"/>
  <c r="AF1403" i="7" s="1"/>
  <c r="AA1405" i="7"/>
  <c r="AF1405" i="7" s="1"/>
  <c r="AA1407" i="7"/>
  <c r="AF1407" i="7" s="1"/>
  <c r="AA1409" i="7"/>
  <c r="AF1409" i="7" s="1"/>
  <c r="AA1411" i="7"/>
  <c r="AF1411" i="7" s="1"/>
  <c r="AA1413" i="7"/>
  <c r="AF1413" i="7" s="1"/>
  <c r="AC2344" i="6"/>
  <c r="AA2344" i="6"/>
  <c r="AF2344" i="6" s="1"/>
  <c r="AC2173" i="6"/>
  <c r="AA2173" i="6"/>
  <c r="AF2173" i="6" s="1"/>
  <c r="AC2319" i="6"/>
  <c r="AA2319" i="6"/>
  <c r="AF2319" i="6" s="1"/>
  <c r="AC2176" i="6"/>
  <c r="AA2176" i="6"/>
  <c r="AF2176" i="6" s="1"/>
  <c r="AC2126" i="6"/>
  <c r="AA2126" i="6"/>
  <c r="AF2126" i="6" s="1"/>
  <c r="AA2238" i="6"/>
  <c r="AF2238" i="6" s="1"/>
  <c r="AA2311" i="6"/>
  <c r="AF2311" i="6" s="1"/>
  <c r="AC2353" i="6"/>
  <c r="AA2353" i="6"/>
  <c r="AE2353" i="6" s="1"/>
  <c r="AF2353" i="6" s="1"/>
  <c r="AA2431" i="6"/>
  <c r="AF2431" i="6" s="1"/>
  <c r="AA2689" i="6"/>
  <c r="AF2689" i="6" s="1"/>
  <c r="AC2883" i="6"/>
  <c r="AA2883" i="6"/>
  <c r="AF2883" i="6" s="1"/>
  <c r="AA2135" i="6"/>
  <c r="AF2135" i="6" s="1"/>
  <c r="AA2142" i="6"/>
  <c r="AF2142" i="6" s="1"/>
  <c r="AA2144" i="6"/>
  <c r="AF2144" i="6" s="1"/>
  <c r="AA2146" i="6"/>
  <c r="AF2146" i="6" s="1"/>
  <c r="AA2148" i="6"/>
  <c r="AF2148" i="6" s="1"/>
  <c r="AC2174" i="6"/>
  <c r="AA2178" i="6"/>
  <c r="AF2178" i="6" s="1"/>
  <c r="AA2180" i="6"/>
  <c r="AF2180" i="6" s="1"/>
  <c r="AC2212" i="6"/>
  <c r="AA2219" i="6"/>
  <c r="AF2219" i="6" s="1"/>
  <c r="AA2221" i="6"/>
  <c r="AF2221" i="6" s="1"/>
  <c r="AA2223" i="6"/>
  <c r="AF2223" i="6" s="1"/>
  <c r="AC2225" i="6"/>
  <c r="AC2233" i="6"/>
  <c r="AA2244" i="6"/>
  <c r="AF2244" i="6" s="1"/>
  <c r="AC2248" i="6"/>
  <c r="AC2258" i="6"/>
  <c r="AA2258" i="6"/>
  <c r="AE2258" i="6" s="1"/>
  <c r="AF2258" i="6" s="1"/>
  <c r="AA2272" i="6"/>
  <c r="AF2272" i="6" s="1"/>
  <c r="AA2282" i="6"/>
  <c r="AF2282" i="6" s="1"/>
  <c r="AC2291" i="6"/>
  <c r="AA2291" i="6"/>
  <c r="AF2291" i="6" s="1"/>
  <c r="AC2347" i="6"/>
  <c r="AA2378" i="6"/>
  <c r="AF2378" i="6" s="1"/>
  <c r="AA2382" i="6"/>
  <c r="AF2382" i="6" s="1"/>
  <c r="AC2386" i="6"/>
  <c r="AA2386" i="6"/>
  <c r="AF2386" i="6" s="1"/>
  <c r="AA2399" i="6"/>
  <c r="AF2399" i="6" s="1"/>
  <c r="AC2405" i="6"/>
  <c r="AC2341" i="6"/>
  <c r="AA2341" i="6"/>
  <c r="AF2341" i="6" s="1"/>
  <c r="AA2150" i="6"/>
  <c r="AF2150" i="6" s="1"/>
  <c r="AA2152" i="6"/>
  <c r="AF2152" i="6" s="1"/>
  <c r="AA2154" i="6"/>
  <c r="AF2154" i="6" s="1"/>
  <c r="AA2156" i="6"/>
  <c r="AF2156" i="6" s="1"/>
  <c r="AA2158" i="6"/>
  <c r="AF2158" i="6" s="1"/>
  <c r="AA2160" i="6"/>
  <c r="AF2160" i="6" s="1"/>
  <c r="AA2162" i="6"/>
  <c r="AF2162" i="6" s="1"/>
  <c r="AA2164" i="6"/>
  <c r="AF2164" i="6" s="1"/>
  <c r="AA2166" i="6"/>
  <c r="AF2166" i="6" s="1"/>
  <c r="AA2228" i="6"/>
  <c r="AF2228" i="6" s="1"/>
  <c r="AA2242" i="6"/>
  <c r="AF2242" i="6" s="1"/>
  <c r="AA2246" i="6"/>
  <c r="AF2246" i="6" s="1"/>
  <c r="AA2252" i="6"/>
  <c r="AF2252" i="6" s="1"/>
  <c r="AC2255" i="6"/>
  <c r="AA2255" i="6"/>
  <c r="AF2255" i="6" s="1"/>
  <c r="AC2297" i="6"/>
  <c r="AA2297" i="6"/>
  <c r="AF2297" i="6" s="1"/>
  <c r="AA2326" i="6"/>
  <c r="AF2326" i="6" s="1"/>
  <c r="AA2339" i="6"/>
  <c r="AF2339" i="6" s="1"/>
  <c r="AC2348" i="6"/>
  <c r="AA2348" i="6"/>
  <c r="AF2348" i="6" s="1"/>
  <c r="AA2171" i="6"/>
  <c r="AF2171" i="6" s="1"/>
  <c r="AA2204" i="6"/>
  <c r="AF2204" i="6" s="1"/>
  <c r="AA2206" i="6"/>
  <c r="AF2206" i="6" s="1"/>
  <c r="AA2208" i="6"/>
  <c r="AF2208" i="6" s="1"/>
  <c r="AA2249" i="6"/>
  <c r="AF2249" i="6" s="1"/>
  <c r="AA2261" i="6"/>
  <c r="AF2261" i="6" s="1"/>
  <c r="AC2345" i="6"/>
  <c r="AA2368" i="6"/>
  <c r="AE2368" i="6" s="1"/>
  <c r="AF2368" i="6" s="1"/>
  <c r="AA2429" i="6"/>
  <c r="AF2429" i="6" s="1"/>
  <c r="AC2299" i="6"/>
  <c r="AA2299" i="6"/>
  <c r="AF2299" i="6" s="1"/>
  <c r="AA2254" i="6"/>
  <c r="AF2254" i="6" s="1"/>
  <c r="AC2421" i="6"/>
  <c r="AA2421" i="6"/>
  <c r="AF2421" i="6" s="1"/>
  <c r="AA2175" i="6"/>
  <c r="AF2175" i="6" s="1"/>
  <c r="AA2226" i="6"/>
  <c r="AF2226" i="6" s="1"/>
  <c r="AA2309" i="6"/>
  <c r="AF2309" i="6" s="1"/>
  <c r="AC2340" i="6"/>
  <c r="AA2340" i="6"/>
  <c r="AF2340" i="6" s="1"/>
  <c r="AA2397" i="6"/>
  <c r="AF2397" i="6" s="1"/>
  <c r="AA2411" i="6"/>
  <c r="AF2411" i="6" s="1"/>
  <c r="AA2415" i="6"/>
  <c r="AF2415" i="6" s="1"/>
  <c r="AA2419" i="6"/>
  <c r="AF2419" i="6" s="1"/>
  <c r="AA2417" i="6"/>
  <c r="AF2417" i="6" s="1"/>
  <c r="AA2235" i="6"/>
  <c r="AF2235" i="6" s="1"/>
  <c r="AC2295" i="6"/>
  <c r="AA2295" i="6"/>
  <c r="AF2295" i="6" s="1"/>
  <c r="AC2346" i="6"/>
  <c r="AA2346" i="6"/>
  <c r="AF2346" i="6" s="1"/>
  <c r="AC2349" i="6"/>
  <c r="AA2349" i="6"/>
  <c r="AF2349" i="6" s="1"/>
  <c r="AC2423" i="6"/>
  <c r="AA2423" i="6"/>
  <c r="AF2423" i="6" s="1"/>
  <c r="AA2251" i="6"/>
  <c r="AF2251" i="6" s="1"/>
  <c r="AA2413" i="6"/>
  <c r="AF2413" i="6" s="1"/>
  <c r="AC2328" i="6"/>
  <c r="AA2328" i="6"/>
  <c r="AE2328" i="6" s="1"/>
  <c r="AF2328" i="6" s="1"/>
  <c r="AC2862" i="6"/>
  <c r="AA2862" i="6"/>
  <c r="AF2862" i="6" s="1"/>
  <c r="AC2482" i="6"/>
  <c r="AA2482" i="6"/>
  <c r="AF2482" i="6" s="1"/>
  <c r="AA2314" i="6"/>
  <c r="AF2314" i="6" s="1"/>
  <c r="AA2338" i="6"/>
  <c r="AF2338" i="6" s="1"/>
  <c r="AA2343" i="6"/>
  <c r="AF2343" i="6" s="1"/>
  <c r="AA2367" i="6"/>
  <c r="AF2367" i="6" s="1"/>
  <c r="AA2390" i="6"/>
  <c r="AF2390" i="6" s="1"/>
  <c r="AA2392" i="6"/>
  <c r="AF2392" i="6" s="1"/>
  <c r="AA2394" i="6"/>
  <c r="AF2394" i="6" s="1"/>
  <c r="AA2310" i="6"/>
  <c r="AF2310" i="6" s="1"/>
  <c r="AA2320" i="6"/>
  <c r="AF2320" i="6" s="1"/>
  <c r="AA2325" i="6"/>
  <c r="AF2325" i="6" s="1"/>
  <c r="AA2327" i="6"/>
  <c r="AE2327" i="6" s="1"/>
  <c r="AF2327" i="6" s="1"/>
  <c r="AA2379" i="6"/>
  <c r="AF2379" i="6" s="1"/>
  <c r="AA2381" i="6"/>
  <c r="AF2381" i="6" s="1"/>
  <c r="AA2383" i="6"/>
  <c r="AF2383" i="6" s="1"/>
  <c r="AA2412" i="6"/>
  <c r="AF2412" i="6" s="1"/>
  <c r="AA2414" i="6"/>
  <c r="AF2414" i="6" s="1"/>
  <c r="AA2416" i="6"/>
  <c r="AF2416" i="6" s="1"/>
  <c r="AA2418" i="6"/>
  <c r="AF2418" i="6" s="1"/>
  <c r="AA2474" i="6"/>
  <c r="AF2474" i="6" s="1"/>
  <c r="AC2859" i="6"/>
  <c r="AA2859" i="6"/>
  <c r="AF2859" i="6" s="1"/>
  <c r="AC2869" i="6"/>
  <c r="AA2869" i="6"/>
  <c r="AF2869" i="6" s="1"/>
  <c r="AC2455" i="6"/>
  <c r="AA2455" i="6"/>
  <c r="AF2455" i="6" s="1"/>
  <c r="AA2480" i="6"/>
  <c r="AF2480" i="6" s="1"/>
  <c r="AC2852" i="6"/>
  <c r="AA2852" i="6"/>
  <c r="AF2852" i="6" s="1"/>
  <c r="AC2870" i="6"/>
  <c r="AA2870" i="6"/>
  <c r="AF2870" i="6" s="1"/>
  <c r="AC2484" i="6"/>
  <c r="AA2484" i="6"/>
  <c r="AF2484" i="6" s="1"/>
  <c r="AC2876" i="6"/>
  <c r="AA2876" i="6"/>
  <c r="AF2876" i="6" s="1"/>
  <c r="AC2882" i="6"/>
  <c r="AA2882" i="6"/>
  <c r="AF2882" i="6" s="1"/>
  <c r="AC2886" i="6"/>
  <c r="AA2886" i="6"/>
  <c r="AF2886" i="6" s="1"/>
  <c r="AA2457" i="6"/>
  <c r="AF2457" i="6" s="1"/>
  <c r="AA2486" i="6"/>
  <c r="AF2486" i="6" s="1"/>
  <c r="AA2488" i="6"/>
  <c r="AF2488" i="6" s="1"/>
  <c r="AC2861" i="6"/>
  <c r="AA2861" i="6"/>
  <c r="AF2861" i="6" s="1"/>
  <c r="AC2867" i="6"/>
  <c r="AA2867" i="6"/>
  <c r="AF2867" i="6" s="1"/>
  <c r="AA2877" i="6"/>
  <c r="AF2877" i="6" s="1"/>
  <c r="AC2880" i="6"/>
  <c r="AA2880" i="6"/>
  <c r="AF2880" i="6" s="1"/>
  <c r="AA2459" i="6"/>
  <c r="AF2459" i="6" s="1"/>
  <c r="AA2463" i="6"/>
  <c r="AF2463" i="6" s="1"/>
  <c r="AA2465" i="6"/>
  <c r="AF2465" i="6" s="1"/>
  <c r="AA2467" i="6"/>
  <c r="AF2467" i="6" s="1"/>
  <c r="AA2490" i="6"/>
  <c r="AF2490" i="6" s="1"/>
  <c r="AA2492" i="6"/>
  <c r="AF2492" i="6" s="1"/>
  <c r="AA2494" i="6"/>
  <c r="AF2494" i="6" s="1"/>
  <c r="AA2887" i="6"/>
  <c r="AF2887" i="6" s="1"/>
  <c r="AA2475" i="6"/>
  <c r="AF2475" i="6" s="1"/>
  <c r="AA2477" i="6"/>
  <c r="AF2477" i="6" s="1"/>
  <c r="AA2479" i="6"/>
  <c r="AF2479" i="6" s="1"/>
  <c r="AA2850" i="6"/>
  <c r="AF2850" i="6" s="1"/>
  <c r="AC2853" i="6"/>
  <c r="AA2853" i="6"/>
  <c r="AF2853" i="6" s="1"/>
  <c r="AA2868" i="6"/>
  <c r="AF2868" i="6" s="1"/>
  <c r="AA2881" i="6"/>
  <c r="AF2881" i="6" s="1"/>
  <c r="AC2884" i="6"/>
  <c r="AA2884" i="6"/>
  <c r="AF2884" i="6" s="1"/>
  <c r="AC2865" i="6"/>
  <c r="AA2865" i="6"/>
  <c r="AF2865" i="6" s="1"/>
  <c r="AA2875" i="6"/>
  <c r="AF2875" i="6" s="1"/>
  <c r="AC2878" i="6"/>
  <c r="AA2878" i="6"/>
  <c r="AF2878" i="6" s="1"/>
  <c r="AC2888" i="6"/>
  <c r="AA2888" i="6"/>
  <c r="AF2888" i="6" s="1"/>
  <c r="AA2863" i="6"/>
  <c r="AF2863" i="6" s="1"/>
  <c r="AA1289" i="7"/>
  <c r="AF1289" i="7" s="1"/>
  <c r="AC1289" i="7"/>
  <c r="AC1047" i="7"/>
  <c r="AA1047" i="7"/>
  <c r="AF1047" i="7" s="1"/>
  <c r="AC1291" i="7"/>
  <c r="AA1291" i="7"/>
  <c r="AF1291" i="7" s="1"/>
  <c r="AA1228" i="7"/>
  <c r="AF1228" i="7" s="1"/>
  <c r="AA1230" i="7"/>
  <c r="AF1230" i="7" s="1"/>
  <c r="AA1232" i="7"/>
  <c r="AF1232" i="7" s="1"/>
  <c r="AA1234" i="7"/>
  <c r="AF1234" i="7" s="1"/>
  <c r="AA1108" i="7"/>
  <c r="AF1108" i="7" s="1"/>
  <c r="AA1090" i="7"/>
  <c r="AF1090" i="7" s="1"/>
  <c r="AC1968" i="6"/>
  <c r="AA1968" i="6"/>
  <c r="AF1968" i="6" s="1"/>
  <c r="AC1755" i="6"/>
  <c r="AC1757" i="6"/>
  <c r="AC1759" i="6"/>
  <c r="AC1761" i="6"/>
  <c r="AC1763" i="6"/>
  <c r="AC1765" i="6"/>
  <c r="AC1767" i="6"/>
  <c r="AC1769" i="6"/>
  <c r="AC1771" i="6"/>
  <c r="AC1804" i="6"/>
  <c r="AC1806" i="6"/>
  <c r="AC1868" i="6"/>
  <c r="AC1976" i="6"/>
  <c r="AA1976" i="6"/>
  <c r="AF1976" i="6" s="1"/>
  <c r="AC1980" i="6"/>
  <c r="AA1980" i="6"/>
  <c r="AF1980" i="6" s="1"/>
  <c r="AC2112" i="6"/>
  <c r="AA2112" i="6"/>
  <c r="AF2112" i="6" s="1"/>
  <c r="AC2008" i="6"/>
  <c r="AA2008" i="6"/>
  <c r="AF2008" i="6" s="1"/>
  <c r="AA1784" i="6"/>
  <c r="AF1784" i="6" s="1"/>
  <c r="AA1866" i="6"/>
  <c r="AF1866" i="6" s="1"/>
  <c r="AC2033" i="6"/>
  <c r="AA2033" i="6"/>
  <c r="AF2033" i="6" s="1"/>
  <c r="AC2073" i="6"/>
  <c r="AA1803" i="6"/>
  <c r="AF1803" i="6" s="1"/>
  <c r="AA1805" i="6"/>
  <c r="AF1805" i="6" s="1"/>
  <c r="AA1807" i="6"/>
  <c r="AF1807" i="6" s="1"/>
  <c r="AA1809" i="6"/>
  <c r="AF1809" i="6" s="1"/>
  <c r="AA1811" i="6"/>
  <c r="AF1811" i="6" s="1"/>
  <c r="AA1813" i="6"/>
  <c r="AF1813" i="6" s="1"/>
  <c r="AA1815" i="6"/>
  <c r="AF1815" i="6" s="1"/>
  <c r="AA1817" i="6"/>
  <c r="AF1817" i="6" s="1"/>
  <c r="AA1819" i="6"/>
  <c r="AF1819" i="6" s="1"/>
  <c r="AA1821" i="6"/>
  <c r="AF1821" i="6" s="1"/>
  <c r="AA1862" i="6"/>
  <c r="AF1862" i="6" s="1"/>
  <c r="AA1864" i="6"/>
  <c r="AF1864" i="6" s="1"/>
  <c r="AC1970" i="6"/>
  <c r="AA1970" i="6"/>
  <c r="AF1970" i="6" s="1"/>
  <c r="AC1974" i="6"/>
  <c r="AA1974" i="6"/>
  <c r="AF1974" i="6" s="1"/>
  <c r="AC2004" i="6"/>
  <c r="AA2004" i="6"/>
  <c r="AF2004" i="6" s="1"/>
  <c r="AC2074" i="6"/>
  <c r="AA2074" i="6"/>
  <c r="AF2074" i="6" s="1"/>
  <c r="AC2097" i="6"/>
  <c r="AA2097" i="6"/>
  <c r="AF2097" i="6" s="1"/>
  <c r="AC2121" i="6"/>
  <c r="AA2121" i="6"/>
  <c r="AF2121" i="6" s="1"/>
  <c r="AA1749" i="6"/>
  <c r="AF1749" i="6" s="1"/>
  <c r="AA1795" i="6"/>
  <c r="AF1795" i="6" s="1"/>
  <c r="AA1797" i="6"/>
  <c r="AF1797" i="6" s="1"/>
  <c r="AA1799" i="6"/>
  <c r="AF1799" i="6" s="1"/>
  <c r="AA1801" i="6"/>
  <c r="AF1801" i="6" s="1"/>
  <c r="AC1978" i="6"/>
  <c r="AA1978" i="6"/>
  <c r="AF1978" i="6" s="1"/>
  <c r="AC1982" i="6"/>
  <c r="AA1982" i="6"/>
  <c r="AF1982" i="6" s="1"/>
  <c r="AC2010" i="6"/>
  <c r="AA2010" i="6"/>
  <c r="AF2010" i="6" s="1"/>
  <c r="AC2034" i="6"/>
  <c r="AC2069" i="6"/>
  <c r="AA2069" i="6"/>
  <c r="AF2069" i="6" s="1"/>
  <c r="AC2098" i="6"/>
  <c r="AA2098" i="6"/>
  <c r="AF2098" i="6" s="1"/>
  <c r="AC2070" i="6"/>
  <c r="AA2070" i="6"/>
  <c r="AF2070" i="6" s="1"/>
  <c r="AA2099" i="6"/>
  <c r="AF2099" i="6" s="1"/>
  <c r="AC2099" i="6"/>
  <c r="AA1783" i="6"/>
  <c r="AF1783" i="6" s="1"/>
  <c r="AC2006" i="6"/>
  <c r="AA2006" i="6"/>
  <c r="AF2006" i="6" s="1"/>
  <c r="AC1966" i="6"/>
  <c r="AA1966" i="6"/>
  <c r="AF1966" i="6" s="1"/>
  <c r="AC1972" i="6"/>
  <c r="AA1972" i="6"/>
  <c r="AF1972" i="6" s="1"/>
  <c r="AC2012" i="6"/>
  <c r="AA2012" i="6"/>
  <c r="AF2012" i="6" s="1"/>
  <c r="AC2031" i="6"/>
  <c r="AA2031" i="6"/>
  <c r="AF2031" i="6" s="1"/>
  <c r="AC2054" i="6"/>
  <c r="AA2054" i="6"/>
  <c r="AF2054" i="6" s="1"/>
  <c r="AC1876" i="6"/>
  <c r="AC1878" i="6"/>
  <c r="AC1880" i="6"/>
  <c r="AC1882" i="6"/>
  <c r="AC1884" i="6"/>
  <c r="AC1909" i="6"/>
  <c r="AC1916" i="6"/>
  <c r="AC1918" i="6"/>
  <c r="AC1920" i="6"/>
  <c r="AC1951" i="6"/>
  <c r="AC1953" i="6"/>
  <c r="AC1955" i="6"/>
  <c r="AC1957" i="6"/>
  <c r="AC1983" i="6"/>
  <c r="AC2013" i="6"/>
  <c r="AC2071" i="6"/>
  <c r="AC2077" i="6"/>
  <c r="AC2079" i="6"/>
  <c r="AC2081" i="6"/>
  <c r="AA1952" i="6"/>
  <c r="AF1952" i="6" s="1"/>
  <c r="AA1954" i="6"/>
  <c r="AF1954" i="6" s="1"/>
  <c r="AA1956" i="6"/>
  <c r="AF1956" i="6" s="1"/>
  <c r="AA1958" i="6"/>
  <c r="AF1958" i="6" s="1"/>
  <c r="AA1960" i="6"/>
  <c r="AF1960" i="6" s="1"/>
  <c r="AA1962" i="6"/>
  <c r="AF1962" i="6" s="1"/>
  <c r="AA2072" i="6"/>
  <c r="AF2072" i="6" s="1"/>
  <c r="AA2078" i="6"/>
  <c r="AF2078" i="6" s="1"/>
  <c r="AA2080" i="6"/>
  <c r="AF2080" i="6" s="1"/>
  <c r="AA2108" i="6"/>
  <c r="AF2108" i="6" s="1"/>
  <c r="AA2110" i="6"/>
  <c r="AF2110" i="6" s="1"/>
  <c r="AA2117" i="6"/>
  <c r="AF2117" i="6" s="1"/>
  <c r="AA2119" i="6"/>
  <c r="AF2119" i="6" s="1"/>
  <c r="AA1926" i="6"/>
  <c r="AF1926" i="6" s="1"/>
  <c r="AA2014" i="6"/>
  <c r="AF2014" i="6" s="1"/>
  <c r="AA2035" i="6"/>
  <c r="AF2035" i="6" s="1"/>
  <c r="AA2037" i="6"/>
  <c r="AF2037" i="6" s="1"/>
  <c r="AA2039" i="6"/>
  <c r="AF2039" i="6" s="1"/>
  <c r="AA2102" i="6"/>
  <c r="AF2102" i="6" s="1"/>
  <c r="AA2104" i="6"/>
  <c r="AF2104" i="6" s="1"/>
  <c r="AA2124" i="6"/>
  <c r="AF2124" i="6" s="1"/>
  <c r="AA1911" i="6"/>
  <c r="AF1911" i="6" s="1"/>
  <c r="AA1965" i="6"/>
  <c r="AF1965" i="6" s="1"/>
  <c r="AA1967" i="6"/>
  <c r="AF1967" i="6" s="1"/>
  <c r="AA1969" i="6"/>
  <c r="AF1969" i="6" s="1"/>
  <c r="AA2122" i="6"/>
  <c r="AF2122" i="6" s="1"/>
  <c r="AC862" i="7"/>
  <c r="AC900" i="7"/>
  <c r="AA900" i="7"/>
  <c r="AF900" i="7" s="1"/>
  <c r="AC908" i="7"/>
  <c r="AA908" i="7"/>
  <c r="AF908" i="7" s="1"/>
  <c r="AA863" i="7"/>
  <c r="AF863" i="7" s="1"/>
  <c r="AA865" i="7"/>
  <c r="AF865" i="7" s="1"/>
  <c r="AA867" i="7"/>
  <c r="AF867" i="7" s="1"/>
  <c r="AA869" i="7"/>
  <c r="AF869" i="7" s="1"/>
  <c r="AA871" i="7"/>
  <c r="AF871" i="7" s="1"/>
  <c r="AA873" i="7"/>
  <c r="AF873" i="7" s="1"/>
  <c r="AA875" i="7"/>
  <c r="AF875" i="7" s="1"/>
  <c r="AA877" i="7"/>
  <c r="AF877" i="7" s="1"/>
  <c r="AA879" i="7"/>
  <c r="AF879" i="7" s="1"/>
  <c r="AA881" i="7"/>
  <c r="AF881" i="7" s="1"/>
  <c r="AA883" i="7"/>
  <c r="AF883" i="7" s="1"/>
  <c r="AA885" i="7"/>
  <c r="AF885" i="7" s="1"/>
  <c r="AA887" i="7"/>
  <c r="AF887" i="7" s="1"/>
  <c r="AA889" i="7"/>
  <c r="AF889" i="7" s="1"/>
  <c r="AA891" i="7"/>
  <c r="AF891" i="7" s="1"/>
  <c r="AA893" i="7"/>
  <c r="AF893" i="7" s="1"/>
  <c r="AA895" i="7"/>
  <c r="AF895" i="7" s="1"/>
  <c r="AA897" i="7"/>
  <c r="AF897" i="7" s="1"/>
  <c r="AA899" i="7"/>
  <c r="AF899" i="7" s="1"/>
  <c r="AA907" i="7"/>
  <c r="AF907" i="7" s="1"/>
  <c r="AA915" i="7"/>
  <c r="AF915" i="7" s="1"/>
  <c r="AA917" i="7"/>
  <c r="AF917" i="7" s="1"/>
  <c r="AA919" i="7"/>
  <c r="AF919" i="7" s="1"/>
  <c r="AA921" i="7"/>
  <c r="AF921" i="7" s="1"/>
  <c r="AA923" i="7"/>
  <c r="AF923" i="7" s="1"/>
  <c r="AA925" i="7"/>
  <c r="AF925" i="7" s="1"/>
  <c r="AA927" i="7"/>
  <c r="AF927" i="7" s="1"/>
  <c r="AA929" i="7"/>
  <c r="AF929" i="7" s="1"/>
  <c r="AA931" i="7"/>
  <c r="AF931" i="7" s="1"/>
  <c r="AA933" i="7"/>
  <c r="AF933" i="7" s="1"/>
  <c r="AA935" i="7"/>
  <c r="AF935" i="7" s="1"/>
  <c r="AA937" i="7"/>
  <c r="AF937" i="7" s="1"/>
  <c r="AA939" i="7"/>
  <c r="AF939" i="7" s="1"/>
  <c r="AA941" i="7"/>
  <c r="AF941" i="7" s="1"/>
  <c r="AA943" i="7"/>
  <c r="AF943" i="7" s="1"/>
  <c r="AA945" i="7"/>
  <c r="AF945" i="7" s="1"/>
  <c r="AA947" i="7"/>
  <c r="AF947" i="7" s="1"/>
  <c r="AA949" i="7"/>
  <c r="AF949" i="7" s="1"/>
  <c r="AA951" i="7"/>
  <c r="AF951" i="7" s="1"/>
  <c r="AA953" i="7"/>
  <c r="AF953" i="7" s="1"/>
  <c r="AA955" i="7"/>
  <c r="AF955" i="7" s="1"/>
  <c r="AA957" i="7"/>
  <c r="AF957" i="7" s="1"/>
  <c r="AA959" i="7"/>
  <c r="AF959" i="7" s="1"/>
  <c r="AA961" i="7"/>
  <c r="AF961" i="7" s="1"/>
  <c r="AA963" i="7"/>
  <c r="AF963" i="7" s="1"/>
  <c r="AA965" i="7"/>
  <c r="AF965" i="7" s="1"/>
  <c r="AA967" i="7"/>
  <c r="AF967" i="7" s="1"/>
  <c r="AA969" i="7"/>
  <c r="AF969" i="7" s="1"/>
  <c r="AA971" i="7"/>
  <c r="AF971" i="7" s="1"/>
  <c r="AA973" i="7"/>
  <c r="AF973" i="7" s="1"/>
  <c r="AA975" i="7"/>
  <c r="AF975" i="7" s="1"/>
  <c r="AA977" i="7"/>
  <c r="AF977" i="7" s="1"/>
  <c r="AA981" i="7"/>
  <c r="AF981" i="7" s="1"/>
  <c r="AA983" i="7"/>
  <c r="AF983" i="7" s="1"/>
  <c r="AA985" i="7"/>
  <c r="AF985" i="7" s="1"/>
  <c r="AA989" i="7"/>
  <c r="AF989" i="7" s="1"/>
  <c r="AC1442" i="6"/>
  <c r="AA1442" i="6"/>
  <c r="AF1442" i="6" s="1"/>
  <c r="AC1302" i="6"/>
  <c r="AA1302" i="6"/>
  <c r="AF1302" i="6" s="1"/>
  <c r="AC1529" i="6"/>
  <c r="AA1529" i="6"/>
  <c r="AF1529" i="6" s="1"/>
  <c r="AC1731" i="6"/>
  <c r="AA1731" i="6"/>
  <c r="AF1731" i="6" s="1"/>
  <c r="AA1290" i="6"/>
  <c r="AF1290" i="6" s="1"/>
  <c r="AA1292" i="6"/>
  <c r="AF1292" i="6" s="1"/>
  <c r="AA1294" i="6"/>
  <c r="AF1294" i="6" s="1"/>
  <c r="AA1296" i="6"/>
  <c r="AF1296" i="6" s="1"/>
  <c r="AA1298" i="6"/>
  <c r="AF1298" i="6" s="1"/>
  <c r="AA1300" i="6"/>
  <c r="AF1300" i="6" s="1"/>
  <c r="AA1368" i="6"/>
  <c r="AF1368" i="6" s="1"/>
  <c r="AA1374" i="6"/>
  <c r="AF1374" i="6" s="1"/>
  <c r="AA1379" i="6"/>
  <c r="AF1379" i="6" s="1"/>
  <c r="AC1430" i="6"/>
  <c r="AA1430" i="6"/>
  <c r="AF1430" i="6" s="1"/>
  <c r="AA1490" i="6"/>
  <c r="AF1490" i="6" s="1"/>
  <c r="AA1506" i="6"/>
  <c r="AF1506" i="6" s="1"/>
  <c r="AA1510" i="6"/>
  <c r="AF1510" i="6" s="1"/>
  <c r="AA1514" i="6"/>
  <c r="AF1514" i="6" s="1"/>
  <c r="AA1519" i="6"/>
  <c r="AF1519" i="6" s="1"/>
  <c r="AC1580" i="6"/>
  <c r="AA1580" i="6"/>
  <c r="AF1580" i="6" s="1"/>
  <c r="AC1623" i="6"/>
  <c r="AA1623" i="6"/>
  <c r="AF1623" i="6" s="1"/>
  <c r="AC1726" i="6"/>
  <c r="AC1736" i="6"/>
  <c r="AA1736" i="6"/>
  <c r="AF1736" i="6" s="1"/>
  <c r="AC1412" i="6"/>
  <c r="AA1412" i="6"/>
  <c r="AF1412" i="6" s="1"/>
  <c r="AC1416" i="6"/>
  <c r="AA1416" i="6"/>
  <c r="AF1416" i="6" s="1"/>
  <c r="AC1420" i="6"/>
  <c r="AA1420" i="6"/>
  <c r="AF1420" i="6" s="1"/>
  <c r="AC1441" i="6"/>
  <c r="AA1441" i="6"/>
  <c r="AF1441" i="6" s="1"/>
  <c r="AC1515" i="6"/>
  <c r="AA1515" i="6"/>
  <c r="AF1515" i="6" s="1"/>
  <c r="AC1709" i="6"/>
  <c r="AA1709" i="6"/>
  <c r="AF1709" i="6" s="1"/>
  <c r="AA1283" i="6"/>
  <c r="AF1283" i="6" s="1"/>
  <c r="AA1364" i="6"/>
  <c r="AF1364" i="6" s="1"/>
  <c r="AA1431" i="6"/>
  <c r="AF1431" i="6" s="1"/>
  <c r="AA1502" i="6"/>
  <c r="AF1502" i="6" s="1"/>
  <c r="AC1557" i="6"/>
  <c r="AA1557" i="6"/>
  <c r="AF1557" i="6" s="1"/>
  <c r="AC1610" i="6"/>
  <c r="AA1610" i="6"/>
  <c r="AF1610" i="6" s="1"/>
  <c r="AC1613" i="6"/>
  <c r="AA1613" i="6"/>
  <c r="AF1613" i="6" s="1"/>
  <c r="AC1679" i="6"/>
  <c r="AA1679" i="6"/>
  <c r="AF1679" i="6" s="1"/>
  <c r="AC1715" i="6"/>
  <c r="AA1715" i="6"/>
  <c r="AF1715" i="6" s="1"/>
  <c r="AC1306" i="6"/>
  <c r="AA1306" i="6"/>
  <c r="AF1306" i="6" s="1"/>
  <c r="AC1433" i="6"/>
  <c r="AA1433" i="6"/>
  <c r="AF1433" i="6" s="1"/>
  <c r="AA1285" i="6"/>
  <c r="AF1285" i="6" s="1"/>
  <c r="AA1287" i="6"/>
  <c r="AF1287" i="6" s="1"/>
  <c r="AA1289" i="6"/>
  <c r="AF1289" i="6" s="1"/>
  <c r="AC1304" i="6"/>
  <c r="AA1304" i="6"/>
  <c r="AF1304" i="6" s="1"/>
  <c r="AC1308" i="6"/>
  <c r="AA1308" i="6"/>
  <c r="AF1308" i="6" s="1"/>
  <c r="AC1312" i="6"/>
  <c r="AA1312" i="6"/>
  <c r="AF1312" i="6" s="1"/>
  <c r="AA1372" i="6"/>
  <c r="AF1372" i="6" s="1"/>
  <c r="AC1446" i="6"/>
  <c r="AA1446" i="6"/>
  <c r="AF1446" i="6" s="1"/>
  <c r="AA1461" i="6"/>
  <c r="AF1461" i="6" s="1"/>
  <c r="AA1492" i="6"/>
  <c r="AF1492" i="6" s="1"/>
  <c r="AA1516" i="6"/>
  <c r="AF1516" i="6" s="1"/>
  <c r="AC1533" i="6"/>
  <c r="AA1533" i="6"/>
  <c r="AF1533" i="6" s="1"/>
  <c r="AC1310" i="6"/>
  <c r="AA1310" i="6"/>
  <c r="AF1310" i="6" s="1"/>
  <c r="AC1444" i="6"/>
  <c r="AA1444" i="6"/>
  <c r="AF1444" i="6" s="1"/>
  <c r="AC1469" i="6"/>
  <c r="AA1469" i="6"/>
  <c r="AF1469" i="6" s="1"/>
  <c r="AA1291" i="6"/>
  <c r="AF1291" i="6" s="1"/>
  <c r="AA1293" i="6"/>
  <c r="AF1293" i="6" s="1"/>
  <c r="AA1295" i="6"/>
  <c r="AF1295" i="6" s="1"/>
  <c r="AA1297" i="6"/>
  <c r="AF1297" i="6" s="1"/>
  <c r="AA1299" i="6"/>
  <c r="AF1299" i="6" s="1"/>
  <c r="AC1301" i="6"/>
  <c r="AA1348" i="6"/>
  <c r="AF1348" i="6" s="1"/>
  <c r="AA1362" i="6"/>
  <c r="AF1362" i="6" s="1"/>
  <c r="AA1467" i="6"/>
  <c r="AF1467" i="6" s="1"/>
  <c r="AA1498" i="6"/>
  <c r="AF1498" i="6" s="1"/>
  <c r="AA1508" i="6"/>
  <c r="AF1508" i="6" s="1"/>
  <c r="AA1512" i="6"/>
  <c r="AF1512" i="6" s="1"/>
  <c r="AC1414" i="6"/>
  <c r="AA1414" i="6"/>
  <c r="AF1414" i="6" s="1"/>
  <c r="AC1418" i="6"/>
  <c r="AA1418" i="6"/>
  <c r="AF1418" i="6" s="1"/>
  <c r="AC1422" i="6"/>
  <c r="AA1422" i="6"/>
  <c r="AF1422" i="6" s="1"/>
  <c r="AC1480" i="6"/>
  <c r="AA1480" i="6"/>
  <c r="AF1480" i="6" s="1"/>
  <c r="AC1590" i="6"/>
  <c r="AA1590" i="6"/>
  <c r="AF1590" i="6" s="1"/>
  <c r="AC1593" i="6"/>
  <c r="AA1593" i="6"/>
  <c r="AF1593" i="6" s="1"/>
  <c r="AC1661" i="6"/>
  <c r="AA1661" i="6"/>
  <c r="AF1661" i="6" s="1"/>
  <c r="AC1669" i="6"/>
  <c r="AA1669" i="6"/>
  <c r="AF1669" i="6" s="1"/>
  <c r="AC1565" i="6"/>
  <c r="AA1565" i="6"/>
  <c r="AF1565" i="6" s="1"/>
  <c r="AC1631" i="6"/>
  <c r="AA1631" i="6"/>
  <c r="AF1631" i="6" s="1"/>
  <c r="AC1705" i="6"/>
  <c r="AA1705" i="6"/>
  <c r="AF1705" i="6" s="1"/>
  <c r="AC1742" i="6"/>
  <c r="AA1742" i="6"/>
  <c r="AF1742" i="6" s="1"/>
  <c r="AA1314" i="6"/>
  <c r="AF1314" i="6" s="1"/>
  <c r="AA1316" i="6"/>
  <c r="AF1316" i="6" s="1"/>
  <c r="AA1318" i="6"/>
  <c r="AF1318" i="6" s="1"/>
  <c r="AA1320" i="6"/>
  <c r="AF1320" i="6" s="1"/>
  <c r="AA1322" i="6"/>
  <c r="AF1322" i="6" s="1"/>
  <c r="AA1324" i="6"/>
  <c r="AF1324" i="6" s="1"/>
  <c r="AA1326" i="6"/>
  <c r="AF1326" i="6" s="1"/>
  <c r="AA1328" i="6"/>
  <c r="AF1328" i="6" s="1"/>
  <c r="AA1330" i="6"/>
  <c r="AF1330" i="6" s="1"/>
  <c r="AA1332" i="6"/>
  <c r="AF1332" i="6" s="1"/>
  <c r="AA1334" i="6"/>
  <c r="AF1334" i="6" s="1"/>
  <c r="AA1336" i="6"/>
  <c r="AF1336" i="6" s="1"/>
  <c r="AA1338" i="6"/>
  <c r="AF1338" i="6" s="1"/>
  <c r="AA1340" i="6"/>
  <c r="AF1340" i="6" s="1"/>
  <c r="AA1342" i="6"/>
  <c r="AF1342" i="6" s="1"/>
  <c r="AA1344" i="6"/>
  <c r="AF1344" i="6" s="1"/>
  <c r="AA1424" i="6"/>
  <c r="AF1424" i="6" s="1"/>
  <c r="AA1426" i="6"/>
  <c r="AF1426" i="6" s="1"/>
  <c r="AA1428" i="6"/>
  <c r="AF1428" i="6" s="1"/>
  <c r="AA1435" i="6"/>
  <c r="AF1435" i="6" s="1"/>
  <c r="AA1437" i="6"/>
  <c r="AF1437" i="6" s="1"/>
  <c r="AA1471" i="6"/>
  <c r="AF1471" i="6" s="1"/>
  <c r="AA1473" i="6"/>
  <c r="AF1473" i="6" s="1"/>
  <c r="AA1487" i="6"/>
  <c r="AF1487" i="6" s="1"/>
  <c r="AC1639" i="6"/>
  <c r="AA1639" i="6"/>
  <c r="AF1639" i="6" s="1"/>
  <c r="AC1711" i="6"/>
  <c r="AA1711" i="6"/>
  <c r="AF1711" i="6" s="1"/>
  <c r="AA1439" i="6"/>
  <c r="AF1439" i="6" s="1"/>
  <c r="AA1448" i="6"/>
  <c r="AF1448" i="6" s="1"/>
  <c r="AA1450" i="6"/>
  <c r="AF1450" i="6" s="1"/>
  <c r="AA1452" i="6"/>
  <c r="AF1452" i="6" s="1"/>
  <c r="AA1454" i="6"/>
  <c r="AF1454" i="6" s="1"/>
  <c r="AA1456" i="6"/>
  <c r="AF1456" i="6" s="1"/>
  <c r="AA1458" i="6"/>
  <c r="AF1458" i="6" s="1"/>
  <c r="AA1460" i="6"/>
  <c r="AF1460" i="6" s="1"/>
  <c r="AA1475" i="6"/>
  <c r="AF1475" i="6" s="1"/>
  <c r="AA1517" i="6"/>
  <c r="AF1517" i="6" s="1"/>
  <c r="AA1555" i="6"/>
  <c r="AF1555" i="6" s="1"/>
  <c r="AA1588" i="6"/>
  <c r="AF1588" i="6" s="1"/>
  <c r="AC1604" i="6"/>
  <c r="AA1604" i="6"/>
  <c r="AF1604" i="6" s="1"/>
  <c r="AC1647" i="6"/>
  <c r="AA1647" i="6"/>
  <c r="AF1647" i="6" s="1"/>
  <c r="AA1677" i="6"/>
  <c r="AF1677" i="6" s="1"/>
  <c r="AC1701" i="6"/>
  <c r="AA1701" i="6"/>
  <c r="AF1701" i="6" s="1"/>
  <c r="AC1728" i="6"/>
  <c r="AC1738" i="6"/>
  <c r="AA1738" i="6"/>
  <c r="AF1738" i="6" s="1"/>
  <c r="AA1411" i="6"/>
  <c r="AF1411" i="6" s="1"/>
  <c r="AA1462" i="6"/>
  <c r="AF1462" i="6" s="1"/>
  <c r="AA1464" i="6"/>
  <c r="AF1464" i="6" s="1"/>
  <c r="AA1466" i="6"/>
  <c r="AF1466" i="6" s="1"/>
  <c r="AA1468" i="6"/>
  <c r="AF1468" i="6" s="1"/>
  <c r="AA1491" i="6"/>
  <c r="AF1491" i="6" s="1"/>
  <c r="AA1493" i="6"/>
  <c r="AF1493" i="6" s="1"/>
  <c r="AA1495" i="6"/>
  <c r="AF1495" i="6" s="1"/>
  <c r="AA1497" i="6"/>
  <c r="AF1497" i="6" s="1"/>
  <c r="AA1499" i="6"/>
  <c r="AF1499" i="6" s="1"/>
  <c r="AA1501" i="6"/>
  <c r="AF1501" i="6" s="1"/>
  <c r="AA1503" i="6"/>
  <c r="AF1503" i="6" s="1"/>
  <c r="AA1505" i="6"/>
  <c r="AF1505" i="6" s="1"/>
  <c r="AA1541" i="6"/>
  <c r="AF1541" i="6" s="1"/>
  <c r="AA1553" i="6"/>
  <c r="AF1553" i="6" s="1"/>
  <c r="AC1576" i="6"/>
  <c r="AA1576" i="6"/>
  <c r="AF1576" i="6" s="1"/>
  <c r="AA1591" i="6"/>
  <c r="AF1591" i="6" s="1"/>
  <c r="AA1599" i="6"/>
  <c r="AF1599" i="6" s="1"/>
  <c r="AA1621" i="6"/>
  <c r="AF1621" i="6" s="1"/>
  <c r="AC1655" i="6"/>
  <c r="AA1655" i="6"/>
  <c r="AF1655" i="6" s="1"/>
  <c r="AC1707" i="6"/>
  <c r="AA1707" i="6"/>
  <c r="AF1707" i="6" s="1"/>
  <c r="AC1744" i="6"/>
  <c r="AA1744" i="6"/>
  <c r="AF1744" i="6" s="1"/>
  <c r="AC1612" i="6"/>
  <c r="AA1612" i="6"/>
  <c r="AF1612" i="6" s="1"/>
  <c r="AC1663" i="6"/>
  <c r="AA1663" i="6"/>
  <c r="AF1663" i="6" s="1"/>
  <c r="AC1713" i="6"/>
  <c r="AA1713" i="6"/>
  <c r="AF1713" i="6" s="1"/>
  <c r="AC1734" i="6"/>
  <c r="AA1734" i="6"/>
  <c r="AF1734" i="6" s="1"/>
  <c r="AC1549" i="6"/>
  <c r="AA1549" i="6"/>
  <c r="AF1549" i="6" s="1"/>
  <c r="AC1615" i="6"/>
  <c r="AA1615" i="6"/>
  <c r="AF1615" i="6" s="1"/>
  <c r="AC1671" i="6"/>
  <c r="AA1671" i="6"/>
  <c r="AF1671" i="6" s="1"/>
  <c r="AC1703" i="6"/>
  <c r="AA1703" i="6"/>
  <c r="AF1703" i="6" s="1"/>
  <c r="AC1740" i="6"/>
  <c r="AA1740" i="6"/>
  <c r="AF1740" i="6" s="1"/>
  <c r="AA1697" i="6"/>
  <c r="AF1697" i="6" s="1"/>
  <c r="AA1699" i="6"/>
  <c r="AF1699" i="6" s="1"/>
  <c r="AA1717" i="6"/>
  <c r="AF1717" i="6" s="1"/>
  <c r="AA1719" i="6"/>
  <c r="AF1719" i="6" s="1"/>
  <c r="AA1725" i="6"/>
  <c r="AF1725" i="6" s="1"/>
  <c r="AA1727" i="6"/>
  <c r="AF1727" i="6" s="1"/>
  <c r="AA1729" i="6"/>
  <c r="AF1729" i="6" s="1"/>
  <c r="AC512" i="7"/>
  <c r="AA512" i="7"/>
  <c r="AF512" i="7" s="1"/>
  <c r="AC417" i="7"/>
  <c r="AC466" i="7"/>
  <c r="AA466" i="7"/>
  <c r="AF466" i="7" s="1"/>
  <c r="AC469" i="7"/>
  <c r="AC474" i="7"/>
  <c r="AA474" i="7"/>
  <c r="AF474" i="7" s="1"/>
  <c r="AC490" i="7"/>
  <c r="AA490" i="7"/>
  <c r="AF490" i="7" s="1"/>
  <c r="AC506" i="7"/>
  <c r="AA506" i="7"/>
  <c r="AF506" i="7" s="1"/>
  <c r="AA598" i="7"/>
  <c r="AF598" i="7" s="1"/>
  <c r="AC627" i="7"/>
  <c r="AA627" i="7"/>
  <c r="AF627" i="7" s="1"/>
  <c r="AC480" i="7"/>
  <c r="AA480" i="7"/>
  <c r="AF480" i="7" s="1"/>
  <c r="AA374" i="7"/>
  <c r="AF374" i="7" s="1"/>
  <c r="AA376" i="7"/>
  <c r="AF376" i="7" s="1"/>
  <c r="AA378" i="7"/>
  <c r="AF378" i="7" s="1"/>
  <c r="AA380" i="7"/>
  <c r="AF380" i="7" s="1"/>
  <c r="AA382" i="7"/>
  <c r="AF382" i="7" s="1"/>
  <c r="AA384" i="7"/>
  <c r="AF384" i="7" s="1"/>
  <c r="AA386" i="7"/>
  <c r="AF386" i="7" s="1"/>
  <c r="AA388" i="7"/>
  <c r="AF388" i="7" s="1"/>
  <c r="AA390" i="7"/>
  <c r="AF390" i="7" s="1"/>
  <c r="AA392" i="7"/>
  <c r="AF392" i="7" s="1"/>
  <c r="AA394" i="7"/>
  <c r="AF394" i="7" s="1"/>
  <c r="AA396" i="7"/>
  <c r="AF396" i="7" s="1"/>
  <c r="AA398" i="7"/>
  <c r="AF398" i="7" s="1"/>
  <c r="AA400" i="7"/>
  <c r="AF400" i="7" s="1"/>
  <c r="AA402" i="7"/>
  <c r="AF402" i="7" s="1"/>
  <c r="AA404" i="7"/>
  <c r="AF404" i="7" s="1"/>
  <c r="AA406" i="7"/>
  <c r="AF406" i="7" s="1"/>
  <c r="AA427" i="7"/>
  <c r="AF427" i="7" s="1"/>
  <c r="AA429" i="7"/>
  <c r="AF429" i="7" s="1"/>
  <c r="AA431" i="7"/>
  <c r="AF431" i="7" s="1"/>
  <c r="AA433" i="7"/>
  <c r="AF433" i="7" s="1"/>
  <c r="AA435" i="7"/>
  <c r="AF435" i="7" s="1"/>
  <c r="AA437" i="7"/>
  <c r="AF437" i="7" s="1"/>
  <c r="AA439" i="7"/>
  <c r="AF439" i="7" s="1"/>
  <c r="AA441" i="7"/>
  <c r="AF441" i="7" s="1"/>
  <c r="AA443" i="7"/>
  <c r="AF443" i="7" s="1"/>
  <c r="AA445" i="7"/>
  <c r="AF445" i="7" s="1"/>
  <c r="AA447" i="7"/>
  <c r="AF447" i="7" s="1"/>
  <c r="AA449" i="7"/>
  <c r="AF449" i="7" s="1"/>
  <c r="AA451" i="7"/>
  <c r="AF451" i="7" s="1"/>
  <c r="AA461" i="7"/>
  <c r="AF461" i="7" s="1"/>
  <c r="AA467" i="7"/>
  <c r="AF467" i="7" s="1"/>
  <c r="AC470" i="7"/>
  <c r="AA470" i="7"/>
  <c r="AF470" i="7" s="1"/>
  <c r="AC486" i="7"/>
  <c r="AA486" i="7"/>
  <c r="AF486" i="7" s="1"/>
  <c r="AC502" i="7"/>
  <c r="AA502" i="7"/>
  <c r="AF502" i="7" s="1"/>
  <c r="AC518" i="7"/>
  <c r="AA518" i="7"/>
  <c r="AF518" i="7" s="1"/>
  <c r="AA540" i="7"/>
  <c r="AF540" i="7" s="1"/>
  <c r="AA550" i="7"/>
  <c r="AF550" i="7" s="1"/>
  <c r="AA582" i="7"/>
  <c r="AF582" i="7" s="1"/>
  <c r="AA411" i="7"/>
  <c r="AF411" i="7" s="1"/>
  <c r="AA416" i="7"/>
  <c r="AF416" i="7" s="1"/>
  <c r="AA418" i="7"/>
  <c r="AF418" i="7" s="1"/>
  <c r="AC464" i="7"/>
  <c r="AA464" i="7"/>
  <c r="AF464" i="7" s="1"/>
  <c r="AA471" i="7"/>
  <c r="AF471" i="7" s="1"/>
  <c r="AC471" i="7"/>
  <c r="AC476" i="7"/>
  <c r="AA476" i="7"/>
  <c r="AF476" i="7" s="1"/>
  <c r="AC492" i="7"/>
  <c r="AA492" i="7"/>
  <c r="AF492" i="7" s="1"/>
  <c r="AC508" i="7"/>
  <c r="AA508" i="7"/>
  <c r="AF508" i="7" s="1"/>
  <c r="AA629" i="7"/>
  <c r="AF629" i="7" s="1"/>
  <c r="AC496" i="7"/>
  <c r="AA496" i="7"/>
  <c r="AF496" i="7" s="1"/>
  <c r="AA353" i="7"/>
  <c r="AF353" i="7" s="1"/>
  <c r="AC482" i="7"/>
  <c r="AA482" i="7"/>
  <c r="AF482" i="7" s="1"/>
  <c r="AC498" i="7"/>
  <c r="AA498" i="7"/>
  <c r="AF498" i="7" s="1"/>
  <c r="AC514" i="7"/>
  <c r="AA514" i="7"/>
  <c r="AF514" i="7" s="1"/>
  <c r="AA424" i="7"/>
  <c r="AF424" i="7" s="1"/>
  <c r="AC468" i="7"/>
  <c r="AA468" i="7"/>
  <c r="AF468" i="7" s="1"/>
  <c r="AC472" i="7"/>
  <c r="AA472" i="7"/>
  <c r="AF472" i="7" s="1"/>
  <c r="AC488" i="7"/>
  <c r="AA488" i="7"/>
  <c r="AF488" i="7" s="1"/>
  <c r="AC504" i="7"/>
  <c r="AA504" i="7"/>
  <c r="AF504" i="7" s="1"/>
  <c r="AA558" i="7"/>
  <c r="AF558" i="7" s="1"/>
  <c r="AA622" i="7"/>
  <c r="AF622" i="7" s="1"/>
  <c r="AA387" i="7"/>
  <c r="AF387" i="7" s="1"/>
  <c r="AC478" i="7"/>
  <c r="AA478" i="7"/>
  <c r="AF478" i="7" s="1"/>
  <c r="AC494" i="7"/>
  <c r="AA494" i="7"/>
  <c r="AF494" i="7" s="1"/>
  <c r="AC510" i="7"/>
  <c r="AA510" i="7"/>
  <c r="AF510" i="7" s="1"/>
  <c r="AA614" i="7"/>
  <c r="AF614" i="7" s="1"/>
  <c r="AC484" i="7"/>
  <c r="AA484" i="7"/>
  <c r="AF484" i="7" s="1"/>
  <c r="AC500" i="7"/>
  <c r="AA500" i="7"/>
  <c r="AF500" i="7" s="1"/>
  <c r="AC516" i="7"/>
  <c r="AA516" i="7"/>
  <c r="AF516" i="7" s="1"/>
  <c r="AC473" i="7"/>
  <c r="AC475" i="7"/>
  <c r="AC477" i="7"/>
  <c r="AC479" i="7"/>
  <c r="AC481" i="7"/>
  <c r="AC483" i="7"/>
  <c r="AC485" i="7"/>
  <c r="AC487" i="7"/>
  <c r="AC489" i="7"/>
  <c r="AC491" i="7"/>
  <c r="AC493" i="7"/>
  <c r="AC495" i="7"/>
  <c r="AC497" i="7"/>
  <c r="AC499" i="7"/>
  <c r="AC501" i="7"/>
  <c r="AC503" i="7"/>
  <c r="AC505" i="7"/>
  <c r="AC507" i="7"/>
  <c r="AC509" i="7"/>
  <c r="AC511" i="7"/>
  <c r="AC513" i="7"/>
  <c r="AC515" i="7"/>
  <c r="AC517" i="7"/>
  <c r="AA520" i="7"/>
  <c r="AF520" i="7" s="1"/>
  <c r="AA544" i="7"/>
  <c r="AF544" i="7" s="1"/>
  <c r="AA552" i="7"/>
  <c r="AF552" i="7" s="1"/>
  <c r="AA560" i="7"/>
  <c r="AF560" i="7" s="1"/>
  <c r="AA568" i="7"/>
  <c r="AF568" i="7" s="1"/>
  <c r="AA576" i="7"/>
  <c r="AF576" i="7" s="1"/>
  <c r="AA584" i="7"/>
  <c r="AF584" i="7" s="1"/>
  <c r="AA600" i="7"/>
  <c r="AF600" i="7" s="1"/>
  <c r="AA608" i="7"/>
  <c r="AF608" i="7" s="1"/>
  <c r="AA624" i="7"/>
  <c r="AF624" i="7" s="1"/>
  <c r="AA626" i="7"/>
  <c r="AF626" i="7" s="1"/>
  <c r="AA628" i="7"/>
  <c r="AF628" i="7" s="1"/>
  <c r="AA593" i="6"/>
  <c r="AF593" i="6" s="1"/>
  <c r="AA610" i="6"/>
  <c r="AF610" i="6" s="1"/>
  <c r="AA702" i="6"/>
  <c r="AF702" i="6" s="1"/>
  <c r="AC744" i="6"/>
  <c r="AC748" i="6"/>
  <c r="AA908" i="6"/>
  <c r="AF908" i="6" s="1"/>
  <c r="AA562" i="6"/>
  <c r="AF562" i="6" s="1"/>
  <c r="AA581" i="6"/>
  <c r="AF581" i="6" s="1"/>
  <c r="AA591" i="6"/>
  <c r="AF591" i="6" s="1"/>
  <c r="AA624" i="6"/>
  <c r="AF624" i="6" s="1"/>
  <c r="AA629" i="6"/>
  <c r="AF629" i="6" s="1"/>
  <c r="AA705" i="6"/>
  <c r="AF705" i="6" s="1"/>
  <c r="AC875" i="6"/>
  <c r="AA875" i="6"/>
  <c r="AF875" i="6" s="1"/>
  <c r="AC883" i="6"/>
  <c r="AA883" i="6"/>
  <c r="AF883" i="6" s="1"/>
  <c r="AC799" i="6"/>
  <c r="AA799" i="6"/>
  <c r="AF799" i="6" s="1"/>
  <c r="AA700" i="6"/>
  <c r="AF700" i="6" s="1"/>
  <c r="AA709" i="6"/>
  <c r="AF709" i="6" s="1"/>
  <c r="AA836" i="6"/>
  <c r="AF836" i="6" s="1"/>
  <c r="AA497" i="6"/>
  <c r="AF497" i="6" s="1"/>
  <c r="AA503" i="6"/>
  <c r="AF503" i="6" s="1"/>
  <c r="AA529" i="6"/>
  <c r="AF529" i="6" s="1"/>
  <c r="AA550" i="6"/>
  <c r="AF550" i="6" s="1"/>
  <c r="AA552" i="6"/>
  <c r="AF552" i="6" s="1"/>
  <c r="AC857" i="6"/>
  <c r="AA857" i="6"/>
  <c r="AF857" i="6" s="1"/>
  <c r="AC867" i="6"/>
  <c r="AA867" i="6"/>
  <c r="AF867" i="6" s="1"/>
  <c r="AC871" i="6"/>
  <c r="AA871" i="6"/>
  <c r="AF871" i="6" s="1"/>
  <c r="AC879" i="6"/>
  <c r="AA879" i="6"/>
  <c r="AF879" i="6" s="1"/>
  <c r="AC887" i="6"/>
  <c r="AA887" i="6"/>
  <c r="AF887" i="6" s="1"/>
  <c r="AA573" i="6"/>
  <c r="AF573" i="6" s="1"/>
  <c r="AA576" i="6"/>
  <c r="AF576" i="6" s="1"/>
  <c r="AA707" i="6"/>
  <c r="AF707" i="6" s="1"/>
  <c r="AA846" i="6"/>
  <c r="AF846" i="6" s="1"/>
  <c r="AA919" i="6"/>
  <c r="AF919" i="6" s="1"/>
  <c r="AA1017" i="6"/>
  <c r="AF1017" i="6" s="1"/>
  <c r="AA834" i="6"/>
  <c r="AF834" i="6" s="1"/>
  <c r="AA850" i="6"/>
  <c r="AF850" i="6" s="1"/>
  <c r="AA855" i="6"/>
  <c r="AF855" i="6" s="1"/>
  <c r="AA858" i="6"/>
  <c r="AF858" i="6" s="1"/>
  <c r="AC865" i="6"/>
  <c r="AA865" i="6"/>
  <c r="AF865" i="6" s="1"/>
  <c r="AC869" i="6"/>
  <c r="AA869" i="6"/>
  <c r="AF869" i="6" s="1"/>
  <c r="AC873" i="6"/>
  <c r="AA873" i="6"/>
  <c r="AF873" i="6" s="1"/>
  <c r="AC877" i="6"/>
  <c r="AA877" i="6"/>
  <c r="AF877" i="6" s="1"/>
  <c r="AC881" i="6"/>
  <c r="AA881" i="6"/>
  <c r="AF881" i="6" s="1"/>
  <c r="AC885" i="6"/>
  <c r="AA885" i="6"/>
  <c r="AF885" i="6" s="1"/>
  <c r="AA743" i="6"/>
  <c r="AF743" i="6" s="1"/>
  <c r="AA745" i="6"/>
  <c r="AF745" i="6" s="1"/>
  <c r="AA747" i="6"/>
  <c r="AF747" i="6" s="1"/>
  <c r="AA838" i="6"/>
  <c r="AF838" i="6" s="1"/>
  <c r="AA848" i="6"/>
  <c r="AF848" i="6" s="1"/>
  <c r="AA863" i="6"/>
  <c r="AF863" i="6" s="1"/>
  <c r="AA807" i="6"/>
  <c r="AF807" i="6" s="1"/>
  <c r="AA816" i="6"/>
  <c r="AF816" i="6" s="1"/>
  <c r="AA818" i="6"/>
  <c r="AF818" i="6" s="1"/>
  <c r="AA13" i="7"/>
  <c r="AF13" i="7" s="1"/>
  <c r="AA30" i="7"/>
  <c r="AF30" i="7" s="1"/>
  <c r="AA56" i="7"/>
  <c r="AF56" i="7" s="1"/>
  <c r="AA62" i="7"/>
  <c r="AF62" i="7" s="1"/>
  <c r="AA80" i="7"/>
  <c r="AF80" i="7" s="1"/>
  <c r="AA96" i="7"/>
  <c r="AF96" i="7" s="1"/>
  <c r="AA105" i="7"/>
  <c r="AF105" i="7" s="1"/>
  <c r="AA116" i="7"/>
  <c r="AF116" i="7" s="1"/>
  <c r="AA136" i="7"/>
  <c r="AF136" i="7" s="1"/>
  <c r="AA147" i="7"/>
  <c r="AF147" i="7" s="1"/>
  <c r="AA163" i="7"/>
  <c r="AF163" i="7" s="1"/>
  <c r="AA170" i="7"/>
  <c r="AF170" i="7" s="1"/>
  <c r="AA174" i="7"/>
  <c r="AF174" i="7" s="1"/>
  <c r="AA186" i="7"/>
  <c r="AE186" i="7" s="1"/>
  <c r="AF186" i="7" s="1"/>
  <c r="AA204" i="7"/>
  <c r="AE204" i="7" s="1"/>
  <c r="AF204" i="7" s="1"/>
  <c r="AA229" i="7"/>
  <c r="AF229" i="7" s="1"/>
  <c r="AA256" i="7"/>
  <c r="AF256" i="7" s="1"/>
  <c r="AA261" i="7"/>
  <c r="AF261" i="7" s="1"/>
  <c r="AA270" i="7"/>
  <c r="AF270" i="7" s="1"/>
  <c r="AA276" i="7"/>
  <c r="AF276" i="7" s="1"/>
  <c r="AA285" i="7"/>
  <c r="AF285" i="7" s="1"/>
  <c r="AA287" i="7"/>
  <c r="AF287" i="7" s="1"/>
  <c r="AA292" i="7"/>
  <c r="AF292" i="7" s="1"/>
  <c r="AA304" i="7"/>
  <c r="AE304" i="7" s="1"/>
  <c r="AF304" i="7" s="1"/>
  <c r="AA311" i="7"/>
  <c r="AF311" i="7" s="1"/>
  <c r="AA313" i="7"/>
  <c r="AF313" i="7" s="1"/>
  <c r="AA321" i="7"/>
  <c r="AF321" i="7" s="1"/>
  <c r="AA323" i="7"/>
  <c r="AF323" i="7" s="1"/>
  <c r="AA7" i="7"/>
  <c r="AF7" i="7" s="1"/>
  <c r="AC15" i="7"/>
  <c r="AA24" i="7"/>
  <c r="AF24" i="7" s="1"/>
  <c r="AC32" i="7"/>
  <c r="AA37" i="7"/>
  <c r="AF37" i="7" s="1"/>
  <c r="AA45" i="7"/>
  <c r="AF45" i="7" s="1"/>
  <c r="AA58" i="7"/>
  <c r="AF58" i="7" s="1"/>
  <c r="AA114" i="7"/>
  <c r="AF114" i="7" s="1"/>
  <c r="AA134" i="7"/>
  <c r="AF134" i="7" s="1"/>
  <c r="AA166" i="7"/>
  <c r="AF166" i="7" s="1"/>
  <c r="AA202" i="7"/>
  <c r="AE202" i="7" s="1"/>
  <c r="AF202" i="7" s="1"/>
  <c r="AA215" i="7"/>
  <c r="AF215" i="7" s="1"/>
  <c r="AA247" i="7"/>
  <c r="AF247" i="7" s="1"/>
  <c r="AA250" i="7"/>
  <c r="AF250" i="7" s="1"/>
  <c r="AA266" i="7"/>
  <c r="AF266" i="7" s="1"/>
  <c r="AC274" i="7"/>
  <c r="AA302" i="7"/>
  <c r="AE302" i="7" s="1"/>
  <c r="AF302" i="7" s="1"/>
  <c r="AA333" i="7"/>
  <c r="AF333" i="7" s="1"/>
  <c r="AA340" i="7"/>
  <c r="AF340" i="7" s="1"/>
  <c r="AA47" i="7"/>
  <c r="AF47" i="7" s="1"/>
  <c r="AA65" i="7"/>
  <c r="AF65" i="7" s="1"/>
  <c r="AA109" i="7"/>
  <c r="AF109" i="7" s="1"/>
  <c r="AA117" i="7"/>
  <c r="AF117" i="7" s="1"/>
  <c r="AA137" i="7"/>
  <c r="AF137" i="7" s="1"/>
  <c r="AA139" i="7"/>
  <c r="AF139" i="7" s="1"/>
  <c r="AA148" i="7"/>
  <c r="AF148" i="7" s="1"/>
  <c r="AA155" i="7"/>
  <c r="AF155" i="7" s="1"/>
  <c r="AA164" i="7"/>
  <c r="AF164" i="7" s="1"/>
  <c r="AA189" i="7"/>
  <c r="AE189" i="7" s="1"/>
  <c r="AF189" i="7" s="1"/>
  <c r="AA209" i="7"/>
  <c r="AF209" i="7" s="1"/>
  <c r="AA213" i="7"/>
  <c r="AF213" i="7" s="1"/>
  <c r="AA245" i="7"/>
  <c r="AF245" i="7" s="1"/>
  <c r="AC250" i="7"/>
  <c r="AA257" i="7"/>
  <c r="AF257" i="7" s="1"/>
  <c r="AA264" i="7"/>
  <c r="AF264" i="7" s="1"/>
  <c r="AC266" i="7"/>
  <c r="AA277" i="7"/>
  <c r="AF277" i="7" s="1"/>
  <c r="AA286" i="7"/>
  <c r="AF286" i="7" s="1"/>
  <c r="AA303" i="7"/>
  <c r="AE303" i="7" s="1"/>
  <c r="AF303" i="7" s="1"/>
  <c r="AA331" i="7"/>
  <c r="AF331" i="7" s="1"/>
  <c r="AC3" i="7"/>
  <c r="AA16" i="7"/>
  <c r="AF16" i="7" s="1"/>
  <c r="AA27" i="7"/>
  <c r="AF27" i="7" s="1"/>
  <c r="AA33" i="7"/>
  <c r="AF33" i="7" s="1"/>
  <c r="AA40" i="7"/>
  <c r="AF40" i="7" s="1"/>
  <c r="AA51" i="7"/>
  <c r="AF51" i="7" s="1"/>
  <c r="AA88" i="7"/>
  <c r="AF88" i="7" s="1"/>
  <c r="AA104" i="7"/>
  <c r="AF104" i="7" s="1"/>
  <c r="AC162" i="7"/>
  <c r="AA187" i="7"/>
  <c r="AE187" i="7" s="1"/>
  <c r="AF187" i="7" s="1"/>
  <c r="AC196" i="7"/>
  <c r="AA243" i="7"/>
  <c r="AF243" i="7" s="1"/>
  <c r="AA279" i="7"/>
  <c r="AF279" i="7" s="1"/>
  <c r="AA312" i="7"/>
  <c r="AF312" i="7" s="1"/>
  <c r="AA322" i="7"/>
  <c r="AF322" i="7" s="1"/>
  <c r="AA115" i="7"/>
  <c r="AF115" i="7" s="1"/>
  <c r="AA133" i="7"/>
  <c r="AF133" i="7" s="1"/>
  <c r="AA185" i="7"/>
  <c r="AE185" i="7" s="1"/>
  <c r="AF185" i="7" s="1"/>
  <c r="AA221" i="7"/>
  <c r="AF221" i="7" s="1"/>
  <c r="AA223" i="7"/>
  <c r="AF223" i="7" s="1"/>
  <c r="AA233" i="7"/>
  <c r="AF233" i="7" s="1"/>
  <c r="AA269" i="7"/>
  <c r="AF269" i="7" s="1"/>
  <c r="AA284" i="7"/>
  <c r="AF284" i="7" s="1"/>
  <c r="AA289" i="7"/>
  <c r="AF289" i="7" s="1"/>
  <c r="AA291" i="7"/>
  <c r="AF291" i="7" s="1"/>
  <c r="AA296" i="7"/>
  <c r="AF296" i="7" s="1"/>
  <c r="AC303" i="7"/>
  <c r="AA329" i="7"/>
  <c r="AF329" i="7" s="1"/>
  <c r="AA341" i="7"/>
  <c r="AF341" i="7" s="1"/>
  <c r="AA19" i="7"/>
  <c r="AF19" i="7" s="1"/>
  <c r="AA23" i="7"/>
  <c r="AF23" i="7" s="1"/>
  <c r="AA36" i="7"/>
  <c r="AF36" i="7" s="1"/>
  <c r="AA118" i="7"/>
  <c r="AF118" i="7" s="1"/>
  <c r="AA188" i="7"/>
  <c r="AE188" i="7" s="1"/>
  <c r="AF188" i="7" s="1"/>
  <c r="AA214" i="7"/>
  <c r="AF214" i="7" s="1"/>
  <c r="AC241" i="7"/>
  <c r="AA246" i="7"/>
  <c r="AF246" i="7" s="1"/>
  <c r="AA265" i="7"/>
  <c r="AF265" i="7" s="1"/>
  <c r="AA278" i="7"/>
  <c r="AF278" i="7" s="1"/>
  <c r="AA160" i="7"/>
  <c r="AF160" i="7" s="1"/>
  <c r="AA288" i="7"/>
  <c r="AF288" i="7" s="1"/>
  <c r="AC118" i="7"/>
  <c r="AA156" i="7"/>
  <c r="AF156" i="7" s="1"/>
  <c r="AA193" i="7"/>
  <c r="AE193" i="7" s="1"/>
  <c r="AF193" i="7" s="1"/>
  <c r="AA338" i="7"/>
  <c r="AF338" i="7" s="1"/>
  <c r="AA68" i="7"/>
  <c r="AF68" i="7" s="1"/>
  <c r="AA83" i="7"/>
  <c r="AF83" i="7" s="1"/>
  <c r="AA87" i="7"/>
  <c r="AF87" i="7" s="1"/>
  <c r="AA91" i="7"/>
  <c r="AF91" i="7" s="1"/>
  <c r="AA95" i="7"/>
  <c r="AF95" i="7" s="1"/>
  <c r="AA99" i="7"/>
  <c r="AF99" i="7" s="1"/>
  <c r="AA103" i="7"/>
  <c r="AF103" i="7" s="1"/>
  <c r="AA107" i="7"/>
  <c r="AF107" i="7" s="1"/>
  <c r="AA334" i="7"/>
  <c r="AF334" i="7" s="1"/>
  <c r="AA4" i="7"/>
  <c r="AF4" i="7" s="1"/>
  <c r="AA12" i="7"/>
  <c r="AF12" i="7" s="1"/>
  <c r="AA152" i="7"/>
  <c r="AF152" i="7" s="1"/>
  <c r="AA67" i="7"/>
  <c r="AF67" i="7" s="1"/>
  <c r="AA82" i="7"/>
  <c r="AF82" i="7" s="1"/>
  <c r="AA86" i="7"/>
  <c r="AF86" i="7" s="1"/>
  <c r="AA90" i="7"/>
  <c r="AF90" i="7" s="1"/>
  <c r="AA94" i="7"/>
  <c r="AF94" i="7" s="1"/>
  <c r="AA98" i="7"/>
  <c r="AF98" i="7" s="1"/>
  <c r="AA102" i="7"/>
  <c r="AF102" i="7" s="1"/>
  <c r="AA106" i="7"/>
  <c r="AF106" i="7" s="1"/>
  <c r="AA111" i="7"/>
  <c r="AF111" i="7" s="1"/>
  <c r="AC125" i="7"/>
  <c r="AA125" i="7"/>
  <c r="AF125" i="7" s="1"/>
  <c r="AC168" i="7"/>
  <c r="AA168" i="7"/>
  <c r="AF168" i="7" s="1"/>
  <c r="AA172" i="7"/>
  <c r="AF172" i="7" s="1"/>
  <c r="AC218" i="7"/>
  <c r="AA218" i="7"/>
  <c r="AF218" i="7" s="1"/>
  <c r="AC201" i="7"/>
  <c r="AA201" i="7"/>
  <c r="AE201" i="7" s="1"/>
  <c r="AF201" i="7" s="1"/>
  <c r="AA232" i="7"/>
  <c r="AF232" i="7" s="1"/>
  <c r="AA126" i="7"/>
  <c r="AF126" i="7" s="1"/>
  <c r="AA132" i="7"/>
  <c r="AF132" i="7" s="1"/>
  <c r="AA140" i="7"/>
  <c r="AF140" i="7" s="1"/>
  <c r="AA144" i="7"/>
  <c r="AF144" i="7" s="1"/>
  <c r="AA306" i="7"/>
  <c r="AF306" i="7" s="1"/>
  <c r="AA310" i="7"/>
  <c r="AF310" i="7" s="1"/>
  <c r="AA314" i="7"/>
  <c r="AF314" i="7" s="1"/>
  <c r="AA217" i="7"/>
  <c r="AF217" i="7" s="1"/>
  <c r="AA131" i="7"/>
  <c r="AF131" i="7" s="1"/>
  <c r="AA135" i="7"/>
  <c r="AF135" i="7" s="1"/>
  <c r="AA234" i="7"/>
  <c r="AF234" i="7" s="1"/>
  <c r="AA154" i="7"/>
  <c r="AF154" i="7" s="1"/>
  <c r="AA178" i="7"/>
  <c r="AF178" i="7" s="1"/>
  <c r="AA4" i="6"/>
  <c r="AF4" i="6" s="1"/>
  <c r="AA28" i="6"/>
  <c r="AF28" i="6" s="1"/>
  <c r="AA33" i="6"/>
  <c r="AF33" i="6" s="1"/>
  <c r="AA49" i="6"/>
  <c r="AF49" i="6" s="1"/>
  <c r="AA51" i="6"/>
  <c r="AF51" i="6" s="1"/>
  <c r="AA57" i="6"/>
  <c r="AF57" i="6" s="1"/>
  <c r="AA67" i="6"/>
  <c r="AF67" i="6" s="1"/>
  <c r="AA85" i="6"/>
  <c r="AF85" i="6" s="1"/>
  <c r="AA93" i="6"/>
  <c r="AF93" i="6" s="1"/>
  <c r="AA102" i="6"/>
  <c r="AA155" i="6"/>
  <c r="AF155" i="6" s="1"/>
  <c r="AC155" i="6"/>
  <c r="AC380" i="6"/>
  <c r="AA380" i="6"/>
  <c r="AF380" i="6" s="1"/>
  <c r="AA6" i="6"/>
  <c r="AF6" i="6" s="1"/>
  <c r="AC309" i="6"/>
  <c r="AA309" i="6"/>
  <c r="AF309" i="6" s="1"/>
  <c r="AA7" i="6"/>
  <c r="AF7" i="6" s="1"/>
  <c r="AC59" i="6"/>
  <c r="AA59" i="6"/>
  <c r="AF59" i="6" s="1"/>
  <c r="AC69" i="6"/>
  <c r="AA69" i="6"/>
  <c r="AE69" i="6" s="1"/>
  <c r="AF69" i="6" s="1"/>
  <c r="AC357" i="6"/>
  <c r="AA357" i="6"/>
  <c r="AF357" i="6" s="1"/>
  <c r="AA36" i="6"/>
  <c r="AF36" i="6" s="1"/>
  <c r="AA54" i="6"/>
  <c r="AF54" i="6" s="1"/>
  <c r="AA63" i="6"/>
  <c r="AF63" i="6" s="1"/>
  <c r="AA77" i="6"/>
  <c r="AE77" i="6" s="1"/>
  <c r="AF77" i="6" s="1"/>
  <c r="AC475" i="6"/>
  <c r="AA475" i="6"/>
  <c r="AF475" i="6" s="1"/>
  <c r="AA3" i="6"/>
  <c r="AF3" i="6" s="1"/>
  <c r="AA13" i="6"/>
  <c r="AF13" i="6" s="1"/>
  <c r="AA136" i="6"/>
  <c r="AF136" i="6" s="1"/>
  <c r="AC374" i="6"/>
  <c r="AA374" i="6"/>
  <c r="AE374" i="6" s="1"/>
  <c r="AF374" i="6" s="1"/>
  <c r="AA79" i="6"/>
  <c r="AF79" i="6" s="1"/>
  <c r="AC350" i="6"/>
  <c r="AA350" i="6"/>
  <c r="AF350" i="6" s="1"/>
  <c r="AC43" i="6"/>
  <c r="AA43" i="6"/>
  <c r="AF43" i="6" s="1"/>
  <c r="AC474" i="6"/>
  <c r="AA474" i="6"/>
  <c r="AF474" i="6" s="1"/>
  <c r="AA200" i="6"/>
  <c r="AF200" i="6" s="1"/>
  <c r="AA230" i="6"/>
  <c r="AF230" i="6" s="1"/>
  <c r="AA235" i="6"/>
  <c r="AF235" i="6" s="1"/>
  <c r="AC319" i="6"/>
  <c r="AA319" i="6"/>
  <c r="AF319" i="6" s="1"/>
  <c r="AA143" i="6"/>
  <c r="AF143" i="6" s="1"/>
  <c r="AA196" i="6"/>
  <c r="AF196" i="6" s="1"/>
  <c r="AC292" i="6"/>
  <c r="AA292" i="6"/>
  <c r="AF292" i="6" s="1"/>
  <c r="AA450" i="6"/>
  <c r="AF450" i="6" s="1"/>
  <c r="AA477" i="6"/>
  <c r="AF477" i="6" s="1"/>
  <c r="AA114" i="6"/>
  <c r="AF114" i="6" s="1"/>
  <c r="AA137" i="6"/>
  <c r="AF137" i="6" s="1"/>
  <c r="AA236" i="6"/>
  <c r="AF236" i="6" s="1"/>
  <c r="AA116" i="6"/>
  <c r="AA197" i="6"/>
  <c r="AF197" i="6" s="1"/>
  <c r="AA251" i="6"/>
  <c r="AF251" i="6" s="1"/>
  <c r="AC264" i="6"/>
  <c r="AA264" i="6"/>
  <c r="AE264" i="6" s="1"/>
  <c r="AF264" i="6" s="1"/>
  <c r="AA127" i="6"/>
  <c r="AF127" i="6" s="1"/>
  <c r="AA157" i="6"/>
  <c r="AF157" i="6" s="1"/>
  <c r="AA201" i="6"/>
  <c r="AA216" i="6"/>
  <c r="AF216" i="6" s="1"/>
  <c r="AA222" i="6"/>
  <c r="AF222" i="6" s="1"/>
  <c r="AA231" i="6"/>
  <c r="AF231" i="6" s="1"/>
  <c r="AA105" i="6"/>
  <c r="AF105" i="6" s="1"/>
  <c r="AA146" i="6"/>
  <c r="AF146" i="6" s="1"/>
  <c r="AC193" i="6"/>
  <c r="AA202" i="6"/>
  <c r="AF202" i="6" s="1"/>
  <c r="AA243" i="6"/>
  <c r="AF243" i="6" s="1"/>
  <c r="AA360" i="6"/>
  <c r="AF360" i="6" s="1"/>
  <c r="AC401" i="6"/>
  <c r="AA401" i="6"/>
  <c r="AF401" i="6" s="1"/>
  <c r="AA421" i="6"/>
  <c r="AF421" i="6" s="1"/>
  <c r="AC426" i="6"/>
  <c r="AA426" i="6"/>
  <c r="AF426" i="6" s="1"/>
  <c r="AC370" i="6"/>
  <c r="AA370" i="6"/>
  <c r="AE370" i="6" s="1"/>
  <c r="AF370" i="6" s="1"/>
  <c r="AC419" i="6"/>
  <c r="AA419" i="6"/>
  <c r="AF419" i="6" s="1"/>
  <c r="AA263" i="6"/>
  <c r="AE263" i="6" s="1"/>
  <c r="AF263" i="6" s="1"/>
  <c r="AA276" i="6"/>
  <c r="AF276" i="6" s="1"/>
  <c r="AA297" i="6"/>
  <c r="AF297" i="6" s="1"/>
  <c r="AA308" i="6"/>
  <c r="AF308" i="6" s="1"/>
  <c r="AA312" i="6"/>
  <c r="AF312" i="6" s="1"/>
  <c r="AA315" i="6"/>
  <c r="AF315" i="6" s="1"/>
  <c r="AA332" i="6"/>
  <c r="AE332" i="6" s="1"/>
  <c r="AF332" i="6" s="1"/>
  <c r="AA334" i="6"/>
  <c r="AE334" i="6" s="1"/>
  <c r="AF334" i="6" s="1"/>
  <c r="AA336" i="6"/>
  <c r="AF336" i="6" s="1"/>
  <c r="AA356" i="6"/>
  <c r="AF356" i="6" s="1"/>
  <c r="AA396" i="6"/>
  <c r="AF396" i="6" s="1"/>
  <c r="AA418" i="6"/>
  <c r="AF418" i="6" s="1"/>
  <c r="AC425" i="6"/>
  <c r="AA425" i="6"/>
  <c r="AF425" i="6" s="1"/>
  <c r="AA449" i="6"/>
  <c r="AF449" i="6" s="1"/>
  <c r="AA454" i="6"/>
  <c r="AF454" i="6" s="1"/>
  <c r="AA488" i="6"/>
  <c r="AF488" i="6" s="1"/>
  <c r="AA239" i="6"/>
  <c r="AF239" i="6" s="1"/>
  <c r="AA247" i="6"/>
  <c r="AF247" i="6" s="1"/>
  <c r="AA249" i="6"/>
  <c r="AF249" i="6" s="1"/>
  <c r="AA291" i="6"/>
  <c r="AF291" i="6" s="1"/>
  <c r="AA342" i="6"/>
  <c r="AE342" i="6" s="1"/>
  <c r="AF342" i="6" s="1"/>
  <c r="AA379" i="6"/>
  <c r="AF379" i="6" s="1"/>
  <c r="AA400" i="6"/>
  <c r="AF400" i="6" s="1"/>
  <c r="AA434" i="6"/>
  <c r="AF434" i="6" s="1"/>
  <c r="AA240" i="6"/>
  <c r="AF240" i="6" s="1"/>
  <c r="AA244" i="6"/>
  <c r="AF244" i="6" s="1"/>
  <c r="AA268" i="6"/>
  <c r="AF268" i="6" s="1"/>
  <c r="AA273" i="6"/>
  <c r="AF273" i="6" s="1"/>
  <c r="AA288" i="6"/>
  <c r="AF288" i="6" s="1"/>
  <c r="AA294" i="6"/>
  <c r="AF294" i="6" s="1"/>
  <c r="AA305" i="6"/>
  <c r="AF305" i="6" s="1"/>
  <c r="AA311" i="6"/>
  <c r="AF311" i="6" s="1"/>
  <c r="AA338" i="6"/>
  <c r="AF338" i="6" s="1"/>
  <c r="AA353" i="6"/>
  <c r="AF353" i="6" s="1"/>
  <c r="AA395" i="6"/>
  <c r="AF395" i="6" s="1"/>
  <c r="AA412" i="6"/>
  <c r="AF412" i="6" s="1"/>
  <c r="AA428" i="6"/>
  <c r="AF428" i="6" s="1"/>
  <c r="AA435" i="6"/>
  <c r="AF435" i="6" s="1"/>
  <c r="AA437" i="6"/>
  <c r="AF437" i="6" s="1"/>
  <c r="AA466" i="6"/>
  <c r="AF466" i="6" s="1"/>
  <c r="AA322" i="6"/>
  <c r="AE322" i="6" s="1"/>
  <c r="AF322" i="6" s="1"/>
  <c r="AA345" i="6"/>
  <c r="AF345" i="6" s="1"/>
  <c r="AA367" i="6"/>
  <c r="AF367" i="6" s="1"/>
  <c r="AA391" i="6"/>
  <c r="AF391" i="6" s="1"/>
  <c r="AA463" i="6"/>
  <c r="AF463" i="6" s="1"/>
  <c r="AA478" i="6"/>
  <c r="AF478" i="6" s="1"/>
  <c r="X1" i="7" l="1"/>
  <c r="AA1" i="7" l="1"/>
  <c r="Y1" i="7"/>
  <c r="AE1" i="7" l="1"/>
  <c r="AF1" i="7"/>
  <c r="AV2523" i="6" l="1"/>
  <c r="AW2523" i="6" s="1" a="1"/>
  <c r="AW2523" i="6" s="1"/>
  <c r="AV1714" i="6"/>
  <c r="AW1714" i="6" s="1" a="1"/>
  <c r="AW1714" i="6" s="1"/>
  <c r="BA1714" i="6" s="1"/>
  <c r="AZ1714" i="6" s="1"/>
  <c r="AV1712" i="6"/>
  <c r="AW1712" i="6" s="1" a="1"/>
  <c r="AW1712" i="6" s="1"/>
  <c r="AV1715" i="6"/>
  <c r="AW1715" i="6" s="1" a="1"/>
  <c r="AW1715" i="6" s="1"/>
  <c r="AV1756" i="6"/>
  <c r="AW1756" i="6" s="1" a="1"/>
  <c r="AW1756" i="6" s="1"/>
  <c r="AV1708" i="6"/>
  <c r="AW1708" i="6" s="1" a="1"/>
  <c r="AW1708" i="6" s="1"/>
  <c r="AX1708" i="6" s="1"/>
  <c r="AV332" i="6"/>
  <c r="AW332" i="6" s="1" a="1"/>
  <c r="AW332" i="6" s="1"/>
  <c r="AV334" i="6"/>
  <c r="AW334" i="6" s="1" a="1"/>
  <c r="AW334" i="6" s="1"/>
  <c r="AY334" i="6" s="1"/>
  <c r="BC334" i="6" s="1"/>
  <c r="AV333" i="6"/>
  <c r="AW333" i="6" s="1" a="1"/>
  <c r="AW333" i="6" s="1"/>
  <c r="AV1755" i="6"/>
  <c r="AW1755" i="6" s="1" a="1"/>
  <c r="AW1755" i="6" s="1"/>
  <c r="BA1755" i="6" s="1"/>
  <c r="AZ1755" i="6" s="1"/>
  <c r="AV1709" i="6"/>
  <c r="AW1709" i="6" s="1" a="1"/>
  <c r="AW1709" i="6" s="1"/>
  <c r="AV1707" i="6"/>
  <c r="AW1707" i="6" s="1" a="1"/>
  <c r="AW1707" i="6" s="1"/>
  <c r="AV1750" i="6"/>
  <c r="AW1750" i="6" s="1" a="1"/>
  <c r="AW1750" i="6" s="1"/>
  <c r="AV1701" i="6"/>
  <c r="AW1701" i="6" s="1" a="1"/>
  <c r="AW1701" i="6" s="1"/>
  <c r="AX1701" i="6" s="1"/>
  <c r="AV1752" i="6"/>
  <c r="AW1752" i="6" s="1" a="1"/>
  <c r="AW1752" i="6" s="1"/>
  <c r="AV1094" i="6"/>
  <c r="AW1094" i="6" s="1" a="1"/>
  <c r="AW1094" i="6" s="1"/>
  <c r="AV1751" i="6"/>
  <c r="AW1751" i="6" s="1" a="1"/>
  <c r="AW1751" i="6" s="1"/>
  <c r="AV2437" i="6"/>
  <c r="AW2437" i="6" s="1" a="1"/>
  <c r="AW2437" i="6" s="1"/>
  <c r="AV2436" i="6"/>
  <c r="AW2436" i="6" s="1" a="1"/>
  <c r="AW2436" i="6" s="1"/>
  <c r="AV2435" i="6"/>
  <c r="AW2435" i="6" s="1" a="1"/>
  <c r="AW2435" i="6" s="1"/>
  <c r="AV2164" i="6"/>
  <c r="AW2164" i="6" s="1" a="1"/>
  <c r="AW2164" i="6" s="1"/>
  <c r="AV2334" i="6"/>
  <c r="AW2334" i="6" s="1" a="1"/>
  <c r="AW2334" i="6" s="1"/>
  <c r="AX2334" i="6" s="1"/>
  <c r="AV2340" i="6"/>
  <c r="AW2340" i="6" s="1" a="1"/>
  <c r="AW2340" i="6" s="1"/>
  <c r="AV2339" i="6"/>
  <c r="AW2339" i="6" s="1" a="1"/>
  <c r="AW2339" i="6" s="1"/>
  <c r="AV2338" i="6"/>
  <c r="AW2338" i="6" s="1" a="1"/>
  <c r="AW2338" i="6" s="1"/>
  <c r="AV2160" i="6"/>
  <c r="AW2160" i="6" s="1" a="1"/>
  <c r="AW2160" i="6" s="1"/>
  <c r="AV1567" i="6"/>
  <c r="AW1567" i="6" s="1" a="1"/>
  <c r="AW1567" i="6" s="1"/>
  <c r="AV856" i="6"/>
  <c r="AW856" i="6" s="1" a="1"/>
  <c r="AW856" i="6" s="1"/>
  <c r="AV1566" i="6"/>
  <c r="AW1566" i="6" s="1" a="1"/>
  <c r="AW1566" i="6" s="1"/>
  <c r="AV1565" i="6"/>
  <c r="AW1565" i="6" s="1" a="1"/>
  <c r="AW1565" i="6" s="1"/>
  <c r="AV1175" i="6"/>
  <c r="AW1175" i="6" s="1" a="1"/>
  <c r="AW1175" i="6" s="1"/>
  <c r="AV1174" i="6"/>
  <c r="AW1174" i="6" s="1" a="1"/>
  <c r="AW1174" i="6" s="1"/>
  <c r="AV1173" i="6"/>
  <c r="AW1173" i="6" s="1" a="1"/>
  <c r="AW1173" i="6" s="1"/>
  <c r="AX1173" i="6" s="1"/>
  <c r="AV1172" i="6"/>
  <c r="AW1172" i="6" s="1" a="1"/>
  <c r="AW1172" i="6" s="1"/>
  <c r="AV2159" i="6"/>
  <c r="AW2159" i="6" s="1" a="1"/>
  <c r="AW2159" i="6" s="1"/>
  <c r="AV2158" i="6"/>
  <c r="AW2158" i="6" s="1" a="1"/>
  <c r="AW2158" i="6" s="1"/>
  <c r="AV2157" i="6"/>
  <c r="AW2157" i="6" s="1" a="1"/>
  <c r="AW2157" i="6" s="1"/>
  <c r="AV855" i="6"/>
  <c r="AW855" i="6" s="1" a="1"/>
  <c r="AW855" i="6" s="1"/>
  <c r="AV854" i="6"/>
  <c r="AW854" i="6" s="1" a="1"/>
  <c r="AW854" i="6" s="1"/>
  <c r="AV2735" i="6"/>
  <c r="AW2735" i="6" s="1" a="1"/>
  <c r="AW2735" i="6" s="1"/>
  <c r="AV2734" i="6"/>
  <c r="AW2734" i="6" s="1" a="1"/>
  <c r="AW2734" i="6" s="1"/>
  <c r="AV1564" i="6"/>
  <c r="AW1564" i="6" s="1" a="1"/>
  <c r="AW1564" i="6" s="1"/>
  <c r="AV1562" i="6"/>
  <c r="AW1562" i="6" s="1" a="1"/>
  <c r="AW1562" i="6" s="1"/>
  <c r="AV1722" i="6"/>
  <c r="AW1722" i="6" s="1" a="1"/>
  <c r="AW1722" i="6" s="1"/>
  <c r="AY1722" i="6" s="1"/>
  <c r="BC1722" i="6" s="1"/>
  <c r="AV2807" i="6"/>
  <c r="AW2807" i="6" s="1" a="1"/>
  <c r="AW2807" i="6" s="1"/>
  <c r="AV347" i="6"/>
  <c r="AW347" i="6" s="1" a="1"/>
  <c r="AW347" i="6" s="1"/>
  <c r="AV1093" i="6"/>
  <c r="AW1093" i="6" s="1" a="1"/>
  <c r="AW1093" i="6" s="1"/>
  <c r="AV1561" i="6"/>
  <c r="AW1561" i="6" s="1" a="1"/>
  <c r="AW1561" i="6" s="1"/>
  <c r="AV1171" i="6"/>
  <c r="AW1171" i="6" s="1" a="1"/>
  <c r="AW1171" i="6" s="1"/>
  <c r="AV478" i="6"/>
  <c r="AW478" i="6" s="1" a="1"/>
  <c r="AW478" i="6" s="1"/>
  <c r="AV477" i="6"/>
  <c r="AW477" i="6" s="1" a="1"/>
  <c r="AW477" i="6" s="1"/>
  <c r="AV2808" i="6"/>
  <c r="AW2808" i="6" s="1" a="1"/>
  <c r="AW2808" i="6" s="1"/>
  <c r="AY2808" i="6" s="1"/>
  <c r="BC2808" i="6" s="1"/>
  <c r="AV2817" i="6"/>
  <c r="AW2817" i="6" s="1" a="1"/>
  <c r="AW2817" i="6" s="1"/>
  <c r="AV2812" i="6"/>
  <c r="AW2812" i="6" s="1" a="1"/>
  <c r="AW2812" i="6" s="1"/>
  <c r="AV2733" i="6"/>
  <c r="AW2733" i="6" s="1" a="1"/>
  <c r="AW2733" i="6" s="1"/>
  <c r="AV2732" i="6"/>
  <c r="AW2732" i="6" s="1" a="1"/>
  <c r="AW2732" i="6" s="1"/>
  <c r="AV2730" i="6"/>
  <c r="AW2730" i="6" s="1" a="1"/>
  <c r="AW2730" i="6" s="1"/>
  <c r="AV2731" i="6"/>
  <c r="AW2731" i="6" s="1" a="1"/>
  <c r="AW2731" i="6" s="1"/>
  <c r="AV1059" i="6"/>
  <c r="AW1059" i="6" s="1" a="1"/>
  <c r="AW1059" i="6" s="1"/>
  <c r="AY1059" i="6" s="1"/>
  <c r="BC1059" i="6" s="1"/>
  <c r="AV1066" i="6"/>
  <c r="AW1066" i="6" s="1" a="1"/>
  <c r="AW1066" i="6" s="1"/>
  <c r="AY1066" i="6" s="1"/>
  <c r="BC1066" i="6" s="1"/>
  <c r="AV1065" i="6"/>
  <c r="AW1065" i="6" s="1" a="1"/>
  <c r="AW1065" i="6" s="1"/>
  <c r="AX1065" i="6" s="1"/>
  <c r="AV1064" i="6"/>
  <c r="AW1064" i="6" s="1" a="1"/>
  <c r="AW1064" i="6" s="1"/>
  <c r="AY1064" i="6" s="1"/>
  <c r="BC1064" i="6" s="1"/>
  <c r="AV1560" i="6"/>
  <c r="AW1560" i="6" s="1" a="1"/>
  <c r="AW1560" i="6" s="1"/>
  <c r="AV2728" i="6"/>
  <c r="AW2728" i="6" s="1" a="1"/>
  <c r="AW2728" i="6" s="1"/>
  <c r="AV2729" i="6"/>
  <c r="AW2729" i="6" s="1" a="1"/>
  <c r="AW2729" i="6" s="1"/>
  <c r="AV442" i="6"/>
  <c r="AW442" i="6" s="1" a="1"/>
  <c r="AW442" i="6" s="1"/>
  <c r="AV441" i="6"/>
  <c r="AW441" i="6" s="1" a="1"/>
  <c r="AW441" i="6" s="1"/>
  <c r="BA441" i="6" s="1"/>
  <c r="AZ441" i="6" s="1"/>
  <c r="AV440" i="6"/>
  <c r="AW440" i="6" s="1" a="1"/>
  <c r="AW440" i="6" s="1"/>
  <c r="AY440" i="6" s="1"/>
  <c r="BC440" i="6" s="1"/>
  <c r="AV2816" i="6"/>
  <c r="AW2816" i="6" s="1" a="1"/>
  <c r="AW2816" i="6" s="1"/>
  <c r="AV2802" i="6"/>
  <c r="AW2802" i="6" s="1" a="1"/>
  <c r="AW2802" i="6" s="1"/>
  <c r="AV2727" i="6"/>
  <c r="AW2727" i="6" s="1" a="1"/>
  <c r="AW2727" i="6" s="1"/>
  <c r="AV2726" i="6"/>
  <c r="AW2726" i="6" s="1" a="1"/>
  <c r="AW2726" i="6" s="1"/>
  <c r="BA2726" i="6" s="1"/>
  <c r="AZ2726" i="6" s="1"/>
  <c r="AV2670" i="6"/>
  <c r="AW2670" i="6" s="1" a="1"/>
  <c r="AW2670" i="6" s="1"/>
  <c r="AV2669" i="6"/>
  <c r="AW2669" i="6" s="1" a="1"/>
  <c r="AW2669" i="6" s="1"/>
  <c r="AY2669" i="6" s="1"/>
  <c r="BC2669" i="6" s="1"/>
  <c r="AV1063" i="6"/>
  <c r="AW1063" i="6" s="1" a="1"/>
  <c r="AW1063" i="6" s="1"/>
  <c r="AX1063" i="6" s="1"/>
  <c r="AV1062" i="6"/>
  <c r="AW1062" i="6" s="1" a="1"/>
  <c r="AW1062" i="6" s="1"/>
  <c r="BA1062" i="6" s="1"/>
  <c r="AZ1062" i="6" s="1"/>
  <c r="AV1061" i="6"/>
  <c r="AW1061" i="6" s="1" a="1"/>
  <c r="AW1061" i="6" s="1"/>
  <c r="AV1060" i="6"/>
  <c r="AW1060" i="6" s="1" a="1"/>
  <c r="AW1060" i="6" s="1"/>
  <c r="AX1060" i="6" s="1"/>
  <c r="AV1058" i="6"/>
  <c r="AW1058" i="6" s="1" a="1"/>
  <c r="AW1058" i="6" s="1"/>
  <c r="AY1058" i="6" s="1"/>
  <c r="BC1058" i="6" s="1"/>
  <c r="AV1559" i="6"/>
  <c r="AW1559" i="6" s="1" a="1"/>
  <c r="AW1559" i="6" s="1"/>
  <c r="AV1558" i="6"/>
  <c r="AW1558" i="6" s="1" a="1"/>
  <c r="AW1558" i="6" s="1"/>
  <c r="AY1558" i="6" s="1"/>
  <c r="BC1558" i="6" s="1"/>
  <c r="AV579" i="6"/>
  <c r="AW579" i="6" s="1" a="1"/>
  <c r="AW579" i="6" s="1"/>
  <c r="AV2803" i="6"/>
  <c r="AW2803" i="6" s="1" a="1"/>
  <c r="AW2803" i="6" s="1"/>
  <c r="BA2803" i="6" s="1"/>
  <c r="AZ2803" i="6" s="1"/>
  <c r="AV2813" i="6"/>
  <c r="AW2813" i="6" s="1" a="1"/>
  <c r="AW2813" i="6" s="1"/>
  <c r="BA2813" i="6" s="1"/>
  <c r="AZ2813" i="6" s="1"/>
  <c r="AV1557" i="6"/>
  <c r="AW1557" i="6" s="1" a="1"/>
  <c r="AW1557" i="6" s="1"/>
  <c r="AV1963" i="6"/>
  <c r="AW1963" i="6" s="1" a="1"/>
  <c r="AW1963" i="6" s="1"/>
  <c r="AV976" i="6"/>
  <c r="AW976" i="6" s="1" a="1"/>
  <c r="AW976" i="6" s="1"/>
  <c r="AV1922" i="6"/>
  <c r="AW1922" i="6" s="1" a="1"/>
  <c r="AW1922" i="6" s="1"/>
  <c r="AV317" i="6"/>
  <c r="AW317" i="6" s="1" a="1"/>
  <c r="AW317" i="6" s="1"/>
  <c r="AV1921" i="6"/>
  <c r="AW1921" i="6" s="1" a="1"/>
  <c r="AW1921" i="6" s="1"/>
  <c r="AY1921" i="6" s="1"/>
  <c r="BC1921" i="6" s="1"/>
  <c r="AV1920" i="6"/>
  <c r="AW1920" i="6" s="1" a="1"/>
  <c r="AW1920" i="6" s="1"/>
  <c r="AV1918" i="6"/>
  <c r="AW1918" i="6" s="1" a="1"/>
  <c r="AW1918" i="6" s="1"/>
  <c r="AV1917" i="6"/>
  <c r="AW1917" i="6" s="1" a="1"/>
  <c r="AW1917" i="6" s="1"/>
  <c r="AV1508" i="6"/>
  <c r="AW1508" i="6" s="1" a="1"/>
  <c r="AW1508" i="6" s="1"/>
  <c r="AX1508" i="6" s="1"/>
  <c r="AV930" i="6"/>
  <c r="AW930" i="6" s="1" a="1"/>
  <c r="AW930" i="6" s="1"/>
  <c r="AY930" i="6" s="1"/>
  <c r="BC930" i="6" s="1"/>
  <c r="AV1916" i="6"/>
  <c r="AW1916" i="6" s="1" a="1"/>
  <c r="AW1916" i="6" s="1"/>
  <c r="AV1915" i="6"/>
  <c r="AW1915" i="6" s="1" a="1"/>
  <c r="AW1915" i="6" s="1"/>
  <c r="AV1914" i="6"/>
  <c r="AW1914" i="6" s="1" a="1"/>
  <c r="AW1914" i="6" s="1"/>
  <c r="AV1913" i="6"/>
  <c r="AW1913" i="6" s="1" a="1"/>
  <c r="AW1913" i="6" s="1"/>
  <c r="AV1912" i="6"/>
  <c r="AW1912" i="6" s="1" a="1"/>
  <c r="AW1912" i="6" s="1"/>
  <c r="AV929" i="6"/>
  <c r="AW929" i="6" s="1" a="1"/>
  <c r="AW929" i="6" s="1"/>
  <c r="AV928" i="6"/>
  <c r="AW928" i="6" s="1" a="1"/>
  <c r="AW928" i="6" s="1"/>
  <c r="AX928" i="6" s="1"/>
  <c r="AV927" i="6"/>
  <c r="AW927" i="6" s="1" a="1"/>
  <c r="AW927" i="6" s="1"/>
  <c r="AV316" i="6"/>
  <c r="AW316" i="6" s="1" a="1"/>
  <c r="AW316" i="6" s="1"/>
  <c r="AV315" i="6"/>
  <c r="AW315" i="6" s="1" a="1"/>
  <c r="AW315" i="6" s="1"/>
  <c r="AV1911" i="6"/>
  <c r="AW1911" i="6" s="1" a="1"/>
  <c r="AW1911" i="6" s="1"/>
  <c r="AV1910" i="6"/>
  <c r="AW1910" i="6" s="1" a="1"/>
  <c r="AW1910" i="6" s="1"/>
  <c r="AV1909" i="6"/>
  <c r="AW1909" i="6" s="1" a="1"/>
  <c r="AW1909" i="6" s="1"/>
  <c r="AV926" i="6"/>
  <c r="AW926" i="6" s="1" a="1"/>
  <c r="AW926" i="6" s="1"/>
  <c r="AV925" i="6"/>
  <c r="AW925" i="6" s="1" a="1"/>
  <c r="AW925" i="6" s="1"/>
  <c r="AV924" i="6"/>
  <c r="AW924" i="6" s="1" a="1"/>
  <c r="AW924" i="6" s="1"/>
  <c r="AX924" i="6" s="1"/>
  <c r="AV1568" i="6"/>
  <c r="AW1568" i="6" s="1" a="1"/>
  <c r="AW1568" i="6" s="1"/>
  <c r="BA1568" i="6" s="1"/>
  <c r="AZ1568" i="6" s="1"/>
  <c r="AV923" i="6"/>
  <c r="AW923" i="6" s="1" a="1"/>
  <c r="AW923" i="6" s="1"/>
  <c r="AV1962" i="6"/>
  <c r="AW1962" i="6" s="1" a="1"/>
  <c r="AW1962" i="6" s="1"/>
  <c r="AY1962" i="6" s="1"/>
  <c r="BC1962" i="6" s="1"/>
  <c r="AV922" i="6"/>
  <c r="AW922" i="6" s="1" a="1"/>
  <c r="AW922" i="6" s="1"/>
  <c r="AV2725" i="6"/>
  <c r="AW2725" i="6" s="1" a="1"/>
  <c r="AW2725" i="6" s="1"/>
  <c r="AV975" i="6"/>
  <c r="AW975" i="6" s="1" a="1"/>
  <c r="AW975" i="6" s="1"/>
  <c r="AV974" i="6"/>
  <c r="AW974" i="6" s="1" a="1"/>
  <c r="AW974" i="6" s="1"/>
  <c r="BA974" i="6" s="1"/>
  <c r="AZ974" i="6" s="1"/>
  <c r="AV973" i="6"/>
  <c r="AW973" i="6" s="1" a="1"/>
  <c r="AW973" i="6" s="1"/>
  <c r="AV2724" i="6"/>
  <c r="AW2724" i="6" s="1" a="1"/>
  <c r="AW2724" i="6" s="1"/>
  <c r="AV853" i="6"/>
  <c r="AW853" i="6" s="1" a="1"/>
  <c r="AW853" i="6" s="1"/>
  <c r="BA853" i="6" s="1"/>
  <c r="AZ853" i="6" s="1"/>
  <c r="AV184" i="6"/>
  <c r="AW184" i="6" s="1" a="1"/>
  <c r="AW184" i="6" s="1"/>
  <c r="AV972" i="6"/>
  <c r="AW972" i="6" s="1" a="1"/>
  <c r="AW972" i="6" s="1"/>
  <c r="BA972" i="6" s="1"/>
  <c r="AZ972" i="6" s="1"/>
  <c r="AV852" i="6"/>
  <c r="AW852" i="6" s="1" a="1"/>
  <c r="AW852" i="6" s="1"/>
  <c r="AV2723" i="6"/>
  <c r="AW2723" i="6" s="1" a="1"/>
  <c r="AW2723" i="6" s="1"/>
  <c r="BA2723" i="6" s="1"/>
  <c r="AZ2723" i="6" s="1"/>
  <c r="AV921" i="6"/>
  <c r="AW921" i="6" s="1" a="1"/>
  <c r="AW921" i="6" s="1"/>
  <c r="AY921" i="6" s="1"/>
  <c r="BC921" i="6" s="1"/>
  <c r="AV2722" i="6"/>
  <c r="AW2722" i="6" s="1" a="1"/>
  <c r="AW2722" i="6" s="1"/>
  <c r="AV2721" i="6"/>
  <c r="AW2721" i="6" s="1" a="1"/>
  <c r="AW2721" i="6" s="1"/>
  <c r="AV2662" i="6"/>
  <c r="AW2662" i="6" s="1" a="1"/>
  <c r="AW2662" i="6" s="1"/>
  <c r="AV971" i="6"/>
  <c r="AW971" i="6" s="1" a="1"/>
  <c r="AW971" i="6" s="1"/>
  <c r="AV970" i="6"/>
  <c r="AW970" i="6" s="1" a="1"/>
  <c r="AW970" i="6" s="1"/>
  <c r="AV2661" i="6"/>
  <c r="AW2661" i="6" s="1" a="1"/>
  <c r="AW2661" i="6" s="1"/>
  <c r="BA2661" i="6" s="1"/>
  <c r="AZ2661" i="6" s="1"/>
  <c r="AV2660" i="6"/>
  <c r="AW2660" i="6" s="1" a="1"/>
  <c r="AW2660" i="6" s="1"/>
  <c r="AV2659" i="6"/>
  <c r="AW2659" i="6" s="1" a="1"/>
  <c r="AW2659" i="6" s="1"/>
  <c r="BA2659" i="6" s="1"/>
  <c r="AZ2659" i="6" s="1"/>
  <c r="AV183" i="6"/>
  <c r="AW183" i="6" s="1" a="1"/>
  <c r="AW183" i="6" s="1"/>
  <c r="AV1563" i="6"/>
  <c r="AW1563" i="6" s="1" a="1"/>
  <c r="AW1563" i="6" s="1"/>
  <c r="AX1563" i="6" s="1"/>
  <c r="AV920" i="6"/>
  <c r="AW920" i="6" s="1" a="1"/>
  <c r="AW920" i="6" s="1"/>
  <c r="AV2658" i="6"/>
  <c r="AW2658" i="6" s="1" a="1"/>
  <c r="AW2658" i="6" s="1"/>
  <c r="AV2657" i="6"/>
  <c r="AW2657" i="6" s="1" a="1"/>
  <c r="AW2657" i="6" s="1"/>
  <c r="AV182" i="6"/>
  <c r="AW182" i="6" s="1" a="1"/>
  <c r="AW182" i="6" s="1"/>
  <c r="AV2656" i="6"/>
  <c r="AW2656" i="6" s="1" a="1"/>
  <c r="AW2656" i="6" s="1"/>
  <c r="AV969" i="6"/>
  <c r="AW969" i="6" s="1" a="1"/>
  <c r="AW969" i="6" s="1"/>
  <c r="AV962" i="6"/>
  <c r="AW962" i="6" s="1" a="1"/>
  <c r="AW962" i="6" s="1"/>
  <c r="AV968" i="6"/>
  <c r="AW968" i="6" s="1" a="1"/>
  <c r="AW968" i="6" s="1"/>
  <c r="AV967" i="6"/>
  <c r="AW967" i="6" s="1" a="1"/>
  <c r="AW967" i="6" s="1"/>
  <c r="AV2655" i="6"/>
  <c r="AW2655" i="6" s="1" a="1"/>
  <c r="AW2655" i="6" s="1"/>
  <c r="AV2654" i="6"/>
  <c r="AW2654" i="6" s="1" a="1"/>
  <c r="AW2654" i="6" s="1"/>
  <c r="AV2653" i="6"/>
  <c r="AW2653" i="6" s="1" a="1"/>
  <c r="AW2653" i="6" s="1"/>
  <c r="AV2652" i="6"/>
  <c r="AW2652" i="6" s="1" a="1"/>
  <c r="AW2652" i="6" s="1"/>
  <c r="BA2652" i="6" s="1"/>
  <c r="AZ2652" i="6" s="1"/>
  <c r="AV966" i="6"/>
  <c r="AW966" i="6" s="1" a="1"/>
  <c r="AW966" i="6" s="1"/>
  <c r="AV965" i="6"/>
  <c r="AW965" i="6" s="1" a="1"/>
  <c r="AW965" i="6" s="1"/>
  <c r="AV964" i="6"/>
  <c r="AW964" i="6" s="1" a="1"/>
  <c r="AW964" i="6" s="1"/>
  <c r="BA964" i="6" s="1"/>
  <c r="AZ964" i="6" s="1"/>
  <c r="AV963" i="6"/>
  <c r="AW963" i="6" s="1" a="1"/>
  <c r="AW963" i="6" s="1"/>
  <c r="AY963" i="6" s="1"/>
  <c r="BC963" i="6" s="1"/>
  <c r="AV961" i="6"/>
  <c r="AW961" i="6" s="1" a="1"/>
  <c r="AW961" i="6" s="1"/>
  <c r="AV1259" i="6"/>
  <c r="AW1259" i="6" s="1" a="1"/>
  <c r="AW1259" i="6" s="1"/>
  <c r="AV1761" i="6"/>
  <c r="AW1761" i="6" s="1" a="1"/>
  <c r="AW1761" i="6" s="1"/>
  <c r="AV1258" i="6"/>
  <c r="AW1258" i="6" s="1" a="1"/>
  <c r="AW1258" i="6" s="1"/>
  <c r="AV1257" i="6"/>
  <c r="AW1257" i="6" s="1" a="1"/>
  <c r="AW1257" i="6" s="1"/>
  <c r="AY1257" i="6" s="1"/>
  <c r="BC1257" i="6" s="1"/>
  <c r="AV1767" i="6"/>
  <c r="AW1767" i="6" s="1" a="1"/>
  <c r="AW1767" i="6" s="1"/>
  <c r="AX1767" i="6" s="1"/>
  <c r="AV1764" i="6"/>
  <c r="AW1764" i="6" s="1" a="1"/>
  <c r="AW1764" i="6" s="1"/>
  <c r="AX1764" i="6" s="1"/>
  <c r="AV1763" i="6"/>
  <c r="AW1763" i="6" s="1" a="1"/>
  <c r="AW1763" i="6" s="1"/>
  <c r="AY1763" i="6" s="1"/>
  <c r="BC1763" i="6" s="1"/>
  <c r="AV1256" i="6"/>
  <c r="AW1256" i="6" s="1" a="1"/>
  <c r="AW1256" i="6" s="1"/>
  <c r="AV1255" i="6"/>
  <c r="AW1255" i="6" s="1" a="1"/>
  <c r="AW1255" i="6" s="1"/>
  <c r="AV1254" i="6"/>
  <c r="AW1254" i="6" s="1" a="1"/>
  <c r="AW1254" i="6" s="1"/>
  <c r="AV1766" i="6"/>
  <c r="AW1766" i="6" s="1" a="1"/>
  <c r="AW1766" i="6" s="1"/>
  <c r="AV1765" i="6"/>
  <c r="AW1765" i="6" s="1" a="1"/>
  <c r="AW1765" i="6" s="1"/>
  <c r="AV1762" i="6"/>
  <c r="AW1762" i="6" s="1" a="1"/>
  <c r="AW1762" i="6" s="1"/>
  <c r="AV1253" i="6"/>
  <c r="AW1253" i="6" s="1" a="1"/>
  <c r="AW1253" i="6" s="1"/>
  <c r="BA1253" i="6" s="1"/>
  <c r="AZ1253" i="6" s="1"/>
  <c r="AV1252" i="6"/>
  <c r="AW1252" i="6" s="1" a="1"/>
  <c r="AW1252" i="6" s="1"/>
  <c r="AV1251" i="6"/>
  <c r="AW1251" i="6" s="1" a="1"/>
  <c r="AW1251" i="6" s="1"/>
  <c r="AY1251" i="6" s="1"/>
  <c r="BC1251" i="6" s="1"/>
  <c r="AV1250" i="6"/>
  <c r="AW1250" i="6" s="1" a="1"/>
  <c r="AW1250" i="6" s="1"/>
  <c r="AV1249" i="6"/>
  <c r="AW1249" i="6" s="1" a="1"/>
  <c r="AW1249" i="6" s="1"/>
  <c r="AV1248" i="6"/>
  <c r="AW1248" i="6" s="1" a="1"/>
  <c r="AW1248" i="6" s="1"/>
  <c r="AV1247" i="6"/>
  <c r="AW1247" i="6" s="1" a="1"/>
  <c r="AW1247" i="6" s="1"/>
  <c r="AV1246" i="6"/>
  <c r="AW1246" i="6" s="1" a="1"/>
  <c r="AW1246" i="6" s="1"/>
  <c r="AX1246" i="6" s="1"/>
  <c r="AV1245" i="6"/>
  <c r="AW1245" i="6" s="1" a="1"/>
  <c r="AW1245" i="6" s="1"/>
  <c r="AY1245" i="6" s="1"/>
  <c r="BC1245" i="6" s="1"/>
  <c r="AV1244" i="6"/>
  <c r="AW1244" i="6" s="1" a="1"/>
  <c r="AW1244" i="6" s="1"/>
  <c r="AV1243" i="6"/>
  <c r="AW1243" i="6" s="1" a="1"/>
  <c r="AW1243" i="6" s="1"/>
  <c r="AV1242" i="6"/>
  <c r="AW1242" i="6" s="1" a="1"/>
  <c r="AW1242" i="6" s="1"/>
  <c r="AV1241" i="6"/>
  <c r="AW1241" i="6" s="1" a="1"/>
  <c r="AW1241" i="6" s="1"/>
  <c r="AV1240" i="6"/>
  <c r="AW1240" i="6" s="1" a="1"/>
  <c r="AW1240" i="6" s="1"/>
  <c r="AV1239" i="6"/>
  <c r="AW1239" i="6" s="1" a="1"/>
  <c r="AW1239" i="6" s="1"/>
  <c r="AV1238" i="6"/>
  <c r="AW1238" i="6" s="1" a="1"/>
  <c r="AW1238" i="6" s="1"/>
  <c r="AY1238" i="6" s="1"/>
  <c r="BC1238" i="6" s="1"/>
  <c r="AV1237" i="6"/>
  <c r="AW1237" i="6" s="1" a="1"/>
  <c r="AW1237" i="6" s="1"/>
  <c r="AV1236" i="6"/>
  <c r="AW1236" i="6" s="1" a="1"/>
  <c r="AW1236" i="6" s="1"/>
  <c r="AV1235" i="6"/>
  <c r="AW1235" i="6" s="1" a="1"/>
  <c r="AW1235" i="6" s="1"/>
  <c r="AX1235" i="6" s="1"/>
  <c r="AV1234" i="6"/>
  <c r="AW1234" i="6" s="1" a="1"/>
  <c r="AW1234" i="6" s="1"/>
  <c r="AV1221" i="6"/>
  <c r="AW1221" i="6" s="1" a="1"/>
  <c r="AW1221" i="6" s="1"/>
  <c r="AY1221" i="6" s="1"/>
  <c r="BC1221" i="6" s="1"/>
  <c r="AV1220" i="6"/>
  <c r="AW1220" i="6" s="1" a="1"/>
  <c r="AW1220" i="6" s="1"/>
  <c r="AV1219" i="6"/>
  <c r="AW1219" i="6" s="1" a="1"/>
  <c r="AW1219" i="6" s="1"/>
  <c r="AV2514" i="6"/>
  <c r="AW2514" i="6" s="1" a="1"/>
  <c r="AW2514" i="6" s="1"/>
  <c r="AY2514" i="6" s="1"/>
  <c r="BC2514" i="6" s="1"/>
  <c r="AV2255" i="6"/>
  <c r="AW2255" i="6" s="1" a="1"/>
  <c r="AW2255" i="6" s="1"/>
  <c r="AV2407" i="6"/>
  <c r="AW2407" i="6" s="1" a="1"/>
  <c r="AW2407" i="6" s="1"/>
  <c r="AV2515" i="6"/>
  <c r="AW2515" i="6" s="1" a="1"/>
  <c r="AW2515" i="6" s="1"/>
  <c r="BA2515" i="6" s="1"/>
  <c r="AZ2515" i="6" s="1"/>
  <c r="AV2060" i="6"/>
  <c r="AW2060" i="6" s="1" a="1"/>
  <c r="AW2060" i="6" s="1"/>
  <c r="AV2059" i="6"/>
  <c r="AW2059" i="6" s="1" a="1"/>
  <c r="AW2059" i="6" s="1"/>
  <c r="AV2058" i="6"/>
  <c r="AW2058" i="6" s="1" a="1"/>
  <c r="AW2058" i="6" s="1"/>
  <c r="AV2057" i="6"/>
  <c r="AW2057" i="6" s="1" a="1"/>
  <c r="AW2057" i="6" s="1"/>
  <c r="AV2056" i="6"/>
  <c r="AW2056" i="6" s="1" a="1"/>
  <c r="AW2056" i="6" s="1"/>
  <c r="AV305" i="6"/>
  <c r="AW305" i="6" s="1" a="1"/>
  <c r="AW305" i="6" s="1"/>
  <c r="AV1082" i="6"/>
  <c r="AW1082" i="6" s="1" a="1"/>
  <c r="AW1082" i="6" s="1"/>
  <c r="AV1441" i="6"/>
  <c r="AW1441" i="6" s="1" a="1"/>
  <c r="AW1441" i="6" s="1"/>
  <c r="AY1441" i="6" s="1"/>
  <c r="BC1441" i="6" s="1"/>
  <c r="AV1694" i="6"/>
  <c r="AW1694" i="6" s="1" a="1"/>
  <c r="AW1694" i="6" s="1"/>
  <c r="AV1908" i="6"/>
  <c r="AW1908" i="6" s="1" a="1"/>
  <c r="AW1908" i="6" s="1"/>
  <c r="BA1908" i="6" s="1"/>
  <c r="AZ1908" i="6" s="1"/>
  <c r="AV1907" i="6"/>
  <c r="AW1907" i="6" s="1" a="1"/>
  <c r="AW1907" i="6" s="1"/>
  <c r="AV1906" i="6"/>
  <c r="AW1906" i="6" s="1" a="1"/>
  <c r="AW1906" i="6" s="1"/>
  <c r="AV801" i="6"/>
  <c r="AW801" i="6" s="1" a="1"/>
  <c r="AW801" i="6" s="1"/>
  <c r="AV1904" i="6"/>
  <c r="AW1904" i="6" s="1" a="1"/>
  <c r="AW1904" i="6" s="1"/>
  <c r="AY1904" i="6" s="1"/>
  <c r="BC1904" i="6" s="1"/>
  <c r="AV1903" i="6"/>
  <c r="AW1903" i="6" s="1" a="1"/>
  <c r="AW1903" i="6" s="1"/>
  <c r="AV1901" i="6"/>
  <c r="AW1901" i="6" s="1" a="1"/>
  <c r="AW1901" i="6" s="1"/>
  <c r="AV1900" i="6"/>
  <c r="AW1900" i="6" s="1" a="1"/>
  <c r="AW1900" i="6" s="1"/>
  <c r="AV1413" i="6"/>
  <c r="AW1413" i="6" s="1" a="1"/>
  <c r="AW1413" i="6" s="1"/>
  <c r="BA1413" i="6" s="1"/>
  <c r="AZ1413" i="6" s="1"/>
  <c r="AV1899" i="6"/>
  <c r="AW1899" i="6" s="1" a="1"/>
  <c r="AW1899" i="6" s="1"/>
  <c r="AV1898" i="6"/>
  <c r="AW1898" i="6" s="1" a="1"/>
  <c r="AW1898" i="6" s="1"/>
  <c r="AV1897" i="6"/>
  <c r="AW1897" i="6" s="1" a="1"/>
  <c r="AW1897" i="6" s="1"/>
  <c r="AV1896" i="6"/>
  <c r="AW1896" i="6" s="1" a="1"/>
  <c r="AW1896" i="6" s="1"/>
  <c r="AV1895" i="6"/>
  <c r="AW1895" i="6" s="1" a="1"/>
  <c r="AW1895" i="6" s="1"/>
  <c r="AV1894" i="6"/>
  <c r="AW1894" i="6" s="1" a="1"/>
  <c r="AW1894" i="6" s="1"/>
  <c r="AV1893" i="6"/>
  <c r="AW1893" i="6" s="1" a="1"/>
  <c r="AW1893" i="6" s="1"/>
  <c r="AV1891" i="6"/>
  <c r="AW1891" i="6" s="1" a="1"/>
  <c r="AW1891" i="6" s="1"/>
  <c r="AY1891" i="6" s="1"/>
  <c r="BC1891" i="6" s="1"/>
  <c r="AV1890" i="6"/>
  <c r="AW1890" i="6" s="1" a="1"/>
  <c r="AW1890" i="6" s="1"/>
  <c r="AV1889" i="6"/>
  <c r="AW1889" i="6" s="1" a="1"/>
  <c r="AW1889" i="6" s="1"/>
  <c r="AV2650" i="6"/>
  <c r="AW2650" i="6" s="1" a="1"/>
  <c r="AW2650" i="6" s="1"/>
  <c r="AV1887" i="6"/>
  <c r="AW1887" i="6" s="1" a="1"/>
  <c r="AW1887" i="6" s="1"/>
  <c r="AV1886" i="6"/>
  <c r="AW1886" i="6" s="1" a="1"/>
  <c r="AW1886" i="6" s="1"/>
  <c r="AV1885" i="6"/>
  <c r="AW1885" i="6" s="1" a="1"/>
  <c r="AW1885" i="6" s="1"/>
  <c r="AV1884" i="6"/>
  <c r="AW1884" i="6" s="1" a="1"/>
  <c r="AW1884" i="6" s="1"/>
  <c r="BA1884" i="6" s="1"/>
  <c r="AZ1884" i="6" s="1"/>
  <c r="AV1883" i="6"/>
  <c r="AW1883" i="6" s="1" a="1"/>
  <c r="AW1883" i="6" s="1"/>
  <c r="AV1882" i="6"/>
  <c r="AW1882" i="6" s="1" a="1"/>
  <c r="AW1882" i="6" s="1"/>
  <c r="AV1881" i="6"/>
  <c r="AW1881" i="6" s="1" a="1"/>
  <c r="AW1881" i="6" s="1"/>
  <c r="AX1881" i="6" s="1"/>
  <c r="AV1880" i="6"/>
  <c r="AW1880" i="6" s="1" a="1"/>
  <c r="AW1880" i="6" s="1"/>
  <c r="AV1877" i="6"/>
  <c r="AW1877" i="6" s="1" a="1"/>
  <c r="AW1877" i="6" s="1"/>
  <c r="AV1876" i="6"/>
  <c r="AW1876" i="6" s="1" a="1"/>
  <c r="AW1876" i="6" s="1"/>
  <c r="AV1875" i="6"/>
  <c r="AW1875" i="6" s="1" a="1"/>
  <c r="AW1875" i="6" s="1"/>
  <c r="AV1874" i="6"/>
  <c r="AW1874" i="6" s="1" a="1"/>
  <c r="AW1874" i="6" s="1"/>
  <c r="BA1874" i="6" s="1"/>
  <c r="AZ1874" i="6" s="1"/>
  <c r="AV1873" i="6"/>
  <c r="AW1873" i="6" s="1" a="1"/>
  <c r="AW1873" i="6" s="1"/>
  <c r="AV1871" i="6"/>
  <c r="AW1871" i="6" s="1" a="1"/>
  <c r="AW1871" i="6" s="1"/>
  <c r="AV1870" i="6"/>
  <c r="AW1870" i="6" s="1" a="1"/>
  <c r="AW1870" i="6" s="1"/>
  <c r="AV1869" i="6"/>
  <c r="AW1869" i="6" s="1" a="1"/>
  <c r="AW1869" i="6" s="1"/>
  <c r="AV1868" i="6"/>
  <c r="AW1868" i="6" s="1" a="1"/>
  <c r="AW1868" i="6" s="1"/>
  <c r="AV1867" i="6"/>
  <c r="AW1867" i="6" s="1" a="1"/>
  <c r="AW1867" i="6" s="1"/>
  <c r="AV1866" i="6"/>
  <c r="AW1866" i="6" s="1" a="1"/>
  <c r="AW1866" i="6" s="1"/>
  <c r="AV1865" i="6"/>
  <c r="AW1865" i="6" s="1" a="1"/>
  <c r="AW1865" i="6" s="1"/>
  <c r="AV1864" i="6"/>
  <c r="AW1864" i="6" s="1" a="1"/>
  <c r="AW1864" i="6" s="1"/>
  <c r="AV1863" i="6"/>
  <c r="AW1863" i="6" s="1" a="1"/>
  <c r="AW1863" i="6" s="1"/>
  <c r="AV1862" i="6"/>
  <c r="AW1862" i="6" s="1" a="1"/>
  <c r="AW1862" i="6" s="1"/>
  <c r="AX1862" i="6" s="1"/>
  <c r="AV1861" i="6"/>
  <c r="AW1861" i="6" s="1" a="1"/>
  <c r="AW1861" i="6" s="1"/>
  <c r="BA1861" i="6" s="1"/>
  <c r="AZ1861" i="6" s="1"/>
  <c r="AV1860" i="6"/>
  <c r="AW1860" i="6" s="1" a="1"/>
  <c r="AW1860" i="6" s="1"/>
  <c r="AV1440" i="6"/>
  <c r="AW1440" i="6" s="1" a="1"/>
  <c r="AW1440" i="6" s="1"/>
  <c r="AV1439" i="6"/>
  <c r="AW1439" i="6" s="1" a="1"/>
  <c r="AW1439" i="6" s="1"/>
  <c r="AV1438" i="6"/>
  <c r="AW1438" i="6" s="1" a="1"/>
  <c r="AW1438" i="6" s="1"/>
  <c r="AV1437" i="6"/>
  <c r="AW1437" i="6" s="1" a="1"/>
  <c r="AW1437" i="6" s="1"/>
  <c r="AY1437" i="6" s="1"/>
  <c r="BC1437" i="6" s="1"/>
  <c r="AV1436" i="6"/>
  <c r="AW1436" i="6" s="1" a="1"/>
  <c r="AW1436" i="6" s="1"/>
  <c r="AV800" i="6"/>
  <c r="AW800" i="6" s="1" a="1"/>
  <c r="AW800" i="6" s="1"/>
  <c r="AV1435" i="6"/>
  <c r="AW1435" i="6" s="1" a="1"/>
  <c r="AW1435" i="6" s="1"/>
  <c r="AV1434" i="6"/>
  <c r="AW1434" i="6" s="1" a="1"/>
  <c r="AW1434" i="6" s="1"/>
  <c r="AV1433" i="6"/>
  <c r="AW1433" i="6" s="1" a="1"/>
  <c r="AW1433" i="6" s="1"/>
  <c r="AV1432" i="6"/>
  <c r="AW1432" i="6" s="1" a="1"/>
  <c r="AW1432" i="6" s="1"/>
  <c r="AX1432" i="6" s="1"/>
  <c r="AV1431" i="6"/>
  <c r="AW1431" i="6" s="1" a="1"/>
  <c r="AW1431" i="6" s="1"/>
  <c r="AV1429" i="6"/>
  <c r="AW1429" i="6" s="1" a="1"/>
  <c r="AW1429" i="6" s="1"/>
  <c r="AY1429" i="6" s="1"/>
  <c r="BC1429" i="6" s="1"/>
  <c r="AV1428" i="6"/>
  <c r="AW1428" i="6" s="1" a="1"/>
  <c r="AW1428" i="6" s="1"/>
  <c r="AV1427" i="6"/>
  <c r="AW1427" i="6" s="1" a="1"/>
  <c r="AW1427" i="6" s="1"/>
  <c r="AV1426" i="6"/>
  <c r="AW1426" i="6" s="1" a="1"/>
  <c r="AW1426" i="6" s="1"/>
  <c r="AV1425" i="6"/>
  <c r="AW1425" i="6" s="1" a="1"/>
  <c r="AW1425" i="6" s="1"/>
  <c r="AV1424" i="6"/>
  <c r="AW1424" i="6" s="1" a="1"/>
  <c r="AW1424" i="6" s="1"/>
  <c r="AV1423" i="6"/>
  <c r="AW1423" i="6" s="1" a="1"/>
  <c r="AW1423" i="6" s="1"/>
  <c r="AV1422" i="6"/>
  <c r="AW1422" i="6" s="1" a="1"/>
  <c r="AW1422" i="6" s="1"/>
  <c r="AV919" i="6"/>
  <c r="AW919" i="6" s="1" a="1"/>
  <c r="AW919" i="6" s="1"/>
  <c r="AV918" i="6"/>
  <c r="AW918" i="6" s="1" a="1"/>
  <c r="AW918" i="6" s="1"/>
  <c r="AY918" i="6" s="1"/>
  <c r="BC918" i="6" s="1"/>
  <c r="AV917" i="6"/>
  <c r="AW917" i="6" s="1" a="1"/>
  <c r="AW917" i="6" s="1"/>
  <c r="AV916" i="6"/>
  <c r="AW916" i="6" s="1" a="1"/>
  <c r="AW916" i="6" s="1"/>
  <c r="AX916" i="6" s="1"/>
  <c r="AV915" i="6"/>
  <c r="AW915" i="6" s="1" a="1"/>
  <c r="AW915" i="6" s="1"/>
  <c r="AV914" i="6"/>
  <c r="AW914" i="6" s="1" a="1"/>
  <c r="AW914" i="6" s="1"/>
  <c r="AY914" i="6" s="1"/>
  <c r="BC914" i="6" s="1"/>
  <c r="AV2649" i="6"/>
  <c r="AW2649" i="6" s="1" a="1"/>
  <c r="AW2649" i="6" s="1"/>
  <c r="AV913" i="6"/>
  <c r="AW913" i="6" s="1" a="1"/>
  <c r="AW913" i="6" s="1"/>
  <c r="AY913" i="6" s="1"/>
  <c r="BC913" i="6" s="1"/>
  <c r="AV912" i="6"/>
  <c r="AW912" i="6" s="1" a="1"/>
  <c r="AW912" i="6" s="1"/>
  <c r="AV1547" i="6"/>
  <c r="AW1547" i="6" s="1" a="1"/>
  <c r="AW1547" i="6" s="1"/>
  <c r="AV1544" i="6"/>
  <c r="AW1544" i="6" s="1" a="1"/>
  <c r="AW1544" i="6" s="1"/>
  <c r="AX1544" i="6" s="1"/>
  <c r="AV1541" i="6"/>
  <c r="AW1541" i="6" s="1" a="1"/>
  <c r="AW1541" i="6" s="1"/>
  <c r="AX1541" i="6" s="1"/>
  <c r="AV910" i="6"/>
  <c r="AW910" i="6" s="1" a="1"/>
  <c r="AW910" i="6" s="1"/>
  <c r="AV909" i="6"/>
  <c r="AW909" i="6" s="1" a="1"/>
  <c r="AW909" i="6" s="1"/>
  <c r="AY909" i="6" s="1"/>
  <c r="BC909" i="6" s="1"/>
  <c r="AV908" i="6"/>
  <c r="AW908" i="6" s="1" a="1"/>
  <c r="AW908" i="6" s="1"/>
  <c r="AY908" i="6" s="1"/>
  <c r="BC908" i="6" s="1"/>
  <c r="AV1539" i="6"/>
  <c r="AW1539" i="6" s="1" a="1"/>
  <c r="AW1539" i="6" s="1"/>
  <c r="AY1539" i="6" s="1"/>
  <c r="BC1539" i="6" s="1"/>
  <c r="AV1538" i="6"/>
  <c r="AW1538" i="6" s="1" a="1"/>
  <c r="AW1538" i="6" s="1"/>
  <c r="BA1538" i="6" s="1"/>
  <c r="AZ1538" i="6" s="1"/>
  <c r="AV907" i="6"/>
  <c r="AW907" i="6" s="1" a="1"/>
  <c r="AW907" i="6" s="1"/>
  <c r="AV906" i="6"/>
  <c r="AW906" i="6" s="1" a="1"/>
  <c r="AW906" i="6" s="1"/>
  <c r="AX906" i="6" s="1"/>
  <c r="AV905" i="6"/>
  <c r="AW905" i="6" s="1" a="1"/>
  <c r="AW905" i="6" s="1"/>
  <c r="AX905" i="6" s="1"/>
  <c r="AV904" i="6"/>
  <c r="AW904" i="6" s="1" a="1"/>
  <c r="AW904" i="6" s="1"/>
  <c r="AY904" i="6" s="1"/>
  <c r="BC904" i="6" s="1"/>
  <c r="AV903" i="6"/>
  <c r="AW903" i="6" s="1" a="1"/>
  <c r="AW903" i="6" s="1"/>
  <c r="AV902" i="6"/>
  <c r="AW902" i="6" s="1" a="1"/>
  <c r="AW902" i="6" s="1"/>
  <c r="AY902" i="6" s="1"/>
  <c r="BC902" i="6" s="1"/>
  <c r="AV901" i="6"/>
  <c r="AW901" i="6" s="1" a="1"/>
  <c r="AW901" i="6" s="1"/>
  <c r="AV2223" i="6"/>
  <c r="AW2223" i="6" s="1" a="1"/>
  <c r="AW2223" i="6" s="1"/>
  <c r="AX2223" i="6" s="1"/>
  <c r="AV2222" i="6"/>
  <c r="AW2222" i="6" s="1" a="1"/>
  <c r="AW2222" i="6" s="1"/>
  <c r="BA2222" i="6" s="1"/>
  <c r="AZ2222" i="6" s="1"/>
  <c r="AV2221" i="6"/>
  <c r="AW2221" i="6" s="1" a="1"/>
  <c r="AW2221" i="6" s="1"/>
  <c r="AY2221" i="6" s="1"/>
  <c r="BC2221" i="6" s="1"/>
  <c r="AV2220" i="6"/>
  <c r="AW2220" i="6" s="1" a="1"/>
  <c r="AW2220" i="6" s="1"/>
  <c r="AY2220" i="6" s="1"/>
  <c r="BC2220" i="6" s="1"/>
  <c r="AV2219" i="6"/>
  <c r="AW2219" i="6" s="1" a="1"/>
  <c r="AW2219" i="6" s="1"/>
  <c r="AV2218" i="6"/>
  <c r="AW2218" i="6" s="1" a="1"/>
  <c r="AW2218" i="6" s="1"/>
  <c r="AY2218" i="6" s="1"/>
  <c r="BC2218" i="6" s="1"/>
  <c r="AV2217" i="6"/>
  <c r="AW2217" i="6" s="1" a="1"/>
  <c r="AW2217" i="6" s="1"/>
  <c r="AY2217" i="6" s="1"/>
  <c r="BC2217" i="6" s="1"/>
  <c r="AV2216" i="6"/>
  <c r="AW2216" i="6" s="1" a="1"/>
  <c r="AW2216" i="6" s="1"/>
  <c r="BA2216" i="6" s="1"/>
  <c r="AZ2216" i="6" s="1"/>
  <c r="AV2215" i="6"/>
  <c r="AW2215" i="6" s="1" a="1"/>
  <c r="AW2215" i="6" s="1"/>
  <c r="AV2214" i="6"/>
  <c r="AW2214" i="6" s="1" a="1"/>
  <c r="AW2214" i="6" s="1"/>
  <c r="AY2214" i="6" s="1"/>
  <c r="BC2214" i="6" s="1"/>
  <c r="AV2213" i="6"/>
  <c r="AW2213" i="6" s="1" a="1"/>
  <c r="AW2213" i="6" s="1"/>
  <c r="AY2213" i="6" s="1"/>
  <c r="BC2213" i="6" s="1"/>
  <c r="AV2024" i="6"/>
  <c r="AW2024" i="6" s="1" a="1"/>
  <c r="AW2024" i="6" s="1"/>
  <c r="BA2024" i="6" s="1"/>
  <c r="AZ2024" i="6" s="1"/>
  <c r="AV2023" i="6"/>
  <c r="AW2023" i="6" s="1" a="1"/>
  <c r="AW2023" i="6" s="1"/>
  <c r="AV2021" i="6"/>
  <c r="AW2021" i="6" s="1" a="1"/>
  <c r="AW2021" i="6" s="1"/>
  <c r="AV2020" i="6"/>
  <c r="AW2020" i="6" s="1" a="1"/>
  <c r="AW2020" i="6" s="1"/>
  <c r="AV2019" i="6"/>
  <c r="AW2019" i="6" s="1" a="1"/>
  <c r="AW2019" i="6" s="1"/>
  <c r="BA2019" i="6" s="1"/>
  <c r="AZ2019" i="6" s="1"/>
  <c r="AV2017" i="6"/>
  <c r="AW2017" i="6" s="1" a="1"/>
  <c r="AW2017" i="6" s="1"/>
  <c r="AV2016" i="6"/>
  <c r="AW2016" i="6" s="1" a="1"/>
  <c r="AW2016" i="6" s="1"/>
  <c r="AV2015" i="6"/>
  <c r="AW2015" i="6" s="1" a="1"/>
  <c r="AW2015" i="6" s="1"/>
  <c r="AV2014" i="6"/>
  <c r="AW2014" i="6" s="1" a="1"/>
  <c r="AW2014" i="6" s="1"/>
  <c r="AV2013" i="6"/>
  <c r="AW2013" i="6" s="1" a="1"/>
  <c r="AW2013" i="6" s="1"/>
  <c r="AV2012" i="6"/>
  <c r="AW2012" i="6" s="1" a="1"/>
  <c r="AW2012" i="6" s="1"/>
  <c r="AY2012" i="6" s="1"/>
  <c r="BC2012" i="6" s="1"/>
  <c r="AV2011" i="6"/>
  <c r="AW2011" i="6" s="1" a="1"/>
  <c r="AW2011" i="6" s="1"/>
  <c r="AV2010" i="6"/>
  <c r="AW2010" i="6" s="1" a="1"/>
  <c r="AW2010" i="6" s="1"/>
  <c r="AV2009" i="6"/>
  <c r="AW2009" i="6" s="1" a="1"/>
  <c r="AW2009" i="6" s="1"/>
  <c r="AV2008" i="6"/>
  <c r="AW2008" i="6" s="1" a="1"/>
  <c r="AW2008" i="6" s="1"/>
  <c r="AV2007" i="6"/>
  <c r="AW2007" i="6" s="1" a="1"/>
  <c r="AW2007" i="6" s="1"/>
  <c r="AV2006" i="6"/>
  <c r="AW2006" i="6" s="1" a="1"/>
  <c r="AW2006" i="6" s="1"/>
  <c r="AV2005" i="6"/>
  <c r="AW2005" i="6" s="1" a="1"/>
  <c r="AW2005" i="6" s="1"/>
  <c r="AX2005" i="6" s="1"/>
  <c r="AV561" i="6"/>
  <c r="AW561" i="6" s="1" a="1"/>
  <c r="AW561" i="6" s="1"/>
  <c r="AV560" i="6"/>
  <c r="AW560" i="6" s="1" a="1"/>
  <c r="AW560" i="6" s="1"/>
  <c r="AY560" i="6" s="1"/>
  <c r="BC560" i="6" s="1"/>
  <c r="AV538" i="6"/>
  <c r="AW538" i="6" s="1" a="1"/>
  <c r="AW538" i="6" s="1"/>
  <c r="AV537" i="6"/>
  <c r="AW537" i="6" s="1" a="1"/>
  <c r="AW537" i="6" s="1"/>
  <c r="AX537" i="6" s="1"/>
  <c r="AV536" i="6"/>
  <c r="AW536" i="6" s="1" a="1"/>
  <c r="AW536" i="6" s="1"/>
  <c r="AY536" i="6" s="1"/>
  <c r="BC536" i="6" s="1"/>
  <c r="AV434" i="6"/>
  <c r="AW434" i="6" s="1" a="1"/>
  <c r="AW434" i="6" s="1"/>
  <c r="AV412" i="6"/>
  <c r="AW412" i="6" s="1" a="1"/>
  <c r="AW412" i="6" s="1"/>
  <c r="AY412" i="6" s="1"/>
  <c r="BC412" i="6" s="1"/>
  <c r="AV411" i="6"/>
  <c r="AW411" i="6" s="1" a="1"/>
  <c r="AW411" i="6" s="1"/>
  <c r="AY411" i="6" s="1"/>
  <c r="BC411" i="6" s="1"/>
  <c r="AV493" i="6"/>
  <c r="AW493" i="6" s="1" a="1"/>
  <c r="AW493" i="6" s="1"/>
  <c r="AV2149" i="6"/>
  <c r="AW2149" i="6" s="1" a="1"/>
  <c r="AW2149" i="6" s="1"/>
  <c r="AV2148" i="6"/>
  <c r="AW2148" i="6" s="1" a="1"/>
  <c r="AW2148" i="6" s="1"/>
  <c r="AY2148" i="6" s="1"/>
  <c r="BC2148" i="6" s="1"/>
  <c r="AV2147" i="6"/>
  <c r="AW2147" i="6" s="1" a="1"/>
  <c r="AW2147" i="6" s="1"/>
  <c r="BA2147" i="6" s="1"/>
  <c r="AZ2147" i="6" s="1"/>
  <c r="AV2146" i="6"/>
  <c r="AW2146" i="6" s="1" a="1"/>
  <c r="AW2146" i="6" s="1"/>
  <c r="AV2145" i="6"/>
  <c r="AW2145" i="6" s="1" a="1"/>
  <c r="AW2145" i="6" s="1"/>
  <c r="AV1554" i="6"/>
  <c r="AW1554" i="6" s="1" a="1"/>
  <c r="AW1554" i="6" s="1"/>
  <c r="AV329" i="6"/>
  <c r="AW329" i="6" s="1" a="1"/>
  <c r="AW329" i="6" s="1"/>
  <c r="BA329" i="6" s="1"/>
  <c r="AZ329" i="6" s="1"/>
  <c r="AV331" i="6"/>
  <c r="AW331" i="6" s="1" a="1"/>
  <c r="AW331" i="6" s="1"/>
  <c r="BA331" i="6" s="1"/>
  <c r="AZ331" i="6" s="1"/>
  <c r="AV328" i="6"/>
  <c r="AW328" i="6" s="1" a="1"/>
  <c r="AW328" i="6" s="1"/>
  <c r="AV1553" i="6"/>
  <c r="AW1553" i="6" s="1" a="1"/>
  <c r="AW1553" i="6" s="1"/>
  <c r="BA1553" i="6" s="1"/>
  <c r="AZ1553" i="6" s="1"/>
  <c r="AV1552" i="6"/>
  <c r="AW1552" i="6" s="1" a="1"/>
  <c r="AW1552" i="6" s="1"/>
  <c r="AV1551" i="6"/>
  <c r="AW1551" i="6" s="1" a="1"/>
  <c r="AW1551" i="6" s="1"/>
  <c r="AV1550" i="6"/>
  <c r="AW1550" i="6" s="1" a="1"/>
  <c r="AW1550" i="6" s="1"/>
  <c r="AV1549" i="6"/>
  <c r="AW1549" i="6" s="1" a="1"/>
  <c r="AW1549" i="6" s="1"/>
  <c r="AV1548" i="6"/>
  <c r="AW1548" i="6" s="1" a="1"/>
  <c r="AW1548" i="6" s="1"/>
  <c r="AV1546" i="6"/>
  <c r="AW1546" i="6" s="1" a="1"/>
  <c r="AW1546" i="6" s="1"/>
  <c r="AV426" i="6"/>
  <c r="AW426" i="6" s="1" a="1"/>
  <c r="AW426" i="6" s="1"/>
  <c r="AV425" i="6"/>
  <c r="AW425" i="6" s="1" a="1"/>
  <c r="AW425" i="6" s="1"/>
  <c r="AV2581" i="6"/>
  <c r="AW2581" i="6" s="1" a="1"/>
  <c r="AW2581" i="6" s="1"/>
  <c r="AV1614" i="6"/>
  <c r="AW1614" i="6" s="1" a="1"/>
  <c r="AW1614" i="6" s="1"/>
  <c r="AX1614" i="6" s="1"/>
  <c r="AV2580" i="6"/>
  <c r="AW2580" i="6" s="1" a="1"/>
  <c r="AW2580" i="6" s="1"/>
  <c r="AV1545" i="6"/>
  <c r="AW1545" i="6" s="1" a="1"/>
  <c r="AW1545" i="6" s="1"/>
  <c r="AY1545" i="6" s="1"/>
  <c r="BC1545" i="6" s="1"/>
  <c r="AV1543" i="6"/>
  <c r="AW1543" i="6" s="1" a="1"/>
  <c r="AW1543" i="6" s="1"/>
  <c r="AV1542" i="6"/>
  <c r="AW1542" i="6" s="1" a="1"/>
  <c r="AW1542" i="6" s="1"/>
  <c r="AX1542" i="6" s="1"/>
  <c r="AV1540" i="6"/>
  <c r="AW1540" i="6" s="1" a="1"/>
  <c r="AW1540" i="6" s="1"/>
  <c r="AV1537" i="6"/>
  <c r="AW1537" i="6" s="1" a="1"/>
  <c r="AW1537" i="6" s="1"/>
  <c r="AY1537" i="6" s="1"/>
  <c r="BC1537" i="6" s="1"/>
  <c r="AV1536" i="6"/>
  <c r="AW1536" i="6" s="1" a="1"/>
  <c r="AW1536" i="6" s="1"/>
  <c r="AV1535" i="6"/>
  <c r="AW1535" i="6" s="1" a="1"/>
  <c r="AW1535" i="6" s="1"/>
  <c r="AY1535" i="6" s="1"/>
  <c r="BC1535" i="6" s="1"/>
  <c r="AV1043" i="6"/>
  <c r="AW1043" i="6" s="1" a="1"/>
  <c r="AW1043" i="6" s="1"/>
  <c r="AY1043" i="6" s="1"/>
  <c r="BC1043" i="6" s="1"/>
  <c r="AV1162" i="6"/>
  <c r="AW1162" i="6" s="1" a="1"/>
  <c r="AW1162" i="6" s="1"/>
  <c r="AV1161" i="6"/>
  <c r="AW1161" i="6" s="1" a="1"/>
  <c r="AW1161" i="6" s="1"/>
  <c r="AV1050" i="6"/>
  <c r="AW1050" i="6" s="1" a="1"/>
  <c r="AW1050" i="6" s="1"/>
  <c r="AV1160" i="6"/>
  <c r="AW1160" i="6" s="1" a="1"/>
  <c r="AW1160" i="6" s="1"/>
  <c r="AV1159" i="6"/>
  <c r="AW1159" i="6" s="1" a="1"/>
  <c r="AW1159" i="6" s="1"/>
  <c r="AX1159" i="6" s="1"/>
  <c r="AV1158" i="6"/>
  <c r="AW1158" i="6" s="1" a="1"/>
  <c r="AW1158" i="6" s="1"/>
  <c r="AV1157" i="6"/>
  <c r="AW1157" i="6" s="1" a="1"/>
  <c r="AW1157" i="6" s="1"/>
  <c r="AV594" i="6"/>
  <c r="AW594" i="6" s="1" a="1"/>
  <c r="AW594" i="6" s="1"/>
  <c r="AV593" i="6"/>
  <c r="AW593" i="6" s="1" a="1"/>
  <c r="AW593" i="6" s="1"/>
  <c r="AV534" i="6"/>
  <c r="AW534" i="6" s="1" a="1"/>
  <c r="AW534" i="6" s="1"/>
  <c r="AV504" i="6"/>
  <c r="AW504" i="6" s="1" a="1"/>
  <c r="AW504" i="6" s="1"/>
  <c r="AV503" i="6"/>
  <c r="AW503" i="6" s="1" a="1"/>
  <c r="AW503" i="6" s="1"/>
  <c r="AV502" i="6"/>
  <c r="AW502" i="6" s="1" a="1"/>
  <c r="AW502" i="6" s="1"/>
  <c r="AV501" i="6"/>
  <c r="AW501" i="6" s="1" a="1"/>
  <c r="AW501" i="6" s="1"/>
  <c r="AV517" i="6"/>
  <c r="AW517" i="6" s="1" a="1"/>
  <c r="AW517" i="6" s="1"/>
  <c r="AV516" i="6"/>
  <c r="AW516" i="6" s="1" a="1"/>
  <c r="AW516" i="6" s="1"/>
  <c r="BA516" i="6" s="1"/>
  <c r="AZ516" i="6" s="1"/>
  <c r="AV410" i="6"/>
  <c r="AW410" i="6" s="1" a="1"/>
  <c r="AW410" i="6" s="1"/>
  <c r="AV409" i="6"/>
  <c r="AW409" i="6" s="1" a="1"/>
  <c r="AW409" i="6" s="1"/>
  <c r="AV408" i="6"/>
  <c r="AW408" i="6" s="1" a="1"/>
  <c r="AW408" i="6" s="1"/>
  <c r="BA408" i="6" s="1"/>
  <c r="AZ408" i="6" s="1"/>
  <c r="AV407" i="6"/>
  <c r="AW407" i="6" s="1" a="1"/>
  <c r="AW407" i="6" s="1"/>
  <c r="AV406" i="6"/>
  <c r="AW406" i="6" s="1" a="1"/>
  <c r="AW406" i="6" s="1"/>
  <c r="AX406" i="6" s="1"/>
  <c r="AV433" i="6"/>
  <c r="AW433" i="6" s="1" a="1"/>
  <c r="AW433" i="6" s="1"/>
  <c r="AV405" i="6"/>
  <c r="AW405" i="6" s="1" a="1"/>
  <c r="AW405" i="6" s="1"/>
  <c r="AV404" i="6"/>
  <c r="AW404" i="6" s="1" a="1"/>
  <c r="AW404" i="6" s="1"/>
  <c r="AY404" i="6" s="1"/>
  <c r="BC404" i="6" s="1"/>
  <c r="AV403" i="6"/>
  <c r="AW403" i="6" s="1" a="1"/>
  <c r="AW403" i="6" s="1"/>
  <c r="AV402" i="6"/>
  <c r="AW402" i="6" s="1" a="1"/>
  <c r="AW402" i="6" s="1"/>
  <c r="AY402" i="6" s="1"/>
  <c r="BC402" i="6" s="1"/>
  <c r="AV2421" i="6"/>
  <c r="AW2421" i="6" s="1" a="1"/>
  <c r="AW2421" i="6" s="1"/>
  <c r="AV2418" i="6"/>
  <c r="AW2418" i="6" s="1" a="1"/>
  <c r="AW2418" i="6" s="1"/>
  <c r="AY2418" i="6" s="1"/>
  <c r="BC2418" i="6" s="1"/>
  <c r="AV1120" i="6"/>
  <c r="AW1120" i="6" s="1" a="1"/>
  <c r="AW1120" i="6" s="1"/>
  <c r="AY1120" i="6" s="1"/>
  <c r="BC1120" i="6" s="1"/>
  <c r="AV1119" i="6"/>
  <c r="AW1119" i="6" s="1" a="1"/>
  <c r="AW1119" i="6" s="1"/>
  <c r="AV1118" i="6"/>
  <c r="AW1118" i="6" s="1" a="1"/>
  <c r="AW1118" i="6" s="1"/>
  <c r="AV1117" i="6"/>
  <c r="AW1117" i="6" s="1" a="1"/>
  <c r="AW1117" i="6" s="1"/>
  <c r="AX1117" i="6" s="1"/>
  <c r="AV1116" i="6"/>
  <c r="AW1116" i="6" s="1" a="1"/>
  <c r="AW1116" i="6" s="1"/>
  <c r="AV327" i="6"/>
  <c r="AW327" i="6" s="1" a="1"/>
  <c r="AW327" i="6" s="1"/>
  <c r="AV1738" i="6"/>
  <c r="AW1738" i="6" s="1" a="1"/>
  <c r="AW1738" i="6" s="1"/>
  <c r="AX1738" i="6" s="1"/>
  <c r="AV2259" i="6"/>
  <c r="AW2259" i="6" s="1" a="1"/>
  <c r="AW2259" i="6" s="1"/>
  <c r="AV1739" i="6"/>
  <c r="AW1739" i="6" s="1" a="1"/>
  <c r="AW1739" i="6" s="1"/>
  <c r="AX1739" i="6" s="1"/>
  <c r="AV1702" i="6"/>
  <c r="AW1702" i="6" s="1" a="1"/>
  <c r="AW1702" i="6" s="1"/>
  <c r="AV1700" i="6"/>
  <c r="AW1700" i="6" s="1" a="1"/>
  <c r="AW1700" i="6" s="1"/>
  <c r="AX1700" i="6" s="1"/>
  <c r="AV1735" i="6"/>
  <c r="AW1735" i="6" s="1" a="1"/>
  <c r="AW1735" i="6" s="1"/>
  <c r="AY1735" i="6" s="1"/>
  <c r="BC1735" i="6" s="1"/>
  <c r="AV2143" i="6"/>
  <c r="AW2143" i="6" s="1" a="1"/>
  <c r="AW2143" i="6" s="1"/>
  <c r="AY2143" i="6" s="1"/>
  <c r="BC2143" i="6" s="1"/>
  <c r="AV2142" i="6"/>
  <c r="AW2142" i="6" s="1" a="1"/>
  <c r="AW2142" i="6" s="1"/>
  <c r="AV2141" i="6"/>
  <c r="AW2141" i="6" s="1" a="1"/>
  <c r="AW2141" i="6" s="1"/>
  <c r="AV2140" i="6"/>
  <c r="AW2140" i="6" s="1" a="1"/>
  <c r="AW2140" i="6" s="1"/>
  <c r="AV2139" i="6"/>
  <c r="AW2139" i="6" s="1" a="1"/>
  <c r="AW2139" i="6" s="1"/>
  <c r="AV2138" i="6"/>
  <c r="AW2138" i="6" s="1" a="1"/>
  <c r="AW2138" i="6" s="1"/>
  <c r="AV2137" i="6"/>
  <c r="AW2137" i="6" s="1" a="1"/>
  <c r="AW2137" i="6" s="1"/>
  <c r="AY2137" i="6" s="1"/>
  <c r="BC2137" i="6" s="1"/>
  <c r="AV2136" i="6"/>
  <c r="AW2136" i="6" s="1" a="1"/>
  <c r="AW2136" i="6" s="1"/>
  <c r="AX2136" i="6" s="1"/>
  <c r="AV2135" i="6"/>
  <c r="AW2135" i="6" s="1" a="1"/>
  <c r="AW2135" i="6" s="1"/>
  <c r="AV2134" i="6"/>
  <c r="AW2134" i="6" s="1" a="1"/>
  <c r="AW2134" i="6" s="1"/>
  <c r="AY2134" i="6" s="1"/>
  <c r="BC2134" i="6" s="1"/>
  <c r="AV1534" i="6"/>
  <c r="AW1534" i="6" s="1" a="1"/>
  <c r="AW1534" i="6" s="1"/>
  <c r="AV1533" i="6"/>
  <c r="AW1533" i="6" s="1" a="1"/>
  <c r="AW1533" i="6" s="1"/>
  <c r="AV1532" i="6"/>
  <c r="AW1532" i="6" s="1" a="1"/>
  <c r="AW1532" i="6" s="1"/>
  <c r="AV1531" i="6"/>
  <c r="AW1531" i="6" s="1" a="1"/>
  <c r="AW1531" i="6" s="1"/>
  <c r="AV1530" i="6"/>
  <c r="AW1530" i="6" s="1" a="1"/>
  <c r="AW1530" i="6" s="1"/>
  <c r="AV1529" i="6"/>
  <c r="AW1529" i="6" s="1" a="1"/>
  <c r="AW1529" i="6" s="1"/>
  <c r="AV1528" i="6"/>
  <c r="AW1528" i="6" s="1" a="1"/>
  <c r="AW1528" i="6" s="1"/>
  <c r="AV1527" i="6"/>
  <c r="AW1527" i="6" s="1" a="1"/>
  <c r="AW1527" i="6" s="1"/>
  <c r="AV1526" i="6"/>
  <c r="AW1526" i="6" s="1" a="1"/>
  <c r="AW1526" i="6" s="1"/>
  <c r="AV1525" i="6"/>
  <c r="AW1525" i="6" s="1" a="1"/>
  <c r="AW1525" i="6" s="1"/>
  <c r="AV1524" i="6"/>
  <c r="AW1524" i="6" s="1" a="1"/>
  <c r="AW1524" i="6" s="1"/>
  <c r="AV1523" i="6"/>
  <c r="AW1523" i="6" s="1" a="1"/>
  <c r="AW1523" i="6" s="1"/>
  <c r="BA1523" i="6" s="1"/>
  <c r="AZ1523" i="6" s="1"/>
  <c r="AV2579" i="6"/>
  <c r="AW2579" i="6" s="1" a="1"/>
  <c r="AW2579" i="6" s="1"/>
  <c r="AV2578" i="6"/>
  <c r="AW2578" i="6" s="1" a="1"/>
  <c r="AW2578" i="6" s="1"/>
  <c r="AX2578" i="6" s="1"/>
  <c r="AV2577" i="6"/>
  <c r="AW2577" i="6" s="1" a="1"/>
  <c r="AW2577" i="6" s="1"/>
  <c r="AX2577" i="6" s="1"/>
  <c r="AV2576" i="6"/>
  <c r="AW2576" i="6" s="1" a="1"/>
  <c r="AW2576" i="6" s="1"/>
  <c r="AV2575" i="6"/>
  <c r="AW2575" i="6" s="1" a="1"/>
  <c r="AW2575" i="6" s="1"/>
  <c r="AV2574" i="6"/>
  <c r="AW2574" i="6" s="1" a="1"/>
  <c r="AW2574" i="6" s="1"/>
  <c r="AV31" i="6"/>
  <c r="AW31" i="6" s="1" a="1"/>
  <c r="AW31" i="6" s="1"/>
  <c r="AV30" i="6"/>
  <c r="AW30" i="6" s="1" a="1"/>
  <c r="AW30" i="6" s="1"/>
  <c r="AY30" i="6" s="1"/>
  <c r="BC30" i="6" s="1"/>
  <c r="AV29" i="6"/>
  <c r="AW29" i="6" s="1" a="1"/>
  <c r="AW29" i="6" s="1"/>
  <c r="AX29" i="6" s="1"/>
  <c r="AV28" i="6"/>
  <c r="AW28" i="6" s="1" a="1"/>
  <c r="AW28" i="6" s="1"/>
  <c r="AV27" i="6"/>
  <c r="AW27" i="6" s="1" a="1"/>
  <c r="AW27" i="6" s="1"/>
  <c r="AX27" i="6" s="1"/>
  <c r="AV26" i="6"/>
  <c r="AW26" i="6" s="1" a="1"/>
  <c r="AW26" i="6" s="1"/>
  <c r="AY26" i="6" s="1"/>
  <c r="BC26" i="6" s="1"/>
  <c r="AV25" i="6"/>
  <c r="AW25" i="6" s="1" a="1"/>
  <c r="AW25" i="6" s="1"/>
  <c r="AV24" i="6"/>
  <c r="AW24" i="6" s="1" a="1"/>
  <c r="AW24" i="6" s="1"/>
  <c r="AX24" i="6" s="1"/>
  <c r="AV23" i="6"/>
  <c r="AW23" i="6" s="1" a="1"/>
  <c r="AW23" i="6" s="1"/>
  <c r="AV22" i="6"/>
  <c r="AW22" i="6" s="1" a="1"/>
  <c r="AW22" i="6" s="1"/>
  <c r="AV21" i="6"/>
  <c r="AW21" i="6" s="1" a="1"/>
  <c r="AW21" i="6" s="1"/>
  <c r="AV20" i="6"/>
  <c r="AW20" i="6" s="1" a="1"/>
  <c r="AW20" i="6" s="1"/>
  <c r="AY20" i="6" s="1"/>
  <c r="BC20" i="6" s="1"/>
  <c r="AV19" i="6"/>
  <c r="AW19" i="6" s="1" a="1"/>
  <c r="AW19" i="6" s="1"/>
  <c r="AV18" i="6"/>
  <c r="AW18" i="6" s="1" a="1"/>
  <c r="AW18" i="6" s="1"/>
  <c r="AY18" i="6" s="1"/>
  <c r="BC18" i="6" s="1"/>
  <c r="AV17" i="6"/>
  <c r="AW17" i="6" s="1" a="1"/>
  <c r="AW17" i="6" s="1"/>
  <c r="BA17" i="6" s="1"/>
  <c r="AZ17" i="6" s="1"/>
  <c r="AV16" i="6"/>
  <c r="AW16" i="6" s="1" a="1"/>
  <c r="AW16" i="6" s="1"/>
  <c r="AY16" i="6" s="1"/>
  <c r="BC16" i="6" s="1"/>
  <c r="AV15" i="6"/>
  <c r="AW15" i="6" s="1" a="1"/>
  <c r="AW15" i="6" s="1"/>
  <c r="AV14" i="6"/>
  <c r="AW14" i="6" s="1" a="1"/>
  <c r="AW14" i="6" s="1"/>
  <c r="AV13" i="6"/>
  <c r="AW13" i="6" s="1" a="1"/>
  <c r="AW13" i="6" s="1"/>
  <c r="AV12" i="6"/>
  <c r="AW12" i="6" s="1" a="1"/>
  <c r="AW12" i="6" s="1"/>
  <c r="AY12" i="6" s="1"/>
  <c r="BC12" i="6" s="1"/>
  <c r="AV11" i="6"/>
  <c r="AW11" i="6" s="1" a="1"/>
  <c r="AW11" i="6" s="1"/>
  <c r="AX11" i="6" s="1"/>
  <c r="AV10" i="6"/>
  <c r="AW10" i="6" s="1" a="1"/>
  <c r="AW10" i="6" s="1"/>
  <c r="AY10" i="6" s="1"/>
  <c r="BC10" i="6" s="1"/>
  <c r="AV9" i="6"/>
  <c r="AW9" i="6" s="1" a="1"/>
  <c r="AW9" i="6" s="1"/>
  <c r="AV8" i="6"/>
  <c r="AW8" i="6" s="1" a="1"/>
  <c r="AW8" i="6" s="1"/>
  <c r="AV92" i="6"/>
  <c r="AW92" i="6" s="1" a="1"/>
  <c r="AW92" i="6" s="1"/>
  <c r="BA92" i="6" s="1"/>
  <c r="AZ92" i="6" s="1"/>
  <c r="AV91" i="6"/>
  <c r="AW91" i="6" s="1" a="1"/>
  <c r="AW91" i="6" s="1"/>
  <c r="AV7" i="6"/>
  <c r="AW7" i="6" s="1" a="1"/>
  <c r="AW7" i="6" s="1"/>
  <c r="AX7" i="6" s="1"/>
  <c r="AV6" i="6"/>
  <c r="AW6" i="6" s="1" a="1"/>
  <c r="AW6" i="6" s="1"/>
  <c r="AX6" i="6" s="1"/>
  <c r="AV5" i="6"/>
  <c r="AW5" i="6" s="1" a="1"/>
  <c r="AW5" i="6" s="1"/>
  <c r="AV4" i="6"/>
  <c r="AW4" i="6" s="1" a="1"/>
  <c r="AW4" i="6" s="1"/>
  <c r="AV1626" i="6"/>
  <c r="AW1626" i="6" s="1" a="1"/>
  <c r="AW1626" i="6" s="1"/>
  <c r="AV3" i="6"/>
  <c r="AW3" i="6" s="1" a="1"/>
  <c r="AW3" i="6" s="1"/>
  <c r="AV2801" i="6"/>
  <c r="AW2801" i="6" s="1" a="1"/>
  <c r="AW2801" i="6" s="1"/>
  <c r="AX2801" i="6" s="1"/>
  <c r="AV2744" i="6"/>
  <c r="AW2744" i="6" s="1" a="1"/>
  <c r="AW2744" i="6" s="1"/>
  <c r="AV2743" i="6"/>
  <c r="AW2743" i="6" s="1" a="1"/>
  <c r="AW2743" i="6" s="1"/>
  <c r="AY2743" i="6" s="1"/>
  <c r="BC2743" i="6" s="1"/>
  <c r="AV2742" i="6"/>
  <c r="AW2742" i="6" s="1" a="1"/>
  <c r="AW2742" i="6" s="1"/>
  <c r="BA2742" i="6" s="1"/>
  <c r="AZ2742" i="6" s="1"/>
  <c r="AV2688" i="6"/>
  <c r="AW2688" i="6" s="1" a="1"/>
  <c r="AW2688" i="6" s="1"/>
  <c r="AV2687" i="6"/>
  <c r="AW2687" i="6" s="1" a="1"/>
  <c r="AW2687" i="6" s="1"/>
  <c r="AV2686" i="6"/>
  <c r="AW2686" i="6" s="1" a="1"/>
  <c r="AW2686" i="6" s="1"/>
  <c r="AV2685" i="6"/>
  <c r="AW2685" i="6" s="1" a="1"/>
  <c r="AW2685" i="6" s="1"/>
  <c r="AV2595" i="6"/>
  <c r="AW2595" i="6" s="1" a="1"/>
  <c r="AW2595" i="6" s="1"/>
  <c r="AV2594" i="6"/>
  <c r="AW2594" i="6" s="1" a="1"/>
  <c r="AW2594" i="6" s="1"/>
  <c r="AV2593" i="6"/>
  <c r="AW2593" i="6" s="1" a="1"/>
  <c r="AW2593" i="6" s="1"/>
  <c r="AY2593" i="6" s="1"/>
  <c r="BC2593" i="6" s="1"/>
  <c r="AV2592" i="6"/>
  <c r="AW2592" i="6" s="1" a="1"/>
  <c r="AW2592" i="6" s="1"/>
  <c r="AV2493" i="6"/>
  <c r="AW2493" i="6" s="1" a="1"/>
  <c r="AW2493" i="6" s="1"/>
  <c r="AV2492" i="6"/>
  <c r="AW2492" i="6" s="1" a="1"/>
  <c r="AW2492" i="6" s="1"/>
  <c r="AV2491" i="6"/>
  <c r="AW2491" i="6" s="1" a="1"/>
  <c r="AW2491" i="6" s="1"/>
  <c r="AV671" i="6"/>
  <c r="AW671" i="6" s="1" a="1"/>
  <c r="AW671" i="6" s="1"/>
  <c r="AV670" i="6"/>
  <c r="AW670" i="6" s="1" a="1"/>
  <c r="AW670" i="6" s="1"/>
  <c r="AV669" i="6"/>
  <c r="AW669" i="6" s="1" a="1"/>
  <c r="AW669" i="6" s="1"/>
  <c r="AY669" i="6" s="1"/>
  <c r="BC669" i="6" s="1"/>
  <c r="AV706" i="6"/>
  <c r="AW706" i="6" s="1" a="1"/>
  <c r="AW706" i="6" s="1"/>
  <c r="AV704" i="6"/>
  <c r="AW704" i="6" s="1" a="1"/>
  <c r="AW704" i="6" s="1"/>
  <c r="AV668" i="6"/>
  <c r="AW668" i="6" s="1" a="1"/>
  <c r="AW668" i="6" s="1"/>
  <c r="AY668" i="6" s="1"/>
  <c r="BC668" i="6" s="1"/>
  <c r="AV667" i="6"/>
  <c r="AW667" i="6" s="1" a="1"/>
  <c r="AW667" i="6" s="1"/>
  <c r="AV2755" i="6"/>
  <c r="AW2755" i="6" s="1" a="1"/>
  <c r="AW2755" i="6" s="1"/>
  <c r="AV666" i="6"/>
  <c r="AW666" i="6" s="1" a="1"/>
  <c r="AW666" i="6" s="1"/>
  <c r="AV89" i="6"/>
  <c r="AW89" i="6" s="1" a="1"/>
  <c r="AW89" i="6" s="1"/>
  <c r="AV665" i="6"/>
  <c r="AW665" i="6" s="1" a="1"/>
  <c r="AW665" i="6" s="1"/>
  <c r="AX665" i="6" s="1"/>
  <c r="AV663" i="6"/>
  <c r="AW663" i="6" s="1" a="1"/>
  <c r="AW663" i="6" s="1"/>
  <c r="AV664" i="6"/>
  <c r="AW664" i="6" s="1" a="1"/>
  <c r="AW664" i="6" s="1"/>
  <c r="AY664" i="6" s="1"/>
  <c r="BC664" i="6" s="1"/>
  <c r="AV662" i="6"/>
  <c r="AW662" i="6" s="1" a="1"/>
  <c r="AW662" i="6" s="1"/>
  <c r="AV654" i="6"/>
  <c r="AW654" i="6" s="1" a="1"/>
  <c r="AW654" i="6" s="1"/>
  <c r="AV661" i="6"/>
  <c r="AW661" i="6" s="1" a="1"/>
  <c r="AW661" i="6" s="1"/>
  <c r="AV660" i="6"/>
  <c r="AW660" i="6" s="1" a="1"/>
  <c r="AW660" i="6" s="1"/>
  <c r="AX660" i="6" s="1"/>
  <c r="AV659" i="6"/>
  <c r="AW659" i="6" s="1" a="1"/>
  <c r="AW659" i="6" s="1"/>
  <c r="AV658" i="6"/>
  <c r="AW658" i="6" s="1" a="1"/>
  <c r="AW658" i="6" s="1"/>
  <c r="AY658" i="6" s="1"/>
  <c r="BC658" i="6" s="1"/>
  <c r="AV657" i="6"/>
  <c r="AW657" i="6" s="1" a="1"/>
  <c r="AW657" i="6" s="1"/>
  <c r="AV656" i="6"/>
  <c r="AW656" i="6" s="1" a="1"/>
  <c r="AW656" i="6" s="1"/>
  <c r="AY656" i="6" s="1"/>
  <c r="BC656" i="6" s="1"/>
  <c r="AV655" i="6"/>
  <c r="AW655" i="6" s="1" a="1"/>
  <c r="AW655" i="6" s="1"/>
  <c r="AV653" i="6"/>
  <c r="AW653" i="6" s="1" a="1"/>
  <c r="AW653" i="6" s="1"/>
  <c r="AX653" i="6" s="1"/>
  <c r="AV652" i="6"/>
  <c r="AW652" i="6" s="1" a="1"/>
  <c r="AW652" i="6" s="1"/>
  <c r="AV651" i="6"/>
  <c r="AW651" i="6" s="1" a="1"/>
  <c r="AW651" i="6" s="1"/>
  <c r="AX651" i="6" s="1"/>
  <c r="AV650" i="6"/>
  <c r="AW650" i="6" s="1" a="1"/>
  <c r="AW650" i="6" s="1"/>
  <c r="AV648" i="6"/>
  <c r="AW648" i="6" s="1" a="1"/>
  <c r="AW648" i="6" s="1"/>
  <c r="AV649" i="6"/>
  <c r="AW649" i="6" s="1" a="1"/>
  <c r="AW649" i="6" s="1"/>
  <c r="AV647" i="6"/>
  <c r="AW647" i="6" s="1" a="1"/>
  <c r="AW647" i="6" s="1"/>
  <c r="AV646" i="6"/>
  <c r="AW646" i="6" s="1" a="1"/>
  <c r="AW646" i="6" s="1"/>
  <c r="AV645" i="6"/>
  <c r="AW645" i="6" s="1" a="1"/>
  <c r="AW645" i="6" s="1"/>
  <c r="AV637" i="6"/>
  <c r="AW637" i="6" s="1" a="1"/>
  <c r="AW637" i="6" s="1"/>
  <c r="AX637" i="6" s="1"/>
  <c r="AV644" i="6"/>
  <c r="AW644" i="6" s="1" a="1"/>
  <c r="AW644" i="6" s="1"/>
  <c r="BA644" i="6" s="1"/>
  <c r="AZ644" i="6" s="1"/>
  <c r="AV643" i="6"/>
  <c r="AW643" i="6" s="1" a="1"/>
  <c r="AW643" i="6" s="1"/>
  <c r="BA643" i="6" s="1"/>
  <c r="AZ643" i="6" s="1"/>
  <c r="AV642" i="6"/>
  <c r="AW642" i="6" s="1" a="1"/>
  <c r="AW642" i="6" s="1"/>
  <c r="AV641" i="6"/>
  <c r="AW641" i="6" s="1" a="1"/>
  <c r="AW641" i="6" s="1"/>
  <c r="AV640" i="6"/>
  <c r="AW640" i="6" s="1" a="1"/>
  <c r="AW640" i="6" s="1"/>
  <c r="AV639" i="6"/>
  <c r="AW639" i="6" s="1" a="1"/>
  <c r="AW639" i="6" s="1"/>
  <c r="AV638" i="6"/>
  <c r="AW638" i="6" s="1" a="1"/>
  <c r="AW638" i="6" s="1"/>
  <c r="AV636" i="6"/>
  <c r="AW636" i="6" s="1" a="1"/>
  <c r="AW636" i="6" s="1"/>
  <c r="AV635" i="6"/>
  <c r="AW635" i="6" s="1" a="1"/>
  <c r="AW635" i="6" s="1"/>
  <c r="AV634" i="6"/>
  <c r="AW634" i="6" s="1" a="1"/>
  <c r="AW634" i="6" s="1"/>
  <c r="AV633" i="6"/>
  <c r="AW633" i="6" s="1" a="1"/>
  <c r="AW633" i="6" s="1"/>
  <c r="AV632" i="6"/>
  <c r="AW632" i="6" s="1" a="1"/>
  <c r="AW632" i="6" s="1"/>
  <c r="AV631" i="6"/>
  <c r="AW631" i="6" s="1" a="1"/>
  <c r="AW631" i="6" s="1"/>
  <c r="AV630" i="6"/>
  <c r="AW630" i="6" s="1" a="1"/>
  <c r="AW630" i="6" s="1"/>
  <c r="AV629" i="6"/>
  <c r="AW629" i="6" s="1" a="1"/>
  <c r="AW629" i="6" s="1"/>
  <c r="AV628" i="6"/>
  <c r="AW628" i="6" s="1" a="1"/>
  <c r="AW628" i="6" s="1"/>
  <c r="AY628" i="6" s="1"/>
  <c r="BC628" i="6" s="1"/>
  <c r="AV627" i="6"/>
  <c r="AW627" i="6" s="1" a="1"/>
  <c r="AW627" i="6" s="1"/>
  <c r="BA627" i="6" s="1"/>
  <c r="AZ627" i="6" s="1"/>
  <c r="AV626" i="6"/>
  <c r="AW626" i="6" s="1" a="1"/>
  <c r="AW626" i="6" s="1"/>
  <c r="AV625" i="6"/>
  <c r="AW625" i="6" s="1" a="1"/>
  <c r="AW625" i="6" s="1"/>
  <c r="AV624" i="6"/>
  <c r="AW624" i="6" s="1" a="1"/>
  <c r="AW624" i="6" s="1"/>
  <c r="AV623" i="6"/>
  <c r="AW623" i="6" s="1" a="1"/>
  <c r="AW623" i="6" s="1"/>
  <c r="AV622" i="6"/>
  <c r="AW622" i="6" s="1" a="1"/>
  <c r="AW622" i="6" s="1"/>
  <c r="AV621" i="6"/>
  <c r="AW621" i="6" s="1" a="1"/>
  <c r="AW621" i="6" s="1"/>
  <c r="AV620" i="6"/>
  <c r="AW620" i="6" s="1" a="1"/>
  <c r="AW620" i="6" s="1"/>
  <c r="AV619" i="6"/>
  <c r="AW619" i="6" s="1" a="1"/>
  <c r="AW619" i="6" s="1"/>
  <c r="AV618" i="6"/>
  <c r="AW618" i="6" s="1" a="1"/>
  <c r="AW618" i="6" s="1"/>
  <c r="AV617" i="6"/>
  <c r="AW617" i="6" s="1" a="1"/>
  <c r="AW617" i="6" s="1"/>
  <c r="AV616" i="6"/>
  <c r="AW616" i="6" s="1" a="1"/>
  <c r="AW616" i="6" s="1"/>
  <c r="BA616" i="6" s="1"/>
  <c r="AZ616" i="6" s="1"/>
  <c r="AV615" i="6"/>
  <c r="AW615" i="6" s="1" a="1"/>
  <c r="AW615" i="6" s="1"/>
  <c r="AX615" i="6" s="1"/>
  <c r="AV614" i="6"/>
  <c r="AW614" i="6" s="1" a="1"/>
  <c r="AW614" i="6" s="1"/>
  <c r="AV613" i="6"/>
  <c r="AW613" i="6" s="1" a="1"/>
  <c r="AW613" i="6" s="1"/>
  <c r="AY613" i="6" s="1"/>
  <c r="BC613" i="6" s="1"/>
  <c r="AV612" i="6"/>
  <c r="AW612" i="6" s="1" a="1"/>
  <c r="AW612" i="6" s="1"/>
  <c r="AX612" i="6" s="1"/>
  <c r="AV611" i="6"/>
  <c r="AW611" i="6" s="1" a="1"/>
  <c r="AW611" i="6" s="1"/>
  <c r="AX611" i="6" s="1"/>
  <c r="AV610" i="6"/>
  <c r="AW610" i="6" s="1" a="1"/>
  <c r="AW610" i="6" s="1"/>
  <c r="AY610" i="6" s="1"/>
  <c r="BC610" i="6" s="1"/>
  <c r="AV609" i="6"/>
  <c r="AW609" i="6" s="1" a="1"/>
  <c r="AW609" i="6" s="1"/>
  <c r="AV608" i="6"/>
  <c r="AW608" i="6" s="1" a="1"/>
  <c r="AW608" i="6" s="1"/>
  <c r="AV607" i="6"/>
  <c r="AW607" i="6" s="1" a="1"/>
  <c r="AW607" i="6" s="1"/>
  <c r="BA607" i="6" s="1"/>
  <c r="AZ607" i="6" s="1"/>
  <c r="AV606" i="6"/>
  <c r="AW606" i="6" s="1" a="1"/>
  <c r="AW606" i="6" s="1"/>
  <c r="AV605" i="6"/>
  <c r="AW605" i="6" s="1" a="1"/>
  <c r="AW605" i="6" s="1"/>
  <c r="AV604" i="6"/>
  <c r="AW604" i="6" s="1" a="1"/>
  <c r="AW604" i="6" s="1"/>
  <c r="AY604" i="6" s="1"/>
  <c r="BC604" i="6" s="1"/>
  <c r="AV603" i="6"/>
  <c r="AW603" i="6" s="1" a="1"/>
  <c r="AW603" i="6" s="1"/>
  <c r="AY603" i="6" s="1"/>
  <c r="BC603" i="6" s="1"/>
  <c r="AV2741" i="6"/>
  <c r="AW2741" i="6" s="1" a="1"/>
  <c r="AW2741" i="6" s="1"/>
  <c r="AV2684" i="6"/>
  <c r="AW2684" i="6" s="1" a="1"/>
  <c r="AW2684" i="6" s="1"/>
  <c r="AV2740" i="6"/>
  <c r="AW2740" i="6" s="1" a="1"/>
  <c r="AW2740" i="6" s="1"/>
  <c r="AY2740" i="6" s="1"/>
  <c r="BC2740" i="6" s="1"/>
  <c r="AV2683" i="6"/>
  <c r="AW2683" i="6" s="1" a="1"/>
  <c r="AW2683" i="6" s="1"/>
  <c r="AX2683" i="6" s="1"/>
  <c r="AV2682" i="6"/>
  <c r="AW2682" i="6" s="1" a="1"/>
  <c r="AW2682" i="6" s="1"/>
  <c r="BA2682" i="6" s="1"/>
  <c r="AZ2682" i="6" s="1"/>
  <c r="AV2591" i="6"/>
  <c r="AW2591" i="6" s="1" a="1"/>
  <c r="AW2591" i="6" s="1"/>
  <c r="AV2590" i="6"/>
  <c r="AW2590" i="6" s="1" a="1"/>
  <c r="AW2590" i="6" s="1"/>
  <c r="AV2488" i="6"/>
  <c r="AW2488" i="6" s="1" a="1"/>
  <c r="AW2488" i="6" s="1"/>
  <c r="AY2488" i="6" s="1"/>
  <c r="BC2488" i="6" s="1"/>
  <c r="AV2376" i="6"/>
  <c r="AW2376" i="6" s="1" a="1"/>
  <c r="AW2376" i="6" s="1"/>
  <c r="BA2376" i="6" s="1"/>
  <c r="AZ2376" i="6" s="1"/>
  <c r="AV2212" i="6"/>
  <c r="AW2212" i="6" s="1" a="1"/>
  <c r="AW2212" i="6" s="1"/>
  <c r="AV1990" i="6"/>
  <c r="AW1990" i="6" s="1" a="1"/>
  <c r="AW1990" i="6" s="1"/>
  <c r="BA1990" i="6" s="1"/>
  <c r="AZ1990" i="6" s="1"/>
  <c r="AV2211" i="6"/>
  <c r="AW2211" i="6" s="1" a="1"/>
  <c r="AW2211" i="6" s="1"/>
  <c r="BA2211" i="6" s="1"/>
  <c r="AZ2211" i="6" s="1"/>
  <c r="AV1507" i="6"/>
  <c r="AW1507" i="6" s="1" a="1"/>
  <c r="AW1507" i="6" s="1"/>
  <c r="AV2681" i="6"/>
  <c r="AW2681" i="6" s="1" a="1"/>
  <c r="AW2681" i="6" s="1"/>
  <c r="AV2589" i="6"/>
  <c r="AW2589" i="6" s="1" a="1"/>
  <c r="AW2589" i="6" s="1"/>
  <c r="AV2487" i="6"/>
  <c r="AW2487" i="6" s="1" a="1"/>
  <c r="AW2487" i="6" s="1"/>
  <c r="AY2487" i="6" s="1"/>
  <c r="BC2487" i="6" s="1"/>
  <c r="AV877" i="6"/>
  <c r="AW877" i="6" s="1" a="1"/>
  <c r="AW877" i="6" s="1"/>
  <c r="AV2739" i="6"/>
  <c r="AW2739" i="6" s="1" a="1"/>
  <c r="AW2739" i="6" s="1"/>
  <c r="AV2738" i="6"/>
  <c r="AW2738" i="6" s="1" a="1"/>
  <c r="AW2738" i="6" s="1"/>
  <c r="AV2680" i="6"/>
  <c r="AW2680" i="6" s="1" a="1"/>
  <c r="AW2680" i="6" s="1"/>
  <c r="AV2679" i="6"/>
  <c r="AW2679" i="6" s="1" a="1"/>
  <c r="AW2679" i="6" s="1"/>
  <c r="AV2678" i="6"/>
  <c r="AW2678" i="6" s="1" a="1"/>
  <c r="AW2678" i="6" s="1"/>
  <c r="AV2588" i="6"/>
  <c r="AW2588" i="6" s="1" a="1"/>
  <c r="AW2588" i="6" s="1"/>
  <c r="AV2486" i="6"/>
  <c r="AW2486" i="6" s="1" a="1"/>
  <c r="AW2486" i="6" s="1"/>
  <c r="AV2485" i="6"/>
  <c r="AW2485" i="6" s="1" a="1"/>
  <c r="AW2485" i="6" s="1"/>
  <c r="AV2375" i="6"/>
  <c r="AW2375" i="6" s="1" a="1"/>
  <c r="AW2375" i="6" s="1"/>
  <c r="AV2374" i="6"/>
  <c r="AW2374" i="6" s="1" a="1"/>
  <c r="AW2374" i="6" s="1"/>
  <c r="AV1081" i="6"/>
  <c r="AW1081" i="6" s="1" a="1"/>
  <c r="AW1081" i="6" s="1"/>
  <c r="BA1081" i="6" s="1"/>
  <c r="AZ1081" i="6" s="1"/>
  <c r="AV1080" i="6"/>
  <c r="AW1080" i="6" s="1" a="1"/>
  <c r="AW1080" i="6" s="1"/>
  <c r="AV1079" i="6"/>
  <c r="AW1079" i="6" s="1" a="1"/>
  <c r="AW1079" i="6" s="1"/>
  <c r="AV304" i="6"/>
  <c r="AW304" i="6" s="1" a="1"/>
  <c r="AW304" i="6" s="1"/>
  <c r="AV303" i="6"/>
  <c r="AW303" i="6" s="1" a="1"/>
  <c r="AW303" i="6" s="1"/>
  <c r="AY303" i="6" s="1"/>
  <c r="BC303" i="6" s="1"/>
  <c r="AV302" i="6"/>
  <c r="AW302" i="6" s="1" a="1"/>
  <c r="AW302" i="6" s="1"/>
  <c r="AV301" i="6"/>
  <c r="AW301" i="6" s="1" a="1"/>
  <c r="AW301" i="6" s="1"/>
  <c r="AV1728" i="6"/>
  <c r="AW1728" i="6" s="1" a="1"/>
  <c r="AW1728" i="6" s="1"/>
  <c r="AY1728" i="6" s="1"/>
  <c r="BC1728" i="6" s="1"/>
  <c r="AV1727" i="6"/>
  <c r="AW1727" i="6" s="1" a="1"/>
  <c r="AW1727" i="6" s="1"/>
  <c r="BA1727" i="6" s="1"/>
  <c r="AZ1727" i="6" s="1"/>
  <c r="AV1726" i="6"/>
  <c r="AW1726" i="6" s="1" a="1"/>
  <c r="AW1726" i="6" s="1"/>
  <c r="AV1723" i="6"/>
  <c r="AW1723" i="6" s="1" a="1"/>
  <c r="AW1723" i="6" s="1"/>
  <c r="BA1723" i="6" s="1"/>
  <c r="AZ1723" i="6" s="1"/>
  <c r="AV1703" i="6"/>
  <c r="AW1703" i="6" s="1" a="1"/>
  <c r="AW1703" i="6" s="1"/>
  <c r="AY1703" i="6" s="1"/>
  <c r="BC1703" i="6" s="1"/>
  <c r="AV1699" i="6"/>
  <c r="AW1699" i="6" s="1" a="1"/>
  <c r="AW1699" i="6" s="1"/>
  <c r="BA1699" i="6" s="1"/>
  <c r="AZ1699" i="6" s="1"/>
  <c r="AV1698" i="6"/>
  <c r="AW1698" i="6" s="1" a="1"/>
  <c r="AW1698" i="6" s="1"/>
  <c r="BA1698" i="6" s="1"/>
  <c r="AZ1698" i="6" s="1"/>
  <c r="AV1697" i="6"/>
  <c r="AW1697" i="6" s="1" a="1"/>
  <c r="AW1697" i="6" s="1"/>
  <c r="AV1696" i="6"/>
  <c r="AW1696" i="6" s="1" a="1"/>
  <c r="AW1696" i="6" s="1"/>
  <c r="AV1693" i="6"/>
  <c r="AW1693" i="6" s="1" a="1"/>
  <c r="AW1693" i="6" s="1"/>
  <c r="BA1693" i="6" s="1"/>
  <c r="AZ1693" i="6" s="1"/>
  <c r="AV1691" i="6"/>
  <c r="AW1691" i="6" s="1" a="1"/>
  <c r="AW1691" i="6" s="1"/>
  <c r="AV1692" i="6"/>
  <c r="AW1692" i="6" s="1" a="1"/>
  <c r="AW1692" i="6" s="1"/>
  <c r="AV300" i="6"/>
  <c r="AW300" i="6" s="1" a="1"/>
  <c r="AW300" i="6" s="1"/>
  <c r="AV1078" i="6"/>
  <c r="AW1078" i="6" s="1" a="1"/>
  <c r="AW1078" i="6" s="1"/>
  <c r="AY1078" i="6" s="1"/>
  <c r="BC1078" i="6" s="1"/>
  <c r="AV1077" i="6"/>
  <c r="AW1077" i="6" s="1" a="1"/>
  <c r="AW1077" i="6" s="1"/>
  <c r="AV2717" i="6"/>
  <c r="AW2717" i="6" s="1" a="1"/>
  <c r="AW2717" i="6" s="1"/>
  <c r="AV2634" i="6"/>
  <c r="AW2634" i="6" s="1" a="1"/>
  <c r="AW2634" i="6" s="1"/>
  <c r="AV2545" i="6"/>
  <c r="AW2545" i="6" s="1" a="1"/>
  <c r="AW2545" i="6" s="1"/>
  <c r="AV2448" i="6"/>
  <c r="AW2448" i="6" s="1" a="1"/>
  <c r="AW2448" i="6" s="1"/>
  <c r="AV2335" i="6"/>
  <c r="AW2335" i="6" s="1" a="1"/>
  <c r="AW2335" i="6" s="1"/>
  <c r="AV2144" i="6"/>
  <c r="AW2144" i="6" s="1" a="1"/>
  <c r="AW2144" i="6" s="1"/>
  <c r="AV1892" i="6"/>
  <c r="AW1892" i="6" s="1" a="1"/>
  <c r="AW1892" i="6" s="1"/>
  <c r="AV2550" i="6"/>
  <c r="AW2550" i="6" s="1" a="1"/>
  <c r="AW2550" i="6" s="1"/>
  <c r="AV1879" i="6"/>
  <c r="AW1879" i="6" s="1" a="1"/>
  <c r="AW1879" i="6" s="1"/>
  <c r="AV2716" i="6"/>
  <c r="AW2716" i="6" s="1" a="1"/>
  <c r="AW2716" i="6" s="1"/>
  <c r="AV1421" i="6"/>
  <c r="AW1421" i="6" s="1" a="1"/>
  <c r="AW1421" i="6" s="1"/>
  <c r="AV1420" i="6"/>
  <c r="AW1420" i="6" s="1" a="1"/>
  <c r="AW1420" i="6" s="1"/>
  <c r="AV1419" i="6"/>
  <c r="AW1419" i="6" s="1" a="1"/>
  <c r="AW1419" i="6" s="1"/>
  <c r="AV799" i="6"/>
  <c r="AW799" i="6" s="1" a="1"/>
  <c r="AW799" i="6" s="1"/>
  <c r="AV798" i="6"/>
  <c r="AW798" i="6" s="1" a="1"/>
  <c r="AW798" i="6" s="1"/>
  <c r="AY798" i="6" s="1"/>
  <c r="BC798" i="6" s="1"/>
  <c r="AV1417" i="6"/>
  <c r="AW1417" i="6" s="1" a="1"/>
  <c r="AW1417" i="6" s="1"/>
  <c r="AV1416" i="6"/>
  <c r="AW1416" i="6" s="1" a="1"/>
  <c r="AW1416" i="6" s="1"/>
  <c r="AV1412" i="6"/>
  <c r="AW1412" i="6" s="1" a="1"/>
  <c r="AW1412" i="6" s="1"/>
  <c r="AY1412" i="6" s="1"/>
  <c r="BC1412" i="6" s="1"/>
  <c r="AV1411" i="6"/>
  <c r="AW1411" i="6" s="1" a="1"/>
  <c r="AW1411" i="6" s="1"/>
  <c r="BA1411" i="6" s="1"/>
  <c r="AZ1411" i="6" s="1"/>
  <c r="AV1409" i="6"/>
  <c r="AW1409" i="6" s="1" a="1"/>
  <c r="AW1409" i="6" s="1"/>
  <c r="AV1408" i="6"/>
  <c r="AW1408" i="6" s="1" a="1"/>
  <c r="AW1408" i="6" s="1"/>
  <c r="BA1408" i="6" s="1"/>
  <c r="AZ1408" i="6" s="1"/>
  <c r="AV1407" i="6"/>
  <c r="AW1407" i="6" s="1" a="1"/>
  <c r="AW1407" i="6" s="1"/>
  <c r="AV1406" i="6"/>
  <c r="AW1406" i="6" s="1" a="1"/>
  <c r="AW1406" i="6" s="1"/>
  <c r="BA1406" i="6" s="1"/>
  <c r="AZ1406" i="6" s="1"/>
  <c r="AV1405" i="6"/>
  <c r="AW1405" i="6" s="1" a="1"/>
  <c r="AW1405" i="6" s="1"/>
  <c r="BA1405" i="6" s="1"/>
  <c r="AZ1405" i="6" s="1"/>
  <c r="AV1404" i="6"/>
  <c r="AW1404" i="6" s="1" a="1"/>
  <c r="AW1404" i="6" s="1"/>
  <c r="AV1403" i="6"/>
  <c r="AW1403" i="6" s="1" a="1"/>
  <c r="AW1403" i="6" s="1"/>
  <c r="AV1402" i="6"/>
  <c r="AW1402" i="6" s="1" a="1"/>
  <c r="AW1402" i="6" s="1"/>
  <c r="AV1401" i="6"/>
  <c r="AW1401" i="6" s="1" a="1"/>
  <c r="AW1401" i="6" s="1"/>
  <c r="AV1400" i="6"/>
  <c r="AW1400" i="6" s="1" a="1"/>
  <c r="AW1400" i="6" s="1"/>
  <c r="AV1399" i="6"/>
  <c r="AW1399" i="6" s="1" a="1"/>
  <c r="AW1399" i="6" s="1"/>
  <c r="AV1398" i="6"/>
  <c r="AW1398" i="6" s="1" a="1"/>
  <c r="AW1398" i="6" s="1"/>
  <c r="AV1397" i="6"/>
  <c r="AW1397" i="6" s="1" a="1"/>
  <c r="AW1397" i="6" s="1"/>
  <c r="AV1396" i="6"/>
  <c r="AW1396" i="6" s="1" a="1"/>
  <c r="AW1396" i="6" s="1"/>
  <c r="AV1395" i="6"/>
  <c r="AW1395" i="6" s="1" a="1"/>
  <c r="AW1395" i="6" s="1"/>
  <c r="AV1393" i="6"/>
  <c r="AW1393" i="6" s="1" a="1"/>
  <c r="AW1393" i="6" s="1"/>
  <c r="AV1392" i="6"/>
  <c r="AW1392" i="6" s="1" a="1"/>
  <c r="AW1392" i="6" s="1"/>
  <c r="AV2004" i="6"/>
  <c r="AW2004" i="6" s="1" a="1"/>
  <c r="AW2004" i="6" s="1"/>
  <c r="AV2003" i="6"/>
  <c r="AW2003" i="6" s="1" a="1"/>
  <c r="AW2003" i="6" s="1"/>
  <c r="AV2002" i="6"/>
  <c r="AW2002" i="6" s="1" a="1"/>
  <c r="AW2002" i="6" s="1"/>
  <c r="AV2001" i="6"/>
  <c r="AW2001" i="6" s="1" a="1"/>
  <c r="AW2001" i="6" s="1"/>
  <c r="AX2001" i="6" s="1"/>
  <c r="AV2000" i="6"/>
  <c r="AW2000" i="6" s="1" a="1"/>
  <c r="AW2000" i="6" s="1"/>
  <c r="AV1999" i="6"/>
  <c r="AW1999" i="6" s="1" a="1"/>
  <c r="AW1999" i="6" s="1"/>
  <c r="AX1999" i="6" s="1"/>
  <c r="AV1998" i="6"/>
  <c r="AW1998" i="6" s="1" a="1"/>
  <c r="AW1998" i="6" s="1"/>
  <c r="AV1997" i="6"/>
  <c r="AW1997" i="6" s="1" a="1"/>
  <c r="AW1997" i="6" s="1"/>
  <c r="AX1997" i="6" s="1"/>
  <c r="AV1996" i="6"/>
  <c r="AW1996" i="6" s="1" a="1"/>
  <c r="AW1996" i="6" s="1"/>
  <c r="AV1995" i="6"/>
  <c r="AW1995" i="6" s="1" a="1"/>
  <c r="AW1995" i="6" s="1"/>
  <c r="AV1994" i="6"/>
  <c r="AW1994" i="6" s="1" a="1"/>
  <c r="AW1994" i="6" s="1"/>
  <c r="AY1994" i="6" s="1"/>
  <c r="BC1994" i="6" s="1"/>
  <c r="AV1993" i="6"/>
  <c r="AW1993" i="6" s="1" a="1"/>
  <c r="AW1993" i="6" s="1"/>
  <c r="BA1993" i="6" s="1"/>
  <c r="AZ1993" i="6" s="1"/>
  <c r="AV1992" i="6"/>
  <c r="AW1992" i="6" s="1" a="1"/>
  <c r="AW1992" i="6" s="1"/>
  <c r="BA1992" i="6" s="1"/>
  <c r="AZ1992" i="6" s="1"/>
  <c r="AV1991" i="6"/>
  <c r="AW1991" i="6" s="1" a="1"/>
  <c r="AW1991" i="6" s="1"/>
  <c r="BA1991" i="6" s="1"/>
  <c r="AZ1991" i="6" s="1"/>
  <c r="AV1570" i="6"/>
  <c r="AW1570" i="6" s="1" a="1"/>
  <c r="AW1570" i="6" s="1"/>
  <c r="AV1569" i="6"/>
  <c r="AW1569" i="6" s="1" a="1"/>
  <c r="AW1569" i="6" s="1"/>
  <c r="AV866" i="6"/>
  <c r="AW866" i="6" s="1" a="1"/>
  <c r="AW866" i="6" s="1"/>
  <c r="AV865" i="6"/>
  <c r="AW865" i="6" s="1" a="1"/>
  <c r="AW865" i="6" s="1"/>
  <c r="AV864" i="6"/>
  <c r="AW864" i="6" s="1" a="1"/>
  <c r="AW864" i="6" s="1"/>
  <c r="AV863" i="6"/>
  <c r="AW863" i="6" s="1" a="1"/>
  <c r="AW863" i="6" s="1"/>
  <c r="AV196" i="6"/>
  <c r="AW196" i="6" s="1" a="1"/>
  <c r="AW196" i="6" s="1"/>
  <c r="AV195" i="6"/>
  <c r="AW195" i="6" s="1" a="1"/>
  <c r="AW195" i="6" s="1"/>
  <c r="BA195" i="6" s="1"/>
  <c r="AZ195" i="6" s="1"/>
  <c r="AV194" i="6"/>
  <c r="AW194" i="6" s="1" a="1"/>
  <c r="AW194" i="6" s="1"/>
  <c r="AV2381" i="6"/>
  <c r="AW2381" i="6" s="1" a="1"/>
  <c r="AW2381" i="6" s="1"/>
  <c r="AV193" i="6"/>
  <c r="AW193" i="6" s="1" a="1"/>
  <c r="AW193" i="6" s="1"/>
  <c r="AV192" i="6"/>
  <c r="AW192" i="6" s="1" a="1"/>
  <c r="AW192" i="6" s="1"/>
  <c r="AV1981" i="6"/>
  <c r="AW1981" i="6" s="1" a="1"/>
  <c r="AW1981" i="6" s="1"/>
  <c r="AV2228" i="6"/>
  <c r="AW2228" i="6" s="1" a="1"/>
  <c r="AW2228" i="6" s="1"/>
  <c r="AV1980" i="6"/>
  <c r="AW1980" i="6" s="1" a="1"/>
  <c r="AW1980" i="6" s="1"/>
  <c r="AV2737" i="6"/>
  <c r="AW2737" i="6" s="1" a="1"/>
  <c r="AW2737" i="6" s="1"/>
  <c r="BA2737" i="6" s="1"/>
  <c r="AZ2737" i="6" s="1"/>
  <c r="AV2370" i="6"/>
  <c r="AW2370" i="6" s="1" a="1"/>
  <c r="AW2370" i="6" s="1"/>
  <c r="AV2369" i="6"/>
  <c r="AW2369" i="6" s="1" a="1"/>
  <c r="AW2369" i="6" s="1"/>
  <c r="AV1979" i="6"/>
  <c r="AW1979" i="6" s="1" a="1"/>
  <c r="AW1979" i="6" s="1"/>
  <c r="AV2207" i="6"/>
  <c r="AW2207" i="6" s="1" a="1"/>
  <c r="AW2207" i="6" s="1"/>
  <c r="AY2207" i="6" s="1"/>
  <c r="BC2207" i="6" s="1"/>
  <c r="AV592" i="6"/>
  <c r="AW592" i="6" s="1" a="1"/>
  <c r="AW592" i="6" s="1"/>
  <c r="AV1772" i="6"/>
  <c r="AW1772" i="6" s="1" a="1"/>
  <c r="AW1772" i="6" s="1"/>
  <c r="AY1772" i="6" s="1"/>
  <c r="BC1772" i="6" s="1"/>
  <c r="AV2573" i="6"/>
  <c r="AW2573" i="6" s="1" a="1"/>
  <c r="AW2573" i="6" s="1"/>
  <c r="AX2573" i="6" s="1"/>
  <c r="AV591" i="6"/>
  <c r="AW591" i="6" s="1" a="1"/>
  <c r="AW591" i="6" s="1"/>
  <c r="AV559" i="6"/>
  <c r="AW559" i="6" s="1" a="1"/>
  <c r="AW559" i="6" s="1"/>
  <c r="AV515" i="6"/>
  <c r="AW515" i="6" s="1" a="1"/>
  <c r="AW515" i="6" s="1"/>
  <c r="AV597" i="6"/>
  <c r="AW597" i="6" s="1" a="1"/>
  <c r="AW597" i="6" s="1"/>
  <c r="AV1759" i="6"/>
  <c r="AW1759" i="6" s="1" a="1"/>
  <c r="AW1759" i="6" s="1"/>
  <c r="AV1156" i="6"/>
  <c r="AW1156" i="6" s="1" a="1"/>
  <c r="AW1156" i="6" s="1"/>
  <c r="AV1155" i="6"/>
  <c r="AW1155" i="6" s="1" a="1"/>
  <c r="AW1155" i="6" s="1"/>
  <c r="AV1154" i="6"/>
  <c r="AW1154" i="6" s="1" a="1"/>
  <c r="AW1154" i="6" s="1"/>
  <c r="AV1153" i="6"/>
  <c r="AW1153" i="6" s="1" a="1"/>
  <c r="AW1153" i="6" s="1"/>
  <c r="AV1152" i="6"/>
  <c r="AW1152" i="6" s="1" a="1"/>
  <c r="AW1152" i="6" s="1"/>
  <c r="AV1151" i="6"/>
  <c r="AW1151" i="6" s="1" a="1"/>
  <c r="AW1151" i="6" s="1"/>
  <c r="AV1150" i="6"/>
  <c r="AW1150" i="6" s="1" a="1"/>
  <c r="AW1150" i="6" s="1"/>
  <c r="AV514" i="6"/>
  <c r="AW514" i="6" s="1" a="1"/>
  <c r="AW514" i="6" s="1"/>
  <c r="AV513" i="6"/>
  <c r="AW513" i="6" s="1" a="1"/>
  <c r="AW513" i="6" s="1"/>
  <c r="AV1149" i="6"/>
  <c r="AW1149" i="6" s="1" a="1"/>
  <c r="AW1149" i="6" s="1"/>
  <c r="AV500" i="6"/>
  <c r="AW500" i="6" s="1" a="1"/>
  <c r="AW500" i="6" s="1"/>
  <c r="AV1148" i="6"/>
  <c r="AW1148" i="6" s="1" a="1"/>
  <c r="AW1148" i="6" s="1"/>
  <c r="AV499" i="6"/>
  <c r="AW499" i="6" s="1" a="1"/>
  <c r="AW499" i="6" s="1"/>
  <c r="AV498" i="6"/>
  <c r="AW498" i="6" s="1" a="1"/>
  <c r="AW498" i="6" s="1"/>
  <c r="AV368" i="6"/>
  <c r="AW368" i="6" s="1" a="1"/>
  <c r="AW368" i="6" s="1"/>
  <c r="AV497" i="6"/>
  <c r="AW497" i="6" s="1" a="1"/>
  <c r="AW497" i="6" s="1"/>
  <c r="AV367" i="6"/>
  <c r="AW367" i="6" s="1" a="1"/>
  <c r="AW367" i="6" s="1"/>
  <c r="AV2572" i="6"/>
  <c r="AW2572" i="6" s="1" a="1"/>
  <c r="AW2572" i="6" s="1"/>
  <c r="AV496" i="6"/>
  <c r="AW496" i="6" s="1" a="1"/>
  <c r="AW496" i="6" s="1"/>
  <c r="AV366" i="6"/>
  <c r="AW366" i="6" s="1" a="1"/>
  <c r="AW366" i="6" s="1"/>
  <c r="AV2477" i="6"/>
  <c r="AW2477" i="6" s="1" a="1"/>
  <c r="AW2477" i="6" s="1"/>
  <c r="AV533" i="6"/>
  <c r="AW533" i="6" s="1" a="1"/>
  <c r="AW533" i="6" s="1"/>
  <c r="AV2062" i="6"/>
  <c r="AW2062" i="6" s="1" a="1"/>
  <c r="AW2062" i="6" s="1"/>
  <c r="AV1049" i="6"/>
  <c r="AW1049" i="6" s="1" a="1"/>
  <c r="AW1049" i="6" s="1"/>
  <c r="AV1048" i="6"/>
  <c r="AW1048" i="6" s="1" a="1"/>
  <c r="AW1048" i="6" s="1"/>
  <c r="AV1047" i="6"/>
  <c r="AW1047" i="6" s="1" a="1"/>
  <c r="AW1047" i="6" s="1"/>
  <c r="AV532" i="6"/>
  <c r="AW532" i="6" s="1" a="1"/>
  <c r="AW532" i="6" s="1"/>
  <c r="AV1734" i="6"/>
  <c r="AW1734" i="6" s="1" a="1"/>
  <c r="AW1734" i="6" s="1"/>
  <c r="AV1046" i="6"/>
  <c r="AW1046" i="6" s="1" a="1"/>
  <c r="AW1046" i="6" s="1"/>
  <c r="AV512" i="6"/>
  <c r="AW512" i="6" s="1" a="1"/>
  <c r="AW512" i="6" s="1"/>
  <c r="AV1733" i="6"/>
  <c r="AW1733" i="6" s="1" a="1"/>
  <c r="AW1733" i="6" s="1"/>
  <c r="AV2476" i="6"/>
  <c r="AW2476" i="6" s="1" a="1"/>
  <c r="AW2476" i="6" s="1"/>
  <c r="AV1045" i="6"/>
  <c r="AW1045" i="6" s="1" a="1"/>
  <c r="AW1045" i="6" s="1"/>
  <c r="AV1044" i="6"/>
  <c r="AW1044" i="6" s="1" a="1"/>
  <c r="AW1044" i="6" s="1"/>
  <c r="AV1042" i="6"/>
  <c r="AW1042" i="6" s="1" a="1"/>
  <c r="AW1042" i="6" s="1"/>
  <c r="AV1041" i="6"/>
  <c r="AW1041" i="6" s="1" a="1"/>
  <c r="AW1041" i="6" s="1"/>
  <c r="AV1040" i="6"/>
  <c r="AW1040" i="6" s="1" a="1"/>
  <c r="AW1040" i="6" s="1"/>
  <c r="AV1039" i="6"/>
  <c r="AW1039" i="6" s="1" a="1"/>
  <c r="AW1039" i="6" s="1"/>
  <c r="AV1038" i="6"/>
  <c r="AW1038" i="6" s="1" a="1"/>
  <c r="AW1038" i="6" s="1"/>
  <c r="AV1037" i="6"/>
  <c r="AW1037" i="6" s="1" a="1"/>
  <c r="AW1037" i="6" s="1"/>
  <c r="AV1036" i="6"/>
  <c r="AW1036" i="6" s="1" a="1"/>
  <c r="AW1036" i="6" s="1"/>
  <c r="AV1035" i="6"/>
  <c r="AW1035" i="6" s="1" a="1"/>
  <c r="AW1035" i="6" s="1"/>
  <c r="AV1034" i="6"/>
  <c r="AW1034" i="6" s="1" a="1"/>
  <c r="AW1034" i="6" s="1"/>
  <c r="AV1033" i="6"/>
  <c r="AW1033" i="6" s="1" a="1"/>
  <c r="AW1033" i="6" s="1"/>
  <c r="AV1032" i="6"/>
  <c r="AW1032" i="6" s="1" a="1"/>
  <c r="AW1032" i="6" s="1"/>
  <c r="AV1031" i="6"/>
  <c r="AW1031" i="6" s="1" a="1"/>
  <c r="AW1031" i="6" s="1"/>
  <c r="AV1030" i="6"/>
  <c r="AW1030" i="6" s="1" a="1"/>
  <c r="AW1030" i="6" s="1"/>
  <c r="AV2677" i="6"/>
  <c r="AW2677" i="6" s="1" a="1"/>
  <c r="AW2677" i="6" s="1"/>
  <c r="AV201" i="6"/>
  <c r="AW201" i="6" s="1" a="1"/>
  <c r="AW201" i="6" s="1"/>
  <c r="AV2587" i="6"/>
  <c r="AW2587" i="6" s="1" a="1"/>
  <c r="AW2587" i="6" s="1"/>
  <c r="AV2586" i="6"/>
  <c r="AW2586" i="6" s="1" a="1"/>
  <c r="AW2586" i="6" s="1"/>
  <c r="AV2484" i="6"/>
  <c r="AW2484" i="6" s="1" a="1"/>
  <c r="AW2484" i="6" s="1"/>
  <c r="AV2373" i="6"/>
  <c r="AW2373" i="6" s="1" a="1"/>
  <c r="AW2373" i="6" s="1"/>
  <c r="AV2372" i="6"/>
  <c r="AW2372" i="6" s="1" a="1"/>
  <c r="AW2372" i="6" s="1"/>
  <c r="AV2210" i="6"/>
  <c r="AW2210" i="6" s="1" a="1"/>
  <c r="AW2210" i="6" s="1"/>
  <c r="AV1989" i="6"/>
  <c r="AW1989" i="6" s="1" a="1"/>
  <c r="AW1989" i="6" s="1"/>
  <c r="AV1988" i="6"/>
  <c r="AW1988" i="6" s="1" a="1"/>
  <c r="AW1988" i="6" s="1"/>
  <c r="AV876" i="6"/>
  <c r="AW876" i="6" s="1" a="1"/>
  <c r="AW876" i="6" s="1"/>
  <c r="AV1987" i="6"/>
  <c r="AW1987" i="6" s="1" a="1"/>
  <c r="AW1987" i="6" s="1"/>
  <c r="AV1986" i="6"/>
  <c r="AW1986" i="6" s="1" a="1"/>
  <c r="AW1986" i="6" s="1"/>
  <c r="AV2676" i="6"/>
  <c r="AW2676" i="6" s="1" a="1"/>
  <c r="AW2676" i="6" s="1"/>
  <c r="AV2675" i="6"/>
  <c r="AW2675" i="6" s="1" a="1"/>
  <c r="AW2675" i="6" s="1"/>
  <c r="AV2674" i="6"/>
  <c r="AW2674" i="6" s="1" a="1"/>
  <c r="AW2674" i="6" s="1"/>
  <c r="AV2673" i="6"/>
  <c r="AW2673" i="6" s="1" a="1"/>
  <c r="AW2673" i="6" s="1"/>
  <c r="AV1506" i="6"/>
  <c r="AW1506" i="6" s="1" a="1"/>
  <c r="AW1506" i="6" s="1"/>
  <c r="AV1504" i="6"/>
  <c r="AW1504" i="6" s="1" a="1"/>
  <c r="AW1504" i="6" s="1"/>
  <c r="AV1985" i="6"/>
  <c r="AW1985" i="6" s="1" a="1"/>
  <c r="AW1985" i="6" s="1"/>
  <c r="AV875" i="6"/>
  <c r="AW875" i="6" s="1" a="1"/>
  <c r="AW875" i="6" s="1"/>
  <c r="AV874" i="6"/>
  <c r="AW874" i="6" s="1" a="1"/>
  <c r="AW874" i="6" s="1"/>
  <c r="AV873" i="6"/>
  <c r="AW873" i="6" s="1" a="1"/>
  <c r="AW873" i="6" s="1"/>
  <c r="AV1505" i="6"/>
  <c r="AW1505" i="6" s="1" a="1"/>
  <c r="AW1505" i="6" s="1"/>
  <c r="AV1984" i="6"/>
  <c r="AW1984" i="6" s="1" a="1"/>
  <c r="AW1984" i="6" s="1"/>
  <c r="AV2209" i="6"/>
  <c r="AW2209" i="6" s="1" a="1"/>
  <c r="AW2209" i="6" s="1"/>
  <c r="AV2371" i="6"/>
  <c r="AW2371" i="6" s="1" a="1"/>
  <c r="AW2371" i="6" s="1"/>
  <c r="AV1503" i="6"/>
  <c r="AW1503" i="6" s="1" a="1"/>
  <c r="AW1503" i="6" s="1"/>
  <c r="AV2208" i="6"/>
  <c r="AW2208" i="6" s="1" a="1"/>
  <c r="AW2208" i="6" s="1"/>
  <c r="AV1983" i="6"/>
  <c r="AW1983" i="6" s="1" a="1"/>
  <c r="AW1983" i="6" s="1"/>
  <c r="AV2672" i="6"/>
  <c r="AW2672" i="6" s="1" a="1"/>
  <c r="AW2672" i="6" s="1"/>
  <c r="AV2745" i="6"/>
  <c r="AW2745" i="6" s="1" a="1"/>
  <c r="AW2745" i="6" s="1"/>
  <c r="AV2483" i="6"/>
  <c r="AW2483" i="6" s="1" a="1"/>
  <c r="AW2483" i="6" s="1"/>
  <c r="AV1501" i="6"/>
  <c r="AW1501" i="6" s="1" a="1"/>
  <c r="AW1501" i="6" s="1"/>
  <c r="AV1500" i="6"/>
  <c r="AW1500" i="6" s="1" a="1"/>
  <c r="AW1500" i="6" s="1"/>
  <c r="AV1499" i="6"/>
  <c r="AW1499" i="6" s="1" a="1"/>
  <c r="AW1499" i="6" s="1"/>
  <c r="AV872" i="6"/>
  <c r="AW872" i="6" s="1" a="1"/>
  <c r="AW872" i="6" s="1"/>
  <c r="AV871" i="6"/>
  <c r="AW871" i="6" s="1" a="1"/>
  <c r="AW871" i="6" s="1"/>
  <c r="AV869" i="6"/>
  <c r="AW869" i="6" s="1" a="1"/>
  <c r="AW869" i="6" s="1"/>
  <c r="AV870" i="6"/>
  <c r="AW870" i="6" s="1" a="1"/>
  <c r="AW870" i="6" s="1"/>
  <c r="AV200" i="6"/>
  <c r="AW200" i="6" s="1" a="1"/>
  <c r="AW200" i="6" s="1"/>
  <c r="AV199" i="6"/>
  <c r="AW199" i="6" s="1" a="1"/>
  <c r="AW199" i="6" s="1"/>
  <c r="AV198" i="6"/>
  <c r="AW198" i="6" s="1" a="1"/>
  <c r="AW198" i="6" s="1"/>
  <c r="AV197" i="6"/>
  <c r="AW197" i="6" s="1" a="1"/>
  <c r="AW197" i="6" s="1"/>
  <c r="AV1982" i="6"/>
  <c r="AW1982" i="6" s="1" a="1"/>
  <c r="AW1982" i="6" s="1"/>
  <c r="AV867" i="6"/>
  <c r="AW867" i="6" s="1" a="1"/>
  <c r="AW867" i="6" s="1"/>
  <c r="AV868" i="6"/>
  <c r="AW868" i="6" s="1" a="1"/>
  <c r="AW868" i="6" s="1"/>
  <c r="AV2482" i="6"/>
  <c r="AW2482" i="6" s="1" a="1"/>
  <c r="AW2482" i="6" s="1"/>
  <c r="AV1498" i="6"/>
  <c r="AW1498" i="6" s="1" a="1"/>
  <c r="AW1498" i="6" s="1"/>
  <c r="AV1497" i="6"/>
  <c r="AW1497" i="6" s="1" a="1"/>
  <c r="AW1497" i="6" s="1"/>
  <c r="AV1496" i="6"/>
  <c r="AW1496" i="6" s="1" a="1"/>
  <c r="AW1496" i="6" s="1"/>
  <c r="AV1493" i="6"/>
  <c r="AW1493" i="6" s="1" a="1"/>
  <c r="AW1493" i="6" s="1"/>
  <c r="AV1658" i="6"/>
  <c r="AW1658" i="6" s="1" a="1"/>
  <c r="AW1658" i="6" s="1"/>
  <c r="AV1657" i="6"/>
  <c r="AW1657" i="6" s="1" a="1"/>
  <c r="AW1657" i="6" s="1"/>
  <c r="AV1656" i="6"/>
  <c r="AW1656" i="6" s="1" a="1"/>
  <c r="AW1656" i="6" s="1"/>
  <c r="AV1655" i="6"/>
  <c r="AW1655" i="6" s="1" a="1"/>
  <c r="AW1655" i="6" s="1"/>
  <c r="AV1654" i="6"/>
  <c r="AW1654" i="6" s="1" a="1"/>
  <c r="AW1654" i="6" s="1"/>
  <c r="AV1653" i="6"/>
  <c r="AW1653" i="6" s="1" a="1"/>
  <c r="AW1653" i="6" s="1"/>
  <c r="AV1652" i="6"/>
  <c r="AW1652" i="6" s="1" a="1"/>
  <c r="AW1652" i="6" s="1"/>
  <c r="AV1391" i="6"/>
  <c r="AW1391" i="6" s="1" a="1"/>
  <c r="AW1391" i="6" s="1"/>
  <c r="AV1390" i="6"/>
  <c r="AW1390" i="6" s="1" a="1"/>
  <c r="AW1390" i="6" s="1"/>
  <c r="AV1389" i="6"/>
  <c r="AW1389" i="6" s="1" a="1"/>
  <c r="AW1389" i="6" s="1"/>
  <c r="AV1387" i="6"/>
  <c r="AW1387" i="6" s="1" a="1"/>
  <c r="AW1387" i="6" s="1"/>
  <c r="AV1386" i="6"/>
  <c r="AW1386" i="6" s="1" a="1"/>
  <c r="AW1386" i="6" s="1"/>
  <c r="AV1385" i="6"/>
  <c r="AW1385" i="6" s="1" a="1"/>
  <c r="AW1385" i="6" s="1"/>
  <c r="AV1384" i="6"/>
  <c r="AW1384" i="6" s="1" a="1"/>
  <c r="AW1384" i="6" s="1"/>
  <c r="AV1381" i="6"/>
  <c r="AW1381" i="6" s="1" a="1"/>
  <c r="AW1381" i="6" s="1"/>
  <c r="AV1379" i="6"/>
  <c r="AW1379" i="6" s="1" a="1"/>
  <c r="AW1379" i="6" s="1"/>
  <c r="AV1378" i="6"/>
  <c r="AW1378" i="6" s="1" a="1"/>
  <c r="AW1378" i="6" s="1"/>
  <c r="AV1377" i="6"/>
  <c r="AW1377" i="6" s="1" a="1"/>
  <c r="AW1377" i="6" s="1"/>
  <c r="AV1376" i="6"/>
  <c r="AW1376" i="6" s="1" a="1"/>
  <c r="AW1376" i="6" s="1"/>
  <c r="AV1375" i="6"/>
  <c r="AW1375" i="6" s="1" a="1"/>
  <c r="AW1375" i="6" s="1"/>
  <c r="AV1374" i="6"/>
  <c r="AW1374" i="6" s="1" a="1"/>
  <c r="AW1374" i="6" s="1"/>
  <c r="AV1373" i="6"/>
  <c r="AW1373" i="6" s="1" a="1"/>
  <c r="AW1373" i="6" s="1"/>
  <c r="AV1372" i="6"/>
  <c r="AW1372" i="6" s="1" a="1"/>
  <c r="AW1372" i="6" s="1"/>
  <c r="AV1370" i="6"/>
  <c r="AW1370" i="6" s="1" a="1"/>
  <c r="AW1370" i="6" s="1"/>
  <c r="AV1369" i="6"/>
  <c r="AW1369" i="6" s="1" a="1"/>
  <c r="AW1369" i="6" s="1"/>
  <c r="AV1368" i="6"/>
  <c r="AW1368" i="6" s="1" a="1"/>
  <c r="AW1368" i="6" s="1"/>
  <c r="AV1366" i="6"/>
  <c r="AW1366" i="6" s="1" a="1"/>
  <c r="AW1366" i="6" s="1"/>
  <c r="AV1365" i="6"/>
  <c r="AW1365" i="6" s="1" a="1"/>
  <c r="AW1365" i="6" s="1"/>
  <c r="AV1363" i="6"/>
  <c r="AW1363" i="6" s="1" a="1"/>
  <c r="AW1363" i="6" s="1"/>
  <c r="AV1362" i="6"/>
  <c r="AW1362" i="6" s="1" a="1"/>
  <c r="AW1362" i="6" s="1"/>
  <c r="AV1359" i="6"/>
  <c r="AW1359" i="6" s="1" a="1"/>
  <c r="AW1359" i="6" s="1"/>
  <c r="AV1358" i="6"/>
  <c r="AW1358" i="6" s="1" a="1"/>
  <c r="AW1358" i="6" s="1"/>
  <c r="AV1357" i="6"/>
  <c r="AW1357" i="6" s="1" a="1"/>
  <c r="AW1357" i="6" s="1"/>
  <c r="AV1356" i="6"/>
  <c r="AW1356" i="6" s="1" a="1"/>
  <c r="AW1356" i="6" s="1"/>
  <c r="AV1355" i="6"/>
  <c r="AW1355" i="6" s="1" a="1"/>
  <c r="AW1355" i="6" s="1"/>
  <c r="AV797" i="6"/>
  <c r="AW797" i="6" s="1" a="1"/>
  <c r="AW797" i="6" s="1"/>
  <c r="AV796" i="6"/>
  <c r="AW796" i="6" s="1" a="1"/>
  <c r="AW796" i="6" s="1"/>
  <c r="AV1430" i="6"/>
  <c r="AW1430" i="6" s="1" a="1"/>
  <c r="AW1430" i="6" s="1"/>
  <c r="AV794" i="6"/>
  <c r="AW794" i="6" s="1" a="1"/>
  <c r="AW794" i="6" s="1"/>
  <c r="AV792" i="6"/>
  <c r="AW792" i="6" s="1" a="1"/>
  <c r="AW792" i="6" s="1"/>
  <c r="AV791" i="6"/>
  <c r="AW791" i="6" s="1" a="1"/>
  <c r="AW791" i="6" s="1"/>
  <c r="AV203" i="6"/>
  <c r="AW203" i="6" s="1" a="1"/>
  <c r="AW203" i="6" s="1"/>
  <c r="AV202" i="6"/>
  <c r="AW202" i="6" s="1" a="1"/>
  <c r="AW202" i="6" s="1"/>
  <c r="AV2765" i="6"/>
  <c r="AW2765" i="6" s="1" a="1"/>
  <c r="AW2765" i="6" s="1"/>
  <c r="AV2764" i="6"/>
  <c r="AW2764" i="6" s="1" a="1"/>
  <c r="AW2764" i="6" s="1"/>
  <c r="AV2708" i="6"/>
  <c r="AW2708" i="6" s="1" a="1"/>
  <c r="AW2708" i="6" s="1"/>
  <c r="AV2337" i="6"/>
  <c r="AW2337" i="6" s="1" a="1"/>
  <c r="AW2337" i="6" s="1"/>
  <c r="AV2336" i="6"/>
  <c r="AW2336" i="6" s="1" a="1"/>
  <c r="AW2336" i="6" s="1"/>
  <c r="AV2323" i="6"/>
  <c r="AW2323" i="6" s="1" a="1"/>
  <c r="AW2323" i="6" s="1"/>
  <c r="AV2333" i="6"/>
  <c r="AW2333" i="6" s="1" a="1"/>
  <c r="AW2333" i="6" s="1"/>
  <c r="AV2332" i="6"/>
  <c r="AW2332" i="6" s="1" a="1"/>
  <c r="AW2332" i="6" s="1"/>
  <c r="AV2331" i="6"/>
  <c r="AW2331" i="6" s="1" a="1"/>
  <c r="AW2331" i="6" s="1"/>
  <c r="AV2330" i="6"/>
  <c r="AW2330" i="6" s="1" a="1"/>
  <c r="AW2330" i="6" s="1"/>
  <c r="AV2329" i="6"/>
  <c r="AW2329" i="6" s="1" a="1"/>
  <c r="AW2329" i="6" s="1"/>
  <c r="AV2328" i="6"/>
  <c r="AW2328" i="6" s="1" a="1"/>
  <c r="AW2328" i="6" s="1"/>
  <c r="AV2327" i="6"/>
  <c r="AW2327" i="6" s="1" a="1"/>
  <c r="AW2327" i="6" s="1"/>
  <c r="AV2326" i="6"/>
  <c r="AW2326" i="6" s="1" a="1"/>
  <c r="AW2326" i="6" s="1"/>
  <c r="AV2325" i="6"/>
  <c r="AW2325" i="6" s="1" a="1"/>
  <c r="AW2325" i="6" s="1"/>
  <c r="AV2324" i="6"/>
  <c r="AW2324" i="6" s="1" a="1"/>
  <c r="AW2324" i="6" s="1"/>
  <c r="AV2168" i="6"/>
  <c r="AW2168" i="6" s="1" a="1"/>
  <c r="AW2168" i="6" s="1"/>
  <c r="AV2322" i="6"/>
  <c r="AW2322" i="6" s="1" a="1"/>
  <c r="AW2322" i="6" s="1"/>
  <c r="AV2321" i="6"/>
  <c r="AW2321" i="6" s="1" a="1"/>
  <c r="AW2321" i="6" s="1"/>
  <c r="AV2320" i="6"/>
  <c r="AW2320" i="6" s="1" a="1"/>
  <c r="AW2320" i="6" s="1"/>
  <c r="AV2319" i="6"/>
  <c r="AW2319" i="6" s="1" a="1"/>
  <c r="AW2319" i="6" s="1"/>
  <c r="AV2318" i="6"/>
  <c r="AW2318" i="6" s="1" a="1"/>
  <c r="AW2318" i="6" s="1"/>
  <c r="AV2169" i="6"/>
  <c r="AW2169" i="6" s="1" a="1"/>
  <c r="AW2169" i="6" s="1"/>
  <c r="AV2167" i="6"/>
  <c r="AW2167" i="6" s="1" a="1"/>
  <c r="AW2167" i="6" s="1"/>
  <c r="AV2166" i="6"/>
  <c r="AW2166" i="6" s="1" a="1"/>
  <c r="AW2166" i="6" s="1"/>
  <c r="AV1919" i="6"/>
  <c r="AW1919" i="6" s="1" a="1"/>
  <c r="AW1919" i="6" s="1"/>
  <c r="AV2125" i="6"/>
  <c r="AW2125" i="6" s="1" a="1"/>
  <c r="AW2125" i="6" s="1"/>
  <c r="AV2163" i="6"/>
  <c r="AW2163" i="6" s="1" a="1"/>
  <c r="AW2163" i="6" s="1"/>
  <c r="AV2162" i="6"/>
  <c r="AW2162" i="6" s="1" a="1"/>
  <c r="AW2162" i="6" s="1"/>
  <c r="AV2490" i="6"/>
  <c r="AW2490" i="6" s="1" a="1"/>
  <c r="AW2490" i="6" s="1"/>
  <c r="AV2489" i="6"/>
  <c r="AW2489" i="6" s="1" a="1"/>
  <c r="AW2489" i="6" s="1"/>
  <c r="AX2489" i="6" s="1"/>
  <c r="AV2380" i="6"/>
  <c r="AW2380" i="6" s="1" a="1"/>
  <c r="AW2380" i="6" s="1"/>
  <c r="AV2379" i="6"/>
  <c r="AW2379" i="6" s="1" a="1"/>
  <c r="AW2379" i="6" s="1"/>
  <c r="AX2379" i="6" s="1"/>
  <c r="AV2378" i="6"/>
  <c r="AW2378" i="6" s="1" a="1"/>
  <c r="AW2378" i="6" s="1"/>
  <c r="AV2377" i="6"/>
  <c r="AW2377" i="6" s="1" a="1"/>
  <c r="AW2377" i="6" s="1"/>
  <c r="AX2377" i="6" s="1"/>
  <c r="AV2227" i="6"/>
  <c r="AW2227" i="6" s="1" a="1"/>
  <c r="AW2227" i="6" s="1"/>
  <c r="AV2226" i="6"/>
  <c r="AW2226" i="6" s="1" a="1"/>
  <c r="AW2226" i="6" s="1"/>
  <c r="AV2225" i="6"/>
  <c r="AW2225" i="6" s="1" a="1"/>
  <c r="AW2225" i="6" s="1"/>
  <c r="AV2224" i="6"/>
  <c r="AW2224" i="6" s="1" a="1"/>
  <c r="AW2224" i="6" s="1"/>
  <c r="AV191" i="6"/>
  <c r="AW191" i="6" s="1" a="1"/>
  <c r="AW191" i="6" s="1"/>
  <c r="AV190" i="6"/>
  <c r="AW190" i="6" s="1" a="1"/>
  <c r="AW190" i="6" s="1"/>
  <c r="AV862" i="6"/>
  <c r="AW862" i="6" s="1" a="1"/>
  <c r="AW862" i="6" s="1"/>
  <c r="AV2206" i="6"/>
  <c r="AW2206" i="6" s="1" a="1"/>
  <c r="AW2206" i="6" s="1"/>
  <c r="AV2022" i="6"/>
  <c r="AW2022" i="6" s="1" a="1"/>
  <c r="AW2022" i="6" s="1"/>
  <c r="AV2736" i="6"/>
  <c r="AW2736" i="6" s="1" a="1"/>
  <c r="AW2736" i="6" s="1"/>
  <c r="AV2671" i="6"/>
  <c r="AW2671" i="6" s="1" a="1"/>
  <c r="AW2671" i="6" s="1"/>
  <c r="AV2585" i="6"/>
  <c r="AW2585" i="6" s="1" a="1"/>
  <c r="AW2585" i="6" s="1"/>
  <c r="AV2481" i="6"/>
  <c r="AW2481" i="6" s="1" a="1"/>
  <c r="AW2481" i="6" s="1"/>
  <c r="AV2368" i="6"/>
  <c r="AW2368" i="6" s="1" a="1"/>
  <c r="AW2368" i="6" s="1"/>
  <c r="AV2205" i="6"/>
  <c r="AW2205" i="6" s="1" a="1"/>
  <c r="AW2205" i="6" s="1"/>
  <c r="AV2018" i="6"/>
  <c r="AW2018" i="6" s="1" a="1"/>
  <c r="AW2018" i="6" s="1"/>
  <c r="AV1978" i="6"/>
  <c r="AW1978" i="6" s="1" a="1"/>
  <c r="AW1978" i="6" s="1"/>
  <c r="AV2480" i="6"/>
  <c r="AW2480" i="6" s="1" a="1"/>
  <c r="AW2480" i="6" s="1"/>
  <c r="AV2479" i="6"/>
  <c r="AW2479" i="6" s="1" a="1"/>
  <c r="AW2479" i="6" s="1"/>
  <c r="AV861" i="6"/>
  <c r="AW861" i="6" s="1" a="1"/>
  <c r="AW861" i="6" s="1"/>
  <c r="AV860" i="6"/>
  <c r="AW860" i="6" s="1" a="1"/>
  <c r="AW860" i="6" s="1"/>
  <c r="AV189" i="6"/>
  <c r="AW189" i="6" s="1" a="1"/>
  <c r="AW189" i="6" s="1"/>
  <c r="AV1977" i="6"/>
  <c r="AW1977" i="6" s="1" a="1"/>
  <c r="AW1977" i="6" s="1"/>
  <c r="AV2204" i="6"/>
  <c r="AW2204" i="6" s="1" a="1"/>
  <c r="AW2204" i="6" s="1"/>
  <c r="AV188" i="6"/>
  <c r="AW188" i="6" s="1" a="1"/>
  <c r="AW188" i="6" s="1"/>
  <c r="AV2367" i="6"/>
  <c r="AW2367" i="6" s="1" a="1"/>
  <c r="AW2367" i="6" s="1"/>
  <c r="AV1976" i="6"/>
  <c r="AW1976" i="6" s="1" a="1"/>
  <c r="AW1976" i="6" s="1"/>
  <c r="AV1975" i="6"/>
  <c r="AW1975" i="6" s="1" a="1"/>
  <c r="AW1975" i="6" s="1"/>
  <c r="AV1492" i="6"/>
  <c r="AW1492" i="6" s="1" a="1"/>
  <c r="AW1492" i="6" s="1"/>
  <c r="AV859" i="6"/>
  <c r="AW859" i="6" s="1" a="1"/>
  <c r="AW859" i="6" s="1"/>
  <c r="AV858" i="6"/>
  <c r="AW858" i="6" s="1" a="1"/>
  <c r="AW858" i="6" s="1"/>
  <c r="AV187" i="6"/>
  <c r="AW187" i="6" s="1" a="1"/>
  <c r="AW187" i="6" s="1"/>
  <c r="AV186" i="6"/>
  <c r="AW186" i="6" s="1" a="1"/>
  <c r="AW186" i="6" s="1"/>
  <c r="AX186" i="6" s="1"/>
  <c r="AV185" i="6"/>
  <c r="AW185" i="6" s="1" a="1"/>
  <c r="AW185" i="6" s="1"/>
  <c r="AV2203" i="6"/>
  <c r="AW2203" i="6" s="1" a="1"/>
  <c r="AW2203" i="6" s="1"/>
  <c r="AV1491" i="6"/>
  <c r="AW1491" i="6" s="1" a="1"/>
  <c r="AW1491" i="6" s="1"/>
  <c r="AV2202" i="6"/>
  <c r="AW2202" i="6" s="1" a="1"/>
  <c r="AW2202" i="6" s="1"/>
  <c r="AX2202" i="6" s="1"/>
  <c r="AV2366" i="6"/>
  <c r="AW2366" i="6" s="1" a="1"/>
  <c r="AW2366" i="6" s="1"/>
  <c r="AX2366" i="6" s="1"/>
  <c r="AV2365" i="6"/>
  <c r="AW2365" i="6" s="1" a="1"/>
  <c r="AW2365" i="6" s="1"/>
  <c r="AX2365" i="6" s="1"/>
  <c r="AV2364" i="6"/>
  <c r="AW2364" i="6" s="1" a="1"/>
  <c r="AW2364" i="6" s="1"/>
  <c r="AV2201" i="6"/>
  <c r="AW2201" i="6" s="1" a="1"/>
  <c r="AW2201" i="6" s="1"/>
  <c r="AX2201" i="6" s="1"/>
  <c r="AV2200" i="6"/>
  <c r="AW2200" i="6" s="1" a="1"/>
  <c r="AW2200" i="6" s="1"/>
  <c r="AV2199" i="6"/>
  <c r="AW2199" i="6" s="1" a="1"/>
  <c r="AW2199" i="6" s="1"/>
  <c r="AV2478" i="6"/>
  <c r="AW2478" i="6" s="1" a="1"/>
  <c r="AW2478" i="6" s="1"/>
  <c r="AV1490" i="6"/>
  <c r="AW1490" i="6" s="1" a="1"/>
  <c r="AW1490" i="6" s="1"/>
  <c r="AX1490" i="6" s="1"/>
  <c r="AV878" i="6"/>
  <c r="AW878" i="6" s="1" a="1"/>
  <c r="AW878" i="6" s="1"/>
  <c r="AX878" i="6" s="1"/>
  <c r="AV1495" i="6"/>
  <c r="AW1495" i="6" s="1" a="1"/>
  <c r="AW1495" i="6" s="1"/>
  <c r="AX1495" i="6" s="1"/>
  <c r="AV1598" i="6"/>
  <c r="AW1598" i="6" s="1" a="1"/>
  <c r="AW1598" i="6" s="1"/>
  <c r="AV1597" i="6"/>
  <c r="AW1597" i="6" s="1" a="1"/>
  <c r="AW1597" i="6" s="1"/>
  <c r="AX1597" i="6" s="1"/>
  <c r="AV1596" i="6"/>
  <c r="AW1596" i="6" s="1" a="1"/>
  <c r="AW1596" i="6" s="1"/>
  <c r="AV1595" i="6"/>
  <c r="AW1595" i="6" s="1" a="1"/>
  <c r="AW1595" i="6" s="1"/>
  <c r="AV1594" i="6"/>
  <c r="AW1594" i="6" s="1" a="1"/>
  <c r="AW1594" i="6" s="1"/>
  <c r="AV1593" i="6"/>
  <c r="AW1593" i="6" s="1" a="1"/>
  <c r="AW1593" i="6" s="1"/>
  <c r="AX1593" i="6" s="1"/>
  <c r="AV1592" i="6"/>
  <c r="AW1592" i="6" s="1" a="1"/>
  <c r="AW1592" i="6" s="1"/>
  <c r="AX1592" i="6" s="1"/>
  <c r="AV1591" i="6"/>
  <c r="AW1591" i="6" s="1" a="1"/>
  <c r="AW1591" i="6" s="1"/>
  <c r="AX1591" i="6" s="1"/>
  <c r="AV1590" i="6"/>
  <c r="AW1590" i="6" s="1" a="1"/>
  <c r="AW1590" i="6" s="1"/>
  <c r="AV266" i="6"/>
  <c r="AW266" i="6" s="1" a="1"/>
  <c r="AW266" i="6" s="1"/>
  <c r="AX266" i="6" s="1"/>
  <c r="AV1589" i="6"/>
  <c r="AW1589" i="6" s="1" a="1"/>
  <c r="AW1589" i="6" s="1"/>
  <c r="AV1588" i="6"/>
  <c r="AW1588" i="6" s="1" a="1"/>
  <c r="AW1588" i="6" s="1"/>
  <c r="AV1586" i="6"/>
  <c r="AW1586" i="6" s="1" a="1"/>
  <c r="AW1586" i="6" s="1"/>
  <c r="AV1585" i="6"/>
  <c r="AW1585" i="6" s="1" a="1"/>
  <c r="AW1585" i="6" s="1"/>
  <c r="AX1585" i="6" s="1"/>
  <c r="AV1584" i="6"/>
  <c r="AW1584" i="6" s="1" a="1"/>
  <c r="AW1584" i="6" s="1"/>
  <c r="AX1584" i="6" s="1"/>
  <c r="AV1583" i="6"/>
  <c r="AW1583" i="6" s="1" a="1"/>
  <c r="AW1583" i="6" s="1"/>
  <c r="AX1583" i="6" s="1"/>
  <c r="AV1582" i="6"/>
  <c r="AW1582" i="6" s="1" a="1"/>
  <c r="AW1582" i="6" s="1"/>
  <c r="AV1581" i="6"/>
  <c r="AW1581" i="6" s="1" a="1"/>
  <c r="AW1581" i="6" s="1"/>
  <c r="AX1581" i="6" s="1"/>
  <c r="AV1580" i="6"/>
  <c r="AW1580" i="6" s="1" a="1"/>
  <c r="AW1580" i="6" s="1"/>
  <c r="AV1579" i="6"/>
  <c r="AW1579" i="6" s="1" a="1"/>
  <c r="AW1579" i="6" s="1"/>
  <c r="AV1578" i="6"/>
  <c r="AW1578" i="6" s="1" a="1"/>
  <c r="AW1578" i="6" s="1"/>
  <c r="AV1575" i="6"/>
  <c r="AW1575" i="6" s="1" a="1"/>
  <c r="AW1575" i="6" s="1"/>
  <c r="AX1575" i="6" s="1"/>
  <c r="AV1574" i="6"/>
  <c r="AW1574" i="6" s="1" a="1"/>
  <c r="AW1574" i="6" s="1"/>
  <c r="AX1574" i="6" s="1"/>
  <c r="AV1573" i="6"/>
  <c r="AW1573" i="6" s="1" a="1"/>
  <c r="AW1573" i="6" s="1"/>
  <c r="AX1573" i="6" s="1"/>
  <c r="AV1572" i="6"/>
  <c r="AW1572" i="6" s="1" a="1"/>
  <c r="AW1572" i="6" s="1"/>
  <c r="AV1571" i="6"/>
  <c r="AW1571" i="6" s="1" a="1"/>
  <c r="AW1571" i="6" s="1"/>
  <c r="AX1571" i="6" s="1"/>
  <c r="AV1076" i="6"/>
  <c r="AW1076" i="6" s="1" a="1"/>
  <c r="AW1076" i="6" s="1"/>
  <c r="AV1075" i="6"/>
  <c r="AW1075" i="6" s="1" a="1"/>
  <c r="AW1075" i="6" s="1"/>
  <c r="AV1074" i="6"/>
  <c r="AW1074" i="6" s="1" a="1"/>
  <c r="AW1074" i="6" s="1"/>
  <c r="AV1684" i="6"/>
  <c r="AW1684" i="6" s="1" a="1"/>
  <c r="AW1684" i="6" s="1"/>
  <c r="AX1684" i="6" s="1"/>
  <c r="AV1682" i="6"/>
  <c r="AW1682" i="6" s="1" a="1"/>
  <c r="AW1682" i="6" s="1"/>
  <c r="AX1682" i="6" s="1"/>
  <c r="AV1073" i="6"/>
  <c r="AW1073" i="6" s="1" a="1"/>
  <c r="AW1073" i="6" s="1"/>
  <c r="AX1073" i="6" s="1"/>
  <c r="AV1072" i="6"/>
  <c r="AW1072" i="6" s="1" a="1"/>
  <c r="AW1072" i="6" s="1"/>
  <c r="AV2835" i="6"/>
  <c r="AW2835" i="6" s="1" a="1"/>
  <c r="AW2835" i="6" s="1"/>
  <c r="AX2835" i="6" s="1"/>
  <c r="AV1071" i="6"/>
  <c r="AW1071" i="6" s="1" a="1"/>
  <c r="AW1071" i="6" s="1"/>
  <c r="AV1679" i="6"/>
  <c r="AW1679" i="6" s="1" a="1"/>
  <c r="AW1679" i="6" s="1"/>
  <c r="AV1070" i="6"/>
  <c r="AW1070" i="6" s="1" a="1"/>
  <c r="AW1070" i="6" s="1"/>
  <c r="AV1068" i="6"/>
  <c r="AW1068" i="6" s="1" a="1"/>
  <c r="AW1068" i="6" s="1"/>
  <c r="AX1068" i="6" s="1"/>
  <c r="AV1069" i="6"/>
  <c r="AW1069" i="6" s="1" a="1"/>
  <c r="AW1069" i="6" s="1"/>
  <c r="AX1069" i="6" s="1"/>
  <c r="AV1209" i="6"/>
  <c r="AW1209" i="6" s="1" a="1"/>
  <c r="AW1209" i="6" s="1"/>
  <c r="AX1209" i="6" s="1"/>
  <c r="AV1183" i="6"/>
  <c r="AW1183" i="6" s="1" a="1"/>
  <c r="AW1183" i="6" s="1"/>
  <c r="AV1769" i="6"/>
  <c r="AW1769" i="6" s="1" a="1"/>
  <c r="AW1769" i="6" s="1"/>
  <c r="AX1769" i="6" s="1"/>
  <c r="AV1182" i="6"/>
  <c r="AW1182" i="6" s="1" a="1"/>
  <c r="AW1182" i="6" s="1"/>
  <c r="AV1181" i="6"/>
  <c r="AW1181" i="6" s="1" a="1"/>
  <c r="AW1181" i="6" s="1"/>
  <c r="AV589" i="6"/>
  <c r="AW589" i="6" s="1" a="1"/>
  <c r="AW589" i="6" s="1"/>
  <c r="AV588" i="6"/>
  <c r="AW588" i="6" s="1" a="1"/>
  <c r="AW588" i="6" s="1"/>
  <c r="AX588" i="6" s="1"/>
  <c r="AV474" i="6"/>
  <c r="AW474" i="6" s="1" a="1"/>
  <c r="AW474" i="6" s="1"/>
  <c r="AX474" i="6" s="1"/>
  <c r="AV2522" i="6"/>
  <c r="AW2522" i="6" s="1" a="1"/>
  <c r="AW2522" i="6" s="1"/>
  <c r="AX2522" i="6" s="1"/>
  <c r="AV1749" i="6"/>
  <c r="AW1749" i="6" s="1" a="1"/>
  <c r="AW1749" i="6" s="1"/>
  <c r="AX1749" i="6" s="1"/>
  <c r="AV2161" i="6"/>
  <c r="AW2161" i="6" s="1" a="1"/>
  <c r="AW2161" i="6" s="1"/>
  <c r="AX2161" i="6" s="1"/>
  <c r="AV1742" i="6"/>
  <c r="AW1742" i="6" s="1" a="1"/>
  <c r="AW1742" i="6" s="1"/>
  <c r="AV1494" i="6"/>
  <c r="AW1494" i="6" s="1" a="1"/>
  <c r="AW1494" i="6" s="1"/>
  <c r="AV1180" i="6"/>
  <c r="AW1180" i="6" s="1" a="1"/>
  <c r="AW1180" i="6" s="1"/>
  <c r="AV535" i="6"/>
  <c r="AW535" i="6" s="1" a="1"/>
  <c r="AW535" i="6" s="1"/>
  <c r="AX535" i="6" s="1"/>
  <c r="AV482" i="6"/>
  <c r="AW482" i="6" s="1" a="1"/>
  <c r="AW482" i="6" s="1"/>
  <c r="AV857" i="6"/>
  <c r="AW857" i="6" s="1" a="1"/>
  <c r="AW857" i="6" s="1"/>
  <c r="AX857" i="6" s="1"/>
  <c r="AV1208" i="6"/>
  <c r="AW1208" i="6" s="1" a="1"/>
  <c r="AW1208" i="6" s="1"/>
  <c r="AV580" i="6"/>
  <c r="AW580" i="6" s="1" a="1"/>
  <c r="AW580" i="6" s="1"/>
  <c r="AV1179" i="6"/>
  <c r="AW1179" i="6" s="1" a="1"/>
  <c r="AW1179" i="6" s="1"/>
  <c r="AV1178" i="6"/>
  <c r="AW1178" i="6" s="1" a="1"/>
  <c r="AW1178" i="6" s="1"/>
  <c r="AV1177" i="6"/>
  <c r="AW1177" i="6" s="1" a="1"/>
  <c r="AW1177" i="6" s="1"/>
  <c r="AV568" i="6"/>
  <c r="AW568" i="6" s="1" a="1"/>
  <c r="AW568" i="6" s="1"/>
  <c r="AX568" i="6" s="1"/>
  <c r="AV481" i="6"/>
  <c r="AW481" i="6" s="1" a="1"/>
  <c r="AW481" i="6" s="1"/>
  <c r="AV480" i="6"/>
  <c r="AW480" i="6" s="1" a="1"/>
  <c r="AW480" i="6" s="1"/>
  <c r="AX480" i="6" s="1"/>
  <c r="AV2521" i="6"/>
  <c r="AW2521" i="6" s="1" a="1"/>
  <c r="AW2521" i="6" s="1"/>
  <c r="AV2271" i="6"/>
  <c r="AW2271" i="6" s="1" a="1"/>
  <c r="AW2271" i="6" s="1"/>
  <c r="AV1067" i="6"/>
  <c r="AW1067" i="6" s="1" a="1"/>
  <c r="AW1067" i="6" s="1"/>
  <c r="AV1176" i="6"/>
  <c r="AW1176" i="6" s="1" a="1"/>
  <c r="AW1176" i="6" s="1"/>
  <c r="AV587" i="6"/>
  <c r="AW587" i="6" s="1" a="1"/>
  <c r="AW587" i="6" s="1"/>
  <c r="AV567" i="6"/>
  <c r="AW567" i="6" s="1" a="1"/>
  <c r="AW567" i="6" s="1"/>
  <c r="AX567" i="6" s="1"/>
  <c r="AV479" i="6"/>
  <c r="AW479" i="6" s="1" a="1"/>
  <c r="AW479" i="6" s="1"/>
  <c r="AV2811" i="6"/>
  <c r="AW2811" i="6" s="1" a="1"/>
  <c r="AW2811" i="6" s="1"/>
  <c r="AX2811" i="6" s="1"/>
  <c r="AV2809" i="6"/>
  <c r="AW2809" i="6" s="1" a="1"/>
  <c r="AW2809" i="6" s="1"/>
  <c r="AV1743" i="6"/>
  <c r="AW1743" i="6" s="1" a="1"/>
  <c r="AW1743" i="6" s="1"/>
  <c r="AV1091" i="6"/>
  <c r="AW1091" i="6" s="1" a="1"/>
  <c r="AW1091" i="6" s="1"/>
  <c r="AV1057" i="6"/>
  <c r="AW1057" i="6" s="1" a="1"/>
  <c r="AW1057" i="6" s="1"/>
  <c r="AV1056" i="6"/>
  <c r="AW1056" i="6" s="1" a="1"/>
  <c r="AW1056" i="6" s="1"/>
  <c r="AV2668" i="6"/>
  <c r="AW2668" i="6" s="1" a="1"/>
  <c r="AW2668" i="6" s="1"/>
  <c r="AX2668" i="6" s="1"/>
  <c r="AV1092" i="6"/>
  <c r="AW1092" i="6" s="1" a="1"/>
  <c r="AW1092" i="6" s="1"/>
  <c r="AV578" i="6"/>
  <c r="AW578" i="6" s="1" a="1"/>
  <c r="AW578" i="6" s="1"/>
  <c r="AX578" i="6" s="1"/>
  <c r="AV1170" i="6"/>
  <c r="AW1170" i="6" s="1" a="1"/>
  <c r="AW1170" i="6" s="1"/>
  <c r="AV566" i="6"/>
  <c r="AW566" i="6" s="1" a="1"/>
  <c r="AW566" i="6" s="1"/>
  <c r="AV439" i="6"/>
  <c r="AW439" i="6" s="1" a="1"/>
  <c r="AW439" i="6" s="1"/>
  <c r="AV2814" i="6"/>
  <c r="AW2814" i="6" s="1" a="1"/>
  <c r="AW2814" i="6" s="1"/>
  <c r="AV1090" i="6"/>
  <c r="AW1090" i="6" s="1" a="1"/>
  <c r="AW1090" i="6" s="1"/>
  <c r="AV2156" i="6"/>
  <c r="AW2156" i="6" s="1" a="1"/>
  <c r="AW2156" i="6" s="1"/>
  <c r="AX2156" i="6" s="1"/>
  <c r="AV438" i="6"/>
  <c r="AW438" i="6" s="1" a="1"/>
  <c r="AW438" i="6" s="1"/>
  <c r="AV437" i="6"/>
  <c r="AW437" i="6" s="1" a="1"/>
  <c r="AW437" i="6" s="1"/>
  <c r="AX437" i="6" s="1"/>
  <c r="AV2667" i="6"/>
  <c r="AW2667" i="6" s="1" a="1"/>
  <c r="AW2667" i="6" s="1"/>
  <c r="AV2666" i="6"/>
  <c r="AW2666" i="6" s="1" a="1"/>
  <c r="AW2666" i="6" s="1"/>
  <c r="AV1055" i="6"/>
  <c r="AW1055" i="6" s="1" a="1"/>
  <c r="AW1055" i="6" s="1"/>
  <c r="AV2155" i="6"/>
  <c r="AW2155" i="6" s="1" a="1"/>
  <c r="AW2155" i="6" s="1"/>
  <c r="AV1089" i="6"/>
  <c r="AW1089" i="6" s="1" a="1"/>
  <c r="AW1089" i="6" s="1"/>
  <c r="AV1053" i="6"/>
  <c r="AW1053" i="6" s="1" a="1"/>
  <c r="AW1053" i="6" s="1"/>
  <c r="AX1053" i="6" s="1"/>
  <c r="AV2815" i="6"/>
  <c r="AW2815" i="6" s="1" a="1"/>
  <c r="AW2815" i="6" s="1"/>
  <c r="AV2154" i="6"/>
  <c r="AW2154" i="6" s="1" a="1"/>
  <c r="AW2154" i="6" s="1"/>
  <c r="AX2154" i="6" s="1"/>
  <c r="AV2152" i="6"/>
  <c r="AW2152" i="6" s="1" a="1"/>
  <c r="AW2152" i="6" s="1"/>
  <c r="AV1556" i="6"/>
  <c r="AW1556" i="6" s="1" a="1"/>
  <c r="AW1556" i="6" s="1"/>
  <c r="AV2665" i="6"/>
  <c r="AW2665" i="6" s="1" a="1"/>
  <c r="AW2665" i="6" s="1"/>
  <c r="AV2664" i="6"/>
  <c r="AW2664" i="6" s="1" a="1"/>
  <c r="AW2664" i="6" s="1"/>
  <c r="AV1054" i="6"/>
  <c r="AW1054" i="6" s="1" a="1"/>
  <c r="AW1054" i="6" s="1"/>
  <c r="AV1052" i="6"/>
  <c r="AW1052" i="6" s="1" a="1"/>
  <c r="AW1052" i="6" s="1"/>
  <c r="AX1052" i="6" s="1"/>
  <c r="AV1051" i="6"/>
  <c r="AW1051" i="6" s="1" a="1"/>
  <c r="AW1051" i="6" s="1"/>
  <c r="AV1088" i="6"/>
  <c r="AW1088" i="6" s="1" a="1"/>
  <c r="AW1088" i="6" s="1"/>
  <c r="AX1088" i="6" s="1"/>
  <c r="AV1555" i="6"/>
  <c r="AW1555" i="6" s="1" a="1"/>
  <c r="AW1555" i="6" s="1"/>
  <c r="AV1087" i="6"/>
  <c r="AW1087" i="6" s="1" a="1"/>
  <c r="AW1087" i="6" s="1"/>
  <c r="AV2810" i="6"/>
  <c r="AW2810" i="6" s="1" a="1"/>
  <c r="AW2810" i="6" s="1"/>
  <c r="AV2806" i="6"/>
  <c r="AW2806" i="6" s="1" a="1"/>
  <c r="AW2806" i="6" s="1"/>
  <c r="AV2805" i="6"/>
  <c r="AW2805" i="6" s="1" a="1"/>
  <c r="AW2805" i="6" s="1"/>
  <c r="AV1086" i="6"/>
  <c r="AW1086" i="6" s="1" a="1"/>
  <c r="AW1086" i="6" s="1"/>
  <c r="AX1086" i="6" s="1"/>
  <c r="AV1085" i="6"/>
  <c r="AW1085" i="6" s="1" a="1"/>
  <c r="AW1085" i="6" s="1"/>
  <c r="AV330" i="6"/>
  <c r="AW330" i="6" s="1" a="1"/>
  <c r="AW330" i="6" s="1"/>
  <c r="AX330" i="6" s="1"/>
  <c r="AV436" i="6"/>
  <c r="AW436" i="6" s="1" a="1"/>
  <c r="AW436" i="6" s="1"/>
  <c r="AV435" i="6"/>
  <c r="AW435" i="6" s="1" a="1"/>
  <c r="AW435" i="6" s="1"/>
  <c r="AV473" i="6"/>
  <c r="AW473" i="6" s="1" a="1"/>
  <c r="AW473" i="6" s="1"/>
  <c r="AV2804" i="6"/>
  <c r="AW2804" i="6" s="1" a="1"/>
  <c r="AW2804" i="6" s="1"/>
  <c r="AV2086" i="6"/>
  <c r="AW2086" i="6" s="1" a="1"/>
  <c r="AW2086" i="6" s="1"/>
  <c r="AV2663" i="6"/>
  <c r="AW2663" i="6" s="1" a="1"/>
  <c r="AW2663" i="6" s="1"/>
  <c r="AX2663" i="6" s="1"/>
  <c r="AV2584" i="6"/>
  <c r="AW2584" i="6" s="1" a="1"/>
  <c r="AW2584" i="6" s="1"/>
  <c r="AV2583" i="6"/>
  <c r="AW2583" i="6" s="1" a="1"/>
  <c r="AW2583" i="6" s="1"/>
  <c r="AX2583" i="6" s="1"/>
  <c r="AV2582" i="6"/>
  <c r="AW2582" i="6" s="1" a="1"/>
  <c r="AW2582" i="6" s="1"/>
  <c r="AV577" i="6"/>
  <c r="AW577" i="6" s="1" a="1"/>
  <c r="AW577" i="6" s="1"/>
  <c r="AV576" i="6"/>
  <c r="AW576" i="6" s="1" a="1"/>
  <c r="AW576" i="6" s="1"/>
  <c r="AV575" i="6"/>
  <c r="AW575" i="6" s="1" a="1"/>
  <c r="AW575" i="6" s="1"/>
  <c r="AV1207" i="6"/>
  <c r="AW1207" i="6" s="1" a="1"/>
  <c r="AW1207" i="6" s="1"/>
  <c r="AV432" i="6"/>
  <c r="AW432" i="6" s="1" a="1"/>
  <c r="AW432" i="6" s="1"/>
  <c r="AV431" i="6"/>
  <c r="AW431" i="6" s="1" a="1"/>
  <c r="AW431" i="6" s="1"/>
  <c r="AV430" i="6"/>
  <c r="AW430" i="6" s="1" a="1"/>
  <c r="AW430" i="6" s="1"/>
  <c r="AY430" i="6" s="1"/>
  <c r="BC430" i="6" s="1"/>
  <c r="AV429" i="6"/>
  <c r="AW429" i="6" s="1" a="1"/>
  <c r="AW429" i="6" s="1"/>
  <c r="AY429" i="6" s="1"/>
  <c r="BC429" i="6" s="1"/>
  <c r="AV428" i="6"/>
  <c r="AW428" i="6" s="1" a="1"/>
  <c r="AW428" i="6" s="1"/>
  <c r="AV427" i="6"/>
  <c r="AW427" i="6" s="1" a="1"/>
  <c r="AW427" i="6" s="1"/>
  <c r="AV1169" i="6"/>
  <c r="AW1169" i="6" s="1" a="1"/>
  <c r="AW1169" i="6" s="1"/>
  <c r="AV1168" i="6"/>
  <c r="AW1168" i="6" s="1" a="1"/>
  <c r="AW1168" i="6" s="1"/>
  <c r="AY1168" i="6" s="1"/>
  <c r="BC1168" i="6" s="1"/>
  <c r="AV1167" i="6"/>
  <c r="AW1167" i="6" s="1" a="1"/>
  <c r="AW1167" i="6" s="1"/>
  <c r="AY1167" i="6" s="1"/>
  <c r="BC1167" i="6" s="1"/>
  <c r="AV1166" i="6"/>
  <c r="AW1166" i="6" s="1" a="1"/>
  <c r="AW1166" i="6" s="1"/>
  <c r="AV1768" i="6"/>
  <c r="AW1768" i="6" s="1" a="1"/>
  <c r="AW1768" i="6" s="1"/>
  <c r="AV1165" i="6"/>
  <c r="AW1165" i="6" s="1" a="1"/>
  <c r="AW1165" i="6" s="1"/>
  <c r="AV1164" i="6"/>
  <c r="AW1164" i="6" s="1" a="1"/>
  <c r="AW1164" i="6" s="1"/>
  <c r="AV1163" i="6"/>
  <c r="AW1163" i="6" s="1" a="1"/>
  <c r="AW1163" i="6" s="1"/>
  <c r="BA1163" i="6" s="1"/>
  <c r="AZ1163" i="6" s="1"/>
  <c r="AV565" i="6"/>
  <c r="AW565" i="6" s="1" a="1"/>
  <c r="AW565" i="6" s="1"/>
  <c r="AV550" i="6"/>
  <c r="AW550" i="6" s="1" a="1"/>
  <c r="AW550" i="6" s="1"/>
  <c r="AX550" i="6" s="1"/>
  <c r="AV564" i="6"/>
  <c r="AW564" i="6" s="1" a="1"/>
  <c r="AW564" i="6" s="1"/>
  <c r="BA564" i="6" s="1"/>
  <c r="AZ564" i="6" s="1"/>
  <c r="AV586" i="6"/>
  <c r="AW586" i="6" s="1" a="1"/>
  <c r="AW586" i="6" s="1"/>
  <c r="BA586" i="6" s="1"/>
  <c r="AZ586" i="6" s="1"/>
  <c r="AV585" i="6"/>
  <c r="AW585" i="6" s="1" a="1"/>
  <c r="AW585" i="6" s="1"/>
  <c r="BA585" i="6" s="1"/>
  <c r="AZ585" i="6" s="1"/>
  <c r="AV505" i="6"/>
  <c r="AW505" i="6" s="1" a="1"/>
  <c r="AW505" i="6" s="1"/>
  <c r="AV539" i="6"/>
  <c r="AW539" i="6" s="1" a="1"/>
  <c r="AW539" i="6" s="1"/>
  <c r="AY539" i="6" s="1"/>
  <c r="BC539" i="6" s="1"/>
  <c r="AV563" i="6"/>
  <c r="AW563" i="6" s="1" a="1"/>
  <c r="AW563" i="6" s="1"/>
  <c r="AY563" i="6" s="1"/>
  <c r="BC563" i="6" s="1"/>
  <c r="AV562" i="6"/>
  <c r="AW562" i="6" s="1" a="1"/>
  <c r="AW562" i="6" s="1"/>
  <c r="AV1029" i="6"/>
  <c r="AW1029" i="6" s="1" a="1"/>
  <c r="AW1029" i="6" s="1"/>
  <c r="AX1029" i="6" s="1"/>
  <c r="AV1028" i="6"/>
  <c r="AW1028" i="6" s="1" a="1"/>
  <c r="AW1028" i="6" s="1"/>
  <c r="BA1028" i="6" s="1"/>
  <c r="AZ1028" i="6" s="1"/>
  <c r="AV1027" i="6"/>
  <c r="AW1027" i="6" s="1" a="1"/>
  <c r="AW1027" i="6" s="1"/>
  <c r="AV1026" i="6"/>
  <c r="AW1026" i="6" s="1" a="1"/>
  <c r="AW1026" i="6" s="1"/>
  <c r="AV1025" i="6"/>
  <c r="AW1025" i="6" s="1" a="1"/>
  <c r="AW1025" i="6" s="1"/>
  <c r="AV1024" i="6"/>
  <c r="AW1024" i="6" s="1" a="1"/>
  <c r="AW1024" i="6" s="1"/>
  <c r="AV1023" i="6"/>
  <c r="AW1023" i="6" s="1" a="1"/>
  <c r="AW1023" i="6" s="1"/>
  <c r="AX1023" i="6" s="1"/>
  <c r="AV1022" i="6"/>
  <c r="AW1022" i="6" s="1" a="1"/>
  <c r="AW1022" i="6" s="1"/>
  <c r="AV1021" i="6"/>
  <c r="AW1021" i="6" s="1" a="1"/>
  <c r="AW1021" i="6" s="1"/>
  <c r="AX1021" i="6" s="1"/>
  <c r="AV1020" i="6"/>
  <c r="AW1020" i="6" s="1" a="1"/>
  <c r="AW1020" i="6" s="1"/>
  <c r="BA1020" i="6" s="1"/>
  <c r="AZ1020" i="6" s="1"/>
  <c r="AV1019" i="6"/>
  <c r="AW1019" i="6" s="1" a="1"/>
  <c r="AW1019" i="6" s="1"/>
  <c r="AV1018" i="6"/>
  <c r="AW1018" i="6" s="1" a="1"/>
  <c r="AW1018" i="6" s="1"/>
  <c r="BA1018" i="6" s="1"/>
  <c r="AZ1018" i="6" s="1"/>
  <c r="AV1017" i="6"/>
  <c r="AW1017" i="6" s="1" a="1"/>
  <c r="AW1017" i="6" s="1"/>
  <c r="AV1016" i="6"/>
  <c r="AW1016" i="6" s="1" a="1"/>
  <c r="AW1016" i="6" s="1"/>
  <c r="AY1016" i="6" s="1"/>
  <c r="BC1016" i="6" s="1"/>
  <c r="AV1015" i="6"/>
  <c r="AW1015" i="6" s="1" a="1"/>
  <c r="AW1015" i="6" s="1"/>
  <c r="AY1015" i="6" s="1"/>
  <c r="BC1015" i="6" s="1"/>
  <c r="AV1014" i="6"/>
  <c r="AW1014" i="6" s="1" a="1"/>
  <c r="AW1014" i="6" s="1"/>
  <c r="AV1013" i="6"/>
  <c r="AW1013" i="6" s="1" a="1"/>
  <c r="AW1013" i="6" s="1"/>
  <c r="AX1013" i="6" s="1"/>
  <c r="AV1012" i="6"/>
  <c r="AW1012" i="6" s="1" a="1"/>
  <c r="AW1012" i="6" s="1"/>
  <c r="BA1012" i="6" s="1"/>
  <c r="AZ1012" i="6" s="1"/>
  <c r="AV1011" i="6"/>
  <c r="AW1011" i="6" s="1" a="1"/>
  <c r="AW1011" i="6" s="1"/>
  <c r="AX1011" i="6" s="1"/>
  <c r="AV1010" i="6"/>
  <c r="AW1010" i="6" s="1" a="1"/>
  <c r="AW1010" i="6" s="1"/>
  <c r="AV1009" i="6"/>
  <c r="AW1009" i="6" s="1" a="1"/>
  <c r="AW1009" i="6" s="1"/>
  <c r="AV1008" i="6"/>
  <c r="AW1008" i="6" s="1" a="1"/>
  <c r="AW1008" i="6" s="1"/>
  <c r="AY1008" i="6" s="1"/>
  <c r="BC1008" i="6" s="1"/>
  <c r="AV1007" i="6"/>
  <c r="AW1007" i="6" s="1" a="1"/>
  <c r="AW1007" i="6" s="1"/>
  <c r="AV1006" i="6"/>
  <c r="AW1006" i="6" s="1" a="1"/>
  <c r="AW1006" i="6" s="1"/>
  <c r="AV1005" i="6"/>
  <c r="AW1005" i="6" s="1" a="1"/>
  <c r="AW1005" i="6" s="1"/>
  <c r="AX1005" i="6" s="1"/>
  <c r="AV1004" i="6"/>
  <c r="AW1004" i="6" s="1" a="1"/>
  <c r="AW1004" i="6" s="1"/>
  <c r="AX1004" i="6" s="1"/>
  <c r="AV1003" i="6"/>
  <c r="AW1003" i="6" s="1" a="1"/>
  <c r="AW1003" i="6" s="1"/>
  <c r="AV1002" i="6"/>
  <c r="AW1002" i="6" s="1" a="1"/>
  <c r="AW1002" i="6" s="1"/>
  <c r="BA1002" i="6" s="1"/>
  <c r="AZ1002" i="6" s="1"/>
  <c r="AV1001" i="6"/>
  <c r="AW1001" i="6" s="1" a="1"/>
  <c r="AW1001" i="6" s="1"/>
  <c r="AV1000" i="6"/>
  <c r="AW1000" i="6" s="1" a="1"/>
  <c r="AW1000" i="6" s="1"/>
  <c r="AY1000" i="6" s="1"/>
  <c r="BC1000" i="6" s="1"/>
  <c r="AV999" i="6"/>
  <c r="AW999" i="6" s="1" a="1"/>
  <c r="AW999" i="6" s="1"/>
  <c r="AY999" i="6" s="1"/>
  <c r="BC999" i="6" s="1"/>
  <c r="AV998" i="6"/>
  <c r="AW998" i="6" s="1" a="1"/>
  <c r="AW998" i="6" s="1"/>
  <c r="AV997" i="6"/>
  <c r="AW997" i="6" s="1" a="1"/>
  <c r="AW997" i="6" s="1"/>
  <c r="AV996" i="6"/>
  <c r="AW996" i="6" s="1" a="1"/>
  <c r="AW996" i="6" s="1"/>
  <c r="AV995" i="6"/>
  <c r="AW995" i="6" s="1" a="1"/>
  <c r="AW995" i="6" s="1"/>
  <c r="AV994" i="6"/>
  <c r="AW994" i="6" s="1" a="1"/>
  <c r="AW994" i="6" s="1"/>
  <c r="AY994" i="6" s="1"/>
  <c r="BC994" i="6" s="1"/>
  <c r="AV1613" i="6"/>
  <c r="AW1613" i="6" s="1" a="1"/>
  <c r="AW1613" i="6" s="1"/>
  <c r="AV993" i="6"/>
  <c r="AW993" i="6" s="1" a="1"/>
  <c r="AW993" i="6" s="1"/>
  <c r="AY993" i="6" s="1"/>
  <c r="BC993" i="6" s="1"/>
  <c r="AV992" i="6"/>
  <c r="AW992" i="6" s="1" a="1"/>
  <c r="AW992" i="6" s="1"/>
  <c r="AV991" i="6"/>
  <c r="AW991" i="6" s="1" a="1"/>
  <c r="AW991" i="6" s="1"/>
  <c r="AY991" i="6" s="1"/>
  <c r="BC991" i="6" s="1"/>
  <c r="AV990" i="6"/>
  <c r="AW990" i="6" s="1" a="1"/>
  <c r="AW990" i="6" s="1"/>
  <c r="AV989" i="6"/>
  <c r="AW989" i="6" s="1" a="1"/>
  <c r="AW989" i="6" s="1"/>
  <c r="AY989" i="6" s="1"/>
  <c r="BC989" i="6" s="1"/>
  <c r="AV988" i="6"/>
  <c r="AW988" i="6" s="1" a="1"/>
  <c r="AW988" i="6" s="1"/>
  <c r="AY988" i="6" s="1"/>
  <c r="BC988" i="6" s="1"/>
  <c r="AV987" i="6"/>
  <c r="AW987" i="6" s="1" a="1"/>
  <c r="AW987" i="6" s="1"/>
  <c r="AY987" i="6" s="1"/>
  <c r="BC987" i="6" s="1"/>
  <c r="AV986" i="6"/>
  <c r="AW986" i="6" s="1" a="1"/>
  <c r="AW986" i="6" s="1"/>
  <c r="AV985" i="6"/>
  <c r="AW985" i="6" s="1" a="1"/>
  <c r="AW985" i="6" s="1"/>
  <c r="AV2475" i="6"/>
  <c r="AW2475" i="6" s="1" a="1"/>
  <c r="AW2475" i="6" s="1"/>
  <c r="AY2475" i="6" s="1"/>
  <c r="BC2475" i="6" s="1"/>
  <c r="AV1115" i="6"/>
  <c r="AW1115" i="6" s="1" a="1"/>
  <c r="AW1115" i="6" s="1"/>
  <c r="AV326" i="6"/>
  <c r="AW326" i="6" s="1" a="1"/>
  <c r="AW326" i="6" s="1"/>
  <c r="AV2133" i="6"/>
  <c r="AW2133" i="6" s="1" a="1"/>
  <c r="AW2133" i="6" s="1"/>
  <c r="AY2133" i="6" s="1"/>
  <c r="BC2133" i="6" s="1"/>
  <c r="AV1519" i="6"/>
  <c r="AW1519" i="6" s="1" a="1"/>
  <c r="AW1519" i="6" s="1"/>
  <c r="AY1519" i="6" s="1"/>
  <c r="BC1519" i="6" s="1"/>
  <c r="AV1522" i="6"/>
  <c r="AW1522" i="6" s="1" a="1"/>
  <c r="AW1522" i="6" s="1"/>
  <c r="AV1520" i="6"/>
  <c r="AW1520" i="6" s="1" a="1"/>
  <c r="AW1520" i="6" s="1"/>
  <c r="AY1520" i="6" s="1"/>
  <c r="BC1520" i="6" s="1"/>
  <c r="AV1518" i="6"/>
  <c r="AW1518" i="6" s="1" a="1"/>
  <c r="AW1518" i="6" s="1"/>
  <c r="AV1521" i="6"/>
  <c r="AW1521" i="6" s="1" a="1"/>
  <c r="AW1521" i="6" s="1"/>
  <c r="AV2474" i="6"/>
  <c r="AW2474" i="6" s="1" a="1"/>
  <c r="AW2474" i="6" s="1"/>
  <c r="AV2473" i="6"/>
  <c r="AW2473" i="6" s="1" a="1"/>
  <c r="AW2473" i="6" s="1"/>
  <c r="AV1974" i="6"/>
  <c r="AW1974" i="6" s="1" a="1"/>
  <c r="AW1974" i="6" s="1"/>
  <c r="AX1974" i="6" s="1"/>
  <c r="AV1973" i="6"/>
  <c r="AW1973" i="6" s="1" a="1"/>
  <c r="AW1973" i="6" s="1"/>
  <c r="AV1972" i="6"/>
  <c r="AW1972" i="6" s="1" a="1"/>
  <c r="AW1972" i="6" s="1"/>
  <c r="AX1972" i="6" s="1"/>
  <c r="AV1971" i="6"/>
  <c r="AW1971" i="6" s="1" a="1"/>
  <c r="AW1971" i="6" s="1"/>
  <c r="AX1971" i="6" s="1"/>
  <c r="AV1970" i="6"/>
  <c r="AW1970" i="6" s="1" a="1"/>
  <c r="AW1970" i="6" s="1"/>
  <c r="AV1969" i="6"/>
  <c r="AW1969" i="6" s="1" a="1"/>
  <c r="AW1969" i="6" s="1"/>
  <c r="AV2198" i="6"/>
  <c r="AW2198" i="6" s="1" a="1"/>
  <c r="AW2198" i="6" s="1"/>
  <c r="AV984" i="6"/>
  <c r="AW984" i="6" s="1" a="1"/>
  <c r="AW984" i="6" s="1"/>
  <c r="AV983" i="6"/>
  <c r="AW983" i="6" s="1" a="1"/>
  <c r="AW983" i="6" s="1"/>
  <c r="AV981" i="6"/>
  <c r="AW981" i="6" s="1" a="1"/>
  <c r="AW981" i="6" s="1"/>
  <c r="AV2132" i="6"/>
  <c r="AW2132" i="6" s="1" a="1"/>
  <c r="AW2132" i="6" s="1"/>
  <c r="AV2131" i="6"/>
  <c r="AW2131" i="6" s="1" a="1"/>
  <c r="AW2131" i="6" s="1"/>
  <c r="AV2130" i="6"/>
  <c r="AW2130" i="6" s="1" a="1"/>
  <c r="AW2130" i="6" s="1"/>
  <c r="AV2754" i="6"/>
  <c r="AW2754" i="6" s="1" a="1"/>
  <c r="AW2754" i="6" s="1"/>
  <c r="AV2698" i="6"/>
  <c r="AW2698" i="6" s="1" a="1"/>
  <c r="AW2698" i="6" s="1"/>
  <c r="AV2702" i="6"/>
  <c r="AW2702" i="6" s="1" a="1"/>
  <c r="AW2702" i="6" s="1"/>
  <c r="AV2279" i="6"/>
  <c r="AW2279" i="6" s="1" a="1"/>
  <c r="AW2279" i="6" s="1"/>
  <c r="AV1147" i="6"/>
  <c r="AW1147" i="6" s="1" a="1"/>
  <c r="AW1147" i="6" s="1"/>
  <c r="AV1146" i="6"/>
  <c r="AW1146" i="6" s="1" a="1"/>
  <c r="AW1146" i="6" s="1"/>
  <c r="AV1127" i="6"/>
  <c r="AW1127" i="6" s="1" a="1"/>
  <c r="AW1127" i="6" s="1"/>
  <c r="AV1126" i="6"/>
  <c r="AW1126" i="6" s="1" a="1"/>
  <c r="AW1126" i="6" s="1"/>
  <c r="AV1760" i="6"/>
  <c r="AW1760" i="6" s="1" a="1"/>
  <c r="AW1760" i="6" s="1"/>
  <c r="AV365" i="6"/>
  <c r="AW365" i="6" s="1" a="1"/>
  <c r="AW365" i="6" s="1"/>
  <c r="AV1706" i="6"/>
  <c r="AW1706" i="6" s="1" a="1"/>
  <c r="AW1706" i="6" s="1"/>
  <c r="AV1084" i="6"/>
  <c r="AW1084" i="6" s="1" a="1"/>
  <c r="AW1084" i="6" s="1"/>
  <c r="AV1517" i="6"/>
  <c r="AW1517" i="6" s="1" a="1"/>
  <c r="AW1517" i="6" s="1"/>
  <c r="AV2197" i="6"/>
  <c r="AW2197" i="6" s="1" a="1"/>
  <c r="AW2197" i="6" s="1"/>
  <c r="AV2196" i="6"/>
  <c r="AW2196" i="6" s="1" a="1"/>
  <c r="AW2196" i="6" s="1"/>
  <c r="AV1968" i="6"/>
  <c r="AW1968" i="6" s="1" a="1"/>
  <c r="AW1968" i="6" s="1"/>
  <c r="AV982" i="6"/>
  <c r="AW982" i="6" s="1" a="1"/>
  <c r="AW982" i="6" s="1"/>
  <c r="AV2129" i="6"/>
  <c r="AW2129" i="6" s="1" a="1"/>
  <c r="AW2129" i="6" s="1"/>
  <c r="AV1515" i="6"/>
  <c r="AW1515" i="6" s="1" a="1"/>
  <c r="AW1515" i="6" s="1"/>
  <c r="AV1967" i="6"/>
  <c r="AW1967" i="6" s="1" a="1"/>
  <c r="AW1967" i="6" s="1"/>
  <c r="AV980" i="6"/>
  <c r="AW980" i="6" s="1" a="1"/>
  <c r="AW980" i="6" s="1"/>
  <c r="AV1514" i="6"/>
  <c r="AW1514" i="6" s="1" a="1"/>
  <c r="AW1514" i="6" s="1"/>
  <c r="AV325" i="6"/>
  <c r="AW325" i="6" s="1" a="1"/>
  <c r="AW325" i="6" s="1"/>
  <c r="AV2128" i="6"/>
  <c r="AW2128" i="6" s="1" a="1"/>
  <c r="AW2128" i="6" s="1"/>
  <c r="AV1513" i="6"/>
  <c r="AW1513" i="6" s="1" a="1"/>
  <c r="AW1513" i="6" s="1"/>
  <c r="AV979" i="6"/>
  <c r="AW979" i="6" s="1" a="1"/>
  <c r="AW979" i="6" s="1"/>
  <c r="AV364" i="6"/>
  <c r="AW364" i="6" s="1" a="1"/>
  <c r="AW364" i="6" s="1"/>
  <c r="AV1512" i="6"/>
  <c r="AW1512" i="6" s="1" a="1"/>
  <c r="AW1512" i="6" s="1"/>
  <c r="AV1966" i="6"/>
  <c r="AW1966" i="6" s="1" a="1"/>
  <c r="AW1966" i="6" s="1"/>
  <c r="AV978" i="6"/>
  <c r="AW978" i="6" s="1" a="1"/>
  <c r="AW978" i="6" s="1"/>
  <c r="AV2278" i="6"/>
  <c r="AW2278" i="6" s="1" a="1"/>
  <c r="AW2278" i="6" s="1"/>
  <c r="AV485" i="6"/>
  <c r="AW485" i="6" s="1" a="1"/>
  <c r="AW485" i="6" s="1"/>
  <c r="AV2277" i="6"/>
  <c r="AW2277" i="6" s="1" a="1"/>
  <c r="AW2277" i="6" s="1"/>
  <c r="AV531" i="6"/>
  <c r="AW531" i="6" s="1" a="1"/>
  <c r="AW531" i="6" s="1"/>
  <c r="AV530" i="6"/>
  <c r="AW530" i="6" s="1" a="1"/>
  <c r="AW530" i="6" s="1"/>
  <c r="AV2091" i="6"/>
  <c r="AW2091" i="6" s="1" a="1"/>
  <c r="AW2091" i="6" s="1"/>
  <c r="AV1260" i="6"/>
  <c r="AW1260" i="6" s="1" a="1"/>
  <c r="AW1260" i="6" s="1"/>
  <c r="AV363" i="6"/>
  <c r="AW363" i="6" s="1" a="1"/>
  <c r="AW363" i="6" s="1"/>
  <c r="AV2759" i="6"/>
  <c r="AW2759" i="6" s="1" a="1"/>
  <c r="AW2759" i="6" s="1"/>
  <c r="AV1965" i="6"/>
  <c r="AW1965" i="6" s="1" a="1"/>
  <c r="AW1965" i="6" s="1"/>
  <c r="AV1125" i="6"/>
  <c r="AW1125" i="6" s="1" a="1"/>
  <c r="AW1125" i="6" s="1"/>
  <c r="AV2127" i="6"/>
  <c r="AW2127" i="6" s="1" a="1"/>
  <c r="AW2127" i="6" s="1"/>
  <c r="AV2420" i="6"/>
  <c r="AW2420" i="6" s="1" a="1"/>
  <c r="AW2420" i="6" s="1"/>
  <c r="AV323" i="6"/>
  <c r="AW323" i="6" s="1" a="1"/>
  <c r="AW323" i="6" s="1"/>
  <c r="AV2126" i="6"/>
  <c r="AW2126" i="6" s="1" a="1"/>
  <c r="AW2126" i="6" s="1"/>
  <c r="AV977" i="6"/>
  <c r="AW977" i="6" s="1" a="1"/>
  <c r="AW977" i="6" s="1"/>
  <c r="AV401" i="6"/>
  <c r="AW401" i="6" s="1" a="1"/>
  <c r="AW401" i="6" s="1"/>
  <c r="AV2419" i="6"/>
  <c r="AW2419" i="6" s="1" a="1"/>
  <c r="AW2419" i="6" s="1"/>
  <c r="AV299" i="6"/>
  <c r="AW299" i="6" s="1" a="1"/>
  <c r="AW299" i="6" s="1"/>
  <c r="AV1741" i="6"/>
  <c r="AW1741" i="6" s="1" a="1"/>
  <c r="AW1741" i="6" s="1"/>
  <c r="AV324" i="6"/>
  <c r="AW324" i="6" s="1" a="1"/>
  <c r="AW324" i="6" s="1"/>
  <c r="AV1878" i="6"/>
  <c r="AW1878" i="6" s="1" a="1"/>
  <c r="AW1878" i="6" s="1"/>
  <c r="AV400" i="6"/>
  <c r="AW400" i="6" s="1" a="1"/>
  <c r="AW400" i="6" s="1"/>
  <c r="AV2416" i="6"/>
  <c r="AW2416" i="6" s="1" a="1"/>
  <c r="AW2416" i="6" s="1"/>
  <c r="AV2061" i="6"/>
  <c r="AW2061" i="6" s="1" a="1"/>
  <c r="AW2061" i="6" s="1"/>
  <c r="AV2124" i="6"/>
  <c r="AW2124" i="6" s="1" a="1"/>
  <c r="AW2124" i="6" s="1"/>
  <c r="AV322" i="6"/>
  <c r="AW322" i="6" s="1" a="1"/>
  <c r="AW322" i="6" s="1"/>
  <c r="AV321" i="6"/>
  <c r="AW321" i="6" s="1" a="1"/>
  <c r="AW321" i="6" s="1"/>
  <c r="AV320" i="6"/>
  <c r="AW320" i="6" s="1" a="1"/>
  <c r="AW320" i="6" s="1"/>
  <c r="AV319" i="6"/>
  <c r="AW319" i="6" s="1" a="1"/>
  <c r="AW319" i="6" s="1"/>
  <c r="AV318" i="6"/>
  <c r="AW318" i="6" s="1" a="1"/>
  <c r="AW318" i="6" s="1"/>
  <c r="AV1925" i="6"/>
  <c r="AW1925" i="6" s="1" a="1"/>
  <c r="AW1925" i="6" s="1"/>
  <c r="AV1924" i="6"/>
  <c r="AW1924" i="6" s="1" a="1"/>
  <c r="AW1924" i="6" s="1"/>
  <c r="AV1923" i="6"/>
  <c r="AW1923" i="6" s="1" a="1"/>
  <c r="AW1923" i="6" s="1"/>
  <c r="AV1511" i="6"/>
  <c r="AW1511" i="6" s="1" a="1"/>
  <c r="AW1511" i="6" s="1"/>
  <c r="AV1510" i="6"/>
  <c r="AW1510" i="6" s="1" a="1"/>
  <c r="AW1510" i="6" s="1"/>
  <c r="AV1509" i="6"/>
  <c r="AW1509" i="6" s="1" a="1"/>
  <c r="AW1509" i="6" s="1"/>
  <c r="AV1964" i="6"/>
  <c r="AW1964" i="6" s="1" a="1"/>
  <c r="AW1964" i="6" s="1"/>
  <c r="AV1218" i="6"/>
  <c r="AW1218" i="6" s="1" a="1"/>
  <c r="AW1218" i="6" s="1"/>
  <c r="AV1217" i="6"/>
  <c r="AW1217" i="6" s="1" a="1"/>
  <c r="AW1217" i="6" s="1"/>
  <c r="AV1216" i="6"/>
  <c r="AW1216" i="6" s="1" a="1"/>
  <c r="AW1216" i="6" s="1"/>
  <c r="AV1215" i="6"/>
  <c r="AW1215" i="6" s="1" a="1"/>
  <c r="AW1215" i="6" s="1"/>
  <c r="AV1214" i="6"/>
  <c r="AW1214" i="6" s="1" a="1"/>
  <c r="AW1214" i="6" s="1"/>
  <c r="AV1193" i="6"/>
  <c r="AW1193" i="6" s="1" a="1"/>
  <c r="AW1193" i="6" s="1"/>
  <c r="AV1192" i="6"/>
  <c r="AW1192" i="6" s="1" a="1"/>
  <c r="AW1192" i="6" s="1"/>
  <c r="AV1191" i="6"/>
  <c r="AW1191" i="6" s="1" a="1"/>
  <c r="AW1191" i="6" s="1"/>
  <c r="AV1190" i="6"/>
  <c r="AW1190" i="6" s="1" a="1"/>
  <c r="AW1190" i="6" s="1"/>
  <c r="AV1189" i="6"/>
  <c r="AW1189" i="6" s="1" a="1"/>
  <c r="AW1189" i="6" s="1"/>
  <c r="AV1188" i="6"/>
  <c r="AW1188" i="6" s="1" a="1"/>
  <c r="AW1188" i="6" s="1"/>
  <c r="AV556" i="6"/>
  <c r="AW556" i="6" s="1" a="1"/>
  <c r="AW556" i="6" s="1"/>
  <c r="AV555" i="6"/>
  <c r="AW555" i="6" s="1" a="1"/>
  <c r="AW555" i="6" s="1"/>
  <c r="AV554" i="6"/>
  <c r="AW554" i="6" s="1" a="1"/>
  <c r="AW554" i="6" s="1"/>
  <c r="AV541" i="6"/>
  <c r="AW541" i="6" s="1" a="1"/>
  <c r="AW541" i="6" s="1"/>
  <c r="AV540" i="6"/>
  <c r="AW540" i="6" s="1" a="1"/>
  <c r="AW540" i="6" s="1"/>
  <c r="AV510" i="6"/>
  <c r="AW510" i="6" s="1" a="1"/>
  <c r="AW510" i="6" s="1"/>
  <c r="AV509" i="6"/>
  <c r="AW509" i="6" s="1" a="1"/>
  <c r="AW509" i="6" s="1"/>
  <c r="AV508" i="6"/>
  <c r="AW508" i="6" s="1" a="1"/>
  <c r="AW508" i="6" s="1"/>
  <c r="AV553" i="6"/>
  <c r="AW553" i="6" s="1" a="1"/>
  <c r="AW553" i="6" s="1"/>
  <c r="AV507" i="6"/>
  <c r="AW507" i="6" s="1" a="1"/>
  <c r="AW507" i="6" s="1"/>
  <c r="AV454" i="6"/>
  <c r="AW454" i="6" s="1" a="1"/>
  <c r="AW454" i="6" s="1"/>
  <c r="AV453" i="6"/>
  <c r="AW453" i="6" s="1" a="1"/>
  <c r="AW453" i="6" s="1"/>
  <c r="AV452" i="6"/>
  <c r="AW452" i="6" s="1" a="1"/>
  <c r="AW452" i="6" s="1"/>
  <c r="AV451" i="6"/>
  <c r="AW451" i="6" s="1" a="1"/>
  <c r="AW451" i="6" s="1"/>
  <c r="AV450" i="6"/>
  <c r="AW450" i="6" s="1" a="1"/>
  <c r="AW450" i="6" s="1"/>
  <c r="AV449" i="6"/>
  <c r="AW449" i="6" s="1" a="1"/>
  <c r="AW449" i="6" s="1"/>
  <c r="AV448" i="6"/>
  <c r="AW448" i="6" s="1" a="1"/>
  <c r="AW448" i="6" s="1"/>
  <c r="AV447" i="6"/>
  <c r="AW447" i="6" s="1" a="1"/>
  <c r="AW447" i="6" s="1"/>
  <c r="AV446" i="6"/>
  <c r="AW446" i="6" s="1" a="1"/>
  <c r="AW446" i="6" s="1"/>
  <c r="AV1129" i="6"/>
  <c r="AW1129" i="6" s="1" a="1"/>
  <c r="AW1129" i="6" s="1"/>
  <c r="AV1128" i="6"/>
  <c r="AW1128" i="6" s="1" a="1"/>
  <c r="AW1128" i="6" s="1"/>
  <c r="AV476" i="6"/>
  <c r="AW476" i="6" s="1" a="1"/>
  <c r="AW476" i="6" s="1"/>
  <c r="AV414" i="6"/>
  <c r="AW414" i="6" s="1" a="1"/>
  <c r="AW414" i="6" s="1"/>
  <c r="AV413" i="6"/>
  <c r="AW413" i="6" s="1" a="1"/>
  <c r="AW413" i="6" s="1"/>
  <c r="AV494" i="6"/>
  <c r="AW494" i="6" s="1" a="1"/>
  <c r="AW494" i="6" s="1"/>
  <c r="AV2511" i="6"/>
  <c r="AW2511" i="6" s="1" a="1"/>
  <c r="AW2511" i="6" s="1"/>
  <c r="AV382" i="6"/>
  <c r="AW382" i="6" s="1" a="1"/>
  <c r="AW382" i="6" s="1"/>
  <c r="AV2509" i="6"/>
  <c r="AW2509" i="6" s="1" a="1"/>
  <c r="AW2509" i="6" s="1"/>
  <c r="AV2510" i="6"/>
  <c r="AW2510" i="6" s="1" a="1"/>
  <c r="AW2510" i="6" s="1"/>
  <c r="AV2428" i="6"/>
  <c r="AW2428" i="6" s="1" a="1"/>
  <c r="AW2428" i="6" s="1"/>
  <c r="AV2087" i="6"/>
  <c r="AW2087" i="6" s="1" a="1"/>
  <c r="AW2087" i="6" s="1"/>
  <c r="AV381" i="6"/>
  <c r="AW381" i="6" s="1" a="1"/>
  <c r="AW381" i="6" s="1"/>
  <c r="AV2825" i="6"/>
  <c r="AW2825" i="6" s="1" a="1"/>
  <c r="AW2825" i="6" s="1"/>
  <c r="AV2424" i="6"/>
  <c r="AW2424" i="6" s="1" a="1"/>
  <c r="AW2424" i="6" s="1"/>
  <c r="AV2417" i="6"/>
  <c r="AW2417" i="6" s="1" a="1"/>
  <c r="AW2417" i="6" s="1"/>
  <c r="AV2425" i="6"/>
  <c r="AW2425" i="6" s="1" a="1"/>
  <c r="AW2425" i="6" s="1"/>
  <c r="AV2273" i="6"/>
  <c r="AW2273" i="6" s="1" a="1"/>
  <c r="AW2273" i="6" s="1"/>
  <c r="AV2272" i="6"/>
  <c r="AW2272" i="6" s="1" a="1"/>
  <c r="AW2272" i="6" s="1"/>
  <c r="AV380" i="6"/>
  <c r="AW380" i="6" s="1" a="1"/>
  <c r="AW380" i="6" s="1"/>
  <c r="AV2423" i="6"/>
  <c r="AW2423" i="6" s="1" a="1"/>
  <c r="AW2423" i="6" s="1"/>
  <c r="AV379" i="6"/>
  <c r="AW379" i="6" s="1" a="1"/>
  <c r="AW379" i="6" s="1"/>
  <c r="AV378" i="6"/>
  <c r="AW378" i="6" s="1" a="1"/>
  <c r="AW378" i="6" s="1"/>
  <c r="AV377" i="6"/>
  <c r="AW377" i="6" s="1" a="1"/>
  <c r="AW377" i="6" s="1"/>
  <c r="AV376" i="6"/>
  <c r="AW376" i="6" s="1" a="1"/>
  <c r="AW376" i="6" s="1"/>
  <c r="AV375" i="6"/>
  <c r="AW375" i="6" s="1" a="1"/>
  <c r="AW375" i="6" s="1"/>
  <c r="AV374" i="6"/>
  <c r="AW374" i="6" s="1" a="1"/>
  <c r="AW374" i="6" s="1"/>
  <c r="AV372" i="6"/>
  <c r="AW372" i="6" s="1" a="1"/>
  <c r="AW372" i="6" s="1"/>
  <c r="AV373" i="6"/>
  <c r="AW373" i="6" s="1" a="1"/>
  <c r="AW373" i="6" s="1"/>
  <c r="AV2066" i="6"/>
  <c r="AW2066" i="6" s="1" a="1"/>
  <c r="AW2066" i="6" s="1"/>
  <c r="AV336" i="6"/>
  <c r="AW336" i="6" s="1" a="1"/>
  <c r="AW336" i="6" s="1"/>
  <c r="AV337" i="6"/>
  <c r="AW337" i="6" s="1" a="1"/>
  <c r="AW337" i="6" s="1"/>
  <c r="AV2055" i="6"/>
  <c r="AW2055" i="6" s="1" a="1"/>
  <c r="AW2055" i="6" s="1"/>
  <c r="AV335" i="6"/>
  <c r="AW335" i="6" s="1" a="1"/>
  <c r="AW335" i="6" s="1"/>
  <c r="AV2821" i="6"/>
  <c r="AW2821" i="6" s="1" a="1"/>
  <c r="AW2821" i="6" s="1"/>
  <c r="AV2085" i="6"/>
  <c r="AW2085" i="6" s="1" a="1"/>
  <c r="AW2085" i="6" s="1"/>
  <c r="AV2084" i="6"/>
  <c r="AW2084" i="6" s="1" a="1"/>
  <c r="AW2084" i="6" s="1"/>
  <c r="AV2083" i="6"/>
  <c r="AW2083" i="6" s="1" a="1"/>
  <c r="AW2083" i="6" s="1"/>
  <c r="AV2080" i="6"/>
  <c r="AW2080" i="6" s="1" a="1"/>
  <c r="AW2080" i="6" s="1"/>
  <c r="AV2079" i="6"/>
  <c r="AW2079" i="6" s="1" a="1"/>
  <c r="AW2079" i="6" s="1"/>
  <c r="AV2075" i="6"/>
  <c r="AW2075" i="6" s="1" a="1"/>
  <c r="AW2075" i="6" s="1"/>
  <c r="AV2069" i="6"/>
  <c r="AW2069" i="6" s="1" a="1"/>
  <c r="AW2069" i="6" s="1"/>
  <c r="AV2068" i="6"/>
  <c r="AW2068" i="6" s="1" a="1"/>
  <c r="AW2068" i="6" s="1"/>
  <c r="AV2074" i="6"/>
  <c r="AW2074" i="6" s="1" a="1"/>
  <c r="AW2074" i="6" s="1"/>
  <c r="AV1725" i="6"/>
  <c r="AW1725" i="6" s="1" a="1"/>
  <c r="AW1725" i="6" s="1"/>
  <c r="AV1724" i="6"/>
  <c r="AW1724" i="6" s="1" a="1"/>
  <c r="AW1724" i="6" s="1"/>
  <c r="AV2073" i="6"/>
  <c r="AW2073" i="6" s="1" a="1"/>
  <c r="AW2073" i="6" s="1"/>
  <c r="AV2063" i="6"/>
  <c r="AW2063" i="6" s="1" a="1"/>
  <c r="AW2063" i="6" s="1"/>
  <c r="AV1754" i="6"/>
  <c r="AW1754" i="6" s="1" a="1"/>
  <c r="AW1754" i="6" s="1"/>
  <c r="AV1780" i="6"/>
  <c r="AW1780" i="6" s="1" a="1"/>
  <c r="AW1780" i="6" s="1"/>
  <c r="AV1758" i="6"/>
  <c r="AW1758" i="6" s="1" a="1"/>
  <c r="AW1758" i="6" s="1"/>
  <c r="AV1757" i="6"/>
  <c r="AW1757" i="6" s="1" a="1"/>
  <c r="AW1757" i="6" s="1"/>
  <c r="AV1713" i="6"/>
  <c r="AW1713" i="6" s="1" a="1"/>
  <c r="AW1713" i="6" s="1"/>
  <c r="AV2546" i="6"/>
  <c r="AW2546" i="6" s="1" a="1"/>
  <c r="AW2546" i="6" s="1"/>
  <c r="AV2543" i="6"/>
  <c r="AW2543" i="6" s="1" a="1"/>
  <c r="AW2543" i="6" s="1"/>
  <c r="AV2697" i="6"/>
  <c r="AW2697" i="6" s="1" a="1"/>
  <c r="AW2697" i="6" s="1"/>
  <c r="AV2609" i="6"/>
  <c r="AW2609" i="6" s="1" a="1"/>
  <c r="AW2609" i="6" s="1"/>
  <c r="AV2517" i="6"/>
  <c r="AW2517" i="6" s="1" a="1"/>
  <c r="AW2517" i="6" s="1"/>
  <c r="AV2538" i="6"/>
  <c r="AW2538" i="6" s="1" a="1"/>
  <c r="AW2538" i="6" s="1"/>
  <c r="AV2542" i="6"/>
  <c r="AW2542" i="6" s="1" a="1"/>
  <c r="AW2542" i="6" s="1"/>
  <c r="AV2415" i="6"/>
  <c r="AW2415" i="6" s="1" a="1"/>
  <c r="AW2415" i="6" s="1"/>
  <c r="AV2541" i="6"/>
  <c r="AW2541" i="6" s="1" a="1"/>
  <c r="AW2541" i="6" s="1"/>
  <c r="AV2540" i="6"/>
  <c r="AW2540" i="6" s="1" a="1"/>
  <c r="AW2540" i="6" s="1"/>
  <c r="AV2539" i="6"/>
  <c r="AW2539" i="6" s="1" a="1"/>
  <c r="AW2539" i="6" s="1"/>
  <c r="AV2456" i="6"/>
  <c r="AW2456" i="6" s="1" a="1"/>
  <c r="AW2456" i="6" s="1"/>
  <c r="AV2537" i="6"/>
  <c r="AW2537" i="6" s="1" a="1"/>
  <c r="AW2537" i="6" s="1"/>
  <c r="AV2536" i="6"/>
  <c r="AW2536" i="6" s="1" a="1"/>
  <c r="AW2536" i="6" s="1"/>
  <c r="AV2535" i="6"/>
  <c r="AW2535" i="6" s="1" a="1"/>
  <c r="AW2535" i="6" s="1"/>
  <c r="AV2342" i="6"/>
  <c r="AW2342" i="6" s="1" a="1"/>
  <c r="AW2342" i="6" s="1"/>
  <c r="AV2341" i="6"/>
  <c r="AW2341" i="6" s="1" a="1"/>
  <c r="AW2341" i="6" s="1"/>
  <c r="AV2165" i="6"/>
  <c r="AW2165" i="6" s="1" a="1"/>
  <c r="AW2165" i="6" s="1"/>
  <c r="AV2447" i="6"/>
  <c r="AW2447" i="6" s="1" a="1"/>
  <c r="AW2447" i="6" s="1"/>
  <c r="AV2452" i="6"/>
  <c r="AW2452" i="6" s="1" a="1"/>
  <c r="AW2452" i="6" s="1"/>
  <c r="AV2451" i="6"/>
  <c r="AW2451" i="6" s="1" a="1"/>
  <c r="AW2451" i="6" s="1"/>
  <c r="BA2451" i="6" s="1"/>
  <c r="AZ2451" i="6" s="1"/>
  <c r="AV2450" i="6"/>
  <c r="AW2450" i="6" s="1" a="1"/>
  <c r="AW2450" i="6" s="1"/>
  <c r="AV2449" i="6"/>
  <c r="AW2449" i="6" s="1" a="1"/>
  <c r="AW2449" i="6" s="1"/>
  <c r="AV2446" i="6"/>
  <c r="AW2446" i="6" s="1" a="1"/>
  <c r="AW2446" i="6" s="1"/>
  <c r="AV2442" i="6"/>
  <c r="AW2442" i="6" s="1" a="1"/>
  <c r="AW2442" i="6" s="1"/>
  <c r="AV2445" i="6"/>
  <c r="AW2445" i="6" s="1" a="1"/>
  <c r="AW2445" i="6" s="1"/>
  <c r="AV2444" i="6"/>
  <c r="AW2444" i="6" s="1" a="1"/>
  <c r="AW2444" i="6" s="1"/>
  <c r="AV2443" i="6"/>
  <c r="AW2443" i="6" s="1" a="1"/>
  <c r="AW2443" i="6" s="1"/>
  <c r="AV2438" i="6"/>
  <c r="AW2438" i="6" s="1" a="1"/>
  <c r="AW2438" i="6" s="1"/>
  <c r="AV2441" i="6"/>
  <c r="AW2441" i="6" s="1" a="1"/>
  <c r="AW2441" i="6" s="1"/>
  <c r="AV2440" i="6"/>
  <c r="AW2440" i="6" s="1" a="1"/>
  <c r="AW2440" i="6" s="1"/>
  <c r="AV2439" i="6"/>
  <c r="AW2439" i="6" s="1" a="1"/>
  <c r="AW2439" i="6" s="1"/>
  <c r="AV2344" i="6"/>
  <c r="AW2344" i="6" s="1" a="1"/>
  <c r="AW2344" i="6" s="1"/>
  <c r="AV710" i="6"/>
  <c r="AW710" i="6" s="1" a="1"/>
  <c r="AW710" i="6" s="1"/>
  <c r="AV1361" i="6"/>
  <c r="AW1361" i="6" s="1" a="1"/>
  <c r="AW1361" i="6" s="1"/>
  <c r="BA1361" i="6" s="1"/>
  <c r="AZ1361" i="6" s="1"/>
  <c r="AV1360" i="6"/>
  <c r="AW1360" i="6" s="1" a="1"/>
  <c r="AW1360" i="6" s="1"/>
  <c r="AV709" i="6"/>
  <c r="AW709" i="6" s="1" a="1"/>
  <c r="AW709" i="6" s="1"/>
  <c r="BA709" i="6" s="1"/>
  <c r="AZ709" i="6" s="1"/>
  <c r="AV708" i="6"/>
  <c r="AW708" i="6" s="1" a="1"/>
  <c r="AW708" i="6" s="1"/>
  <c r="AV2258" i="6"/>
  <c r="AW2258" i="6" s="1" a="1"/>
  <c r="AW2258" i="6" s="1"/>
  <c r="BA2258" i="6" s="1"/>
  <c r="AZ2258" i="6" s="1"/>
  <c r="AV707" i="6"/>
  <c r="AW707" i="6" s="1" a="1"/>
  <c r="AW707" i="6" s="1"/>
  <c r="AV705" i="6"/>
  <c r="AW705" i="6" s="1" a="1"/>
  <c r="AW705" i="6" s="1"/>
  <c r="AV703" i="6"/>
  <c r="AW703" i="6" s="1" a="1"/>
  <c r="AW703" i="6" s="1"/>
  <c r="AV2758" i="6"/>
  <c r="AW2758" i="6" s="1" a="1"/>
  <c r="AW2758" i="6" s="1"/>
  <c r="AV2756" i="6"/>
  <c r="AW2756" i="6" s="1" a="1"/>
  <c r="AW2756" i="6" s="1"/>
  <c r="AV90" i="6"/>
  <c r="AW90" i="6" s="1" a="1"/>
  <c r="AW90" i="6" s="1"/>
  <c r="AV88" i="6"/>
  <c r="AW88" i="6" s="1" a="1"/>
  <c r="AW88" i="6" s="1"/>
  <c r="AV87" i="6"/>
  <c r="AW87" i="6" s="1" a="1"/>
  <c r="AW87" i="6" s="1"/>
  <c r="AV86" i="6"/>
  <c r="AW86" i="6" s="1" a="1"/>
  <c r="AW86" i="6" s="1"/>
  <c r="AV85" i="6"/>
  <c r="AW85" i="6" s="1" a="1"/>
  <c r="AW85" i="6" s="1"/>
  <c r="AV84" i="6"/>
  <c r="AW84" i="6" s="1" a="1"/>
  <c r="AW84" i="6" s="1"/>
  <c r="AV83" i="6"/>
  <c r="AW83" i="6" s="1" a="1"/>
  <c r="AW83" i="6" s="1"/>
  <c r="BA83" i="6" s="1"/>
  <c r="AZ83" i="6" s="1"/>
  <c r="AV82" i="6"/>
  <c r="AW82" i="6" s="1" a="1"/>
  <c r="AW82" i="6" s="1"/>
  <c r="AV81" i="6"/>
  <c r="AW81" i="6" s="1" a="1"/>
  <c r="AW81" i="6" s="1"/>
  <c r="BA81" i="6" s="1"/>
  <c r="AZ81" i="6" s="1"/>
  <c r="AV80" i="6"/>
  <c r="AW80" i="6" s="1" a="1"/>
  <c r="AW80" i="6" s="1"/>
  <c r="AV79" i="6"/>
  <c r="AW79" i="6" s="1" a="1"/>
  <c r="AW79" i="6" s="1"/>
  <c r="BA79" i="6" s="1"/>
  <c r="AZ79" i="6" s="1"/>
  <c r="AV78" i="6"/>
  <c r="AW78" i="6" s="1" a="1"/>
  <c r="AW78" i="6" s="1"/>
  <c r="AV77" i="6"/>
  <c r="AW77" i="6" s="1" a="1"/>
  <c r="AW77" i="6" s="1"/>
  <c r="BA77" i="6" s="1"/>
  <c r="AZ77" i="6" s="1"/>
  <c r="AV76" i="6"/>
  <c r="AW76" i="6" s="1" a="1"/>
  <c r="AW76" i="6" s="1"/>
  <c r="AV75" i="6"/>
  <c r="AW75" i="6" s="1" a="1"/>
  <c r="AW75" i="6" s="1"/>
  <c r="AV74" i="6"/>
  <c r="AW74" i="6" s="1" a="1"/>
  <c r="AW74" i="6" s="1"/>
  <c r="AV73" i="6"/>
  <c r="AW73" i="6" s="1" a="1"/>
  <c r="AW73" i="6" s="1"/>
  <c r="AV72" i="6"/>
  <c r="AW72" i="6" s="1" a="1"/>
  <c r="AW72" i="6" s="1"/>
  <c r="AV71" i="6"/>
  <c r="AW71" i="6" s="1" a="1"/>
  <c r="AW71" i="6" s="1"/>
  <c r="AV70" i="6"/>
  <c r="AW70" i="6" s="1" a="1"/>
  <c r="AW70" i="6" s="1"/>
  <c r="AV69" i="6"/>
  <c r="AW69" i="6" s="1" a="1"/>
  <c r="AW69" i="6" s="1"/>
  <c r="AV68" i="6"/>
  <c r="AW68" i="6" s="1" a="1"/>
  <c r="AW68" i="6" s="1"/>
  <c r="AV67" i="6"/>
  <c r="AW67" i="6" s="1" a="1"/>
  <c r="AW67" i="6" s="1"/>
  <c r="BA67" i="6" s="1"/>
  <c r="AZ67" i="6" s="1"/>
  <c r="AV66" i="6"/>
  <c r="AW66" i="6" s="1" a="1"/>
  <c r="AW66" i="6" s="1"/>
  <c r="AV65" i="6"/>
  <c r="AW65" i="6" s="1" a="1"/>
  <c r="AW65" i="6" s="1"/>
  <c r="BA65" i="6" s="1"/>
  <c r="AZ65" i="6" s="1"/>
  <c r="AV64" i="6"/>
  <c r="AW64" i="6" s="1" a="1"/>
  <c r="AW64" i="6" s="1"/>
  <c r="AV63" i="6"/>
  <c r="AW63" i="6" s="1" a="1"/>
  <c r="AW63" i="6" s="1"/>
  <c r="BA63" i="6" s="1"/>
  <c r="AZ63" i="6" s="1"/>
  <c r="AV62" i="6"/>
  <c r="AW62" i="6" s="1" a="1"/>
  <c r="AW62" i="6" s="1"/>
  <c r="AV61" i="6"/>
  <c r="AW61" i="6" s="1" a="1"/>
  <c r="AW61" i="6" s="1"/>
  <c r="BA61" i="6" s="1"/>
  <c r="AZ61" i="6" s="1"/>
  <c r="AV60" i="6"/>
  <c r="AW60" i="6" s="1" a="1"/>
  <c r="AW60" i="6" s="1"/>
  <c r="AV59" i="6"/>
  <c r="AW59" i="6" s="1" a="1"/>
  <c r="AW59" i="6" s="1"/>
  <c r="AV58" i="6"/>
  <c r="AW58" i="6" s="1" a="1"/>
  <c r="AW58" i="6" s="1"/>
  <c r="AV57" i="6"/>
  <c r="AW57" i="6" s="1" a="1"/>
  <c r="AW57" i="6" s="1"/>
  <c r="AV56" i="6"/>
  <c r="AW56" i="6" s="1" a="1"/>
  <c r="AW56" i="6" s="1"/>
  <c r="AV55" i="6"/>
  <c r="AW55" i="6" s="1" a="1"/>
  <c r="AW55" i="6" s="1"/>
  <c r="AV54" i="6"/>
  <c r="AW54" i="6" s="1" a="1"/>
  <c r="AW54" i="6" s="1"/>
  <c r="AV53" i="6"/>
  <c r="AW53" i="6" s="1" a="1"/>
  <c r="AW53" i="6" s="1"/>
  <c r="AV52" i="6"/>
  <c r="AW52" i="6" s="1" a="1"/>
  <c r="AW52" i="6" s="1"/>
  <c r="AV51" i="6"/>
  <c r="AW51" i="6" s="1" a="1"/>
  <c r="AW51" i="6" s="1"/>
  <c r="BA51" i="6" s="1"/>
  <c r="AZ51" i="6" s="1"/>
  <c r="AV50" i="6"/>
  <c r="AW50" i="6" s="1" a="1"/>
  <c r="AW50" i="6" s="1"/>
  <c r="AV49" i="6"/>
  <c r="AW49" i="6" s="1" a="1"/>
  <c r="AW49" i="6" s="1"/>
  <c r="BA49" i="6" s="1"/>
  <c r="AZ49" i="6" s="1"/>
  <c r="AV48" i="6"/>
  <c r="AW48" i="6" s="1" a="1"/>
  <c r="AW48" i="6" s="1"/>
  <c r="AV47" i="6"/>
  <c r="AW47" i="6" s="1" a="1"/>
  <c r="AW47" i="6" s="1"/>
  <c r="BA47" i="6" s="1"/>
  <c r="AZ47" i="6" s="1"/>
  <c r="AV46" i="6"/>
  <c r="AW46" i="6" s="1" a="1"/>
  <c r="AW46" i="6" s="1"/>
  <c r="AV45" i="6"/>
  <c r="AW45" i="6" s="1" a="1"/>
  <c r="AW45" i="6" s="1"/>
  <c r="BA45" i="6" s="1"/>
  <c r="AZ45" i="6" s="1"/>
  <c r="AV44" i="6"/>
  <c r="AW44" i="6" s="1" a="1"/>
  <c r="AW44" i="6" s="1"/>
  <c r="AV43" i="6"/>
  <c r="AW43" i="6" s="1" a="1"/>
  <c r="AW43" i="6" s="1"/>
  <c r="BA43" i="6" s="1"/>
  <c r="AZ43" i="6" s="1"/>
  <c r="AV42" i="6"/>
  <c r="AW42" i="6" s="1" a="1"/>
  <c r="AW42" i="6" s="1"/>
  <c r="AV41" i="6"/>
  <c r="AW41" i="6" s="1" a="1"/>
  <c r="AW41" i="6" s="1"/>
  <c r="AV40" i="6"/>
  <c r="AW40" i="6" s="1" a="1"/>
  <c r="AW40" i="6" s="1"/>
  <c r="AV39" i="6"/>
  <c r="AW39" i="6" s="1" a="1"/>
  <c r="AW39" i="6" s="1"/>
  <c r="AX39" i="6" s="1"/>
  <c r="AV38" i="6"/>
  <c r="AW38" i="6" s="1" a="1"/>
  <c r="AW38" i="6" s="1"/>
  <c r="AV37" i="6"/>
  <c r="AW37" i="6" s="1" a="1"/>
  <c r="AW37" i="6" s="1"/>
  <c r="AV36" i="6"/>
  <c r="AW36" i="6" s="1" a="1"/>
  <c r="AW36" i="6" s="1"/>
  <c r="BA36" i="6" s="1"/>
  <c r="AZ36" i="6" s="1"/>
  <c r="AV35" i="6"/>
  <c r="AW35" i="6" s="1" a="1"/>
  <c r="AW35" i="6" s="1"/>
  <c r="AV34" i="6"/>
  <c r="AW34" i="6" s="1" a="1"/>
  <c r="AW34" i="6" s="1"/>
  <c r="AV33" i="6"/>
  <c r="AW33" i="6" s="1" a="1"/>
  <c r="AW33" i="6" s="1"/>
  <c r="AV32" i="6"/>
  <c r="AW32" i="6" s="1" a="1"/>
  <c r="AW32" i="6" s="1"/>
  <c r="AV1651" i="6"/>
  <c r="AW1651" i="6" s="1" a="1"/>
  <c r="AW1651" i="6" s="1"/>
  <c r="AX1651" i="6" s="1"/>
  <c r="AV1650" i="6"/>
  <c r="AW1650" i="6" s="1" a="1"/>
  <c r="AW1650" i="6" s="1"/>
  <c r="AV1649" i="6"/>
  <c r="AW1649" i="6" s="1" a="1"/>
  <c r="AW1649" i="6" s="1"/>
  <c r="AV1648" i="6"/>
  <c r="AW1648" i="6" s="1" a="1"/>
  <c r="AW1648" i="6" s="1"/>
  <c r="BA1648" i="6" s="1"/>
  <c r="AZ1648" i="6" s="1"/>
  <c r="AV1647" i="6"/>
  <c r="AW1647" i="6" s="1" a="1"/>
  <c r="AW1647" i="6" s="1"/>
  <c r="AV1646" i="6"/>
  <c r="AW1646" i="6" s="1" a="1"/>
  <c r="AW1646" i="6" s="1"/>
  <c r="AX1646" i="6" s="1"/>
  <c r="AV1645" i="6"/>
  <c r="AW1645" i="6" s="1" a="1"/>
  <c r="AW1645" i="6" s="1"/>
  <c r="AV1644" i="6"/>
  <c r="AW1644" i="6" s="1" a="1"/>
  <c r="AW1644" i="6" s="1"/>
  <c r="AV1643" i="6"/>
  <c r="AW1643" i="6" s="1" a="1"/>
  <c r="AW1643" i="6" s="1"/>
  <c r="AX1643" i="6" s="1"/>
  <c r="AV1642" i="6"/>
  <c r="AW1642" i="6" s="1" a="1"/>
  <c r="AW1642" i="6" s="1"/>
  <c r="AV1641" i="6"/>
  <c r="AW1641" i="6" s="1" a="1"/>
  <c r="AW1641" i="6" s="1"/>
  <c r="AV1640" i="6"/>
  <c r="AW1640" i="6" s="1" a="1"/>
  <c r="AW1640" i="6" s="1"/>
  <c r="BA1640" i="6" s="1"/>
  <c r="AZ1640" i="6" s="1"/>
  <c r="AV1639" i="6"/>
  <c r="AW1639" i="6" s="1" a="1"/>
  <c r="AW1639" i="6" s="1"/>
  <c r="AV1638" i="6"/>
  <c r="AW1638" i="6" s="1" a="1"/>
  <c r="AW1638" i="6" s="1"/>
  <c r="AX1638" i="6" s="1"/>
  <c r="AV1637" i="6"/>
  <c r="AW1637" i="6" s="1" a="1"/>
  <c r="AW1637" i="6" s="1"/>
  <c r="AV1636" i="6"/>
  <c r="AW1636" i="6" s="1" a="1"/>
  <c r="AW1636" i="6" s="1"/>
  <c r="AV1635" i="6"/>
  <c r="AW1635" i="6" s="1" a="1"/>
  <c r="AW1635" i="6" s="1"/>
  <c r="AX1635" i="6" s="1"/>
  <c r="AV1634" i="6"/>
  <c r="AW1634" i="6" s="1" a="1"/>
  <c r="AW1634" i="6" s="1"/>
  <c r="AV1633" i="6"/>
  <c r="AW1633" i="6" s="1" a="1"/>
  <c r="AW1633" i="6" s="1"/>
  <c r="AV1632" i="6"/>
  <c r="AW1632" i="6" s="1" a="1"/>
  <c r="AW1632" i="6" s="1"/>
  <c r="BA1632" i="6" s="1"/>
  <c r="AZ1632" i="6" s="1"/>
  <c r="AV1631" i="6"/>
  <c r="AW1631" i="6" s="1" a="1"/>
  <c r="AW1631" i="6" s="1"/>
  <c r="AV1630" i="6"/>
  <c r="AW1630" i="6" s="1" a="1"/>
  <c r="AW1630" i="6" s="1"/>
  <c r="AX1630" i="6" s="1"/>
  <c r="AV1629" i="6"/>
  <c r="AW1629" i="6" s="1" a="1"/>
  <c r="AW1629" i="6" s="1"/>
  <c r="AV1628" i="6"/>
  <c r="AW1628" i="6" s="1" a="1"/>
  <c r="AW1628" i="6" s="1"/>
  <c r="AV1627" i="6"/>
  <c r="AW1627" i="6" s="1" a="1"/>
  <c r="AW1627" i="6" s="1"/>
  <c r="AV1502" i="6"/>
  <c r="AW1502" i="6" s="1" a="1"/>
  <c r="AW1502" i="6" s="1"/>
  <c r="AV1625" i="6"/>
  <c r="AW1625" i="6" s="1" a="1"/>
  <c r="AW1625" i="6" s="1"/>
  <c r="BA1625" i="6" s="1"/>
  <c r="AZ1625" i="6" s="1"/>
  <c r="AV1624" i="6"/>
  <c r="AW1624" i="6" s="1" a="1"/>
  <c r="AW1624" i="6" s="1"/>
  <c r="BA1624" i="6" s="1"/>
  <c r="AZ1624" i="6" s="1"/>
  <c r="AV1623" i="6"/>
  <c r="AW1623" i="6" s="1" a="1"/>
  <c r="AW1623" i="6" s="1"/>
  <c r="AV1622" i="6"/>
  <c r="AW1622" i="6" s="1" a="1"/>
  <c r="AW1622" i="6" s="1"/>
  <c r="AV1621" i="6"/>
  <c r="AW1621" i="6" s="1" a="1"/>
  <c r="AW1621" i="6" s="1"/>
  <c r="AV1620" i="6"/>
  <c r="AW1620" i="6" s="1" a="1"/>
  <c r="AW1620" i="6" s="1"/>
  <c r="AV1619" i="6"/>
  <c r="AW1619" i="6" s="1" a="1"/>
  <c r="AW1619" i="6" s="1"/>
  <c r="AV1618" i="6"/>
  <c r="AW1618" i="6" s="1" a="1"/>
  <c r="AW1618" i="6" s="1"/>
  <c r="AV1617" i="6"/>
  <c r="AW1617" i="6" s="1" a="1"/>
  <c r="AW1617" i="6" s="1"/>
  <c r="AV1616" i="6"/>
  <c r="AW1616" i="6" s="1" a="1"/>
  <c r="AW1616" i="6" s="1"/>
  <c r="AV1615" i="6"/>
  <c r="AW1615" i="6" s="1" a="1"/>
  <c r="AW1615" i="6" s="1"/>
  <c r="AV1612" i="6"/>
  <c r="AW1612" i="6" s="1" a="1"/>
  <c r="AW1612" i="6" s="1"/>
  <c r="AV1611" i="6"/>
  <c r="AW1611" i="6" s="1" a="1"/>
  <c r="AW1611" i="6" s="1"/>
  <c r="AV1610" i="6"/>
  <c r="AW1610" i="6" s="1" a="1"/>
  <c r="AW1610" i="6" s="1"/>
  <c r="AV1609" i="6"/>
  <c r="AW1609" i="6" s="1" a="1"/>
  <c r="AW1609" i="6" s="1"/>
  <c r="AV1608" i="6"/>
  <c r="AW1608" i="6" s="1" a="1"/>
  <c r="AW1608" i="6" s="1"/>
  <c r="AV1607" i="6"/>
  <c r="AW1607" i="6" s="1" a="1"/>
  <c r="AW1607" i="6" s="1"/>
  <c r="AV1606" i="6"/>
  <c r="AW1606" i="6" s="1" a="1"/>
  <c r="AW1606" i="6" s="1"/>
  <c r="AV1605" i="6"/>
  <c r="AW1605" i="6" s="1" a="1"/>
  <c r="AW1605" i="6" s="1"/>
  <c r="AV1604" i="6"/>
  <c r="AW1604" i="6" s="1" a="1"/>
  <c r="AW1604" i="6" s="1"/>
  <c r="AV1603" i="6"/>
  <c r="AW1603" i="6" s="1" a="1"/>
  <c r="AW1603" i="6" s="1"/>
  <c r="AV1602" i="6"/>
  <c r="AW1602" i="6" s="1" a="1"/>
  <c r="AW1602" i="6" s="1"/>
  <c r="AV1601" i="6"/>
  <c r="AW1601" i="6" s="1" a="1"/>
  <c r="AW1601" i="6" s="1"/>
  <c r="AV1600" i="6"/>
  <c r="AW1600" i="6" s="1" a="1"/>
  <c r="AW1600" i="6" s="1"/>
  <c r="AV1599" i="6"/>
  <c r="AW1599" i="6" s="1" a="1"/>
  <c r="AW1599" i="6" s="1"/>
  <c r="AV490" i="6"/>
  <c r="AW490" i="6" s="1" a="1"/>
  <c r="AW490" i="6" s="1"/>
  <c r="AV1141" i="6"/>
  <c r="AW1141" i="6" s="1" a="1"/>
  <c r="AW1141" i="6" s="1"/>
  <c r="AV523" i="6"/>
  <c r="AW523" i="6" s="1" a="1"/>
  <c r="AW523" i="6" s="1"/>
  <c r="AV2703" i="6"/>
  <c r="AW2703" i="6" s="1" a="1"/>
  <c r="AW2703" i="6" s="1"/>
  <c r="AV1746" i="6"/>
  <c r="AW1746" i="6" s="1" a="1"/>
  <c r="AW1746" i="6" s="1"/>
  <c r="AV1704" i="6"/>
  <c r="AW1704" i="6" s="1" a="1"/>
  <c r="AW1704" i="6" s="1"/>
  <c r="AV1872" i="6"/>
  <c r="AW1872" i="6" s="1" a="1"/>
  <c r="AW1872" i="6" s="1"/>
  <c r="AV528" i="6"/>
  <c r="AW528" i="6" s="1" a="1"/>
  <c r="AW528" i="6" s="1"/>
  <c r="AV1859" i="6"/>
  <c r="AW1859" i="6" s="1" a="1"/>
  <c r="AW1859" i="6" s="1"/>
  <c r="AV489" i="6"/>
  <c r="AW489" i="6" s="1" a="1"/>
  <c r="AW489" i="6" s="1"/>
  <c r="AV527" i="6"/>
  <c r="AW527" i="6" s="1" a="1"/>
  <c r="AW527" i="6" s="1"/>
  <c r="AV398" i="6"/>
  <c r="AW398" i="6" s="1" a="1"/>
  <c r="AW398" i="6" s="1"/>
  <c r="AV397" i="6"/>
  <c r="AW397" i="6" s="1" a="1"/>
  <c r="AW397" i="6" s="1"/>
  <c r="AV396" i="6"/>
  <c r="AW396" i="6" s="1" a="1"/>
  <c r="AW396" i="6" s="1"/>
  <c r="AV2413" i="6"/>
  <c r="AW2413" i="6" s="1" a="1"/>
  <c r="AW2413" i="6" s="1"/>
  <c r="AV213" i="6"/>
  <c r="AW213" i="6" s="1" a="1"/>
  <c r="AW213" i="6" s="1"/>
  <c r="AV1888" i="6"/>
  <c r="AW1888" i="6" s="1" a="1"/>
  <c r="AW1888" i="6" s="1"/>
  <c r="AV2651" i="6"/>
  <c r="AW2651" i="6" s="1" a="1"/>
  <c r="AW2651" i="6" s="1"/>
  <c r="AV492" i="6"/>
  <c r="AW492" i="6" s="1" a="1"/>
  <c r="AW492" i="6" s="1"/>
  <c r="AV491" i="6"/>
  <c r="AW491" i="6" s="1" a="1"/>
  <c r="AW491" i="6" s="1"/>
  <c r="AV596" i="6"/>
  <c r="AW596" i="6" s="1" a="1"/>
  <c r="AW596" i="6" s="1"/>
  <c r="AV488" i="6"/>
  <c r="AW488" i="6" s="1" a="1"/>
  <c r="AW488" i="6" s="1"/>
  <c r="AV487" i="6"/>
  <c r="AW487" i="6" s="1" a="1"/>
  <c r="AW487" i="6" s="1"/>
  <c r="AV486" i="6"/>
  <c r="AW486" i="6" s="1" a="1"/>
  <c r="AW486" i="6" s="1"/>
  <c r="AV1145" i="6"/>
  <c r="AW1145" i="6" s="1" a="1"/>
  <c r="AW1145" i="6" s="1"/>
  <c r="AV1771" i="6"/>
  <c r="AW1771" i="6" s="1" a="1"/>
  <c r="AW1771" i="6" s="1"/>
  <c r="AV574" i="6"/>
  <c r="AW574" i="6" s="1" a="1"/>
  <c r="AW574" i="6" s="1"/>
  <c r="AV595" i="6"/>
  <c r="AW595" i="6" s="1" a="1"/>
  <c r="AW595" i="6" s="1"/>
  <c r="AV424" i="6"/>
  <c r="AW424" i="6" s="1" a="1"/>
  <c r="AW424" i="6" s="1"/>
  <c r="AV1140" i="6"/>
  <c r="AW1140" i="6" s="1" a="1"/>
  <c r="AW1140" i="6" s="1"/>
  <c r="AV573" i="6"/>
  <c r="AW573" i="6" s="1" a="1"/>
  <c r="AW573" i="6" s="1"/>
  <c r="AV1144" i="6"/>
  <c r="AW1144" i="6" s="1" a="1"/>
  <c r="AW1144" i="6" s="1"/>
  <c r="AV1143" i="6"/>
  <c r="AW1143" i="6" s="1" a="1"/>
  <c r="AW1143" i="6" s="1"/>
  <c r="AV1142" i="6"/>
  <c r="AW1142" i="6" s="1" a="1"/>
  <c r="AW1142" i="6" s="1"/>
  <c r="AV1139" i="6"/>
  <c r="AW1139" i="6" s="1" a="1"/>
  <c r="AW1139" i="6" s="1"/>
  <c r="AV1138" i="6"/>
  <c r="AW1138" i="6" s="1" a="1"/>
  <c r="AW1138" i="6" s="1"/>
  <c r="AV1134" i="6"/>
  <c r="AW1134" i="6" s="1" a="1"/>
  <c r="AW1134" i="6" s="1"/>
  <c r="AV1137" i="6"/>
  <c r="AW1137" i="6" s="1" a="1"/>
  <c r="AW1137" i="6" s="1"/>
  <c r="AV1136" i="6"/>
  <c r="AW1136" i="6" s="1" a="1"/>
  <c r="AW1136" i="6" s="1"/>
  <c r="AV1135" i="6"/>
  <c r="AW1135" i="6" s="1" a="1"/>
  <c r="AW1135" i="6" s="1"/>
  <c r="AV529" i="6"/>
  <c r="AW529" i="6" s="1" a="1"/>
  <c r="AW529" i="6" s="1"/>
  <c r="AV1133" i="6"/>
  <c r="AW1133" i="6" s="1" a="1"/>
  <c r="AW1133" i="6" s="1"/>
  <c r="AV1132" i="6"/>
  <c r="AW1132" i="6" s="1" a="1"/>
  <c r="AW1132" i="6" s="1"/>
  <c r="AV1131" i="6"/>
  <c r="AW1131" i="6" s="1" a="1"/>
  <c r="AW1131" i="6" s="1"/>
  <c r="AV1130" i="6"/>
  <c r="AW1130" i="6" s="1" a="1"/>
  <c r="AW1130" i="6" s="1"/>
  <c r="AV522" i="6"/>
  <c r="AW522" i="6" s="1" a="1"/>
  <c r="AW522" i="6" s="1"/>
  <c r="AV526" i="6"/>
  <c r="AW526" i="6" s="1" a="1"/>
  <c r="AW526" i="6" s="1"/>
  <c r="AV525" i="6"/>
  <c r="AW525" i="6" s="1" a="1"/>
  <c r="AW525" i="6" s="1"/>
  <c r="AV524" i="6"/>
  <c r="AW524" i="6" s="1" a="1"/>
  <c r="AW524" i="6" s="1"/>
  <c r="AV521" i="6"/>
  <c r="AW521" i="6" s="1" a="1"/>
  <c r="AW521" i="6" s="1"/>
  <c r="AV582" i="6"/>
  <c r="AW582" i="6" s="1" a="1"/>
  <c r="AW582" i="6" s="1"/>
  <c r="AV520" i="6"/>
  <c r="AW520" i="6" s="1" a="1"/>
  <c r="AW520" i="6" s="1"/>
  <c r="AV511" i="6"/>
  <c r="AW511" i="6" s="1" a="1"/>
  <c r="AW511" i="6" s="1"/>
  <c r="AV584" i="6"/>
  <c r="AW584" i="6" s="1" a="1"/>
  <c r="AW584" i="6" s="1"/>
  <c r="AV583" i="6"/>
  <c r="AW583" i="6" s="1" a="1"/>
  <c r="AW583" i="6" s="1"/>
  <c r="AV399" i="6"/>
  <c r="AW399" i="6" s="1" a="1"/>
  <c r="AW399" i="6" s="1"/>
  <c r="AV581" i="6"/>
  <c r="AW581" i="6" s="1" a="1"/>
  <c r="AW581" i="6" s="1"/>
  <c r="AV422" i="6"/>
  <c r="AW422" i="6" s="1" a="1"/>
  <c r="AW422" i="6" s="1"/>
  <c r="AV472" i="6"/>
  <c r="AW472" i="6" s="1" a="1"/>
  <c r="AW472" i="6" s="1"/>
  <c r="AV1114" i="6"/>
  <c r="AW1114" i="6" s="1" a="1"/>
  <c r="AW1114" i="6" s="1"/>
  <c r="AV1113" i="6"/>
  <c r="AW1113" i="6" s="1" a="1"/>
  <c r="AW1113" i="6" s="1"/>
  <c r="AV1732" i="6"/>
  <c r="AW1732" i="6" s="1" a="1"/>
  <c r="AW1732" i="6" s="1"/>
  <c r="AV2617" i="6"/>
  <c r="AW2617" i="6" s="1" a="1"/>
  <c r="AW2617" i="6" s="1"/>
  <c r="AV2820" i="6"/>
  <c r="AW2820" i="6" s="1" a="1"/>
  <c r="AW2820" i="6" s="1"/>
  <c r="AV2819" i="6"/>
  <c r="AW2819" i="6" s="1" a="1"/>
  <c r="AW2819" i="6" s="1"/>
  <c r="AV2818" i="6"/>
  <c r="AW2818" i="6" s="1" a="1"/>
  <c r="AW2818" i="6" s="1"/>
  <c r="AV2762" i="6"/>
  <c r="AW2762" i="6" s="1" a="1"/>
  <c r="AW2762" i="6" s="1"/>
  <c r="AV2826" i="6"/>
  <c r="AW2826" i="6" s="1" a="1"/>
  <c r="AW2826" i="6" s="1"/>
  <c r="AV1124" i="6"/>
  <c r="AW1124" i="6" s="1" a="1"/>
  <c r="AW1124" i="6" s="1"/>
  <c r="AV2614" i="6"/>
  <c r="AW2614" i="6" s="1" a="1"/>
  <c r="AW2614" i="6" s="1"/>
  <c r="AV2823" i="6"/>
  <c r="AW2823" i="6" s="1" a="1"/>
  <c r="AW2823" i="6" s="1"/>
  <c r="AV2610" i="6"/>
  <c r="AW2610" i="6" s="1" a="1"/>
  <c r="AW2610" i="6" s="1"/>
  <c r="AV392" i="6"/>
  <c r="AW392" i="6" s="1" a="1"/>
  <c r="AW392" i="6" s="1"/>
  <c r="AV395" i="6"/>
  <c r="AW395" i="6" s="1" a="1"/>
  <c r="AW395" i="6" s="1"/>
  <c r="AV394" i="6"/>
  <c r="AW394" i="6" s="1" a="1"/>
  <c r="AW394" i="6" s="1"/>
  <c r="AV393" i="6"/>
  <c r="AW393" i="6" s="1" a="1"/>
  <c r="AW393" i="6" s="1"/>
  <c r="AV2414" i="6"/>
  <c r="AW2414" i="6" s="1" a="1"/>
  <c r="AW2414" i="6" s="1"/>
  <c r="AV1123" i="6"/>
  <c r="AW1123" i="6" s="1" a="1"/>
  <c r="AW1123" i="6" s="1"/>
  <c r="AV391" i="6"/>
  <c r="AW391" i="6" s="1" a="1"/>
  <c r="AW391" i="6" s="1"/>
  <c r="AV390" i="6"/>
  <c r="AW390" i="6" s="1" a="1"/>
  <c r="AW390" i="6" s="1"/>
  <c r="AV1731" i="6"/>
  <c r="AW1731" i="6" s="1" a="1"/>
  <c r="AW1731" i="6" s="1"/>
  <c r="AV1745" i="6"/>
  <c r="AW1745" i="6" s="1" a="1"/>
  <c r="AW1745" i="6" s="1"/>
  <c r="AV1112" i="6"/>
  <c r="AW1112" i="6" s="1" a="1"/>
  <c r="AW1112" i="6" s="1"/>
  <c r="AV1748" i="6"/>
  <c r="AW1748" i="6" s="1" a="1"/>
  <c r="AW1748" i="6" s="1"/>
  <c r="AV1747" i="6"/>
  <c r="AW1747" i="6" s="1" a="1"/>
  <c r="AW1747" i="6" s="1"/>
  <c r="AV1111" i="6"/>
  <c r="AW1111" i="6" s="1" a="1"/>
  <c r="AW1111" i="6" s="1"/>
  <c r="AV1110" i="6"/>
  <c r="AW1110" i="6" s="1" a="1"/>
  <c r="AW1110" i="6" s="1"/>
  <c r="AV1105" i="6"/>
  <c r="AW1105" i="6" s="1" a="1"/>
  <c r="AW1105" i="6" s="1"/>
  <c r="AV1744" i="6"/>
  <c r="AW1744" i="6" s="1" a="1"/>
  <c r="AW1744" i="6" s="1"/>
  <c r="AV1107" i="6"/>
  <c r="AW1107" i="6" s="1" a="1"/>
  <c r="AW1107" i="6" s="1"/>
  <c r="AV1109" i="6"/>
  <c r="AW1109" i="6" s="1" a="1"/>
  <c r="AW1109" i="6" s="1"/>
  <c r="AV1108" i="6"/>
  <c r="AW1108" i="6" s="1" a="1"/>
  <c r="AW1108" i="6" s="1"/>
  <c r="AV362" i="6"/>
  <c r="AW362" i="6" s="1" a="1"/>
  <c r="AW362" i="6" s="1"/>
  <c r="AV2412" i="6"/>
  <c r="AW2412" i="6" s="1" a="1"/>
  <c r="AW2412" i="6" s="1"/>
  <c r="AV1106" i="6"/>
  <c r="AW1106" i="6" s="1" a="1"/>
  <c r="AW1106" i="6" s="1"/>
  <c r="AV361" i="6"/>
  <c r="AW361" i="6" s="1" a="1"/>
  <c r="AW361" i="6" s="1"/>
  <c r="AV360" i="6"/>
  <c r="AW360" i="6" s="1" a="1"/>
  <c r="AW360" i="6" s="1"/>
  <c r="AV1740" i="6"/>
  <c r="AW1740" i="6" s="1" a="1"/>
  <c r="AW1740" i="6" s="1"/>
  <c r="AV313" i="6"/>
  <c r="AW313" i="6" s="1" a="1"/>
  <c r="AW313" i="6" s="1"/>
  <c r="AV1104" i="6"/>
  <c r="AW1104" i="6" s="1" a="1"/>
  <c r="AW1104" i="6" s="1"/>
  <c r="AV1103" i="6"/>
  <c r="AW1103" i="6" s="1" a="1"/>
  <c r="AW1103" i="6" s="1"/>
  <c r="AV1102" i="6"/>
  <c r="AW1102" i="6" s="1" a="1"/>
  <c r="AW1102" i="6" s="1"/>
  <c r="AV1101" i="6"/>
  <c r="AW1101" i="6" s="1" a="1"/>
  <c r="AW1101" i="6" s="1"/>
  <c r="AV1100" i="6"/>
  <c r="AW1100" i="6" s="1" a="1"/>
  <c r="AW1100" i="6" s="1"/>
  <c r="AV314" i="6"/>
  <c r="AW314" i="6" s="1" a="1"/>
  <c r="AW314" i="6" s="1"/>
  <c r="AV312" i="6"/>
  <c r="AW312" i="6" s="1" a="1"/>
  <c r="AW312" i="6" s="1"/>
  <c r="AV311" i="6"/>
  <c r="AW311" i="6" s="1" a="1"/>
  <c r="AW311" i="6" s="1"/>
  <c r="AV1902" i="6"/>
  <c r="AW1902" i="6" s="1" a="1"/>
  <c r="AW1902" i="6" s="1"/>
  <c r="AV1695" i="6"/>
  <c r="AW1695" i="6" s="1" a="1"/>
  <c r="AW1695" i="6" s="1"/>
  <c r="AV1730" i="6"/>
  <c r="AW1730" i="6" s="1" a="1"/>
  <c r="AW1730" i="6" s="1"/>
  <c r="AV1721" i="6"/>
  <c r="AW1721" i="6" s="1" a="1"/>
  <c r="AW1721" i="6" s="1"/>
  <c r="AV1720" i="6"/>
  <c r="AW1720" i="6" s="1" a="1"/>
  <c r="AW1720" i="6" s="1"/>
  <c r="AV1719" i="6"/>
  <c r="AW1719" i="6" s="1" a="1"/>
  <c r="AW1719" i="6" s="1"/>
  <c r="AV2256" i="6"/>
  <c r="AW2256" i="6" s="1" a="1"/>
  <c r="AW2256" i="6" s="1"/>
  <c r="AV1717" i="6"/>
  <c r="AW1717" i="6" s="1" a="1"/>
  <c r="AW1717" i="6" s="1"/>
  <c r="AV1718" i="6"/>
  <c r="AW1718" i="6" s="1" a="1"/>
  <c r="AW1718" i="6" s="1"/>
  <c r="AV2828" i="6"/>
  <c r="AW2828" i="6" s="1" a="1"/>
  <c r="AW2828" i="6" s="1"/>
  <c r="AV2827" i="6"/>
  <c r="AW2827" i="6" s="1" a="1"/>
  <c r="AW2827" i="6" s="1"/>
  <c r="AV2824" i="6"/>
  <c r="AW2824" i="6" s="1" a="1"/>
  <c r="AW2824" i="6" s="1"/>
  <c r="AV310" i="6"/>
  <c r="AW310" i="6" s="1" a="1"/>
  <c r="AW310" i="6" s="1"/>
  <c r="AV307" i="6"/>
  <c r="AW307" i="6" s="1" a="1"/>
  <c r="AW307" i="6" s="1"/>
  <c r="AV1716" i="6"/>
  <c r="AW1716" i="6" s="1" a="1"/>
  <c r="AW1716" i="6" s="1"/>
  <c r="AV1711" i="6"/>
  <c r="AW1711" i="6" s="1" a="1"/>
  <c r="AW1711" i="6" s="1"/>
  <c r="AV1710" i="6"/>
  <c r="AW1710" i="6" s="1" a="1"/>
  <c r="AW1710" i="6" s="1"/>
  <c r="AV1705" i="6"/>
  <c r="AW1705" i="6" s="1" a="1"/>
  <c r="AW1705" i="6" s="1"/>
  <c r="AV1729" i="6"/>
  <c r="AW1729" i="6" s="1" a="1"/>
  <c r="AW1729" i="6" s="1"/>
  <c r="AV306" i="6"/>
  <c r="AW306" i="6" s="1" a="1"/>
  <c r="AW306" i="6" s="1"/>
  <c r="AV2512" i="6"/>
  <c r="AW2512" i="6" s="1" a="1"/>
  <c r="AW2512" i="6" s="1"/>
  <c r="AV2253" i="6"/>
  <c r="AW2253" i="6" s="1" a="1"/>
  <c r="AW2253" i="6" s="1"/>
  <c r="AV2406" i="6"/>
  <c r="AW2406" i="6" s="1" a="1"/>
  <c r="AW2406" i="6" s="1"/>
  <c r="AV2254" i="6"/>
  <c r="AW2254" i="6" s="1" a="1"/>
  <c r="AW2254" i="6" s="1"/>
  <c r="AV2513" i="6"/>
  <c r="AW2513" i="6" s="1" a="1"/>
  <c r="AW2513" i="6" s="1"/>
  <c r="AV2707" i="6"/>
  <c r="AW2707" i="6" s="1" a="1"/>
  <c r="AW2707" i="6" s="1"/>
  <c r="AV2706" i="6"/>
  <c r="AW2706" i="6" s="1" a="1"/>
  <c r="AW2706" i="6" s="1"/>
  <c r="AV2622" i="6"/>
  <c r="AW2622" i="6" s="1" a="1"/>
  <c r="AW2622" i="6" s="1"/>
  <c r="AV2621" i="6"/>
  <c r="AW2621" i="6" s="1" a="1"/>
  <c r="AW2621" i="6" s="1"/>
  <c r="AV2620" i="6"/>
  <c r="AW2620" i="6" s="1" a="1"/>
  <c r="AW2620" i="6" s="1"/>
  <c r="AV2619" i="6"/>
  <c r="AW2619" i="6" s="1" a="1"/>
  <c r="AW2619" i="6" s="1"/>
  <c r="AV2534" i="6"/>
  <c r="AW2534" i="6" s="1" a="1"/>
  <c r="AW2534" i="6" s="1"/>
  <c r="AV1418" i="6"/>
  <c r="AW1418" i="6" s="1" a="1"/>
  <c r="AW1418" i="6" s="1"/>
  <c r="AV2533" i="6"/>
  <c r="AW2533" i="6" s="1" a="1"/>
  <c r="AW2533" i="6" s="1"/>
  <c r="AV2532" i="6"/>
  <c r="AW2532" i="6" s="1" a="1"/>
  <c r="AW2532" i="6" s="1"/>
  <c r="AV2531" i="6"/>
  <c r="AW2531" i="6" s="1" a="1"/>
  <c r="AW2531" i="6" s="1"/>
  <c r="AV2530" i="6"/>
  <c r="AW2530" i="6" s="1" a="1"/>
  <c r="AW2530" i="6" s="1"/>
  <c r="AV2434" i="6"/>
  <c r="AW2434" i="6" s="1" a="1"/>
  <c r="AW2434" i="6" s="1"/>
  <c r="AV2433" i="6"/>
  <c r="AW2433" i="6" s="1" a="1"/>
  <c r="AW2433" i="6" s="1"/>
  <c r="AV1410" i="6"/>
  <c r="AW1410" i="6" s="1" a="1"/>
  <c r="AW1410" i="6" s="1"/>
  <c r="AV2432" i="6"/>
  <c r="AW2432" i="6" s="1" a="1"/>
  <c r="AW2432" i="6" s="1"/>
  <c r="AV2431" i="6"/>
  <c r="AW2431" i="6" s="1" a="1"/>
  <c r="AW2431" i="6" s="1"/>
  <c r="AV2430" i="6"/>
  <c r="AW2430" i="6" s="1" a="1"/>
  <c r="AW2430" i="6" s="1"/>
  <c r="AV2317" i="6"/>
  <c r="AW2317" i="6" s="1" a="1"/>
  <c r="AW2317" i="6" s="1"/>
  <c r="AV2316" i="6"/>
  <c r="AW2316" i="6" s="1" a="1"/>
  <c r="AW2316" i="6" s="1"/>
  <c r="AV2315" i="6"/>
  <c r="AW2315" i="6" s="1" a="1"/>
  <c r="AW2315" i="6" s="1"/>
  <c r="AV2314" i="6"/>
  <c r="AW2314" i="6" s="1" a="1"/>
  <c r="AW2314" i="6" s="1"/>
  <c r="AV2313" i="6"/>
  <c r="AW2313" i="6" s="1" a="1"/>
  <c r="AW2313" i="6" s="1"/>
  <c r="AV2312" i="6"/>
  <c r="AW2312" i="6" s="1" a="1"/>
  <c r="AW2312" i="6" s="1"/>
  <c r="AV2311" i="6"/>
  <c r="AW2311" i="6" s="1" a="1"/>
  <c r="AW2311" i="6" s="1"/>
  <c r="AV2310" i="6"/>
  <c r="AW2310" i="6" s="1" a="1"/>
  <c r="AW2310" i="6" s="1"/>
  <c r="AV2309" i="6"/>
  <c r="AW2309" i="6" s="1" a="1"/>
  <c r="AW2309" i="6" s="1"/>
  <c r="AV2308" i="6"/>
  <c r="AW2308" i="6" s="1" a="1"/>
  <c r="AW2308" i="6" s="1"/>
  <c r="AV2307" i="6"/>
  <c r="AW2307" i="6" s="1" a="1"/>
  <c r="AW2307" i="6" s="1"/>
  <c r="AV2306" i="6"/>
  <c r="AW2306" i="6" s="1" a="1"/>
  <c r="AW2306" i="6" s="1"/>
  <c r="AV2305" i="6"/>
  <c r="AW2305" i="6" s="1" a="1"/>
  <c r="AW2305" i="6" s="1"/>
  <c r="AV2304" i="6"/>
  <c r="AW2304" i="6" s="1" a="1"/>
  <c r="AW2304" i="6" s="1"/>
  <c r="AV2303" i="6"/>
  <c r="AW2303" i="6" s="1" a="1"/>
  <c r="AW2303" i="6" s="1"/>
  <c r="AV2302" i="6"/>
  <c r="AW2302" i="6" s="1" a="1"/>
  <c r="AW2302" i="6" s="1"/>
  <c r="AV2301" i="6"/>
  <c r="AW2301" i="6" s="1" a="1"/>
  <c r="AW2301" i="6" s="1"/>
  <c r="AV2300" i="6"/>
  <c r="AW2300" i="6" s="1" a="1"/>
  <c r="AW2300" i="6" s="1"/>
  <c r="AV2299" i="6"/>
  <c r="AW2299" i="6" s="1" a="1"/>
  <c r="AW2299" i="6" s="1"/>
  <c r="AV2298" i="6"/>
  <c r="AW2298" i="6" s="1" a="1"/>
  <c r="AW2298" i="6" s="1"/>
  <c r="AV2297" i="6"/>
  <c r="AW2297" i="6" s="1" a="1"/>
  <c r="AW2297" i="6" s="1"/>
  <c r="AV1394" i="6"/>
  <c r="AW1394" i="6" s="1" a="1"/>
  <c r="AW1394" i="6" s="1"/>
  <c r="AV2296" i="6"/>
  <c r="AW2296" i="6" s="1" a="1"/>
  <c r="AW2296" i="6" s="1"/>
  <c r="AV2295" i="6"/>
  <c r="AW2295" i="6" s="1" a="1"/>
  <c r="AW2295" i="6" s="1"/>
  <c r="AV1388" i="6"/>
  <c r="AW1388" i="6" s="1" a="1"/>
  <c r="AW1388" i="6" s="1"/>
  <c r="AV2294" i="6"/>
  <c r="AW2294" i="6" s="1" a="1"/>
  <c r="AW2294" i="6" s="1"/>
  <c r="AV2293" i="6"/>
  <c r="AW2293" i="6" s="1" a="1"/>
  <c r="AW2293" i="6" s="1"/>
  <c r="AV2292" i="6"/>
  <c r="AW2292" i="6" s="1" a="1"/>
  <c r="AW2292" i="6" s="1"/>
  <c r="AV2291" i="6"/>
  <c r="AW2291" i="6" s="1" a="1"/>
  <c r="AW2291" i="6" s="1"/>
  <c r="AV2290" i="6"/>
  <c r="AW2290" i="6" s="1" a="1"/>
  <c r="AW2290" i="6" s="1"/>
  <c r="AV1383" i="6"/>
  <c r="AW1383" i="6" s="1" a="1"/>
  <c r="AW1383" i="6" s="1"/>
  <c r="AV1382" i="6"/>
  <c r="AW1382" i="6" s="1" a="1"/>
  <c r="AW1382" i="6" s="1"/>
  <c r="AV2289" i="6"/>
  <c r="AW2289" i="6" s="1" a="1"/>
  <c r="AW2289" i="6" s="1"/>
  <c r="AV1380" i="6"/>
  <c r="AW1380" i="6" s="1" a="1"/>
  <c r="AW1380" i="6" s="1"/>
  <c r="AV2288" i="6"/>
  <c r="AW2288" i="6" s="1" a="1"/>
  <c r="AW2288" i="6" s="1"/>
  <c r="AV2287" i="6"/>
  <c r="AW2287" i="6" s="1" a="1"/>
  <c r="AW2287" i="6" s="1"/>
  <c r="AV2286" i="6"/>
  <c r="AW2286" i="6" s="1" a="1"/>
  <c r="AW2286" i="6" s="1"/>
  <c r="AV2285" i="6"/>
  <c r="AW2285" i="6" s="1" a="1"/>
  <c r="AW2285" i="6" s="1"/>
  <c r="AV2123" i="6"/>
  <c r="AW2123" i="6" s="1" a="1"/>
  <c r="AW2123" i="6" s="1"/>
  <c r="AV2122" i="6"/>
  <c r="AW2122" i="6" s="1" a="1"/>
  <c r="AW2122" i="6" s="1"/>
  <c r="AV2121" i="6"/>
  <c r="AW2121" i="6" s="1" a="1"/>
  <c r="AW2121" i="6" s="1"/>
  <c r="AV2120" i="6"/>
  <c r="AW2120" i="6" s="1" a="1"/>
  <c r="AW2120" i="6" s="1"/>
  <c r="AV2119" i="6"/>
  <c r="AW2119" i="6" s="1" a="1"/>
  <c r="AW2119" i="6" s="1"/>
  <c r="AV2118" i="6"/>
  <c r="AW2118" i="6" s="1" a="1"/>
  <c r="AW2118" i="6" s="1"/>
  <c r="AV2117" i="6"/>
  <c r="AW2117" i="6" s="1" a="1"/>
  <c r="AW2117" i="6" s="1"/>
  <c r="AV2116" i="6"/>
  <c r="AW2116" i="6" s="1" a="1"/>
  <c r="AW2116" i="6" s="1"/>
  <c r="AV2115" i="6"/>
  <c r="AW2115" i="6" s="1" a="1"/>
  <c r="AW2115" i="6" s="1"/>
  <c r="AV2114" i="6"/>
  <c r="AW2114" i="6" s="1" a="1"/>
  <c r="AW2114" i="6" s="1"/>
  <c r="AV2113" i="6"/>
  <c r="AW2113" i="6" s="1" a="1"/>
  <c r="AW2113" i="6" s="1"/>
  <c r="AV2112" i="6"/>
  <c r="AW2112" i="6" s="1" a="1"/>
  <c r="AW2112" i="6" s="1"/>
  <c r="AV2111" i="6"/>
  <c r="AW2111" i="6" s="1" a="1"/>
  <c r="AW2111" i="6" s="1"/>
  <c r="AV2110" i="6"/>
  <c r="AW2110" i="6" s="1" a="1"/>
  <c r="AW2110" i="6" s="1"/>
  <c r="AV2109" i="6"/>
  <c r="AW2109" i="6" s="1" a="1"/>
  <c r="AW2109" i="6" s="1"/>
  <c r="AV2108" i="6"/>
  <c r="AW2108" i="6" s="1" a="1"/>
  <c r="AW2108" i="6" s="1"/>
  <c r="BA2108" i="6" s="1"/>
  <c r="AZ2108" i="6" s="1"/>
  <c r="AV2107" i="6"/>
  <c r="AW2107" i="6" s="1" a="1"/>
  <c r="AW2107" i="6" s="1"/>
  <c r="AV2106" i="6"/>
  <c r="AW2106" i="6" s="1" a="1"/>
  <c r="AW2106" i="6" s="1"/>
  <c r="AV2105" i="6"/>
  <c r="AW2105" i="6" s="1" a="1"/>
  <c r="AW2105" i="6" s="1"/>
  <c r="AV2104" i="6"/>
  <c r="AW2104" i="6" s="1" a="1"/>
  <c r="AW2104" i="6" s="1"/>
  <c r="AV2103" i="6"/>
  <c r="AW2103" i="6" s="1" a="1"/>
  <c r="AW2103" i="6" s="1"/>
  <c r="AV2102" i="6"/>
  <c r="AW2102" i="6" s="1" a="1"/>
  <c r="AW2102" i="6" s="1"/>
  <c r="AV2101" i="6"/>
  <c r="AW2101" i="6" s="1" a="1"/>
  <c r="AW2101" i="6" s="1"/>
  <c r="AX2101" i="6" s="1"/>
  <c r="AV2100" i="6"/>
  <c r="AW2100" i="6" s="1" a="1"/>
  <c r="AW2100" i="6" s="1"/>
  <c r="AV2099" i="6"/>
  <c r="AW2099" i="6" s="1" a="1"/>
  <c r="AW2099" i="6" s="1"/>
  <c r="AY2099" i="6" s="1"/>
  <c r="BC2099" i="6" s="1"/>
  <c r="AV2098" i="6"/>
  <c r="AW2098" i="6" s="1" a="1"/>
  <c r="AW2098" i="6" s="1"/>
  <c r="AV2097" i="6"/>
  <c r="AW2097" i="6" s="1" a="1"/>
  <c r="AW2097" i="6" s="1"/>
  <c r="AV2096" i="6"/>
  <c r="AW2096" i="6" s="1" a="1"/>
  <c r="AW2096" i="6" s="1"/>
  <c r="AV2095" i="6"/>
  <c r="AW2095" i="6" s="1" a="1"/>
  <c r="AW2095" i="6" s="1"/>
  <c r="AY2095" i="6" s="1"/>
  <c r="BC2095" i="6" s="1"/>
  <c r="AV2094" i="6"/>
  <c r="AW2094" i="6" s="1" a="1"/>
  <c r="AW2094" i="6" s="1"/>
  <c r="AV2093" i="6"/>
  <c r="AW2093" i="6" s="1" a="1"/>
  <c r="AW2093" i="6" s="1"/>
  <c r="AV1371" i="6"/>
  <c r="AW1371" i="6" s="1" a="1"/>
  <c r="AW1371" i="6" s="1"/>
  <c r="AV2092" i="6"/>
  <c r="AW2092" i="6" s="1" a="1"/>
  <c r="AW2092" i="6" s="1"/>
  <c r="AV1858" i="6"/>
  <c r="AW1858" i="6" s="1" a="1"/>
  <c r="AW1858" i="6" s="1"/>
  <c r="AV1857" i="6"/>
  <c r="AW1857" i="6" s="1" a="1"/>
  <c r="AW1857" i="6" s="1"/>
  <c r="AX1857" i="6" s="1"/>
  <c r="AV1367" i="6"/>
  <c r="AW1367" i="6" s="1" a="1"/>
  <c r="AW1367" i="6" s="1"/>
  <c r="AV1856" i="6"/>
  <c r="AW1856" i="6" s="1" a="1"/>
  <c r="AW1856" i="6" s="1"/>
  <c r="AX1856" i="6" s="1"/>
  <c r="AV1854" i="6"/>
  <c r="AW1854" i="6" s="1" a="1"/>
  <c r="AW1854" i="6" s="1"/>
  <c r="AV1853" i="6"/>
  <c r="AW1853" i="6" s="1" a="1"/>
  <c r="AW1853" i="6" s="1"/>
  <c r="AV1837" i="6"/>
  <c r="AW1837" i="6" s="1" a="1"/>
  <c r="AW1837" i="6" s="1"/>
  <c r="AV1836" i="6"/>
  <c r="AW1836" i="6" s="1" a="1"/>
  <c r="AW1836" i="6" s="1"/>
  <c r="AV1852" i="6"/>
  <c r="AW1852" i="6" s="1" a="1"/>
  <c r="AW1852" i="6" s="1"/>
  <c r="AV175" i="6"/>
  <c r="AW175" i="6" s="1" a="1"/>
  <c r="AW175" i="6" s="1"/>
  <c r="AX175" i="6" s="1"/>
  <c r="AV174" i="6"/>
  <c r="AW174" i="6" s="1" a="1"/>
  <c r="AW174" i="6" s="1"/>
  <c r="AV173" i="6"/>
  <c r="AW173" i="6" s="1" a="1"/>
  <c r="AW173" i="6" s="1"/>
  <c r="AX173" i="6" s="1"/>
  <c r="AV172" i="6"/>
  <c r="AW172" i="6" s="1" a="1"/>
  <c r="AW172" i="6" s="1"/>
  <c r="AV171" i="6"/>
  <c r="AW171" i="6" s="1" a="1"/>
  <c r="AW171" i="6" s="1"/>
  <c r="AV170" i="6"/>
  <c r="AW170" i="6" s="1" a="1"/>
  <c r="AW170" i="6" s="1"/>
  <c r="AV169" i="6"/>
  <c r="AW169" i="6" s="1" a="1"/>
  <c r="AW169" i="6" s="1"/>
  <c r="AV168" i="6"/>
  <c r="AW168" i="6" s="1" a="1"/>
  <c r="AW168" i="6" s="1"/>
  <c r="AV167" i="6"/>
  <c r="AW167" i="6" s="1" a="1"/>
  <c r="AW167" i="6" s="1"/>
  <c r="AX167" i="6" s="1"/>
  <c r="AV166" i="6"/>
  <c r="AW166" i="6" s="1" a="1"/>
  <c r="AW166" i="6" s="1"/>
  <c r="AV165" i="6"/>
  <c r="AW165" i="6" s="1" a="1"/>
  <c r="AW165" i="6" s="1"/>
  <c r="AX165" i="6" s="1"/>
  <c r="AV164" i="6"/>
  <c r="AW164" i="6" s="1" a="1"/>
  <c r="AW164" i="6" s="1"/>
  <c r="AV163" i="6"/>
  <c r="AW163" i="6" s="1" a="1"/>
  <c r="AW163" i="6" s="1"/>
  <c r="AV162" i="6"/>
  <c r="AW162" i="6" s="1" a="1"/>
  <c r="AW162" i="6" s="1"/>
  <c r="AV161" i="6"/>
  <c r="AW161" i="6" s="1" a="1"/>
  <c r="AW161" i="6" s="1"/>
  <c r="AV160" i="6"/>
  <c r="AW160" i="6" s="1" a="1"/>
  <c r="AW160" i="6" s="1"/>
  <c r="AV159" i="6"/>
  <c r="AW159" i="6" s="1" a="1"/>
  <c r="AW159" i="6" s="1"/>
  <c r="AX159" i="6" s="1"/>
  <c r="AV158" i="6"/>
  <c r="AW158" i="6" s="1" a="1"/>
  <c r="AW158" i="6" s="1"/>
  <c r="AV157" i="6"/>
  <c r="AW157" i="6" s="1" a="1"/>
  <c r="AW157" i="6" s="1"/>
  <c r="AX157" i="6" s="1"/>
  <c r="AV156" i="6"/>
  <c r="AW156" i="6" s="1" a="1"/>
  <c r="AW156" i="6" s="1"/>
  <c r="AV155" i="6"/>
  <c r="AW155" i="6" s="1" a="1"/>
  <c r="AW155" i="6" s="1"/>
  <c r="AV154" i="6"/>
  <c r="AW154" i="6" s="1" a="1"/>
  <c r="AW154" i="6" s="1"/>
  <c r="AV153" i="6"/>
  <c r="AW153" i="6" s="1" a="1"/>
  <c r="AW153" i="6" s="1"/>
  <c r="AV152" i="6"/>
  <c r="AW152" i="6" s="1" a="1"/>
  <c r="AW152" i="6" s="1"/>
  <c r="AV151" i="6"/>
  <c r="AW151" i="6" s="1" a="1"/>
  <c r="AW151" i="6" s="1"/>
  <c r="AX151" i="6" s="1"/>
  <c r="AV150" i="6"/>
  <c r="AW150" i="6" s="1" a="1"/>
  <c r="AW150" i="6" s="1"/>
  <c r="AV149" i="6"/>
  <c r="AW149" i="6" s="1" a="1"/>
  <c r="AW149" i="6" s="1"/>
  <c r="AX149" i="6" s="1"/>
  <c r="AV148" i="6"/>
  <c r="AW148" i="6" s="1" a="1"/>
  <c r="AW148" i="6" s="1"/>
  <c r="AV147" i="6"/>
  <c r="AW147" i="6" s="1" a="1"/>
  <c r="AW147" i="6" s="1"/>
  <c r="AV146" i="6"/>
  <c r="AW146" i="6" s="1" a="1"/>
  <c r="AW146" i="6" s="1"/>
  <c r="AV145" i="6"/>
  <c r="AW145" i="6" s="1" a="1"/>
  <c r="AW145" i="6" s="1"/>
  <c r="AV144" i="6"/>
  <c r="AW144" i="6" s="1" a="1"/>
  <c r="AW144" i="6" s="1"/>
  <c r="AV143" i="6"/>
  <c r="AW143" i="6" s="1" a="1"/>
  <c r="AW143" i="6" s="1"/>
  <c r="AX143" i="6" s="1"/>
  <c r="AV142" i="6"/>
  <c r="AW142" i="6" s="1" a="1"/>
  <c r="AW142" i="6" s="1"/>
  <c r="AV141" i="6"/>
  <c r="AW141" i="6" s="1" a="1"/>
  <c r="AW141" i="6" s="1"/>
  <c r="AV140" i="6"/>
  <c r="AW140" i="6" s="1" a="1"/>
  <c r="AW140" i="6" s="1"/>
  <c r="AX140" i="6" s="1"/>
  <c r="AV139" i="6"/>
  <c r="AW139" i="6" s="1" a="1"/>
  <c r="AW139" i="6" s="1"/>
  <c r="AV138" i="6"/>
  <c r="AW138" i="6" s="1" a="1"/>
  <c r="AW138" i="6" s="1"/>
  <c r="AV137" i="6"/>
  <c r="AW137" i="6" s="1" a="1"/>
  <c r="AW137" i="6" s="1"/>
  <c r="AX137" i="6" s="1"/>
  <c r="AV136" i="6"/>
  <c r="AW136" i="6" s="1" a="1"/>
  <c r="AW136" i="6" s="1"/>
  <c r="BA136" i="6" s="1"/>
  <c r="AZ136" i="6" s="1"/>
  <c r="AV135" i="6"/>
  <c r="AW135" i="6" s="1" a="1"/>
  <c r="AW135" i="6" s="1"/>
  <c r="AV134" i="6"/>
  <c r="AW134" i="6" s="1" a="1"/>
  <c r="AW134" i="6" s="1"/>
  <c r="AY134" i="6" s="1"/>
  <c r="BC134" i="6" s="1"/>
  <c r="AV133" i="6"/>
  <c r="AW133" i="6" s="1" a="1"/>
  <c r="AW133" i="6" s="1"/>
  <c r="AV132" i="6"/>
  <c r="AW132" i="6" s="1" a="1"/>
  <c r="AW132" i="6" s="1"/>
  <c r="AV131" i="6"/>
  <c r="AW131" i="6" s="1" a="1"/>
  <c r="AW131" i="6" s="1"/>
  <c r="AV130" i="6"/>
  <c r="AW130" i="6" s="1" a="1"/>
  <c r="AW130" i="6" s="1"/>
  <c r="AV129" i="6"/>
  <c r="AW129" i="6" s="1" a="1"/>
  <c r="AW129" i="6" s="1"/>
  <c r="AV128" i="6"/>
  <c r="AW128" i="6" s="1" a="1"/>
  <c r="AW128" i="6" s="1"/>
  <c r="AV127" i="6"/>
  <c r="AW127" i="6" s="1" a="1"/>
  <c r="AW127" i="6" s="1"/>
  <c r="AV126" i="6"/>
  <c r="AW126" i="6" s="1" a="1"/>
  <c r="AW126" i="6" s="1"/>
  <c r="AV125" i="6"/>
  <c r="AW125" i="6" s="1" a="1"/>
  <c r="AW125" i="6" s="1"/>
  <c r="AY125" i="6" s="1"/>
  <c r="BC125" i="6" s="1"/>
  <c r="AV124" i="6"/>
  <c r="AW124" i="6" s="1" a="1"/>
  <c r="AW124" i="6" s="1"/>
  <c r="AY124" i="6" s="1"/>
  <c r="BC124" i="6" s="1"/>
  <c r="AV123" i="6"/>
  <c r="AW123" i="6" s="1" a="1"/>
  <c r="AW123" i="6" s="1"/>
  <c r="AV122" i="6"/>
  <c r="AW122" i="6" s="1" a="1"/>
  <c r="AW122" i="6" s="1"/>
  <c r="AV121" i="6"/>
  <c r="AW121" i="6" s="1" a="1"/>
  <c r="AW121" i="6" s="1"/>
  <c r="AY121" i="6" s="1"/>
  <c r="BC121" i="6" s="1"/>
  <c r="AV120" i="6"/>
  <c r="AW120" i="6" s="1" a="1"/>
  <c r="AW120" i="6" s="1"/>
  <c r="AV119" i="6"/>
  <c r="AW119" i="6" s="1" a="1"/>
  <c r="AW119" i="6" s="1"/>
  <c r="AV118" i="6"/>
  <c r="AW118" i="6" s="1" a="1"/>
  <c r="AW118" i="6" s="1"/>
  <c r="AV117" i="6"/>
  <c r="AW117" i="6" s="1" a="1"/>
  <c r="AW117" i="6" s="1"/>
  <c r="AV842" i="6"/>
  <c r="AW842" i="6" s="1" a="1"/>
  <c r="AW842" i="6" s="1"/>
  <c r="AY842" i="6" s="1"/>
  <c r="BC842" i="6" s="1"/>
  <c r="AV2353" i="6"/>
  <c r="AW2353" i="6" s="1" a="1"/>
  <c r="AW2353" i="6" s="1"/>
  <c r="AV2185" i="6"/>
  <c r="AW2185" i="6" s="1" a="1"/>
  <c r="AW2185" i="6" s="1"/>
  <c r="AV1951" i="6"/>
  <c r="AW1951" i="6" s="1" a="1"/>
  <c r="AW1951" i="6" s="1"/>
  <c r="AX1951" i="6" s="1"/>
  <c r="AV1466" i="6"/>
  <c r="AW1466" i="6" s="1" a="1"/>
  <c r="AW1466" i="6" s="1"/>
  <c r="AY1466" i="6" s="1"/>
  <c r="BC1466" i="6" s="1"/>
  <c r="AV1469" i="6"/>
  <c r="AW1469" i="6" s="1" a="1"/>
  <c r="AW1469" i="6" s="1"/>
  <c r="AV1467" i="6"/>
  <c r="AW1467" i="6" s="1" a="1"/>
  <c r="AW1467" i="6" s="1"/>
  <c r="AV1465" i="6"/>
  <c r="AW1465" i="6" s="1" a="1"/>
  <c r="AW1465" i="6" s="1"/>
  <c r="AX1465" i="6" s="1"/>
  <c r="AV1468" i="6"/>
  <c r="AW1468" i="6" s="1" a="1"/>
  <c r="AW1468" i="6" s="1"/>
  <c r="AY1468" i="6" s="1"/>
  <c r="BC1468" i="6" s="1"/>
  <c r="AV841" i="6"/>
  <c r="AW841" i="6" s="1" a="1"/>
  <c r="AW841" i="6" s="1"/>
  <c r="AV840" i="6"/>
  <c r="AW840" i="6" s="1" a="1"/>
  <c r="AW840" i="6" s="1"/>
  <c r="AV839" i="6"/>
  <c r="AW839" i="6" s="1" a="1"/>
  <c r="AW839" i="6" s="1"/>
  <c r="AV838" i="6"/>
  <c r="AW838" i="6" s="1" a="1"/>
  <c r="AW838" i="6" s="1"/>
  <c r="AV837" i="6"/>
  <c r="AW837" i="6" s="1" a="1"/>
  <c r="AW837" i="6" s="1"/>
  <c r="AV836" i="6"/>
  <c r="AW836" i="6" s="1" a="1"/>
  <c r="AW836" i="6" s="1"/>
  <c r="AV835" i="6"/>
  <c r="AW835" i="6" s="1" a="1"/>
  <c r="AW835" i="6" s="1"/>
  <c r="AX835" i="6" s="1"/>
  <c r="AV834" i="6"/>
  <c r="AW834" i="6" s="1" a="1"/>
  <c r="AW834" i="6" s="1"/>
  <c r="AV833" i="6"/>
  <c r="AW833" i="6" s="1" a="1"/>
  <c r="AW833" i="6" s="1"/>
  <c r="AV116" i="6"/>
  <c r="AW116" i="6" s="1" a="1"/>
  <c r="AW116" i="6" s="1"/>
  <c r="AV115" i="6"/>
  <c r="AW115" i="6" s="1" a="1"/>
  <c r="AW115" i="6" s="1"/>
  <c r="AX115" i="6" s="1"/>
  <c r="AV114" i="6"/>
  <c r="AW114" i="6" s="1" a="1"/>
  <c r="AW114" i="6" s="1"/>
  <c r="AV1950" i="6"/>
  <c r="AW1950" i="6" s="1" a="1"/>
  <c r="AW1950" i="6" s="1"/>
  <c r="BA1950" i="6" s="1"/>
  <c r="AZ1950" i="6" s="1"/>
  <c r="AV1949" i="6"/>
  <c r="AW1949" i="6" s="1" a="1"/>
  <c r="AW1949" i="6" s="1"/>
  <c r="AV1948" i="6"/>
  <c r="AW1948" i="6" s="1" a="1"/>
  <c r="AW1948" i="6" s="1"/>
  <c r="AV2834" i="6"/>
  <c r="AW2834" i="6" s="1" a="1"/>
  <c r="AW2834" i="6" s="1"/>
  <c r="BA2834" i="6" s="1"/>
  <c r="AZ2834" i="6" s="1"/>
  <c r="AV2833" i="6"/>
  <c r="AW2833" i="6" s="1" a="1"/>
  <c r="AW2833" i="6" s="1"/>
  <c r="AV2832" i="6"/>
  <c r="AW2832" i="6" s="1" a="1"/>
  <c r="AW2832" i="6" s="1"/>
  <c r="AV2831" i="6"/>
  <c r="AW2831" i="6" s="1" a="1"/>
  <c r="AW2831" i="6" s="1"/>
  <c r="AX2831" i="6" s="1"/>
  <c r="AV2642" i="6"/>
  <c r="AW2642" i="6" s="1" a="1"/>
  <c r="AW2642" i="6" s="1"/>
  <c r="AV2641" i="6"/>
  <c r="AW2641" i="6" s="1" a="1"/>
  <c r="AW2641" i="6" s="1"/>
  <c r="BA2641" i="6" s="1"/>
  <c r="AZ2641" i="6" s="1"/>
  <c r="AV2462" i="6"/>
  <c r="AW2462" i="6" s="1" a="1"/>
  <c r="AW2462" i="6" s="1"/>
  <c r="AV2461" i="6"/>
  <c r="AW2461" i="6" s="1" a="1"/>
  <c r="AW2461" i="6" s="1"/>
  <c r="AV2460" i="6"/>
  <c r="AW2460" i="6" s="1" a="1"/>
  <c r="AW2460" i="6" s="1"/>
  <c r="BA2460" i="6" s="1"/>
  <c r="AZ2460" i="6" s="1"/>
  <c r="AV2352" i="6"/>
  <c r="AW2352" i="6" s="1" a="1"/>
  <c r="AW2352" i="6" s="1"/>
  <c r="AV2184" i="6"/>
  <c r="AW2184" i="6" s="1" a="1"/>
  <c r="AW2184" i="6" s="1"/>
  <c r="AV2183" i="6"/>
  <c r="AW2183" i="6" s="1" a="1"/>
  <c r="AW2183" i="6" s="1"/>
  <c r="AV1464" i="6"/>
  <c r="AW1464" i="6" s="1" a="1"/>
  <c r="AW1464" i="6" s="1"/>
  <c r="AV832" i="6"/>
  <c r="AW832" i="6" s="1" a="1"/>
  <c r="AW832" i="6" s="1"/>
  <c r="AV831" i="6"/>
  <c r="AW831" i="6" s="1" a="1"/>
  <c r="AW831" i="6" s="1"/>
  <c r="AV830" i="6"/>
  <c r="AW830" i="6" s="1" a="1"/>
  <c r="AW830" i="6" s="1"/>
  <c r="AV113" i="6"/>
  <c r="AW113" i="6" s="1" a="1"/>
  <c r="AW113" i="6" s="1"/>
  <c r="AV1947" i="6"/>
  <c r="AW1947" i="6" s="1" a="1"/>
  <c r="AW1947" i="6" s="1"/>
  <c r="BA2012" i="6" l="1"/>
  <c r="AZ2012" i="6" s="1"/>
  <c r="AY7" i="6"/>
  <c r="BC7" i="6" s="1"/>
  <c r="BA406" i="6"/>
  <c r="AZ406" i="6" s="1"/>
  <c r="AX303" i="6"/>
  <c r="AX644" i="6"/>
  <c r="AX1727" i="6"/>
  <c r="AX798" i="6"/>
  <c r="BA798" i="6"/>
  <c r="AZ798" i="6" s="1"/>
  <c r="BA1004" i="6"/>
  <c r="AZ1004" i="6" s="1"/>
  <c r="AY2683" i="6"/>
  <c r="BC2683" i="6" s="1"/>
  <c r="AY2801" i="6"/>
  <c r="BC2801" i="6" s="1"/>
  <c r="BA2683" i="6"/>
  <c r="AZ2683" i="6" s="1"/>
  <c r="BA303" i="6"/>
  <c r="AZ303" i="6" s="1"/>
  <c r="AX607" i="6"/>
  <c r="AX92" i="6"/>
  <c r="BA2577" i="6"/>
  <c r="AZ2577" i="6" s="1"/>
  <c r="AY607" i="6"/>
  <c r="BC607" i="6" s="1"/>
  <c r="AY29" i="6"/>
  <c r="BC29" i="6" s="1"/>
  <c r="AX2214" i="6"/>
  <c r="AX1537" i="6"/>
  <c r="BA1537" i="6"/>
  <c r="AZ1537" i="6" s="1"/>
  <c r="BA1979" i="6"/>
  <c r="AZ1979" i="6" s="1"/>
  <c r="AY1979" i="6"/>
  <c r="BC1979" i="6" s="1"/>
  <c r="AX1979" i="6"/>
  <c r="AY645" i="6"/>
  <c r="BC645" i="6" s="1"/>
  <c r="AX645" i="6"/>
  <c r="BA835" i="6"/>
  <c r="AZ835" i="6" s="1"/>
  <c r="AX1411" i="6"/>
  <c r="AX30" i="6"/>
  <c r="AX1251" i="6"/>
  <c r="BA999" i="6"/>
  <c r="AZ999" i="6" s="1"/>
  <c r="AY2578" i="6"/>
  <c r="BC2578" i="6" s="1"/>
  <c r="AY1060" i="6"/>
  <c r="BC1060" i="6" s="1"/>
  <c r="AX1015" i="6"/>
  <c r="BA1545" i="6"/>
  <c r="AZ1545" i="6" s="1"/>
  <c r="BA2220" i="6"/>
  <c r="AZ2220" i="6" s="1"/>
  <c r="BA1015" i="6"/>
  <c r="AZ1015" i="6" s="1"/>
  <c r="BA1466" i="6"/>
  <c r="AZ1466" i="6" s="1"/>
  <c r="AX1973" i="6"/>
  <c r="BA1973" i="6"/>
  <c r="AZ1973" i="6" s="1"/>
  <c r="AY2145" i="6"/>
  <c r="BC2145" i="6" s="1"/>
  <c r="AX2145" i="6"/>
  <c r="AY1550" i="6"/>
  <c r="BC1550" i="6" s="1"/>
  <c r="BA1550" i="6"/>
  <c r="AZ1550" i="6" s="1"/>
  <c r="AY2016" i="6"/>
  <c r="BC2016" i="6" s="1"/>
  <c r="AX2016" i="6"/>
  <c r="AY477" i="6"/>
  <c r="BC477" i="6" s="1"/>
  <c r="BA477" i="6"/>
  <c r="AZ477" i="6" s="1"/>
  <c r="AY115" i="6"/>
  <c r="BC115" i="6" s="1"/>
  <c r="BA1468" i="6"/>
  <c r="AZ1468" i="6" s="1"/>
  <c r="AY1646" i="6"/>
  <c r="BC1646" i="6" s="1"/>
  <c r="AX563" i="6"/>
  <c r="BA1421" i="6"/>
  <c r="AZ1421" i="6" s="1"/>
  <c r="AX1421" i="6"/>
  <c r="AY646" i="6"/>
  <c r="BC646" i="6" s="1"/>
  <c r="BA646" i="6"/>
  <c r="AZ646" i="6" s="1"/>
  <c r="AX89" i="6"/>
  <c r="AY89" i="6"/>
  <c r="BC89" i="6" s="1"/>
  <c r="AX670" i="6"/>
  <c r="AY670" i="6"/>
  <c r="BC670" i="6" s="1"/>
  <c r="BA2688" i="6"/>
  <c r="AZ2688" i="6" s="1"/>
  <c r="AY2688" i="6"/>
  <c r="BC2688" i="6" s="1"/>
  <c r="AY433" i="6"/>
  <c r="BC433" i="6" s="1"/>
  <c r="BA433" i="6"/>
  <c r="AZ433" i="6" s="1"/>
  <c r="AX433" i="6"/>
  <c r="BA1162" i="6"/>
  <c r="AZ1162" i="6" s="1"/>
  <c r="AX1162" i="6"/>
  <c r="AY1431" i="6"/>
  <c r="BC1431" i="6" s="1"/>
  <c r="AX1431" i="6"/>
  <c r="BA1431" i="6"/>
  <c r="AZ1431" i="6" s="1"/>
  <c r="BA1646" i="6"/>
  <c r="AZ1646" i="6" s="1"/>
  <c r="BA563" i="6"/>
  <c r="AZ563" i="6" s="1"/>
  <c r="BA647" i="6"/>
  <c r="AZ647" i="6" s="1"/>
  <c r="AX647" i="6"/>
  <c r="AY1523" i="6"/>
  <c r="BC1523" i="6" s="1"/>
  <c r="AX1523" i="6"/>
  <c r="BA640" i="6"/>
  <c r="AZ640" i="6" s="1"/>
  <c r="AX640" i="6"/>
  <c r="AY637" i="6"/>
  <c r="BC637" i="6" s="1"/>
  <c r="AY2744" i="6"/>
  <c r="BC2744" i="6" s="1"/>
  <c r="AX2744" i="6"/>
  <c r="AY328" i="6"/>
  <c r="BC328" i="6" s="1"/>
  <c r="AX328" i="6"/>
  <c r="BA121" i="6"/>
  <c r="AZ121" i="6" s="1"/>
  <c r="AX2595" i="6"/>
  <c r="BA2595" i="6"/>
  <c r="AZ2595" i="6" s="1"/>
  <c r="AY2595" i="6"/>
  <c r="BC2595" i="6" s="1"/>
  <c r="AY1160" i="6"/>
  <c r="BC1160" i="6" s="1"/>
  <c r="AX1160" i="6"/>
  <c r="AY907" i="6"/>
  <c r="BC907" i="6" s="1"/>
  <c r="AX907" i="6"/>
  <c r="AY1762" i="6"/>
  <c r="BC1762" i="6" s="1"/>
  <c r="BA1762" i="6"/>
  <c r="AZ1762" i="6" s="1"/>
  <c r="BA115" i="6"/>
  <c r="AZ115" i="6" s="1"/>
  <c r="BA994" i="6"/>
  <c r="AZ994" i="6" s="1"/>
  <c r="AX999" i="6"/>
  <c r="AY2001" i="6"/>
  <c r="BC2001" i="6" s="1"/>
  <c r="AY1699" i="6"/>
  <c r="BC1699" i="6" s="1"/>
  <c r="AX1699" i="6"/>
  <c r="AX1050" i="6"/>
  <c r="AY1050" i="6"/>
  <c r="BC1050" i="6" s="1"/>
  <c r="AY2021" i="6"/>
  <c r="BC2021" i="6" s="1"/>
  <c r="BA2021" i="6"/>
  <c r="AZ2021" i="6" s="1"/>
  <c r="AX2021" i="6"/>
  <c r="AY1010" i="6"/>
  <c r="BC1010" i="6" s="1"/>
  <c r="AX1010" i="6"/>
  <c r="AY609" i="6"/>
  <c r="BC609" i="6" s="1"/>
  <c r="BA609" i="6"/>
  <c r="AZ609" i="6" s="1"/>
  <c r="AY1159" i="6"/>
  <c r="BC1159" i="6" s="1"/>
  <c r="AX2148" i="6"/>
  <c r="AX2213" i="6"/>
  <c r="AX2217" i="6"/>
  <c r="AX1441" i="6"/>
  <c r="BA2217" i="6"/>
  <c r="AZ2217" i="6" s="1"/>
  <c r="AX1429" i="6"/>
  <c r="BA1060" i="6"/>
  <c r="AZ1060" i="6" s="1"/>
  <c r="AX1081" i="6"/>
  <c r="AX669" i="6"/>
  <c r="BA30" i="6"/>
  <c r="AZ30" i="6" s="1"/>
  <c r="AX2418" i="6"/>
  <c r="BA1429" i="6"/>
  <c r="AZ1429" i="6" s="1"/>
  <c r="AX2514" i="6"/>
  <c r="AX2220" i="6"/>
  <c r="BA1251" i="6"/>
  <c r="AZ1251" i="6" s="1"/>
  <c r="AX963" i="6"/>
  <c r="BA1508" i="6"/>
  <c r="AZ1508" i="6" s="1"/>
  <c r="AX839" i="6"/>
  <c r="BA839" i="6"/>
  <c r="AZ839" i="6" s="1"/>
  <c r="AY839" i="6"/>
  <c r="BC839" i="6" s="1"/>
  <c r="AX34" i="6"/>
  <c r="BA34" i="6"/>
  <c r="AZ34" i="6" s="1"/>
  <c r="AY34" i="6"/>
  <c r="BC34" i="6" s="1"/>
  <c r="AY834" i="6"/>
  <c r="BC834" i="6" s="1"/>
  <c r="BA834" i="6"/>
  <c r="AZ834" i="6" s="1"/>
  <c r="AY128" i="6"/>
  <c r="BC128" i="6" s="1"/>
  <c r="AX128" i="6"/>
  <c r="BA128" i="6"/>
  <c r="AZ128" i="6" s="1"/>
  <c r="AX1622" i="6"/>
  <c r="AY1622" i="6"/>
  <c r="BC1622" i="6" s="1"/>
  <c r="BA1622" i="6"/>
  <c r="AZ1622" i="6" s="1"/>
  <c r="AY117" i="6"/>
  <c r="BC117" i="6" s="1"/>
  <c r="BA117" i="6"/>
  <c r="AZ117" i="6" s="1"/>
  <c r="AY129" i="6"/>
  <c r="BC129" i="6" s="1"/>
  <c r="BA129" i="6"/>
  <c r="AZ129" i="6" s="1"/>
  <c r="BA135" i="6"/>
  <c r="AZ135" i="6" s="1"/>
  <c r="AX135" i="6"/>
  <c r="BA1019" i="6"/>
  <c r="AZ1019" i="6" s="1"/>
  <c r="AX1019" i="6"/>
  <c r="AY1019" i="6"/>
  <c r="BC1019" i="6" s="1"/>
  <c r="AY120" i="6"/>
  <c r="BC120" i="6" s="1"/>
  <c r="BA120" i="6"/>
  <c r="AZ120" i="6" s="1"/>
  <c r="AX120" i="6"/>
  <c r="AY132" i="6"/>
  <c r="BC132" i="6" s="1"/>
  <c r="BA132" i="6"/>
  <c r="AZ132" i="6" s="1"/>
  <c r="AX132" i="6"/>
  <c r="AY838" i="6"/>
  <c r="BC838" i="6" s="1"/>
  <c r="BA838" i="6"/>
  <c r="AZ838" i="6" s="1"/>
  <c r="AX1969" i="6"/>
  <c r="BA1969" i="6"/>
  <c r="AZ1969" i="6" s="1"/>
  <c r="AY835" i="6"/>
  <c r="BC835" i="6" s="1"/>
  <c r="AX1466" i="6"/>
  <c r="BA125" i="6"/>
  <c r="AZ125" i="6" s="1"/>
  <c r="AY136" i="6"/>
  <c r="BC136" i="6" s="1"/>
  <c r="BA1027" i="6"/>
  <c r="AZ1027" i="6" s="1"/>
  <c r="AY1027" i="6"/>
  <c r="BC1027" i="6" s="1"/>
  <c r="AY2831" i="6"/>
  <c r="BC2831" i="6" s="1"/>
  <c r="AY1465" i="6"/>
  <c r="BC1465" i="6" s="1"/>
  <c r="AX842" i="6"/>
  <c r="AY1638" i="6"/>
  <c r="BC1638" i="6" s="1"/>
  <c r="BA1971" i="6"/>
  <c r="AZ1971" i="6" s="1"/>
  <c r="BA1974" i="6"/>
  <c r="AZ1974" i="6" s="1"/>
  <c r="BA1011" i="6"/>
  <c r="AZ1011" i="6" s="1"/>
  <c r="AY1011" i="6"/>
  <c r="BC1011" i="6" s="1"/>
  <c r="AY1023" i="6"/>
  <c r="BC1023" i="6" s="1"/>
  <c r="BA1023" i="6"/>
  <c r="AZ1023" i="6" s="1"/>
  <c r="AX1027" i="6"/>
  <c r="AX586" i="6"/>
  <c r="AY1163" i="6"/>
  <c r="BC1163" i="6" s="1"/>
  <c r="AX1163" i="6"/>
  <c r="AX430" i="6"/>
  <c r="BA430" i="6"/>
  <c r="AZ430" i="6" s="1"/>
  <c r="BA842" i="6"/>
  <c r="AZ842" i="6" s="1"/>
  <c r="BA1638" i="6"/>
  <c r="AZ1638" i="6" s="1"/>
  <c r="BA995" i="6"/>
  <c r="AZ995" i="6" s="1"/>
  <c r="AX995" i="6"/>
  <c r="BA1003" i="6"/>
  <c r="AZ1003" i="6" s="1"/>
  <c r="AX1003" i="6"/>
  <c r="AY1007" i="6"/>
  <c r="BC1007" i="6" s="1"/>
  <c r="BA1007" i="6"/>
  <c r="AZ1007" i="6" s="1"/>
  <c r="AY586" i="6"/>
  <c r="BC586" i="6" s="1"/>
  <c r="BA1465" i="6"/>
  <c r="AZ1465" i="6" s="1"/>
  <c r="AY1630" i="6"/>
  <c r="BC1630" i="6" s="1"/>
  <c r="BA1972" i="6"/>
  <c r="AZ1972" i="6" s="1"/>
  <c r="AY995" i="6"/>
  <c r="BC995" i="6" s="1"/>
  <c r="AY1003" i="6"/>
  <c r="BC1003" i="6" s="1"/>
  <c r="AX1007" i="6"/>
  <c r="AY1951" i="6"/>
  <c r="BC1951" i="6" s="1"/>
  <c r="AX124" i="6"/>
  <c r="BA1951" i="6"/>
  <c r="AZ1951" i="6" s="1"/>
  <c r="BA124" i="6"/>
  <c r="AZ124" i="6" s="1"/>
  <c r="BA1630" i="6"/>
  <c r="AZ1630" i="6" s="1"/>
  <c r="BA866" i="6"/>
  <c r="AZ866" i="6" s="1"/>
  <c r="AX866" i="6"/>
  <c r="BA2486" i="6"/>
  <c r="AZ2486" i="6" s="1"/>
  <c r="AY2486" i="6"/>
  <c r="BC2486" i="6" s="1"/>
  <c r="AX2486" i="6"/>
  <c r="AY626" i="6"/>
  <c r="BC626" i="6" s="1"/>
  <c r="BA626" i="6"/>
  <c r="AZ626" i="6" s="1"/>
  <c r="AX626" i="6"/>
  <c r="BA639" i="6"/>
  <c r="AZ639" i="6" s="1"/>
  <c r="AX639" i="6"/>
  <c r="AY648" i="6"/>
  <c r="BC648" i="6" s="1"/>
  <c r="AX648" i="6"/>
  <c r="BA2493" i="6"/>
  <c r="AZ2493" i="6" s="1"/>
  <c r="AY2493" i="6"/>
  <c r="BC2493" i="6" s="1"/>
  <c r="AX2493" i="6"/>
  <c r="BA1548" i="6"/>
  <c r="AZ1548" i="6" s="1"/>
  <c r="AX1548" i="6"/>
  <c r="AX1554" i="6"/>
  <c r="AY1554" i="6"/>
  <c r="BC1554" i="6" s="1"/>
  <c r="AX2015" i="6"/>
  <c r="BA2015" i="6"/>
  <c r="AZ2015" i="6" s="1"/>
  <c r="AY2015" i="6"/>
  <c r="BC2015" i="6" s="1"/>
  <c r="AY1401" i="6"/>
  <c r="BC1401" i="6" s="1"/>
  <c r="BA1401" i="6"/>
  <c r="AZ1401" i="6" s="1"/>
  <c r="BA2545" i="6"/>
  <c r="AZ2545" i="6" s="1"/>
  <c r="AY2545" i="6"/>
  <c r="BC2545" i="6" s="1"/>
  <c r="AX2376" i="6"/>
  <c r="BA622" i="6"/>
  <c r="AZ622" i="6" s="1"/>
  <c r="AX622" i="6"/>
  <c r="AY639" i="6"/>
  <c r="BC639" i="6" s="1"/>
  <c r="AX650" i="6"/>
  <c r="AY650" i="6"/>
  <c r="BC650" i="6" s="1"/>
  <c r="BA654" i="6"/>
  <c r="AZ654" i="6" s="1"/>
  <c r="AY654" i="6"/>
  <c r="BC654" i="6" s="1"/>
  <c r="AX654" i="6"/>
  <c r="AY2592" i="6"/>
  <c r="BC2592" i="6" s="1"/>
  <c r="AX2592" i="6"/>
  <c r="AX25" i="6"/>
  <c r="AY25" i="6"/>
  <c r="BC25" i="6" s="1"/>
  <c r="BA1530" i="6"/>
  <c r="AZ1530" i="6" s="1"/>
  <c r="AX1530" i="6"/>
  <c r="AY2135" i="6"/>
  <c r="BC2135" i="6" s="1"/>
  <c r="AX2135" i="6"/>
  <c r="AY2140" i="6"/>
  <c r="BC2140" i="6" s="1"/>
  <c r="BA2140" i="6"/>
  <c r="AZ2140" i="6" s="1"/>
  <c r="AY1702" i="6"/>
  <c r="BC1702" i="6" s="1"/>
  <c r="BA1702" i="6"/>
  <c r="AZ1702" i="6" s="1"/>
  <c r="AX1702" i="6"/>
  <c r="AY594" i="6"/>
  <c r="BC594" i="6" s="1"/>
  <c r="AX594" i="6"/>
  <c r="AY2149" i="6"/>
  <c r="BC2149" i="6" s="1"/>
  <c r="AX2149" i="6"/>
  <c r="AX1402" i="6"/>
  <c r="AY1402" i="6"/>
  <c r="BC1402" i="6" s="1"/>
  <c r="AY2716" i="6"/>
  <c r="BC2716" i="6" s="1"/>
  <c r="AX2716" i="6"/>
  <c r="AY1696" i="6"/>
  <c r="BC1696" i="6" s="1"/>
  <c r="AX1696" i="6"/>
  <c r="AY622" i="6"/>
  <c r="BC622" i="6" s="1"/>
  <c r="BA2593" i="6"/>
  <c r="AZ2593" i="6" s="1"/>
  <c r="AX2593" i="6"/>
  <c r="AY22" i="6"/>
  <c r="BC22" i="6" s="1"/>
  <c r="BA22" i="6"/>
  <c r="AZ22" i="6" s="1"/>
  <c r="AX22" i="6"/>
  <c r="BA25" i="6"/>
  <c r="AZ25" i="6" s="1"/>
  <c r="BA29" i="6"/>
  <c r="AZ29" i="6" s="1"/>
  <c r="AY1530" i="6"/>
  <c r="BC1530" i="6" s="1"/>
  <c r="AX2140" i="6"/>
  <c r="BA2010" i="6"/>
  <c r="AZ2010" i="6" s="1"/>
  <c r="AY2010" i="6"/>
  <c r="BC2010" i="6" s="1"/>
  <c r="AX2010" i="6"/>
  <c r="AX1995" i="6"/>
  <c r="AY1995" i="6"/>
  <c r="BC1995" i="6" s="1"/>
  <c r="BA1402" i="6"/>
  <c r="AZ1402" i="6" s="1"/>
  <c r="BA1696" i="6"/>
  <c r="AZ1696" i="6" s="1"/>
  <c r="BA623" i="6"/>
  <c r="AZ623" i="6" s="1"/>
  <c r="AY623" i="6"/>
  <c r="BC623" i="6" s="1"/>
  <c r="AX623" i="6"/>
  <c r="BA5" i="6"/>
  <c r="AZ5" i="6" s="1"/>
  <c r="AY5" i="6"/>
  <c r="BC5" i="6" s="1"/>
  <c r="AX5" i="6"/>
  <c r="AX13" i="6"/>
  <c r="AY13" i="6"/>
  <c r="BC13" i="6" s="1"/>
  <c r="AY2136" i="6"/>
  <c r="BC2136" i="6" s="1"/>
  <c r="AX2141" i="6"/>
  <c r="AY2141" i="6"/>
  <c r="BC2141" i="6" s="1"/>
  <c r="AY503" i="6"/>
  <c r="BC503" i="6" s="1"/>
  <c r="AX503" i="6"/>
  <c r="AY425" i="6"/>
  <c r="BC425" i="6" s="1"/>
  <c r="BA425" i="6"/>
  <c r="AZ425" i="6" s="1"/>
  <c r="AX493" i="6"/>
  <c r="AY493" i="6"/>
  <c r="BC493" i="6" s="1"/>
  <c r="AY192" i="6"/>
  <c r="BC192" i="6" s="1"/>
  <c r="BA192" i="6"/>
  <c r="AZ192" i="6" s="1"/>
  <c r="BA2680" i="6"/>
  <c r="AZ2680" i="6" s="1"/>
  <c r="AY2680" i="6"/>
  <c r="BC2680" i="6" s="1"/>
  <c r="AY2590" i="6"/>
  <c r="BC2590" i="6" s="1"/>
  <c r="AX2590" i="6"/>
  <c r="BA606" i="6"/>
  <c r="AZ606" i="6" s="1"/>
  <c r="AY606" i="6"/>
  <c r="BC606" i="6" s="1"/>
  <c r="AY629" i="6"/>
  <c r="BC629" i="6" s="1"/>
  <c r="BA629" i="6"/>
  <c r="AZ629" i="6" s="1"/>
  <c r="BA706" i="6"/>
  <c r="AZ706" i="6" s="1"/>
  <c r="AX706" i="6"/>
  <c r="BA14" i="6"/>
  <c r="AZ14" i="6" s="1"/>
  <c r="AY14" i="6"/>
  <c r="BC14" i="6" s="1"/>
  <c r="BA23" i="6"/>
  <c r="AZ23" i="6" s="1"/>
  <c r="AY23" i="6"/>
  <c r="BC23" i="6" s="1"/>
  <c r="AX23" i="6"/>
  <c r="AX2421" i="6"/>
  <c r="AY2421" i="6"/>
  <c r="BC2421" i="6" s="1"/>
  <c r="BA493" i="6"/>
  <c r="AZ493" i="6" s="1"/>
  <c r="BA193" i="6"/>
  <c r="AZ193" i="6" s="1"/>
  <c r="AX193" i="6"/>
  <c r="BA1892" i="6"/>
  <c r="AZ1892" i="6" s="1"/>
  <c r="AY1892" i="6"/>
  <c r="BC1892" i="6" s="1"/>
  <c r="AX1892" i="6"/>
  <c r="AY2374" i="6"/>
  <c r="BC2374" i="6" s="1"/>
  <c r="AX2374" i="6"/>
  <c r="AY1990" i="6"/>
  <c r="BC1990" i="6" s="1"/>
  <c r="AX1990" i="6"/>
  <c r="AX606" i="6"/>
  <c r="AX629" i="6"/>
  <c r="AY706" i="6"/>
  <c r="BC706" i="6" s="1"/>
  <c r="AY6" i="6"/>
  <c r="BC6" i="6" s="1"/>
  <c r="AX14" i="6"/>
  <c r="AY426" i="6"/>
  <c r="BC426" i="6" s="1"/>
  <c r="AX426" i="6"/>
  <c r="BA426" i="6"/>
  <c r="AZ426" i="6" s="1"/>
  <c r="AX2215" i="6"/>
  <c r="BA2215" i="6"/>
  <c r="AZ2215" i="6" s="1"/>
  <c r="AY2215" i="6"/>
  <c r="BC2215" i="6" s="1"/>
  <c r="AY865" i="6"/>
  <c r="BC865" i="6" s="1"/>
  <c r="BA865" i="6"/>
  <c r="AZ865" i="6" s="1"/>
  <c r="AY630" i="6"/>
  <c r="BC630" i="6" s="1"/>
  <c r="BA630" i="6"/>
  <c r="AZ630" i="6" s="1"/>
  <c r="AY403" i="6"/>
  <c r="BC403" i="6" s="1"/>
  <c r="AX403" i="6"/>
  <c r="AY2007" i="6"/>
  <c r="BC2007" i="6" s="1"/>
  <c r="BA2007" i="6"/>
  <c r="AZ2007" i="6" s="1"/>
  <c r="BA2207" i="6"/>
  <c r="AZ2207" i="6" s="1"/>
  <c r="AX1993" i="6"/>
  <c r="AY1993" i="6"/>
  <c r="BC1993" i="6" s="1"/>
  <c r="AY1406" i="6"/>
  <c r="BC1406" i="6" s="1"/>
  <c r="AX1406" i="6"/>
  <c r="AY643" i="6"/>
  <c r="BC643" i="6" s="1"/>
  <c r="AX643" i="6"/>
  <c r="BA655" i="6"/>
  <c r="AZ655" i="6" s="1"/>
  <c r="AX655" i="6"/>
  <c r="BA2743" i="6"/>
  <c r="AZ2743" i="6" s="1"/>
  <c r="AX2743" i="6"/>
  <c r="AY28" i="6"/>
  <c r="BC28" i="6" s="1"/>
  <c r="BA28" i="6"/>
  <c r="AZ28" i="6" s="1"/>
  <c r="AX1529" i="6"/>
  <c r="BA1529" i="6"/>
  <c r="AZ1529" i="6" s="1"/>
  <c r="AX593" i="6"/>
  <c r="AY593" i="6"/>
  <c r="BC593" i="6" s="1"/>
  <c r="AY1553" i="6"/>
  <c r="BC1553" i="6" s="1"/>
  <c r="AX1553" i="6"/>
  <c r="AY2008" i="6"/>
  <c r="BC2008" i="6" s="1"/>
  <c r="AX2008" i="6"/>
  <c r="BA2008" i="6"/>
  <c r="AZ2008" i="6" s="1"/>
  <c r="AY1547" i="6"/>
  <c r="BC1547" i="6" s="1"/>
  <c r="AX1547" i="6"/>
  <c r="AY1894" i="6"/>
  <c r="BC1894" i="6" s="1"/>
  <c r="BA1894" i="6"/>
  <c r="AZ1894" i="6" s="1"/>
  <c r="AX1894" i="6"/>
  <c r="AY1421" i="6"/>
  <c r="BC1421" i="6" s="1"/>
  <c r="AY1081" i="6"/>
  <c r="BC1081" i="6" s="1"/>
  <c r="BA89" i="6"/>
  <c r="AZ89" i="6" s="1"/>
  <c r="BA669" i="6"/>
  <c r="AZ669" i="6" s="1"/>
  <c r="BA2744" i="6"/>
  <c r="AZ2744" i="6" s="1"/>
  <c r="BA2578" i="6"/>
  <c r="AZ2578" i="6" s="1"/>
  <c r="BA2418" i="6"/>
  <c r="AZ2418" i="6" s="1"/>
  <c r="BA2148" i="6"/>
  <c r="AZ2148" i="6" s="1"/>
  <c r="BA1547" i="6"/>
  <c r="AZ1547" i="6" s="1"/>
  <c r="AX2020" i="6"/>
  <c r="AY2020" i="6"/>
  <c r="BC2020" i="6" s="1"/>
  <c r="AY1439" i="6"/>
  <c r="BC1439" i="6" s="1"/>
  <c r="AX1439" i="6"/>
  <c r="BA1439" i="6"/>
  <c r="AZ1439" i="6" s="1"/>
  <c r="BA560" i="6"/>
  <c r="AZ560" i="6" s="1"/>
  <c r="BA2213" i="6"/>
  <c r="AZ2213" i="6" s="1"/>
  <c r="AX918" i="6"/>
  <c r="AY2057" i="6"/>
  <c r="BC2057" i="6" s="1"/>
  <c r="AX2057" i="6"/>
  <c r="BA670" i="6"/>
  <c r="AZ670" i="6" s="1"/>
  <c r="BA2801" i="6"/>
  <c r="AZ2801" i="6" s="1"/>
  <c r="AY1884" i="6"/>
  <c r="BC1884" i="6" s="1"/>
  <c r="AX1884" i="6"/>
  <c r="AY2722" i="6"/>
  <c r="BC2722" i="6" s="1"/>
  <c r="BA2722" i="6"/>
  <c r="AZ2722" i="6" s="1"/>
  <c r="AX2722" i="6"/>
  <c r="AX317" i="6"/>
  <c r="AY317" i="6"/>
  <c r="BC317" i="6" s="1"/>
  <c r="BA1061" i="6"/>
  <c r="AZ1061" i="6" s="1"/>
  <c r="AX1061" i="6"/>
  <c r="AY1562" i="6"/>
  <c r="BC1562" i="6" s="1"/>
  <c r="BA1562" i="6"/>
  <c r="AZ1562" i="6" s="1"/>
  <c r="AX1562" i="6"/>
  <c r="AX973" i="6"/>
  <c r="BA973" i="6"/>
  <c r="AZ973" i="6" s="1"/>
  <c r="AY973" i="6"/>
  <c r="BC973" i="6" s="1"/>
  <c r="AX1910" i="6"/>
  <c r="BA1910" i="6"/>
  <c r="AZ1910" i="6" s="1"/>
  <c r="AY1910" i="6"/>
  <c r="BC1910" i="6" s="1"/>
  <c r="BA579" i="6"/>
  <c r="AZ579" i="6" s="1"/>
  <c r="AY579" i="6"/>
  <c r="BC579" i="6" s="1"/>
  <c r="AX579" i="6"/>
  <c r="AY2159" i="6"/>
  <c r="BC2159" i="6" s="1"/>
  <c r="BA2159" i="6"/>
  <c r="AZ2159" i="6" s="1"/>
  <c r="AY801" i="6"/>
  <c r="BC801" i="6" s="1"/>
  <c r="BA801" i="6"/>
  <c r="AZ801" i="6" s="1"/>
  <c r="AX801" i="6"/>
  <c r="AY1172" i="6"/>
  <c r="BC1172" i="6" s="1"/>
  <c r="BA1172" i="6"/>
  <c r="AZ1172" i="6" s="1"/>
  <c r="BA2001" i="6"/>
  <c r="AZ2001" i="6" s="1"/>
  <c r="AY640" i="6"/>
  <c r="BC640" i="6" s="1"/>
  <c r="BA645" i="6"/>
  <c r="AZ645" i="6" s="1"/>
  <c r="BA1159" i="6"/>
  <c r="AZ1159" i="6" s="1"/>
  <c r="AY1538" i="6"/>
  <c r="BC1538" i="6" s="1"/>
  <c r="AX1538" i="6"/>
  <c r="AY1866" i="6"/>
  <c r="BC1866" i="6" s="1"/>
  <c r="BA1866" i="6"/>
  <c r="AZ1866" i="6" s="1"/>
  <c r="AX1866" i="6"/>
  <c r="AY967" i="6"/>
  <c r="BC967" i="6" s="1"/>
  <c r="BA967" i="6"/>
  <c r="AZ967" i="6" s="1"/>
  <c r="BA1891" i="6"/>
  <c r="AZ1891" i="6" s="1"/>
  <c r="BA963" i="6"/>
  <c r="AZ963" i="6" s="1"/>
  <c r="AY441" i="6"/>
  <c r="BC441" i="6" s="1"/>
  <c r="BA1059" i="6"/>
  <c r="AZ1059" i="6" s="1"/>
  <c r="BA1245" i="6"/>
  <c r="AZ1245" i="6" s="1"/>
  <c r="AX1763" i="6"/>
  <c r="AX1058" i="6"/>
  <c r="AX1062" i="6"/>
  <c r="BA1763" i="6"/>
  <c r="AZ1763" i="6" s="1"/>
  <c r="BA1257" i="6"/>
  <c r="AZ1257" i="6" s="1"/>
  <c r="AY1062" i="6"/>
  <c r="BC1062" i="6" s="1"/>
  <c r="BA907" i="6"/>
  <c r="AZ907" i="6" s="1"/>
  <c r="AX1221" i="6"/>
  <c r="AX1762" i="6"/>
  <c r="AY924" i="6"/>
  <c r="BC924" i="6" s="1"/>
  <c r="AX477" i="6"/>
  <c r="AX1891" i="6"/>
  <c r="AY928" i="6"/>
  <c r="BC928" i="6" s="1"/>
  <c r="AY1508" i="6"/>
  <c r="BC1508" i="6" s="1"/>
  <c r="AX441" i="6"/>
  <c r="AX1059" i="6"/>
  <c r="BA310" i="6"/>
  <c r="AZ310" i="6" s="1"/>
  <c r="AY310" i="6"/>
  <c r="BC310" i="6" s="1"/>
  <c r="AX310" i="6"/>
  <c r="BA1105" i="6"/>
  <c r="AZ1105" i="6" s="1"/>
  <c r="AX1105" i="6"/>
  <c r="AY1105" i="6"/>
  <c r="BC1105" i="6" s="1"/>
  <c r="BA1732" i="6"/>
  <c r="AZ1732" i="6" s="1"/>
  <c r="AY1732" i="6"/>
  <c r="BC1732" i="6" s="1"/>
  <c r="AX1732" i="6"/>
  <c r="BA486" i="6"/>
  <c r="AZ486" i="6" s="1"/>
  <c r="AX486" i="6"/>
  <c r="AY486" i="6"/>
  <c r="BC486" i="6" s="1"/>
  <c r="BA490" i="6"/>
  <c r="AZ490" i="6" s="1"/>
  <c r="AY490" i="6"/>
  <c r="BC490" i="6" s="1"/>
  <c r="AX490" i="6"/>
  <c r="BA2513" i="6"/>
  <c r="AZ2513" i="6" s="1"/>
  <c r="AX2513" i="6"/>
  <c r="AY2513" i="6"/>
  <c r="BC2513" i="6" s="1"/>
  <c r="BA2824" i="6"/>
  <c r="AZ2824" i="6" s="1"/>
  <c r="AX2824" i="6"/>
  <c r="AY2824" i="6"/>
  <c r="BC2824" i="6" s="1"/>
  <c r="BA1719" i="6"/>
  <c r="AZ1719" i="6" s="1"/>
  <c r="AX1719" i="6"/>
  <c r="AY1719" i="6"/>
  <c r="BC1719" i="6" s="1"/>
  <c r="BA1104" i="6"/>
  <c r="AZ1104" i="6" s="1"/>
  <c r="AY1104" i="6"/>
  <c r="BC1104" i="6" s="1"/>
  <c r="AX1104" i="6"/>
  <c r="BA1110" i="6"/>
  <c r="AZ1110" i="6" s="1"/>
  <c r="AY1110" i="6"/>
  <c r="BC1110" i="6" s="1"/>
  <c r="AX1110" i="6"/>
  <c r="BA1731" i="6"/>
  <c r="AZ1731" i="6" s="1"/>
  <c r="AX1731" i="6"/>
  <c r="AY1731" i="6"/>
  <c r="BC1731" i="6" s="1"/>
  <c r="BA2826" i="6"/>
  <c r="AZ2826" i="6" s="1"/>
  <c r="AY2826" i="6"/>
  <c r="BC2826" i="6" s="1"/>
  <c r="AX2826" i="6"/>
  <c r="BA583" i="6"/>
  <c r="AZ583" i="6" s="1"/>
  <c r="AY583" i="6"/>
  <c r="BC583" i="6" s="1"/>
  <c r="AX583" i="6"/>
  <c r="BA524" i="6"/>
  <c r="AZ524" i="6" s="1"/>
  <c r="AX524" i="6"/>
  <c r="AY524" i="6"/>
  <c r="BC524" i="6" s="1"/>
  <c r="BA1138" i="6"/>
  <c r="AZ1138" i="6" s="1"/>
  <c r="AY1138" i="6"/>
  <c r="BC1138" i="6" s="1"/>
  <c r="AX1138" i="6"/>
  <c r="BA2651" i="6"/>
  <c r="AZ2651" i="6" s="1"/>
  <c r="AX2651" i="6"/>
  <c r="AY2651" i="6"/>
  <c r="BC2651" i="6" s="1"/>
  <c r="BA398" i="6"/>
  <c r="AZ398" i="6" s="1"/>
  <c r="AX398" i="6"/>
  <c r="AY398" i="6"/>
  <c r="BC398" i="6" s="1"/>
  <c r="BA1704" i="6"/>
  <c r="AZ1704" i="6" s="1"/>
  <c r="AX1704" i="6"/>
  <c r="AY1704" i="6"/>
  <c r="BC1704" i="6" s="1"/>
  <c r="BA1599" i="6"/>
  <c r="AZ1599" i="6" s="1"/>
  <c r="AX1599" i="6"/>
  <c r="AY1599" i="6"/>
  <c r="BC1599" i="6" s="1"/>
  <c r="BA1605" i="6"/>
  <c r="AZ1605" i="6" s="1"/>
  <c r="AY1605" i="6"/>
  <c r="BC1605" i="6" s="1"/>
  <c r="AX1605" i="6"/>
  <c r="BA1729" i="6"/>
  <c r="AZ1729" i="6" s="1"/>
  <c r="AY1729" i="6"/>
  <c r="BC1729" i="6" s="1"/>
  <c r="AX1729" i="6"/>
  <c r="BA399" i="6"/>
  <c r="AZ399" i="6" s="1"/>
  <c r="AX399" i="6"/>
  <c r="AY399" i="6"/>
  <c r="BC399" i="6" s="1"/>
  <c r="BA2827" i="6"/>
  <c r="AZ2827" i="6" s="1"/>
  <c r="AY2827" i="6"/>
  <c r="BC2827" i="6" s="1"/>
  <c r="AX2827" i="6"/>
  <c r="BA1720" i="6"/>
  <c r="AZ1720" i="6" s="1"/>
  <c r="AY1720" i="6"/>
  <c r="BC1720" i="6" s="1"/>
  <c r="AX1720" i="6"/>
  <c r="BA312" i="6"/>
  <c r="AZ312" i="6" s="1"/>
  <c r="AY312" i="6"/>
  <c r="BC312" i="6" s="1"/>
  <c r="AX312" i="6"/>
  <c r="BA1111" i="6"/>
  <c r="AZ1111" i="6" s="1"/>
  <c r="AX1111" i="6"/>
  <c r="AY1111" i="6"/>
  <c r="BC1111" i="6" s="1"/>
  <c r="BA390" i="6"/>
  <c r="AZ390" i="6" s="1"/>
  <c r="AY390" i="6"/>
  <c r="BC390" i="6" s="1"/>
  <c r="AX390" i="6"/>
  <c r="BA395" i="6"/>
  <c r="AZ395" i="6" s="1"/>
  <c r="AY395" i="6"/>
  <c r="BC395" i="6" s="1"/>
  <c r="AX395" i="6"/>
  <c r="BA584" i="6"/>
  <c r="AZ584" i="6" s="1"/>
  <c r="AX584" i="6"/>
  <c r="AY584" i="6"/>
  <c r="BC584" i="6" s="1"/>
  <c r="BA525" i="6"/>
  <c r="AZ525" i="6" s="1"/>
  <c r="AY525" i="6"/>
  <c r="BC525" i="6" s="1"/>
  <c r="AX525" i="6"/>
  <c r="BA1133" i="6"/>
  <c r="AZ1133" i="6" s="1"/>
  <c r="AY1133" i="6"/>
  <c r="BC1133" i="6" s="1"/>
  <c r="AX1133" i="6"/>
  <c r="BA1888" i="6"/>
  <c r="AZ1888" i="6" s="1"/>
  <c r="AY1888" i="6"/>
  <c r="BC1888" i="6" s="1"/>
  <c r="AX1888" i="6"/>
  <c r="BA1600" i="6"/>
  <c r="AZ1600" i="6" s="1"/>
  <c r="AY1600" i="6"/>
  <c r="BC1600" i="6" s="1"/>
  <c r="AX1600" i="6"/>
  <c r="BA1606" i="6"/>
  <c r="AZ1606" i="6" s="1"/>
  <c r="AY1606" i="6"/>
  <c r="BC1606" i="6" s="1"/>
  <c r="AX1606" i="6"/>
  <c r="BA1140" i="6"/>
  <c r="AZ1140" i="6" s="1"/>
  <c r="AY1140" i="6"/>
  <c r="BC1140" i="6" s="1"/>
  <c r="AX1140" i="6"/>
  <c r="BA1710" i="6"/>
  <c r="AZ1710" i="6" s="1"/>
  <c r="AY1710" i="6"/>
  <c r="BC1710" i="6" s="1"/>
  <c r="AX1710" i="6"/>
  <c r="BA1721" i="6"/>
  <c r="AZ1721" i="6" s="1"/>
  <c r="AX1721" i="6"/>
  <c r="AY1721" i="6"/>
  <c r="BC1721" i="6" s="1"/>
  <c r="BA314" i="6"/>
  <c r="AZ314" i="6" s="1"/>
  <c r="AY314" i="6"/>
  <c r="BC314" i="6" s="1"/>
  <c r="AX314" i="6"/>
  <c r="BA1108" i="6"/>
  <c r="AZ1108" i="6" s="1"/>
  <c r="AY1108" i="6"/>
  <c r="BC1108" i="6" s="1"/>
  <c r="AX1108" i="6"/>
  <c r="BA391" i="6"/>
  <c r="AZ391" i="6" s="1"/>
  <c r="AX391" i="6"/>
  <c r="AY391" i="6"/>
  <c r="BC391" i="6" s="1"/>
  <c r="BA392" i="6"/>
  <c r="AZ392" i="6" s="1"/>
  <c r="AX392" i="6"/>
  <c r="AY392" i="6"/>
  <c r="BC392" i="6" s="1"/>
  <c r="BA1114" i="6"/>
  <c r="AZ1114" i="6" s="1"/>
  <c r="AY1114" i="6"/>
  <c r="BC1114" i="6" s="1"/>
  <c r="AX1114" i="6"/>
  <c r="BA526" i="6"/>
  <c r="AZ526" i="6" s="1"/>
  <c r="AX526" i="6"/>
  <c r="AY526" i="6"/>
  <c r="BC526" i="6" s="1"/>
  <c r="BA529" i="6"/>
  <c r="AZ529" i="6" s="1"/>
  <c r="AX529" i="6"/>
  <c r="AY529" i="6"/>
  <c r="BC529" i="6" s="1"/>
  <c r="BA595" i="6"/>
  <c r="AZ595" i="6" s="1"/>
  <c r="AX595" i="6"/>
  <c r="AY595" i="6"/>
  <c r="BC595" i="6" s="1"/>
  <c r="BA488" i="6"/>
  <c r="AZ488" i="6" s="1"/>
  <c r="AX488" i="6"/>
  <c r="AY488" i="6"/>
  <c r="BC488" i="6" s="1"/>
  <c r="BA213" i="6"/>
  <c r="AZ213" i="6" s="1"/>
  <c r="AX213" i="6"/>
  <c r="AY213" i="6"/>
  <c r="BC213" i="6" s="1"/>
  <c r="BA1601" i="6"/>
  <c r="AZ1601" i="6" s="1"/>
  <c r="AY1601" i="6"/>
  <c r="BC1601" i="6" s="1"/>
  <c r="AX1601" i="6"/>
  <c r="BA1607" i="6"/>
  <c r="AZ1607" i="6" s="1"/>
  <c r="AY1607" i="6"/>
  <c r="BC1607" i="6" s="1"/>
  <c r="AX1607" i="6"/>
  <c r="BA1615" i="6"/>
  <c r="AZ1615" i="6" s="1"/>
  <c r="AY1615" i="6"/>
  <c r="BC1615" i="6" s="1"/>
  <c r="AX1615" i="6"/>
  <c r="BA2256" i="6"/>
  <c r="AZ2256" i="6" s="1"/>
  <c r="AY2256" i="6"/>
  <c r="BC2256" i="6" s="1"/>
  <c r="AX2256" i="6"/>
  <c r="BA2412" i="6"/>
  <c r="AZ2412" i="6" s="1"/>
  <c r="AY2412" i="6"/>
  <c r="BC2412" i="6" s="1"/>
  <c r="AX2412" i="6"/>
  <c r="BA1745" i="6"/>
  <c r="AZ1745" i="6" s="1"/>
  <c r="AY1745" i="6"/>
  <c r="BC1745" i="6" s="1"/>
  <c r="AX1745" i="6"/>
  <c r="BA521" i="6"/>
  <c r="AZ521" i="6" s="1"/>
  <c r="AY521" i="6"/>
  <c r="BC521" i="6" s="1"/>
  <c r="AX521" i="6"/>
  <c r="BA1611" i="6"/>
  <c r="AZ1611" i="6" s="1"/>
  <c r="AY1611" i="6"/>
  <c r="BC1611" i="6" s="1"/>
  <c r="AX1611" i="6"/>
  <c r="BA2406" i="6"/>
  <c r="AZ2406" i="6" s="1"/>
  <c r="AY2406" i="6"/>
  <c r="BC2406" i="6" s="1"/>
  <c r="AX2406" i="6"/>
  <c r="BA1730" i="6"/>
  <c r="AZ1730" i="6" s="1"/>
  <c r="AY1730" i="6"/>
  <c r="BC1730" i="6" s="1"/>
  <c r="AX1730" i="6"/>
  <c r="BA1100" i="6"/>
  <c r="AZ1100" i="6" s="1"/>
  <c r="AX1100" i="6"/>
  <c r="AY1100" i="6"/>
  <c r="BC1100" i="6" s="1"/>
  <c r="BA1740" i="6"/>
  <c r="AZ1740" i="6" s="1"/>
  <c r="AY1740" i="6"/>
  <c r="BC1740" i="6" s="1"/>
  <c r="AX1740" i="6"/>
  <c r="BA1123" i="6"/>
  <c r="AZ1123" i="6" s="1"/>
  <c r="AY1123" i="6"/>
  <c r="BC1123" i="6" s="1"/>
  <c r="AX1123" i="6"/>
  <c r="BA2610" i="6"/>
  <c r="AZ2610" i="6" s="1"/>
  <c r="AY2610" i="6"/>
  <c r="BC2610" i="6" s="1"/>
  <c r="AX2610" i="6"/>
  <c r="BA2818" i="6"/>
  <c r="AZ2818" i="6" s="1"/>
  <c r="AY2818" i="6"/>
  <c r="BC2818" i="6" s="1"/>
  <c r="AX2818" i="6"/>
  <c r="BA522" i="6"/>
  <c r="AZ522" i="6" s="1"/>
  <c r="AY522" i="6"/>
  <c r="BC522" i="6" s="1"/>
  <c r="AX522" i="6"/>
  <c r="BA1135" i="6"/>
  <c r="AZ1135" i="6" s="1"/>
  <c r="AY1135" i="6"/>
  <c r="BC1135" i="6" s="1"/>
  <c r="AX1135" i="6"/>
  <c r="BA1142" i="6"/>
  <c r="AZ1142" i="6" s="1"/>
  <c r="AY1142" i="6"/>
  <c r="BC1142" i="6" s="1"/>
  <c r="AX1142" i="6"/>
  <c r="BA489" i="6"/>
  <c r="AZ489" i="6" s="1"/>
  <c r="AX489" i="6"/>
  <c r="AY489" i="6"/>
  <c r="BC489" i="6" s="1"/>
  <c r="BA2703" i="6"/>
  <c r="AZ2703" i="6" s="1"/>
  <c r="AY2703" i="6"/>
  <c r="BC2703" i="6" s="1"/>
  <c r="AX2703" i="6"/>
  <c r="BA1608" i="6"/>
  <c r="AZ1608" i="6" s="1"/>
  <c r="AY1608" i="6"/>
  <c r="BC1608" i="6" s="1"/>
  <c r="AX1608" i="6"/>
  <c r="BA1616" i="6"/>
  <c r="AZ1616" i="6" s="1"/>
  <c r="AY1616" i="6"/>
  <c r="BC1616" i="6" s="1"/>
  <c r="AX1616" i="6"/>
  <c r="BA2253" i="6"/>
  <c r="AZ2253" i="6" s="1"/>
  <c r="AX2253" i="6"/>
  <c r="AY2253" i="6"/>
  <c r="BC2253" i="6" s="1"/>
  <c r="BA1718" i="6"/>
  <c r="AZ1718" i="6" s="1"/>
  <c r="AY1718" i="6"/>
  <c r="BC1718" i="6" s="1"/>
  <c r="AX1718" i="6"/>
  <c r="BA1101" i="6"/>
  <c r="AZ1101" i="6" s="1"/>
  <c r="AY1101" i="6"/>
  <c r="BC1101" i="6" s="1"/>
  <c r="AX1101" i="6"/>
  <c r="BA360" i="6"/>
  <c r="AZ360" i="6" s="1"/>
  <c r="AX360" i="6"/>
  <c r="AY360" i="6"/>
  <c r="BC360" i="6" s="1"/>
  <c r="BA1748" i="6"/>
  <c r="AZ1748" i="6" s="1"/>
  <c r="AX1748" i="6"/>
  <c r="AY1748" i="6"/>
  <c r="BC1748" i="6" s="1"/>
  <c r="BA2823" i="6"/>
  <c r="AZ2823" i="6" s="1"/>
  <c r="AX2823" i="6"/>
  <c r="AY2823" i="6"/>
  <c r="BC2823" i="6" s="1"/>
  <c r="BA2819" i="6"/>
  <c r="AZ2819" i="6" s="1"/>
  <c r="AX2819" i="6"/>
  <c r="AY2819" i="6"/>
  <c r="BC2819" i="6" s="1"/>
  <c r="BA520" i="6"/>
  <c r="AZ520" i="6" s="1"/>
  <c r="AY520" i="6"/>
  <c r="BC520" i="6" s="1"/>
  <c r="AX520" i="6"/>
  <c r="BA1136" i="6"/>
  <c r="AZ1136" i="6" s="1"/>
  <c r="AX1136" i="6"/>
  <c r="AY1136" i="6"/>
  <c r="BC1136" i="6" s="1"/>
  <c r="BA1143" i="6"/>
  <c r="AZ1143" i="6" s="1"/>
  <c r="AX1143" i="6"/>
  <c r="AY1143" i="6"/>
  <c r="BC1143" i="6" s="1"/>
  <c r="BA1859" i="6"/>
  <c r="AZ1859" i="6" s="1"/>
  <c r="AY1859" i="6"/>
  <c r="BC1859" i="6" s="1"/>
  <c r="AX1859" i="6"/>
  <c r="BA1609" i="6"/>
  <c r="AZ1609" i="6" s="1"/>
  <c r="AY1609" i="6"/>
  <c r="BC1609" i="6" s="1"/>
  <c r="AX1609" i="6"/>
  <c r="BA1617" i="6"/>
  <c r="AZ1617" i="6" s="1"/>
  <c r="AY1617" i="6"/>
  <c r="BC1617" i="6" s="1"/>
  <c r="AX1617" i="6"/>
  <c r="BA2512" i="6"/>
  <c r="AZ2512" i="6" s="1"/>
  <c r="AY2512" i="6"/>
  <c r="BC2512" i="6" s="1"/>
  <c r="AX2512" i="6"/>
  <c r="BA1716" i="6"/>
  <c r="AZ1716" i="6" s="1"/>
  <c r="AY1716" i="6"/>
  <c r="BC1716" i="6" s="1"/>
  <c r="AX1716" i="6"/>
  <c r="BA1102" i="6"/>
  <c r="AZ1102" i="6" s="1"/>
  <c r="AX1102" i="6"/>
  <c r="AY1102" i="6"/>
  <c r="BC1102" i="6" s="1"/>
  <c r="BA361" i="6"/>
  <c r="AZ361" i="6" s="1"/>
  <c r="AY361" i="6"/>
  <c r="BC361" i="6" s="1"/>
  <c r="AX361" i="6"/>
  <c r="BA1107" i="6"/>
  <c r="AZ1107" i="6" s="1"/>
  <c r="AY1107" i="6"/>
  <c r="BC1107" i="6" s="1"/>
  <c r="AX1107" i="6"/>
  <c r="BA2614" i="6"/>
  <c r="AZ2614" i="6" s="1"/>
  <c r="AY2614" i="6"/>
  <c r="BC2614" i="6" s="1"/>
  <c r="AX2614" i="6"/>
  <c r="BA2820" i="6"/>
  <c r="AZ2820" i="6" s="1"/>
  <c r="AY2820" i="6"/>
  <c r="BC2820" i="6" s="1"/>
  <c r="AX2820" i="6"/>
  <c r="BA422" i="6"/>
  <c r="AZ422" i="6" s="1"/>
  <c r="AY422" i="6"/>
  <c r="BC422" i="6" s="1"/>
  <c r="AX422" i="6"/>
  <c r="BA1137" i="6"/>
  <c r="AZ1137" i="6" s="1"/>
  <c r="AY1137" i="6"/>
  <c r="BC1137" i="6" s="1"/>
  <c r="AX1137" i="6"/>
  <c r="BA1144" i="6"/>
  <c r="AZ1144" i="6" s="1"/>
  <c r="AY1144" i="6"/>
  <c r="BC1144" i="6" s="1"/>
  <c r="AX1144" i="6"/>
  <c r="BA1771" i="6"/>
  <c r="AZ1771" i="6" s="1"/>
  <c r="AX1771" i="6"/>
  <c r="AY1771" i="6"/>
  <c r="BC1771" i="6" s="1"/>
  <c r="BA491" i="6"/>
  <c r="AZ491" i="6" s="1"/>
  <c r="AX491" i="6"/>
  <c r="AY491" i="6"/>
  <c r="BC491" i="6" s="1"/>
  <c r="BA396" i="6"/>
  <c r="AZ396" i="6" s="1"/>
  <c r="AX396" i="6"/>
  <c r="AY396" i="6"/>
  <c r="BC396" i="6" s="1"/>
  <c r="BA528" i="6"/>
  <c r="AZ528" i="6" s="1"/>
  <c r="AX528" i="6"/>
  <c r="AY528" i="6"/>
  <c r="BC528" i="6" s="1"/>
  <c r="BA1603" i="6"/>
  <c r="AZ1603" i="6" s="1"/>
  <c r="AX1603" i="6"/>
  <c r="AY1603" i="6"/>
  <c r="BC1603" i="6" s="1"/>
  <c r="AX1618" i="6"/>
  <c r="BA1618" i="6"/>
  <c r="AZ1618" i="6" s="1"/>
  <c r="AY1618" i="6"/>
  <c r="BC1618" i="6" s="1"/>
  <c r="BA306" i="6"/>
  <c r="AZ306" i="6" s="1"/>
  <c r="AX306" i="6"/>
  <c r="AY306" i="6"/>
  <c r="BC306" i="6" s="1"/>
  <c r="BA307" i="6"/>
  <c r="AZ307" i="6" s="1"/>
  <c r="AX307" i="6"/>
  <c r="AY307" i="6"/>
  <c r="BC307" i="6" s="1"/>
  <c r="BA1902" i="6"/>
  <c r="AZ1902" i="6" s="1"/>
  <c r="AY1902" i="6"/>
  <c r="BC1902" i="6" s="1"/>
  <c r="AX1902" i="6"/>
  <c r="BA1106" i="6"/>
  <c r="AZ1106" i="6" s="1"/>
  <c r="AX1106" i="6"/>
  <c r="AY1106" i="6"/>
  <c r="BC1106" i="6" s="1"/>
  <c r="BA1744" i="6"/>
  <c r="AZ1744" i="6" s="1"/>
  <c r="AX1744" i="6"/>
  <c r="AY1744" i="6"/>
  <c r="BC1744" i="6" s="1"/>
  <c r="BA393" i="6"/>
  <c r="AZ393" i="6" s="1"/>
  <c r="AY393" i="6"/>
  <c r="BC393" i="6" s="1"/>
  <c r="AX393" i="6"/>
  <c r="BA2617" i="6"/>
  <c r="AZ2617" i="6" s="1"/>
  <c r="AX2617" i="6"/>
  <c r="AY2617" i="6"/>
  <c r="BC2617" i="6" s="1"/>
  <c r="BA581" i="6"/>
  <c r="AZ581" i="6" s="1"/>
  <c r="AY581" i="6"/>
  <c r="BC581" i="6" s="1"/>
  <c r="AX581" i="6"/>
  <c r="BA1131" i="6"/>
  <c r="AZ1131" i="6" s="1"/>
  <c r="AY1131" i="6"/>
  <c r="BC1131" i="6" s="1"/>
  <c r="AX1131" i="6"/>
  <c r="BA573" i="6"/>
  <c r="AZ573" i="6" s="1"/>
  <c r="AX573" i="6"/>
  <c r="AY573" i="6"/>
  <c r="BC573" i="6" s="1"/>
  <c r="BA1145" i="6"/>
  <c r="AZ1145" i="6" s="1"/>
  <c r="AY1145" i="6"/>
  <c r="BC1145" i="6" s="1"/>
  <c r="AX1145" i="6"/>
  <c r="BA1141" i="6"/>
  <c r="AZ1141" i="6" s="1"/>
  <c r="AY1141" i="6"/>
  <c r="BC1141" i="6" s="1"/>
  <c r="AX1141" i="6"/>
  <c r="BA487" i="6"/>
  <c r="AZ487" i="6" s="1"/>
  <c r="AY487" i="6"/>
  <c r="BC487" i="6" s="1"/>
  <c r="AX487" i="6"/>
  <c r="BA2413" i="6"/>
  <c r="AZ2413" i="6" s="1"/>
  <c r="AY2413" i="6"/>
  <c r="BC2413" i="6" s="1"/>
  <c r="AX2413" i="6"/>
  <c r="BA1872" i="6"/>
  <c r="AZ1872" i="6" s="1"/>
  <c r="AY1872" i="6"/>
  <c r="BC1872" i="6" s="1"/>
  <c r="AX1872" i="6"/>
  <c r="AX1629" i="6"/>
  <c r="BA1629" i="6"/>
  <c r="AZ1629" i="6" s="1"/>
  <c r="AX1637" i="6"/>
  <c r="BA1637" i="6"/>
  <c r="AZ1637" i="6" s="1"/>
  <c r="AX1645" i="6"/>
  <c r="BA1645" i="6"/>
  <c r="AZ1645" i="6" s="1"/>
  <c r="AX33" i="6"/>
  <c r="BA33" i="6"/>
  <c r="AZ33" i="6" s="1"/>
  <c r="AX41" i="6"/>
  <c r="AY41" i="6"/>
  <c r="BC41" i="6" s="1"/>
  <c r="AX46" i="6"/>
  <c r="BA46" i="6"/>
  <c r="AZ46" i="6" s="1"/>
  <c r="AY46" i="6"/>
  <c r="BC46" i="6" s="1"/>
  <c r="AX57" i="6"/>
  <c r="AY57" i="6"/>
  <c r="BC57" i="6" s="1"/>
  <c r="AX62" i="6"/>
  <c r="BA62" i="6"/>
  <c r="AZ62" i="6" s="1"/>
  <c r="AY62" i="6"/>
  <c r="BC62" i="6" s="1"/>
  <c r="AX73" i="6"/>
  <c r="AY73" i="6"/>
  <c r="BC73" i="6" s="1"/>
  <c r="AX78" i="6"/>
  <c r="BA78" i="6"/>
  <c r="AZ78" i="6" s="1"/>
  <c r="AY78" i="6"/>
  <c r="BC78" i="6" s="1"/>
  <c r="AX90" i="6"/>
  <c r="AY90" i="6"/>
  <c r="BC90" i="6" s="1"/>
  <c r="AX707" i="6"/>
  <c r="BA707" i="6"/>
  <c r="AZ707" i="6" s="1"/>
  <c r="AY707" i="6"/>
  <c r="BC707" i="6" s="1"/>
  <c r="AX2438" i="6"/>
  <c r="AY2438" i="6"/>
  <c r="BC2438" i="6" s="1"/>
  <c r="AX2450" i="6"/>
  <c r="BA2450" i="6"/>
  <c r="AZ2450" i="6" s="1"/>
  <c r="AY2450" i="6"/>
  <c r="BC2450" i="6" s="1"/>
  <c r="AX2535" i="6"/>
  <c r="AY2535" i="6"/>
  <c r="BC2535" i="6" s="1"/>
  <c r="BA2535" i="6"/>
  <c r="AZ2535" i="6" s="1"/>
  <c r="AX2542" i="6"/>
  <c r="AY2542" i="6"/>
  <c r="BC2542" i="6" s="1"/>
  <c r="BA2542" i="6"/>
  <c r="AZ2542" i="6" s="1"/>
  <c r="AX1757" i="6"/>
  <c r="AY1757" i="6"/>
  <c r="BC1757" i="6" s="1"/>
  <c r="BA1757" i="6"/>
  <c r="AZ1757" i="6" s="1"/>
  <c r="AX2074" i="6"/>
  <c r="AY2074" i="6"/>
  <c r="BC2074" i="6" s="1"/>
  <c r="BA2074" i="6"/>
  <c r="AZ2074" i="6" s="1"/>
  <c r="AX2085" i="6"/>
  <c r="AY2085" i="6"/>
  <c r="BC2085" i="6" s="1"/>
  <c r="BA2085" i="6"/>
  <c r="AZ2085" i="6" s="1"/>
  <c r="AX372" i="6"/>
  <c r="AY372" i="6"/>
  <c r="BC372" i="6" s="1"/>
  <c r="BA372" i="6"/>
  <c r="AZ372" i="6" s="1"/>
  <c r="AX380" i="6"/>
  <c r="AY380" i="6"/>
  <c r="BC380" i="6" s="1"/>
  <c r="BA380" i="6"/>
  <c r="AZ380" i="6" s="1"/>
  <c r="AX2087" i="6"/>
  <c r="AY2087" i="6"/>
  <c r="BC2087" i="6" s="1"/>
  <c r="BA2087" i="6"/>
  <c r="AZ2087" i="6" s="1"/>
  <c r="AX414" i="6"/>
  <c r="AY414" i="6"/>
  <c r="BC414" i="6" s="1"/>
  <c r="BA414" i="6"/>
  <c r="AZ414" i="6" s="1"/>
  <c r="AX450" i="6"/>
  <c r="AY450" i="6"/>
  <c r="BC450" i="6" s="1"/>
  <c r="BA450" i="6"/>
  <c r="AZ450" i="6" s="1"/>
  <c r="AX509" i="6"/>
  <c r="AY509" i="6"/>
  <c r="BC509" i="6" s="1"/>
  <c r="BA509" i="6"/>
  <c r="AZ509" i="6" s="1"/>
  <c r="AX1189" i="6"/>
  <c r="AY1189" i="6"/>
  <c r="BC1189" i="6" s="1"/>
  <c r="BA1189" i="6"/>
  <c r="AZ1189" i="6" s="1"/>
  <c r="AX1217" i="6"/>
  <c r="AY1217" i="6"/>
  <c r="BC1217" i="6" s="1"/>
  <c r="BA1217" i="6"/>
  <c r="AZ1217" i="6" s="1"/>
  <c r="AX1925" i="6"/>
  <c r="AY1925" i="6"/>
  <c r="BC1925" i="6" s="1"/>
  <c r="BA1925" i="6"/>
  <c r="AZ1925" i="6" s="1"/>
  <c r="AX2416" i="6"/>
  <c r="AY2416" i="6"/>
  <c r="BC2416" i="6" s="1"/>
  <c r="BA2416" i="6"/>
  <c r="AZ2416" i="6" s="1"/>
  <c r="AX977" i="6"/>
  <c r="AY977" i="6"/>
  <c r="BC977" i="6" s="1"/>
  <c r="BA977" i="6"/>
  <c r="AZ977" i="6" s="1"/>
  <c r="AX363" i="6"/>
  <c r="AY363" i="6"/>
  <c r="BC363" i="6" s="1"/>
  <c r="BA363" i="6"/>
  <c r="AZ363" i="6" s="1"/>
  <c r="AX978" i="6"/>
  <c r="AY978" i="6"/>
  <c r="BC978" i="6" s="1"/>
  <c r="BA978" i="6"/>
  <c r="AZ978" i="6" s="1"/>
  <c r="AX1514" i="6"/>
  <c r="AY1514" i="6"/>
  <c r="BC1514" i="6" s="1"/>
  <c r="BA1514" i="6"/>
  <c r="AZ1514" i="6" s="1"/>
  <c r="AX2197" i="6"/>
  <c r="AY2197" i="6"/>
  <c r="BC2197" i="6" s="1"/>
  <c r="BA2197" i="6"/>
  <c r="AZ2197" i="6" s="1"/>
  <c r="AX1146" i="6"/>
  <c r="AY1146" i="6"/>
  <c r="BC1146" i="6" s="1"/>
  <c r="BA1146" i="6"/>
  <c r="AZ1146" i="6" s="1"/>
  <c r="AX2132" i="6"/>
  <c r="AY2132" i="6"/>
  <c r="BC2132" i="6" s="1"/>
  <c r="BA2132" i="6"/>
  <c r="AZ2132" i="6" s="1"/>
  <c r="AX1970" i="6"/>
  <c r="AY1970" i="6"/>
  <c r="BC1970" i="6" s="1"/>
  <c r="BA1970" i="6"/>
  <c r="AZ1970" i="6" s="1"/>
  <c r="AY1629" i="6"/>
  <c r="BC1629" i="6" s="1"/>
  <c r="AX1633" i="6"/>
  <c r="BA1633" i="6"/>
  <c r="AZ1633" i="6" s="1"/>
  <c r="AY1633" i="6"/>
  <c r="BC1633" i="6" s="1"/>
  <c r="AY1637" i="6"/>
  <c r="BC1637" i="6" s="1"/>
  <c r="AX1641" i="6"/>
  <c r="BA1641" i="6"/>
  <c r="AZ1641" i="6" s="1"/>
  <c r="AY1641" i="6"/>
  <c r="BC1641" i="6" s="1"/>
  <c r="AY1645" i="6"/>
  <c r="BC1645" i="6" s="1"/>
  <c r="AX1649" i="6"/>
  <c r="BA1649" i="6"/>
  <c r="AZ1649" i="6" s="1"/>
  <c r="AY1649" i="6"/>
  <c r="BC1649" i="6" s="1"/>
  <c r="AY33" i="6"/>
  <c r="BC33" i="6" s="1"/>
  <c r="AX37" i="6"/>
  <c r="BA37" i="6"/>
  <c r="AZ37" i="6" s="1"/>
  <c r="AY37" i="6"/>
  <c r="BC37" i="6" s="1"/>
  <c r="BA41" i="6"/>
  <c r="AZ41" i="6" s="1"/>
  <c r="AX47" i="6"/>
  <c r="AY47" i="6"/>
  <c r="BC47" i="6" s="1"/>
  <c r="AX52" i="6"/>
  <c r="BA52" i="6"/>
  <c r="AZ52" i="6" s="1"/>
  <c r="AY52" i="6"/>
  <c r="BC52" i="6" s="1"/>
  <c r="BA57" i="6"/>
  <c r="AZ57" i="6" s="1"/>
  <c r="AX63" i="6"/>
  <c r="AY63" i="6"/>
  <c r="BC63" i="6" s="1"/>
  <c r="AX68" i="6"/>
  <c r="BA68" i="6"/>
  <c r="AZ68" i="6" s="1"/>
  <c r="AY68" i="6"/>
  <c r="BC68" i="6" s="1"/>
  <c r="BA73" i="6"/>
  <c r="AZ73" i="6" s="1"/>
  <c r="AX79" i="6"/>
  <c r="AY79" i="6"/>
  <c r="BC79" i="6" s="1"/>
  <c r="AX84" i="6"/>
  <c r="BA84" i="6"/>
  <c r="AZ84" i="6" s="1"/>
  <c r="AY84" i="6"/>
  <c r="BC84" i="6" s="1"/>
  <c r="BA90" i="6"/>
  <c r="AZ90" i="6" s="1"/>
  <c r="AX2258" i="6"/>
  <c r="AY2258" i="6"/>
  <c r="BC2258" i="6" s="1"/>
  <c r="AX710" i="6"/>
  <c r="BA710" i="6"/>
  <c r="AZ710" i="6" s="1"/>
  <c r="AY710" i="6"/>
  <c r="BC710" i="6" s="1"/>
  <c r="BA2438" i="6"/>
  <c r="AZ2438" i="6" s="1"/>
  <c r="AX2451" i="6"/>
  <c r="AY2451" i="6"/>
  <c r="BC2451" i="6" s="1"/>
  <c r="AX2536" i="6"/>
  <c r="BA2536" i="6"/>
  <c r="AZ2536" i="6" s="1"/>
  <c r="AY2536" i="6"/>
  <c r="BC2536" i="6" s="1"/>
  <c r="AX2538" i="6"/>
  <c r="BA2538" i="6"/>
  <c r="AZ2538" i="6" s="1"/>
  <c r="AY2538" i="6"/>
  <c r="BC2538" i="6" s="1"/>
  <c r="AX1758" i="6"/>
  <c r="BA1758" i="6"/>
  <c r="AZ1758" i="6" s="1"/>
  <c r="AY1758" i="6"/>
  <c r="BC1758" i="6" s="1"/>
  <c r="AX2068" i="6"/>
  <c r="BA2068" i="6"/>
  <c r="AZ2068" i="6" s="1"/>
  <c r="AY2068" i="6"/>
  <c r="BC2068" i="6" s="1"/>
  <c r="AX2821" i="6"/>
  <c r="BA2821" i="6"/>
  <c r="AZ2821" i="6" s="1"/>
  <c r="AY2821" i="6"/>
  <c r="BC2821" i="6" s="1"/>
  <c r="AX374" i="6"/>
  <c r="BA374" i="6"/>
  <c r="AZ374" i="6" s="1"/>
  <c r="AY374" i="6"/>
  <c r="BC374" i="6" s="1"/>
  <c r="AX2272" i="6"/>
  <c r="BA2272" i="6"/>
  <c r="AZ2272" i="6" s="1"/>
  <c r="AY2272" i="6"/>
  <c r="BC2272" i="6" s="1"/>
  <c r="AX2428" i="6"/>
  <c r="BA2428" i="6"/>
  <c r="AZ2428" i="6" s="1"/>
  <c r="AY2428" i="6"/>
  <c r="BC2428" i="6" s="1"/>
  <c r="AX476" i="6"/>
  <c r="BA476" i="6"/>
  <c r="AZ476" i="6" s="1"/>
  <c r="AY476" i="6"/>
  <c r="BC476" i="6" s="1"/>
  <c r="AX451" i="6"/>
  <c r="BA451" i="6"/>
  <c r="AZ451" i="6" s="1"/>
  <c r="AY451" i="6"/>
  <c r="BC451" i="6" s="1"/>
  <c r="AX510" i="6"/>
  <c r="BA510" i="6"/>
  <c r="AZ510" i="6" s="1"/>
  <c r="AY510" i="6"/>
  <c r="BC510" i="6" s="1"/>
  <c r="AX1190" i="6"/>
  <c r="BA1190" i="6"/>
  <c r="AZ1190" i="6" s="1"/>
  <c r="AY1190" i="6"/>
  <c r="BC1190" i="6" s="1"/>
  <c r="AX1218" i="6"/>
  <c r="BA1218" i="6"/>
  <c r="AZ1218" i="6" s="1"/>
  <c r="AY1218" i="6"/>
  <c r="BC1218" i="6" s="1"/>
  <c r="AX318" i="6"/>
  <c r="BA318" i="6"/>
  <c r="AZ318" i="6" s="1"/>
  <c r="AY318" i="6"/>
  <c r="BC318" i="6" s="1"/>
  <c r="AX400" i="6"/>
  <c r="BA400" i="6"/>
  <c r="AZ400" i="6" s="1"/>
  <c r="AY400" i="6"/>
  <c r="BC400" i="6" s="1"/>
  <c r="AX2126" i="6"/>
  <c r="BA2126" i="6"/>
  <c r="AZ2126" i="6" s="1"/>
  <c r="AY2126" i="6"/>
  <c r="BC2126" i="6" s="1"/>
  <c r="AX1260" i="6"/>
  <c r="BA1260" i="6"/>
  <c r="AZ1260" i="6" s="1"/>
  <c r="AY1260" i="6"/>
  <c r="BC1260" i="6" s="1"/>
  <c r="AX1966" i="6"/>
  <c r="BA1966" i="6"/>
  <c r="AZ1966" i="6" s="1"/>
  <c r="AY1966" i="6"/>
  <c r="BC1966" i="6" s="1"/>
  <c r="AX980" i="6"/>
  <c r="BA980" i="6"/>
  <c r="AZ980" i="6" s="1"/>
  <c r="AY980" i="6"/>
  <c r="BC980" i="6" s="1"/>
  <c r="AX1517" i="6"/>
  <c r="BA1517" i="6"/>
  <c r="AZ1517" i="6" s="1"/>
  <c r="AY1517" i="6"/>
  <c r="BC1517" i="6" s="1"/>
  <c r="AX1147" i="6"/>
  <c r="BA1147" i="6"/>
  <c r="AZ1147" i="6" s="1"/>
  <c r="AY1147" i="6"/>
  <c r="BC1147" i="6" s="1"/>
  <c r="AX981" i="6"/>
  <c r="BA981" i="6"/>
  <c r="AZ981" i="6" s="1"/>
  <c r="AY981" i="6"/>
  <c r="BC981" i="6" s="1"/>
  <c r="BA1705" i="6"/>
  <c r="AZ1705" i="6" s="1"/>
  <c r="AX1705" i="6"/>
  <c r="AY1705" i="6"/>
  <c r="BC1705" i="6" s="1"/>
  <c r="AX1619" i="6"/>
  <c r="BA1619" i="6"/>
  <c r="AZ1619" i="6" s="1"/>
  <c r="AY1619" i="6"/>
  <c r="BC1619" i="6" s="1"/>
  <c r="AX1502" i="6"/>
  <c r="BA1502" i="6"/>
  <c r="AZ1502" i="6" s="1"/>
  <c r="AY1502" i="6"/>
  <c r="BC1502" i="6" s="1"/>
  <c r="AX42" i="6"/>
  <c r="BA42" i="6"/>
  <c r="AZ42" i="6" s="1"/>
  <c r="AY42" i="6"/>
  <c r="BC42" i="6" s="1"/>
  <c r="AX53" i="6"/>
  <c r="AY53" i="6"/>
  <c r="BC53" i="6" s="1"/>
  <c r="AX58" i="6"/>
  <c r="BA58" i="6"/>
  <c r="AZ58" i="6" s="1"/>
  <c r="AY58" i="6"/>
  <c r="BC58" i="6" s="1"/>
  <c r="AX69" i="6"/>
  <c r="AY69" i="6"/>
  <c r="BC69" i="6" s="1"/>
  <c r="AX74" i="6"/>
  <c r="BA74" i="6"/>
  <c r="AZ74" i="6" s="1"/>
  <c r="AY74" i="6"/>
  <c r="BC74" i="6" s="1"/>
  <c r="AX85" i="6"/>
  <c r="AY85" i="6"/>
  <c r="BC85" i="6" s="1"/>
  <c r="AX2756" i="6"/>
  <c r="BA2756" i="6"/>
  <c r="AZ2756" i="6" s="1"/>
  <c r="AY2756" i="6"/>
  <c r="BC2756" i="6" s="1"/>
  <c r="AX2344" i="6"/>
  <c r="AY2344" i="6"/>
  <c r="BC2344" i="6" s="1"/>
  <c r="AX2443" i="6"/>
  <c r="BA2443" i="6"/>
  <c r="AZ2443" i="6" s="1"/>
  <c r="AY2443" i="6"/>
  <c r="BC2443" i="6" s="1"/>
  <c r="AX2537" i="6"/>
  <c r="AY2537" i="6"/>
  <c r="BC2537" i="6" s="1"/>
  <c r="BA2537" i="6"/>
  <c r="AZ2537" i="6" s="1"/>
  <c r="AX2517" i="6"/>
  <c r="AY2517" i="6"/>
  <c r="BC2517" i="6" s="1"/>
  <c r="BA2517" i="6"/>
  <c r="AZ2517" i="6" s="1"/>
  <c r="AX1780" i="6"/>
  <c r="AY1780" i="6"/>
  <c r="BC1780" i="6" s="1"/>
  <c r="BA1780" i="6"/>
  <c r="AZ1780" i="6" s="1"/>
  <c r="AX2069" i="6"/>
  <c r="AY2069" i="6"/>
  <c r="BC2069" i="6" s="1"/>
  <c r="BA2069" i="6"/>
  <c r="AZ2069" i="6" s="1"/>
  <c r="AX335" i="6"/>
  <c r="AY335" i="6"/>
  <c r="BC335" i="6" s="1"/>
  <c r="BA335" i="6"/>
  <c r="AZ335" i="6" s="1"/>
  <c r="AX375" i="6"/>
  <c r="AY375" i="6"/>
  <c r="BC375" i="6" s="1"/>
  <c r="BA375" i="6"/>
  <c r="AZ375" i="6" s="1"/>
  <c r="AX2273" i="6"/>
  <c r="AY2273" i="6"/>
  <c r="BC2273" i="6" s="1"/>
  <c r="BA2273" i="6"/>
  <c r="AZ2273" i="6" s="1"/>
  <c r="AX2510" i="6"/>
  <c r="AY2510" i="6"/>
  <c r="BC2510" i="6" s="1"/>
  <c r="BA2510" i="6"/>
  <c r="AZ2510" i="6" s="1"/>
  <c r="AX1128" i="6"/>
  <c r="AY1128" i="6"/>
  <c r="BC1128" i="6" s="1"/>
  <c r="BA1128" i="6"/>
  <c r="AZ1128" i="6" s="1"/>
  <c r="AX452" i="6"/>
  <c r="AY452" i="6"/>
  <c r="BC452" i="6" s="1"/>
  <c r="BA452" i="6"/>
  <c r="AZ452" i="6" s="1"/>
  <c r="AX540" i="6"/>
  <c r="AY540" i="6"/>
  <c r="BC540" i="6" s="1"/>
  <c r="BA540" i="6"/>
  <c r="AZ540" i="6" s="1"/>
  <c r="AX1191" i="6"/>
  <c r="AY1191" i="6"/>
  <c r="BC1191" i="6" s="1"/>
  <c r="BA1191" i="6"/>
  <c r="AZ1191" i="6" s="1"/>
  <c r="AX1964" i="6"/>
  <c r="AY1964" i="6"/>
  <c r="BC1964" i="6" s="1"/>
  <c r="BA1964" i="6"/>
  <c r="AZ1964" i="6" s="1"/>
  <c r="AX319" i="6"/>
  <c r="AY319" i="6"/>
  <c r="BC319" i="6" s="1"/>
  <c r="BA319" i="6"/>
  <c r="AZ319" i="6" s="1"/>
  <c r="AX1878" i="6"/>
  <c r="AY1878" i="6"/>
  <c r="BC1878" i="6" s="1"/>
  <c r="BA1878" i="6"/>
  <c r="AZ1878" i="6" s="1"/>
  <c r="AX323" i="6"/>
  <c r="AY323" i="6"/>
  <c r="BC323" i="6" s="1"/>
  <c r="BA323" i="6"/>
  <c r="AZ323" i="6" s="1"/>
  <c r="AX2091" i="6"/>
  <c r="AY2091" i="6"/>
  <c r="BC2091" i="6" s="1"/>
  <c r="BA2091" i="6"/>
  <c r="AZ2091" i="6" s="1"/>
  <c r="AX1512" i="6"/>
  <c r="AY1512" i="6"/>
  <c r="BC1512" i="6" s="1"/>
  <c r="BA1512" i="6"/>
  <c r="AZ1512" i="6" s="1"/>
  <c r="AX1967" i="6"/>
  <c r="AY1967" i="6"/>
  <c r="BC1967" i="6" s="1"/>
  <c r="BA1967" i="6"/>
  <c r="AZ1967" i="6" s="1"/>
  <c r="AX1084" i="6"/>
  <c r="AY1084" i="6"/>
  <c r="BC1084" i="6" s="1"/>
  <c r="BA1084" i="6"/>
  <c r="AZ1084" i="6" s="1"/>
  <c r="AX2279" i="6"/>
  <c r="AY2279" i="6"/>
  <c r="BC2279" i="6" s="1"/>
  <c r="BA2279" i="6"/>
  <c r="AZ2279" i="6" s="1"/>
  <c r="AX983" i="6"/>
  <c r="AY983" i="6"/>
  <c r="BC983" i="6" s="1"/>
  <c r="BA983" i="6"/>
  <c r="AZ983" i="6" s="1"/>
  <c r="AX1634" i="6"/>
  <c r="BA1634" i="6"/>
  <c r="AZ1634" i="6" s="1"/>
  <c r="AY1634" i="6"/>
  <c r="BC1634" i="6" s="1"/>
  <c r="AX1642" i="6"/>
  <c r="AY1642" i="6"/>
  <c r="BC1642" i="6" s="1"/>
  <c r="BA1642" i="6"/>
  <c r="AZ1642" i="6" s="1"/>
  <c r="AX1650" i="6"/>
  <c r="AY1650" i="6"/>
  <c r="BC1650" i="6" s="1"/>
  <c r="BA1650" i="6"/>
  <c r="AZ1650" i="6" s="1"/>
  <c r="AX38" i="6"/>
  <c r="AY38" i="6"/>
  <c r="BC38" i="6" s="1"/>
  <c r="BA38" i="6"/>
  <c r="AZ38" i="6" s="1"/>
  <c r="AX43" i="6"/>
  <c r="AY43" i="6"/>
  <c r="BC43" i="6" s="1"/>
  <c r="AX48" i="6"/>
  <c r="BA48" i="6"/>
  <c r="AZ48" i="6" s="1"/>
  <c r="AY48" i="6"/>
  <c r="BC48" i="6" s="1"/>
  <c r="BA53" i="6"/>
  <c r="AZ53" i="6" s="1"/>
  <c r="AX59" i="6"/>
  <c r="AY59" i="6"/>
  <c r="BC59" i="6" s="1"/>
  <c r="AX64" i="6"/>
  <c r="BA64" i="6"/>
  <c r="AZ64" i="6" s="1"/>
  <c r="AY64" i="6"/>
  <c r="BC64" i="6" s="1"/>
  <c r="BA69" i="6"/>
  <c r="AZ69" i="6" s="1"/>
  <c r="AX75" i="6"/>
  <c r="AY75" i="6"/>
  <c r="BC75" i="6" s="1"/>
  <c r="AX80" i="6"/>
  <c r="BA80" i="6"/>
  <c r="AZ80" i="6" s="1"/>
  <c r="AY80" i="6"/>
  <c r="BC80" i="6" s="1"/>
  <c r="BA85" i="6"/>
  <c r="AZ85" i="6" s="1"/>
  <c r="AX2758" i="6"/>
  <c r="AY2758" i="6"/>
  <c r="BC2758" i="6" s="1"/>
  <c r="AX708" i="6"/>
  <c r="BA708" i="6"/>
  <c r="AZ708" i="6" s="1"/>
  <c r="AY708" i="6"/>
  <c r="BC708" i="6" s="1"/>
  <c r="BA2344" i="6"/>
  <c r="AZ2344" i="6" s="1"/>
  <c r="AX2444" i="6"/>
  <c r="AY2444" i="6"/>
  <c r="BC2444" i="6" s="1"/>
  <c r="BA2444" i="6"/>
  <c r="AZ2444" i="6" s="1"/>
  <c r="AX2452" i="6"/>
  <c r="BA2452" i="6"/>
  <c r="AZ2452" i="6" s="1"/>
  <c r="AY2452" i="6"/>
  <c r="BC2452" i="6" s="1"/>
  <c r="AX2456" i="6"/>
  <c r="BA2456" i="6"/>
  <c r="AZ2456" i="6" s="1"/>
  <c r="AY2456" i="6"/>
  <c r="BC2456" i="6" s="1"/>
  <c r="AX2609" i="6"/>
  <c r="BA2609" i="6"/>
  <c r="AZ2609" i="6" s="1"/>
  <c r="AY2609" i="6"/>
  <c r="BC2609" i="6" s="1"/>
  <c r="AX1754" i="6"/>
  <c r="BA1754" i="6"/>
  <c r="AZ1754" i="6" s="1"/>
  <c r="AY1754" i="6"/>
  <c r="BC1754" i="6" s="1"/>
  <c r="AX2075" i="6"/>
  <c r="BA2075" i="6"/>
  <c r="AZ2075" i="6" s="1"/>
  <c r="AY2075" i="6"/>
  <c r="BC2075" i="6" s="1"/>
  <c r="AX2055" i="6"/>
  <c r="BA2055" i="6"/>
  <c r="AZ2055" i="6" s="1"/>
  <c r="AY2055" i="6"/>
  <c r="BC2055" i="6" s="1"/>
  <c r="AX376" i="6"/>
  <c r="BA376" i="6"/>
  <c r="AZ376" i="6" s="1"/>
  <c r="AY376" i="6"/>
  <c r="BC376" i="6" s="1"/>
  <c r="AX2425" i="6"/>
  <c r="BA2425" i="6"/>
  <c r="AZ2425" i="6" s="1"/>
  <c r="AY2425" i="6"/>
  <c r="BC2425" i="6" s="1"/>
  <c r="AX2509" i="6"/>
  <c r="BA2509" i="6"/>
  <c r="AZ2509" i="6" s="1"/>
  <c r="AY2509" i="6"/>
  <c r="BC2509" i="6" s="1"/>
  <c r="AX1129" i="6"/>
  <c r="BA1129" i="6"/>
  <c r="AZ1129" i="6" s="1"/>
  <c r="AY1129" i="6"/>
  <c r="BC1129" i="6" s="1"/>
  <c r="AX453" i="6"/>
  <c r="BA453" i="6"/>
  <c r="AZ453" i="6" s="1"/>
  <c r="AY453" i="6"/>
  <c r="BC453" i="6" s="1"/>
  <c r="AX541" i="6"/>
  <c r="BA541" i="6"/>
  <c r="AZ541" i="6" s="1"/>
  <c r="AY541" i="6"/>
  <c r="BC541" i="6" s="1"/>
  <c r="AX1192" i="6"/>
  <c r="BA1192" i="6"/>
  <c r="AZ1192" i="6" s="1"/>
  <c r="AY1192" i="6"/>
  <c r="BC1192" i="6" s="1"/>
  <c r="AX1509" i="6"/>
  <c r="BA1509" i="6"/>
  <c r="AZ1509" i="6" s="1"/>
  <c r="AY1509" i="6"/>
  <c r="BC1509" i="6" s="1"/>
  <c r="AX320" i="6"/>
  <c r="BA320" i="6"/>
  <c r="AZ320" i="6" s="1"/>
  <c r="AY320" i="6"/>
  <c r="BC320" i="6" s="1"/>
  <c r="AX324" i="6"/>
  <c r="BA324" i="6"/>
  <c r="AZ324" i="6" s="1"/>
  <c r="AY324" i="6"/>
  <c r="BC324" i="6" s="1"/>
  <c r="AX2420" i="6"/>
  <c r="BA2420" i="6"/>
  <c r="AZ2420" i="6" s="1"/>
  <c r="AY2420" i="6"/>
  <c r="BC2420" i="6" s="1"/>
  <c r="AX530" i="6"/>
  <c r="BA530" i="6"/>
  <c r="AZ530" i="6" s="1"/>
  <c r="AY530" i="6"/>
  <c r="BC530" i="6" s="1"/>
  <c r="AX364" i="6"/>
  <c r="BA364" i="6"/>
  <c r="AZ364" i="6" s="1"/>
  <c r="AY364" i="6"/>
  <c r="BC364" i="6" s="1"/>
  <c r="AX1515" i="6"/>
  <c r="BA1515" i="6"/>
  <c r="AZ1515" i="6" s="1"/>
  <c r="AY1515" i="6"/>
  <c r="BC1515" i="6" s="1"/>
  <c r="AX1706" i="6"/>
  <c r="BA1706" i="6"/>
  <c r="AZ1706" i="6" s="1"/>
  <c r="AY1706" i="6"/>
  <c r="BC1706" i="6" s="1"/>
  <c r="AX2702" i="6"/>
  <c r="BA2702" i="6"/>
  <c r="AZ2702" i="6" s="1"/>
  <c r="AY2702" i="6"/>
  <c r="BC2702" i="6" s="1"/>
  <c r="AX984" i="6"/>
  <c r="BA984" i="6"/>
  <c r="AZ984" i="6" s="1"/>
  <c r="AY984" i="6"/>
  <c r="BC984" i="6" s="1"/>
  <c r="BA2254" i="6"/>
  <c r="AZ2254" i="6" s="1"/>
  <c r="AY2254" i="6"/>
  <c r="BC2254" i="6" s="1"/>
  <c r="AX2254" i="6"/>
  <c r="BA1711" i="6"/>
  <c r="AZ1711" i="6" s="1"/>
  <c r="AX1711" i="6"/>
  <c r="AY1711" i="6"/>
  <c r="BC1711" i="6" s="1"/>
  <c r="BA1717" i="6"/>
  <c r="AZ1717" i="6" s="1"/>
  <c r="AX1717" i="6"/>
  <c r="AY1717" i="6"/>
  <c r="BC1717" i="6" s="1"/>
  <c r="BA311" i="6"/>
  <c r="AZ311" i="6" s="1"/>
  <c r="AX311" i="6"/>
  <c r="AY311" i="6"/>
  <c r="BC311" i="6" s="1"/>
  <c r="BA313" i="6"/>
  <c r="AZ313" i="6" s="1"/>
  <c r="AX313" i="6"/>
  <c r="AY313" i="6"/>
  <c r="BC313" i="6" s="1"/>
  <c r="BA1109" i="6"/>
  <c r="AZ1109" i="6" s="1"/>
  <c r="AY1109" i="6"/>
  <c r="BC1109" i="6" s="1"/>
  <c r="AX1109" i="6"/>
  <c r="BA1112" i="6"/>
  <c r="AZ1112" i="6" s="1"/>
  <c r="AY1112" i="6"/>
  <c r="BC1112" i="6" s="1"/>
  <c r="AX1112" i="6"/>
  <c r="BA394" i="6"/>
  <c r="AZ394" i="6" s="1"/>
  <c r="AX394" i="6"/>
  <c r="AY394" i="6"/>
  <c r="BC394" i="6" s="1"/>
  <c r="BA2762" i="6"/>
  <c r="AZ2762" i="6" s="1"/>
  <c r="AX2762" i="6"/>
  <c r="AY2762" i="6"/>
  <c r="BC2762" i="6" s="1"/>
  <c r="BA472" i="6"/>
  <c r="AZ472" i="6" s="1"/>
  <c r="AX472" i="6"/>
  <c r="AY472" i="6"/>
  <c r="BC472" i="6" s="1"/>
  <c r="BA582" i="6"/>
  <c r="AZ582" i="6" s="1"/>
  <c r="AX582" i="6"/>
  <c r="AY582" i="6"/>
  <c r="BC582" i="6" s="1"/>
  <c r="BA1132" i="6"/>
  <c r="AZ1132" i="6" s="1"/>
  <c r="AX1132" i="6"/>
  <c r="AY1132" i="6"/>
  <c r="BC1132" i="6" s="1"/>
  <c r="BA1139" i="6"/>
  <c r="AZ1139" i="6" s="1"/>
  <c r="AX1139" i="6"/>
  <c r="AY1139" i="6"/>
  <c r="BC1139" i="6" s="1"/>
  <c r="BA574" i="6"/>
  <c r="AZ574" i="6" s="1"/>
  <c r="AY574" i="6"/>
  <c r="BC574" i="6" s="1"/>
  <c r="AX574" i="6"/>
  <c r="BA492" i="6"/>
  <c r="AZ492" i="6" s="1"/>
  <c r="AY492" i="6"/>
  <c r="BC492" i="6" s="1"/>
  <c r="AX492" i="6"/>
  <c r="BA527" i="6"/>
  <c r="AZ527" i="6" s="1"/>
  <c r="AY527" i="6"/>
  <c r="BC527" i="6" s="1"/>
  <c r="AX527" i="6"/>
  <c r="BA523" i="6"/>
  <c r="AZ523" i="6" s="1"/>
  <c r="AX523" i="6"/>
  <c r="AY523" i="6"/>
  <c r="BC523" i="6" s="1"/>
  <c r="BA1604" i="6"/>
  <c r="AZ1604" i="6" s="1"/>
  <c r="AY1604" i="6"/>
  <c r="BC1604" i="6" s="1"/>
  <c r="AX1604" i="6"/>
  <c r="BA1612" i="6"/>
  <c r="AZ1612" i="6" s="1"/>
  <c r="AY1612" i="6"/>
  <c r="BC1612" i="6" s="1"/>
  <c r="AX1612" i="6"/>
  <c r="AX1620" i="6"/>
  <c r="BA1620" i="6"/>
  <c r="AZ1620" i="6" s="1"/>
  <c r="AY1620" i="6"/>
  <c r="BC1620" i="6" s="1"/>
  <c r="AX1623" i="6"/>
  <c r="BA1623" i="6"/>
  <c r="AZ1623" i="6" s="1"/>
  <c r="AY1623" i="6"/>
  <c r="BC1623" i="6" s="1"/>
  <c r="AX1627" i="6"/>
  <c r="BA1627" i="6"/>
  <c r="AZ1627" i="6" s="1"/>
  <c r="AY1627" i="6"/>
  <c r="BC1627" i="6" s="1"/>
  <c r="AX49" i="6"/>
  <c r="AY49" i="6"/>
  <c r="BC49" i="6" s="1"/>
  <c r="AX54" i="6"/>
  <c r="BA54" i="6"/>
  <c r="AZ54" i="6" s="1"/>
  <c r="AY54" i="6"/>
  <c r="BC54" i="6" s="1"/>
  <c r="BA59" i="6"/>
  <c r="AZ59" i="6" s="1"/>
  <c r="AX65" i="6"/>
  <c r="AY65" i="6"/>
  <c r="BC65" i="6" s="1"/>
  <c r="AX70" i="6"/>
  <c r="BA70" i="6"/>
  <c r="AZ70" i="6" s="1"/>
  <c r="AY70" i="6"/>
  <c r="BC70" i="6" s="1"/>
  <c r="BA75" i="6"/>
  <c r="AZ75" i="6" s="1"/>
  <c r="AX81" i="6"/>
  <c r="AY81" i="6"/>
  <c r="BC81" i="6" s="1"/>
  <c r="AX86" i="6"/>
  <c r="BA86" i="6"/>
  <c r="AZ86" i="6" s="1"/>
  <c r="AY86" i="6"/>
  <c r="BC86" i="6" s="1"/>
  <c r="BA2758" i="6"/>
  <c r="AZ2758" i="6" s="1"/>
  <c r="AX709" i="6"/>
  <c r="AY709" i="6"/>
  <c r="BC709" i="6" s="1"/>
  <c r="AX2439" i="6"/>
  <c r="BA2439" i="6"/>
  <c r="AZ2439" i="6" s="1"/>
  <c r="AY2439" i="6"/>
  <c r="BC2439" i="6" s="1"/>
  <c r="AX2445" i="6"/>
  <c r="BA2445" i="6"/>
  <c r="AZ2445" i="6" s="1"/>
  <c r="AY2445" i="6"/>
  <c r="BC2445" i="6" s="1"/>
  <c r="AX2447" i="6"/>
  <c r="AY2447" i="6"/>
  <c r="BC2447" i="6" s="1"/>
  <c r="BA2447" i="6"/>
  <c r="AZ2447" i="6" s="1"/>
  <c r="AX2539" i="6"/>
  <c r="AY2539" i="6"/>
  <c r="BC2539" i="6" s="1"/>
  <c r="BA2539" i="6"/>
  <c r="AZ2539" i="6" s="1"/>
  <c r="AX2697" i="6"/>
  <c r="AY2697" i="6"/>
  <c r="BC2697" i="6" s="1"/>
  <c r="BA2697" i="6"/>
  <c r="AZ2697" i="6" s="1"/>
  <c r="AX2063" i="6"/>
  <c r="AY2063" i="6"/>
  <c r="BC2063" i="6" s="1"/>
  <c r="BA2063" i="6"/>
  <c r="AZ2063" i="6" s="1"/>
  <c r="AX2079" i="6"/>
  <c r="AY2079" i="6"/>
  <c r="BC2079" i="6" s="1"/>
  <c r="BA2079" i="6"/>
  <c r="AZ2079" i="6" s="1"/>
  <c r="AX337" i="6"/>
  <c r="AY337" i="6"/>
  <c r="BC337" i="6" s="1"/>
  <c r="BA337" i="6"/>
  <c r="AZ337" i="6" s="1"/>
  <c r="AX377" i="6"/>
  <c r="AY377" i="6"/>
  <c r="BC377" i="6" s="1"/>
  <c r="BA377" i="6"/>
  <c r="AZ377" i="6" s="1"/>
  <c r="AX2417" i="6"/>
  <c r="AY2417" i="6"/>
  <c r="BC2417" i="6" s="1"/>
  <c r="BA2417" i="6"/>
  <c r="AZ2417" i="6" s="1"/>
  <c r="AX382" i="6"/>
  <c r="AY382" i="6"/>
  <c r="BC382" i="6" s="1"/>
  <c r="BA382" i="6"/>
  <c r="AZ382" i="6" s="1"/>
  <c r="AX446" i="6"/>
  <c r="AY446" i="6"/>
  <c r="BC446" i="6" s="1"/>
  <c r="BA446" i="6"/>
  <c r="AZ446" i="6" s="1"/>
  <c r="AX454" i="6"/>
  <c r="AY454" i="6"/>
  <c r="BC454" i="6" s="1"/>
  <c r="BA454" i="6"/>
  <c r="AZ454" i="6" s="1"/>
  <c r="AX554" i="6"/>
  <c r="AY554" i="6"/>
  <c r="BC554" i="6" s="1"/>
  <c r="BA554" i="6"/>
  <c r="AZ554" i="6" s="1"/>
  <c r="AX1193" i="6"/>
  <c r="AY1193" i="6"/>
  <c r="BC1193" i="6" s="1"/>
  <c r="BA1193" i="6"/>
  <c r="AZ1193" i="6" s="1"/>
  <c r="AX1510" i="6"/>
  <c r="AY1510" i="6"/>
  <c r="BC1510" i="6" s="1"/>
  <c r="BA1510" i="6"/>
  <c r="AZ1510" i="6" s="1"/>
  <c r="AX321" i="6"/>
  <c r="AY321" i="6"/>
  <c r="BC321" i="6" s="1"/>
  <c r="BA321" i="6"/>
  <c r="AZ321" i="6" s="1"/>
  <c r="AX1741" i="6"/>
  <c r="AY1741" i="6"/>
  <c r="BC1741" i="6" s="1"/>
  <c r="BA1741" i="6"/>
  <c r="AZ1741" i="6" s="1"/>
  <c r="AX2127" i="6"/>
  <c r="AY2127" i="6"/>
  <c r="BC2127" i="6" s="1"/>
  <c r="BA2127" i="6"/>
  <c r="AZ2127" i="6" s="1"/>
  <c r="AX531" i="6"/>
  <c r="AY531" i="6"/>
  <c r="BC531" i="6" s="1"/>
  <c r="BA531" i="6"/>
  <c r="AZ531" i="6" s="1"/>
  <c r="AX979" i="6"/>
  <c r="AY979" i="6"/>
  <c r="BC979" i="6" s="1"/>
  <c r="BA979" i="6"/>
  <c r="AZ979" i="6" s="1"/>
  <c r="AX2129" i="6"/>
  <c r="AY2129" i="6"/>
  <c r="BC2129" i="6" s="1"/>
  <c r="BA2129" i="6"/>
  <c r="AZ2129" i="6" s="1"/>
  <c r="AX365" i="6"/>
  <c r="AY365" i="6"/>
  <c r="BC365" i="6" s="1"/>
  <c r="BA365" i="6"/>
  <c r="AZ365" i="6" s="1"/>
  <c r="AX2698" i="6"/>
  <c r="AY2698" i="6"/>
  <c r="BC2698" i="6" s="1"/>
  <c r="BA2698" i="6"/>
  <c r="AZ2698" i="6" s="1"/>
  <c r="AX2198" i="6"/>
  <c r="AY2198" i="6"/>
  <c r="BC2198" i="6" s="1"/>
  <c r="BA2198" i="6"/>
  <c r="AZ2198" i="6" s="1"/>
  <c r="AX1624" i="6"/>
  <c r="AY1624" i="6"/>
  <c r="BC1624" i="6" s="1"/>
  <c r="AX44" i="6"/>
  <c r="BA44" i="6"/>
  <c r="AZ44" i="6" s="1"/>
  <c r="AY44" i="6"/>
  <c r="BC44" i="6" s="1"/>
  <c r="AX55" i="6"/>
  <c r="AY55" i="6"/>
  <c r="BC55" i="6" s="1"/>
  <c r="AX60" i="6"/>
  <c r="BA60" i="6"/>
  <c r="AZ60" i="6" s="1"/>
  <c r="AY60" i="6"/>
  <c r="BC60" i="6" s="1"/>
  <c r="AX71" i="6"/>
  <c r="AY71" i="6"/>
  <c r="BC71" i="6" s="1"/>
  <c r="AX76" i="6"/>
  <c r="BA76" i="6"/>
  <c r="AZ76" i="6" s="1"/>
  <c r="AY76" i="6"/>
  <c r="BC76" i="6" s="1"/>
  <c r="AX87" i="6"/>
  <c r="AY87" i="6"/>
  <c r="BC87" i="6" s="1"/>
  <c r="AX703" i="6"/>
  <c r="BA703" i="6"/>
  <c r="AZ703" i="6" s="1"/>
  <c r="AY703" i="6"/>
  <c r="BC703" i="6" s="1"/>
  <c r="AX2440" i="6"/>
  <c r="AY2440" i="6"/>
  <c r="BC2440" i="6" s="1"/>
  <c r="AX2442" i="6"/>
  <c r="AY2442" i="6"/>
  <c r="BC2442" i="6" s="1"/>
  <c r="BA2442" i="6"/>
  <c r="AZ2442" i="6" s="1"/>
  <c r="AX2165" i="6"/>
  <c r="BA2165" i="6"/>
  <c r="AZ2165" i="6" s="1"/>
  <c r="AY2165" i="6"/>
  <c r="BC2165" i="6" s="1"/>
  <c r="AX2540" i="6"/>
  <c r="BA2540" i="6"/>
  <c r="AZ2540" i="6" s="1"/>
  <c r="AY2540" i="6"/>
  <c r="BC2540" i="6" s="1"/>
  <c r="AX2543" i="6"/>
  <c r="BA2543" i="6"/>
  <c r="AZ2543" i="6" s="1"/>
  <c r="AY2543" i="6"/>
  <c r="BC2543" i="6" s="1"/>
  <c r="AX2073" i="6"/>
  <c r="BA2073" i="6"/>
  <c r="AZ2073" i="6" s="1"/>
  <c r="AY2073" i="6"/>
  <c r="BC2073" i="6" s="1"/>
  <c r="AX2080" i="6"/>
  <c r="BA2080" i="6"/>
  <c r="AZ2080" i="6" s="1"/>
  <c r="AY2080" i="6"/>
  <c r="BC2080" i="6" s="1"/>
  <c r="AX336" i="6"/>
  <c r="BA336" i="6"/>
  <c r="AZ336" i="6" s="1"/>
  <c r="AY336" i="6"/>
  <c r="BC336" i="6" s="1"/>
  <c r="AX378" i="6"/>
  <c r="BA378" i="6"/>
  <c r="AZ378" i="6" s="1"/>
  <c r="AY378" i="6"/>
  <c r="BC378" i="6" s="1"/>
  <c r="AX2424" i="6"/>
  <c r="BA2424" i="6"/>
  <c r="AZ2424" i="6" s="1"/>
  <c r="AY2424" i="6"/>
  <c r="BC2424" i="6" s="1"/>
  <c r="AX2511" i="6"/>
  <c r="BA2511" i="6"/>
  <c r="AZ2511" i="6" s="1"/>
  <c r="AY2511" i="6"/>
  <c r="BC2511" i="6" s="1"/>
  <c r="AX447" i="6"/>
  <c r="BA447" i="6"/>
  <c r="AZ447" i="6" s="1"/>
  <c r="AY447" i="6"/>
  <c r="BC447" i="6" s="1"/>
  <c r="AX507" i="6"/>
  <c r="BA507" i="6"/>
  <c r="AZ507" i="6" s="1"/>
  <c r="AY507" i="6"/>
  <c r="BC507" i="6" s="1"/>
  <c r="AX555" i="6"/>
  <c r="BA555" i="6"/>
  <c r="AZ555" i="6" s="1"/>
  <c r="AY555" i="6"/>
  <c r="BC555" i="6" s="1"/>
  <c r="AX1214" i="6"/>
  <c r="BA1214" i="6"/>
  <c r="AZ1214" i="6" s="1"/>
  <c r="AY1214" i="6"/>
  <c r="BC1214" i="6" s="1"/>
  <c r="AX1511" i="6"/>
  <c r="BA1511" i="6"/>
  <c r="AZ1511" i="6" s="1"/>
  <c r="AY1511" i="6"/>
  <c r="BC1511" i="6" s="1"/>
  <c r="AX322" i="6"/>
  <c r="BA322" i="6"/>
  <c r="AZ322" i="6" s="1"/>
  <c r="AY322" i="6"/>
  <c r="BC322" i="6" s="1"/>
  <c r="AX299" i="6"/>
  <c r="BA299" i="6"/>
  <c r="AZ299" i="6" s="1"/>
  <c r="AY299" i="6"/>
  <c r="BC299" i="6" s="1"/>
  <c r="AX1125" i="6"/>
  <c r="BA1125" i="6"/>
  <c r="AZ1125" i="6" s="1"/>
  <c r="AY1125" i="6"/>
  <c r="BC1125" i="6" s="1"/>
  <c r="AX2277" i="6"/>
  <c r="BA2277" i="6"/>
  <c r="AZ2277" i="6" s="1"/>
  <c r="AY2277" i="6"/>
  <c r="BC2277" i="6" s="1"/>
  <c r="AX1513" i="6"/>
  <c r="BA1513" i="6"/>
  <c r="AZ1513" i="6" s="1"/>
  <c r="AY1513" i="6"/>
  <c r="BC1513" i="6" s="1"/>
  <c r="AX982" i="6"/>
  <c r="BA982" i="6"/>
  <c r="AZ982" i="6" s="1"/>
  <c r="AY982" i="6"/>
  <c r="BC982" i="6" s="1"/>
  <c r="AX1760" i="6"/>
  <c r="BA1760" i="6"/>
  <c r="AZ1760" i="6" s="1"/>
  <c r="AY1760" i="6"/>
  <c r="BC1760" i="6" s="1"/>
  <c r="AX2754" i="6"/>
  <c r="BA2754" i="6"/>
  <c r="AZ2754" i="6" s="1"/>
  <c r="AY2754" i="6"/>
  <c r="BC2754" i="6" s="1"/>
  <c r="BA2828" i="6"/>
  <c r="AZ2828" i="6" s="1"/>
  <c r="AX2828" i="6"/>
  <c r="AY2828" i="6"/>
  <c r="BC2828" i="6" s="1"/>
  <c r="BA1695" i="6"/>
  <c r="AZ1695" i="6" s="1"/>
  <c r="AX1695" i="6"/>
  <c r="AY1695" i="6"/>
  <c r="BC1695" i="6" s="1"/>
  <c r="BA1103" i="6"/>
  <c r="AZ1103" i="6" s="1"/>
  <c r="AY1103" i="6"/>
  <c r="BC1103" i="6" s="1"/>
  <c r="AX1103" i="6"/>
  <c r="BA362" i="6"/>
  <c r="AZ362" i="6" s="1"/>
  <c r="AX362" i="6"/>
  <c r="AY362" i="6"/>
  <c r="BC362" i="6" s="1"/>
  <c r="BA1747" i="6"/>
  <c r="AZ1747" i="6" s="1"/>
  <c r="AY1747" i="6"/>
  <c r="BC1747" i="6" s="1"/>
  <c r="AX1747" i="6"/>
  <c r="BA2414" i="6"/>
  <c r="AZ2414" i="6" s="1"/>
  <c r="AX2414" i="6"/>
  <c r="AY2414" i="6"/>
  <c r="BC2414" i="6" s="1"/>
  <c r="BA1124" i="6"/>
  <c r="AZ1124" i="6" s="1"/>
  <c r="AX1124" i="6"/>
  <c r="AY1124" i="6"/>
  <c r="BC1124" i="6" s="1"/>
  <c r="BA1113" i="6"/>
  <c r="AZ1113" i="6" s="1"/>
  <c r="AX1113" i="6"/>
  <c r="AY1113" i="6"/>
  <c r="BC1113" i="6" s="1"/>
  <c r="BA511" i="6"/>
  <c r="AZ511" i="6" s="1"/>
  <c r="AX511" i="6"/>
  <c r="AY511" i="6"/>
  <c r="BC511" i="6" s="1"/>
  <c r="BA1130" i="6"/>
  <c r="AZ1130" i="6" s="1"/>
  <c r="AX1130" i="6"/>
  <c r="AY1130" i="6"/>
  <c r="BC1130" i="6" s="1"/>
  <c r="BA1134" i="6"/>
  <c r="AZ1134" i="6" s="1"/>
  <c r="AX1134" i="6"/>
  <c r="AY1134" i="6"/>
  <c r="BC1134" i="6" s="1"/>
  <c r="BA424" i="6"/>
  <c r="AZ424" i="6" s="1"/>
  <c r="AY424" i="6"/>
  <c r="BC424" i="6" s="1"/>
  <c r="AX424" i="6"/>
  <c r="BA596" i="6"/>
  <c r="AZ596" i="6" s="1"/>
  <c r="AY596" i="6"/>
  <c r="BC596" i="6" s="1"/>
  <c r="AX596" i="6"/>
  <c r="BA397" i="6"/>
  <c r="AZ397" i="6" s="1"/>
  <c r="AY397" i="6"/>
  <c r="BC397" i="6" s="1"/>
  <c r="AX397" i="6"/>
  <c r="BA1746" i="6"/>
  <c r="AZ1746" i="6" s="1"/>
  <c r="AY1746" i="6"/>
  <c r="BC1746" i="6" s="1"/>
  <c r="AX1746" i="6"/>
  <c r="BA1602" i="6"/>
  <c r="AZ1602" i="6" s="1"/>
  <c r="AY1602" i="6"/>
  <c r="BC1602" i="6" s="1"/>
  <c r="AX1602" i="6"/>
  <c r="BA1610" i="6"/>
  <c r="AZ1610" i="6" s="1"/>
  <c r="AX1610" i="6"/>
  <c r="AY1610" i="6"/>
  <c r="BC1610" i="6" s="1"/>
  <c r="AX1621" i="6"/>
  <c r="BA1621" i="6"/>
  <c r="AZ1621" i="6" s="1"/>
  <c r="AX1628" i="6"/>
  <c r="BA1628" i="6"/>
  <c r="AZ1628" i="6" s="1"/>
  <c r="AY1628" i="6"/>
  <c r="BC1628" i="6" s="1"/>
  <c r="AX1631" i="6"/>
  <c r="BA1631" i="6"/>
  <c r="AZ1631" i="6" s="1"/>
  <c r="AY1631" i="6"/>
  <c r="BC1631" i="6" s="1"/>
  <c r="AX1639" i="6"/>
  <c r="BA1639" i="6"/>
  <c r="AZ1639" i="6" s="1"/>
  <c r="AY1639" i="6"/>
  <c r="BC1639" i="6" s="1"/>
  <c r="AX1647" i="6"/>
  <c r="BA1647" i="6"/>
  <c r="AZ1647" i="6" s="1"/>
  <c r="AY1647" i="6"/>
  <c r="BC1647" i="6" s="1"/>
  <c r="AX35" i="6"/>
  <c r="BA35" i="6"/>
  <c r="AZ35" i="6" s="1"/>
  <c r="AY35" i="6"/>
  <c r="BC35" i="6" s="1"/>
  <c r="AX45" i="6"/>
  <c r="AY45" i="6"/>
  <c r="BC45" i="6" s="1"/>
  <c r="AX50" i="6"/>
  <c r="BA50" i="6"/>
  <c r="AZ50" i="6" s="1"/>
  <c r="AY50" i="6"/>
  <c r="BC50" i="6" s="1"/>
  <c r="BA55" i="6"/>
  <c r="AZ55" i="6" s="1"/>
  <c r="AX61" i="6"/>
  <c r="AY61" i="6"/>
  <c r="BC61" i="6" s="1"/>
  <c r="AX66" i="6"/>
  <c r="BA66" i="6"/>
  <c r="AZ66" i="6" s="1"/>
  <c r="AY66" i="6"/>
  <c r="BC66" i="6" s="1"/>
  <c r="BA71" i="6"/>
  <c r="AZ71" i="6" s="1"/>
  <c r="AX77" i="6"/>
  <c r="AY77" i="6"/>
  <c r="BC77" i="6" s="1"/>
  <c r="AX82" i="6"/>
  <c r="BA82" i="6"/>
  <c r="AZ82" i="6" s="1"/>
  <c r="AY82" i="6"/>
  <c r="BC82" i="6" s="1"/>
  <c r="BA87" i="6"/>
  <c r="AZ87" i="6" s="1"/>
  <c r="AX705" i="6"/>
  <c r="AY705" i="6"/>
  <c r="BC705" i="6" s="1"/>
  <c r="AX1360" i="6"/>
  <c r="BA1360" i="6"/>
  <c r="AZ1360" i="6" s="1"/>
  <c r="AY1360" i="6"/>
  <c r="BC1360" i="6" s="1"/>
  <c r="BA2440" i="6"/>
  <c r="AZ2440" i="6" s="1"/>
  <c r="AX2446" i="6"/>
  <c r="BA2446" i="6"/>
  <c r="AZ2446" i="6" s="1"/>
  <c r="AY2446" i="6"/>
  <c r="BC2446" i="6" s="1"/>
  <c r="AX2341" i="6"/>
  <c r="AY2341" i="6"/>
  <c r="BC2341" i="6" s="1"/>
  <c r="BA2341" i="6"/>
  <c r="AZ2341" i="6" s="1"/>
  <c r="AX2541" i="6"/>
  <c r="AY2541" i="6"/>
  <c r="BC2541" i="6" s="1"/>
  <c r="BA2541" i="6"/>
  <c r="AZ2541" i="6" s="1"/>
  <c r="AX2546" i="6"/>
  <c r="AY2546" i="6"/>
  <c r="BC2546" i="6" s="1"/>
  <c r="BA2546" i="6"/>
  <c r="AZ2546" i="6" s="1"/>
  <c r="AX1724" i="6"/>
  <c r="AY1724" i="6"/>
  <c r="BC1724" i="6" s="1"/>
  <c r="BA1724" i="6"/>
  <c r="AZ1724" i="6" s="1"/>
  <c r="AX2083" i="6"/>
  <c r="AY2083" i="6"/>
  <c r="BC2083" i="6" s="1"/>
  <c r="BA2083" i="6"/>
  <c r="AZ2083" i="6" s="1"/>
  <c r="AX2066" i="6"/>
  <c r="AY2066" i="6"/>
  <c r="BC2066" i="6" s="1"/>
  <c r="BA2066" i="6"/>
  <c r="AZ2066" i="6" s="1"/>
  <c r="AX379" i="6"/>
  <c r="AY379" i="6"/>
  <c r="BC379" i="6" s="1"/>
  <c r="BA379" i="6"/>
  <c r="AZ379" i="6" s="1"/>
  <c r="AX2825" i="6"/>
  <c r="AY2825" i="6"/>
  <c r="BC2825" i="6" s="1"/>
  <c r="BA2825" i="6"/>
  <c r="AZ2825" i="6" s="1"/>
  <c r="AX494" i="6"/>
  <c r="AY494" i="6"/>
  <c r="BC494" i="6" s="1"/>
  <c r="BA494" i="6"/>
  <c r="AZ494" i="6" s="1"/>
  <c r="AX448" i="6"/>
  <c r="AY448" i="6"/>
  <c r="BC448" i="6" s="1"/>
  <c r="BA448" i="6"/>
  <c r="AZ448" i="6" s="1"/>
  <c r="AX553" i="6"/>
  <c r="AY553" i="6"/>
  <c r="BC553" i="6" s="1"/>
  <c r="BA553" i="6"/>
  <c r="AZ553" i="6" s="1"/>
  <c r="AX556" i="6"/>
  <c r="AY556" i="6"/>
  <c r="BC556" i="6" s="1"/>
  <c r="BA556" i="6"/>
  <c r="AZ556" i="6" s="1"/>
  <c r="AX1215" i="6"/>
  <c r="AY1215" i="6"/>
  <c r="BC1215" i="6" s="1"/>
  <c r="BA1215" i="6"/>
  <c r="AZ1215" i="6" s="1"/>
  <c r="AX1923" i="6"/>
  <c r="AY1923" i="6"/>
  <c r="BC1923" i="6" s="1"/>
  <c r="BA1923" i="6"/>
  <c r="AZ1923" i="6" s="1"/>
  <c r="AX2124" i="6"/>
  <c r="AY2124" i="6"/>
  <c r="BC2124" i="6" s="1"/>
  <c r="BA2124" i="6"/>
  <c r="AZ2124" i="6" s="1"/>
  <c r="AX2419" i="6"/>
  <c r="AY2419" i="6"/>
  <c r="BC2419" i="6" s="1"/>
  <c r="BA2419" i="6"/>
  <c r="AZ2419" i="6" s="1"/>
  <c r="AX1965" i="6"/>
  <c r="AY1965" i="6"/>
  <c r="BC1965" i="6" s="1"/>
  <c r="BA1965" i="6"/>
  <c r="AZ1965" i="6" s="1"/>
  <c r="AX485" i="6"/>
  <c r="AY485" i="6"/>
  <c r="BC485" i="6" s="1"/>
  <c r="BA485" i="6"/>
  <c r="AZ485" i="6" s="1"/>
  <c r="AX2128" i="6"/>
  <c r="AY2128" i="6"/>
  <c r="BC2128" i="6" s="1"/>
  <c r="BA2128" i="6"/>
  <c r="AZ2128" i="6" s="1"/>
  <c r="AX1968" i="6"/>
  <c r="AY1968" i="6"/>
  <c r="BC1968" i="6" s="1"/>
  <c r="BA1968" i="6"/>
  <c r="AZ1968" i="6" s="1"/>
  <c r="AX1126" i="6"/>
  <c r="AY1126" i="6"/>
  <c r="BC1126" i="6" s="1"/>
  <c r="BA1126" i="6"/>
  <c r="AZ1126" i="6" s="1"/>
  <c r="AX2130" i="6"/>
  <c r="AY2130" i="6"/>
  <c r="BC2130" i="6" s="1"/>
  <c r="BA2130" i="6"/>
  <c r="AZ2130" i="6" s="1"/>
  <c r="AY1621" i="6"/>
  <c r="BC1621" i="6" s="1"/>
  <c r="AX1625" i="6"/>
  <c r="AY1625" i="6"/>
  <c r="BC1625" i="6" s="1"/>
  <c r="AX1632" i="6"/>
  <c r="AY1632" i="6"/>
  <c r="BC1632" i="6" s="1"/>
  <c r="AX1636" i="6"/>
  <c r="BA1636" i="6"/>
  <c r="AZ1636" i="6" s="1"/>
  <c r="AY1636" i="6"/>
  <c r="BC1636" i="6" s="1"/>
  <c r="AX1640" i="6"/>
  <c r="AY1640" i="6"/>
  <c r="BC1640" i="6" s="1"/>
  <c r="AX1644" i="6"/>
  <c r="BA1644" i="6"/>
  <c r="AZ1644" i="6" s="1"/>
  <c r="AY1644" i="6"/>
  <c r="BC1644" i="6" s="1"/>
  <c r="AX1648" i="6"/>
  <c r="AY1648" i="6"/>
  <c r="BC1648" i="6" s="1"/>
  <c r="AX32" i="6"/>
  <c r="BA32" i="6"/>
  <c r="AZ32" i="6" s="1"/>
  <c r="AY32" i="6"/>
  <c r="BC32" i="6" s="1"/>
  <c r="AX36" i="6"/>
  <c r="AY36" i="6"/>
  <c r="BC36" i="6" s="1"/>
  <c r="AX40" i="6"/>
  <c r="BA40" i="6"/>
  <c r="AZ40" i="6" s="1"/>
  <c r="AY40" i="6"/>
  <c r="BC40" i="6" s="1"/>
  <c r="AX51" i="6"/>
  <c r="AY51" i="6"/>
  <c r="BC51" i="6" s="1"/>
  <c r="AX56" i="6"/>
  <c r="BA56" i="6"/>
  <c r="AZ56" i="6" s="1"/>
  <c r="AY56" i="6"/>
  <c r="BC56" i="6" s="1"/>
  <c r="AX67" i="6"/>
  <c r="AY67" i="6"/>
  <c r="BC67" i="6" s="1"/>
  <c r="AX72" i="6"/>
  <c r="BA72" i="6"/>
  <c r="AZ72" i="6" s="1"/>
  <c r="AY72" i="6"/>
  <c r="BC72" i="6" s="1"/>
  <c r="AX83" i="6"/>
  <c r="AY83" i="6"/>
  <c r="BC83" i="6" s="1"/>
  <c r="AX88" i="6"/>
  <c r="BA88" i="6"/>
  <c r="AZ88" i="6" s="1"/>
  <c r="AY88" i="6"/>
  <c r="BC88" i="6" s="1"/>
  <c r="BA705" i="6"/>
  <c r="AZ705" i="6" s="1"/>
  <c r="AX1361" i="6"/>
  <c r="AY1361" i="6"/>
  <c r="BC1361" i="6" s="1"/>
  <c r="AX2441" i="6"/>
  <c r="BA2441" i="6"/>
  <c r="AZ2441" i="6" s="1"/>
  <c r="AY2441" i="6"/>
  <c r="BC2441" i="6" s="1"/>
  <c r="AX2449" i="6"/>
  <c r="AY2449" i="6"/>
  <c r="BC2449" i="6" s="1"/>
  <c r="BA2449" i="6"/>
  <c r="AZ2449" i="6" s="1"/>
  <c r="AX2342" i="6"/>
  <c r="BA2342" i="6"/>
  <c r="AZ2342" i="6" s="1"/>
  <c r="AY2342" i="6"/>
  <c r="BC2342" i="6" s="1"/>
  <c r="AX2415" i="6"/>
  <c r="BA2415" i="6"/>
  <c r="AZ2415" i="6" s="1"/>
  <c r="AY2415" i="6"/>
  <c r="BC2415" i="6" s="1"/>
  <c r="AX1713" i="6"/>
  <c r="BA1713" i="6"/>
  <c r="AZ1713" i="6" s="1"/>
  <c r="AY1713" i="6"/>
  <c r="BC1713" i="6" s="1"/>
  <c r="AX1725" i="6"/>
  <c r="BA1725" i="6"/>
  <c r="AZ1725" i="6" s="1"/>
  <c r="AY1725" i="6"/>
  <c r="BC1725" i="6" s="1"/>
  <c r="AX2084" i="6"/>
  <c r="BA2084" i="6"/>
  <c r="AZ2084" i="6" s="1"/>
  <c r="AY2084" i="6"/>
  <c r="BC2084" i="6" s="1"/>
  <c r="AX373" i="6"/>
  <c r="BA373" i="6"/>
  <c r="AZ373" i="6" s="1"/>
  <c r="AY373" i="6"/>
  <c r="BC373" i="6" s="1"/>
  <c r="AX2423" i="6"/>
  <c r="BA2423" i="6"/>
  <c r="AZ2423" i="6" s="1"/>
  <c r="AY2423" i="6"/>
  <c r="BC2423" i="6" s="1"/>
  <c r="AX381" i="6"/>
  <c r="BA381" i="6"/>
  <c r="AZ381" i="6" s="1"/>
  <c r="AY381" i="6"/>
  <c r="BC381" i="6" s="1"/>
  <c r="AX413" i="6"/>
  <c r="BA413" i="6"/>
  <c r="AZ413" i="6" s="1"/>
  <c r="AY413" i="6"/>
  <c r="BC413" i="6" s="1"/>
  <c r="AX449" i="6"/>
  <c r="BA449" i="6"/>
  <c r="AZ449" i="6" s="1"/>
  <c r="AY449" i="6"/>
  <c r="BC449" i="6" s="1"/>
  <c r="AX508" i="6"/>
  <c r="BA508" i="6"/>
  <c r="AZ508" i="6" s="1"/>
  <c r="AY508" i="6"/>
  <c r="BC508" i="6" s="1"/>
  <c r="AX1188" i="6"/>
  <c r="BA1188" i="6"/>
  <c r="AZ1188" i="6" s="1"/>
  <c r="AY1188" i="6"/>
  <c r="BC1188" i="6" s="1"/>
  <c r="AX1216" i="6"/>
  <c r="BA1216" i="6"/>
  <c r="AZ1216" i="6" s="1"/>
  <c r="AY1216" i="6"/>
  <c r="BC1216" i="6" s="1"/>
  <c r="AX1924" i="6"/>
  <c r="BA1924" i="6"/>
  <c r="AZ1924" i="6" s="1"/>
  <c r="AY1924" i="6"/>
  <c r="BC1924" i="6" s="1"/>
  <c r="AX2061" i="6"/>
  <c r="BA2061" i="6"/>
  <c r="AZ2061" i="6" s="1"/>
  <c r="AY2061" i="6"/>
  <c r="BC2061" i="6" s="1"/>
  <c r="AX401" i="6"/>
  <c r="BA401" i="6"/>
  <c r="AZ401" i="6" s="1"/>
  <c r="AY401" i="6"/>
  <c r="BC401" i="6" s="1"/>
  <c r="AX2759" i="6"/>
  <c r="BA2759" i="6"/>
  <c r="AZ2759" i="6" s="1"/>
  <c r="AY2759" i="6"/>
  <c r="BC2759" i="6" s="1"/>
  <c r="AX2278" i="6"/>
  <c r="BA2278" i="6"/>
  <c r="AZ2278" i="6" s="1"/>
  <c r="AY2278" i="6"/>
  <c r="BC2278" i="6" s="1"/>
  <c r="AX325" i="6"/>
  <c r="BA325" i="6"/>
  <c r="AZ325" i="6" s="1"/>
  <c r="AY325" i="6"/>
  <c r="BC325" i="6" s="1"/>
  <c r="AX2196" i="6"/>
  <c r="BA2196" i="6"/>
  <c r="AZ2196" i="6" s="1"/>
  <c r="AY2196" i="6"/>
  <c r="BC2196" i="6" s="1"/>
  <c r="AX1127" i="6"/>
  <c r="BA1127" i="6"/>
  <c r="AZ1127" i="6" s="1"/>
  <c r="AY1127" i="6"/>
  <c r="BC1127" i="6" s="1"/>
  <c r="AX2131" i="6"/>
  <c r="BA2131" i="6"/>
  <c r="AZ2131" i="6" s="1"/>
  <c r="AY2131" i="6"/>
  <c r="BC2131" i="6" s="1"/>
  <c r="BA1024" i="6"/>
  <c r="AZ1024" i="6" s="1"/>
  <c r="AX1024" i="6"/>
  <c r="BA1179" i="6"/>
  <c r="AZ1179" i="6" s="1"/>
  <c r="AY1179" i="6"/>
  <c r="BC1179" i="6" s="1"/>
  <c r="AX1179" i="6"/>
  <c r="BA991" i="6"/>
  <c r="AZ991" i="6" s="1"/>
  <c r="AX991" i="6"/>
  <c r="BA1000" i="6"/>
  <c r="AZ1000" i="6" s="1"/>
  <c r="AX1000" i="6"/>
  <c r="BA1010" i="6"/>
  <c r="AZ1010" i="6" s="1"/>
  <c r="AY1024" i="6"/>
  <c r="BC1024" i="6" s="1"/>
  <c r="AY562" i="6"/>
  <c r="BC562" i="6" s="1"/>
  <c r="BA562" i="6"/>
  <c r="AZ562" i="6" s="1"/>
  <c r="AX562" i="6"/>
  <c r="AY505" i="6"/>
  <c r="BC505" i="6" s="1"/>
  <c r="BA505" i="6"/>
  <c r="AZ505" i="6" s="1"/>
  <c r="AX505" i="6"/>
  <c r="AY564" i="6"/>
  <c r="BC564" i="6" s="1"/>
  <c r="AX564" i="6"/>
  <c r="BA575" i="6"/>
  <c r="AZ575" i="6" s="1"/>
  <c r="AY575" i="6"/>
  <c r="BC575" i="6" s="1"/>
  <c r="AX575" i="6"/>
  <c r="BA2810" i="6"/>
  <c r="AZ2810" i="6" s="1"/>
  <c r="AY2810" i="6"/>
  <c r="BC2810" i="6" s="1"/>
  <c r="AX2810" i="6"/>
  <c r="BA1090" i="6"/>
  <c r="AZ1090" i="6" s="1"/>
  <c r="AY1090" i="6"/>
  <c r="BC1090" i="6" s="1"/>
  <c r="AX1090" i="6"/>
  <c r="BA986" i="6"/>
  <c r="AZ986" i="6" s="1"/>
  <c r="AX986" i="6"/>
  <c r="AY986" i="6"/>
  <c r="BC986" i="6" s="1"/>
  <c r="BA993" i="6"/>
  <c r="AZ993" i="6" s="1"/>
  <c r="AX993" i="6"/>
  <c r="BA2804" i="6"/>
  <c r="AZ2804" i="6" s="1"/>
  <c r="AY2804" i="6"/>
  <c r="BC2804" i="6" s="1"/>
  <c r="AX2804" i="6"/>
  <c r="BA2665" i="6"/>
  <c r="AZ2665" i="6" s="1"/>
  <c r="AY2665" i="6"/>
  <c r="BC2665" i="6" s="1"/>
  <c r="AX2665" i="6"/>
  <c r="BA2473" i="6"/>
  <c r="AZ2473" i="6" s="1"/>
  <c r="AX2473" i="6"/>
  <c r="BA1521" i="6"/>
  <c r="AZ1521" i="6" s="1"/>
  <c r="AX1521" i="6"/>
  <c r="BA1520" i="6"/>
  <c r="AZ1520" i="6" s="1"/>
  <c r="AX1520" i="6"/>
  <c r="BA1519" i="6"/>
  <c r="AZ1519" i="6" s="1"/>
  <c r="AX1519" i="6"/>
  <c r="BA326" i="6"/>
  <c r="AZ326" i="6" s="1"/>
  <c r="AX326" i="6"/>
  <c r="AY326" i="6"/>
  <c r="BC326" i="6" s="1"/>
  <c r="BA989" i="6"/>
  <c r="AZ989" i="6" s="1"/>
  <c r="AX989" i="6"/>
  <c r="BA1008" i="6"/>
  <c r="AZ1008" i="6" s="1"/>
  <c r="AX1008" i="6"/>
  <c r="BA1016" i="6"/>
  <c r="AZ1016" i="6" s="1"/>
  <c r="AX1016" i="6"/>
  <c r="AY585" i="6"/>
  <c r="BC585" i="6" s="1"/>
  <c r="AX585" i="6"/>
  <c r="AY1169" i="6"/>
  <c r="BC1169" i="6" s="1"/>
  <c r="BA1169" i="6"/>
  <c r="AZ1169" i="6" s="1"/>
  <c r="AX1169" i="6"/>
  <c r="BA473" i="6"/>
  <c r="AZ473" i="6" s="1"/>
  <c r="AY473" i="6"/>
  <c r="BC473" i="6" s="1"/>
  <c r="AX473" i="6"/>
  <c r="BA1556" i="6"/>
  <c r="AZ1556" i="6" s="1"/>
  <c r="AY1556" i="6"/>
  <c r="BC1556" i="6" s="1"/>
  <c r="AX1556" i="6"/>
  <c r="BA1089" i="6"/>
  <c r="AZ1089" i="6" s="1"/>
  <c r="AY1089" i="6"/>
  <c r="BC1089" i="6" s="1"/>
  <c r="AX1089" i="6"/>
  <c r="BA2667" i="6"/>
  <c r="AZ2667" i="6" s="1"/>
  <c r="AY2667" i="6"/>
  <c r="BC2667" i="6" s="1"/>
  <c r="AX2667" i="6"/>
  <c r="BA2475" i="6"/>
  <c r="AZ2475" i="6" s="1"/>
  <c r="AX2475" i="6"/>
  <c r="BA1768" i="6"/>
  <c r="AZ1768" i="6" s="1"/>
  <c r="AY1768" i="6"/>
  <c r="BC1768" i="6" s="1"/>
  <c r="AX1768" i="6"/>
  <c r="AY1969" i="6"/>
  <c r="BC1969" i="6" s="1"/>
  <c r="AY1971" i="6"/>
  <c r="BC1971" i="6" s="1"/>
  <c r="AY1973" i="6"/>
  <c r="BC1973" i="6" s="1"/>
  <c r="AY2473" i="6"/>
  <c r="BC2473" i="6" s="1"/>
  <c r="AY1521" i="6"/>
  <c r="BC1521" i="6" s="1"/>
  <c r="BA987" i="6"/>
  <c r="AZ987" i="6" s="1"/>
  <c r="AX987" i="6"/>
  <c r="AY998" i="6"/>
  <c r="BC998" i="6" s="1"/>
  <c r="BA998" i="6"/>
  <c r="AZ998" i="6" s="1"/>
  <c r="AX998" i="6"/>
  <c r="AY1022" i="6"/>
  <c r="BC1022" i="6" s="1"/>
  <c r="BA1022" i="6"/>
  <c r="AZ1022" i="6" s="1"/>
  <c r="AX1022" i="6"/>
  <c r="AY1025" i="6"/>
  <c r="BC1025" i="6" s="1"/>
  <c r="BA1025" i="6"/>
  <c r="AZ1025" i="6" s="1"/>
  <c r="AX1025" i="6"/>
  <c r="AY1028" i="6"/>
  <c r="BC1028" i="6" s="1"/>
  <c r="AX1028" i="6"/>
  <c r="BA427" i="6"/>
  <c r="AZ427" i="6" s="1"/>
  <c r="AY427" i="6"/>
  <c r="BC427" i="6" s="1"/>
  <c r="AX427" i="6"/>
  <c r="BA576" i="6"/>
  <c r="AZ576" i="6" s="1"/>
  <c r="AY576" i="6"/>
  <c r="BC576" i="6" s="1"/>
  <c r="AX576" i="6"/>
  <c r="BA1087" i="6"/>
  <c r="AZ1087" i="6" s="1"/>
  <c r="AY1087" i="6"/>
  <c r="BC1087" i="6" s="1"/>
  <c r="AX1087" i="6"/>
  <c r="BA2814" i="6"/>
  <c r="AZ2814" i="6" s="1"/>
  <c r="AY2814" i="6"/>
  <c r="BC2814" i="6" s="1"/>
  <c r="AX2814" i="6"/>
  <c r="BA1091" i="6"/>
  <c r="AZ1091" i="6" s="1"/>
  <c r="AY1091" i="6"/>
  <c r="BC1091" i="6" s="1"/>
  <c r="AX1091" i="6"/>
  <c r="BA1074" i="6"/>
  <c r="AZ1074" i="6" s="1"/>
  <c r="AY1074" i="6"/>
  <c r="BC1074" i="6" s="1"/>
  <c r="AX1074" i="6"/>
  <c r="BA1580" i="6"/>
  <c r="AZ1580" i="6" s="1"/>
  <c r="AY1580" i="6"/>
  <c r="BC1580" i="6" s="1"/>
  <c r="AX1580" i="6"/>
  <c r="AX997" i="6"/>
  <c r="AY997" i="6"/>
  <c r="BC997" i="6" s="1"/>
  <c r="BA997" i="6"/>
  <c r="AZ997" i="6" s="1"/>
  <c r="BA1176" i="6"/>
  <c r="AZ1176" i="6" s="1"/>
  <c r="AY1176" i="6"/>
  <c r="BC1176" i="6" s="1"/>
  <c r="AX1176" i="6"/>
  <c r="BA985" i="6"/>
  <c r="AZ985" i="6" s="1"/>
  <c r="AX985" i="6"/>
  <c r="BA992" i="6"/>
  <c r="AZ992" i="6" s="1"/>
  <c r="AX992" i="6"/>
  <c r="AY1613" i="6"/>
  <c r="BC1613" i="6" s="1"/>
  <c r="BA1613" i="6"/>
  <c r="AZ1613" i="6" s="1"/>
  <c r="AX1613" i="6"/>
  <c r="AY1001" i="6"/>
  <c r="BC1001" i="6" s="1"/>
  <c r="BA1001" i="6"/>
  <c r="AZ1001" i="6" s="1"/>
  <c r="AX1001" i="6"/>
  <c r="AY1026" i="6"/>
  <c r="BC1026" i="6" s="1"/>
  <c r="AX1026" i="6"/>
  <c r="BA1164" i="6"/>
  <c r="AZ1164" i="6" s="1"/>
  <c r="AX1164" i="6"/>
  <c r="BA428" i="6"/>
  <c r="AZ428" i="6" s="1"/>
  <c r="AX428" i="6"/>
  <c r="AY428" i="6"/>
  <c r="BC428" i="6" s="1"/>
  <c r="BA435" i="6"/>
  <c r="AZ435" i="6" s="1"/>
  <c r="AY435" i="6"/>
  <c r="BC435" i="6" s="1"/>
  <c r="AX435" i="6"/>
  <c r="BA1054" i="6"/>
  <c r="AZ1054" i="6" s="1"/>
  <c r="AY1054" i="6"/>
  <c r="BC1054" i="6" s="1"/>
  <c r="AX1054" i="6"/>
  <c r="BA2271" i="6"/>
  <c r="AZ2271" i="6" s="1"/>
  <c r="AY2271" i="6"/>
  <c r="BC2271" i="6" s="1"/>
  <c r="AX2271" i="6"/>
  <c r="BA1177" i="6"/>
  <c r="AZ1177" i="6" s="1"/>
  <c r="AY1177" i="6"/>
  <c r="BC1177" i="6" s="1"/>
  <c r="AX1177" i="6"/>
  <c r="BA1208" i="6"/>
  <c r="AZ1208" i="6" s="1"/>
  <c r="AY1208" i="6"/>
  <c r="BC1208" i="6" s="1"/>
  <c r="AX1208" i="6"/>
  <c r="BA2478" i="6"/>
  <c r="AZ2478" i="6" s="1"/>
  <c r="AY2478" i="6"/>
  <c r="BC2478" i="6" s="1"/>
  <c r="AX2478" i="6"/>
  <c r="BA185" i="6"/>
  <c r="AZ185" i="6" s="1"/>
  <c r="AY185" i="6"/>
  <c r="BC185" i="6" s="1"/>
  <c r="AX185" i="6"/>
  <c r="BA1115" i="6"/>
  <c r="AZ1115" i="6" s="1"/>
  <c r="AX1115" i="6"/>
  <c r="AY985" i="6"/>
  <c r="BC985" i="6" s="1"/>
  <c r="AY992" i="6"/>
  <c r="BC992" i="6" s="1"/>
  <c r="AY996" i="6"/>
  <c r="BC996" i="6" s="1"/>
  <c r="AX996" i="6"/>
  <c r="AY1006" i="6"/>
  <c r="BC1006" i="6" s="1"/>
  <c r="BA1006" i="6"/>
  <c r="AZ1006" i="6" s="1"/>
  <c r="AX1006" i="6"/>
  <c r="AY1014" i="6"/>
  <c r="BC1014" i="6" s="1"/>
  <c r="BA1014" i="6"/>
  <c r="AZ1014" i="6" s="1"/>
  <c r="AX1014" i="6"/>
  <c r="AY1017" i="6"/>
  <c r="BC1017" i="6" s="1"/>
  <c r="BA1017" i="6"/>
  <c r="AZ1017" i="6" s="1"/>
  <c r="AX1017" i="6"/>
  <c r="AY1020" i="6"/>
  <c r="BC1020" i="6" s="1"/>
  <c r="AX1020" i="6"/>
  <c r="BA1026" i="6"/>
  <c r="AZ1026" i="6" s="1"/>
  <c r="AY1164" i="6"/>
  <c r="BC1164" i="6" s="1"/>
  <c r="BA431" i="6"/>
  <c r="AZ431" i="6" s="1"/>
  <c r="AX431" i="6"/>
  <c r="AY431" i="6"/>
  <c r="BC431" i="6" s="1"/>
  <c r="BA577" i="6"/>
  <c r="AZ577" i="6" s="1"/>
  <c r="AY577" i="6"/>
  <c r="BC577" i="6" s="1"/>
  <c r="AX577" i="6"/>
  <c r="BA2805" i="6"/>
  <c r="AZ2805" i="6" s="1"/>
  <c r="AY2805" i="6"/>
  <c r="BC2805" i="6" s="1"/>
  <c r="AX2805" i="6"/>
  <c r="BA1555" i="6"/>
  <c r="AZ1555" i="6" s="1"/>
  <c r="AY1555" i="6"/>
  <c r="BC1555" i="6" s="1"/>
  <c r="AX1555" i="6"/>
  <c r="BA189" i="6"/>
  <c r="AZ189" i="6" s="1"/>
  <c r="AY189" i="6"/>
  <c r="BC189" i="6" s="1"/>
  <c r="AX189" i="6"/>
  <c r="AY1635" i="6"/>
  <c r="BC1635" i="6" s="1"/>
  <c r="AY1643" i="6"/>
  <c r="BC1643" i="6" s="1"/>
  <c r="AY1651" i="6"/>
  <c r="BC1651" i="6" s="1"/>
  <c r="AY39" i="6"/>
  <c r="BC39" i="6" s="1"/>
  <c r="BA2474" i="6"/>
  <c r="AZ2474" i="6" s="1"/>
  <c r="AX2474" i="6"/>
  <c r="BA1518" i="6"/>
  <c r="AZ1518" i="6" s="1"/>
  <c r="AX1518" i="6"/>
  <c r="BA1522" i="6"/>
  <c r="AZ1522" i="6" s="1"/>
  <c r="AX1522" i="6"/>
  <c r="BA2133" i="6"/>
  <c r="AZ2133" i="6" s="1"/>
  <c r="AX2133" i="6"/>
  <c r="AY1115" i="6"/>
  <c r="BC1115" i="6" s="1"/>
  <c r="BA988" i="6"/>
  <c r="AZ988" i="6" s="1"/>
  <c r="AX988" i="6"/>
  <c r="BA990" i="6"/>
  <c r="AZ990" i="6" s="1"/>
  <c r="AX990" i="6"/>
  <c r="AY990" i="6"/>
  <c r="BC990" i="6" s="1"/>
  <c r="AX994" i="6"/>
  <c r="BA996" i="6"/>
  <c r="AZ996" i="6" s="1"/>
  <c r="AY1002" i="6"/>
  <c r="BC1002" i="6" s="1"/>
  <c r="AX1002" i="6"/>
  <c r="AY1004" i="6"/>
  <c r="BC1004" i="6" s="1"/>
  <c r="AY1009" i="6"/>
  <c r="BC1009" i="6" s="1"/>
  <c r="BA1009" i="6"/>
  <c r="AZ1009" i="6" s="1"/>
  <c r="AX1009" i="6"/>
  <c r="AY1018" i="6"/>
  <c r="BC1018" i="6" s="1"/>
  <c r="AX1018" i="6"/>
  <c r="BA539" i="6"/>
  <c r="AZ539" i="6" s="1"/>
  <c r="AX539" i="6"/>
  <c r="AY432" i="6"/>
  <c r="BC432" i="6" s="1"/>
  <c r="BA432" i="6"/>
  <c r="AZ432" i="6" s="1"/>
  <c r="AX432" i="6"/>
  <c r="BA2086" i="6"/>
  <c r="AZ2086" i="6" s="1"/>
  <c r="AY2086" i="6"/>
  <c r="BC2086" i="6" s="1"/>
  <c r="AX2086" i="6"/>
  <c r="BA436" i="6"/>
  <c r="AZ436" i="6" s="1"/>
  <c r="AY436" i="6"/>
  <c r="BC436" i="6" s="1"/>
  <c r="AX436" i="6"/>
  <c r="BA2664" i="6"/>
  <c r="AZ2664" i="6" s="1"/>
  <c r="AY2664" i="6"/>
  <c r="BC2664" i="6" s="1"/>
  <c r="AX2664" i="6"/>
  <c r="BA1055" i="6"/>
  <c r="AZ1055" i="6" s="1"/>
  <c r="AY1055" i="6"/>
  <c r="BC1055" i="6" s="1"/>
  <c r="AX1055" i="6"/>
  <c r="BA587" i="6"/>
  <c r="AZ587" i="6" s="1"/>
  <c r="AY587" i="6"/>
  <c r="BC587" i="6" s="1"/>
  <c r="AX587" i="6"/>
  <c r="BA1635" i="6"/>
  <c r="AZ1635" i="6" s="1"/>
  <c r="BA1643" i="6"/>
  <c r="AZ1643" i="6" s="1"/>
  <c r="BA1651" i="6"/>
  <c r="AZ1651" i="6" s="1"/>
  <c r="BA39" i="6"/>
  <c r="AZ39" i="6" s="1"/>
  <c r="AY1972" i="6"/>
  <c r="BC1972" i="6" s="1"/>
  <c r="AY1974" i="6"/>
  <c r="BC1974" i="6" s="1"/>
  <c r="AY2474" i="6"/>
  <c r="BC2474" i="6" s="1"/>
  <c r="AY1518" i="6"/>
  <c r="BC1518" i="6" s="1"/>
  <c r="AY1522" i="6"/>
  <c r="BC1522" i="6" s="1"/>
  <c r="AY1012" i="6"/>
  <c r="BC1012" i="6" s="1"/>
  <c r="AX1012" i="6"/>
  <c r="AY565" i="6"/>
  <c r="BC565" i="6" s="1"/>
  <c r="BA565" i="6"/>
  <c r="AZ565" i="6" s="1"/>
  <c r="AX565" i="6"/>
  <c r="AY1165" i="6"/>
  <c r="BC1165" i="6" s="1"/>
  <c r="BA1165" i="6"/>
  <c r="AZ1165" i="6" s="1"/>
  <c r="AX1165" i="6"/>
  <c r="AX1168" i="6"/>
  <c r="BA1168" i="6"/>
  <c r="AZ1168" i="6" s="1"/>
  <c r="BA1207" i="6"/>
  <c r="AZ1207" i="6" s="1"/>
  <c r="AY1207" i="6"/>
  <c r="BC1207" i="6" s="1"/>
  <c r="AX1207" i="6"/>
  <c r="BA2582" i="6"/>
  <c r="AZ2582" i="6" s="1"/>
  <c r="AY2582" i="6"/>
  <c r="BC2582" i="6" s="1"/>
  <c r="AX2582" i="6"/>
  <c r="BA2806" i="6"/>
  <c r="AZ2806" i="6" s="1"/>
  <c r="AY2806" i="6"/>
  <c r="BC2806" i="6" s="1"/>
  <c r="AX2806" i="6"/>
  <c r="BA566" i="6"/>
  <c r="AZ566" i="6" s="1"/>
  <c r="AY566" i="6"/>
  <c r="BC566" i="6" s="1"/>
  <c r="AX566" i="6"/>
  <c r="BA1056" i="6"/>
  <c r="AZ1056" i="6" s="1"/>
  <c r="AY1056" i="6"/>
  <c r="BC1056" i="6" s="1"/>
  <c r="AX1056" i="6"/>
  <c r="BA2809" i="6"/>
  <c r="AZ2809" i="6" s="1"/>
  <c r="AY2809" i="6"/>
  <c r="BC2809" i="6" s="1"/>
  <c r="AX2809" i="6"/>
  <c r="BA188" i="6"/>
  <c r="AZ188" i="6" s="1"/>
  <c r="AY188" i="6"/>
  <c r="BC188" i="6" s="1"/>
  <c r="AX188" i="6"/>
  <c r="BA1013" i="6"/>
  <c r="AZ1013" i="6" s="1"/>
  <c r="BA1029" i="6"/>
  <c r="AZ1029" i="6" s="1"/>
  <c r="BA1167" i="6"/>
  <c r="AZ1167" i="6" s="1"/>
  <c r="BA429" i="6"/>
  <c r="AZ429" i="6" s="1"/>
  <c r="BA2663" i="6"/>
  <c r="AZ2663" i="6" s="1"/>
  <c r="AY2663" i="6"/>
  <c r="BC2663" i="6" s="1"/>
  <c r="BA1052" i="6"/>
  <c r="AZ1052" i="6" s="1"/>
  <c r="AY1052" i="6"/>
  <c r="BC1052" i="6" s="1"/>
  <c r="BA2156" i="6"/>
  <c r="AZ2156" i="6" s="1"/>
  <c r="AY2156" i="6"/>
  <c r="BC2156" i="6" s="1"/>
  <c r="BA567" i="6"/>
  <c r="AZ567" i="6" s="1"/>
  <c r="AY567" i="6"/>
  <c r="BC567" i="6" s="1"/>
  <c r="BA1494" i="6"/>
  <c r="AZ1494" i="6" s="1"/>
  <c r="AY1494" i="6"/>
  <c r="BC1494" i="6" s="1"/>
  <c r="AX1494" i="6"/>
  <c r="BA2161" i="6"/>
  <c r="AZ2161" i="6" s="1"/>
  <c r="AY2161" i="6"/>
  <c r="BC2161" i="6" s="1"/>
  <c r="BA1183" i="6"/>
  <c r="AZ1183" i="6" s="1"/>
  <c r="AY1183" i="6"/>
  <c r="BC1183" i="6" s="1"/>
  <c r="AX1183" i="6"/>
  <c r="BA1590" i="6"/>
  <c r="AZ1590" i="6" s="1"/>
  <c r="AY1590" i="6"/>
  <c r="BC1590" i="6" s="1"/>
  <c r="AX1590" i="6"/>
  <c r="BA858" i="6"/>
  <c r="AZ858" i="6" s="1"/>
  <c r="AY858" i="6"/>
  <c r="BC858" i="6" s="1"/>
  <c r="AX858" i="6"/>
  <c r="BA1975" i="6"/>
  <c r="AZ1975" i="6" s="1"/>
  <c r="AY1975" i="6"/>
  <c r="BC1975" i="6" s="1"/>
  <c r="AX1975" i="6"/>
  <c r="BA2205" i="6"/>
  <c r="AZ2205" i="6" s="1"/>
  <c r="AY2205" i="6"/>
  <c r="BC2205" i="6" s="1"/>
  <c r="AX2205" i="6"/>
  <c r="BA1166" i="6"/>
  <c r="AZ1166" i="6" s="1"/>
  <c r="AX1166" i="6"/>
  <c r="BA1085" i="6"/>
  <c r="AZ1085" i="6" s="1"/>
  <c r="AY1085" i="6"/>
  <c r="BC1085" i="6" s="1"/>
  <c r="BA2815" i="6"/>
  <c r="AZ2815" i="6" s="1"/>
  <c r="AY2815" i="6"/>
  <c r="BC2815" i="6" s="1"/>
  <c r="BA1092" i="6"/>
  <c r="AZ1092" i="6" s="1"/>
  <c r="AY1092" i="6"/>
  <c r="BC1092" i="6" s="1"/>
  <c r="BA481" i="6"/>
  <c r="AZ481" i="6" s="1"/>
  <c r="AY481" i="6"/>
  <c r="BC481" i="6" s="1"/>
  <c r="BA1182" i="6"/>
  <c r="AZ1182" i="6" s="1"/>
  <c r="AY1182" i="6"/>
  <c r="BC1182" i="6" s="1"/>
  <c r="AX1182" i="6"/>
  <c r="BA1578" i="6"/>
  <c r="AZ1578" i="6" s="1"/>
  <c r="AY1578" i="6"/>
  <c r="BC1578" i="6" s="1"/>
  <c r="AX1578" i="6"/>
  <c r="BA1589" i="6"/>
  <c r="AZ1589" i="6" s="1"/>
  <c r="AY1589" i="6"/>
  <c r="BC1589" i="6" s="1"/>
  <c r="AX1589" i="6"/>
  <c r="BA1491" i="6"/>
  <c r="AZ1491" i="6" s="1"/>
  <c r="AY1491" i="6"/>
  <c r="BC1491" i="6" s="1"/>
  <c r="AX1491" i="6"/>
  <c r="BA860" i="6"/>
  <c r="AZ860" i="6" s="1"/>
  <c r="AY860" i="6"/>
  <c r="BC860" i="6" s="1"/>
  <c r="AX860" i="6"/>
  <c r="BA2480" i="6"/>
  <c r="AZ2480" i="6" s="1"/>
  <c r="AY2480" i="6"/>
  <c r="BC2480" i="6" s="1"/>
  <c r="AX2480" i="6"/>
  <c r="AY1005" i="6"/>
  <c r="BC1005" i="6" s="1"/>
  <c r="AY1021" i="6"/>
  <c r="BC1021" i="6" s="1"/>
  <c r="AY550" i="6"/>
  <c r="BC550" i="6" s="1"/>
  <c r="AY1166" i="6"/>
  <c r="BC1166" i="6" s="1"/>
  <c r="BA2583" i="6"/>
  <c r="AZ2583" i="6" s="1"/>
  <c r="AY2583" i="6"/>
  <c r="BC2583" i="6" s="1"/>
  <c r="AX1085" i="6"/>
  <c r="BA1088" i="6"/>
  <c r="AZ1088" i="6" s="1"/>
  <c r="AY1088" i="6"/>
  <c r="BC1088" i="6" s="1"/>
  <c r="AX2815" i="6"/>
  <c r="BA437" i="6"/>
  <c r="AZ437" i="6" s="1"/>
  <c r="AY437" i="6"/>
  <c r="BC437" i="6" s="1"/>
  <c r="AX1092" i="6"/>
  <c r="BA2811" i="6"/>
  <c r="AZ2811" i="6" s="1"/>
  <c r="AY2811" i="6"/>
  <c r="BC2811" i="6" s="1"/>
  <c r="AX481" i="6"/>
  <c r="BA857" i="6"/>
  <c r="AZ857" i="6" s="1"/>
  <c r="AY857" i="6"/>
  <c r="BC857" i="6" s="1"/>
  <c r="BA1072" i="6"/>
  <c r="AZ1072" i="6" s="1"/>
  <c r="AY1072" i="6"/>
  <c r="BC1072" i="6" s="1"/>
  <c r="AX1072" i="6"/>
  <c r="BA1598" i="6"/>
  <c r="AZ1598" i="6" s="1"/>
  <c r="AY1598" i="6"/>
  <c r="BC1598" i="6" s="1"/>
  <c r="AX1598" i="6"/>
  <c r="BA1976" i="6"/>
  <c r="AZ1976" i="6" s="1"/>
  <c r="AY1976" i="6"/>
  <c r="BC1976" i="6" s="1"/>
  <c r="AX1976" i="6"/>
  <c r="BA2204" i="6"/>
  <c r="AZ2204" i="6" s="1"/>
  <c r="AY2204" i="6"/>
  <c r="BC2204" i="6" s="1"/>
  <c r="AX2204" i="6"/>
  <c r="BA2152" i="6"/>
  <c r="AZ2152" i="6" s="1"/>
  <c r="AY2152" i="6"/>
  <c r="BC2152" i="6" s="1"/>
  <c r="BA2155" i="6"/>
  <c r="AZ2155" i="6" s="1"/>
  <c r="AY2155" i="6"/>
  <c r="BC2155" i="6" s="1"/>
  <c r="AX2155" i="6"/>
  <c r="BA2666" i="6"/>
  <c r="AZ2666" i="6" s="1"/>
  <c r="AY2666" i="6"/>
  <c r="BC2666" i="6" s="1"/>
  <c r="BA439" i="6"/>
  <c r="AZ439" i="6" s="1"/>
  <c r="AY439" i="6"/>
  <c r="BC439" i="6" s="1"/>
  <c r="AX439" i="6"/>
  <c r="BA1170" i="6"/>
  <c r="AZ1170" i="6" s="1"/>
  <c r="AY1170" i="6"/>
  <c r="BC1170" i="6" s="1"/>
  <c r="BA1057" i="6"/>
  <c r="AZ1057" i="6" s="1"/>
  <c r="AY1057" i="6"/>
  <c r="BC1057" i="6" s="1"/>
  <c r="AX1057" i="6"/>
  <c r="BA1743" i="6"/>
  <c r="AZ1743" i="6" s="1"/>
  <c r="AY1743" i="6"/>
  <c r="BC1743" i="6" s="1"/>
  <c r="BA1067" i="6"/>
  <c r="AZ1067" i="6" s="1"/>
  <c r="AY1067" i="6"/>
  <c r="BC1067" i="6" s="1"/>
  <c r="AX1067" i="6"/>
  <c r="BA2521" i="6"/>
  <c r="AZ2521" i="6" s="1"/>
  <c r="AY2521" i="6"/>
  <c r="BC2521" i="6" s="1"/>
  <c r="BA1178" i="6"/>
  <c r="AZ1178" i="6" s="1"/>
  <c r="AY1178" i="6"/>
  <c r="BC1178" i="6" s="1"/>
  <c r="AX1178" i="6"/>
  <c r="BA580" i="6"/>
  <c r="AZ580" i="6" s="1"/>
  <c r="AY580" i="6"/>
  <c r="BC580" i="6" s="1"/>
  <c r="BA589" i="6"/>
  <c r="AZ589" i="6" s="1"/>
  <c r="AY589" i="6"/>
  <c r="BC589" i="6" s="1"/>
  <c r="AX589" i="6"/>
  <c r="BA1071" i="6"/>
  <c r="AZ1071" i="6" s="1"/>
  <c r="AY1071" i="6"/>
  <c r="BC1071" i="6" s="1"/>
  <c r="AX1071" i="6"/>
  <c r="BA1586" i="6"/>
  <c r="AZ1586" i="6" s="1"/>
  <c r="AY1586" i="6"/>
  <c r="BC1586" i="6" s="1"/>
  <c r="AX1586" i="6"/>
  <c r="BA1596" i="6"/>
  <c r="AZ1596" i="6" s="1"/>
  <c r="AY1596" i="6"/>
  <c r="BC1596" i="6" s="1"/>
  <c r="AX1596" i="6"/>
  <c r="BA859" i="6"/>
  <c r="AZ859" i="6" s="1"/>
  <c r="AY859" i="6"/>
  <c r="BC859" i="6" s="1"/>
  <c r="AX859" i="6"/>
  <c r="BA1978" i="6"/>
  <c r="AZ1978" i="6" s="1"/>
  <c r="AY1978" i="6"/>
  <c r="BC1978" i="6" s="1"/>
  <c r="AX1978" i="6"/>
  <c r="BA2169" i="6"/>
  <c r="AZ2169" i="6" s="1"/>
  <c r="AY2169" i="6"/>
  <c r="BC2169" i="6" s="1"/>
  <c r="AX2169" i="6"/>
  <c r="BA1005" i="6"/>
  <c r="AZ1005" i="6" s="1"/>
  <c r="BA1021" i="6"/>
  <c r="AZ1021" i="6" s="1"/>
  <c r="BA550" i="6"/>
  <c r="AZ550" i="6" s="1"/>
  <c r="BA1086" i="6"/>
  <c r="AZ1086" i="6" s="1"/>
  <c r="AY1086" i="6"/>
  <c r="BC1086" i="6" s="1"/>
  <c r="AX2152" i="6"/>
  <c r="BA1053" i="6"/>
  <c r="AZ1053" i="6" s="1"/>
  <c r="AY1053" i="6"/>
  <c r="BC1053" i="6" s="1"/>
  <c r="AX2666" i="6"/>
  <c r="AX1170" i="6"/>
  <c r="BA2668" i="6"/>
  <c r="AZ2668" i="6" s="1"/>
  <c r="AY2668" i="6"/>
  <c r="BC2668" i="6" s="1"/>
  <c r="AX1743" i="6"/>
  <c r="AX2521" i="6"/>
  <c r="BA568" i="6"/>
  <c r="AZ568" i="6" s="1"/>
  <c r="AY568" i="6"/>
  <c r="BC568" i="6" s="1"/>
  <c r="AX580" i="6"/>
  <c r="BA1742" i="6"/>
  <c r="AZ1742" i="6" s="1"/>
  <c r="AY1742" i="6"/>
  <c r="BC1742" i="6" s="1"/>
  <c r="AX1742" i="6"/>
  <c r="BA1749" i="6"/>
  <c r="AZ1749" i="6" s="1"/>
  <c r="AY1749" i="6"/>
  <c r="BC1749" i="6" s="1"/>
  <c r="BA1572" i="6"/>
  <c r="AZ1572" i="6" s="1"/>
  <c r="AY1572" i="6"/>
  <c r="BC1572" i="6" s="1"/>
  <c r="AX1572" i="6"/>
  <c r="BA2364" i="6"/>
  <c r="AZ2364" i="6" s="1"/>
  <c r="AY2364" i="6"/>
  <c r="BC2364" i="6" s="1"/>
  <c r="AX2364" i="6"/>
  <c r="BA1977" i="6"/>
  <c r="AZ1977" i="6" s="1"/>
  <c r="AY1977" i="6"/>
  <c r="BC1977" i="6" s="1"/>
  <c r="AX1977" i="6"/>
  <c r="BA861" i="6"/>
  <c r="AZ861" i="6" s="1"/>
  <c r="AY861" i="6"/>
  <c r="BC861" i="6" s="1"/>
  <c r="AX861" i="6"/>
  <c r="BA2333" i="6"/>
  <c r="AZ2333" i="6" s="1"/>
  <c r="AY2333" i="6"/>
  <c r="BC2333" i="6" s="1"/>
  <c r="AX2333" i="6"/>
  <c r="BA2584" i="6"/>
  <c r="AZ2584" i="6" s="1"/>
  <c r="AY2584" i="6"/>
  <c r="BC2584" i="6" s="1"/>
  <c r="BA1051" i="6"/>
  <c r="AZ1051" i="6" s="1"/>
  <c r="AY1051" i="6"/>
  <c r="BC1051" i="6" s="1"/>
  <c r="BA438" i="6"/>
  <c r="AZ438" i="6" s="1"/>
  <c r="AY438" i="6"/>
  <c r="BC438" i="6" s="1"/>
  <c r="BA479" i="6"/>
  <c r="AZ479" i="6" s="1"/>
  <c r="AY479" i="6"/>
  <c r="BC479" i="6" s="1"/>
  <c r="BA482" i="6"/>
  <c r="AZ482" i="6" s="1"/>
  <c r="AY482" i="6"/>
  <c r="BC482" i="6" s="1"/>
  <c r="BA1180" i="6"/>
  <c r="AZ1180" i="6" s="1"/>
  <c r="AY1180" i="6"/>
  <c r="BC1180" i="6" s="1"/>
  <c r="AX1180" i="6"/>
  <c r="BA1070" i="6"/>
  <c r="AZ1070" i="6" s="1"/>
  <c r="AY1070" i="6"/>
  <c r="BC1070" i="6" s="1"/>
  <c r="AX1070" i="6"/>
  <c r="BA1076" i="6"/>
  <c r="AZ1076" i="6" s="1"/>
  <c r="AY1076" i="6"/>
  <c r="BC1076" i="6" s="1"/>
  <c r="AX1076" i="6"/>
  <c r="BA1594" i="6"/>
  <c r="AZ1594" i="6" s="1"/>
  <c r="AY1594" i="6"/>
  <c r="BC1594" i="6" s="1"/>
  <c r="AX1594" i="6"/>
  <c r="BA2200" i="6"/>
  <c r="AZ2200" i="6" s="1"/>
  <c r="AY2200" i="6"/>
  <c r="BC2200" i="6" s="1"/>
  <c r="AX2200" i="6"/>
  <c r="BA1492" i="6"/>
  <c r="AZ1492" i="6" s="1"/>
  <c r="AY1492" i="6"/>
  <c r="BC1492" i="6" s="1"/>
  <c r="AX1492" i="6"/>
  <c r="BA2367" i="6"/>
  <c r="AZ2367" i="6" s="1"/>
  <c r="AY2367" i="6"/>
  <c r="BC2367" i="6" s="1"/>
  <c r="AX2367" i="6"/>
  <c r="BA1919" i="6"/>
  <c r="AZ1919" i="6" s="1"/>
  <c r="AY1919" i="6"/>
  <c r="BC1919" i="6" s="1"/>
  <c r="AX1919" i="6"/>
  <c r="AY1013" i="6"/>
  <c r="BC1013" i="6" s="1"/>
  <c r="AY1029" i="6"/>
  <c r="BC1029" i="6" s="1"/>
  <c r="AX1167" i="6"/>
  <c r="AX429" i="6"/>
  <c r="AX2584" i="6"/>
  <c r="BA330" i="6"/>
  <c r="AZ330" i="6" s="1"/>
  <c r="AY330" i="6"/>
  <c r="BC330" i="6" s="1"/>
  <c r="AX1051" i="6"/>
  <c r="BA2154" i="6"/>
  <c r="AZ2154" i="6" s="1"/>
  <c r="AY2154" i="6"/>
  <c r="BC2154" i="6" s="1"/>
  <c r="AX438" i="6"/>
  <c r="BA578" i="6"/>
  <c r="AZ578" i="6" s="1"/>
  <c r="AY578" i="6"/>
  <c r="BC578" i="6" s="1"/>
  <c r="AX479" i="6"/>
  <c r="BA480" i="6"/>
  <c r="AZ480" i="6" s="1"/>
  <c r="AY480" i="6"/>
  <c r="BC480" i="6" s="1"/>
  <c r="AX482" i="6"/>
  <c r="BA1181" i="6"/>
  <c r="AZ1181" i="6" s="1"/>
  <c r="AY1181" i="6"/>
  <c r="BC1181" i="6" s="1"/>
  <c r="AX1181" i="6"/>
  <c r="BA1582" i="6"/>
  <c r="AZ1582" i="6" s="1"/>
  <c r="AY1582" i="6"/>
  <c r="BC1582" i="6" s="1"/>
  <c r="AX1582" i="6"/>
  <c r="BA187" i="6"/>
  <c r="AZ187" i="6" s="1"/>
  <c r="AY187" i="6"/>
  <c r="BC187" i="6" s="1"/>
  <c r="AX187" i="6"/>
  <c r="BA2479" i="6"/>
  <c r="AZ2479" i="6" s="1"/>
  <c r="AY2479" i="6"/>
  <c r="BC2479" i="6" s="1"/>
  <c r="AX2479" i="6"/>
  <c r="BA2330" i="6"/>
  <c r="AZ2330" i="6" s="1"/>
  <c r="AY2330" i="6"/>
  <c r="BC2330" i="6" s="1"/>
  <c r="AX2330" i="6"/>
  <c r="BA535" i="6"/>
  <c r="AZ535" i="6" s="1"/>
  <c r="AY535" i="6"/>
  <c r="BC535" i="6" s="1"/>
  <c r="BA588" i="6"/>
  <c r="AZ588" i="6" s="1"/>
  <c r="AY588" i="6"/>
  <c r="BC588" i="6" s="1"/>
  <c r="BA1068" i="6"/>
  <c r="AZ1068" i="6" s="1"/>
  <c r="AY1068" i="6"/>
  <c r="BC1068" i="6" s="1"/>
  <c r="BA1684" i="6"/>
  <c r="AZ1684" i="6" s="1"/>
  <c r="AY1684" i="6"/>
  <c r="BC1684" i="6" s="1"/>
  <c r="BA1575" i="6"/>
  <c r="AZ1575" i="6" s="1"/>
  <c r="AY1575" i="6"/>
  <c r="BC1575" i="6" s="1"/>
  <c r="BA1585" i="6"/>
  <c r="AZ1585" i="6" s="1"/>
  <c r="AY1585" i="6"/>
  <c r="BC1585" i="6" s="1"/>
  <c r="BA1593" i="6"/>
  <c r="AZ1593" i="6" s="1"/>
  <c r="AY1593" i="6"/>
  <c r="BC1593" i="6" s="1"/>
  <c r="BA1490" i="6"/>
  <c r="AZ1490" i="6" s="1"/>
  <c r="AY1490" i="6"/>
  <c r="BC1490" i="6" s="1"/>
  <c r="BA2202" i="6"/>
  <c r="AZ2202" i="6" s="1"/>
  <c r="AY2202" i="6"/>
  <c r="BC2202" i="6" s="1"/>
  <c r="BA2162" i="6"/>
  <c r="AZ2162" i="6" s="1"/>
  <c r="AY2162" i="6"/>
  <c r="BC2162" i="6" s="1"/>
  <c r="AX2162" i="6"/>
  <c r="BA2324" i="6"/>
  <c r="AZ2324" i="6" s="1"/>
  <c r="AY2324" i="6"/>
  <c r="BC2324" i="6" s="1"/>
  <c r="AX2324" i="6"/>
  <c r="BA2327" i="6"/>
  <c r="AZ2327" i="6" s="1"/>
  <c r="AY2327" i="6"/>
  <c r="BC2327" i="6" s="1"/>
  <c r="AX2327" i="6"/>
  <c r="BA2018" i="6"/>
  <c r="AZ2018" i="6" s="1"/>
  <c r="AY2018" i="6"/>
  <c r="BC2018" i="6" s="1"/>
  <c r="BA2368" i="6"/>
  <c r="AZ2368" i="6" s="1"/>
  <c r="AY2368" i="6"/>
  <c r="BC2368" i="6" s="1"/>
  <c r="BA2585" i="6"/>
  <c r="AZ2585" i="6" s="1"/>
  <c r="AY2585" i="6"/>
  <c r="BC2585" i="6" s="1"/>
  <c r="BA2736" i="6"/>
  <c r="AZ2736" i="6" s="1"/>
  <c r="AY2736" i="6"/>
  <c r="BC2736" i="6" s="1"/>
  <c r="BA2206" i="6"/>
  <c r="AZ2206" i="6" s="1"/>
  <c r="AY2206" i="6"/>
  <c r="BC2206" i="6" s="1"/>
  <c r="BA190" i="6"/>
  <c r="AZ190" i="6" s="1"/>
  <c r="AY190" i="6"/>
  <c r="BC190" i="6" s="1"/>
  <c r="BA2224" i="6"/>
  <c r="AZ2224" i="6" s="1"/>
  <c r="AY2224" i="6"/>
  <c r="BC2224" i="6" s="1"/>
  <c r="BA2226" i="6"/>
  <c r="AZ2226" i="6" s="1"/>
  <c r="AY2226" i="6"/>
  <c r="BC2226" i="6" s="1"/>
  <c r="BA2377" i="6"/>
  <c r="AZ2377" i="6" s="1"/>
  <c r="AY2377" i="6"/>
  <c r="BC2377" i="6" s="1"/>
  <c r="BA2379" i="6"/>
  <c r="AZ2379" i="6" s="1"/>
  <c r="AY2379" i="6"/>
  <c r="BC2379" i="6" s="1"/>
  <c r="BA2489" i="6"/>
  <c r="AZ2489" i="6" s="1"/>
  <c r="AY2489" i="6"/>
  <c r="BC2489" i="6" s="1"/>
  <c r="BA2318" i="6"/>
  <c r="AZ2318" i="6" s="1"/>
  <c r="AY2318" i="6"/>
  <c r="BC2318" i="6" s="1"/>
  <c r="AX2318" i="6"/>
  <c r="BA2321" i="6"/>
  <c r="AZ2321" i="6" s="1"/>
  <c r="AY2321" i="6"/>
  <c r="BC2321" i="6" s="1"/>
  <c r="AX2321" i="6"/>
  <c r="BA2323" i="6"/>
  <c r="AZ2323" i="6" s="1"/>
  <c r="AY2323" i="6"/>
  <c r="BC2323" i="6" s="1"/>
  <c r="AX2323" i="6"/>
  <c r="BA1679" i="6"/>
  <c r="AZ1679" i="6" s="1"/>
  <c r="AY1679" i="6"/>
  <c r="BC1679" i="6" s="1"/>
  <c r="BA1075" i="6"/>
  <c r="AZ1075" i="6" s="1"/>
  <c r="AY1075" i="6"/>
  <c r="BC1075" i="6" s="1"/>
  <c r="BA1579" i="6"/>
  <c r="AZ1579" i="6" s="1"/>
  <c r="AY1579" i="6"/>
  <c r="BC1579" i="6" s="1"/>
  <c r="BA1588" i="6"/>
  <c r="AZ1588" i="6" s="1"/>
  <c r="AY1588" i="6"/>
  <c r="BC1588" i="6" s="1"/>
  <c r="BA1595" i="6"/>
  <c r="AZ1595" i="6" s="1"/>
  <c r="AY1595" i="6"/>
  <c r="BC1595" i="6" s="1"/>
  <c r="BA2199" i="6"/>
  <c r="AZ2199" i="6" s="1"/>
  <c r="AY2199" i="6"/>
  <c r="BC2199" i="6" s="1"/>
  <c r="BA2203" i="6"/>
  <c r="AZ2203" i="6" s="1"/>
  <c r="AY2203" i="6"/>
  <c r="BC2203" i="6" s="1"/>
  <c r="AX2018" i="6"/>
  <c r="AX2368" i="6"/>
  <c r="AX2585" i="6"/>
  <c r="AX2736" i="6"/>
  <c r="AX2206" i="6"/>
  <c r="AX190" i="6"/>
  <c r="AX2224" i="6"/>
  <c r="AX2226" i="6"/>
  <c r="BA2163" i="6"/>
  <c r="AZ2163" i="6" s="1"/>
  <c r="AY2163" i="6"/>
  <c r="BC2163" i="6" s="1"/>
  <c r="AX2163" i="6"/>
  <c r="BA2166" i="6"/>
  <c r="AZ2166" i="6" s="1"/>
  <c r="AY2166" i="6"/>
  <c r="BC2166" i="6" s="1"/>
  <c r="AX2166" i="6"/>
  <c r="BA2328" i="6"/>
  <c r="AZ2328" i="6" s="1"/>
  <c r="AY2328" i="6"/>
  <c r="BC2328" i="6" s="1"/>
  <c r="AX2328" i="6"/>
  <c r="BA2331" i="6"/>
  <c r="AZ2331" i="6" s="1"/>
  <c r="AY2331" i="6"/>
  <c r="BC2331" i="6" s="1"/>
  <c r="AX2331" i="6"/>
  <c r="BA474" i="6"/>
  <c r="AZ474" i="6" s="1"/>
  <c r="AY474" i="6"/>
  <c r="BC474" i="6" s="1"/>
  <c r="BA1069" i="6"/>
  <c r="AZ1069" i="6" s="1"/>
  <c r="AY1069" i="6"/>
  <c r="BC1069" i="6" s="1"/>
  <c r="AX1679" i="6"/>
  <c r="BA1682" i="6"/>
  <c r="AZ1682" i="6" s="1"/>
  <c r="AY1682" i="6"/>
  <c r="BC1682" i="6" s="1"/>
  <c r="AX1075" i="6"/>
  <c r="BA1574" i="6"/>
  <c r="AZ1574" i="6" s="1"/>
  <c r="AY1574" i="6"/>
  <c r="BC1574" i="6" s="1"/>
  <c r="AX1579" i="6"/>
  <c r="BA1584" i="6"/>
  <c r="AZ1584" i="6" s="1"/>
  <c r="AY1584" i="6"/>
  <c r="BC1584" i="6" s="1"/>
  <c r="AX1588" i="6"/>
  <c r="BA1592" i="6"/>
  <c r="AZ1592" i="6" s="1"/>
  <c r="AY1592" i="6"/>
  <c r="BC1592" i="6" s="1"/>
  <c r="AX1595" i="6"/>
  <c r="BA878" i="6"/>
  <c r="AZ878" i="6" s="1"/>
  <c r="AY878" i="6"/>
  <c r="BC878" i="6" s="1"/>
  <c r="AX2199" i="6"/>
  <c r="BA2366" i="6"/>
  <c r="AZ2366" i="6" s="1"/>
  <c r="AY2366" i="6"/>
  <c r="BC2366" i="6" s="1"/>
  <c r="AX2203" i="6"/>
  <c r="BA2322" i="6"/>
  <c r="AZ2322" i="6" s="1"/>
  <c r="AY2322" i="6"/>
  <c r="BC2322" i="6" s="1"/>
  <c r="AX2322" i="6"/>
  <c r="BA2325" i="6"/>
  <c r="AZ2325" i="6" s="1"/>
  <c r="AY2325" i="6"/>
  <c r="BC2325" i="6" s="1"/>
  <c r="AX2325" i="6"/>
  <c r="BA1769" i="6"/>
  <c r="AZ1769" i="6" s="1"/>
  <c r="AY1769" i="6"/>
  <c r="BC1769" i="6" s="1"/>
  <c r="BA2835" i="6"/>
  <c r="AZ2835" i="6" s="1"/>
  <c r="AY2835" i="6"/>
  <c r="BC2835" i="6" s="1"/>
  <c r="BA1571" i="6"/>
  <c r="AZ1571" i="6" s="1"/>
  <c r="AY1571" i="6"/>
  <c r="BC1571" i="6" s="1"/>
  <c r="BA1581" i="6"/>
  <c r="AZ1581" i="6" s="1"/>
  <c r="AY1581" i="6"/>
  <c r="BC1581" i="6" s="1"/>
  <c r="BA266" i="6"/>
  <c r="AZ266" i="6" s="1"/>
  <c r="AY266" i="6"/>
  <c r="BC266" i="6" s="1"/>
  <c r="BA1597" i="6"/>
  <c r="AZ1597" i="6" s="1"/>
  <c r="AY1597" i="6"/>
  <c r="BC1597" i="6" s="1"/>
  <c r="BA2201" i="6"/>
  <c r="AZ2201" i="6" s="1"/>
  <c r="AY2201" i="6"/>
  <c r="BC2201" i="6" s="1"/>
  <c r="BA186" i="6"/>
  <c r="AZ186" i="6" s="1"/>
  <c r="AY186" i="6"/>
  <c r="BC186" i="6" s="1"/>
  <c r="BA2167" i="6"/>
  <c r="AZ2167" i="6" s="1"/>
  <c r="AY2167" i="6"/>
  <c r="BC2167" i="6" s="1"/>
  <c r="AX2167" i="6"/>
  <c r="BA2319" i="6"/>
  <c r="AZ2319" i="6" s="1"/>
  <c r="AY2319" i="6"/>
  <c r="BC2319" i="6" s="1"/>
  <c r="AX2319" i="6"/>
  <c r="BA2332" i="6"/>
  <c r="AZ2332" i="6" s="1"/>
  <c r="AY2332" i="6"/>
  <c r="BC2332" i="6" s="1"/>
  <c r="AX2332" i="6"/>
  <c r="BA2336" i="6"/>
  <c r="AZ2336" i="6" s="1"/>
  <c r="AY2336" i="6"/>
  <c r="BC2336" i="6" s="1"/>
  <c r="AX2336" i="6"/>
  <c r="BA2481" i="6"/>
  <c r="AZ2481" i="6" s="1"/>
  <c r="AY2481" i="6"/>
  <c r="BC2481" i="6" s="1"/>
  <c r="BA2671" i="6"/>
  <c r="AZ2671" i="6" s="1"/>
  <c r="AY2671" i="6"/>
  <c r="BC2671" i="6" s="1"/>
  <c r="BA2022" i="6"/>
  <c r="AZ2022" i="6" s="1"/>
  <c r="AY2022" i="6"/>
  <c r="BC2022" i="6" s="1"/>
  <c r="BA862" i="6"/>
  <c r="AZ862" i="6" s="1"/>
  <c r="AY862" i="6"/>
  <c r="BC862" i="6" s="1"/>
  <c r="BA191" i="6"/>
  <c r="AZ191" i="6" s="1"/>
  <c r="AY191" i="6"/>
  <c r="BC191" i="6" s="1"/>
  <c r="BA2225" i="6"/>
  <c r="AZ2225" i="6" s="1"/>
  <c r="AY2225" i="6"/>
  <c r="BC2225" i="6" s="1"/>
  <c r="BA2227" i="6"/>
  <c r="AZ2227" i="6" s="1"/>
  <c r="AY2227" i="6"/>
  <c r="BC2227" i="6" s="1"/>
  <c r="BA2378" i="6"/>
  <c r="AZ2378" i="6" s="1"/>
  <c r="AY2378" i="6"/>
  <c r="BC2378" i="6" s="1"/>
  <c r="BA2380" i="6"/>
  <c r="AZ2380" i="6" s="1"/>
  <c r="AY2380" i="6"/>
  <c r="BC2380" i="6" s="1"/>
  <c r="BA2490" i="6"/>
  <c r="AZ2490" i="6" s="1"/>
  <c r="AY2490" i="6"/>
  <c r="BC2490" i="6" s="1"/>
  <c r="AX2490" i="6"/>
  <c r="BA2125" i="6"/>
  <c r="AZ2125" i="6" s="1"/>
  <c r="AY2125" i="6"/>
  <c r="BC2125" i="6" s="1"/>
  <c r="AX2125" i="6"/>
  <c r="BA2326" i="6"/>
  <c r="AZ2326" i="6" s="1"/>
  <c r="AY2326" i="6"/>
  <c r="BC2326" i="6" s="1"/>
  <c r="AX2326" i="6"/>
  <c r="BA2329" i="6"/>
  <c r="AZ2329" i="6" s="1"/>
  <c r="AY2329" i="6"/>
  <c r="BC2329" i="6" s="1"/>
  <c r="AX2329" i="6"/>
  <c r="BA2522" i="6"/>
  <c r="AZ2522" i="6" s="1"/>
  <c r="AY2522" i="6"/>
  <c r="BC2522" i="6" s="1"/>
  <c r="BA1209" i="6"/>
  <c r="AZ1209" i="6" s="1"/>
  <c r="AY1209" i="6"/>
  <c r="BC1209" i="6" s="1"/>
  <c r="BA1073" i="6"/>
  <c r="AZ1073" i="6" s="1"/>
  <c r="AY1073" i="6"/>
  <c r="BC1073" i="6" s="1"/>
  <c r="BA1573" i="6"/>
  <c r="AZ1573" i="6" s="1"/>
  <c r="AY1573" i="6"/>
  <c r="BC1573" i="6" s="1"/>
  <c r="BA1583" i="6"/>
  <c r="AZ1583" i="6" s="1"/>
  <c r="AY1583" i="6"/>
  <c r="BC1583" i="6" s="1"/>
  <c r="BA1591" i="6"/>
  <c r="AZ1591" i="6" s="1"/>
  <c r="AY1591" i="6"/>
  <c r="BC1591" i="6" s="1"/>
  <c r="BA1495" i="6"/>
  <c r="AZ1495" i="6" s="1"/>
  <c r="AY1495" i="6"/>
  <c r="BC1495" i="6" s="1"/>
  <c r="BA2365" i="6"/>
  <c r="AZ2365" i="6" s="1"/>
  <c r="AY2365" i="6"/>
  <c r="BC2365" i="6" s="1"/>
  <c r="AX2481" i="6"/>
  <c r="AX2671" i="6"/>
  <c r="AX2022" i="6"/>
  <c r="AX862" i="6"/>
  <c r="AX191" i="6"/>
  <c r="AX2225" i="6"/>
  <c r="AX2227" i="6"/>
  <c r="AX2378" i="6"/>
  <c r="AX2380" i="6"/>
  <c r="BA2320" i="6"/>
  <c r="AZ2320" i="6" s="1"/>
  <c r="AY2320" i="6"/>
  <c r="BC2320" i="6" s="1"/>
  <c r="AX2320" i="6"/>
  <c r="BA2168" i="6"/>
  <c r="AZ2168" i="6" s="1"/>
  <c r="AY2168" i="6"/>
  <c r="BC2168" i="6" s="1"/>
  <c r="AX2168" i="6"/>
  <c r="BA2337" i="6"/>
  <c r="AZ2337" i="6" s="1"/>
  <c r="AY2337" i="6"/>
  <c r="BC2337" i="6" s="1"/>
  <c r="AX2337" i="6"/>
  <c r="BA2708" i="6"/>
  <c r="AZ2708" i="6" s="1"/>
  <c r="AX2708" i="6"/>
  <c r="AY2708" i="6"/>
  <c r="BC2708" i="6" s="1"/>
  <c r="BA1430" i="6"/>
  <c r="AZ1430" i="6" s="1"/>
  <c r="AX1430" i="6"/>
  <c r="AY1430" i="6"/>
  <c r="BC1430" i="6" s="1"/>
  <c r="BA1362" i="6"/>
  <c r="AZ1362" i="6" s="1"/>
  <c r="AX1362" i="6"/>
  <c r="AY1362" i="6"/>
  <c r="BC1362" i="6" s="1"/>
  <c r="BA1373" i="6"/>
  <c r="AZ1373" i="6" s="1"/>
  <c r="AX1373" i="6"/>
  <c r="AY1373" i="6"/>
  <c r="BC1373" i="6" s="1"/>
  <c r="BA1384" i="6"/>
  <c r="AZ1384" i="6" s="1"/>
  <c r="AX1384" i="6"/>
  <c r="AY1384" i="6"/>
  <c r="BC1384" i="6" s="1"/>
  <c r="BA1653" i="6"/>
  <c r="AZ1653" i="6" s="1"/>
  <c r="AX1653" i="6"/>
  <c r="AY1653" i="6"/>
  <c r="BC1653" i="6" s="1"/>
  <c r="BA1497" i="6"/>
  <c r="AZ1497" i="6" s="1"/>
  <c r="AX1497" i="6"/>
  <c r="AY1497" i="6"/>
  <c r="BC1497" i="6" s="1"/>
  <c r="BA199" i="6"/>
  <c r="AZ199" i="6" s="1"/>
  <c r="AX199" i="6"/>
  <c r="AY199" i="6"/>
  <c r="BC199" i="6" s="1"/>
  <c r="BA2764" i="6"/>
  <c r="AZ2764" i="6" s="1"/>
  <c r="AX2764" i="6"/>
  <c r="AY2764" i="6"/>
  <c r="BC2764" i="6" s="1"/>
  <c r="BA796" i="6"/>
  <c r="AZ796" i="6" s="1"/>
  <c r="AX796" i="6"/>
  <c r="AY796" i="6"/>
  <c r="BC796" i="6" s="1"/>
  <c r="BA1363" i="6"/>
  <c r="AZ1363" i="6" s="1"/>
  <c r="AX1363" i="6"/>
  <c r="AY1363" i="6"/>
  <c r="BC1363" i="6" s="1"/>
  <c r="BA1374" i="6"/>
  <c r="AZ1374" i="6" s="1"/>
  <c r="AX1374" i="6"/>
  <c r="AY1374" i="6"/>
  <c r="BC1374" i="6" s="1"/>
  <c r="BA1385" i="6"/>
  <c r="AZ1385" i="6" s="1"/>
  <c r="AX1385" i="6"/>
  <c r="AY1385" i="6"/>
  <c r="BC1385" i="6" s="1"/>
  <c r="BA1654" i="6"/>
  <c r="AZ1654" i="6" s="1"/>
  <c r="AX1654" i="6"/>
  <c r="AY1654" i="6"/>
  <c r="BC1654" i="6" s="1"/>
  <c r="BA1498" i="6"/>
  <c r="AZ1498" i="6" s="1"/>
  <c r="AX1498" i="6"/>
  <c r="AY1498" i="6"/>
  <c r="BC1498" i="6" s="1"/>
  <c r="BA200" i="6"/>
  <c r="AZ200" i="6" s="1"/>
  <c r="AX200" i="6"/>
  <c r="AY200" i="6"/>
  <c r="BC200" i="6" s="1"/>
  <c r="BA2765" i="6"/>
  <c r="AZ2765" i="6" s="1"/>
  <c r="AX2765" i="6"/>
  <c r="AY2765" i="6"/>
  <c r="BC2765" i="6" s="1"/>
  <c r="BA797" i="6"/>
  <c r="AZ797" i="6" s="1"/>
  <c r="AX797" i="6"/>
  <c r="AY797" i="6"/>
  <c r="BC797" i="6" s="1"/>
  <c r="BA1365" i="6"/>
  <c r="AZ1365" i="6" s="1"/>
  <c r="AX1365" i="6"/>
  <c r="AY1365" i="6"/>
  <c r="BC1365" i="6" s="1"/>
  <c r="BA1375" i="6"/>
  <c r="AZ1375" i="6" s="1"/>
  <c r="AX1375" i="6"/>
  <c r="AY1375" i="6"/>
  <c r="BC1375" i="6" s="1"/>
  <c r="BA1386" i="6"/>
  <c r="AZ1386" i="6" s="1"/>
  <c r="AX1386" i="6"/>
  <c r="AY1386" i="6"/>
  <c r="BC1386" i="6" s="1"/>
  <c r="BA1655" i="6"/>
  <c r="AZ1655" i="6" s="1"/>
  <c r="AX1655" i="6"/>
  <c r="AY1655" i="6"/>
  <c r="BC1655" i="6" s="1"/>
  <c r="BA2482" i="6"/>
  <c r="AZ2482" i="6" s="1"/>
  <c r="AX2482" i="6"/>
  <c r="AY2482" i="6"/>
  <c r="BC2482" i="6" s="1"/>
  <c r="BA870" i="6"/>
  <c r="AZ870" i="6" s="1"/>
  <c r="AX870" i="6"/>
  <c r="AY870" i="6"/>
  <c r="BC870" i="6" s="1"/>
  <c r="BA202" i="6"/>
  <c r="AZ202" i="6" s="1"/>
  <c r="AX202" i="6"/>
  <c r="AY202" i="6"/>
  <c r="BC202" i="6" s="1"/>
  <c r="BA1355" i="6"/>
  <c r="AZ1355" i="6" s="1"/>
  <c r="AX1355" i="6"/>
  <c r="AY1355" i="6"/>
  <c r="BC1355" i="6" s="1"/>
  <c r="BA1366" i="6"/>
  <c r="AZ1366" i="6" s="1"/>
  <c r="AX1366" i="6"/>
  <c r="AY1366" i="6"/>
  <c r="BC1366" i="6" s="1"/>
  <c r="BA1376" i="6"/>
  <c r="AZ1376" i="6" s="1"/>
  <c r="AX1376" i="6"/>
  <c r="AY1376" i="6"/>
  <c r="BC1376" i="6" s="1"/>
  <c r="BA1387" i="6"/>
  <c r="AZ1387" i="6" s="1"/>
  <c r="AX1387" i="6"/>
  <c r="AY1387" i="6"/>
  <c r="BC1387" i="6" s="1"/>
  <c r="BA1656" i="6"/>
  <c r="AZ1656" i="6" s="1"/>
  <c r="AX1656" i="6"/>
  <c r="AY1656" i="6"/>
  <c r="BC1656" i="6" s="1"/>
  <c r="BA868" i="6"/>
  <c r="AZ868" i="6" s="1"/>
  <c r="AX868" i="6"/>
  <c r="AY868" i="6"/>
  <c r="BC868" i="6" s="1"/>
  <c r="BA203" i="6"/>
  <c r="AZ203" i="6" s="1"/>
  <c r="AX203" i="6"/>
  <c r="AY203" i="6"/>
  <c r="BC203" i="6" s="1"/>
  <c r="BA1356" i="6"/>
  <c r="AZ1356" i="6" s="1"/>
  <c r="AX1356" i="6"/>
  <c r="AY1356" i="6"/>
  <c r="BC1356" i="6" s="1"/>
  <c r="BA1368" i="6"/>
  <c r="AZ1368" i="6" s="1"/>
  <c r="AX1368" i="6"/>
  <c r="AY1368" i="6"/>
  <c r="BC1368" i="6" s="1"/>
  <c r="BA1377" i="6"/>
  <c r="AZ1377" i="6" s="1"/>
  <c r="AX1377" i="6"/>
  <c r="AY1377" i="6"/>
  <c r="BC1377" i="6" s="1"/>
  <c r="BA1389" i="6"/>
  <c r="AZ1389" i="6" s="1"/>
  <c r="AX1389" i="6"/>
  <c r="AY1389" i="6"/>
  <c r="BC1389" i="6" s="1"/>
  <c r="BA1657" i="6"/>
  <c r="AZ1657" i="6" s="1"/>
  <c r="AX1657" i="6"/>
  <c r="AY1657" i="6"/>
  <c r="BC1657" i="6" s="1"/>
  <c r="BA867" i="6"/>
  <c r="AZ867" i="6" s="1"/>
  <c r="AX867" i="6"/>
  <c r="AY867" i="6"/>
  <c r="BC867" i="6" s="1"/>
  <c r="BA871" i="6"/>
  <c r="AZ871" i="6" s="1"/>
  <c r="AX871" i="6"/>
  <c r="AY871" i="6"/>
  <c r="BC871" i="6" s="1"/>
  <c r="BA791" i="6"/>
  <c r="AZ791" i="6" s="1"/>
  <c r="AX791" i="6"/>
  <c r="AY791" i="6"/>
  <c r="BC791" i="6" s="1"/>
  <c r="BA1357" i="6"/>
  <c r="AZ1357" i="6" s="1"/>
  <c r="AX1357" i="6"/>
  <c r="AY1357" i="6"/>
  <c r="BC1357" i="6" s="1"/>
  <c r="BA1369" i="6"/>
  <c r="AZ1369" i="6" s="1"/>
  <c r="AX1369" i="6"/>
  <c r="AY1369" i="6"/>
  <c r="BC1369" i="6" s="1"/>
  <c r="BA1378" i="6"/>
  <c r="AZ1378" i="6" s="1"/>
  <c r="AX1378" i="6"/>
  <c r="AY1378" i="6"/>
  <c r="BC1378" i="6" s="1"/>
  <c r="BA1390" i="6"/>
  <c r="AZ1390" i="6" s="1"/>
  <c r="AX1390" i="6"/>
  <c r="AY1390" i="6"/>
  <c r="BC1390" i="6" s="1"/>
  <c r="BA1658" i="6"/>
  <c r="AZ1658" i="6" s="1"/>
  <c r="AX1658" i="6"/>
  <c r="AY1658" i="6"/>
  <c r="BC1658" i="6" s="1"/>
  <c r="BA1982" i="6"/>
  <c r="AZ1982" i="6" s="1"/>
  <c r="AX1982" i="6"/>
  <c r="AY1982" i="6"/>
  <c r="BC1982" i="6" s="1"/>
  <c r="BA872" i="6"/>
  <c r="AZ872" i="6" s="1"/>
  <c r="AX872" i="6"/>
  <c r="AY872" i="6"/>
  <c r="BC872" i="6" s="1"/>
  <c r="BA792" i="6"/>
  <c r="AZ792" i="6" s="1"/>
  <c r="AX792" i="6"/>
  <c r="AY792" i="6"/>
  <c r="BC792" i="6" s="1"/>
  <c r="BA1358" i="6"/>
  <c r="AZ1358" i="6" s="1"/>
  <c r="AX1358" i="6"/>
  <c r="AY1358" i="6"/>
  <c r="BC1358" i="6" s="1"/>
  <c r="BA1370" i="6"/>
  <c r="AZ1370" i="6" s="1"/>
  <c r="AX1370" i="6"/>
  <c r="AY1370" i="6"/>
  <c r="BC1370" i="6" s="1"/>
  <c r="BA1379" i="6"/>
  <c r="AZ1379" i="6" s="1"/>
  <c r="AX1379" i="6"/>
  <c r="AY1379" i="6"/>
  <c r="BC1379" i="6" s="1"/>
  <c r="BA1391" i="6"/>
  <c r="AZ1391" i="6" s="1"/>
  <c r="AX1391" i="6"/>
  <c r="AY1391" i="6"/>
  <c r="BC1391" i="6" s="1"/>
  <c r="BA1493" i="6"/>
  <c r="AZ1493" i="6" s="1"/>
  <c r="AX1493" i="6"/>
  <c r="AY1493" i="6"/>
  <c r="BC1493" i="6" s="1"/>
  <c r="BA197" i="6"/>
  <c r="AZ197" i="6" s="1"/>
  <c r="AX197" i="6"/>
  <c r="AY197" i="6"/>
  <c r="BC197" i="6" s="1"/>
  <c r="BA794" i="6"/>
  <c r="AZ794" i="6" s="1"/>
  <c r="AX794" i="6"/>
  <c r="AY794" i="6"/>
  <c r="BC794" i="6" s="1"/>
  <c r="BA1359" i="6"/>
  <c r="AZ1359" i="6" s="1"/>
  <c r="AX1359" i="6"/>
  <c r="AY1359" i="6"/>
  <c r="BC1359" i="6" s="1"/>
  <c r="BA1372" i="6"/>
  <c r="AZ1372" i="6" s="1"/>
  <c r="AX1372" i="6"/>
  <c r="AY1372" i="6"/>
  <c r="BC1372" i="6" s="1"/>
  <c r="BA1381" i="6"/>
  <c r="AZ1381" i="6" s="1"/>
  <c r="AX1381" i="6"/>
  <c r="AY1381" i="6"/>
  <c r="BC1381" i="6" s="1"/>
  <c r="BA1652" i="6"/>
  <c r="AZ1652" i="6" s="1"/>
  <c r="AX1652" i="6"/>
  <c r="AY1652" i="6"/>
  <c r="BC1652" i="6" s="1"/>
  <c r="BA1496" i="6"/>
  <c r="AZ1496" i="6" s="1"/>
  <c r="AX1496" i="6"/>
  <c r="AY1496" i="6"/>
  <c r="BC1496" i="6" s="1"/>
  <c r="BA198" i="6"/>
  <c r="AZ198" i="6" s="1"/>
  <c r="AX198" i="6"/>
  <c r="AY198" i="6"/>
  <c r="BC198" i="6" s="1"/>
  <c r="BA869" i="6"/>
  <c r="AZ869" i="6" s="1"/>
  <c r="AX869" i="6"/>
  <c r="BA1500" i="6"/>
  <c r="AZ1500" i="6" s="1"/>
  <c r="AX1500" i="6"/>
  <c r="BA2672" i="6"/>
  <c r="AZ2672" i="6" s="1"/>
  <c r="AX2672" i="6"/>
  <c r="BA2371" i="6"/>
  <c r="AZ2371" i="6" s="1"/>
  <c r="AX2371" i="6"/>
  <c r="BA873" i="6"/>
  <c r="AZ873" i="6" s="1"/>
  <c r="AX873" i="6"/>
  <c r="BA1504" i="6"/>
  <c r="AZ1504" i="6" s="1"/>
  <c r="AX1504" i="6"/>
  <c r="BA2675" i="6"/>
  <c r="AZ2675" i="6" s="1"/>
  <c r="AX2675" i="6"/>
  <c r="BA876" i="6"/>
  <c r="AZ876" i="6" s="1"/>
  <c r="AX876" i="6"/>
  <c r="BA2372" i="6"/>
  <c r="AZ2372" i="6" s="1"/>
  <c r="AX2372" i="6"/>
  <c r="BA2677" i="6"/>
  <c r="AZ2677" i="6" s="1"/>
  <c r="AY2677" i="6"/>
  <c r="BC2677" i="6" s="1"/>
  <c r="AX2677" i="6"/>
  <c r="BA1037" i="6"/>
  <c r="AZ1037" i="6" s="1"/>
  <c r="AY1037" i="6"/>
  <c r="BC1037" i="6" s="1"/>
  <c r="AX1037" i="6"/>
  <c r="BA2476" i="6"/>
  <c r="AZ2476" i="6" s="1"/>
  <c r="AY2476" i="6"/>
  <c r="BC2476" i="6" s="1"/>
  <c r="AX2476" i="6"/>
  <c r="BA1049" i="6"/>
  <c r="AZ1049" i="6" s="1"/>
  <c r="AY1049" i="6"/>
  <c r="BC1049" i="6" s="1"/>
  <c r="AX1049" i="6"/>
  <c r="BA497" i="6"/>
  <c r="AZ497" i="6" s="1"/>
  <c r="AY497" i="6"/>
  <c r="BC497" i="6" s="1"/>
  <c r="AX497" i="6"/>
  <c r="BA514" i="6"/>
  <c r="AZ514" i="6" s="1"/>
  <c r="AY514" i="6"/>
  <c r="BC514" i="6" s="1"/>
  <c r="AX514" i="6"/>
  <c r="BA1759" i="6"/>
  <c r="AZ1759" i="6" s="1"/>
  <c r="AY1759" i="6"/>
  <c r="BC1759" i="6" s="1"/>
  <c r="AX1759" i="6"/>
  <c r="AX1772" i="6"/>
  <c r="BA1772" i="6"/>
  <c r="AZ1772" i="6" s="1"/>
  <c r="BA1980" i="6"/>
  <c r="AZ1980" i="6" s="1"/>
  <c r="AY1980" i="6"/>
  <c r="BC1980" i="6" s="1"/>
  <c r="AX1980" i="6"/>
  <c r="AY869" i="6"/>
  <c r="BC869" i="6" s="1"/>
  <c r="AY1500" i="6"/>
  <c r="BC1500" i="6" s="1"/>
  <c r="AY2672" i="6"/>
  <c r="BC2672" i="6" s="1"/>
  <c r="AY2371" i="6"/>
  <c r="BC2371" i="6" s="1"/>
  <c r="AY873" i="6"/>
  <c r="BC873" i="6" s="1"/>
  <c r="AY1504" i="6"/>
  <c r="BC1504" i="6" s="1"/>
  <c r="AY2675" i="6"/>
  <c r="BC2675" i="6" s="1"/>
  <c r="AY876" i="6"/>
  <c r="BC876" i="6" s="1"/>
  <c r="AY2372" i="6"/>
  <c r="BC2372" i="6" s="1"/>
  <c r="BA1030" i="6"/>
  <c r="AZ1030" i="6" s="1"/>
  <c r="AY1030" i="6"/>
  <c r="BC1030" i="6" s="1"/>
  <c r="AX1030" i="6"/>
  <c r="BA1038" i="6"/>
  <c r="AZ1038" i="6" s="1"/>
  <c r="AY1038" i="6"/>
  <c r="BC1038" i="6" s="1"/>
  <c r="AX1038" i="6"/>
  <c r="BA1733" i="6"/>
  <c r="AZ1733" i="6" s="1"/>
  <c r="AY1733" i="6"/>
  <c r="BC1733" i="6" s="1"/>
  <c r="AX1733" i="6"/>
  <c r="BA2062" i="6"/>
  <c r="AZ2062" i="6" s="1"/>
  <c r="AY2062" i="6"/>
  <c r="BC2062" i="6" s="1"/>
  <c r="AX2062" i="6"/>
  <c r="BA368" i="6"/>
  <c r="AZ368" i="6" s="1"/>
  <c r="AY368" i="6"/>
  <c r="BC368" i="6" s="1"/>
  <c r="AX368" i="6"/>
  <c r="BA1150" i="6"/>
  <c r="AZ1150" i="6" s="1"/>
  <c r="AY1150" i="6"/>
  <c r="BC1150" i="6" s="1"/>
  <c r="AX1150" i="6"/>
  <c r="BA597" i="6"/>
  <c r="AZ597" i="6" s="1"/>
  <c r="AY597" i="6"/>
  <c r="BC597" i="6" s="1"/>
  <c r="AX597" i="6"/>
  <c r="AX2228" i="6"/>
  <c r="BA2228" i="6"/>
  <c r="AZ2228" i="6" s="1"/>
  <c r="AY2228" i="6"/>
  <c r="BC2228" i="6" s="1"/>
  <c r="BA2381" i="6"/>
  <c r="AZ2381" i="6" s="1"/>
  <c r="AY2381" i="6"/>
  <c r="BC2381" i="6" s="1"/>
  <c r="AX2381" i="6"/>
  <c r="BA1501" i="6"/>
  <c r="AZ1501" i="6" s="1"/>
  <c r="AX1501" i="6"/>
  <c r="BA1983" i="6"/>
  <c r="AZ1983" i="6" s="1"/>
  <c r="AX1983" i="6"/>
  <c r="BA2209" i="6"/>
  <c r="AZ2209" i="6" s="1"/>
  <c r="AX2209" i="6"/>
  <c r="BA874" i="6"/>
  <c r="AZ874" i="6" s="1"/>
  <c r="AX874" i="6"/>
  <c r="BA1506" i="6"/>
  <c r="AZ1506" i="6" s="1"/>
  <c r="AX1506" i="6"/>
  <c r="BA2676" i="6"/>
  <c r="AZ2676" i="6" s="1"/>
  <c r="AX2676" i="6"/>
  <c r="BA1988" i="6"/>
  <c r="AZ1988" i="6" s="1"/>
  <c r="AX1988" i="6"/>
  <c r="BA2373" i="6"/>
  <c r="AZ2373" i="6" s="1"/>
  <c r="AX2373" i="6"/>
  <c r="BA1031" i="6"/>
  <c r="AZ1031" i="6" s="1"/>
  <c r="AY1031" i="6"/>
  <c r="BC1031" i="6" s="1"/>
  <c r="AX1031" i="6"/>
  <c r="BA1039" i="6"/>
  <c r="AZ1039" i="6" s="1"/>
  <c r="AY1039" i="6"/>
  <c r="BC1039" i="6" s="1"/>
  <c r="AX1039" i="6"/>
  <c r="BA512" i="6"/>
  <c r="AZ512" i="6" s="1"/>
  <c r="AY512" i="6"/>
  <c r="BC512" i="6" s="1"/>
  <c r="AX512" i="6"/>
  <c r="BA533" i="6"/>
  <c r="AZ533" i="6" s="1"/>
  <c r="AY533" i="6"/>
  <c r="BC533" i="6" s="1"/>
  <c r="AX533" i="6"/>
  <c r="BA498" i="6"/>
  <c r="AZ498" i="6" s="1"/>
  <c r="AY498" i="6"/>
  <c r="BC498" i="6" s="1"/>
  <c r="AX498" i="6"/>
  <c r="BA1151" i="6"/>
  <c r="AZ1151" i="6" s="1"/>
  <c r="AY1151" i="6"/>
  <c r="BC1151" i="6" s="1"/>
  <c r="AX1151" i="6"/>
  <c r="BA515" i="6"/>
  <c r="AZ515" i="6" s="1"/>
  <c r="AY515" i="6"/>
  <c r="BC515" i="6" s="1"/>
  <c r="AX515" i="6"/>
  <c r="AY592" i="6"/>
  <c r="BC592" i="6" s="1"/>
  <c r="AX592" i="6"/>
  <c r="BA592" i="6"/>
  <c r="AZ592" i="6" s="1"/>
  <c r="AY1981" i="6"/>
  <c r="BC1981" i="6" s="1"/>
  <c r="AX1981" i="6"/>
  <c r="BA1981" i="6"/>
  <c r="AZ1981" i="6" s="1"/>
  <c r="BA194" i="6"/>
  <c r="AZ194" i="6" s="1"/>
  <c r="AY194" i="6"/>
  <c r="BC194" i="6" s="1"/>
  <c r="AX194" i="6"/>
  <c r="AY1501" i="6"/>
  <c r="BC1501" i="6" s="1"/>
  <c r="AY1983" i="6"/>
  <c r="BC1983" i="6" s="1"/>
  <c r="AY2209" i="6"/>
  <c r="BC2209" i="6" s="1"/>
  <c r="AY874" i="6"/>
  <c r="BC874" i="6" s="1"/>
  <c r="AY1506" i="6"/>
  <c r="BC1506" i="6" s="1"/>
  <c r="AY2676" i="6"/>
  <c r="BC2676" i="6" s="1"/>
  <c r="AY1988" i="6"/>
  <c r="BC1988" i="6" s="1"/>
  <c r="AY2373" i="6"/>
  <c r="BC2373" i="6" s="1"/>
  <c r="BA1032" i="6"/>
  <c r="AZ1032" i="6" s="1"/>
  <c r="AY1032" i="6"/>
  <c r="BC1032" i="6" s="1"/>
  <c r="AX1032" i="6"/>
  <c r="BA1040" i="6"/>
  <c r="AZ1040" i="6" s="1"/>
  <c r="AY1040" i="6"/>
  <c r="BC1040" i="6" s="1"/>
  <c r="AX1040" i="6"/>
  <c r="BA1046" i="6"/>
  <c r="AZ1046" i="6" s="1"/>
  <c r="AY1046" i="6"/>
  <c r="BC1046" i="6" s="1"/>
  <c r="AX1046" i="6"/>
  <c r="BA2477" i="6"/>
  <c r="AZ2477" i="6" s="1"/>
  <c r="AY2477" i="6"/>
  <c r="BC2477" i="6" s="1"/>
  <c r="AX2477" i="6"/>
  <c r="BA499" i="6"/>
  <c r="AZ499" i="6" s="1"/>
  <c r="AY499" i="6"/>
  <c r="BC499" i="6" s="1"/>
  <c r="AX499" i="6"/>
  <c r="BA1152" i="6"/>
  <c r="AZ1152" i="6" s="1"/>
  <c r="AY1152" i="6"/>
  <c r="BC1152" i="6" s="1"/>
  <c r="AX1152" i="6"/>
  <c r="BA559" i="6"/>
  <c r="AZ559" i="6" s="1"/>
  <c r="AY559" i="6"/>
  <c r="BC559" i="6" s="1"/>
  <c r="AX559" i="6"/>
  <c r="BA2483" i="6"/>
  <c r="AZ2483" i="6" s="1"/>
  <c r="AX2483" i="6"/>
  <c r="BA2208" i="6"/>
  <c r="AZ2208" i="6" s="1"/>
  <c r="AX2208" i="6"/>
  <c r="BA1984" i="6"/>
  <c r="AZ1984" i="6" s="1"/>
  <c r="AX1984" i="6"/>
  <c r="BA875" i="6"/>
  <c r="AZ875" i="6" s="1"/>
  <c r="AX875" i="6"/>
  <c r="BA2673" i="6"/>
  <c r="AZ2673" i="6" s="1"/>
  <c r="AX2673" i="6"/>
  <c r="BA1986" i="6"/>
  <c r="AZ1986" i="6" s="1"/>
  <c r="AX1986" i="6"/>
  <c r="BA1989" i="6"/>
  <c r="AZ1989" i="6" s="1"/>
  <c r="AX1989" i="6"/>
  <c r="BA2484" i="6"/>
  <c r="AZ2484" i="6" s="1"/>
  <c r="AY2484" i="6"/>
  <c r="BC2484" i="6" s="1"/>
  <c r="AX2484" i="6"/>
  <c r="BA1033" i="6"/>
  <c r="AZ1033" i="6" s="1"/>
  <c r="AY1033" i="6"/>
  <c r="BC1033" i="6" s="1"/>
  <c r="AX1033" i="6"/>
  <c r="BA1041" i="6"/>
  <c r="AZ1041" i="6" s="1"/>
  <c r="AY1041" i="6"/>
  <c r="BC1041" i="6" s="1"/>
  <c r="AX1041" i="6"/>
  <c r="BA1734" i="6"/>
  <c r="AZ1734" i="6" s="1"/>
  <c r="AY1734" i="6"/>
  <c r="BC1734" i="6" s="1"/>
  <c r="AX1734" i="6"/>
  <c r="BA366" i="6"/>
  <c r="AZ366" i="6" s="1"/>
  <c r="AY366" i="6"/>
  <c r="BC366" i="6" s="1"/>
  <c r="AX366" i="6"/>
  <c r="BA1148" i="6"/>
  <c r="AZ1148" i="6" s="1"/>
  <c r="AY1148" i="6"/>
  <c r="BC1148" i="6" s="1"/>
  <c r="AX1148" i="6"/>
  <c r="BA1153" i="6"/>
  <c r="AZ1153" i="6" s="1"/>
  <c r="AY1153" i="6"/>
  <c r="BC1153" i="6" s="1"/>
  <c r="AX1153" i="6"/>
  <c r="BA2369" i="6"/>
  <c r="AZ2369" i="6" s="1"/>
  <c r="AY2369" i="6"/>
  <c r="BC2369" i="6" s="1"/>
  <c r="AX2369" i="6"/>
  <c r="AY2483" i="6"/>
  <c r="BC2483" i="6" s="1"/>
  <c r="AY2208" i="6"/>
  <c r="BC2208" i="6" s="1"/>
  <c r="AY1984" i="6"/>
  <c r="BC1984" i="6" s="1"/>
  <c r="AY875" i="6"/>
  <c r="BC875" i="6" s="1"/>
  <c r="AY2673" i="6"/>
  <c r="BC2673" i="6" s="1"/>
  <c r="AY1986" i="6"/>
  <c r="BC1986" i="6" s="1"/>
  <c r="AY1989" i="6"/>
  <c r="BC1989" i="6" s="1"/>
  <c r="BA2586" i="6"/>
  <c r="AZ2586" i="6" s="1"/>
  <c r="AY2586" i="6"/>
  <c r="BC2586" i="6" s="1"/>
  <c r="AX2586" i="6"/>
  <c r="BA1034" i="6"/>
  <c r="AZ1034" i="6" s="1"/>
  <c r="AY1034" i="6"/>
  <c r="BC1034" i="6" s="1"/>
  <c r="AX1034" i="6"/>
  <c r="BA1042" i="6"/>
  <c r="AZ1042" i="6" s="1"/>
  <c r="AY1042" i="6"/>
  <c r="BC1042" i="6" s="1"/>
  <c r="AX1042" i="6"/>
  <c r="BA532" i="6"/>
  <c r="AZ532" i="6" s="1"/>
  <c r="AY532" i="6"/>
  <c r="BC532" i="6" s="1"/>
  <c r="AX532" i="6"/>
  <c r="BA496" i="6"/>
  <c r="AZ496" i="6" s="1"/>
  <c r="AY496" i="6"/>
  <c r="BC496" i="6" s="1"/>
  <c r="AX496" i="6"/>
  <c r="BA500" i="6"/>
  <c r="AZ500" i="6" s="1"/>
  <c r="AY500" i="6"/>
  <c r="BC500" i="6" s="1"/>
  <c r="AX500" i="6"/>
  <c r="BA1154" i="6"/>
  <c r="AZ1154" i="6" s="1"/>
  <c r="AY1154" i="6"/>
  <c r="BC1154" i="6" s="1"/>
  <c r="AX1154" i="6"/>
  <c r="BA591" i="6"/>
  <c r="AZ591" i="6" s="1"/>
  <c r="AY591" i="6"/>
  <c r="BC591" i="6" s="1"/>
  <c r="AX591" i="6"/>
  <c r="BA2370" i="6"/>
  <c r="AZ2370" i="6" s="1"/>
  <c r="AY2370" i="6"/>
  <c r="BC2370" i="6" s="1"/>
  <c r="AX2370" i="6"/>
  <c r="BA196" i="6"/>
  <c r="AZ196" i="6" s="1"/>
  <c r="AY196" i="6"/>
  <c r="BC196" i="6" s="1"/>
  <c r="AX196" i="6"/>
  <c r="BA1499" i="6"/>
  <c r="AZ1499" i="6" s="1"/>
  <c r="AX1499" i="6"/>
  <c r="BA2745" i="6"/>
  <c r="AZ2745" i="6" s="1"/>
  <c r="AX2745" i="6"/>
  <c r="BA1503" i="6"/>
  <c r="AZ1503" i="6" s="1"/>
  <c r="AX1503" i="6"/>
  <c r="BA1505" i="6"/>
  <c r="AZ1505" i="6" s="1"/>
  <c r="AX1505" i="6"/>
  <c r="BA1985" i="6"/>
  <c r="AZ1985" i="6" s="1"/>
  <c r="AX1985" i="6"/>
  <c r="BA2674" i="6"/>
  <c r="AZ2674" i="6" s="1"/>
  <c r="AX2674" i="6"/>
  <c r="BA1987" i="6"/>
  <c r="AZ1987" i="6" s="1"/>
  <c r="AX1987" i="6"/>
  <c r="BA2210" i="6"/>
  <c r="AZ2210" i="6" s="1"/>
  <c r="AX2210" i="6"/>
  <c r="BA2587" i="6"/>
  <c r="AZ2587" i="6" s="1"/>
  <c r="AY2587" i="6"/>
  <c r="BC2587" i="6" s="1"/>
  <c r="AX2587" i="6"/>
  <c r="BA1035" i="6"/>
  <c r="AZ1035" i="6" s="1"/>
  <c r="AY1035" i="6"/>
  <c r="BC1035" i="6" s="1"/>
  <c r="AX1035" i="6"/>
  <c r="BA1044" i="6"/>
  <c r="AZ1044" i="6" s="1"/>
  <c r="AY1044" i="6"/>
  <c r="BC1044" i="6" s="1"/>
  <c r="AX1044" i="6"/>
  <c r="BA1047" i="6"/>
  <c r="AZ1047" i="6" s="1"/>
  <c r="AY1047" i="6"/>
  <c r="BC1047" i="6" s="1"/>
  <c r="AX1047" i="6"/>
  <c r="BA2572" i="6"/>
  <c r="AZ2572" i="6" s="1"/>
  <c r="AY2572" i="6"/>
  <c r="BC2572" i="6" s="1"/>
  <c r="AX2572" i="6"/>
  <c r="BA1149" i="6"/>
  <c r="AZ1149" i="6" s="1"/>
  <c r="AY1149" i="6"/>
  <c r="BC1149" i="6" s="1"/>
  <c r="AX1149" i="6"/>
  <c r="BA1155" i="6"/>
  <c r="AZ1155" i="6" s="1"/>
  <c r="AY1155" i="6"/>
  <c r="BC1155" i="6" s="1"/>
  <c r="AX1155" i="6"/>
  <c r="BA2573" i="6"/>
  <c r="AZ2573" i="6" s="1"/>
  <c r="AY2573" i="6"/>
  <c r="BC2573" i="6" s="1"/>
  <c r="AX863" i="6"/>
  <c r="BA863" i="6"/>
  <c r="AZ863" i="6" s="1"/>
  <c r="AY863" i="6"/>
  <c r="BC863" i="6" s="1"/>
  <c r="BA1569" i="6"/>
  <c r="AZ1569" i="6" s="1"/>
  <c r="AY1569" i="6"/>
  <c r="BC1569" i="6" s="1"/>
  <c r="AX1569" i="6"/>
  <c r="AY1499" i="6"/>
  <c r="BC1499" i="6" s="1"/>
  <c r="AY2745" i="6"/>
  <c r="BC2745" i="6" s="1"/>
  <c r="AY1503" i="6"/>
  <c r="BC1503" i="6" s="1"/>
  <c r="AY1505" i="6"/>
  <c r="BC1505" i="6" s="1"/>
  <c r="AY1985" i="6"/>
  <c r="BC1985" i="6" s="1"/>
  <c r="AY2674" i="6"/>
  <c r="BC2674" i="6" s="1"/>
  <c r="AY1987" i="6"/>
  <c r="BC1987" i="6" s="1"/>
  <c r="AY2210" i="6"/>
  <c r="BC2210" i="6" s="1"/>
  <c r="BA201" i="6"/>
  <c r="AZ201" i="6" s="1"/>
  <c r="AY201" i="6"/>
  <c r="BC201" i="6" s="1"/>
  <c r="AX201" i="6"/>
  <c r="BA1036" i="6"/>
  <c r="AZ1036" i="6" s="1"/>
  <c r="AY1036" i="6"/>
  <c r="BC1036" i="6" s="1"/>
  <c r="AX1036" i="6"/>
  <c r="BA1045" i="6"/>
  <c r="AZ1045" i="6" s="1"/>
  <c r="AY1045" i="6"/>
  <c r="BC1045" i="6" s="1"/>
  <c r="AX1045" i="6"/>
  <c r="BA1048" i="6"/>
  <c r="AZ1048" i="6" s="1"/>
  <c r="AY1048" i="6"/>
  <c r="BC1048" i="6" s="1"/>
  <c r="AX1048" i="6"/>
  <c r="BA367" i="6"/>
  <c r="AZ367" i="6" s="1"/>
  <c r="AY367" i="6"/>
  <c r="BC367" i="6" s="1"/>
  <c r="AX367" i="6"/>
  <c r="BA513" i="6"/>
  <c r="AZ513" i="6" s="1"/>
  <c r="AY513" i="6"/>
  <c r="BC513" i="6" s="1"/>
  <c r="AX513" i="6"/>
  <c r="BA1156" i="6"/>
  <c r="AZ1156" i="6" s="1"/>
  <c r="AY1156" i="6"/>
  <c r="BC1156" i="6" s="1"/>
  <c r="AX1156" i="6"/>
  <c r="AY864" i="6"/>
  <c r="BC864" i="6" s="1"/>
  <c r="AX864" i="6"/>
  <c r="BA864" i="6"/>
  <c r="AZ864" i="6" s="1"/>
  <c r="BA1570" i="6"/>
  <c r="AZ1570" i="6" s="1"/>
  <c r="AY1570" i="6"/>
  <c r="BC1570" i="6" s="1"/>
  <c r="AX1570" i="6"/>
  <c r="AY1996" i="6"/>
  <c r="BC1996" i="6" s="1"/>
  <c r="BA1996" i="6"/>
  <c r="AZ1996" i="6" s="1"/>
  <c r="BA1998" i="6"/>
  <c r="AZ1998" i="6" s="1"/>
  <c r="AY1998" i="6"/>
  <c r="BC1998" i="6" s="1"/>
  <c r="BA2000" i="6"/>
  <c r="AZ2000" i="6" s="1"/>
  <c r="AY2000" i="6"/>
  <c r="BC2000" i="6" s="1"/>
  <c r="AX2002" i="6"/>
  <c r="BA2002" i="6"/>
  <c r="AZ2002" i="6" s="1"/>
  <c r="AY2002" i="6"/>
  <c r="BC2002" i="6" s="1"/>
  <c r="BA1398" i="6"/>
  <c r="AZ1398" i="6" s="1"/>
  <c r="AY1398" i="6"/>
  <c r="BC1398" i="6" s="1"/>
  <c r="AX1398" i="6"/>
  <c r="BA1077" i="6"/>
  <c r="AZ1077" i="6" s="1"/>
  <c r="AY1077" i="6"/>
  <c r="BC1077" i="6" s="1"/>
  <c r="AX1077" i="6"/>
  <c r="BA877" i="6"/>
  <c r="AZ877" i="6" s="1"/>
  <c r="AY877" i="6"/>
  <c r="BC877" i="6" s="1"/>
  <c r="AX877" i="6"/>
  <c r="AY621" i="6"/>
  <c r="BC621" i="6" s="1"/>
  <c r="BA621" i="6"/>
  <c r="AZ621" i="6" s="1"/>
  <c r="AX621" i="6"/>
  <c r="AX2737" i="6"/>
  <c r="AX195" i="6"/>
  <c r="AX1991" i="6"/>
  <c r="BA1994" i="6"/>
  <c r="AZ1994" i="6" s="1"/>
  <c r="AX1996" i="6"/>
  <c r="AX1998" i="6"/>
  <c r="AX2000" i="6"/>
  <c r="AX1399" i="6"/>
  <c r="BA1399" i="6"/>
  <c r="AZ1399" i="6" s="1"/>
  <c r="AY1399" i="6"/>
  <c r="BC1399" i="6" s="1"/>
  <c r="AY2144" i="6"/>
  <c r="BC2144" i="6" s="1"/>
  <c r="BA2144" i="6"/>
  <c r="AZ2144" i="6" s="1"/>
  <c r="AX2144" i="6"/>
  <c r="AY2588" i="6"/>
  <c r="BC2588" i="6" s="1"/>
  <c r="BA2588" i="6"/>
  <c r="AZ2588" i="6" s="1"/>
  <c r="AX2588" i="6"/>
  <c r="AY2737" i="6"/>
  <c r="BC2737" i="6" s="1"/>
  <c r="AY195" i="6"/>
  <c r="BC195" i="6" s="1"/>
  <c r="AY1991" i="6"/>
  <c r="BC1991" i="6" s="1"/>
  <c r="BA1400" i="6"/>
  <c r="AZ1400" i="6" s="1"/>
  <c r="AY1400" i="6"/>
  <c r="BC1400" i="6" s="1"/>
  <c r="AX1400" i="6"/>
  <c r="AX1403" i="6"/>
  <c r="BA1403" i="6"/>
  <c r="AZ1403" i="6" s="1"/>
  <c r="AY1403" i="6"/>
  <c r="BC1403" i="6" s="1"/>
  <c r="AY799" i="6"/>
  <c r="BC799" i="6" s="1"/>
  <c r="BA799" i="6"/>
  <c r="AZ799" i="6" s="1"/>
  <c r="AX799" i="6"/>
  <c r="AX2335" i="6"/>
  <c r="BA2335" i="6"/>
  <c r="AZ2335" i="6" s="1"/>
  <c r="AY2335" i="6"/>
  <c r="BC2335" i="6" s="1"/>
  <c r="AY300" i="6"/>
  <c r="BC300" i="6" s="1"/>
  <c r="BA300" i="6"/>
  <c r="AZ300" i="6" s="1"/>
  <c r="AX300" i="6"/>
  <c r="AY1697" i="6"/>
  <c r="BC1697" i="6" s="1"/>
  <c r="AX1697" i="6"/>
  <c r="BA1697" i="6"/>
  <c r="AZ1697" i="6" s="1"/>
  <c r="AY304" i="6"/>
  <c r="BC304" i="6" s="1"/>
  <c r="BA304" i="6"/>
  <c r="AZ304" i="6" s="1"/>
  <c r="AX304" i="6"/>
  <c r="AX2678" i="6"/>
  <c r="BA2678" i="6"/>
  <c r="AZ2678" i="6" s="1"/>
  <c r="AY2678" i="6"/>
  <c r="BC2678" i="6" s="1"/>
  <c r="AY2589" i="6"/>
  <c r="BC2589" i="6" s="1"/>
  <c r="BA2589" i="6"/>
  <c r="AZ2589" i="6" s="1"/>
  <c r="AX2589" i="6"/>
  <c r="BA1392" i="6"/>
  <c r="AZ1392" i="6" s="1"/>
  <c r="AY1392" i="6"/>
  <c r="BC1392" i="6" s="1"/>
  <c r="AX1392" i="6"/>
  <c r="BA1404" i="6"/>
  <c r="AZ1404" i="6" s="1"/>
  <c r="AY1404" i="6"/>
  <c r="BC1404" i="6" s="1"/>
  <c r="AX1404" i="6"/>
  <c r="AY1407" i="6"/>
  <c r="BC1407" i="6" s="1"/>
  <c r="BA1407" i="6"/>
  <c r="AZ1407" i="6" s="1"/>
  <c r="AX1407" i="6"/>
  <c r="BA1416" i="6"/>
  <c r="AZ1416" i="6" s="1"/>
  <c r="AY1416" i="6"/>
  <c r="BC1416" i="6" s="1"/>
  <c r="AX1416" i="6"/>
  <c r="BA1419" i="6"/>
  <c r="AZ1419" i="6" s="1"/>
  <c r="AY1419" i="6"/>
  <c r="BC1419" i="6" s="1"/>
  <c r="AX1419" i="6"/>
  <c r="BA2448" i="6"/>
  <c r="AZ2448" i="6" s="1"/>
  <c r="AY2448" i="6"/>
  <c r="BC2448" i="6" s="1"/>
  <c r="AX2448" i="6"/>
  <c r="BA1692" i="6"/>
  <c r="AZ1692" i="6" s="1"/>
  <c r="AY1692" i="6"/>
  <c r="BC1692" i="6" s="1"/>
  <c r="AX1692" i="6"/>
  <c r="BA301" i="6"/>
  <c r="AZ301" i="6" s="1"/>
  <c r="AY301" i="6"/>
  <c r="BC301" i="6" s="1"/>
  <c r="AX301" i="6"/>
  <c r="BA1079" i="6"/>
  <c r="AZ1079" i="6" s="1"/>
  <c r="AY1079" i="6"/>
  <c r="BC1079" i="6" s="1"/>
  <c r="AX1079" i="6"/>
  <c r="BA2679" i="6"/>
  <c r="AZ2679" i="6" s="1"/>
  <c r="AY2679" i="6"/>
  <c r="BC2679" i="6" s="1"/>
  <c r="AX2679" i="6"/>
  <c r="BA2681" i="6"/>
  <c r="AZ2681" i="6" s="1"/>
  <c r="AY2681" i="6"/>
  <c r="BC2681" i="6" s="1"/>
  <c r="AX2681" i="6"/>
  <c r="AX2212" i="6"/>
  <c r="BA2212" i="6"/>
  <c r="AZ2212" i="6" s="1"/>
  <c r="AY2212" i="6"/>
  <c r="BC2212" i="6" s="1"/>
  <c r="AY605" i="6"/>
  <c r="BC605" i="6" s="1"/>
  <c r="BA605" i="6"/>
  <c r="AZ605" i="6" s="1"/>
  <c r="AX605" i="6"/>
  <c r="AY2003" i="6"/>
  <c r="BC2003" i="6" s="1"/>
  <c r="AX2003" i="6"/>
  <c r="BA1393" i="6"/>
  <c r="AZ1393" i="6" s="1"/>
  <c r="AY1393" i="6"/>
  <c r="BC1393" i="6" s="1"/>
  <c r="AX1393" i="6"/>
  <c r="BA1417" i="6"/>
  <c r="AZ1417" i="6" s="1"/>
  <c r="AY1417" i="6"/>
  <c r="BC1417" i="6" s="1"/>
  <c r="AX1417" i="6"/>
  <c r="BA1420" i="6"/>
  <c r="AZ1420" i="6" s="1"/>
  <c r="AY1420" i="6"/>
  <c r="BC1420" i="6" s="1"/>
  <c r="AX1420" i="6"/>
  <c r="BA1879" i="6"/>
  <c r="AZ1879" i="6" s="1"/>
  <c r="AY1879" i="6"/>
  <c r="BC1879" i="6" s="1"/>
  <c r="AX1879" i="6"/>
  <c r="AY1691" i="6"/>
  <c r="BC1691" i="6" s="1"/>
  <c r="AX1691" i="6"/>
  <c r="BA1691" i="6"/>
  <c r="AZ1691" i="6" s="1"/>
  <c r="BA302" i="6"/>
  <c r="AZ302" i="6" s="1"/>
  <c r="AY302" i="6"/>
  <c r="BC302" i="6" s="1"/>
  <c r="AX302" i="6"/>
  <c r="BA1080" i="6"/>
  <c r="AZ1080" i="6" s="1"/>
  <c r="AY1080" i="6"/>
  <c r="BC1080" i="6" s="1"/>
  <c r="AX1080" i="6"/>
  <c r="BA2375" i="6"/>
  <c r="AZ2375" i="6" s="1"/>
  <c r="AY2375" i="6"/>
  <c r="BC2375" i="6" s="1"/>
  <c r="AX2375" i="6"/>
  <c r="AY1507" i="6"/>
  <c r="BC1507" i="6" s="1"/>
  <c r="AX1507" i="6"/>
  <c r="BA1507" i="6"/>
  <c r="AZ1507" i="6" s="1"/>
  <c r="AX2591" i="6"/>
  <c r="BA2591" i="6"/>
  <c r="AZ2591" i="6" s="1"/>
  <c r="AY2591" i="6"/>
  <c r="BC2591" i="6" s="1"/>
  <c r="AX2207" i="6"/>
  <c r="AX192" i="6"/>
  <c r="AY193" i="6"/>
  <c r="BC193" i="6" s="1"/>
  <c r="AX865" i="6"/>
  <c r="AY866" i="6"/>
  <c r="BC866" i="6" s="1"/>
  <c r="AX1992" i="6"/>
  <c r="BA2003" i="6"/>
  <c r="AZ2003" i="6" s="1"/>
  <c r="AX1395" i="6"/>
  <c r="BA1395" i="6"/>
  <c r="AZ1395" i="6" s="1"/>
  <c r="AY1395" i="6"/>
  <c r="BC1395" i="6" s="1"/>
  <c r="AX2550" i="6"/>
  <c r="BA2550" i="6"/>
  <c r="AZ2550" i="6" s="1"/>
  <c r="AY2550" i="6"/>
  <c r="BC2550" i="6" s="1"/>
  <c r="AX2485" i="6"/>
  <c r="BA2485" i="6"/>
  <c r="AZ2485" i="6" s="1"/>
  <c r="AY2485" i="6"/>
  <c r="BC2485" i="6" s="1"/>
  <c r="AY1992" i="6"/>
  <c r="BC1992" i="6" s="1"/>
  <c r="BA1995" i="6"/>
  <c r="AZ1995" i="6" s="1"/>
  <c r="AY1997" i="6"/>
  <c r="BC1997" i="6" s="1"/>
  <c r="AY1999" i="6"/>
  <c r="BC1999" i="6" s="1"/>
  <c r="AY2004" i="6"/>
  <c r="BC2004" i="6" s="1"/>
  <c r="BA2004" i="6"/>
  <c r="AZ2004" i="6" s="1"/>
  <c r="BA1396" i="6"/>
  <c r="AZ1396" i="6" s="1"/>
  <c r="AY1396" i="6"/>
  <c r="BC1396" i="6" s="1"/>
  <c r="AX1396" i="6"/>
  <c r="BA1409" i="6"/>
  <c r="AZ1409" i="6" s="1"/>
  <c r="AY1409" i="6"/>
  <c r="BC1409" i="6" s="1"/>
  <c r="AX1409" i="6"/>
  <c r="AY2634" i="6"/>
  <c r="BC2634" i="6" s="1"/>
  <c r="AX2634" i="6"/>
  <c r="BA2634" i="6"/>
  <c r="AZ2634" i="6" s="1"/>
  <c r="BA1726" i="6"/>
  <c r="AZ1726" i="6" s="1"/>
  <c r="AY1726" i="6"/>
  <c r="BC1726" i="6" s="1"/>
  <c r="AX1726" i="6"/>
  <c r="AY2738" i="6"/>
  <c r="BC2738" i="6" s="1"/>
  <c r="AX2738" i="6"/>
  <c r="BA2738" i="6"/>
  <c r="AZ2738" i="6" s="1"/>
  <c r="AX2684" i="6"/>
  <c r="BA2684" i="6"/>
  <c r="AZ2684" i="6" s="1"/>
  <c r="AY2684" i="6"/>
  <c r="BC2684" i="6" s="1"/>
  <c r="AX1994" i="6"/>
  <c r="BA1997" i="6"/>
  <c r="AZ1997" i="6" s="1"/>
  <c r="BA1999" i="6"/>
  <c r="AZ1999" i="6" s="1"/>
  <c r="AX2004" i="6"/>
  <c r="BA1397" i="6"/>
  <c r="AZ1397" i="6" s="1"/>
  <c r="AY1397" i="6"/>
  <c r="BC1397" i="6" s="1"/>
  <c r="AX1397" i="6"/>
  <c r="BA2717" i="6"/>
  <c r="AZ2717" i="6" s="1"/>
  <c r="AY2717" i="6"/>
  <c r="BC2717" i="6" s="1"/>
  <c r="AX2717" i="6"/>
  <c r="BA2739" i="6"/>
  <c r="AZ2739" i="6" s="1"/>
  <c r="AY2739" i="6"/>
  <c r="BC2739" i="6" s="1"/>
  <c r="AX2739" i="6"/>
  <c r="BA2741" i="6"/>
  <c r="AZ2741" i="6" s="1"/>
  <c r="AY2741" i="6"/>
  <c r="BC2741" i="6" s="1"/>
  <c r="AX2741" i="6"/>
  <c r="AX608" i="6"/>
  <c r="BA608" i="6"/>
  <c r="AZ608" i="6" s="1"/>
  <c r="AY608" i="6"/>
  <c r="BC608" i="6" s="1"/>
  <c r="BA1078" i="6"/>
  <c r="AZ1078" i="6" s="1"/>
  <c r="BA2487" i="6"/>
  <c r="AZ2487" i="6" s="1"/>
  <c r="BA2488" i="6"/>
  <c r="AZ2488" i="6" s="1"/>
  <c r="BA2740" i="6"/>
  <c r="AZ2740" i="6" s="1"/>
  <c r="BA611" i="6"/>
  <c r="AZ611" i="6" s="1"/>
  <c r="AY611" i="6"/>
  <c r="BC611" i="6" s="1"/>
  <c r="BA615" i="6"/>
  <c r="AZ615" i="6" s="1"/>
  <c r="AY615" i="6"/>
  <c r="BC615" i="6" s="1"/>
  <c r="AX663" i="6"/>
  <c r="BA663" i="6"/>
  <c r="AZ663" i="6" s="1"/>
  <c r="AY663" i="6"/>
  <c r="BC663" i="6" s="1"/>
  <c r="AX2545" i="6"/>
  <c r="AX2680" i="6"/>
  <c r="BA618" i="6"/>
  <c r="AZ618" i="6" s="1"/>
  <c r="AY618" i="6"/>
  <c r="BC618" i="6" s="1"/>
  <c r="AX618" i="6"/>
  <c r="BA631" i="6"/>
  <c r="AZ631" i="6" s="1"/>
  <c r="AY631" i="6"/>
  <c r="BC631" i="6" s="1"/>
  <c r="BA634" i="6"/>
  <c r="AZ634" i="6" s="1"/>
  <c r="AY634" i="6"/>
  <c r="BC634" i="6" s="1"/>
  <c r="AX634" i="6"/>
  <c r="AX641" i="6"/>
  <c r="BA641" i="6"/>
  <c r="AZ641" i="6" s="1"/>
  <c r="AY641" i="6"/>
  <c r="BC641" i="6" s="1"/>
  <c r="AY2755" i="6"/>
  <c r="BC2755" i="6" s="1"/>
  <c r="AX2755" i="6"/>
  <c r="BA2755" i="6"/>
  <c r="AZ2755" i="6" s="1"/>
  <c r="AX613" i="6"/>
  <c r="BA619" i="6"/>
  <c r="AZ619" i="6" s="1"/>
  <c r="AX619" i="6"/>
  <c r="AX631" i="6"/>
  <c r="BA635" i="6"/>
  <c r="AZ635" i="6" s="1"/>
  <c r="AY635" i="6"/>
  <c r="BC635" i="6" s="1"/>
  <c r="AX635" i="6"/>
  <c r="AY642" i="6"/>
  <c r="BC642" i="6" s="1"/>
  <c r="BA642" i="6"/>
  <c r="AZ642" i="6" s="1"/>
  <c r="AX642" i="6"/>
  <c r="AX649" i="6"/>
  <c r="AY649" i="6"/>
  <c r="BC649" i="6" s="1"/>
  <c r="AY2686" i="6"/>
  <c r="BC2686" i="6" s="1"/>
  <c r="BA2686" i="6"/>
  <c r="AZ2686" i="6" s="1"/>
  <c r="AX2686" i="6"/>
  <c r="AX1401" i="6"/>
  <c r="AX1405" i="6"/>
  <c r="AX1408" i="6"/>
  <c r="AX1412" i="6"/>
  <c r="AX1693" i="6"/>
  <c r="AX1698" i="6"/>
  <c r="AX1723" i="6"/>
  <c r="AX1728" i="6"/>
  <c r="AX2211" i="6"/>
  <c r="AY2376" i="6"/>
  <c r="BC2376" i="6" s="1"/>
  <c r="BA603" i="6"/>
  <c r="AZ603" i="6" s="1"/>
  <c r="AX603" i="6"/>
  <c r="BA613" i="6"/>
  <c r="AZ613" i="6" s="1"/>
  <c r="AX616" i="6"/>
  <c r="AY616" i="6"/>
  <c r="BC616" i="6" s="1"/>
  <c r="AY619" i="6"/>
  <c r="BC619" i="6" s="1"/>
  <c r="AX624" i="6"/>
  <c r="BA624" i="6"/>
  <c r="AZ624" i="6" s="1"/>
  <c r="AY624" i="6"/>
  <c r="BC624" i="6" s="1"/>
  <c r="BA649" i="6"/>
  <c r="AZ649" i="6" s="1"/>
  <c r="AY1405" i="6"/>
  <c r="BC1405" i="6" s="1"/>
  <c r="AY1408" i="6"/>
  <c r="BC1408" i="6" s="1"/>
  <c r="BA1412" i="6"/>
  <c r="AZ1412" i="6" s="1"/>
  <c r="AY1693" i="6"/>
  <c r="BC1693" i="6" s="1"/>
  <c r="AY1698" i="6"/>
  <c r="BC1698" i="6" s="1"/>
  <c r="AY1723" i="6"/>
  <c r="BC1723" i="6" s="1"/>
  <c r="BA1728" i="6"/>
  <c r="AZ1728" i="6" s="1"/>
  <c r="AY2211" i="6"/>
  <c r="BC2211" i="6" s="1"/>
  <c r="AY625" i="6"/>
  <c r="BC625" i="6" s="1"/>
  <c r="BA625" i="6"/>
  <c r="AZ625" i="6" s="1"/>
  <c r="AX632" i="6"/>
  <c r="AY632" i="6"/>
  <c r="BC632" i="6" s="1"/>
  <c r="AX636" i="6"/>
  <c r="AY636" i="6"/>
  <c r="BC636" i="6" s="1"/>
  <c r="BA636" i="6"/>
  <c r="AZ636" i="6" s="1"/>
  <c r="BA2594" i="6"/>
  <c r="AZ2594" i="6" s="1"/>
  <c r="AY2594" i="6"/>
  <c r="BC2594" i="6" s="1"/>
  <c r="AX2594" i="6"/>
  <c r="BA2590" i="6"/>
  <c r="AZ2590" i="6" s="1"/>
  <c r="AX2682" i="6"/>
  <c r="AX610" i="6"/>
  <c r="AX620" i="6"/>
  <c r="AY620" i="6"/>
  <c r="BC620" i="6" s="1"/>
  <c r="BA620" i="6"/>
  <c r="AZ620" i="6" s="1"/>
  <c r="AX625" i="6"/>
  <c r="BA632" i="6"/>
  <c r="AZ632" i="6" s="1"/>
  <c r="AX652" i="6"/>
  <c r="BA652" i="6"/>
  <c r="AZ652" i="6" s="1"/>
  <c r="AY652" i="6"/>
  <c r="BC652" i="6" s="1"/>
  <c r="AY661" i="6"/>
  <c r="BC661" i="6" s="1"/>
  <c r="BA661" i="6"/>
  <c r="AZ661" i="6" s="1"/>
  <c r="AX661" i="6"/>
  <c r="AY1411" i="6"/>
  <c r="BC1411" i="6" s="1"/>
  <c r="BA2716" i="6"/>
  <c r="AZ2716" i="6" s="1"/>
  <c r="AX1078" i="6"/>
  <c r="AX1703" i="6"/>
  <c r="AY1727" i="6"/>
  <c r="BC1727" i="6" s="1"/>
  <c r="BA2374" i="6"/>
  <c r="AZ2374" i="6" s="1"/>
  <c r="AX2487" i="6"/>
  <c r="AX2488" i="6"/>
  <c r="AY2682" i="6"/>
  <c r="BC2682" i="6" s="1"/>
  <c r="BA610" i="6"/>
  <c r="AZ610" i="6" s="1"/>
  <c r="AY612" i="6"/>
  <c r="BC612" i="6" s="1"/>
  <c r="AY614" i="6"/>
  <c r="BC614" i="6" s="1"/>
  <c r="AX614" i="6"/>
  <c r="AY617" i="6"/>
  <c r="BC617" i="6" s="1"/>
  <c r="AX617" i="6"/>
  <c r="AY633" i="6"/>
  <c r="BC633" i="6" s="1"/>
  <c r="AX633" i="6"/>
  <c r="BA1703" i="6"/>
  <c r="AZ1703" i="6" s="1"/>
  <c r="AX2740" i="6"/>
  <c r="AX604" i="6"/>
  <c r="BA604" i="6"/>
  <c r="AZ604" i="6" s="1"/>
  <c r="AX609" i="6"/>
  <c r="BA612" i="6"/>
  <c r="AZ612" i="6" s="1"/>
  <c r="BA614" i="6"/>
  <c r="AZ614" i="6" s="1"/>
  <c r="BA617" i="6"/>
  <c r="AZ617" i="6" s="1"/>
  <c r="AX628" i="6"/>
  <c r="BA628" i="6"/>
  <c r="AZ628" i="6" s="1"/>
  <c r="BA633" i="6"/>
  <c r="AZ633" i="6" s="1"/>
  <c r="AY638" i="6"/>
  <c r="BC638" i="6" s="1"/>
  <c r="BA638" i="6"/>
  <c r="AZ638" i="6" s="1"/>
  <c r="AX638" i="6"/>
  <c r="AX658" i="6"/>
  <c r="AX664" i="6"/>
  <c r="BA664" i="6"/>
  <c r="AZ664" i="6" s="1"/>
  <c r="BA668" i="6"/>
  <c r="AZ668" i="6" s="1"/>
  <c r="AX668" i="6"/>
  <c r="AY2685" i="6"/>
  <c r="BC2685" i="6" s="1"/>
  <c r="AX2685" i="6"/>
  <c r="BA2685" i="6"/>
  <c r="AZ2685" i="6" s="1"/>
  <c r="BA658" i="6"/>
  <c r="AZ658" i="6" s="1"/>
  <c r="AY2491" i="6"/>
  <c r="BC2491" i="6" s="1"/>
  <c r="BA2491" i="6"/>
  <c r="AZ2491" i="6" s="1"/>
  <c r="AX2491" i="6"/>
  <c r="AY647" i="6"/>
  <c r="BC647" i="6" s="1"/>
  <c r="BA650" i="6"/>
  <c r="AZ650" i="6" s="1"/>
  <c r="BA704" i="6"/>
  <c r="AZ704" i="6" s="1"/>
  <c r="AY704" i="6"/>
  <c r="BC704" i="6" s="1"/>
  <c r="AX704" i="6"/>
  <c r="BA2492" i="6"/>
  <c r="AZ2492" i="6" s="1"/>
  <c r="AY2492" i="6"/>
  <c r="BC2492" i="6" s="1"/>
  <c r="AX2492" i="6"/>
  <c r="BA2592" i="6"/>
  <c r="AZ2592" i="6" s="1"/>
  <c r="BA2687" i="6"/>
  <c r="AZ2687" i="6" s="1"/>
  <c r="AY2687" i="6"/>
  <c r="BC2687" i="6" s="1"/>
  <c r="AX2687" i="6"/>
  <c r="AX627" i="6"/>
  <c r="BA637" i="6"/>
  <c r="AZ637" i="6" s="1"/>
  <c r="AY657" i="6"/>
  <c r="BC657" i="6" s="1"/>
  <c r="AX657" i="6"/>
  <c r="AX659" i="6"/>
  <c r="BA659" i="6"/>
  <c r="AZ659" i="6" s="1"/>
  <c r="BA662" i="6"/>
  <c r="AZ662" i="6" s="1"/>
  <c r="AY662" i="6"/>
  <c r="BC662" i="6" s="1"/>
  <c r="AX662" i="6"/>
  <c r="BA667" i="6"/>
  <c r="AZ667" i="6" s="1"/>
  <c r="AX667" i="6"/>
  <c r="AY627" i="6"/>
  <c r="BC627" i="6" s="1"/>
  <c r="AX630" i="6"/>
  <c r="AY644" i="6"/>
  <c r="BC644" i="6" s="1"/>
  <c r="AX646" i="6"/>
  <c r="AY651" i="6"/>
  <c r="BC651" i="6" s="1"/>
  <c r="BA651" i="6"/>
  <c r="AZ651" i="6" s="1"/>
  <c r="AY655" i="6"/>
  <c r="BC655" i="6" s="1"/>
  <c r="AY659" i="6"/>
  <c r="BC659" i="6" s="1"/>
  <c r="AY667" i="6"/>
  <c r="BC667" i="6" s="1"/>
  <c r="BA648" i="6"/>
  <c r="AZ648" i="6" s="1"/>
  <c r="BA653" i="6"/>
  <c r="AZ653" i="6" s="1"/>
  <c r="AY653" i="6"/>
  <c r="BC653" i="6" s="1"/>
  <c r="BA657" i="6"/>
  <c r="AZ657" i="6" s="1"/>
  <c r="AY1626" i="6"/>
  <c r="BC1626" i="6" s="1"/>
  <c r="BA1626" i="6"/>
  <c r="AZ1626" i="6" s="1"/>
  <c r="AX1626" i="6"/>
  <c r="AY1116" i="6"/>
  <c r="BC1116" i="6" s="1"/>
  <c r="AX1116" i="6"/>
  <c r="BA1116" i="6"/>
  <c r="AZ1116" i="6" s="1"/>
  <c r="BA656" i="6"/>
  <c r="AZ656" i="6" s="1"/>
  <c r="AX656" i="6"/>
  <c r="AY660" i="6"/>
  <c r="BC660" i="6" s="1"/>
  <c r="BA660" i="6"/>
  <c r="AZ660" i="6" s="1"/>
  <c r="BA665" i="6"/>
  <c r="AZ665" i="6" s="1"/>
  <c r="AY665" i="6"/>
  <c r="BC665" i="6" s="1"/>
  <c r="AY666" i="6"/>
  <c r="BC666" i="6" s="1"/>
  <c r="AX666" i="6"/>
  <c r="BA666" i="6"/>
  <c r="AZ666" i="6" s="1"/>
  <c r="AY671" i="6"/>
  <c r="BC671" i="6" s="1"/>
  <c r="AX671" i="6"/>
  <c r="BA671" i="6"/>
  <c r="AZ671" i="6" s="1"/>
  <c r="BA4" i="6"/>
  <c r="AZ4" i="6" s="1"/>
  <c r="AY4" i="6"/>
  <c r="BC4" i="6" s="1"/>
  <c r="AX4" i="6"/>
  <c r="AY91" i="6"/>
  <c r="BC91" i="6" s="1"/>
  <c r="AX91" i="6"/>
  <c r="BA91" i="6"/>
  <c r="AZ91" i="6" s="1"/>
  <c r="AX8" i="6"/>
  <c r="AY8" i="6"/>
  <c r="BC8" i="6" s="1"/>
  <c r="AY1531" i="6"/>
  <c r="BC1531" i="6" s="1"/>
  <c r="AX1531" i="6"/>
  <c r="BA1531" i="6"/>
  <c r="AZ1531" i="6" s="1"/>
  <c r="AY1533" i="6"/>
  <c r="BC1533" i="6" s="1"/>
  <c r="AX1533" i="6"/>
  <c r="AX2139" i="6"/>
  <c r="BA2139" i="6"/>
  <c r="AZ2139" i="6" s="1"/>
  <c r="BA2143" i="6"/>
  <c r="AZ2143" i="6" s="1"/>
  <c r="AY2259" i="6"/>
  <c r="BC2259" i="6" s="1"/>
  <c r="AX2259" i="6"/>
  <c r="BA1118" i="6"/>
  <c r="AZ1118" i="6" s="1"/>
  <c r="AX1118" i="6"/>
  <c r="BA1158" i="6"/>
  <c r="AZ1158" i="6" s="1"/>
  <c r="AY1158" i="6"/>
  <c r="BC1158" i="6" s="1"/>
  <c r="AX1158" i="6"/>
  <c r="BA1536" i="6"/>
  <c r="AZ1536" i="6" s="1"/>
  <c r="AX1536" i="6"/>
  <c r="BA2011" i="6"/>
  <c r="AZ2011" i="6" s="1"/>
  <c r="AY2011" i="6"/>
  <c r="BC2011" i="6" s="1"/>
  <c r="AX2011" i="6"/>
  <c r="AX2023" i="6"/>
  <c r="BA2023" i="6"/>
  <c r="AZ2023" i="6" s="1"/>
  <c r="AY2023" i="6"/>
  <c r="BC2023" i="6" s="1"/>
  <c r="AX2219" i="6"/>
  <c r="BA2219" i="6"/>
  <c r="AZ2219" i="6" s="1"/>
  <c r="AY2219" i="6"/>
  <c r="BC2219" i="6" s="1"/>
  <c r="AX16" i="6"/>
  <c r="BA16" i="6"/>
  <c r="AZ16" i="6" s="1"/>
  <c r="BA18" i="6"/>
  <c r="AZ18" i="6" s="1"/>
  <c r="AX18" i="6"/>
  <c r="AX20" i="6"/>
  <c r="AY27" i="6"/>
  <c r="BC27" i="6" s="1"/>
  <c r="AY2579" i="6"/>
  <c r="BC2579" i="6" s="1"/>
  <c r="AX2579" i="6"/>
  <c r="BA2579" i="6"/>
  <c r="AZ2579" i="6" s="1"/>
  <c r="BA2136" i="6"/>
  <c r="AZ2136" i="6" s="1"/>
  <c r="AY2139" i="6"/>
  <c r="BC2139" i="6" s="1"/>
  <c r="AX1735" i="6"/>
  <c r="BA1735" i="6"/>
  <c r="AZ1735" i="6" s="1"/>
  <c r="BA2259" i="6"/>
  <c r="AZ2259" i="6" s="1"/>
  <c r="AY1118" i="6"/>
  <c r="BC1118" i="6" s="1"/>
  <c r="BA402" i="6"/>
  <c r="AZ402" i="6" s="1"/>
  <c r="AX402" i="6"/>
  <c r="AY406" i="6"/>
  <c r="BC406" i="6" s="1"/>
  <c r="BA409" i="6"/>
  <c r="AZ409" i="6" s="1"/>
  <c r="AX409" i="6"/>
  <c r="AY409" i="6"/>
  <c r="BC409" i="6" s="1"/>
  <c r="AY1536" i="6"/>
  <c r="BC1536" i="6" s="1"/>
  <c r="BA434" i="6"/>
  <c r="AZ434" i="6" s="1"/>
  <c r="AY434" i="6"/>
  <c r="BC434" i="6" s="1"/>
  <c r="AX434" i="6"/>
  <c r="BA6" i="6"/>
  <c r="AZ6" i="6" s="1"/>
  <c r="BA8" i="6"/>
  <c r="AZ8" i="6" s="1"/>
  <c r="BA20" i="6"/>
  <c r="AZ20" i="6" s="1"/>
  <c r="BA27" i="6"/>
  <c r="AZ27" i="6" s="1"/>
  <c r="BA2575" i="6"/>
  <c r="AZ2575" i="6" s="1"/>
  <c r="AY2575" i="6"/>
  <c r="BC2575" i="6" s="1"/>
  <c r="AX1526" i="6"/>
  <c r="BA1526" i="6"/>
  <c r="AZ1526" i="6" s="1"/>
  <c r="BA1528" i="6"/>
  <c r="AZ1528" i="6" s="1"/>
  <c r="AX1528" i="6"/>
  <c r="BA1533" i="6"/>
  <c r="AZ1533" i="6" s="1"/>
  <c r="BA405" i="6"/>
  <c r="AZ405" i="6" s="1"/>
  <c r="AY405" i="6"/>
  <c r="BC405" i="6" s="1"/>
  <c r="BA517" i="6"/>
  <c r="AZ517" i="6" s="1"/>
  <c r="AX517" i="6"/>
  <c r="BA1543" i="6"/>
  <c r="AZ1543" i="6" s="1"/>
  <c r="AX1543" i="6"/>
  <c r="BA2581" i="6"/>
  <c r="AZ2581" i="6" s="1"/>
  <c r="AY2581" i="6"/>
  <c r="BC2581" i="6" s="1"/>
  <c r="AX2581" i="6"/>
  <c r="BA538" i="6"/>
  <c r="AZ538" i="6" s="1"/>
  <c r="AX538" i="6"/>
  <c r="BA2006" i="6"/>
  <c r="AZ2006" i="6" s="1"/>
  <c r="AY2006" i="6"/>
  <c r="BC2006" i="6" s="1"/>
  <c r="AX2006" i="6"/>
  <c r="AY3" i="6"/>
  <c r="BC3" i="6" s="1"/>
  <c r="AX3" i="6"/>
  <c r="BA11" i="6"/>
  <c r="AZ11" i="6" s="1"/>
  <c r="AY11" i="6"/>
  <c r="BC11" i="6" s="1"/>
  <c r="AX31" i="6"/>
  <c r="BA31" i="6"/>
  <c r="AZ31" i="6" s="1"/>
  <c r="AY31" i="6"/>
  <c r="BC31" i="6" s="1"/>
  <c r="AX2575" i="6"/>
  <c r="AY2577" i="6"/>
  <c r="BC2577" i="6" s="1"/>
  <c r="AX1524" i="6"/>
  <c r="AY1524" i="6"/>
  <c r="BC1524" i="6" s="1"/>
  <c r="AY1526" i="6"/>
  <c r="BC1526" i="6" s="1"/>
  <c r="AY1528" i="6"/>
  <c r="BC1528" i="6" s="1"/>
  <c r="BA2137" i="6"/>
  <c r="AZ2137" i="6" s="1"/>
  <c r="AX2137" i="6"/>
  <c r="AY1738" i="6"/>
  <c r="BC1738" i="6" s="1"/>
  <c r="AY1119" i="6"/>
  <c r="BC1119" i="6" s="1"/>
  <c r="AX1119" i="6"/>
  <c r="BA1119" i="6"/>
  <c r="AZ1119" i="6" s="1"/>
  <c r="AX405" i="6"/>
  <c r="AY517" i="6"/>
  <c r="BC517" i="6" s="1"/>
  <c r="AY1543" i="6"/>
  <c r="BC1543" i="6" s="1"/>
  <c r="AX1546" i="6"/>
  <c r="BA1546" i="6"/>
  <c r="AZ1546" i="6" s="1"/>
  <c r="AY1546" i="6"/>
  <c r="BC1546" i="6" s="1"/>
  <c r="AX1551" i="6"/>
  <c r="BA1551" i="6"/>
  <c r="AZ1551" i="6" s="1"/>
  <c r="AY1551" i="6"/>
  <c r="BC1551" i="6" s="1"/>
  <c r="AY538" i="6"/>
  <c r="BC538" i="6" s="1"/>
  <c r="AX2009" i="6"/>
  <c r="BA2009" i="6"/>
  <c r="AZ2009" i="6" s="1"/>
  <c r="AY2009" i="6"/>
  <c r="BC2009" i="6" s="1"/>
  <c r="AX2742" i="6"/>
  <c r="AY9" i="6"/>
  <c r="BC9" i="6" s="1"/>
  <c r="BA9" i="6"/>
  <c r="AZ9" i="6" s="1"/>
  <c r="AX9" i="6"/>
  <c r="BA19" i="6"/>
  <c r="AZ19" i="6" s="1"/>
  <c r="AX19" i="6"/>
  <c r="BA21" i="6"/>
  <c r="AZ21" i="6" s="1"/>
  <c r="AX21" i="6"/>
  <c r="AX1532" i="6"/>
  <c r="BA1532" i="6"/>
  <c r="AZ1532" i="6" s="1"/>
  <c r="BA1534" i="6"/>
  <c r="AZ1534" i="6" s="1"/>
  <c r="AX1534" i="6"/>
  <c r="BA2142" i="6"/>
  <c r="AZ2142" i="6" s="1"/>
  <c r="AX2142" i="6"/>
  <c r="BA1738" i="6"/>
  <c r="AZ1738" i="6" s="1"/>
  <c r="AY407" i="6"/>
  <c r="BC407" i="6" s="1"/>
  <c r="AX407" i="6"/>
  <c r="AY410" i="6"/>
  <c r="BC410" i="6" s="1"/>
  <c r="AX410" i="6"/>
  <c r="AY501" i="6"/>
  <c r="BC501" i="6" s="1"/>
  <c r="AX501" i="6"/>
  <c r="BA501" i="6"/>
  <c r="AZ501" i="6" s="1"/>
  <c r="AX504" i="6"/>
  <c r="AY504" i="6"/>
  <c r="BC504" i="6" s="1"/>
  <c r="BA1552" i="6"/>
  <c r="AZ1552" i="6" s="1"/>
  <c r="AY1552" i="6"/>
  <c r="BC1552" i="6" s="1"/>
  <c r="AX2013" i="6"/>
  <c r="BA2013" i="6"/>
  <c r="AZ2013" i="6" s="1"/>
  <c r="AY2013" i="6"/>
  <c r="BC2013" i="6" s="1"/>
  <c r="AY2742" i="6"/>
  <c r="BC2742" i="6" s="1"/>
  <c r="BA3" i="6"/>
  <c r="AZ3" i="6" s="1"/>
  <c r="BA7" i="6"/>
  <c r="AZ7" i="6" s="1"/>
  <c r="AY92" i="6"/>
  <c r="BC92" i="6" s="1"/>
  <c r="BA13" i="6"/>
  <c r="AZ13" i="6" s="1"/>
  <c r="AY15" i="6"/>
  <c r="BC15" i="6" s="1"/>
  <c r="AX15" i="6"/>
  <c r="BA15" i="6"/>
  <c r="AZ15" i="6" s="1"/>
  <c r="AY17" i="6"/>
  <c r="BC17" i="6" s="1"/>
  <c r="AX17" i="6"/>
  <c r="AY19" i="6"/>
  <c r="BC19" i="6" s="1"/>
  <c r="AY21" i="6"/>
  <c r="BC21" i="6" s="1"/>
  <c r="AY24" i="6"/>
  <c r="BC24" i="6" s="1"/>
  <c r="BA24" i="6"/>
  <c r="AZ24" i="6" s="1"/>
  <c r="BA26" i="6"/>
  <c r="AZ26" i="6" s="1"/>
  <c r="AX26" i="6"/>
  <c r="AX28" i="6"/>
  <c r="BA1524" i="6"/>
  <c r="AZ1524" i="6" s="1"/>
  <c r="AY1532" i="6"/>
  <c r="BC1532" i="6" s="1"/>
  <c r="AY1534" i="6"/>
  <c r="BC1534" i="6" s="1"/>
  <c r="BA2135" i="6"/>
  <c r="AZ2135" i="6" s="1"/>
  <c r="AY2142" i="6"/>
  <c r="BC2142" i="6" s="1"/>
  <c r="BA1700" i="6"/>
  <c r="AZ1700" i="6" s="1"/>
  <c r="AY1700" i="6"/>
  <c r="BC1700" i="6" s="1"/>
  <c r="AY1739" i="6"/>
  <c r="BC1739" i="6" s="1"/>
  <c r="AY1117" i="6"/>
  <c r="BC1117" i="6" s="1"/>
  <c r="AX1120" i="6"/>
  <c r="BA1120" i="6"/>
  <c r="AZ1120" i="6" s="1"/>
  <c r="BA403" i="6"/>
  <c r="AZ403" i="6" s="1"/>
  <c r="BA407" i="6"/>
  <c r="AZ407" i="6" s="1"/>
  <c r="BA410" i="6"/>
  <c r="AZ410" i="6" s="1"/>
  <c r="BA504" i="6"/>
  <c r="AZ504" i="6" s="1"/>
  <c r="AX1552" i="6"/>
  <c r="BA2014" i="6"/>
  <c r="AZ2014" i="6" s="1"/>
  <c r="AY2014" i="6"/>
  <c r="BC2014" i="6" s="1"/>
  <c r="AX2014" i="6"/>
  <c r="AY2574" i="6"/>
  <c r="BC2574" i="6" s="1"/>
  <c r="AX2574" i="6"/>
  <c r="BA2574" i="6"/>
  <c r="AZ2574" i="6" s="1"/>
  <c r="BA2576" i="6"/>
  <c r="AZ2576" i="6" s="1"/>
  <c r="AX2576" i="6"/>
  <c r="BA1527" i="6"/>
  <c r="AZ1527" i="6" s="1"/>
  <c r="AY1527" i="6"/>
  <c r="BC1527" i="6" s="1"/>
  <c r="AY2138" i="6"/>
  <c r="BC2138" i="6" s="1"/>
  <c r="AX2138" i="6"/>
  <c r="BA2138" i="6"/>
  <c r="AZ2138" i="6" s="1"/>
  <c r="BA1739" i="6"/>
  <c r="AZ1739" i="6" s="1"/>
  <c r="BA327" i="6"/>
  <c r="AZ327" i="6" s="1"/>
  <c r="AX327" i="6"/>
  <c r="AY327" i="6"/>
  <c r="BC327" i="6" s="1"/>
  <c r="BA1117" i="6"/>
  <c r="AZ1117" i="6" s="1"/>
  <c r="AX404" i="6"/>
  <c r="BA404" i="6"/>
  <c r="AZ404" i="6" s="1"/>
  <c r="AY408" i="6"/>
  <c r="BC408" i="6" s="1"/>
  <c r="AX408" i="6"/>
  <c r="AX502" i="6"/>
  <c r="BA502" i="6"/>
  <c r="AZ502" i="6" s="1"/>
  <c r="AY502" i="6"/>
  <c r="BC502" i="6" s="1"/>
  <c r="AX1157" i="6"/>
  <c r="BA1157" i="6"/>
  <c r="AZ1157" i="6" s="1"/>
  <c r="AY1157" i="6"/>
  <c r="BC1157" i="6" s="1"/>
  <c r="AX1535" i="6"/>
  <c r="BA1535" i="6"/>
  <c r="AZ1535" i="6" s="1"/>
  <c r="AY1540" i="6"/>
  <c r="BC1540" i="6" s="1"/>
  <c r="BA1540" i="6"/>
  <c r="AZ1540" i="6" s="1"/>
  <c r="AX1540" i="6"/>
  <c r="AX331" i="6"/>
  <c r="AY331" i="6"/>
  <c r="BC331" i="6" s="1"/>
  <c r="AX2017" i="6"/>
  <c r="AY2017" i="6"/>
  <c r="BC2017" i="6" s="1"/>
  <c r="BA2017" i="6"/>
  <c r="AZ2017" i="6" s="1"/>
  <c r="AX2688" i="6"/>
  <c r="AX10" i="6"/>
  <c r="BA10" i="6"/>
  <c r="AZ10" i="6" s="1"/>
  <c r="BA12" i="6"/>
  <c r="AZ12" i="6" s="1"/>
  <c r="AX12" i="6"/>
  <c r="AY2576" i="6"/>
  <c r="BC2576" i="6" s="1"/>
  <c r="AY1525" i="6"/>
  <c r="BC1525" i="6" s="1"/>
  <c r="BA1525" i="6"/>
  <c r="AZ1525" i="6" s="1"/>
  <c r="AX1525" i="6"/>
  <c r="AX1527" i="6"/>
  <c r="AY1529" i="6"/>
  <c r="BC1529" i="6" s="1"/>
  <c r="BA2134" i="6"/>
  <c r="AZ2134" i="6" s="1"/>
  <c r="AX2134" i="6"/>
  <c r="AX2143" i="6"/>
  <c r="AY516" i="6"/>
  <c r="BC516" i="6" s="1"/>
  <c r="AX516" i="6"/>
  <c r="BA534" i="6"/>
  <c r="AZ534" i="6" s="1"/>
  <c r="AY534" i="6"/>
  <c r="BC534" i="6" s="1"/>
  <c r="AX534" i="6"/>
  <c r="BA1161" i="6"/>
  <c r="AZ1161" i="6" s="1"/>
  <c r="AY1161" i="6"/>
  <c r="BC1161" i="6" s="1"/>
  <c r="AX1161" i="6"/>
  <c r="AY2580" i="6"/>
  <c r="BC2580" i="6" s="1"/>
  <c r="BA2580" i="6"/>
  <c r="AZ2580" i="6" s="1"/>
  <c r="AX2580" i="6"/>
  <c r="BA1549" i="6"/>
  <c r="AZ1549" i="6" s="1"/>
  <c r="AY1549" i="6"/>
  <c r="BC1549" i="6" s="1"/>
  <c r="AX1549" i="6"/>
  <c r="AX2146" i="6"/>
  <c r="BA2146" i="6"/>
  <c r="AZ2146" i="6" s="1"/>
  <c r="AY2146" i="6"/>
  <c r="BC2146" i="6" s="1"/>
  <c r="AX412" i="6"/>
  <c r="BA412" i="6"/>
  <c r="AZ412" i="6" s="1"/>
  <c r="AY561" i="6"/>
  <c r="BC561" i="6" s="1"/>
  <c r="BA561" i="6"/>
  <c r="AZ561" i="6" s="1"/>
  <c r="AX561" i="6"/>
  <c r="AY1880" i="6"/>
  <c r="BC1880" i="6" s="1"/>
  <c r="AX1880" i="6"/>
  <c r="BA1880" i="6"/>
  <c r="AZ1880" i="6" s="1"/>
  <c r="BA2141" i="6"/>
  <c r="AZ2141" i="6" s="1"/>
  <c r="BA2421" i="6"/>
  <c r="AZ2421" i="6" s="1"/>
  <c r="BA593" i="6"/>
  <c r="AZ593" i="6" s="1"/>
  <c r="BA1160" i="6"/>
  <c r="AZ1160" i="6" s="1"/>
  <c r="BA1554" i="6"/>
  <c r="AZ1554" i="6" s="1"/>
  <c r="BA2149" i="6"/>
  <c r="AZ2149" i="6" s="1"/>
  <c r="BA2020" i="6"/>
  <c r="AZ2020" i="6" s="1"/>
  <c r="BA2214" i="6"/>
  <c r="AZ2214" i="6" s="1"/>
  <c r="AX2216" i="6"/>
  <c r="AY2216" i="6"/>
  <c r="BC2216" i="6" s="1"/>
  <c r="BA503" i="6"/>
  <c r="AZ503" i="6" s="1"/>
  <c r="AX1043" i="6"/>
  <c r="AY1542" i="6"/>
  <c r="BC1542" i="6" s="1"/>
  <c r="AX1545" i="6"/>
  <c r="BA328" i="6"/>
  <c r="AZ328" i="6" s="1"/>
  <c r="AX329" i="6"/>
  <c r="AX411" i="6"/>
  <c r="AY537" i="6"/>
  <c r="BC537" i="6" s="1"/>
  <c r="AX560" i="6"/>
  <c r="BA2016" i="6"/>
  <c r="AZ2016" i="6" s="1"/>
  <c r="AX2019" i="6"/>
  <c r="AX2218" i="6"/>
  <c r="BA1043" i="6"/>
  <c r="AZ1043" i="6" s="1"/>
  <c r="BA1542" i="6"/>
  <c r="AZ1542" i="6" s="1"/>
  <c r="AY329" i="6"/>
  <c r="BC329" i="6" s="1"/>
  <c r="BA411" i="6"/>
  <c r="AZ411" i="6" s="1"/>
  <c r="BA537" i="6"/>
  <c r="AZ537" i="6" s="1"/>
  <c r="AY2019" i="6"/>
  <c r="BC2019" i="6" s="1"/>
  <c r="BA2218" i="6"/>
  <c r="AZ2218" i="6" s="1"/>
  <c r="BA594" i="6"/>
  <c r="AZ594" i="6" s="1"/>
  <c r="BA1050" i="6"/>
  <c r="AZ1050" i="6" s="1"/>
  <c r="AY1162" i="6"/>
  <c r="BC1162" i="6" s="1"/>
  <c r="AY1614" i="6"/>
  <c r="BC1614" i="6" s="1"/>
  <c r="AX425" i="6"/>
  <c r="AY1548" i="6"/>
  <c r="BC1548" i="6" s="1"/>
  <c r="BA2145" i="6"/>
  <c r="AZ2145" i="6" s="1"/>
  <c r="AX2147" i="6"/>
  <c r="AX536" i="6"/>
  <c r="AY2005" i="6"/>
  <c r="BC2005" i="6" s="1"/>
  <c r="AX2007" i="6"/>
  <c r="AX2024" i="6"/>
  <c r="AX2221" i="6"/>
  <c r="AX2222" i="6"/>
  <c r="AX910" i="6"/>
  <c r="BA910" i="6"/>
  <c r="AZ910" i="6" s="1"/>
  <c r="AY910" i="6"/>
  <c r="BC910" i="6" s="1"/>
  <c r="BA1614" i="6"/>
  <c r="AZ1614" i="6" s="1"/>
  <c r="AX1550" i="6"/>
  <c r="AY2147" i="6"/>
  <c r="BC2147" i="6" s="1"/>
  <c r="BA536" i="6"/>
  <c r="AZ536" i="6" s="1"/>
  <c r="BA2005" i="6"/>
  <c r="AZ2005" i="6" s="1"/>
  <c r="AX2012" i="6"/>
  <c r="AY2024" i="6"/>
  <c r="BC2024" i="6" s="1"/>
  <c r="BA2221" i="6"/>
  <c r="AZ2221" i="6" s="1"/>
  <c r="AY2222" i="6"/>
  <c r="BC2222" i="6" s="1"/>
  <c r="AY1873" i="6"/>
  <c r="BC1873" i="6" s="1"/>
  <c r="AX1873" i="6"/>
  <c r="AY1895" i="6"/>
  <c r="BC1895" i="6" s="1"/>
  <c r="BA1895" i="6"/>
  <c r="AZ1895" i="6" s="1"/>
  <c r="BA1559" i="6"/>
  <c r="AZ1559" i="6" s="1"/>
  <c r="AY1559" i="6"/>
  <c r="BC1559" i="6" s="1"/>
  <c r="AX1559" i="6"/>
  <c r="AX2802" i="6"/>
  <c r="BA2802" i="6"/>
  <c r="AZ2802" i="6" s="1"/>
  <c r="AY2802" i="6"/>
  <c r="BC2802" i="6" s="1"/>
  <c r="BA2735" i="6"/>
  <c r="AZ2735" i="6" s="1"/>
  <c r="AY2735" i="6"/>
  <c r="BC2735" i="6" s="1"/>
  <c r="AX2735" i="6"/>
  <c r="AX333" i="6"/>
  <c r="BA333" i="6"/>
  <c r="AZ333" i="6" s="1"/>
  <c r="AY333" i="6"/>
  <c r="BC333" i="6" s="1"/>
  <c r="BA908" i="6"/>
  <c r="AZ908" i="6" s="1"/>
  <c r="AX908" i="6"/>
  <c r="AY1426" i="6"/>
  <c r="BC1426" i="6" s="1"/>
  <c r="BA1426" i="6"/>
  <c r="AZ1426" i="6" s="1"/>
  <c r="AX1426" i="6"/>
  <c r="AY1869" i="6"/>
  <c r="BC1869" i="6" s="1"/>
  <c r="AX1869" i="6"/>
  <c r="BA1869" i="6"/>
  <c r="AZ1869" i="6" s="1"/>
  <c r="BA1873" i="6"/>
  <c r="AZ1873" i="6" s="1"/>
  <c r="AY1882" i="6"/>
  <c r="BC1882" i="6" s="1"/>
  <c r="BA1882" i="6"/>
  <c r="AZ1882" i="6" s="1"/>
  <c r="AX1882" i="6"/>
  <c r="AY1885" i="6"/>
  <c r="BC1885" i="6" s="1"/>
  <c r="BA1885" i="6"/>
  <c r="AZ1885" i="6" s="1"/>
  <c r="AX1885" i="6"/>
  <c r="AX1895" i="6"/>
  <c r="AX915" i="6"/>
  <c r="BA915" i="6"/>
  <c r="AZ915" i="6" s="1"/>
  <c r="AY915" i="6"/>
  <c r="BC915" i="6" s="1"/>
  <c r="AY1436" i="6"/>
  <c r="BC1436" i="6" s="1"/>
  <c r="BA1436" i="6"/>
  <c r="AZ1436" i="6" s="1"/>
  <c r="AX1436" i="6"/>
  <c r="AY1889" i="6"/>
  <c r="BC1889" i="6" s="1"/>
  <c r="BA1889" i="6"/>
  <c r="AZ1889" i="6" s="1"/>
  <c r="AX1889" i="6"/>
  <c r="AY1903" i="6"/>
  <c r="BC1903" i="6" s="1"/>
  <c r="BA1903" i="6"/>
  <c r="AZ1903" i="6" s="1"/>
  <c r="AX1903" i="6"/>
  <c r="AY1250" i="6"/>
  <c r="BC1250" i="6" s="1"/>
  <c r="BA1250" i="6"/>
  <c r="AZ1250" i="6" s="1"/>
  <c r="AX1250" i="6"/>
  <c r="AY2658" i="6"/>
  <c r="BC2658" i="6" s="1"/>
  <c r="AX2658" i="6"/>
  <c r="BA2658" i="6"/>
  <c r="AZ2658" i="6" s="1"/>
  <c r="AY1870" i="6"/>
  <c r="BC1870" i="6" s="1"/>
  <c r="BA1870" i="6"/>
  <c r="AZ1870" i="6" s="1"/>
  <c r="AX1870" i="6"/>
  <c r="AY1877" i="6"/>
  <c r="BC1877" i="6" s="1"/>
  <c r="AX1877" i="6"/>
  <c r="BA1877" i="6"/>
  <c r="AZ1877" i="6" s="1"/>
  <c r="AY1883" i="6"/>
  <c r="BC1883" i="6" s="1"/>
  <c r="BA1883" i="6"/>
  <c r="AZ1883" i="6" s="1"/>
  <c r="AX1883" i="6"/>
  <c r="AY1893" i="6"/>
  <c r="BC1893" i="6" s="1"/>
  <c r="BA1893" i="6"/>
  <c r="AZ1893" i="6" s="1"/>
  <c r="AX1893" i="6"/>
  <c r="AY1413" i="6"/>
  <c r="BC1413" i="6" s="1"/>
  <c r="AX1413" i="6"/>
  <c r="AY919" i="6"/>
  <c r="BC919" i="6" s="1"/>
  <c r="BA919" i="6"/>
  <c r="AZ919" i="6" s="1"/>
  <c r="AX919" i="6"/>
  <c r="BA1424" i="6"/>
  <c r="AZ1424" i="6" s="1"/>
  <c r="AX1424" i="6"/>
  <c r="AY1424" i="6"/>
  <c r="BC1424" i="6" s="1"/>
  <c r="AY1864" i="6"/>
  <c r="BC1864" i="6" s="1"/>
  <c r="BA1864" i="6"/>
  <c r="AZ1864" i="6" s="1"/>
  <c r="AX1864" i="6"/>
  <c r="AY1890" i="6"/>
  <c r="BC1890" i="6" s="1"/>
  <c r="BA1890" i="6"/>
  <c r="AZ1890" i="6" s="1"/>
  <c r="AX1890" i="6"/>
  <c r="AY1897" i="6"/>
  <c r="BC1897" i="6" s="1"/>
  <c r="AX1897" i="6"/>
  <c r="AY961" i="6"/>
  <c r="BC961" i="6" s="1"/>
  <c r="AX961" i="6"/>
  <c r="BA961" i="6"/>
  <c r="AZ961" i="6" s="1"/>
  <c r="BA2223" i="6"/>
  <c r="AZ2223" i="6" s="1"/>
  <c r="AY2223" i="6"/>
  <c r="BC2223" i="6" s="1"/>
  <c r="BA2649" i="6"/>
  <c r="AZ2649" i="6" s="1"/>
  <c r="AX2649" i="6"/>
  <c r="AY2649" i="6"/>
  <c r="BC2649" i="6" s="1"/>
  <c r="AY1428" i="6"/>
  <c r="BC1428" i="6" s="1"/>
  <c r="BA1428" i="6"/>
  <c r="AZ1428" i="6" s="1"/>
  <c r="AX1428" i="6"/>
  <c r="AY1434" i="6"/>
  <c r="BC1434" i="6" s="1"/>
  <c r="AX1434" i="6"/>
  <c r="BA1434" i="6"/>
  <c r="AZ1434" i="6" s="1"/>
  <c r="BA1897" i="6"/>
  <c r="AZ1897" i="6" s="1"/>
  <c r="AY1234" i="6"/>
  <c r="BC1234" i="6" s="1"/>
  <c r="BA1234" i="6"/>
  <c r="AZ1234" i="6" s="1"/>
  <c r="AX1234" i="6"/>
  <c r="AY1243" i="6"/>
  <c r="BC1243" i="6" s="1"/>
  <c r="AX1243" i="6"/>
  <c r="BA1243" i="6"/>
  <c r="AZ1243" i="6" s="1"/>
  <c r="AY912" i="6"/>
  <c r="BC912" i="6" s="1"/>
  <c r="BA912" i="6"/>
  <c r="AZ912" i="6" s="1"/>
  <c r="AY1435" i="6"/>
  <c r="BC1435" i="6" s="1"/>
  <c r="BA1435" i="6"/>
  <c r="AZ1435" i="6" s="1"/>
  <c r="AY1875" i="6"/>
  <c r="BC1875" i="6" s="1"/>
  <c r="AX1875" i="6"/>
  <c r="AY1887" i="6"/>
  <c r="BC1887" i="6" s="1"/>
  <c r="AX1887" i="6"/>
  <c r="AY1898" i="6"/>
  <c r="BC1898" i="6" s="1"/>
  <c r="BA1898" i="6"/>
  <c r="AZ1898" i="6" s="1"/>
  <c r="AX1898" i="6"/>
  <c r="AY1082" i="6"/>
  <c r="BC1082" i="6" s="1"/>
  <c r="AX1082" i="6"/>
  <c r="BA1082" i="6"/>
  <c r="AZ1082" i="6" s="1"/>
  <c r="BA1544" i="6"/>
  <c r="AZ1544" i="6" s="1"/>
  <c r="AY1544" i="6"/>
  <c r="BC1544" i="6" s="1"/>
  <c r="AX912" i="6"/>
  <c r="BA917" i="6"/>
  <c r="AZ917" i="6" s="1"/>
  <c r="AY917" i="6"/>
  <c r="BC917" i="6" s="1"/>
  <c r="AX917" i="6"/>
  <c r="BA1422" i="6"/>
  <c r="AZ1422" i="6" s="1"/>
  <c r="AX1422" i="6"/>
  <c r="AY1422" i="6"/>
  <c r="BC1422" i="6" s="1"/>
  <c r="AX1435" i="6"/>
  <c r="AY1440" i="6"/>
  <c r="BC1440" i="6" s="1"/>
  <c r="BA1440" i="6"/>
  <c r="AZ1440" i="6" s="1"/>
  <c r="AX1440" i="6"/>
  <c r="BA1875" i="6"/>
  <c r="AZ1875" i="6" s="1"/>
  <c r="BA1887" i="6"/>
  <c r="AZ1887" i="6" s="1"/>
  <c r="AY1252" i="6"/>
  <c r="BC1252" i="6" s="1"/>
  <c r="AX1252" i="6"/>
  <c r="BA1252" i="6"/>
  <c r="AZ1252" i="6" s="1"/>
  <c r="AX1423" i="6"/>
  <c r="BA1423" i="6"/>
  <c r="AZ1423" i="6" s="1"/>
  <c r="AX1425" i="6"/>
  <c r="BA1425" i="6"/>
  <c r="AZ1425" i="6" s="1"/>
  <c r="AY1427" i="6"/>
  <c r="BC1427" i="6" s="1"/>
  <c r="BA1427" i="6"/>
  <c r="AZ1427" i="6" s="1"/>
  <c r="AY1860" i="6"/>
  <c r="BC1860" i="6" s="1"/>
  <c r="AX1860" i="6"/>
  <c r="BA1860" i="6"/>
  <c r="AZ1860" i="6" s="1"/>
  <c r="AY1865" i="6"/>
  <c r="BC1865" i="6" s="1"/>
  <c r="BA1865" i="6"/>
  <c r="AZ1865" i="6" s="1"/>
  <c r="AX1865" i="6"/>
  <c r="AY1876" i="6"/>
  <c r="BC1876" i="6" s="1"/>
  <c r="AX1876" i="6"/>
  <c r="BA1876" i="6"/>
  <c r="AZ1876" i="6" s="1"/>
  <c r="AY2650" i="6"/>
  <c r="BC2650" i="6" s="1"/>
  <c r="BA2650" i="6"/>
  <c r="AZ2650" i="6" s="1"/>
  <c r="AY1906" i="6"/>
  <c r="BC1906" i="6" s="1"/>
  <c r="BA1906" i="6"/>
  <c r="AZ1906" i="6" s="1"/>
  <c r="AX1906" i="6"/>
  <c r="AY2059" i="6"/>
  <c r="BC2059" i="6" s="1"/>
  <c r="AX2059" i="6"/>
  <c r="AY1237" i="6"/>
  <c r="BC1237" i="6" s="1"/>
  <c r="AX1237" i="6"/>
  <c r="BA1237" i="6"/>
  <c r="AZ1237" i="6" s="1"/>
  <c r="AY1255" i="6"/>
  <c r="BC1255" i="6" s="1"/>
  <c r="BA1255" i="6"/>
  <c r="AZ1255" i="6" s="1"/>
  <c r="AX1255" i="6"/>
  <c r="AY2662" i="6"/>
  <c r="BC2662" i="6" s="1"/>
  <c r="AX2662" i="6"/>
  <c r="BA2662" i="6"/>
  <c r="AZ2662" i="6" s="1"/>
  <c r="BA901" i="6"/>
  <c r="AZ901" i="6" s="1"/>
  <c r="AX901" i="6"/>
  <c r="AX903" i="6"/>
  <c r="BA903" i="6"/>
  <c r="AZ903" i="6" s="1"/>
  <c r="AY905" i="6"/>
  <c r="BC905" i="6" s="1"/>
  <c r="BA905" i="6"/>
  <c r="AZ905" i="6" s="1"/>
  <c r="AY1423" i="6"/>
  <c r="BC1423" i="6" s="1"/>
  <c r="AY1425" i="6"/>
  <c r="BC1425" i="6" s="1"/>
  <c r="AX1427" i="6"/>
  <c r="AY1433" i="6"/>
  <c r="BC1433" i="6" s="1"/>
  <c r="BA1433" i="6"/>
  <c r="AZ1433" i="6" s="1"/>
  <c r="AX1433" i="6"/>
  <c r="AX1437" i="6"/>
  <c r="AY1863" i="6"/>
  <c r="BC1863" i="6" s="1"/>
  <c r="AX1863" i="6"/>
  <c r="BA1863" i="6"/>
  <c r="AZ1863" i="6" s="1"/>
  <c r="AY1868" i="6"/>
  <c r="BC1868" i="6" s="1"/>
  <c r="AX1868" i="6"/>
  <c r="AX2650" i="6"/>
  <c r="AY1900" i="6"/>
  <c r="BC1900" i="6" s="1"/>
  <c r="BA1900" i="6"/>
  <c r="AZ1900" i="6" s="1"/>
  <c r="AX1900" i="6"/>
  <c r="AY1694" i="6"/>
  <c r="BC1694" i="6" s="1"/>
  <c r="BA1694" i="6"/>
  <c r="AZ1694" i="6" s="1"/>
  <c r="BA2059" i="6"/>
  <c r="AZ2059" i="6" s="1"/>
  <c r="AY2407" i="6"/>
  <c r="BC2407" i="6" s="1"/>
  <c r="BA2407" i="6"/>
  <c r="AZ2407" i="6" s="1"/>
  <c r="AX2407" i="6"/>
  <c r="AY1219" i="6"/>
  <c r="BC1219" i="6" s="1"/>
  <c r="BA1219" i="6"/>
  <c r="AZ1219" i="6" s="1"/>
  <c r="AY1244" i="6"/>
  <c r="BC1244" i="6" s="1"/>
  <c r="BA1244" i="6"/>
  <c r="AZ1244" i="6" s="1"/>
  <c r="AY1765" i="6"/>
  <c r="BC1765" i="6" s="1"/>
  <c r="AX1765" i="6"/>
  <c r="AY901" i="6"/>
  <c r="BC901" i="6" s="1"/>
  <c r="AY903" i="6"/>
  <c r="BC903" i="6" s="1"/>
  <c r="BA1539" i="6"/>
  <c r="AZ1539" i="6" s="1"/>
  <c r="AX1539" i="6"/>
  <c r="BA909" i="6"/>
  <c r="AZ909" i="6" s="1"/>
  <c r="AX909" i="6"/>
  <c r="AY1541" i="6"/>
  <c r="BC1541" i="6" s="1"/>
  <c r="BA1541" i="6"/>
  <c r="AZ1541" i="6" s="1"/>
  <c r="AY800" i="6"/>
  <c r="BC800" i="6" s="1"/>
  <c r="BA800" i="6"/>
  <c r="AZ800" i="6" s="1"/>
  <c r="AX800" i="6"/>
  <c r="BA1437" i="6"/>
  <c r="AZ1437" i="6" s="1"/>
  <c r="BA1868" i="6"/>
  <c r="AZ1868" i="6" s="1"/>
  <c r="AY1874" i="6"/>
  <c r="BC1874" i="6" s="1"/>
  <c r="AX1874" i="6"/>
  <c r="AY1881" i="6"/>
  <c r="BC1881" i="6" s="1"/>
  <c r="BA1881" i="6"/>
  <c r="AZ1881" i="6" s="1"/>
  <c r="AY1896" i="6"/>
  <c r="BC1896" i="6" s="1"/>
  <c r="AX1896" i="6"/>
  <c r="BA1896" i="6"/>
  <c r="AZ1896" i="6" s="1"/>
  <c r="AX1904" i="6"/>
  <c r="AX1694" i="6"/>
  <c r="AX1219" i="6"/>
  <c r="AY1235" i="6"/>
  <c r="BC1235" i="6" s="1"/>
  <c r="BA1235" i="6"/>
  <c r="AZ1235" i="6" s="1"/>
  <c r="AY1241" i="6"/>
  <c r="BC1241" i="6" s="1"/>
  <c r="BA1241" i="6"/>
  <c r="AZ1241" i="6" s="1"/>
  <c r="AX1241" i="6"/>
  <c r="AX1244" i="6"/>
  <c r="AY1253" i="6"/>
  <c r="BC1253" i="6" s="1"/>
  <c r="AX1253" i="6"/>
  <c r="BA1765" i="6"/>
  <c r="AZ1765" i="6" s="1"/>
  <c r="AX913" i="6"/>
  <c r="BA913" i="6"/>
  <c r="AZ913" i="6" s="1"/>
  <c r="BA914" i="6"/>
  <c r="AZ914" i="6" s="1"/>
  <c r="AX914" i="6"/>
  <c r="AY916" i="6"/>
  <c r="BC916" i="6" s="1"/>
  <c r="BA916" i="6"/>
  <c r="AZ916" i="6" s="1"/>
  <c r="AY1861" i="6"/>
  <c r="BC1861" i="6" s="1"/>
  <c r="AX1861" i="6"/>
  <c r="AY1871" i="6"/>
  <c r="BC1871" i="6" s="1"/>
  <c r="BA1871" i="6"/>
  <c r="AZ1871" i="6" s="1"/>
  <c r="AX1871" i="6"/>
  <c r="AY1886" i="6"/>
  <c r="BC1886" i="6" s="1"/>
  <c r="BA1886" i="6"/>
  <c r="AZ1886" i="6" s="1"/>
  <c r="AX1886" i="6"/>
  <c r="AY1899" i="6"/>
  <c r="BC1899" i="6" s="1"/>
  <c r="AX1899" i="6"/>
  <c r="BA1899" i="6"/>
  <c r="AZ1899" i="6" s="1"/>
  <c r="AY1901" i="6"/>
  <c r="BC1901" i="6" s="1"/>
  <c r="AX1901" i="6"/>
  <c r="BA1901" i="6"/>
  <c r="AZ1901" i="6" s="1"/>
  <c r="BA1904" i="6"/>
  <c r="AZ1904" i="6" s="1"/>
  <c r="AY1907" i="6"/>
  <c r="BC1907" i="6" s="1"/>
  <c r="AX1907" i="6"/>
  <c r="BA1907" i="6"/>
  <c r="AZ1907" i="6" s="1"/>
  <c r="AY305" i="6"/>
  <c r="BC305" i="6" s="1"/>
  <c r="AX305" i="6"/>
  <c r="BA305" i="6"/>
  <c r="AZ305" i="6" s="1"/>
  <c r="AY1220" i="6"/>
  <c r="BC1220" i="6" s="1"/>
  <c r="AX1220" i="6"/>
  <c r="BA1220" i="6"/>
  <c r="AZ1220" i="6" s="1"/>
  <c r="AY1766" i="6"/>
  <c r="BC1766" i="6" s="1"/>
  <c r="AX1766" i="6"/>
  <c r="BA1766" i="6"/>
  <c r="AZ1766" i="6" s="1"/>
  <c r="AY1256" i="6"/>
  <c r="BC1256" i="6" s="1"/>
  <c r="BA1256" i="6"/>
  <c r="AZ1256" i="6" s="1"/>
  <c r="AX1256" i="6"/>
  <c r="AY1767" i="6"/>
  <c r="BC1767" i="6" s="1"/>
  <c r="BA1767" i="6"/>
  <c r="AZ1767" i="6" s="1"/>
  <c r="AY1761" i="6"/>
  <c r="BC1761" i="6" s="1"/>
  <c r="BA1761" i="6"/>
  <c r="AZ1761" i="6" s="1"/>
  <c r="AX1761" i="6"/>
  <c r="AY2060" i="6"/>
  <c r="BC2060" i="6" s="1"/>
  <c r="BA2060" i="6"/>
  <c r="AZ2060" i="6" s="1"/>
  <c r="AX2060" i="6"/>
  <c r="AY1236" i="6"/>
  <c r="BC1236" i="6" s="1"/>
  <c r="BA1236" i="6"/>
  <c r="AZ1236" i="6" s="1"/>
  <c r="AY1239" i="6"/>
  <c r="BC1239" i="6" s="1"/>
  <c r="AX1239" i="6"/>
  <c r="AY1242" i="6"/>
  <c r="BC1242" i="6" s="1"/>
  <c r="BA1242" i="6"/>
  <c r="AZ1242" i="6" s="1"/>
  <c r="AX1242" i="6"/>
  <c r="AY1248" i="6"/>
  <c r="BC1248" i="6" s="1"/>
  <c r="AX1248" i="6"/>
  <c r="BA1248" i="6"/>
  <c r="AZ1248" i="6" s="1"/>
  <c r="AY966" i="6"/>
  <c r="BC966" i="6" s="1"/>
  <c r="AX966" i="6"/>
  <c r="BA966" i="6"/>
  <c r="AZ966" i="6" s="1"/>
  <c r="BA902" i="6"/>
  <c r="AZ902" i="6" s="1"/>
  <c r="AX902" i="6"/>
  <c r="AX904" i="6"/>
  <c r="BA904" i="6"/>
  <c r="AZ904" i="6" s="1"/>
  <c r="BA906" i="6"/>
  <c r="AZ906" i="6" s="1"/>
  <c r="AY906" i="6"/>
  <c r="BC906" i="6" s="1"/>
  <c r="BA918" i="6"/>
  <c r="AZ918" i="6" s="1"/>
  <c r="AY1432" i="6"/>
  <c r="BC1432" i="6" s="1"/>
  <c r="BA1432" i="6"/>
  <c r="AZ1432" i="6" s="1"/>
  <c r="AY1438" i="6"/>
  <c r="BC1438" i="6" s="1"/>
  <c r="BA1438" i="6"/>
  <c r="AZ1438" i="6" s="1"/>
  <c r="AX1438" i="6"/>
  <c r="AY1862" i="6"/>
  <c r="BC1862" i="6" s="1"/>
  <c r="BA1862" i="6"/>
  <c r="AZ1862" i="6" s="1"/>
  <c r="AY1867" i="6"/>
  <c r="BC1867" i="6" s="1"/>
  <c r="BA1867" i="6"/>
  <c r="AZ1867" i="6" s="1"/>
  <c r="AX1867" i="6"/>
  <c r="BA1441" i="6"/>
  <c r="AZ1441" i="6" s="1"/>
  <c r="AY2058" i="6"/>
  <c r="BC2058" i="6" s="1"/>
  <c r="AX2058" i="6"/>
  <c r="BA2058" i="6"/>
  <c r="AZ2058" i="6" s="1"/>
  <c r="AX1236" i="6"/>
  <c r="BA1239" i="6"/>
  <c r="AZ1239" i="6" s="1"/>
  <c r="AY2655" i="6"/>
  <c r="BC2655" i="6" s="1"/>
  <c r="BA2655" i="6"/>
  <c r="AZ2655" i="6" s="1"/>
  <c r="AX2655" i="6"/>
  <c r="AY183" i="6"/>
  <c r="BC183" i="6" s="1"/>
  <c r="BA183" i="6"/>
  <c r="AZ183" i="6" s="1"/>
  <c r="AX183" i="6"/>
  <c r="AY1908" i="6"/>
  <c r="BC1908" i="6" s="1"/>
  <c r="AX1908" i="6"/>
  <c r="AY2056" i="6"/>
  <c r="BC2056" i="6" s="1"/>
  <c r="BA2056" i="6"/>
  <c r="AZ2056" i="6" s="1"/>
  <c r="AX2056" i="6"/>
  <c r="AY2515" i="6"/>
  <c r="BC2515" i="6" s="1"/>
  <c r="AX2515" i="6"/>
  <c r="AY1240" i="6"/>
  <c r="BC1240" i="6" s="1"/>
  <c r="AX1240" i="6"/>
  <c r="BA1240" i="6"/>
  <c r="AZ1240" i="6" s="1"/>
  <c r="AY1254" i="6"/>
  <c r="BC1254" i="6" s="1"/>
  <c r="AX1254" i="6"/>
  <c r="BA1254" i="6"/>
  <c r="AZ1254" i="6" s="1"/>
  <c r="AY2255" i="6"/>
  <c r="BC2255" i="6" s="1"/>
  <c r="AX2255" i="6"/>
  <c r="BA1238" i="6"/>
  <c r="AZ1238" i="6" s="1"/>
  <c r="AY1246" i="6"/>
  <c r="BC1246" i="6" s="1"/>
  <c r="BA1246" i="6"/>
  <c r="AZ1246" i="6" s="1"/>
  <c r="AY2654" i="6"/>
  <c r="BC2654" i="6" s="1"/>
  <c r="BA2654" i="6"/>
  <c r="AZ2654" i="6" s="1"/>
  <c r="AX2654" i="6"/>
  <c r="AY969" i="6"/>
  <c r="BC969" i="6" s="1"/>
  <c r="BA969" i="6"/>
  <c r="AZ969" i="6" s="1"/>
  <c r="AX969" i="6"/>
  <c r="AY2661" i="6"/>
  <c r="BC2661" i="6" s="1"/>
  <c r="AX2661" i="6"/>
  <c r="AX315" i="6"/>
  <c r="BA315" i="6"/>
  <c r="AZ315" i="6" s="1"/>
  <c r="AY315" i="6"/>
  <c r="BC315" i="6" s="1"/>
  <c r="BA2255" i="6"/>
  <c r="AZ2255" i="6" s="1"/>
  <c r="BA1221" i="6"/>
  <c r="AZ1221" i="6" s="1"/>
  <c r="AY1764" i="6"/>
  <c r="BC1764" i="6" s="1"/>
  <c r="BA1764" i="6"/>
  <c r="AZ1764" i="6" s="1"/>
  <c r="AY2656" i="6"/>
  <c r="BC2656" i="6" s="1"/>
  <c r="AX2656" i="6"/>
  <c r="BA2656" i="6"/>
  <c r="AZ2656" i="6" s="1"/>
  <c r="AY1259" i="6"/>
  <c r="BC1259" i="6" s="1"/>
  <c r="BA1259" i="6"/>
  <c r="AZ1259" i="6" s="1"/>
  <c r="AY968" i="6"/>
  <c r="BC968" i="6" s="1"/>
  <c r="AX968" i="6"/>
  <c r="BA968" i="6"/>
  <c r="AZ968" i="6" s="1"/>
  <c r="AY852" i="6"/>
  <c r="BC852" i="6" s="1"/>
  <c r="BA852" i="6"/>
  <c r="AZ852" i="6" s="1"/>
  <c r="AX852" i="6"/>
  <c r="AY1247" i="6"/>
  <c r="BC1247" i="6" s="1"/>
  <c r="BA1247" i="6"/>
  <c r="AZ1247" i="6" s="1"/>
  <c r="AX1259" i="6"/>
  <c r="AY965" i="6"/>
  <c r="BC965" i="6" s="1"/>
  <c r="BA965" i="6"/>
  <c r="AZ965" i="6" s="1"/>
  <c r="AX965" i="6"/>
  <c r="AY962" i="6"/>
  <c r="BC962" i="6" s="1"/>
  <c r="AX962" i="6"/>
  <c r="BA962" i="6"/>
  <c r="AZ962" i="6" s="1"/>
  <c r="AX1245" i="6"/>
  <c r="AX1247" i="6"/>
  <c r="AY1249" i="6"/>
  <c r="BC1249" i="6" s="1"/>
  <c r="BA1249" i="6"/>
  <c r="AZ1249" i="6" s="1"/>
  <c r="AY1258" i="6"/>
  <c r="BC1258" i="6" s="1"/>
  <c r="AX1258" i="6"/>
  <c r="AY2653" i="6"/>
  <c r="BC2653" i="6" s="1"/>
  <c r="BA2653" i="6"/>
  <c r="AZ2653" i="6" s="1"/>
  <c r="AY971" i="6"/>
  <c r="BC971" i="6" s="1"/>
  <c r="BA971" i="6"/>
  <c r="AZ971" i="6" s="1"/>
  <c r="AX2724" i="6"/>
  <c r="AY2724" i="6"/>
  <c r="BC2724" i="6" s="1"/>
  <c r="BA2724" i="6"/>
  <c r="AZ2724" i="6" s="1"/>
  <c r="BA2057" i="6"/>
  <c r="AZ2057" i="6" s="1"/>
  <c r="BA2514" i="6"/>
  <c r="AZ2514" i="6" s="1"/>
  <c r="AX1238" i="6"/>
  <c r="AX1249" i="6"/>
  <c r="BA1258" i="6"/>
  <c r="AZ1258" i="6" s="1"/>
  <c r="AX2653" i="6"/>
  <c r="AY182" i="6"/>
  <c r="BC182" i="6" s="1"/>
  <c r="BA182" i="6"/>
  <c r="AZ182" i="6" s="1"/>
  <c r="AX182" i="6"/>
  <c r="AX971" i="6"/>
  <c r="AX316" i="6"/>
  <c r="AY316" i="6"/>
  <c r="BC316" i="6" s="1"/>
  <c r="BA316" i="6"/>
  <c r="AZ316" i="6" s="1"/>
  <c r="AY920" i="6"/>
  <c r="BC920" i="6" s="1"/>
  <c r="BA920" i="6"/>
  <c r="AZ920" i="6" s="1"/>
  <c r="AX920" i="6"/>
  <c r="AX975" i="6"/>
  <c r="BA975" i="6"/>
  <c r="AZ975" i="6" s="1"/>
  <c r="AY975" i="6"/>
  <c r="BC975" i="6" s="1"/>
  <c r="AX925" i="6"/>
  <c r="AY925" i="6"/>
  <c r="BC925" i="6" s="1"/>
  <c r="BA925" i="6"/>
  <c r="AZ925" i="6" s="1"/>
  <c r="AX1257" i="6"/>
  <c r="AX967" i="6"/>
  <c r="AY1563" i="6"/>
  <c r="BC1563" i="6" s="1"/>
  <c r="BA1563" i="6"/>
  <c r="AZ1563" i="6" s="1"/>
  <c r="AY2652" i="6"/>
  <c r="BC2652" i="6" s="1"/>
  <c r="AX2652" i="6"/>
  <c r="AY2657" i="6"/>
  <c r="BC2657" i="6" s="1"/>
  <c r="BA2657" i="6"/>
  <c r="AZ2657" i="6" s="1"/>
  <c r="AX2657" i="6"/>
  <c r="AY2660" i="6"/>
  <c r="BC2660" i="6" s="1"/>
  <c r="AX2660" i="6"/>
  <c r="BA2660" i="6"/>
  <c r="AZ2660" i="6" s="1"/>
  <c r="AY970" i="6"/>
  <c r="BC970" i="6" s="1"/>
  <c r="BA970" i="6"/>
  <c r="AZ970" i="6" s="1"/>
  <c r="AX970" i="6"/>
  <c r="AX184" i="6"/>
  <c r="BA184" i="6"/>
  <c r="AZ184" i="6" s="1"/>
  <c r="AY184" i="6"/>
  <c r="BC184" i="6" s="1"/>
  <c r="AX2725" i="6"/>
  <c r="AY2725" i="6"/>
  <c r="BC2725" i="6" s="1"/>
  <c r="BA2725" i="6"/>
  <c r="AZ2725" i="6" s="1"/>
  <c r="AX1909" i="6"/>
  <c r="AY1909" i="6"/>
  <c r="BC1909" i="6" s="1"/>
  <c r="BA1909" i="6"/>
  <c r="AZ1909" i="6" s="1"/>
  <c r="AY2721" i="6"/>
  <c r="BC2721" i="6" s="1"/>
  <c r="BA2721" i="6"/>
  <c r="AZ2721" i="6" s="1"/>
  <c r="AX974" i="6"/>
  <c r="AY974" i="6"/>
  <c r="BC974" i="6" s="1"/>
  <c r="AX929" i="6"/>
  <c r="AY929" i="6"/>
  <c r="BC929" i="6" s="1"/>
  <c r="BA929" i="6"/>
  <c r="AZ929" i="6" s="1"/>
  <c r="AX1914" i="6"/>
  <c r="BA1914" i="6"/>
  <c r="AZ1914" i="6" s="1"/>
  <c r="AY1914" i="6"/>
  <c r="BC1914" i="6" s="1"/>
  <c r="AX1920" i="6"/>
  <c r="BA1920" i="6"/>
  <c r="AZ1920" i="6" s="1"/>
  <c r="AY1920" i="6"/>
  <c r="BC1920" i="6" s="1"/>
  <c r="AX976" i="6"/>
  <c r="BA976" i="6"/>
  <c r="AZ976" i="6" s="1"/>
  <c r="AY976" i="6"/>
  <c r="BC976" i="6" s="1"/>
  <c r="AY964" i="6"/>
  <c r="BC964" i="6" s="1"/>
  <c r="AX964" i="6"/>
  <c r="AX2721" i="6"/>
  <c r="AX921" i="6"/>
  <c r="AX1911" i="6"/>
  <c r="BA1911" i="6"/>
  <c r="AZ1911" i="6" s="1"/>
  <c r="AY1911" i="6"/>
  <c r="BC1911" i="6" s="1"/>
  <c r="AX1921" i="6"/>
  <c r="BA1921" i="6"/>
  <c r="AZ1921" i="6" s="1"/>
  <c r="AX922" i="6"/>
  <c r="AY922" i="6"/>
  <c r="BC922" i="6" s="1"/>
  <c r="AX923" i="6"/>
  <c r="BA923" i="6"/>
  <c r="AZ923" i="6" s="1"/>
  <c r="AX927" i="6"/>
  <c r="BA927" i="6"/>
  <c r="AZ927" i="6" s="1"/>
  <c r="AX1912" i="6"/>
  <c r="AY1912" i="6"/>
  <c r="BC1912" i="6" s="1"/>
  <c r="BA1912" i="6"/>
  <c r="AZ1912" i="6" s="1"/>
  <c r="AX1915" i="6"/>
  <c r="AY1915" i="6"/>
  <c r="BC1915" i="6" s="1"/>
  <c r="BA1915" i="6"/>
  <c r="AZ1915" i="6" s="1"/>
  <c r="AY1963" i="6"/>
  <c r="BC1963" i="6" s="1"/>
  <c r="BA1963" i="6"/>
  <c r="AZ1963" i="6" s="1"/>
  <c r="AX1963" i="6"/>
  <c r="AY2659" i="6"/>
  <c r="BC2659" i="6" s="1"/>
  <c r="AX2659" i="6"/>
  <c r="BA921" i="6"/>
  <c r="AZ921" i="6" s="1"/>
  <c r="BA922" i="6"/>
  <c r="AZ922" i="6" s="1"/>
  <c r="AY923" i="6"/>
  <c r="BC923" i="6" s="1"/>
  <c r="AY927" i="6"/>
  <c r="BC927" i="6" s="1"/>
  <c r="AY2723" i="6"/>
  <c r="BC2723" i="6" s="1"/>
  <c r="AX2723" i="6"/>
  <c r="AX1913" i="6"/>
  <c r="AY1913" i="6"/>
  <c r="BC1913" i="6" s="1"/>
  <c r="AX1916" i="6"/>
  <c r="BA1916" i="6"/>
  <c r="AZ1916" i="6" s="1"/>
  <c r="AY1916" i="6"/>
  <c r="BC1916" i="6" s="1"/>
  <c r="BA1557" i="6"/>
  <c r="AZ1557" i="6" s="1"/>
  <c r="AY1557" i="6"/>
  <c r="BC1557" i="6" s="1"/>
  <c r="AX972" i="6"/>
  <c r="AY972" i="6"/>
  <c r="BC972" i="6" s="1"/>
  <c r="AX853" i="6"/>
  <c r="AY853" i="6"/>
  <c r="BC853" i="6" s="1"/>
  <c r="AX1568" i="6"/>
  <c r="AY1568" i="6"/>
  <c r="BC1568" i="6" s="1"/>
  <c r="BA1913" i="6"/>
  <c r="AZ1913" i="6" s="1"/>
  <c r="AX1917" i="6"/>
  <c r="BA1917" i="6"/>
  <c r="AZ1917" i="6" s="1"/>
  <c r="AY1917" i="6"/>
  <c r="BC1917" i="6" s="1"/>
  <c r="AX1557" i="6"/>
  <c r="AX1962" i="6"/>
  <c r="BA1962" i="6"/>
  <c r="AZ1962" i="6" s="1"/>
  <c r="AX926" i="6"/>
  <c r="BA926" i="6"/>
  <c r="AZ926" i="6" s="1"/>
  <c r="AY926" i="6"/>
  <c r="BC926" i="6" s="1"/>
  <c r="AX930" i="6"/>
  <c r="BA930" i="6"/>
  <c r="AZ930" i="6" s="1"/>
  <c r="AX1918" i="6"/>
  <c r="AY1918" i="6"/>
  <c r="BC1918" i="6" s="1"/>
  <c r="BA1918" i="6"/>
  <c r="AZ1918" i="6" s="1"/>
  <c r="AX1922" i="6"/>
  <c r="AY1922" i="6"/>
  <c r="BC1922" i="6" s="1"/>
  <c r="BA1922" i="6"/>
  <c r="AZ1922" i="6" s="1"/>
  <c r="BA2670" i="6"/>
  <c r="AZ2670" i="6" s="1"/>
  <c r="AY2670" i="6"/>
  <c r="BC2670" i="6" s="1"/>
  <c r="AX2670" i="6"/>
  <c r="AX2816" i="6"/>
  <c r="BA2816" i="6"/>
  <c r="AZ2816" i="6" s="1"/>
  <c r="AY2816" i="6"/>
  <c r="BC2816" i="6" s="1"/>
  <c r="BA928" i="6"/>
  <c r="AZ928" i="6" s="1"/>
  <c r="BA317" i="6"/>
  <c r="AZ317" i="6" s="1"/>
  <c r="BA1561" i="6"/>
  <c r="AZ1561" i="6" s="1"/>
  <c r="AY1561" i="6"/>
  <c r="BC1561" i="6" s="1"/>
  <c r="AX1561" i="6"/>
  <c r="AY1063" i="6"/>
  <c r="BC1063" i="6" s="1"/>
  <c r="BA1063" i="6"/>
  <c r="AZ1063" i="6" s="1"/>
  <c r="BA2729" i="6"/>
  <c r="AZ2729" i="6" s="1"/>
  <c r="AY2729" i="6"/>
  <c r="BC2729" i="6" s="1"/>
  <c r="AX2729" i="6"/>
  <c r="AX2803" i="6"/>
  <c r="AX2728" i="6"/>
  <c r="BA2728" i="6"/>
  <c r="AZ2728" i="6" s="1"/>
  <c r="AY2728" i="6"/>
  <c r="BC2728" i="6" s="1"/>
  <c r="BA2732" i="6"/>
  <c r="AZ2732" i="6" s="1"/>
  <c r="AY2732" i="6"/>
  <c r="BC2732" i="6" s="1"/>
  <c r="AX2732" i="6"/>
  <c r="BA924" i="6"/>
  <c r="AZ924" i="6" s="1"/>
  <c r="AY2803" i="6"/>
  <c r="BC2803" i="6" s="1"/>
  <c r="AX1558" i="6"/>
  <c r="BA1558" i="6"/>
  <c r="AZ1558" i="6" s="1"/>
  <c r="BA1058" i="6"/>
  <c r="AZ1058" i="6" s="1"/>
  <c r="AY1061" i="6"/>
  <c r="BC1061" i="6" s="1"/>
  <c r="BA1560" i="6"/>
  <c r="AZ1560" i="6" s="1"/>
  <c r="AY1560" i="6"/>
  <c r="BC1560" i="6" s="1"/>
  <c r="AX1560" i="6"/>
  <c r="BA2669" i="6"/>
  <c r="AZ2669" i="6" s="1"/>
  <c r="AX2669" i="6"/>
  <c r="BA2727" i="6"/>
  <c r="AZ2727" i="6" s="1"/>
  <c r="AY2727" i="6"/>
  <c r="BC2727" i="6" s="1"/>
  <c r="AX2727" i="6"/>
  <c r="AY2813" i="6"/>
  <c r="BC2813" i="6" s="1"/>
  <c r="AX2813" i="6"/>
  <c r="AX2726" i="6"/>
  <c r="AY2726" i="6"/>
  <c r="BC2726" i="6" s="1"/>
  <c r="AX1064" i="6"/>
  <c r="BA1064" i="6"/>
  <c r="AZ1064" i="6" s="1"/>
  <c r="BA854" i="6"/>
  <c r="AZ854" i="6" s="1"/>
  <c r="AY854" i="6"/>
  <c r="BC854" i="6" s="1"/>
  <c r="AX854" i="6"/>
  <c r="AY2436" i="6"/>
  <c r="BC2436" i="6" s="1"/>
  <c r="BA2436" i="6"/>
  <c r="AZ2436" i="6" s="1"/>
  <c r="AX2436" i="6"/>
  <c r="BA2733" i="6"/>
  <c r="AZ2733" i="6" s="1"/>
  <c r="AY2733" i="6"/>
  <c r="BC2733" i="6" s="1"/>
  <c r="AX2733" i="6"/>
  <c r="BA1093" i="6"/>
  <c r="AZ1093" i="6" s="1"/>
  <c r="AY1093" i="6"/>
  <c r="BC1093" i="6" s="1"/>
  <c r="AX1093" i="6"/>
  <c r="BA855" i="6"/>
  <c r="AZ855" i="6" s="1"/>
  <c r="AX855" i="6"/>
  <c r="AY855" i="6"/>
  <c r="BC855" i="6" s="1"/>
  <c r="BA2812" i="6"/>
  <c r="AZ2812" i="6" s="1"/>
  <c r="AX2812" i="6"/>
  <c r="AY2812" i="6"/>
  <c r="BC2812" i="6" s="1"/>
  <c r="BA347" i="6"/>
  <c r="AZ347" i="6" s="1"/>
  <c r="AX347" i="6"/>
  <c r="AY347" i="6"/>
  <c r="BC347" i="6" s="1"/>
  <c r="AX2157" i="6"/>
  <c r="BA2157" i="6"/>
  <c r="AZ2157" i="6" s="1"/>
  <c r="AY2157" i="6"/>
  <c r="BC2157" i="6" s="1"/>
  <c r="AY1065" i="6"/>
  <c r="BC1065" i="6" s="1"/>
  <c r="AX2817" i="6"/>
  <c r="BA2817" i="6"/>
  <c r="AZ2817" i="6" s="1"/>
  <c r="AX2807" i="6"/>
  <c r="BA2807" i="6"/>
  <c r="AZ2807" i="6" s="1"/>
  <c r="AY442" i="6"/>
  <c r="BC442" i="6" s="1"/>
  <c r="AX442" i="6"/>
  <c r="BA1065" i="6"/>
  <c r="AZ1065" i="6" s="1"/>
  <c r="AY2817" i="6"/>
  <c r="BC2817" i="6" s="1"/>
  <c r="AY2807" i="6"/>
  <c r="BC2807" i="6" s="1"/>
  <c r="BA442" i="6"/>
  <c r="AZ442" i="6" s="1"/>
  <c r="AY2731" i="6"/>
  <c r="BC2731" i="6" s="1"/>
  <c r="AX2731" i="6"/>
  <c r="BA2731" i="6"/>
  <c r="AZ2731" i="6" s="1"/>
  <c r="AY478" i="6"/>
  <c r="BC478" i="6" s="1"/>
  <c r="AX478" i="6"/>
  <c r="BA478" i="6"/>
  <c r="AZ478" i="6" s="1"/>
  <c r="AY1564" i="6"/>
  <c r="BC1564" i="6" s="1"/>
  <c r="AX1564" i="6"/>
  <c r="BA1564" i="6"/>
  <c r="AZ1564" i="6" s="1"/>
  <c r="BA440" i="6"/>
  <c r="AZ440" i="6" s="1"/>
  <c r="AX440" i="6"/>
  <c r="BA1066" i="6"/>
  <c r="AZ1066" i="6" s="1"/>
  <c r="AX1066" i="6"/>
  <c r="AY2730" i="6"/>
  <c r="BC2730" i="6" s="1"/>
  <c r="BA2730" i="6"/>
  <c r="AZ2730" i="6" s="1"/>
  <c r="AX2730" i="6"/>
  <c r="AY1171" i="6"/>
  <c r="BC1171" i="6" s="1"/>
  <c r="BA1171" i="6"/>
  <c r="AZ1171" i="6" s="1"/>
  <c r="AX1171" i="6"/>
  <c r="AY2734" i="6"/>
  <c r="BC2734" i="6" s="1"/>
  <c r="BA2734" i="6"/>
  <c r="AZ2734" i="6" s="1"/>
  <c r="AX2734" i="6"/>
  <c r="BA1174" i="6"/>
  <c r="AZ1174" i="6" s="1"/>
  <c r="AY1174" i="6"/>
  <c r="BC1174" i="6" s="1"/>
  <c r="BA856" i="6"/>
  <c r="AZ856" i="6" s="1"/>
  <c r="AY856" i="6"/>
  <c r="BC856" i="6" s="1"/>
  <c r="AX856" i="6"/>
  <c r="AX2340" i="6"/>
  <c r="BA2340" i="6"/>
  <c r="AZ2340" i="6" s="1"/>
  <c r="AY2340" i="6"/>
  <c r="BC2340" i="6" s="1"/>
  <c r="BA2437" i="6"/>
  <c r="AZ2437" i="6" s="1"/>
  <c r="AY2437" i="6"/>
  <c r="BC2437" i="6" s="1"/>
  <c r="AX2437" i="6"/>
  <c r="AY1712" i="6"/>
  <c r="BC1712" i="6" s="1"/>
  <c r="BA1712" i="6"/>
  <c r="AZ1712" i="6" s="1"/>
  <c r="AX1712" i="6"/>
  <c r="AX2159" i="6"/>
  <c r="AX1174" i="6"/>
  <c r="AX1750" i="6"/>
  <c r="BA1750" i="6"/>
  <c r="AZ1750" i="6" s="1"/>
  <c r="AY1750" i="6"/>
  <c r="BC1750" i="6" s="1"/>
  <c r="BA1175" i="6"/>
  <c r="AZ1175" i="6" s="1"/>
  <c r="AY1175" i="6"/>
  <c r="BC1175" i="6" s="1"/>
  <c r="AX1175" i="6"/>
  <c r="AY1567" i="6"/>
  <c r="BC1567" i="6" s="1"/>
  <c r="BA1567" i="6"/>
  <c r="AZ1567" i="6" s="1"/>
  <c r="AX1567" i="6"/>
  <c r="AX1751" i="6"/>
  <c r="BA1751" i="6"/>
  <c r="AZ1751" i="6" s="1"/>
  <c r="AY1751" i="6"/>
  <c r="BC1751" i="6" s="1"/>
  <c r="BA1707" i="6"/>
  <c r="AZ1707" i="6" s="1"/>
  <c r="AY1707" i="6"/>
  <c r="BC1707" i="6" s="1"/>
  <c r="AX1707" i="6"/>
  <c r="AX332" i="6"/>
  <c r="BA332" i="6"/>
  <c r="AZ332" i="6" s="1"/>
  <c r="AY332" i="6"/>
  <c r="BC332" i="6" s="1"/>
  <c r="BA1565" i="6"/>
  <c r="AZ1565" i="6" s="1"/>
  <c r="AX1565" i="6"/>
  <c r="BA2160" i="6"/>
  <c r="AZ2160" i="6" s="1"/>
  <c r="AY2160" i="6"/>
  <c r="BC2160" i="6" s="1"/>
  <c r="AX2160" i="6"/>
  <c r="AY1094" i="6"/>
  <c r="BC1094" i="6" s="1"/>
  <c r="BA1094" i="6"/>
  <c r="AZ1094" i="6" s="1"/>
  <c r="AX1094" i="6"/>
  <c r="AX2523" i="6"/>
  <c r="BA2523" i="6"/>
  <c r="AZ2523" i="6" s="1"/>
  <c r="AY2523" i="6"/>
  <c r="BC2523" i="6" s="1"/>
  <c r="AY1565" i="6"/>
  <c r="BC1565" i="6" s="1"/>
  <c r="AX2164" i="6"/>
  <c r="BA2164" i="6"/>
  <c r="AZ2164" i="6" s="1"/>
  <c r="AY2164" i="6"/>
  <c r="BC2164" i="6" s="1"/>
  <c r="AY1709" i="6"/>
  <c r="BC1709" i="6" s="1"/>
  <c r="BA1709" i="6"/>
  <c r="AZ1709" i="6" s="1"/>
  <c r="AX1709" i="6"/>
  <c r="AX1566" i="6"/>
  <c r="BA1566" i="6"/>
  <c r="AZ1566" i="6" s="1"/>
  <c r="AX2338" i="6"/>
  <c r="BA2338" i="6"/>
  <c r="AZ2338" i="6" s="1"/>
  <c r="AY2338" i="6"/>
  <c r="BC2338" i="6" s="1"/>
  <c r="BA2435" i="6"/>
  <c r="AZ2435" i="6" s="1"/>
  <c r="AY2435" i="6"/>
  <c r="BC2435" i="6" s="1"/>
  <c r="AX2435" i="6"/>
  <c r="AX1752" i="6"/>
  <c r="BA1752" i="6"/>
  <c r="AZ1752" i="6" s="1"/>
  <c r="AY1752" i="6"/>
  <c r="BC1752" i="6" s="1"/>
  <c r="AX1756" i="6"/>
  <c r="BA1756" i="6"/>
  <c r="AZ1756" i="6" s="1"/>
  <c r="AY1756" i="6"/>
  <c r="BC1756" i="6" s="1"/>
  <c r="BA2808" i="6"/>
  <c r="AZ2808" i="6" s="1"/>
  <c r="AX2808" i="6"/>
  <c r="BA1722" i="6"/>
  <c r="AZ1722" i="6" s="1"/>
  <c r="AX1722" i="6"/>
  <c r="BA2158" i="6"/>
  <c r="AZ2158" i="6" s="1"/>
  <c r="AY2158" i="6"/>
  <c r="BC2158" i="6" s="1"/>
  <c r="AX2158" i="6"/>
  <c r="BA1173" i="6"/>
  <c r="AZ1173" i="6" s="1"/>
  <c r="AY1173" i="6"/>
  <c r="BC1173" i="6" s="1"/>
  <c r="AY1566" i="6"/>
  <c r="BC1566" i="6" s="1"/>
  <c r="AY2339" i="6"/>
  <c r="BC2339" i="6" s="1"/>
  <c r="BA2339" i="6"/>
  <c r="AZ2339" i="6" s="1"/>
  <c r="AX2339" i="6"/>
  <c r="BA1715" i="6"/>
  <c r="AZ1715" i="6" s="1"/>
  <c r="AY1715" i="6"/>
  <c r="BC1715" i="6" s="1"/>
  <c r="AX1715" i="6"/>
  <c r="BA2334" i="6"/>
  <c r="AZ2334" i="6" s="1"/>
  <c r="AY2334" i="6"/>
  <c r="BC2334" i="6" s="1"/>
  <c r="BA1701" i="6"/>
  <c r="AZ1701" i="6" s="1"/>
  <c r="AY1701" i="6"/>
  <c r="BC1701" i="6" s="1"/>
  <c r="AX1755" i="6"/>
  <c r="AX334" i="6"/>
  <c r="BA1708" i="6"/>
  <c r="AZ1708" i="6" s="1"/>
  <c r="AY1708" i="6"/>
  <c r="BC1708" i="6" s="1"/>
  <c r="AX1714" i="6"/>
  <c r="AY1755" i="6"/>
  <c r="BC1755" i="6" s="1"/>
  <c r="AY1714" i="6"/>
  <c r="BC1714" i="6" s="1"/>
  <c r="AX1172" i="6"/>
  <c r="BA334" i="6"/>
  <c r="AZ334" i="6" s="1"/>
  <c r="BA126" i="6"/>
  <c r="AZ126" i="6" s="1"/>
  <c r="AY126" i="6"/>
  <c r="BC126" i="6" s="1"/>
  <c r="AX126" i="6"/>
  <c r="AY830" i="6"/>
  <c r="BC830" i="6" s="1"/>
  <c r="AX830" i="6"/>
  <c r="BA830" i="6"/>
  <c r="AZ830" i="6" s="1"/>
  <c r="BA833" i="6"/>
  <c r="AZ833" i="6" s="1"/>
  <c r="AX833" i="6"/>
  <c r="AY833" i="6"/>
  <c r="BC833" i="6" s="1"/>
  <c r="BA836" i="6"/>
  <c r="AZ836" i="6" s="1"/>
  <c r="AY836" i="6"/>
  <c r="BC836" i="6" s="1"/>
  <c r="AX836" i="6"/>
  <c r="BA127" i="6"/>
  <c r="AZ127" i="6" s="1"/>
  <c r="AX127" i="6"/>
  <c r="AY127" i="6"/>
  <c r="BC127" i="6" s="1"/>
  <c r="BA130" i="6"/>
  <c r="AZ130" i="6" s="1"/>
  <c r="AY130" i="6"/>
  <c r="BC130" i="6" s="1"/>
  <c r="AX130" i="6"/>
  <c r="BA1949" i="6"/>
  <c r="AZ1949" i="6" s="1"/>
  <c r="AY1949" i="6"/>
  <c r="BC1949" i="6" s="1"/>
  <c r="AX1949" i="6"/>
  <c r="BA2461" i="6"/>
  <c r="AZ2461" i="6" s="1"/>
  <c r="AY2461" i="6"/>
  <c r="BC2461" i="6" s="1"/>
  <c r="AX2461" i="6"/>
  <c r="AX837" i="6"/>
  <c r="BA837" i="6"/>
  <c r="AZ837" i="6" s="1"/>
  <c r="AY837" i="6"/>
  <c r="BC837" i="6" s="1"/>
  <c r="BA840" i="6"/>
  <c r="AZ840" i="6" s="1"/>
  <c r="AY840" i="6"/>
  <c r="BC840" i="6" s="1"/>
  <c r="AX840" i="6"/>
  <c r="BA131" i="6"/>
  <c r="AZ131" i="6" s="1"/>
  <c r="AX131" i="6"/>
  <c r="AY131" i="6"/>
  <c r="BC131" i="6" s="1"/>
  <c r="BA142" i="6"/>
  <c r="AZ142" i="6" s="1"/>
  <c r="AY142" i="6"/>
  <c r="BC142" i="6" s="1"/>
  <c r="AX142" i="6"/>
  <c r="AY113" i="6"/>
  <c r="BC113" i="6" s="1"/>
  <c r="AX113" i="6"/>
  <c r="BA113" i="6"/>
  <c r="AZ113" i="6" s="1"/>
  <c r="BA2462" i="6"/>
  <c r="AZ2462" i="6" s="1"/>
  <c r="AY2462" i="6"/>
  <c r="BC2462" i="6" s="1"/>
  <c r="AX2462" i="6"/>
  <c r="AY2832" i="6"/>
  <c r="BC2832" i="6" s="1"/>
  <c r="AX2832" i="6"/>
  <c r="BA2832" i="6"/>
  <c r="AZ2832" i="6" s="1"/>
  <c r="BA114" i="6"/>
  <c r="AZ114" i="6" s="1"/>
  <c r="AX114" i="6"/>
  <c r="AY114" i="6"/>
  <c r="BC114" i="6" s="1"/>
  <c r="AX841" i="6"/>
  <c r="BA841" i="6"/>
  <c r="AZ841" i="6" s="1"/>
  <c r="AY841" i="6"/>
  <c r="BC841" i="6" s="1"/>
  <c r="BA1467" i="6"/>
  <c r="AZ1467" i="6" s="1"/>
  <c r="AY1467" i="6"/>
  <c r="BC1467" i="6" s="1"/>
  <c r="AX1467" i="6"/>
  <c r="AX123" i="6"/>
  <c r="BA123" i="6"/>
  <c r="AZ123" i="6" s="1"/>
  <c r="AY123" i="6"/>
  <c r="BC123" i="6" s="1"/>
  <c r="AY832" i="6"/>
  <c r="BC832" i="6" s="1"/>
  <c r="AX832" i="6"/>
  <c r="BA832" i="6"/>
  <c r="AZ832" i="6" s="1"/>
  <c r="AY1464" i="6"/>
  <c r="BC1464" i="6" s="1"/>
  <c r="AX1464" i="6"/>
  <c r="BA1464" i="6"/>
  <c r="AZ1464" i="6" s="1"/>
  <c r="BA2833" i="6"/>
  <c r="AZ2833" i="6" s="1"/>
  <c r="AY2833" i="6"/>
  <c r="BC2833" i="6" s="1"/>
  <c r="AX2833" i="6"/>
  <c r="BA1469" i="6"/>
  <c r="AZ1469" i="6" s="1"/>
  <c r="AY1469" i="6"/>
  <c r="BC1469" i="6" s="1"/>
  <c r="AX1469" i="6"/>
  <c r="AY831" i="6"/>
  <c r="BC831" i="6" s="1"/>
  <c r="AX831" i="6"/>
  <c r="BA831" i="6"/>
  <c r="AZ831" i="6" s="1"/>
  <c r="AY2183" i="6"/>
  <c r="BC2183" i="6" s="1"/>
  <c r="AX2183" i="6"/>
  <c r="BA2183" i="6"/>
  <c r="AZ2183" i="6" s="1"/>
  <c r="BA2185" i="6"/>
  <c r="AZ2185" i="6" s="1"/>
  <c r="AY2185" i="6"/>
  <c r="BC2185" i="6" s="1"/>
  <c r="AX2185" i="6"/>
  <c r="BA116" i="6"/>
  <c r="AZ116" i="6" s="1"/>
  <c r="AY116" i="6"/>
  <c r="BC116" i="6" s="1"/>
  <c r="AX116" i="6"/>
  <c r="AY2184" i="6"/>
  <c r="BC2184" i="6" s="1"/>
  <c r="AX2184" i="6"/>
  <c r="BA2184" i="6"/>
  <c r="AZ2184" i="6" s="1"/>
  <c r="BA2642" i="6"/>
  <c r="AZ2642" i="6" s="1"/>
  <c r="AY2642" i="6"/>
  <c r="BC2642" i="6" s="1"/>
  <c r="AX2642" i="6"/>
  <c r="BA2353" i="6"/>
  <c r="AZ2353" i="6" s="1"/>
  <c r="AX2353" i="6"/>
  <c r="AY2353" i="6"/>
  <c r="BC2353" i="6" s="1"/>
  <c r="BA118" i="6"/>
  <c r="AZ118" i="6" s="1"/>
  <c r="AY118" i="6"/>
  <c r="BC118" i="6" s="1"/>
  <c r="AX118" i="6"/>
  <c r="AY1947" i="6"/>
  <c r="BC1947" i="6" s="1"/>
  <c r="AX1947" i="6"/>
  <c r="BA1947" i="6"/>
  <c r="AZ1947" i="6" s="1"/>
  <c r="BA2352" i="6"/>
  <c r="AZ2352" i="6" s="1"/>
  <c r="AY2352" i="6"/>
  <c r="BC2352" i="6" s="1"/>
  <c r="AX2352" i="6"/>
  <c r="BA1948" i="6"/>
  <c r="AZ1948" i="6" s="1"/>
  <c r="AY1948" i="6"/>
  <c r="BC1948" i="6" s="1"/>
  <c r="AX1948" i="6"/>
  <c r="AX119" i="6"/>
  <c r="BA119" i="6"/>
  <c r="AZ119" i="6" s="1"/>
  <c r="AY119" i="6"/>
  <c r="BC119" i="6" s="1"/>
  <c r="BA122" i="6"/>
  <c r="AZ122" i="6" s="1"/>
  <c r="AY122" i="6"/>
  <c r="BC122" i="6" s="1"/>
  <c r="AX122" i="6"/>
  <c r="AX2641" i="6"/>
  <c r="AX1950" i="6"/>
  <c r="AX838" i="6"/>
  <c r="AX1468" i="6"/>
  <c r="BA139" i="6"/>
  <c r="AZ139" i="6" s="1"/>
  <c r="AY139" i="6"/>
  <c r="BC139" i="6" s="1"/>
  <c r="BA146" i="6"/>
  <c r="AZ146" i="6" s="1"/>
  <c r="AY146" i="6"/>
  <c r="BC146" i="6" s="1"/>
  <c r="AX146" i="6"/>
  <c r="BA154" i="6"/>
  <c r="AZ154" i="6" s="1"/>
  <c r="AY154" i="6"/>
  <c r="BC154" i="6" s="1"/>
  <c r="AX154" i="6"/>
  <c r="BA162" i="6"/>
  <c r="AZ162" i="6" s="1"/>
  <c r="AY162" i="6"/>
  <c r="BC162" i="6" s="1"/>
  <c r="AX162" i="6"/>
  <c r="BA170" i="6"/>
  <c r="AZ170" i="6" s="1"/>
  <c r="AY170" i="6"/>
  <c r="BC170" i="6" s="1"/>
  <c r="AX170" i="6"/>
  <c r="BA1837" i="6"/>
  <c r="AZ1837" i="6" s="1"/>
  <c r="AY1837" i="6"/>
  <c r="BC1837" i="6" s="1"/>
  <c r="AX1837" i="6"/>
  <c r="BA1371" i="6"/>
  <c r="AZ1371" i="6" s="1"/>
  <c r="AY1371" i="6"/>
  <c r="BC1371" i="6" s="1"/>
  <c r="AX1371" i="6"/>
  <c r="AX834" i="6"/>
  <c r="BA141" i="6"/>
  <c r="AZ141" i="6" s="1"/>
  <c r="AY141" i="6"/>
  <c r="BC141" i="6" s="1"/>
  <c r="AY2641" i="6"/>
  <c r="BC2641" i="6" s="1"/>
  <c r="BA2831" i="6"/>
  <c r="AZ2831" i="6" s="1"/>
  <c r="AY1950" i="6"/>
  <c r="BC1950" i="6" s="1"/>
  <c r="AY135" i="6"/>
  <c r="BC135" i="6" s="1"/>
  <c r="BA137" i="6"/>
  <c r="AZ137" i="6" s="1"/>
  <c r="AY137" i="6"/>
  <c r="BC137" i="6" s="1"/>
  <c r="AX139" i="6"/>
  <c r="AX141" i="6"/>
  <c r="BA149" i="6"/>
  <c r="AZ149" i="6" s="1"/>
  <c r="AY149" i="6"/>
  <c r="BC149" i="6" s="1"/>
  <c r="BA157" i="6"/>
  <c r="AZ157" i="6" s="1"/>
  <c r="AY157" i="6"/>
  <c r="BC157" i="6" s="1"/>
  <c r="BA165" i="6"/>
  <c r="AZ165" i="6" s="1"/>
  <c r="AY165" i="6"/>
  <c r="BC165" i="6" s="1"/>
  <c r="BA173" i="6"/>
  <c r="AZ173" i="6" s="1"/>
  <c r="AY173" i="6"/>
  <c r="BC173" i="6" s="1"/>
  <c r="BA1856" i="6"/>
  <c r="AZ1856" i="6" s="1"/>
  <c r="AY1856" i="6"/>
  <c r="BC1856" i="6" s="1"/>
  <c r="AX2095" i="6"/>
  <c r="BA2095" i="6"/>
  <c r="AZ2095" i="6" s="1"/>
  <c r="AY2103" i="6"/>
  <c r="BC2103" i="6" s="1"/>
  <c r="AX2103" i="6"/>
  <c r="BA2103" i="6"/>
  <c r="AZ2103" i="6" s="1"/>
  <c r="BA2109" i="6"/>
  <c r="AZ2109" i="6" s="1"/>
  <c r="AY2109" i="6"/>
  <c r="BC2109" i="6" s="1"/>
  <c r="AX2109" i="6"/>
  <c r="BA1852" i="6"/>
  <c r="AZ1852" i="6" s="1"/>
  <c r="AY1852" i="6"/>
  <c r="BC1852" i="6" s="1"/>
  <c r="AX1852" i="6"/>
  <c r="BA2287" i="6"/>
  <c r="AZ2287" i="6" s="1"/>
  <c r="AY2287" i="6"/>
  <c r="BC2287" i="6" s="1"/>
  <c r="AX2287" i="6"/>
  <c r="BA2298" i="6"/>
  <c r="AZ2298" i="6" s="1"/>
  <c r="AY2298" i="6"/>
  <c r="BC2298" i="6" s="1"/>
  <c r="AX2298" i="6"/>
  <c r="BA2314" i="6"/>
  <c r="AZ2314" i="6" s="1"/>
  <c r="AY2314" i="6"/>
  <c r="BC2314" i="6" s="1"/>
  <c r="AX2314" i="6"/>
  <c r="BA2433" i="6"/>
  <c r="AZ2433" i="6" s="1"/>
  <c r="AY2433" i="6"/>
  <c r="BC2433" i="6" s="1"/>
  <c r="AX2433" i="6"/>
  <c r="AX2460" i="6"/>
  <c r="AX2834" i="6"/>
  <c r="BA147" i="6"/>
  <c r="AZ147" i="6" s="1"/>
  <c r="AY147" i="6"/>
  <c r="BC147" i="6" s="1"/>
  <c r="BA155" i="6"/>
  <c r="AZ155" i="6" s="1"/>
  <c r="AY155" i="6"/>
  <c r="BC155" i="6" s="1"/>
  <c r="BA163" i="6"/>
  <c r="AZ163" i="6" s="1"/>
  <c r="AY163" i="6"/>
  <c r="BC163" i="6" s="1"/>
  <c r="BA171" i="6"/>
  <c r="AZ171" i="6" s="1"/>
  <c r="AY171" i="6"/>
  <c r="BC171" i="6" s="1"/>
  <c r="BA1853" i="6"/>
  <c r="AZ1853" i="6" s="1"/>
  <c r="AY1853" i="6"/>
  <c r="BC1853" i="6" s="1"/>
  <c r="BA2093" i="6"/>
  <c r="AZ2093" i="6" s="1"/>
  <c r="AY2093" i="6"/>
  <c r="BC2093" i="6" s="1"/>
  <c r="BA2096" i="6"/>
  <c r="AZ2096" i="6" s="1"/>
  <c r="AY2096" i="6"/>
  <c r="BC2096" i="6" s="1"/>
  <c r="AX2096" i="6"/>
  <c r="AY2100" i="6"/>
  <c r="BC2100" i="6" s="1"/>
  <c r="BA2100" i="6"/>
  <c r="AZ2100" i="6" s="1"/>
  <c r="AX2100" i="6"/>
  <c r="BA144" i="6"/>
  <c r="AZ144" i="6" s="1"/>
  <c r="AY144" i="6"/>
  <c r="BC144" i="6" s="1"/>
  <c r="AX144" i="6"/>
  <c r="BA160" i="6"/>
  <c r="AZ160" i="6" s="1"/>
  <c r="AY160" i="6"/>
  <c r="BC160" i="6" s="1"/>
  <c r="AX160" i="6"/>
  <c r="BA1858" i="6"/>
  <c r="AZ1858" i="6" s="1"/>
  <c r="AY1858" i="6"/>
  <c r="BC1858" i="6" s="1"/>
  <c r="AX1858" i="6"/>
  <c r="BA2110" i="6"/>
  <c r="AZ2110" i="6" s="1"/>
  <c r="AY2110" i="6"/>
  <c r="BC2110" i="6" s="1"/>
  <c r="AX2110" i="6"/>
  <c r="BA2118" i="6"/>
  <c r="AZ2118" i="6" s="1"/>
  <c r="AY2118" i="6"/>
  <c r="BC2118" i="6" s="1"/>
  <c r="AX2118" i="6"/>
  <c r="BA2292" i="6"/>
  <c r="AZ2292" i="6" s="1"/>
  <c r="AY2292" i="6"/>
  <c r="BC2292" i="6" s="1"/>
  <c r="AX2292" i="6"/>
  <c r="BA2306" i="6"/>
  <c r="AZ2306" i="6" s="1"/>
  <c r="AY2306" i="6"/>
  <c r="BC2306" i="6" s="1"/>
  <c r="AX2306" i="6"/>
  <c r="BA2619" i="6"/>
  <c r="AZ2619" i="6" s="1"/>
  <c r="AY2619" i="6"/>
  <c r="BC2619" i="6" s="1"/>
  <c r="AX2619" i="6"/>
  <c r="AX134" i="6"/>
  <c r="AY2460" i="6"/>
  <c r="BC2460" i="6" s="1"/>
  <c r="AY2834" i="6"/>
  <c r="BC2834" i="6" s="1"/>
  <c r="AX136" i="6"/>
  <c r="BA140" i="6"/>
  <c r="AZ140" i="6" s="1"/>
  <c r="AY140" i="6"/>
  <c r="BC140" i="6" s="1"/>
  <c r="AX147" i="6"/>
  <c r="BA150" i="6"/>
  <c r="AZ150" i="6" s="1"/>
  <c r="AY150" i="6"/>
  <c r="BC150" i="6" s="1"/>
  <c r="AX150" i="6"/>
  <c r="AX155" i="6"/>
  <c r="BA158" i="6"/>
  <c r="AZ158" i="6" s="1"/>
  <c r="AY158" i="6"/>
  <c r="BC158" i="6" s="1"/>
  <c r="AX158" i="6"/>
  <c r="AX163" i="6"/>
  <c r="BA166" i="6"/>
  <c r="AZ166" i="6" s="1"/>
  <c r="AY166" i="6"/>
  <c r="BC166" i="6" s="1"/>
  <c r="AX166" i="6"/>
  <c r="AX171" i="6"/>
  <c r="BA174" i="6"/>
  <c r="AZ174" i="6" s="1"/>
  <c r="AY174" i="6"/>
  <c r="BC174" i="6" s="1"/>
  <c r="AX174" i="6"/>
  <c r="AX1853" i="6"/>
  <c r="BA1367" i="6"/>
  <c r="AZ1367" i="6" s="1"/>
  <c r="AY1367" i="6"/>
  <c r="BC1367" i="6" s="1"/>
  <c r="AX1367" i="6"/>
  <c r="AX2093" i="6"/>
  <c r="BA2105" i="6"/>
  <c r="AZ2105" i="6" s="1"/>
  <c r="AY2105" i="6"/>
  <c r="BC2105" i="6" s="1"/>
  <c r="AX2105" i="6"/>
  <c r="BA2112" i="6"/>
  <c r="AZ2112" i="6" s="1"/>
  <c r="AY2112" i="6"/>
  <c r="BC2112" i="6" s="1"/>
  <c r="AX2112" i="6"/>
  <c r="BA152" i="6"/>
  <c r="AZ152" i="6" s="1"/>
  <c r="AY152" i="6"/>
  <c r="BC152" i="6" s="1"/>
  <c r="AX152" i="6"/>
  <c r="BA168" i="6"/>
  <c r="AZ168" i="6" s="1"/>
  <c r="AY168" i="6"/>
  <c r="BC168" i="6" s="1"/>
  <c r="AX168" i="6"/>
  <c r="AX133" i="6"/>
  <c r="BA133" i="6"/>
  <c r="AZ133" i="6" s="1"/>
  <c r="BA134" i="6"/>
  <c r="AZ134" i="6" s="1"/>
  <c r="BA145" i="6"/>
  <c r="AZ145" i="6" s="1"/>
  <c r="AY145" i="6"/>
  <c r="BC145" i="6" s="1"/>
  <c r="BA153" i="6"/>
  <c r="AZ153" i="6" s="1"/>
  <c r="AY153" i="6"/>
  <c r="BC153" i="6" s="1"/>
  <c r="BA161" i="6"/>
  <c r="AZ161" i="6" s="1"/>
  <c r="AY161" i="6"/>
  <c r="BC161" i="6" s="1"/>
  <c r="BA169" i="6"/>
  <c r="AZ169" i="6" s="1"/>
  <c r="AY169" i="6"/>
  <c r="BC169" i="6" s="1"/>
  <c r="BA1836" i="6"/>
  <c r="AZ1836" i="6" s="1"/>
  <c r="AY1836" i="6"/>
  <c r="BC1836" i="6" s="1"/>
  <c r="BA2092" i="6"/>
  <c r="AZ2092" i="6" s="1"/>
  <c r="AY2092" i="6"/>
  <c r="BC2092" i="6" s="1"/>
  <c r="AY2097" i="6"/>
  <c r="BC2097" i="6" s="1"/>
  <c r="AX2097" i="6"/>
  <c r="BA2097" i="6"/>
  <c r="AZ2097" i="6" s="1"/>
  <c r="BA2106" i="6"/>
  <c r="AZ2106" i="6" s="1"/>
  <c r="AY2106" i="6"/>
  <c r="BC2106" i="6" s="1"/>
  <c r="AX2106" i="6"/>
  <c r="BA138" i="6"/>
  <c r="AZ138" i="6" s="1"/>
  <c r="AY138" i="6"/>
  <c r="BC138" i="6" s="1"/>
  <c r="AX117" i="6"/>
  <c r="AX121" i="6"/>
  <c r="AX125" i="6"/>
  <c r="AX129" i="6"/>
  <c r="AY133" i="6"/>
  <c r="BC133" i="6" s="1"/>
  <c r="AX138" i="6"/>
  <c r="AX145" i="6"/>
  <c r="BA148" i="6"/>
  <c r="AZ148" i="6" s="1"/>
  <c r="AY148" i="6"/>
  <c r="BC148" i="6" s="1"/>
  <c r="AX148" i="6"/>
  <c r="AX153" i="6"/>
  <c r="BA156" i="6"/>
  <c r="AZ156" i="6" s="1"/>
  <c r="AY156" i="6"/>
  <c r="BC156" i="6" s="1"/>
  <c r="AX156" i="6"/>
  <c r="AX161" i="6"/>
  <c r="BA164" i="6"/>
  <c r="AZ164" i="6" s="1"/>
  <c r="AY164" i="6"/>
  <c r="BC164" i="6" s="1"/>
  <c r="AX164" i="6"/>
  <c r="AX169" i="6"/>
  <c r="BA172" i="6"/>
  <c r="AZ172" i="6" s="1"/>
  <c r="AY172" i="6"/>
  <c r="BC172" i="6" s="1"/>
  <c r="AX172" i="6"/>
  <c r="AX1836" i="6"/>
  <c r="BA1854" i="6"/>
  <c r="AZ1854" i="6" s="1"/>
  <c r="AY1854" i="6"/>
  <c r="BC1854" i="6" s="1"/>
  <c r="AX1854" i="6"/>
  <c r="AX2092" i="6"/>
  <c r="BA2094" i="6"/>
  <c r="AZ2094" i="6" s="1"/>
  <c r="AY2094" i="6"/>
  <c r="BC2094" i="6" s="1"/>
  <c r="AX2094" i="6"/>
  <c r="BA2098" i="6"/>
  <c r="AZ2098" i="6" s="1"/>
  <c r="AY2098" i="6"/>
  <c r="BC2098" i="6" s="1"/>
  <c r="AX2098" i="6"/>
  <c r="BA143" i="6"/>
  <c r="AZ143" i="6" s="1"/>
  <c r="AY143" i="6"/>
  <c r="BC143" i="6" s="1"/>
  <c r="BA151" i="6"/>
  <c r="AZ151" i="6" s="1"/>
  <c r="AY151" i="6"/>
  <c r="BC151" i="6" s="1"/>
  <c r="BA159" i="6"/>
  <c r="AZ159" i="6" s="1"/>
  <c r="AY159" i="6"/>
  <c r="BC159" i="6" s="1"/>
  <c r="BA167" i="6"/>
  <c r="AZ167" i="6" s="1"/>
  <c r="AY167" i="6"/>
  <c r="BC167" i="6" s="1"/>
  <c r="BA175" i="6"/>
  <c r="AZ175" i="6" s="1"/>
  <c r="AY175" i="6"/>
  <c r="BC175" i="6" s="1"/>
  <c r="BA1857" i="6"/>
  <c r="AZ1857" i="6" s="1"/>
  <c r="AY1857" i="6"/>
  <c r="BC1857" i="6" s="1"/>
  <c r="BA2102" i="6"/>
  <c r="AZ2102" i="6" s="1"/>
  <c r="AY2102" i="6"/>
  <c r="BC2102" i="6" s="1"/>
  <c r="AX2102" i="6"/>
  <c r="AX2099" i="6"/>
  <c r="BA2099" i="6"/>
  <c r="AZ2099" i="6" s="1"/>
  <c r="BA2101" i="6"/>
  <c r="AZ2101" i="6" s="1"/>
  <c r="BA2116" i="6"/>
  <c r="AZ2116" i="6" s="1"/>
  <c r="AY2116" i="6"/>
  <c r="BC2116" i="6" s="1"/>
  <c r="AX2116" i="6"/>
  <c r="BA2285" i="6"/>
  <c r="AZ2285" i="6" s="1"/>
  <c r="AY2285" i="6"/>
  <c r="BC2285" i="6" s="1"/>
  <c r="AX2285" i="6"/>
  <c r="BA2290" i="6"/>
  <c r="AZ2290" i="6" s="1"/>
  <c r="AY2290" i="6"/>
  <c r="BC2290" i="6" s="1"/>
  <c r="AX2290" i="6"/>
  <c r="BA1394" i="6"/>
  <c r="AZ1394" i="6" s="1"/>
  <c r="AY1394" i="6"/>
  <c r="BC1394" i="6" s="1"/>
  <c r="AX1394" i="6"/>
  <c r="BA2304" i="6"/>
  <c r="AZ2304" i="6" s="1"/>
  <c r="AY2304" i="6"/>
  <c r="BC2304" i="6" s="1"/>
  <c r="AX2304" i="6"/>
  <c r="BA2312" i="6"/>
  <c r="AZ2312" i="6" s="1"/>
  <c r="AY2312" i="6"/>
  <c r="BC2312" i="6" s="1"/>
  <c r="AX2312" i="6"/>
  <c r="BA2432" i="6"/>
  <c r="AZ2432" i="6" s="1"/>
  <c r="AY2432" i="6"/>
  <c r="BC2432" i="6" s="1"/>
  <c r="AX2432" i="6"/>
  <c r="BA1418" i="6"/>
  <c r="AZ1418" i="6" s="1"/>
  <c r="AY1418" i="6"/>
  <c r="BC1418" i="6" s="1"/>
  <c r="AX1418" i="6"/>
  <c r="BA2117" i="6"/>
  <c r="AZ2117" i="6" s="1"/>
  <c r="AY2117" i="6"/>
  <c r="BC2117" i="6" s="1"/>
  <c r="AX2117" i="6"/>
  <c r="BA2286" i="6"/>
  <c r="AZ2286" i="6" s="1"/>
  <c r="AY2286" i="6"/>
  <c r="BC2286" i="6" s="1"/>
  <c r="AX2286" i="6"/>
  <c r="BA2291" i="6"/>
  <c r="AZ2291" i="6" s="1"/>
  <c r="AY2291" i="6"/>
  <c r="BC2291" i="6" s="1"/>
  <c r="AX2291" i="6"/>
  <c r="BA2297" i="6"/>
  <c r="AZ2297" i="6" s="1"/>
  <c r="AY2297" i="6"/>
  <c r="BC2297" i="6" s="1"/>
  <c r="AX2297" i="6"/>
  <c r="BA2305" i="6"/>
  <c r="AZ2305" i="6" s="1"/>
  <c r="AY2305" i="6"/>
  <c r="BC2305" i="6" s="1"/>
  <c r="AX2305" i="6"/>
  <c r="BA2313" i="6"/>
  <c r="AZ2313" i="6" s="1"/>
  <c r="AY2313" i="6"/>
  <c r="BC2313" i="6" s="1"/>
  <c r="AX2313" i="6"/>
  <c r="BA1410" i="6"/>
  <c r="AZ1410" i="6" s="1"/>
  <c r="AY1410" i="6"/>
  <c r="BC1410" i="6" s="1"/>
  <c r="AX1410" i="6"/>
  <c r="BA2534" i="6"/>
  <c r="AZ2534" i="6" s="1"/>
  <c r="AY2534" i="6"/>
  <c r="BC2534" i="6" s="1"/>
  <c r="AX2534" i="6"/>
  <c r="BA2111" i="6"/>
  <c r="AZ2111" i="6" s="1"/>
  <c r="AY2111" i="6"/>
  <c r="BC2111" i="6" s="1"/>
  <c r="AX2111" i="6"/>
  <c r="BA2119" i="6"/>
  <c r="AZ2119" i="6" s="1"/>
  <c r="AY2119" i="6"/>
  <c r="BC2119" i="6" s="1"/>
  <c r="AX2119" i="6"/>
  <c r="BA2288" i="6"/>
  <c r="AZ2288" i="6" s="1"/>
  <c r="AY2288" i="6"/>
  <c r="BC2288" i="6" s="1"/>
  <c r="AX2288" i="6"/>
  <c r="BA2293" i="6"/>
  <c r="AZ2293" i="6" s="1"/>
  <c r="AY2293" i="6"/>
  <c r="BC2293" i="6" s="1"/>
  <c r="AX2293" i="6"/>
  <c r="BA2299" i="6"/>
  <c r="AZ2299" i="6" s="1"/>
  <c r="AY2299" i="6"/>
  <c r="BC2299" i="6" s="1"/>
  <c r="AX2299" i="6"/>
  <c r="BA2307" i="6"/>
  <c r="AZ2307" i="6" s="1"/>
  <c r="AY2307" i="6"/>
  <c r="BC2307" i="6" s="1"/>
  <c r="AX2307" i="6"/>
  <c r="BA2315" i="6"/>
  <c r="AZ2315" i="6" s="1"/>
  <c r="AY2315" i="6"/>
  <c r="BC2315" i="6" s="1"/>
  <c r="AX2315" i="6"/>
  <c r="BA2434" i="6"/>
  <c r="AZ2434" i="6" s="1"/>
  <c r="AY2434" i="6"/>
  <c r="BC2434" i="6" s="1"/>
  <c r="AX2434" i="6"/>
  <c r="BA2620" i="6"/>
  <c r="AZ2620" i="6" s="1"/>
  <c r="AY2620" i="6"/>
  <c r="BC2620" i="6" s="1"/>
  <c r="AX2620" i="6"/>
  <c r="BA2120" i="6"/>
  <c r="AZ2120" i="6" s="1"/>
  <c r="AY2120" i="6"/>
  <c r="BC2120" i="6" s="1"/>
  <c r="AX2120" i="6"/>
  <c r="BA1380" i="6"/>
  <c r="AZ1380" i="6" s="1"/>
  <c r="AY1380" i="6"/>
  <c r="BC1380" i="6" s="1"/>
  <c r="AX1380" i="6"/>
  <c r="BA2294" i="6"/>
  <c r="AZ2294" i="6" s="1"/>
  <c r="AY2294" i="6"/>
  <c r="BC2294" i="6" s="1"/>
  <c r="AX2294" i="6"/>
  <c r="BA2300" i="6"/>
  <c r="AZ2300" i="6" s="1"/>
  <c r="AY2300" i="6"/>
  <c r="BC2300" i="6" s="1"/>
  <c r="AX2300" i="6"/>
  <c r="BA2308" i="6"/>
  <c r="AZ2308" i="6" s="1"/>
  <c r="AY2308" i="6"/>
  <c r="BC2308" i="6" s="1"/>
  <c r="AX2308" i="6"/>
  <c r="BA2316" i="6"/>
  <c r="AZ2316" i="6" s="1"/>
  <c r="AY2316" i="6"/>
  <c r="BC2316" i="6" s="1"/>
  <c r="AX2316" i="6"/>
  <c r="BA2530" i="6"/>
  <c r="AZ2530" i="6" s="1"/>
  <c r="AY2530" i="6"/>
  <c r="BC2530" i="6" s="1"/>
  <c r="AX2530" i="6"/>
  <c r="BA2621" i="6"/>
  <c r="AZ2621" i="6" s="1"/>
  <c r="AY2621" i="6"/>
  <c r="BC2621" i="6" s="1"/>
  <c r="AX2621" i="6"/>
  <c r="AX2107" i="6"/>
  <c r="BA2107" i="6"/>
  <c r="AZ2107" i="6" s="1"/>
  <c r="BA2113" i="6"/>
  <c r="AZ2113" i="6" s="1"/>
  <c r="AY2113" i="6"/>
  <c r="BC2113" i="6" s="1"/>
  <c r="AX2113" i="6"/>
  <c r="BA2121" i="6"/>
  <c r="AZ2121" i="6" s="1"/>
  <c r="AY2121" i="6"/>
  <c r="BC2121" i="6" s="1"/>
  <c r="AX2121" i="6"/>
  <c r="BA2289" i="6"/>
  <c r="AZ2289" i="6" s="1"/>
  <c r="AY2289" i="6"/>
  <c r="BC2289" i="6" s="1"/>
  <c r="AX2289" i="6"/>
  <c r="BA1388" i="6"/>
  <c r="AZ1388" i="6" s="1"/>
  <c r="AY1388" i="6"/>
  <c r="BC1388" i="6" s="1"/>
  <c r="AX1388" i="6"/>
  <c r="BA2301" i="6"/>
  <c r="AZ2301" i="6" s="1"/>
  <c r="AY2301" i="6"/>
  <c r="BC2301" i="6" s="1"/>
  <c r="AX2301" i="6"/>
  <c r="BA2309" i="6"/>
  <c r="AZ2309" i="6" s="1"/>
  <c r="AY2309" i="6"/>
  <c r="BC2309" i="6" s="1"/>
  <c r="AX2309" i="6"/>
  <c r="BA2317" i="6"/>
  <c r="AZ2317" i="6" s="1"/>
  <c r="AY2317" i="6"/>
  <c r="BC2317" i="6" s="1"/>
  <c r="AX2317" i="6"/>
  <c r="BA2531" i="6"/>
  <c r="AZ2531" i="6" s="1"/>
  <c r="AY2531" i="6"/>
  <c r="BC2531" i="6" s="1"/>
  <c r="AX2531" i="6"/>
  <c r="BA2622" i="6"/>
  <c r="AZ2622" i="6" s="1"/>
  <c r="AY2622" i="6"/>
  <c r="BC2622" i="6" s="1"/>
  <c r="AX2622" i="6"/>
  <c r="BA2104" i="6"/>
  <c r="AZ2104" i="6" s="1"/>
  <c r="AY2104" i="6"/>
  <c r="BC2104" i="6" s="1"/>
  <c r="AX2104" i="6"/>
  <c r="AY2107" i="6"/>
  <c r="BC2107" i="6" s="1"/>
  <c r="BA2114" i="6"/>
  <c r="AZ2114" i="6" s="1"/>
  <c r="AY2114" i="6"/>
  <c r="BC2114" i="6" s="1"/>
  <c r="AX2114" i="6"/>
  <c r="BA2122" i="6"/>
  <c r="AZ2122" i="6" s="1"/>
  <c r="AY2122" i="6"/>
  <c r="BC2122" i="6" s="1"/>
  <c r="AX2122" i="6"/>
  <c r="BA1382" i="6"/>
  <c r="AZ1382" i="6" s="1"/>
  <c r="AY1382" i="6"/>
  <c r="BC1382" i="6" s="1"/>
  <c r="AX1382" i="6"/>
  <c r="BA2295" i="6"/>
  <c r="AZ2295" i="6" s="1"/>
  <c r="AY2295" i="6"/>
  <c r="BC2295" i="6" s="1"/>
  <c r="AX2295" i="6"/>
  <c r="BA2302" i="6"/>
  <c r="AZ2302" i="6" s="1"/>
  <c r="AY2302" i="6"/>
  <c r="BC2302" i="6" s="1"/>
  <c r="AX2302" i="6"/>
  <c r="BA2310" i="6"/>
  <c r="AZ2310" i="6" s="1"/>
  <c r="AY2310" i="6"/>
  <c r="BC2310" i="6" s="1"/>
  <c r="AX2310" i="6"/>
  <c r="BA2430" i="6"/>
  <c r="AZ2430" i="6" s="1"/>
  <c r="AY2430" i="6"/>
  <c r="BC2430" i="6" s="1"/>
  <c r="AX2430" i="6"/>
  <c r="BA2532" i="6"/>
  <c r="AZ2532" i="6" s="1"/>
  <c r="AY2532" i="6"/>
  <c r="BC2532" i="6" s="1"/>
  <c r="AX2532" i="6"/>
  <c r="BA2706" i="6"/>
  <c r="AZ2706" i="6" s="1"/>
  <c r="AY2706" i="6"/>
  <c r="BC2706" i="6" s="1"/>
  <c r="AX2706" i="6"/>
  <c r="AY2101" i="6"/>
  <c r="BC2101" i="6" s="1"/>
  <c r="AX2108" i="6"/>
  <c r="AY2108" i="6"/>
  <c r="BC2108" i="6" s="1"/>
  <c r="BA2115" i="6"/>
  <c r="AZ2115" i="6" s="1"/>
  <c r="AY2115" i="6"/>
  <c r="BC2115" i="6" s="1"/>
  <c r="AX2115" i="6"/>
  <c r="BA2123" i="6"/>
  <c r="AZ2123" i="6" s="1"/>
  <c r="AY2123" i="6"/>
  <c r="BC2123" i="6" s="1"/>
  <c r="AX2123" i="6"/>
  <c r="BA1383" i="6"/>
  <c r="AZ1383" i="6" s="1"/>
  <c r="AY1383" i="6"/>
  <c r="BC1383" i="6" s="1"/>
  <c r="AX1383" i="6"/>
  <c r="BA2296" i="6"/>
  <c r="AZ2296" i="6" s="1"/>
  <c r="AY2296" i="6"/>
  <c r="BC2296" i="6" s="1"/>
  <c r="AX2296" i="6"/>
  <c r="BA2303" i="6"/>
  <c r="AZ2303" i="6" s="1"/>
  <c r="AY2303" i="6"/>
  <c r="BC2303" i="6" s="1"/>
  <c r="AX2303" i="6"/>
  <c r="BA2311" i="6"/>
  <c r="AZ2311" i="6" s="1"/>
  <c r="AY2311" i="6"/>
  <c r="BC2311" i="6" s="1"/>
  <c r="AX2311" i="6"/>
  <c r="BA2431" i="6"/>
  <c r="AZ2431" i="6" s="1"/>
  <c r="AY2431" i="6"/>
  <c r="BC2431" i="6" s="1"/>
  <c r="AX2431" i="6"/>
  <c r="BA2533" i="6"/>
  <c r="AZ2533" i="6" s="1"/>
  <c r="AY2533" i="6"/>
  <c r="BC2533" i="6" s="1"/>
  <c r="AX2533" i="6"/>
  <c r="BA2707" i="6"/>
  <c r="AZ2707" i="6" s="1"/>
  <c r="AY2707" i="6"/>
  <c r="BC2707" i="6" s="1"/>
  <c r="AX2707" i="6"/>
  <c r="AD1" i="6" l="1"/>
  <c r="AV2648" i="6" l="1"/>
  <c r="AW2648" i="6" s="1" a="1"/>
  <c r="AW2648" i="6" s="1"/>
  <c r="AV2647" i="6"/>
  <c r="AW2647" i="6" s="1" a="1"/>
  <c r="AW2647" i="6" s="1"/>
  <c r="AV900" i="6"/>
  <c r="AW900" i="6" s="1" a="1"/>
  <c r="AW900" i="6" s="1"/>
  <c r="AV899" i="6"/>
  <c r="AW899" i="6" s="1" a="1"/>
  <c r="AW899" i="6" s="1"/>
  <c r="AV898" i="6"/>
  <c r="AW898" i="6" s="1" a="1"/>
  <c r="AW898" i="6" s="1"/>
  <c r="AV880" i="6"/>
  <c r="AW880" i="6" s="1" a="1"/>
  <c r="AW880" i="6" s="1"/>
  <c r="AV881" i="6"/>
  <c r="AW881" i="6" s="1" a="1"/>
  <c r="AW881" i="6" s="1"/>
  <c r="AV879" i="6"/>
  <c r="AW879" i="6" s="1" a="1"/>
  <c r="AW879" i="6" s="1"/>
  <c r="AV240" i="6"/>
  <c r="AW240" i="6" s="1" a="1"/>
  <c r="AW240" i="6" s="1"/>
  <c r="AV235" i="6"/>
  <c r="AW235" i="6" s="1" a="1"/>
  <c r="AW235" i="6" s="1"/>
  <c r="AV239" i="6"/>
  <c r="AW239" i="6" s="1" a="1"/>
  <c r="AW239" i="6" s="1"/>
  <c r="AY239" i="6" s="1"/>
  <c r="BC239" i="6" s="1"/>
  <c r="AV936" i="6"/>
  <c r="AW936" i="6" s="1" a="1"/>
  <c r="AW936" i="6" s="1"/>
  <c r="AV937" i="6"/>
  <c r="AW937" i="6" s="1" a="1"/>
  <c r="AW937" i="6" s="1"/>
  <c r="AV1576" i="6"/>
  <c r="AW1576" i="6" s="1" a="1"/>
  <c r="AW1576" i="6" s="1"/>
  <c r="AY1576" i="6" s="1"/>
  <c r="BC1576" i="6" s="1"/>
  <c r="AV1577" i="6"/>
  <c r="AW1577" i="6" s="1" a="1"/>
  <c r="AW1577" i="6" s="1"/>
  <c r="AV938" i="6"/>
  <c r="AW938" i="6" s="1" a="1"/>
  <c r="AW938" i="6" s="1"/>
  <c r="AV939" i="6"/>
  <c r="AW939" i="6" s="1" a="1"/>
  <c r="AW939" i="6" s="1"/>
  <c r="AY939" i="6" s="1"/>
  <c r="BC939" i="6" s="1"/>
  <c r="AV940" i="6"/>
  <c r="AW940" i="6" s="1" a="1"/>
  <c r="AW940" i="6" s="1"/>
  <c r="AY940" i="6" s="1"/>
  <c r="BC940" i="6" s="1"/>
  <c r="AV941" i="6"/>
  <c r="AW941" i="6" s="1" a="1"/>
  <c r="AW941" i="6" s="1"/>
  <c r="AX941" i="6" s="1"/>
  <c r="AV216" i="6"/>
  <c r="AW216" i="6" s="1" a="1"/>
  <c r="AW216" i="6" s="1"/>
  <c r="AV894" i="6"/>
  <c r="AW894" i="6" s="1" a="1"/>
  <c r="AW894" i="6" s="1"/>
  <c r="AY894" i="6" s="1"/>
  <c r="BC894" i="6" s="1"/>
  <c r="AV1952" i="6"/>
  <c r="AW1952" i="6" s="1" a="1"/>
  <c r="AW1952" i="6" s="1"/>
  <c r="AV2186" i="6"/>
  <c r="AW2186" i="6" s="1" a="1"/>
  <c r="AW2186" i="6" s="1"/>
  <c r="BA2186" i="6" s="1"/>
  <c r="AZ2186" i="6" s="1"/>
  <c r="AV2187" i="6"/>
  <c r="AW2187" i="6" s="1" a="1"/>
  <c r="AW2187" i="6" s="1"/>
  <c r="AV2188" i="6"/>
  <c r="AW2188" i="6" s="1" a="1"/>
  <c r="AW2188" i="6" s="1"/>
  <c r="AY2188" i="6" s="1"/>
  <c r="BC2188" i="6" s="1"/>
  <c r="AV2189" i="6"/>
  <c r="AW2189" i="6" s="1" a="1"/>
  <c r="AW2189" i="6" s="1"/>
  <c r="AV2190" i="6"/>
  <c r="AW2190" i="6" s="1" a="1"/>
  <c r="AW2190" i="6" s="1"/>
  <c r="AV1960" i="6"/>
  <c r="AW1960" i="6" s="1" a="1"/>
  <c r="AW1960" i="6" s="1"/>
  <c r="AV1961" i="6"/>
  <c r="AW1961" i="6" s="1" a="1"/>
  <c r="AW1961" i="6" s="1"/>
  <c r="BA1961" i="6" s="1"/>
  <c r="AZ1961" i="6" s="1"/>
  <c r="AV895" i="6"/>
  <c r="AW895" i="6" s="1" a="1"/>
  <c r="AW895" i="6" s="1"/>
  <c r="AV236" i="6"/>
  <c r="AW236" i="6" s="1" a="1"/>
  <c r="AW236" i="6" s="1"/>
  <c r="AY236" i="6" s="1"/>
  <c r="BC236" i="6" s="1"/>
  <c r="AV896" i="6"/>
  <c r="AW896" i="6" s="1" a="1"/>
  <c r="AW896" i="6" s="1"/>
  <c r="AV897" i="6"/>
  <c r="AW897" i="6" s="1" a="1"/>
  <c r="AW897" i="6" s="1"/>
  <c r="AV890" i="6"/>
  <c r="AW890" i="6" s="1" a="1"/>
  <c r="AW890" i="6" s="1"/>
  <c r="AV891" i="6"/>
  <c r="AW891" i="6" s="1" a="1"/>
  <c r="AW891" i="6" s="1"/>
  <c r="AY891" i="6" s="1"/>
  <c r="BC891" i="6" s="1"/>
  <c r="AV892" i="6"/>
  <c r="AW892" i="6" s="1" a="1"/>
  <c r="AW892" i="6" s="1"/>
  <c r="AX892" i="6" s="1"/>
  <c r="AV942" i="6"/>
  <c r="AW942" i="6" s="1" a="1"/>
  <c r="AW942" i="6" s="1"/>
  <c r="BA942" i="6" s="1"/>
  <c r="AZ942" i="6" s="1"/>
  <c r="AV237" i="6"/>
  <c r="AW237" i="6" s="1" a="1"/>
  <c r="AW237" i="6" s="1"/>
  <c r="BA237" i="6" s="1"/>
  <c r="AZ237" i="6" s="1"/>
  <c r="AV945" i="6"/>
  <c r="AW945" i="6" s="1" a="1"/>
  <c r="AW945" i="6" s="1"/>
  <c r="AV238" i="6"/>
  <c r="AW238" i="6" s="1" a="1"/>
  <c r="AW238" i="6" s="1"/>
  <c r="AV230" i="6"/>
  <c r="AW230" i="6" s="1" a="1"/>
  <c r="AW230" i="6" s="1"/>
  <c r="AY230" i="6" s="1"/>
  <c r="BC230" i="6" s="1"/>
  <c r="AV231" i="6"/>
  <c r="AW231" i="6" s="1" a="1"/>
  <c r="AW231" i="6" s="1"/>
  <c r="BA231" i="6" s="1"/>
  <c r="AZ231" i="6" s="1"/>
  <c r="AV232" i="6"/>
  <c r="AW232" i="6" s="1" a="1"/>
  <c r="AW232" i="6" s="1"/>
  <c r="AV218" i="6"/>
  <c r="AW218" i="6" s="1" a="1"/>
  <c r="AW218" i="6" s="1"/>
  <c r="AX218" i="6" s="1"/>
  <c r="AV217" i="6"/>
  <c r="AW217" i="6" s="1" a="1"/>
  <c r="AW217" i="6" s="1"/>
  <c r="AV2570" i="6"/>
  <c r="AW2570" i="6" s="1" a="1"/>
  <c r="AW2570" i="6" s="1"/>
  <c r="AV911" i="6"/>
  <c r="AW911" i="6" s="1" a="1"/>
  <c r="AW911" i="6" s="1"/>
  <c r="AV2645" i="6"/>
  <c r="AW2645" i="6" s="1" a="1"/>
  <c r="AW2645" i="6" s="1"/>
  <c r="AV2646" i="6"/>
  <c r="AW2646" i="6" s="1" a="1"/>
  <c r="AW2646" i="6" s="1"/>
  <c r="BA2646" i="6" s="1"/>
  <c r="AV2643" i="6"/>
  <c r="AW2643" i="6" s="1" a="1"/>
  <c r="AW2643" i="6" s="1"/>
  <c r="AV308" i="6"/>
  <c r="AW308" i="6" s="1" a="1"/>
  <c r="AW308" i="6" s="1"/>
  <c r="AV2466" i="6"/>
  <c r="AW2466" i="6" s="1" a="1"/>
  <c r="AW2466" i="6" s="1"/>
  <c r="AV205" i="6"/>
  <c r="AW205" i="6" s="1" a="1"/>
  <c r="AW205" i="6" s="1"/>
  <c r="AV204" i="6"/>
  <c r="AW204" i="6" s="1" a="1"/>
  <c r="AW204" i="6" s="1"/>
  <c r="BA204" i="6" s="1"/>
  <c r="AV206" i="6"/>
  <c r="AW206" i="6" s="1" a="1"/>
  <c r="AW206" i="6" s="1"/>
  <c r="AY206" i="6" s="1"/>
  <c r="BC206" i="6" s="1"/>
  <c r="AV219" i="6"/>
  <c r="AW219" i="6" s="1" a="1"/>
  <c r="AW219" i="6" s="1"/>
  <c r="AV220" i="6"/>
  <c r="AW220" i="6" s="1" a="1"/>
  <c r="AW220" i="6" s="1"/>
  <c r="AV221" i="6"/>
  <c r="AW221" i="6" s="1" a="1"/>
  <c r="AW221" i="6" s="1"/>
  <c r="BA221" i="6" s="1"/>
  <c r="AZ221" i="6" s="1"/>
  <c r="AV2568" i="6"/>
  <c r="AW2568" i="6" s="1" a="1"/>
  <c r="AW2568" i="6" s="1"/>
  <c r="AY2568" i="6" s="1"/>
  <c r="BC2568" i="6" s="1"/>
  <c r="AV2569" i="6"/>
  <c r="AW2569" i="6" s="1" a="1"/>
  <c r="AW2569" i="6" s="1"/>
  <c r="AX2569" i="6" s="1"/>
  <c r="AV2357" i="6"/>
  <c r="AW2357" i="6" s="1" a="1"/>
  <c r="AW2357" i="6" s="1"/>
  <c r="AV2194" i="6"/>
  <c r="AW2194" i="6" s="1" a="1"/>
  <c r="AW2194" i="6" s="1"/>
  <c r="AV2195" i="6"/>
  <c r="AW2195" i="6" s="1" a="1"/>
  <c r="AW2195" i="6" s="1"/>
  <c r="AV215" i="6"/>
  <c r="AW215" i="6" s="1" a="1"/>
  <c r="AW215" i="6" s="1"/>
  <c r="AV2354" i="6"/>
  <c r="AW2354" i="6" s="1" a="1"/>
  <c r="AW2354" i="6" s="1"/>
  <c r="AV2355" i="6"/>
  <c r="AW2355" i="6" s="1" a="1"/>
  <c r="AW2355" i="6" s="1"/>
  <c r="AV214" i="6"/>
  <c r="AW214" i="6" s="1" a="1"/>
  <c r="AW214" i="6" s="1"/>
  <c r="AX214" i="6" s="1"/>
  <c r="AV212" i="6"/>
  <c r="AW212" i="6" s="1" a="1"/>
  <c r="AW212" i="6" s="1"/>
  <c r="AV893" i="6"/>
  <c r="AW893" i="6" s="1" a="1"/>
  <c r="AW893" i="6" s="1"/>
  <c r="AV889" i="6"/>
  <c r="AW889" i="6" s="1" a="1"/>
  <c r="AW889" i="6" s="1"/>
  <c r="AV888" i="6"/>
  <c r="AW888" i="6" s="1" a="1"/>
  <c r="AW888" i="6" s="1"/>
  <c r="AV2561" i="6"/>
  <c r="AW2561" i="6" s="1" a="1"/>
  <c r="AW2561" i="6" s="1"/>
  <c r="AV233" i="6"/>
  <c r="AW233" i="6" s="1" a="1"/>
  <c r="AW233" i="6" s="1"/>
  <c r="AV887" i="6"/>
  <c r="AW887" i="6" s="1" a="1"/>
  <c r="AW887" i="6" s="1"/>
  <c r="AY887" i="6" s="1"/>
  <c r="BC887" i="6" s="1"/>
  <c r="AV234" i="6"/>
  <c r="AW234" i="6" s="1" a="1"/>
  <c r="AW234" i="6" s="1"/>
  <c r="BA234" i="6" s="1"/>
  <c r="AZ234" i="6" s="1"/>
  <c r="AV226" i="6"/>
  <c r="AW226" i="6" s="1" a="1"/>
  <c r="AW226" i="6" s="1"/>
  <c r="AY226" i="6" s="1"/>
  <c r="BC226" i="6" s="1"/>
  <c r="AV227" i="6"/>
  <c r="AW227" i="6" s="1" a="1"/>
  <c r="AW227" i="6" s="1"/>
  <c r="AV222" i="6"/>
  <c r="AW222" i="6" s="1" a="1"/>
  <c r="AW222" i="6" s="1"/>
  <c r="BA222" i="6" s="1"/>
  <c r="AZ222" i="6" s="1"/>
  <c r="AV228" i="6"/>
  <c r="AW228" i="6" s="1" a="1"/>
  <c r="AW228" i="6" s="1"/>
  <c r="AV886" i="6"/>
  <c r="AW886" i="6" s="1" a="1"/>
  <c r="AW886" i="6" s="1"/>
  <c r="AV1516" i="6"/>
  <c r="AW1516" i="6" s="1" a="1"/>
  <c r="AW1516" i="6" s="1"/>
  <c r="AV2193" i="6"/>
  <c r="AW2193" i="6" s="1" a="1"/>
  <c r="AW2193" i="6" s="1"/>
  <c r="BA2193" i="6" s="1"/>
  <c r="AZ2193" i="6" s="1"/>
  <c r="AV208" i="6"/>
  <c r="AW208" i="6" s="1" a="1"/>
  <c r="AW208" i="6" s="1"/>
  <c r="AV229" i="6"/>
  <c r="AW229" i="6" s="1" a="1"/>
  <c r="AW229" i="6" s="1"/>
  <c r="AV223" i="6"/>
  <c r="AW223" i="6" s="1" a="1"/>
  <c r="AW223" i="6" s="1"/>
  <c r="AV224" i="6"/>
  <c r="AW224" i="6" s="1" a="1"/>
  <c r="AW224" i="6" s="1"/>
  <c r="AV225" i="6"/>
  <c r="AW225" i="6" s="1" a="1"/>
  <c r="AW225" i="6" s="1"/>
  <c r="AV211" i="6"/>
  <c r="AW211" i="6" s="1" a="1"/>
  <c r="AW211" i="6" s="1"/>
  <c r="AV207" i="6"/>
  <c r="AW207" i="6" s="1" a="1"/>
  <c r="AW207" i="6" s="1"/>
  <c r="AV2560" i="6"/>
  <c r="AW2560" i="6" s="1" a="1"/>
  <c r="AW2560" i="6" s="1"/>
  <c r="AV2464" i="6"/>
  <c r="AW2464" i="6" s="1" a="1"/>
  <c r="AW2464" i="6" s="1"/>
  <c r="AV2463" i="6"/>
  <c r="AW2463" i="6" s="1" a="1"/>
  <c r="AW2463" i="6" s="1"/>
  <c r="AV2465" i="6"/>
  <c r="AW2465" i="6" s="1" a="1"/>
  <c r="AW2465" i="6" s="1"/>
  <c r="AV2362" i="6"/>
  <c r="AW2362" i="6" s="1" a="1"/>
  <c r="AW2362" i="6" s="1"/>
  <c r="AV2467" i="6"/>
  <c r="AW2467" i="6" s="1" a="1"/>
  <c r="AW2467" i="6" s="1"/>
  <c r="AY2467" i="6" s="1"/>
  <c r="BC2467" i="6" s="1"/>
  <c r="AV309" i="6"/>
  <c r="AW309" i="6" s="1" a="1"/>
  <c r="AW309" i="6" s="1"/>
  <c r="AV2468" i="6"/>
  <c r="AW2468" i="6" s="1" a="1"/>
  <c r="AW2468" i="6" s="1"/>
  <c r="AY2468" i="6" s="1"/>
  <c r="BC2468" i="6" s="1"/>
  <c r="AV2469" i="6"/>
  <c r="AW2469" i="6" s="1" a="1"/>
  <c r="AW2469" i="6" s="1"/>
  <c r="AV2470" i="6"/>
  <c r="AW2470" i="6" s="1" a="1"/>
  <c r="AW2470" i="6" s="1"/>
  <c r="AV2363" i="6"/>
  <c r="AW2363" i="6" s="1" a="1"/>
  <c r="AW2363" i="6" s="1"/>
  <c r="AY2363" i="6" s="1"/>
  <c r="BC2363" i="6" s="1"/>
  <c r="AV2356" i="6"/>
  <c r="AW2356" i="6" s="1" a="1"/>
  <c r="AW2356" i="6" s="1"/>
  <c r="AX2356" i="6" s="1"/>
  <c r="AV2358" i="6"/>
  <c r="AW2358" i="6" s="1" a="1"/>
  <c r="AW2358" i="6" s="1"/>
  <c r="AV2359" i="6"/>
  <c r="AW2359" i="6" s="1" a="1"/>
  <c r="AW2359" i="6" s="1"/>
  <c r="AV2361" i="6"/>
  <c r="AW2361" i="6" s="1" a="1"/>
  <c r="AW2361" i="6" s="1"/>
  <c r="AX2361" i="6" s="1"/>
  <c r="AV2558" i="6"/>
  <c r="AW2558" i="6" s="1" a="1"/>
  <c r="AW2558" i="6" s="1"/>
  <c r="AV2559" i="6"/>
  <c r="AW2559" i="6" s="1" a="1"/>
  <c r="AW2559" i="6" s="1"/>
  <c r="AV2471" i="6"/>
  <c r="AW2471" i="6" s="1" a="1"/>
  <c r="AW2471" i="6" s="1"/>
  <c r="AV2567" i="6"/>
  <c r="AW2567" i="6" s="1" a="1"/>
  <c r="AW2567" i="6" s="1"/>
  <c r="AY2567" i="6" s="1"/>
  <c r="BC2567" i="6" s="1"/>
  <c r="AV2563" i="6"/>
  <c r="AW2563" i="6" s="1" a="1"/>
  <c r="AW2563" i="6" s="1"/>
  <c r="AY2563" i="6" s="1"/>
  <c r="BC2563" i="6" s="1"/>
  <c r="AV2562" i="6"/>
  <c r="AW2562" i="6" s="1" a="1"/>
  <c r="AW2562" i="6" s="1"/>
  <c r="AY2562" i="6" s="1"/>
  <c r="BC2562" i="6" s="1"/>
  <c r="AV2565" i="6"/>
  <c r="AW2565" i="6" s="1" a="1"/>
  <c r="AW2565" i="6" s="1"/>
  <c r="AV2564" i="6"/>
  <c r="AW2564" i="6" s="1" a="1"/>
  <c r="AW2564" i="6" s="1"/>
  <c r="AV2571" i="6"/>
  <c r="AW2571" i="6" s="1" a="1"/>
  <c r="AW2571" i="6" s="1"/>
  <c r="AV2566" i="6"/>
  <c r="AW2566" i="6" s="1" a="1"/>
  <c r="AW2566" i="6" s="1"/>
  <c r="AV2557" i="6"/>
  <c r="AW2557" i="6" s="1" a="1"/>
  <c r="AW2557" i="6" s="1"/>
  <c r="AX2557" i="6" s="1"/>
  <c r="AV2554" i="6"/>
  <c r="AW2554" i="6" s="1" a="1"/>
  <c r="AW2554" i="6" s="1"/>
  <c r="AX2554" i="6" s="1"/>
  <c r="AV2555" i="6"/>
  <c r="AW2555" i="6" s="1" a="1"/>
  <c r="AW2555" i="6" s="1"/>
  <c r="AY2555" i="6" s="1"/>
  <c r="BC2555" i="6" s="1"/>
  <c r="AV2556" i="6"/>
  <c r="AW2556" i="6" s="1" a="1"/>
  <c r="AW2556" i="6" s="1"/>
  <c r="AY2556" i="6" s="1"/>
  <c r="BC2556" i="6" s="1"/>
  <c r="AV2472" i="6"/>
  <c r="AW2472" i="6" s="1" a="1"/>
  <c r="AW2472" i="6" s="1"/>
  <c r="BA2472" i="6" s="1"/>
  <c r="AZ2472" i="6" s="1"/>
  <c r="AV1083" i="6"/>
  <c r="AW1083" i="6" s="1" a="1"/>
  <c r="AW1083" i="6" s="1"/>
  <c r="AX1083" i="6" s="1"/>
  <c r="AV885" i="6"/>
  <c r="AW885" i="6" s="1" a="1"/>
  <c r="AW885" i="6" s="1"/>
  <c r="AX885" i="6" s="1"/>
  <c r="AV884" i="6"/>
  <c r="AW884" i="6" s="1" a="1"/>
  <c r="AW884" i="6" s="1"/>
  <c r="AV883" i="6"/>
  <c r="AW883" i="6" s="1" a="1"/>
  <c r="AW883" i="6" s="1"/>
  <c r="AX883" i="6" s="1"/>
  <c r="AV882" i="6"/>
  <c r="AW882" i="6" s="1" a="1"/>
  <c r="AW882" i="6" s="1"/>
  <c r="AX882" i="6" s="1"/>
  <c r="AV1587" i="6"/>
  <c r="AW1587" i="6" s="1" a="1"/>
  <c r="AW1587" i="6" s="1"/>
  <c r="AY1587" i="6" s="1"/>
  <c r="BC1587" i="6" s="1"/>
  <c r="AV848" i="6"/>
  <c r="AW848" i="6" s="1" a="1"/>
  <c r="AW848" i="6" s="1"/>
  <c r="BA848" i="6" s="1"/>
  <c r="AZ848" i="6" s="1"/>
  <c r="AV2360" i="6"/>
  <c r="AW2360" i="6" s="1" a="1"/>
  <c r="AW2360" i="6" s="1"/>
  <c r="AV1959" i="6"/>
  <c r="AW1959" i="6" s="1" a="1"/>
  <c r="AW1959" i="6" s="1"/>
  <c r="AV1483" i="6"/>
  <c r="AW1483" i="6" s="1" a="1"/>
  <c r="AW1483" i="6" s="1"/>
  <c r="AV1481" i="6"/>
  <c r="AW1481" i="6" s="1" a="1"/>
  <c r="AW1481" i="6" s="1"/>
  <c r="AV1482" i="6"/>
  <c r="AW1482" i="6" s="1" a="1"/>
  <c r="AW1482" i="6" s="1"/>
  <c r="AV847" i="6"/>
  <c r="AW847" i="6" s="1" a="1"/>
  <c r="AW847" i="6" s="1"/>
  <c r="AX847" i="6" s="1"/>
  <c r="AV1471" i="6"/>
  <c r="AW1471" i="6" s="1" a="1"/>
  <c r="AW1471" i="6" s="1"/>
  <c r="AV851" i="6"/>
  <c r="AW851" i="6" s="1" a="1"/>
  <c r="AW851" i="6" s="1"/>
  <c r="AY851" i="6" s="1"/>
  <c r="BC851" i="6" s="1"/>
  <c r="AV850" i="6"/>
  <c r="AW850" i="6" s="1" a="1"/>
  <c r="AW850" i="6" s="1"/>
  <c r="AX850" i="6" s="1"/>
  <c r="AV849" i="6"/>
  <c r="AW849" i="6" s="1" a="1"/>
  <c r="AW849" i="6" s="1"/>
  <c r="AV181" i="6"/>
  <c r="AW181" i="6" s="1" a="1"/>
  <c r="AW181" i="6" s="1"/>
  <c r="BA181" i="6" s="1"/>
  <c r="AZ181" i="6" s="1"/>
  <c r="AV180" i="6"/>
  <c r="AW180" i="6" s="1" a="1"/>
  <c r="AW180" i="6" s="1"/>
  <c r="AV179" i="6"/>
  <c r="AW179" i="6" s="1" a="1"/>
  <c r="AW179" i="6" s="1"/>
  <c r="AX179" i="6" s="1"/>
  <c r="AV846" i="6"/>
  <c r="AW846" i="6" s="1" a="1"/>
  <c r="AW846" i="6" s="1"/>
  <c r="AV210" i="6"/>
  <c r="AW210" i="6" s="1" a="1"/>
  <c r="AW210" i="6" s="1"/>
  <c r="AY210" i="6" s="1"/>
  <c r="BC210" i="6" s="1"/>
  <c r="AV948" i="6"/>
  <c r="AW948" i="6" s="1" a="1"/>
  <c r="AW948" i="6" s="1"/>
  <c r="AY948" i="6" s="1"/>
  <c r="BC948" i="6" s="1"/>
  <c r="AV950" i="6"/>
  <c r="AW950" i="6" s="1" a="1"/>
  <c r="AW950" i="6" s="1"/>
  <c r="BA950" i="6" s="1"/>
  <c r="AZ950" i="6" s="1"/>
  <c r="AV946" i="6"/>
  <c r="AW946" i="6" s="1" a="1"/>
  <c r="AW946" i="6" s="1"/>
  <c r="AV944" i="6"/>
  <c r="AW944" i="6" s="1" a="1"/>
  <c r="AW944" i="6" s="1"/>
  <c r="AV947" i="6"/>
  <c r="AW947" i="6" s="1" a="1"/>
  <c r="AW947" i="6" s="1"/>
  <c r="AV943" i="6"/>
  <c r="AW943" i="6" s="1" a="1"/>
  <c r="AW943" i="6" s="1"/>
  <c r="AX943" i="6" s="1"/>
  <c r="AV933" i="6"/>
  <c r="AW933" i="6" s="1" a="1"/>
  <c r="AW933" i="6" s="1"/>
  <c r="AY933" i="6" s="1"/>
  <c r="BC933" i="6" s="1"/>
  <c r="AV1480" i="6"/>
  <c r="AW1480" i="6" s="1" a="1"/>
  <c r="AW1480" i="6" s="1"/>
  <c r="AV1475" i="6"/>
  <c r="AW1475" i="6" s="1" a="1"/>
  <c r="AW1475" i="6" s="1"/>
  <c r="AV1479" i="6"/>
  <c r="AW1479" i="6" s="1" a="1"/>
  <c r="AW1479" i="6" s="1"/>
  <c r="AY1479" i="6" s="1"/>
  <c r="BC1479" i="6" s="1"/>
  <c r="AV1478" i="6"/>
  <c r="AW1478" i="6" s="1" a="1"/>
  <c r="AW1478" i="6" s="1"/>
  <c r="AY1478" i="6" s="1"/>
  <c r="BC1478" i="6" s="1"/>
  <c r="AV1484" i="6"/>
  <c r="AW1484" i="6" s="1" a="1"/>
  <c r="AW1484" i="6" s="1"/>
  <c r="AV209" i="6"/>
  <c r="AW209" i="6" s="1" a="1"/>
  <c r="AW209" i="6" s="1"/>
  <c r="AV178" i="6"/>
  <c r="AW178" i="6" s="1" a="1"/>
  <c r="AW178" i="6" s="1"/>
  <c r="AV845" i="6"/>
  <c r="AW845" i="6" s="1" a="1"/>
  <c r="AW845" i="6" s="1"/>
  <c r="AX845" i="6" s="1"/>
  <c r="AV1473" i="6"/>
  <c r="AW1473" i="6" s="1" a="1"/>
  <c r="AW1473" i="6" s="1"/>
  <c r="AX1473" i="6" s="1"/>
  <c r="AV1474" i="6"/>
  <c r="AW1474" i="6" s="1" a="1"/>
  <c r="AW1474" i="6" s="1"/>
  <c r="AV1476" i="6"/>
  <c r="AW1476" i="6" s="1" a="1"/>
  <c r="AW1476" i="6" s="1"/>
  <c r="AV1477" i="6"/>
  <c r="AW1477" i="6" s="1" a="1"/>
  <c r="AW1477" i="6" s="1"/>
  <c r="AV1472" i="6"/>
  <c r="AW1472" i="6" s="1" a="1"/>
  <c r="AW1472" i="6" s="1"/>
  <c r="AV1488" i="6"/>
  <c r="AW1488" i="6" s="1" a="1"/>
  <c r="AW1488" i="6" s="1"/>
  <c r="AV934" i="6"/>
  <c r="AW934" i="6" s="1" a="1"/>
  <c r="AW934" i="6" s="1"/>
  <c r="AX934" i="6" s="1"/>
  <c r="AV935" i="6"/>
  <c r="AW935" i="6" s="1" a="1"/>
  <c r="AW935" i="6" s="1"/>
  <c r="AV2192" i="6"/>
  <c r="AW2192" i="6" s="1" a="1"/>
  <c r="AW2192" i="6" s="1"/>
  <c r="AV1489" i="6"/>
  <c r="AW1489" i="6" s="1" a="1"/>
  <c r="AW1489" i="6" s="1"/>
  <c r="BA1489" i="6" s="1"/>
  <c r="AZ1489" i="6" s="1"/>
  <c r="AV843" i="6"/>
  <c r="AW843" i="6" s="1" a="1"/>
  <c r="AW843" i="6" s="1"/>
  <c r="AY843" i="6" s="1"/>
  <c r="BC843" i="6" s="1"/>
  <c r="AV844" i="6"/>
  <c r="AW844" i="6" s="1" a="1"/>
  <c r="AW844" i="6" s="1"/>
  <c r="AX844" i="6" s="1"/>
  <c r="AV176" i="6"/>
  <c r="AW176" i="6" s="1" a="1"/>
  <c r="AW176" i="6" s="1"/>
  <c r="AV1485" i="6"/>
  <c r="AW1485" i="6" s="1" a="1"/>
  <c r="AW1485" i="6" s="1"/>
  <c r="AX1485" i="6" s="1"/>
  <c r="AV1487" i="6"/>
  <c r="AW1487" i="6" s="1" a="1"/>
  <c r="AW1487" i="6" s="1"/>
  <c r="AV1956" i="6"/>
  <c r="AW1956" i="6" s="1" a="1"/>
  <c r="AW1956" i="6" s="1"/>
  <c r="AV1953" i="6"/>
  <c r="AW1953" i="6" s="1" a="1"/>
  <c r="AW1953" i="6" s="1"/>
  <c r="AV1954" i="6"/>
  <c r="AW1954" i="6" s="1" a="1"/>
  <c r="AW1954" i="6" s="1"/>
  <c r="AY1954" i="6" s="1"/>
  <c r="BC1954" i="6" s="1"/>
  <c r="AV1955" i="6"/>
  <c r="AW1955" i="6" s="1" a="1"/>
  <c r="AW1955" i="6" s="1"/>
  <c r="AV1957" i="6"/>
  <c r="AW1957" i="6" s="1" a="1"/>
  <c r="AW1957" i="6" s="1"/>
  <c r="AV1958" i="6"/>
  <c r="AW1958" i="6" s="1" a="1"/>
  <c r="AW1958" i="6" s="1"/>
  <c r="AY1958" i="6" s="1"/>
  <c r="BC1958" i="6" s="1"/>
  <c r="AV958" i="6"/>
  <c r="AW958" i="6" s="1" a="1"/>
  <c r="AW958" i="6" s="1"/>
  <c r="AV957" i="6"/>
  <c r="AW957" i="6" s="1" a="1"/>
  <c r="AW957" i="6" s="1"/>
  <c r="AX957" i="6" s="1"/>
  <c r="AV1470" i="6"/>
  <c r="AW1470" i="6" s="1" a="1"/>
  <c r="AW1470" i="6" s="1"/>
  <c r="AX1470" i="6" s="1"/>
  <c r="AV177" i="6"/>
  <c r="AW177" i="6" s="1" a="1"/>
  <c r="AW177" i="6" s="1"/>
  <c r="AV956" i="6"/>
  <c r="AW956" i="6" s="1" a="1"/>
  <c r="AW956" i="6" s="1"/>
  <c r="AY956" i="6" s="1"/>
  <c r="BC956" i="6" s="1"/>
  <c r="AV954" i="6"/>
  <c r="AW954" i="6" s="1" a="1"/>
  <c r="AW954" i="6" s="1"/>
  <c r="AV953" i="6"/>
  <c r="AW953" i="6" s="1" a="1"/>
  <c r="AW953" i="6" s="1"/>
  <c r="AV952" i="6"/>
  <c r="AW952" i="6" s="1" a="1"/>
  <c r="AW952" i="6" s="1"/>
  <c r="AX952" i="6" s="1"/>
  <c r="AV1486" i="6"/>
  <c r="AW1486" i="6" s="1" a="1"/>
  <c r="AW1486" i="6" s="1"/>
  <c r="AY1486" i="6" s="1"/>
  <c r="BC1486" i="6" s="1"/>
  <c r="AV2644" i="6"/>
  <c r="AW2644" i="6" s="1" a="1"/>
  <c r="AW2644" i="6" s="1"/>
  <c r="AV955" i="6"/>
  <c r="AW955" i="6" s="1" a="1"/>
  <c r="AW955" i="6" s="1"/>
  <c r="AV932" i="6"/>
  <c r="AW932" i="6" s="1" a="1"/>
  <c r="AW932" i="6" s="1"/>
  <c r="AV298" i="6"/>
  <c r="AW298" i="6" s="1" a="1"/>
  <c r="AW298" i="6" s="1"/>
  <c r="AV2191" i="6"/>
  <c r="AW2191" i="6" s="1" a="1"/>
  <c r="AW2191" i="6" s="1"/>
  <c r="BA2191" i="6" s="1"/>
  <c r="AV931" i="6"/>
  <c r="AW931" i="6" s="1" a="1"/>
  <c r="AW931" i="6" s="1"/>
  <c r="AX931" i="6" s="1"/>
  <c r="AV296" i="6"/>
  <c r="AW296" i="6" s="1" a="1"/>
  <c r="AW296" i="6" s="1"/>
  <c r="AX296" i="6" s="1"/>
  <c r="AV297" i="6"/>
  <c r="AW297" i="6" s="1" a="1"/>
  <c r="AW297" i="6" s="1"/>
  <c r="AX297" i="6" s="1"/>
  <c r="AV295" i="6"/>
  <c r="AW295" i="6" s="1" a="1"/>
  <c r="AW295" i="6" s="1"/>
  <c r="AV294" i="6"/>
  <c r="AW294" i="6" s="1" a="1"/>
  <c r="AW294" i="6" s="1"/>
  <c r="AV951" i="6"/>
  <c r="AW951" i="6" s="1" a="1"/>
  <c r="AW951" i="6" s="1"/>
  <c r="AV293" i="6"/>
  <c r="AW293" i="6" s="1" a="1"/>
  <c r="AW293" i="6" s="1"/>
  <c r="AV292" i="6"/>
  <c r="AW292" i="6" s="1" a="1"/>
  <c r="AW292" i="6" s="1"/>
  <c r="AY292" i="6" s="1"/>
  <c r="BC292" i="6" s="1"/>
  <c r="AV291" i="6"/>
  <c r="AW291" i="6" s="1" a="1"/>
  <c r="AW291" i="6" s="1"/>
  <c r="AV290" i="6"/>
  <c r="AW290" i="6" s="1" a="1"/>
  <c r="AW290" i="6" s="1"/>
  <c r="BA290" i="6" s="1"/>
  <c r="AZ290" i="6" s="1"/>
  <c r="AV289" i="6"/>
  <c r="AW289" i="6" s="1" a="1"/>
  <c r="AW289" i="6" s="1"/>
  <c r="AV284" i="6"/>
  <c r="AW284" i="6" s="1" a="1"/>
  <c r="AW284" i="6" s="1"/>
  <c r="AV288" i="6"/>
  <c r="AW288" i="6" s="1" a="1"/>
  <c r="AW288" i="6" s="1"/>
  <c r="AV287" i="6"/>
  <c r="AW287" i="6" s="1" a="1"/>
  <c r="AW287" i="6" s="1"/>
  <c r="AV286" i="6"/>
  <c r="AW286" i="6" s="1" a="1"/>
  <c r="AW286" i="6" s="1"/>
  <c r="AV285" i="6"/>
  <c r="AW285" i="6" s="1" a="1"/>
  <c r="AW285" i="6" s="1"/>
  <c r="AV283" i="6"/>
  <c r="AW283" i="6" s="1" a="1"/>
  <c r="AW283" i="6" s="1"/>
  <c r="AV282" i="6"/>
  <c r="AW282" i="6" s="1" a="1"/>
  <c r="AW282" i="6" s="1"/>
  <c r="AX282" i="6" s="1"/>
  <c r="AV281" i="6"/>
  <c r="AW281" i="6" s="1" a="1"/>
  <c r="AW281" i="6" s="1"/>
  <c r="AV280" i="6"/>
  <c r="AW280" i="6" s="1" a="1"/>
  <c r="AW280" i="6" s="1"/>
  <c r="AV279" i="6"/>
  <c r="AW279" i="6" s="1" a="1"/>
  <c r="AW279" i="6" s="1"/>
  <c r="AX279" i="6" s="1"/>
  <c r="AV278" i="6"/>
  <c r="AW278" i="6" s="1" a="1"/>
  <c r="AW278" i="6" s="1"/>
  <c r="AV277" i="6"/>
  <c r="AW277" i="6" s="1" a="1"/>
  <c r="AW277" i="6" s="1"/>
  <c r="AY277" i="6" s="1"/>
  <c r="BC277" i="6" s="1"/>
  <c r="AV276" i="6"/>
  <c r="AW276" i="6" s="1" a="1"/>
  <c r="AW276" i="6" s="1"/>
  <c r="AV275" i="6"/>
  <c r="AW275" i="6" s="1" a="1"/>
  <c r="AW275" i="6" s="1"/>
  <c r="AV274" i="6"/>
  <c r="AW274" i="6" s="1" a="1"/>
  <c r="AW274" i="6" s="1"/>
  <c r="AV273" i="6"/>
  <c r="AW273" i="6" s="1" a="1"/>
  <c r="AW273" i="6" s="1"/>
  <c r="AV272" i="6"/>
  <c r="AW272" i="6" s="1" a="1"/>
  <c r="AW272" i="6" s="1"/>
  <c r="AV271" i="6"/>
  <c r="AW271" i="6" s="1" a="1"/>
  <c r="AW271" i="6" s="1"/>
  <c r="AY271" i="6" s="1"/>
  <c r="BC271" i="6" s="1"/>
  <c r="AV270" i="6"/>
  <c r="AW270" i="6" s="1" a="1"/>
  <c r="AW270" i="6" s="1"/>
  <c r="AX270" i="6" s="1"/>
  <c r="AV269" i="6"/>
  <c r="AW269" i="6" s="1" a="1"/>
  <c r="AW269" i="6" s="1"/>
  <c r="BA269" i="6" s="1"/>
  <c r="AZ269" i="6" s="1"/>
  <c r="AV268" i="6"/>
  <c r="AW268" i="6" s="1" a="1"/>
  <c r="AW268" i="6" s="1"/>
  <c r="AY268" i="6" s="1"/>
  <c r="BC268" i="6" s="1"/>
  <c r="AV267" i="6"/>
  <c r="AW267" i="6" s="1" a="1"/>
  <c r="AW267" i="6" s="1"/>
  <c r="BA267" i="6" s="1"/>
  <c r="AZ267" i="6" s="1"/>
  <c r="AV949" i="6"/>
  <c r="AW949" i="6" s="1" a="1"/>
  <c r="AW949" i="6" s="1"/>
  <c r="AX949" i="6" s="1"/>
  <c r="AV265" i="6"/>
  <c r="AW265" i="6" s="1" a="1"/>
  <c r="AW265" i="6" s="1"/>
  <c r="AV264" i="6"/>
  <c r="AW264" i="6" s="1" a="1"/>
  <c r="AW264" i="6" s="1"/>
  <c r="AV263" i="6"/>
  <c r="AW263" i="6" s="1" a="1"/>
  <c r="AW263" i="6" s="1"/>
  <c r="BA263" i="6" s="1"/>
  <c r="AZ263" i="6" s="1"/>
  <c r="AV262" i="6"/>
  <c r="AW262" i="6" s="1" a="1"/>
  <c r="AW262" i="6" s="1"/>
  <c r="AV260" i="6"/>
  <c r="AW260" i="6" s="1" a="1"/>
  <c r="AW260" i="6" s="1"/>
  <c r="AV261" i="6"/>
  <c r="AW261" i="6" s="1" a="1"/>
  <c r="AW261" i="6" s="1"/>
  <c r="AY261" i="6" s="1"/>
  <c r="BC261" i="6" s="1"/>
  <c r="AV259" i="6"/>
  <c r="AW259" i="6" s="1" a="1"/>
  <c r="AW259" i="6" s="1"/>
  <c r="AV258" i="6"/>
  <c r="AW258" i="6" s="1" a="1"/>
  <c r="AW258" i="6" s="1"/>
  <c r="AV257" i="6"/>
  <c r="AW257" i="6" s="1" a="1"/>
  <c r="AW257" i="6" s="1"/>
  <c r="AV256" i="6"/>
  <c r="AW256" i="6" s="1" a="1"/>
  <c r="AW256" i="6" s="1"/>
  <c r="AV255" i="6"/>
  <c r="AW255" i="6" s="1" a="1"/>
  <c r="AW255" i="6" s="1"/>
  <c r="AV254" i="6"/>
  <c r="AW254" i="6" s="1" a="1"/>
  <c r="AW254" i="6" s="1"/>
  <c r="AV253" i="6"/>
  <c r="AW253" i="6" s="1" a="1"/>
  <c r="AW253" i="6" s="1"/>
  <c r="AV252" i="6"/>
  <c r="AW252" i="6" s="1" a="1"/>
  <c r="AW252" i="6" s="1"/>
  <c r="AV251" i="6"/>
  <c r="AW251" i="6" s="1" a="1"/>
  <c r="AW251" i="6" s="1"/>
  <c r="AV249" i="6"/>
  <c r="AW249" i="6" s="1" a="1"/>
  <c r="AW249" i="6" s="1"/>
  <c r="AV248" i="6"/>
  <c r="AW248" i="6" s="1" a="1"/>
  <c r="AW248" i="6" s="1"/>
  <c r="AV250" i="6"/>
  <c r="AW250" i="6" s="1" a="1"/>
  <c r="AW250" i="6" s="1"/>
  <c r="AV247" i="6"/>
  <c r="AW247" i="6" s="1" a="1"/>
  <c r="AW247" i="6" s="1"/>
  <c r="AV246" i="6"/>
  <c r="AW246" i="6" s="1" a="1"/>
  <c r="AW246" i="6" s="1"/>
  <c r="AX246" i="6" s="1"/>
  <c r="AV960" i="6"/>
  <c r="AW960" i="6" s="1" a="1"/>
  <c r="AW960" i="6" s="1"/>
  <c r="AV959" i="6"/>
  <c r="AW959" i="6" s="1" a="1"/>
  <c r="AW959" i="6" s="1"/>
  <c r="AV245" i="6"/>
  <c r="AW245" i="6" s="1" a="1"/>
  <c r="AW245" i="6" s="1"/>
  <c r="AX245" i="6" s="1"/>
  <c r="AV244" i="6"/>
  <c r="AW244" i="6" s="1" a="1"/>
  <c r="AW244" i="6" s="1"/>
  <c r="AV243" i="6"/>
  <c r="AW243" i="6" s="1" a="1"/>
  <c r="AW243" i="6" s="1"/>
  <c r="AV242" i="6"/>
  <c r="AW242" i="6" s="1" a="1"/>
  <c r="AW242" i="6" s="1"/>
  <c r="AV241" i="6"/>
  <c r="AW241" i="6" s="1" a="1"/>
  <c r="AW241" i="6" s="1"/>
  <c r="AV1233" i="6"/>
  <c r="AW1233" i="6" s="1" a="1"/>
  <c r="AW1233" i="6" s="1"/>
  <c r="AV1232" i="6"/>
  <c r="AW1232" i="6" s="1" a="1"/>
  <c r="AW1232" i="6" s="1"/>
  <c r="AX1232" i="6" s="1"/>
  <c r="AV1770" i="6"/>
  <c r="AW1770" i="6" s="1" a="1"/>
  <c r="AW1770" i="6" s="1"/>
  <c r="AV1206" i="6"/>
  <c r="AW1206" i="6" s="1" a="1"/>
  <c r="AW1206" i="6" s="1"/>
  <c r="BA1206" i="6" s="1"/>
  <c r="AZ1206" i="6" s="1"/>
  <c r="AV1205" i="6"/>
  <c r="AW1205" i="6" s="1" a="1"/>
  <c r="AW1205" i="6" s="1"/>
  <c r="AV423" i="6"/>
  <c r="AW423" i="6" s="1" a="1"/>
  <c r="AW423" i="6" s="1"/>
  <c r="AV470" i="6"/>
  <c r="AW470" i="6" s="1" a="1"/>
  <c r="AW470" i="6" s="1"/>
  <c r="AV572" i="6"/>
  <c r="AW572" i="6" s="1" a="1"/>
  <c r="AW572" i="6" s="1"/>
  <c r="AX572" i="6" s="1"/>
  <c r="AV571" i="6"/>
  <c r="AW571" i="6" s="1" a="1"/>
  <c r="AW571" i="6" s="1"/>
  <c r="AV570" i="6"/>
  <c r="AW570" i="6" s="1" a="1"/>
  <c r="AW570" i="6" s="1"/>
  <c r="AV495" i="6"/>
  <c r="AW495" i="6" s="1" a="1"/>
  <c r="AW495" i="6" s="1"/>
  <c r="AV484" i="6"/>
  <c r="AW484" i="6" s="1" a="1"/>
  <c r="AW484" i="6" s="1"/>
  <c r="AV471" i="6"/>
  <c r="AW471" i="6" s="1" a="1"/>
  <c r="AW471" i="6" s="1"/>
  <c r="AV389" i="6"/>
  <c r="AW389" i="6" s="1" a="1"/>
  <c r="AW389" i="6" s="1"/>
  <c r="AV469" i="6"/>
  <c r="AW469" i="6" s="1" a="1"/>
  <c r="AW469" i="6" s="1"/>
  <c r="AV388" i="6"/>
  <c r="AW388" i="6" s="1" a="1"/>
  <c r="AW388" i="6" s="1"/>
  <c r="AX388" i="6" s="1"/>
  <c r="AV1121" i="6"/>
  <c r="AW1121" i="6" s="1" a="1"/>
  <c r="AW1121" i="6" s="1"/>
  <c r="AV387" i="6"/>
  <c r="AW387" i="6" s="1" a="1"/>
  <c r="AW387" i="6" s="1"/>
  <c r="AX387" i="6" s="1"/>
  <c r="AV1122" i="6"/>
  <c r="AW1122" i="6" s="1" a="1"/>
  <c r="AW1122" i="6" s="1"/>
  <c r="AY1122" i="6" s="1"/>
  <c r="BC1122" i="6" s="1"/>
  <c r="AV1098" i="6"/>
  <c r="AW1098" i="6" s="1" a="1"/>
  <c r="AW1098" i="6" s="1"/>
  <c r="AY1098" i="6" s="1"/>
  <c r="BC1098" i="6" s="1"/>
  <c r="AV1097" i="6"/>
  <c r="AW1097" i="6" s="1" a="1"/>
  <c r="AW1097" i="6" s="1"/>
  <c r="AX1097" i="6" s="1"/>
  <c r="AV1099" i="6"/>
  <c r="AW1099" i="6" s="1" a="1"/>
  <c r="AW1099" i="6" s="1"/>
  <c r="AY1099" i="6" s="1"/>
  <c r="BC1099" i="6" s="1"/>
  <c r="AV359" i="6"/>
  <c r="AW359" i="6" s="1" a="1"/>
  <c r="AW359" i="6" s="1"/>
  <c r="AV358" i="6"/>
  <c r="AW358" i="6" s="1" a="1"/>
  <c r="AW358" i="6" s="1"/>
  <c r="AV357" i="6"/>
  <c r="AW357" i="6" s="1" a="1"/>
  <c r="AW357" i="6" s="1"/>
  <c r="AY357" i="6" s="1"/>
  <c r="BC357" i="6" s="1"/>
  <c r="AV356" i="6"/>
  <c r="AW356" i="6" s="1" a="1"/>
  <c r="AW356" i="6" s="1"/>
  <c r="AV354" i="6"/>
  <c r="AW354" i="6" s="1" a="1"/>
  <c r="AW354" i="6" s="1"/>
  <c r="AY354" i="6" s="1"/>
  <c r="BC354" i="6" s="1"/>
  <c r="AV2822" i="6"/>
  <c r="AW2822" i="6" s="1" a="1"/>
  <c r="AW2822" i="6" s="1"/>
  <c r="AV355" i="6"/>
  <c r="AW355" i="6" s="1" a="1"/>
  <c r="AW355" i="6" s="1"/>
  <c r="BA355" i="6" s="1"/>
  <c r="AZ355" i="6" s="1"/>
  <c r="AV353" i="6"/>
  <c r="AW353" i="6" s="1" a="1"/>
  <c r="AW353" i="6" s="1"/>
  <c r="AY353" i="6" s="1"/>
  <c r="BC353" i="6" s="1"/>
  <c r="AV352" i="6"/>
  <c r="AW352" i="6" s="1" a="1"/>
  <c r="AW352" i="6" s="1"/>
  <c r="AV351" i="6"/>
  <c r="AW351" i="6" s="1" a="1"/>
  <c r="AW351" i="6" s="1"/>
  <c r="AY351" i="6" s="1"/>
  <c r="BC351" i="6" s="1"/>
  <c r="AV2411" i="6"/>
  <c r="AW2411" i="6" s="1" a="1"/>
  <c r="AW2411" i="6" s="1"/>
  <c r="AY2411" i="6" s="1"/>
  <c r="BC2411" i="6" s="1"/>
  <c r="AV2410" i="6"/>
  <c r="AW2410" i="6" s="1" a="1"/>
  <c r="AW2410" i="6" s="1"/>
  <c r="BA2410" i="6" s="1"/>
  <c r="AZ2410" i="6" s="1"/>
  <c r="AV350" i="6"/>
  <c r="AW350" i="6" s="1" a="1"/>
  <c r="AW350" i="6" s="1"/>
  <c r="AV1737" i="6"/>
  <c r="AW1737" i="6" s="1" a="1"/>
  <c r="AW1737" i="6" s="1"/>
  <c r="AV349" i="6"/>
  <c r="AW349" i="6" s="1" a="1"/>
  <c r="AW349" i="6" s="1"/>
  <c r="AV348" i="6"/>
  <c r="AW348" i="6" s="1" a="1"/>
  <c r="AW348" i="6" s="1"/>
  <c r="AV2270" i="6"/>
  <c r="AW2270" i="6" s="1" a="1"/>
  <c r="AW2270" i="6" s="1"/>
  <c r="AV2266" i="6"/>
  <c r="AW2266" i="6" s="1" a="1"/>
  <c r="AW2266" i="6" s="1"/>
  <c r="AY2266" i="6" s="1"/>
  <c r="BC2266" i="6" s="1"/>
  <c r="AV2269" i="6"/>
  <c r="AW2269" i="6" s="1" a="1"/>
  <c r="AW2269" i="6" s="1"/>
  <c r="AV2268" i="6"/>
  <c r="AW2268" i="6" s="1" a="1"/>
  <c r="AW2268" i="6" s="1"/>
  <c r="AV2267" i="6"/>
  <c r="AW2267" i="6" s="1" a="1"/>
  <c r="AW2267" i="6" s="1"/>
  <c r="AY2267" i="6" s="1"/>
  <c r="BC2267" i="6" s="1"/>
  <c r="AV2264" i="6"/>
  <c r="AW2264" i="6" s="1" a="1"/>
  <c r="AW2264" i="6" s="1"/>
  <c r="AV2409" i="6"/>
  <c r="AW2409" i="6" s="1" a="1"/>
  <c r="AW2409" i="6" s="1"/>
  <c r="BA2409" i="6" s="1"/>
  <c r="AV2408" i="6"/>
  <c r="AW2408" i="6" s="1" a="1"/>
  <c r="AW2408" i="6" s="1"/>
  <c r="AV2405" i="6"/>
  <c r="AW2405" i="6" s="1" a="1"/>
  <c r="AW2405" i="6" s="1"/>
  <c r="AV1736" i="6"/>
  <c r="AW1736" i="6" s="1" a="1"/>
  <c r="AW1736" i="6" s="1"/>
  <c r="AV2276" i="6"/>
  <c r="AW2276" i="6" s="1" a="1"/>
  <c r="AW2276" i="6" s="1"/>
  <c r="AV1096" i="6"/>
  <c r="AW1096" i="6" s="1" a="1"/>
  <c r="AW1096" i="6" s="1"/>
  <c r="AX1096" i="6" s="1"/>
  <c r="AV1095" i="6"/>
  <c r="AW1095" i="6" s="1" a="1"/>
  <c r="AW1095" i="6" s="1"/>
  <c r="AV2275" i="6"/>
  <c r="AW2275" i="6" s="1" a="1"/>
  <c r="AW2275" i="6" s="1"/>
  <c r="AZ2409" i="6" l="1"/>
  <c r="AZ2191" i="6"/>
  <c r="AZ2646" i="6"/>
  <c r="X1" i="6"/>
  <c r="AZ204" i="6"/>
  <c r="Y1" i="6"/>
  <c r="AX261" i="6"/>
  <c r="AY2472" i="6"/>
  <c r="BC2472" i="6" s="1"/>
  <c r="AY177" i="6"/>
  <c r="BC177" i="6" s="1"/>
  <c r="BA177" i="6"/>
  <c r="AZ177" i="6" s="1"/>
  <c r="AX177" i="6"/>
  <c r="BA2266" i="6"/>
  <c r="AZ2266" i="6" s="1"/>
  <c r="BA933" i="6"/>
  <c r="AZ933" i="6" s="1"/>
  <c r="AX2556" i="6"/>
  <c r="AY245" i="6"/>
  <c r="BC245" i="6" s="1"/>
  <c r="BA245" i="6"/>
  <c r="AZ245" i="6" s="1"/>
  <c r="AX181" i="6"/>
  <c r="AX2472" i="6"/>
  <c r="AY181" i="6"/>
  <c r="BC181" i="6" s="1"/>
  <c r="AY2560" i="6"/>
  <c r="BC2560" i="6" s="1"/>
  <c r="AX2560" i="6"/>
  <c r="AX1736" i="6"/>
  <c r="BA1736" i="6"/>
  <c r="AZ1736" i="6" s="1"/>
  <c r="BA1098" i="6"/>
  <c r="AZ1098" i="6" s="1"/>
  <c r="BA1478" i="6"/>
  <c r="AZ1478" i="6" s="1"/>
  <c r="AY943" i="6"/>
  <c r="BC943" i="6" s="1"/>
  <c r="BA2556" i="6"/>
  <c r="AZ2556" i="6" s="1"/>
  <c r="BA2567" i="6"/>
  <c r="AZ2567" i="6" s="1"/>
  <c r="AY388" i="6"/>
  <c r="BC388" i="6" s="1"/>
  <c r="AY572" i="6"/>
  <c r="BC572" i="6" s="1"/>
  <c r="BA572" i="6"/>
  <c r="AZ572" i="6" s="1"/>
  <c r="AX2188" i="6"/>
  <c r="AY1232" i="6"/>
  <c r="BC1232" i="6" s="1"/>
  <c r="AY246" i="6"/>
  <c r="BC246" i="6" s="1"/>
  <c r="BA1954" i="6"/>
  <c r="AZ1954" i="6" s="1"/>
  <c r="AX950" i="6"/>
  <c r="BA851" i="6"/>
  <c r="AZ851" i="6" s="1"/>
  <c r="AY2557" i="6"/>
  <c r="BC2557" i="6" s="1"/>
  <c r="AX1576" i="6"/>
  <c r="AY950" i="6"/>
  <c r="BC950" i="6" s="1"/>
  <c r="AX1098" i="6"/>
  <c r="AX2270" i="6"/>
  <c r="BA2270" i="6"/>
  <c r="AZ2270" i="6" s="1"/>
  <c r="AX1482" i="6"/>
  <c r="AY1482" i="6"/>
  <c r="BC1482" i="6" s="1"/>
  <c r="AY2405" i="6"/>
  <c r="BC2405" i="6" s="1"/>
  <c r="BA2405" i="6"/>
  <c r="AZ2405" i="6" s="1"/>
  <c r="AY260" i="6"/>
  <c r="BC260" i="6" s="1"/>
  <c r="BA260" i="6"/>
  <c r="AZ260" i="6" s="1"/>
  <c r="AX260" i="6"/>
  <c r="AY2822" i="6"/>
  <c r="BC2822" i="6" s="1"/>
  <c r="AX2822" i="6"/>
  <c r="AX571" i="6"/>
  <c r="AY571" i="6"/>
  <c r="BC571" i="6" s="1"/>
  <c r="AX2268" i="6"/>
  <c r="BA2268" i="6"/>
  <c r="AZ2268" i="6" s="1"/>
  <c r="AX352" i="6"/>
  <c r="BA352" i="6"/>
  <c r="AZ352" i="6" s="1"/>
  <c r="AY1121" i="6"/>
  <c r="BC1121" i="6" s="1"/>
  <c r="BA1121" i="6"/>
  <c r="AZ1121" i="6" s="1"/>
  <c r="AY358" i="6"/>
  <c r="BC358" i="6" s="1"/>
  <c r="AX358" i="6"/>
  <c r="BA358" i="6"/>
  <c r="AZ358" i="6" s="1"/>
  <c r="BA2267" i="6"/>
  <c r="AZ2267" i="6" s="1"/>
  <c r="BA1955" i="6"/>
  <c r="AZ1955" i="6" s="1"/>
  <c r="AX1955" i="6"/>
  <c r="AX176" i="6"/>
  <c r="BA176" i="6"/>
  <c r="AZ176" i="6" s="1"/>
  <c r="AY176" i="6"/>
  <c r="BC176" i="6" s="1"/>
  <c r="AY2559" i="6"/>
  <c r="BC2559" i="6" s="1"/>
  <c r="AX2559" i="6"/>
  <c r="AY1955" i="6"/>
  <c r="BC1955" i="6" s="1"/>
  <c r="AY1477" i="6"/>
  <c r="BC1477" i="6" s="1"/>
  <c r="BA1477" i="6"/>
  <c r="AZ1477" i="6" s="1"/>
  <c r="AY178" i="6"/>
  <c r="BC178" i="6" s="1"/>
  <c r="AX178" i="6"/>
  <c r="BA178" i="6"/>
  <c r="AZ178" i="6" s="1"/>
  <c r="AX287" i="6"/>
  <c r="AY287" i="6"/>
  <c r="BC287" i="6" s="1"/>
  <c r="AY264" i="6"/>
  <c r="BC264" i="6" s="1"/>
  <c r="AX264" i="6"/>
  <c r="AX268" i="6"/>
  <c r="BA287" i="6"/>
  <c r="AZ287" i="6" s="1"/>
  <c r="BA268" i="6"/>
  <c r="AZ268" i="6" s="1"/>
  <c r="AX292" i="6"/>
  <c r="BA292" i="6"/>
  <c r="AZ292" i="6" s="1"/>
  <c r="AX1959" i="6"/>
  <c r="AY1959" i="6"/>
  <c r="BC1959" i="6" s="1"/>
  <c r="AY883" i="6"/>
  <c r="BC883" i="6" s="1"/>
  <c r="AX2564" i="6"/>
  <c r="BA2564" i="6"/>
  <c r="AZ2564" i="6" s="1"/>
  <c r="AY2564" i="6"/>
  <c r="BC2564" i="6" s="1"/>
  <c r="AX2567" i="6"/>
  <c r="AY2360" i="6"/>
  <c r="BC2360" i="6" s="1"/>
  <c r="AX2360" i="6"/>
  <c r="BA2565" i="6"/>
  <c r="AZ2565" i="6" s="1"/>
  <c r="AY2565" i="6"/>
  <c r="BC2565" i="6" s="1"/>
  <c r="BA1479" i="6"/>
  <c r="AZ1479" i="6" s="1"/>
  <c r="AX1479" i="6"/>
  <c r="BA2360" i="6"/>
  <c r="AZ2360" i="6" s="1"/>
  <c r="AX2565" i="6"/>
  <c r="AY889" i="6"/>
  <c r="BC889" i="6" s="1"/>
  <c r="AX889" i="6"/>
  <c r="BA223" i="6"/>
  <c r="AZ223" i="6" s="1"/>
  <c r="AX223" i="6"/>
  <c r="AX2195" i="6"/>
  <c r="BA2195" i="6"/>
  <c r="AZ2195" i="6" s="1"/>
  <c r="AX2191" i="6"/>
  <c r="AY2191" i="6"/>
  <c r="BC2191" i="6" s="1"/>
  <c r="AX1486" i="6"/>
  <c r="BA1486" i="6"/>
  <c r="AZ1486" i="6" s="1"/>
  <c r="AY1475" i="6"/>
  <c r="BC1475" i="6" s="1"/>
  <c r="BA1475" i="6"/>
  <c r="AZ1475" i="6" s="1"/>
  <c r="AX1475" i="6"/>
  <c r="AX887" i="6"/>
  <c r="AY2195" i="6"/>
  <c r="BC2195" i="6" s="1"/>
  <c r="AX209" i="6"/>
  <c r="BA209" i="6"/>
  <c r="AZ209" i="6" s="1"/>
  <c r="BA846" i="6"/>
  <c r="AZ846" i="6" s="1"/>
  <c r="AX846" i="6"/>
  <c r="AY2469" i="6"/>
  <c r="BC2469" i="6" s="1"/>
  <c r="AX2469" i="6"/>
  <c r="BA1958" i="6"/>
  <c r="AZ1958" i="6" s="1"/>
  <c r="AY209" i="6"/>
  <c r="BC209" i="6" s="1"/>
  <c r="AY1083" i="6"/>
  <c r="BC1083" i="6" s="1"/>
  <c r="AX238" i="6"/>
  <c r="AY238" i="6"/>
  <c r="BC238" i="6" s="1"/>
  <c r="BA1083" i="6"/>
  <c r="AZ1083" i="6" s="1"/>
  <c r="AY2358" i="6"/>
  <c r="BC2358" i="6" s="1"/>
  <c r="AX2358" i="6"/>
  <c r="BA2560" i="6"/>
  <c r="AZ2560" i="6" s="1"/>
  <c r="BA2188" i="6"/>
  <c r="AZ2188" i="6" s="1"/>
  <c r="AX894" i="6"/>
  <c r="AX939" i="6"/>
  <c r="AY237" i="6"/>
  <c r="BC237" i="6" s="1"/>
  <c r="AX940" i="6"/>
  <c r="BA948" i="6"/>
  <c r="AZ948" i="6" s="1"/>
  <c r="AX851" i="6"/>
  <c r="AX239" i="6"/>
  <c r="BA940" i="6"/>
  <c r="AZ940" i="6" s="1"/>
  <c r="AX2275" i="6"/>
  <c r="BA2275" i="6"/>
  <c r="AZ2275" i="6" s="1"/>
  <c r="AY2275" i="6"/>
  <c r="BC2275" i="6" s="1"/>
  <c r="BA2269" i="6"/>
  <c r="AZ2269" i="6" s="1"/>
  <c r="AX2269" i="6"/>
  <c r="AY2269" i="6"/>
  <c r="BC2269" i="6" s="1"/>
  <c r="AX349" i="6"/>
  <c r="BA349" i="6"/>
  <c r="AZ349" i="6" s="1"/>
  <c r="AY349" i="6"/>
  <c r="BC349" i="6" s="1"/>
  <c r="AX2276" i="6"/>
  <c r="BA2276" i="6"/>
  <c r="AZ2276" i="6" s="1"/>
  <c r="AY2276" i="6"/>
  <c r="BC2276" i="6" s="1"/>
  <c r="AY356" i="6"/>
  <c r="BC356" i="6" s="1"/>
  <c r="AX356" i="6"/>
  <c r="BA356" i="6"/>
  <c r="AZ356" i="6" s="1"/>
  <c r="AY1737" i="6"/>
  <c r="BC1737" i="6" s="1"/>
  <c r="AX1737" i="6"/>
  <c r="BA1737" i="6"/>
  <c r="AZ1737" i="6" s="1"/>
  <c r="AY350" i="6"/>
  <c r="BC350" i="6" s="1"/>
  <c r="BA350" i="6"/>
  <c r="AZ350" i="6" s="1"/>
  <c r="AX350" i="6"/>
  <c r="AX1095" i="6"/>
  <c r="AY1095" i="6"/>
  <c r="BC1095" i="6" s="1"/>
  <c r="BA1095" i="6"/>
  <c r="AZ1095" i="6" s="1"/>
  <c r="BA2264" i="6"/>
  <c r="AZ2264" i="6" s="1"/>
  <c r="AX2264" i="6"/>
  <c r="AY2264" i="6"/>
  <c r="BC2264" i="6" s="1"/>
  <c r="AX495" i="6"/>
  <c r="BA495" i="6"/>
  <c r="AZ495" i="6" s="1"/>
  <c r="AY495" i="6"/>
  <c r="BC495" i="6" s="1"/>
  <c r="BA2408" i="6"/>
  <c r="AZ2408" i="6" s="1"/>
  <c r="AX2408" i="6"/>
  <c r="AY2408" i="6"/>
  <c r="BC2408" i="6" s="1"/>
  <c r="BA1096" i="6"/>
  <c r="AZ1096" i="6" s="1"/>
  <c r="AX243" i="6"/>
  <c r="AY243" i="6"/>
  <c r="BC243" i="6" s="1"/>
  <c r="BA243" i="6"/>
  <c r="AZ243" i="6" s="1"/>
  <c r="AY1736" i="6"/>
  <c r="BC1736" i="6" s="1"/>
  <c r="AY2268" i="6"/>
  <c r="BC2268" i="6" s="1"/>
  <c r="AY2270" i="6"/>
  <c r="BC2270" i="6" s="1"/>
  <c r="AY352" i="6"/>
  <c r="BC352" i="6" s="1"/>
  <c r="BA2822" i="6"/>
  <c r="AZ2822" i="6" s="1"/>
  <c r="BA1097" i="6"/>
  <c r="AZ1097" i="6" s="1"/>
  <c r="AY1097" i="6"/>
  <c r="BC1097" i="6" s="1"/>
  <c r="AX1121" i="6"/>
  <c r="AX389" i="6"/>
  <c r="BA389" i="6"/>
  <c r="AZ389" i="6" s="1"/>
  <c r="AY389" i="6"/>
  <c r="BC389" i="6" s="1"/>
  <c r="AX1205" i="6"/>
  <c r="BA1205" i="6"/>
  <c r="AZ1205" i="6" s="1"/>
  <c r="AY1205" i="6"/>
  <c r="BC1205" i="6" s="1"/>
  <c r="BA348" i="6"/>
  <c r="AZ348" i="6" s="1"/>
  <c r="AY348" i="6"/>
  <c r="BC348" i="6" s="1"/>
  <c r="AY359" i="6"/>
  <c r="BC359" i="6" s="1"/>
  <c r="AX359" i="6"/>
  <c r="BA1122" i="6"/>
  <c r="AZ1122" i="6" s="1"/>
  <c r="AX1122" i="6"/>
  <c r="AX354" i="6"/>
  <c r="AX357" i="6"/>
  <c r="AX2405" i="6"/>
  <c r="AX2409" i="6"/>
  <c r="AX2267" i="6"/>
  <c r="AX2266" i="6"/>
  <c r="AX348" i="6"/>
  <c r="AX2410" i="6"/>
  <c r="AX351" i="6"/>
  <c r="AX353" i="6"/>
  <c r="AX355" i="6"/>
  <c r="BA354" i="6"/>
  <c r="AZ354" i="6" s="1"/>
  <c r="BA357" i="6"/>
  <c r="AZ357" i="6" s="1"/>
  <c r="BA359" i="6"/>
  <c r="AZ359" i="6" s="1"/>
  <c r="AY256" i="6"/>
  <c r="BC256" i="6" s="1"/>
  <c r="AX256" i="6"/>
  <c r="BA256" i="6"/>
  <c r="AZ256" i="6" s="1"/>
  <c r="AY2409" i="6"/>
  <c r="BC2409" i="6" s="1"/>
  <c r="AY2410" i="6"/>
  <c r="BC2410" i="6" s="1"/>
  <c r="BA353" i="6"/>
  <c r="AZ353" i="6" s="1"/>
  <c r="AY355" i="6"/>
  <c r="BC355" i="6" s="1"/>
  <c r="BA387" i="6"/>
  <c r="AZ387" i="6" s="1"/>
  <c r="AY387" i="6"/>
  <c r="BC387" i="6" s="1"/>
  <c r="AX471" i="6"/>
  <c r="BA471" i="6"/>
  <c r="AZ471" i="6" s="1"/>
  <c r="BA351" i="6"/>
  <c r="AZ351" i="6" s="1"/>
  <c r="BA1099" i="6"/>
  <c r="AZ1099" i="6" s="1"/>
  <c r="AX1099" i="6"/>
  <c r="AY471" i="6"/>
  <c r="BC471" i="6" s="1"/>
  <c r="AX242" i="6"/>
  <c r="AY242" i="6"/>
  <c r="BC242" i="6" s="1"/>
  <c r="BA242" i="6"/>
  <c r="AZ242" i="6" s="1"/>
  <c r="AY1096" i="6"/>
  <c r="BC1096" i="6" s="1"/>
  <c r="BA2411" i="6"/>
  <c r="AZ2411" i="6" s="1"/>
  <c r="AX2411" i="6"/>
  <c r="AX469" i="6"/>
  <c r="AY469" i="6"/>
  <c r="BC469" i="6" s="1"/>
  <c r="BA469" i="6"/>
  <c r="AZ469" i="6" s="1"/>
  <c r="AX484" i="6"/>
  <c r="BA484" i="6"/>
  <c r="AZ484" i="6" s="1"/>
  <c r="AY484" i="6"/>
  <c r="BC484" i="6" s="1"/>
  <c r="AX1770" i="6"/>
  <c r="BA1770" i="6"/>
  <c r="AZ1770" i="6" s="1"/>
  <c r="AY1770" i="6"/>
  <c r="BC1770" i="6" s="1"/>
  <c r="AX1233" i="6"/>
  <c r="AY1233" i="6"/>
  <c r="BC1233" i="6" s="1"/>
  <c r="AX960" i="6"/>
  <c r="BA960" i="6"/>
  <c r="AZ960" i="6" s="1"/>
  <c r="AX247" i="6"/>
  <c r="AY247" i="6"/>
  <c r="BC247" i="6" s="1"/>
  <c r="AY253" i="6"/>
  <c r="BC253" i="6" s="1"/>
  <c r="AX253" i="6"/>
  <c r="AY265" i="6"/>
  <c r="BC265" i="6" s="1"/>
  <c r="BA265" i="6"/>
  <c r="AZ265" i="6" s="1"/>
  <c r="AX265" i="6"/>
  <c r="BA275" i="6"/>
  <c r="AZ275" i="6" s="1"/>
  <c r="AY275" i="6"/>
  <c r="BC275" i="6" s="1"/>
  <c r="AX275" i="6"/>
  <c r="AX284" i="6"/>
  <c r="BA284" i="6"/>
  <c r="AZ284" i="6" s="1"/>
  <c r="AY284" i="6"/>
  <c r="BC284" i="6" s="1"/>
  <c r="AY960" i="6"/>
  <c r="BC960" i="6" s="1"/>
  <c r="BA253" i="6"/>
  <c r="AZ253" i="6" s="1"/>
  <c r="AY949" i="6"/>
  <c r="BC949" i="6" s="1"/>
  <c r="BA949" i="6"/>
  <c r="AZ949" i="6" s="1"/>
  <c r="AY276" i="6"/>
  <c r="BC276" i="6" s="1"/>
  <c r="AX276" i="6"/>
  <c r="BA276" i="6"/>
  <c r="AZ276" i="6" s="1"/>
  <c r="AX423" i="6"/>
  <c r="AY423" i="6"/>
  <c r="BC423" i="6" s="1"/>
  <c r="BA1233" i="6"/>
  <c r="AZ1233" i="6" s="1"/>
  <c r="BA247" i="6"/>
  <c r="AZ247" i="6" s="1"/>
  <c r="AX250" i="6"/>
  <c r="BA250" i="6"/>
  <c r="AZ250" i="6" s="1"/>
  <c r="AY250" i="6"/>
  <c r="BC250" i="6" s="1"/>
  <c r="AX249" i="6"/>
  <c r="AY249" i="6"/>
  <c r="BC249" i="6" s="1"/>
  <c r="AY251" i="6"/>
  <c r="BC251" i="6" s="1"/>
  <c r="AX251" i="6"/>
  <c r="BA251" i="6"/>
  <c r="AZ251" i="6" s="1"/>
  <c r="AY259" i="6"/>
  <c r="BC259" i="6" s="1"/>
  <c r="AX259" i="6"/>
  <c r="BA259" i="6"/>
  <c r="AZ259" i="6" s="1"/>
  <c r="AY273" i="6"/>
  <c r="BC273" i="6" s="1"/>
  <c r="BA273" i="6"/>
  <c r="AZ273" i="6" s="1"/>
  <c r="AX273" i="6"/>
  <c r="BA423" i="6"/>
  <c r="AZ423" i="6" s="1"/>
  <c r="AX241" i="6"/>
  <c r="BA241" i="6"/>
  <c r="AZ241" i="6" s="1"/>
  <c r="AY241" i="6"/>
  <c r="BC241" i="6" s="1"/>
  <c r="BA249" i="6"/>
  <c r="AZ249" i="6" s="1"/>
  <c r="AY262" i="6"/>
  <c r="BC262" i="6" s="1"/>
  <c r="BA262" i="6"/>
  <c r="AZ262" i="6" s="1"/>
  <c r="AX262" i="6"/>
  <c r="BA274" i="6"/>
  <c r="AZ274" i="6" s="1"/>
  <c r="AX274" i="6"/>
  <c r="AY274" i="6"/>
  <c r="BC274" i="6" s="1"/>
  <c r="AX1206" i="6"/>
  <c r="AY1206" i="6"/>
  <c r="BC1206" i="6" s="1"/>
  <c r="AY252" i="6"/>
  <c r="BC252" i="6" s="1"/>
  <c r="BA252" i="6"/>
  <c r="AZ252" i="6" s="1"/>
  <c r="AX252" i="6"/>
  <c r="AY254" i="6"/>
  <c r="BC254" i="6" s="1"/>
  <c r="AX254" i="6"/>
  <c r="BA254" i="6"/>
  <c r="AZ254" i="6" s="1"/>
  <c r="AY263" i="6"/>
  <c r="BC263" i="6" s="1"/>
  <c r="AX263" i="6"/>
  <c r="AX281" i="6"/>
  <c r="AY281" i="6"/>
  <c r="BC281" i="6" s="1"/>
  <c r="BA281" i="6"/>
  <c r="AZ281" i="6" s="1"/>
  <c r="AX570" i="6"/>
  <c r="BA570" i="6"/>
  <c r="AZ570" i="6" s="1"/>
  <c r="AX959" i="6"/>
  <c r="AY959" i="6"/>
  <c r="BC959" i="6" s="1"/>
  <c r="AX248" i="6"/>
  <c r="AY248" i="6"/>
  <c r="BC248" i="6" s="1"/>
  <c r="BA248" i="6"/>
  <c r="AZ248" i="6" s="1"/>
  <c r="BA388" i="6"/>
  <c r="AZ388" i="6" s="1"/>
  <c r="AY570" i="6"/>
  <c r="BC570" i="6" s="1"/>
  <c r="BA571" i="6"/>
  <c r="AZ571" i="6" s="1"/>
  <c r="BA1232" i="6"/>
  <c r="AZ1232" i="6" s="1"/>
  <c r="AX244" i="6"/>
  <c r="BA244" i="6"/>
  <c r="AZ244" i="6" s="1"/>
  <c r="BA959" i="6"/>
  <c r="AZ959" i="6" s="1"/>
  <c r="BA246" i="6"/>
  <c r="AZ246" i="6" s="1"/>
  <c r="AY257" i="6"/>
  <c r="BC257" i="6" s="1"/>
  <c r="BA257" i="6"/>
  <c r="AZ257" i="6" s="1"/>
  <c r="AX257" i="6"/>
  <c r="AX470" i="6"/>
  <c r="AY470" i="6"/>
  <c r="BC470" i="6" s="1"/>
  <c r="BA470" i="6"/>
  <c r="AZ470" i="6" s="1"/>
  <c r="AY244" i="6"/>
  <c r="BC244" i="6" s="1"/>
  <c r="AY255" i="6"/>
  <c r="BC255" i="6" s="1"/>
  <c r="BA255" i="6"/>
  <c r="AZ255" i="6" s="1"/>
  <c r="AX255" i="6"/>
  <c r="AY258" i="6"/>
  <c r="BC258" i="6" s="1"/>
  <c r="BA258" i="6"/>
  <c r="AZ258" i="6" s="1"/>
  <c r="AX258" i="6"/>
  <c r="AY270" i="6"/>
  <c r="BC270" i="6" s="1"/>
  <c r="BA270" i="6"/>
  <c r="AZ270" i="6" s="1"/>
  <c r="AY279" i="6"/>
  <c r="BC279" i="6" s="1"/>
  <c r="BA279" i="6"/>
  <c r="AZ279" i="6" s="1"/>
  <c r="BA282" i="6"/>
  <c r="AZ282" i="6" s="1"/>
  <c r="AY282" i="6"/>
  <c r="BC282" i="6" s="1"/>
  <c r="BA295" i="6"/>
  <c r="AZ295" i="6" s="1"/>
  <c r="AX295" i="6"/>
  <c r="AY295" i="6"/>
  <c r="BC295" i="6" s="1"/>
  <c r="AY283" i="6"/>
  <c r="BC283" i="6" s="1"/>
  <c r="AX283" i="6"/>
  <c r="BA261" i="6"/>
  <c r="AZ261" i="6" s="1"/>
  <c r="BA264" i="6"/>
  <c r="AZ264" i="6" s="1"/>
  <c r="BA283" i="6"/>
  <c r="AZ283" i="6" s="1"/>
  <c r="BA280" i="6"/>
  <c r="AZ280" i="6" s="1"/>
  <c r="AY280" i="6"/>
  <c r="BC280" i="6" s="1"/>
  <c r="AX280" i="6"/>
  <c r="AY267" i="6"/>
  <c r="BC267" i="6" s="1"/>
  <c r="AX267" i="6"/>
  <c r="AY272" i="6"/>
  <c r="BC272" i="6" s="1"/>
  <c r="AX272" i="6"/>
  <c r="BA272" i="6"/>
  <c r="AZ272" i="6" s="1"/>
  <c r="AY269" i="6"/>
  <c r="BC269" i="6" s="1"/>
  <c r="AX269" i="6"/>
  <c r="AY278" i="6"/>
  <c r="BC278" i="6" s="1"/>
  <c r="AX278" i="6"/>
  <c r="BA278" i="6"/>
  <c r="AZ278" i="6" s="1"/>
  <c r="BA2647" i="6"/>
  <c r="AZ2647" i="6" s="1"/>
  <c r="AY2647" i="6"/>
  <c r="BC2647" i="6" s="1"/>
  <c r="AX2647" i="6"/>
  <c r="BA294" i="6"/>
  <c r="AZ294" i="6" s="1"/>
  <c r="AY294" i="6"/>
  <c r="BC294" i="6" s="1"/>
  <c r="AX294" i="6"/>
  <c r="AY308" i="6"/>
  <c r="BC308" i="6" s="1"/>
  <c r="AX308" i="6"/>
  <c r="BA308" i="6"/>
  <c r="AZ308" i="6" s="1"/>
  <c r="AX2471" i="6"/>
  <c r="AY2471" i="6"/>
  <c r="BC2471" i="6" s="1"/>
  <c r="BA2471" i="6"/>
  <c r="AZ2471" i="6" s="1"/>
  <c r="BA2359" i="6"/>
  <c r="AZ2359" i="6" s="1"/>
  <c r="AX2359" i="6"/>
  <c r="AY2359" i="6"/>
  <c r="BC2359" i="6" s="1"/>
  <c r="AX2463" i="6"/>
  <c r="AY2463" i="6"/>
  <c r="BC2463" i="6" s="1"/>
  <c r="BA2463" i="6"/>
  <c r="AZ2463" i="6" s="1"/>
  <c r="BA1516" i="6"/>
  <c r="AZ1516" i="6" s="1"/>
  <c r="AX1516" i="6"/>
  <c r="AY1516" i="6"/>
  <c r="BC1516" i="6" s="1"/>
  <c r="AY932" i="6"/>
  <c r="BC932" i="6" s="1"/>
  <c r="AX932" i="6"/>
  <c r="BA932" i="6"/>
  <c r="AZ932" i="6" s="1"/>
  <c r="BA1488" i="6"/>
  <c r="AZ1488" i="6" s="1"/>
  <c r="AY1488" i="6"/>
  <c r="BC1488" i="6" s="1"/>
  <c r="AX1488" i="6"/>
  <c r="AX958" i="6"/>
  <c r="AY958" i="6"/>
  <c r="BC958" i="6" s="1"/>
  <c r="BA229" i="6"/>
  <c r="AZ229" i="6" s="1"/>
  <c r="AX229" i="6"/>
  <c r="AY229" i="6"/>
  <c r="BC229" i="6" s="1"/>
  <c r="AX271" i="6"/>
  <c r="BA271" i="6"/>
  <c r="AZ271" i="6" s="1"/>
  <c r="AX277" i="6"/>
  <c r="BA277" i="6"/>
  <c r="AZ277" i="6" s="1"/>
  <c r="BA285" i="6"/>
  <c r="AZ285" i="6" s="1"/>
  <c r="AX285" i="6"/>
  <c r="AY285" i="6"/>
  <c r="BC285" i="6" s="1"/>
  <c r="AY953" i="6"/>
  <c r="BC953" i="6" s="1"/>
  <c r="AX953" i="6"/>
  <c r="BA953" i="6"/>
  <c r="AZ953" i="6" s="1"/>
  <c r="BA958" i="6"/>
  <c r="AZ958" i="6" s="1"/>
  <c r="BA944" i="6"/>
  <c r="AZ944" i="6" s="1"/>
  <c r="AY944" i="6"/>
  <c r="BC944" i="6" s="1"/>
  <c r="AX944" i="6"/>
  <c r="BA288" i="6"/>
  <c r="AZ288" i="6" s="1"/>
  <c r="AY288" i="6"/>
  <c r="BC288" i="6" s="1"/>
  <c r="AX288" i="6"/>
  <c r="AY293" i="6"/>
  <c r="BC293" i="6" s="1"/>
  <c r="AX293" i="6"/>
  <c r="BA293" i="6"/>
  <c r="AZ293" i="6" s="1"/>
  <c r="BA2644" i="6"/>
  <c r="AZ2644" i="6" s="1"/>
  <c r="AX2644" i="6"/>
  <c r="AY2644" i="6"/>
  <c r="BC2644" i="6" s="1"/>
  <c r="AX946" i="6"/>
  <c r="BA946" i="6"/>
  <c r="AZ946" i="6" s="1"/>
  <c r="AY946" i="6"/>
  <c r="BC946" i="6" s="1"/>
  <c r="BA286" i="6"/>
  <c r="AZ286" i="6" s="1"/>
  <c r="AY286" i="6"/>
  <c r="BC286" i="6" s="1"/>
  <c r="AX286" i="6"/>
  <c r="AX290" i="6"/>
  <c r="AY290" i="6"/>
  <c r="BC290" i="6" s="1"/>
  <c r="AY951" i="6"/>
  <c r="BC951" i="6" s="1"/>
  <c r="AX951" i="6"/>
  <c r="BA951" i="6"/>
  <c r="AZ951" i="6" s="1"/>
  <c r="BA1953" i="6"/>
  <c r="AZ1953" i="6" s="1"/>
  <c r="AY1953" i="6"/>
  <c r="BC1953" i="6" s="1"/>
  <c r="AX1953" i="6"/>
  <c r="AY1489" i="6"/>
  <c r="BC1489" i="6" s="1"/>
  <c r="AX1489" i="6"/>
  <c r="BA845" i="6"/>
  <c r="AZ845" i="6" s="1"/>
  <c r="AY845" i="6"/>
  <c r="BC845" i="6" s="1"/>
  <c r="BA1480" i="6"/>
  <c r="AZ1480" i="6" s="1"/>
  <c r="AY1480" i="6"/>
  <c r="BC1480" i="6" s="1"/>
  <c r="AX1480" i="6"/>
  <c r="AY886" i="6"/>
  <c r="BC886" i="6" s="1"/>
  <c r="AX886" i="6"/>
  <c r="BA886" i="6"/>
  <c r="AZ886" i="6" s="1"/>
  <c r="BA893" i="6"/>
  <c r="AZ893" i="6" s="1"/>
  <c r="AY893" i="6"/>
  <c r="BC893" i="6" s="1"/>
  <c r="AX893" i="6"/>
  <c r="AY2355" i="6"/>
  <c r="BC2355" i="6" s="1"/>
  <c r="AX2355" i="6"/>
  <c r="BA2355" i="6"/>
  <c r="AZ2355" i="6" s="1"/>
  <c r="BA220" i="6"/>
  <c r="AZ220" i="6" s="1"/>
  <c r="AX220" i="6"/>
  <c r="AY220" i="6"/>
  <c r="BC220" i="6" s="1"/>
  <c r="BA291" i="6"/>
  <c r="AZ291" i="6" s="1"/>
  <c r="AY291" i="6"/>
  <c r="BC291" i="6" s="1"/>
  <c r="BA955" i="6"/>
  <c r="AZ955" i="6" s="1"/>
  <c r="AY955" i="6"/>
  <c r="BC955" i="6" s="1"/>
  <c r="BA954" i="6"/>
  <c r="AZ954" i="6" s="1"/>
  <c r="AY954" i="6"/>
  <c r="BC954" i="6" s="1"/>
  <c r="AX954" i="6"/>
  <c r="AX1956" i="6"/>
  <c r="BA1956" i="6"/>
  <c r="AZ1956" i="6" s="1"/>
  <c r="AY1956" i="6"/>
  <c r="BC1956" i="6" s="1"/>
  <c r="BA1476" i="6"/>
  <c r="AZ1476" i="6" s="1"/>
  <c r="AY1476" i="6"/>
  <c r="BC1476" i="6" s="1"/>
  <c r="AX1476" i="6"/>
  <c r="BA225" i="6"/>
  <c r="AZ225" i="6" s="1"/>
  <c r="AX225" i="6"/>
  <c r="AY225" i="6"/>
  <c r="BC225" i="6" s="1"/>
  <c r="AY2561" i="6"/>
  <c r="BC2561" i="6" s="1"/>
  <c r="BA2561" i="6"/>
  <c r="AZ2561" i="6" s="1"/>
  <c r="AX2561" i="6"/>
  <c r="AX2194" i="6"/>
  <c r="BA2194" i="6"/>
  <c r="AZ2194" i="6" s="1"/>
  <c r="AY2194" i="6"/>
  <c r="BC2194" i="6" s="1"/>
  <c r="AY232" i="6"/>
  <c r="BC232" i="6" s="1"/>
  <c r="BA232" i="6"/>
  <c r="AZ232" i="6" s="1"/>
  <c r="AX232" i="6"/>
  <c r="AX890" i="6"/>
  <c r="BA890" i="6"/>
  <c r="AZ890" i="6" s="1"/>
  <c r="AY890" i="6"/>
  <c r="BC890" i="6" s="1"/>
  <c r="AX291" i="6"/>
  <c r="AY296" i="6"/>
  <c r="BC296" i="6" s="1"/>
  <c r="AX955" i="6"/>
  <c r="BA2192" i="6"/>
  <c r="AZ2192" i="6" s="1"/>
  <c r="AY2192" i="6"/>
  <c r="BC2192" i="6" s="1"/>
  <c r="AX2192" i="6"/>
  <c r="AX1484" i="6"/>
  <c r="BA1484" i="6"/>
  <c r="AZ1484" i="6" s="1"/>
  <c r="AY848" i="6"/>
  <c r="BC848" i="6" s="1"/>
  <c r="AX848" i="6"/>
  <c r="BA296" i="6"/>
  <c r="AZ296" i="6" s="1"/>
  <c r="AY298" i="6"/>
  <c r="BC298" i="6" s="1"/>
  <c r="AX298" i="6"/>
  <c r="BA298" i="6"/>
  <c r="AZ298" i="6" s="1"/>
  <c r="AY952" i="6"/>
  <c r="BC952" i="6" s="1"/>
  <c r="BA956" i="6"/>
  <c r="AZ956" i="6" s="1"/>
  <c r="AX956" i="6"/>
  <c r="AX1487" i="6"/>
  <c r="BA1487" i="6"/>
  <c r="AZ1487" i="6" s="1"/>
  <c r="AY1487" i="6"/>
  <c r="BC1487" i="6" s="1"/>
  <c r="AX1472" i="6"/>
  <c r="BA1472" i="6"/>
  <c r="AZ1472" i="6" s="1"/>
  <c r="AX1474" i="6"/>
  <c r="BA1474" i="6"/>
  <c r="AZ1474" i="6" s="1"/>
  <c r="AY1474" i="6"/>
  <c r="BC1474" i="6" s="1"/>
  <c r="AY1484" i="6"/>
  <c r="BC1484" i="6" s="1"/>
  <c r="AX849" i="6"/>
  <c r="AY849" i="6"/>
  <c r="BC849" i="6" s="1"/>
  <c r="BA1471" i="6"/>
  <c r="AZ1471" i="6" s="1"/>
  <c r="AX1471" i="6"/>
  <c r="AY1471" i="6"/>
  <c r="BC1471" i="6" s="1"/>
  <c r="BA215" i="6"/>
  <c r="AZ215" i="6" s="1"/>
  <c r="AX215" i="6"/>
  <c r="AY215" i="6"/>
  <c r="BC215" i="6" s="1"/>
  <c r="AX2570" i="6"/>
  <c r="BA2570" i="6"/>
  <c r="AZ2570" i="6" s="1"/>
  <c r="AY2570" i="6"/>
  <c r="BC2570" i="6" s="1"/>
  <c r="BA297" i="6"/>
  <c r="AZ297" i="6" s="1"/>
  <c r="AY297" i="6"/>
  <c r="BC297" i="6" s="1"/>
  <c r="BA931" i="6"/>
  <c r="AZ931" i="6" s="1"/>
  <c r="AY931" i="6"/>
  <c r="BC931" i="6" s="1"/>
  <c r="BA952" i="6"/>
  <c r="AZ952" i="6" s="1"/>
  <c r="BA957" i="6"/>
  <c r="AZ957" i="6" s="1"/>
  <c r="AY957" i="6"/>
  <c r="BC957" i="6" s="1"/>
  <c r="BA1485" i="6"/>
  <c r="AZ1485" i="6" s="1"/>
  <c r="AY1485" i="6"/>
  <c r="BC1485" i="6" s="1"/>
  <c r="AX935" i="6"/>
  <c r="BA935" i="6"/>
  <c r="AZ935" i="6" s="1"/>
  <c r="AY935" i="6"/>
  <c r="BC935" i="6" s="1"/>
  <c r="AY1472" i="6"/>
  <c r="BC1472" i="6" s="1"/>
  <c r="BA849" i="6"/>
  <c r="AZ849" i="6" s="1"/>
  <c r="AY2566" i="6"/>
  <c r="BC2566" i="6" s="1"/>
  <c r="AX2566" i="6"/>
  <c r="BA2566" i="6"/>
  <c r="AZ2566" i="6" s="1"/>
  <c r="AY224" i="6"/>
  <c r="BC224" i="6" s="1"/>
  <c r="AX224" i="6"/>
  <c r="BA224" i="6"/>
  <c r="AZ224" i="6" s="1"/>
  <c r="AY289" i="6"/>
  <c r="BC289" i="6" s="1"/>
  <c r="AX289" i="6"/>
  <c r="BA289" i="6"/>
  <c r="AZ289" i="6" s="1"/>
  <c r="AX1957" i="6"/>
  <c r="BA1957" i="6"/>
  <c r="AZ1957" i="6" s="1"/>
  <c r="AY1957" i="6"/>
  <c r="BC1957" i="6" s="1"/>
  <c r="AX843" i="6"/>
  <c r="BA843" i="6"/>
  <c r="AZ843" i="6" s="1"/>
  <c r="AY180" i="6"/>
  <c r="BC180" i="6" s="1"/>
  <c r="BA180" i="6"/>
  <c r="AZ180" i="6" s="1"/>
  <c r="AX180" i="6"/>
  <c r="BA2571" i="6"/>
  <c r="AZ2571" i="6" s="1"/>
  <c r="AY2571" i="6"/>
  <c r="BC2571" i="6" s="1"/>
  <c r="AX2571" i="6"/>
  <c r="BA1482" i="6"/>
  <c r="AZ1482" i="6" s="1"/>
  <c r="BA2554" i="6"/>
  <c r="AZ2554" i="6" s="1"/>
  <c r="AY2554" i="6"/>
  <c r="BC2554" i="6" s="1"/>
  <c r="BA2563" i="6"/>
  <c r="AZ2563" i="6" s="1"/>
  <c r="AX2563" i="6"/>
  <c r="AY222" i="6"/>
  <c r="BC222" i="6" s="1"/>
  <c r="AX222" i="6"/>
  <c r="AX234" i="6"/>
  <c r="AY234" i="6"/>
  <c r="BC234" i="6" s="1"/>
  <c r="AX2568" i="6"/>
  <c r="BA2568" i="6"/>
  <c r="AZ2568" i="6" s="1"/>
  <c r="AX204" i="6"/>
  <c r="AY204" i="6"/>
  <c r="BC204" i="6" s="1"/>
  <c r="AX2646" i="6"/>
  <c r="AY2646" i="6"/>
  <c r="BC2646" i="6" s="1"/>
  <c r="BA945" i="6"/>
  <c r="AZ945" i="6" s="1"/>
  <c r="AX945" i="6"/>
  <c r="AY945" i="6"/>
  <c r="BC945" i="6" s="1"/>
  <c r="BA943" i="6"/>
  <c r="AZ943" i="6" s="1"/>
  <c r="AY846" i="6"/>
  <c r="BC846" i="6" s="1"/>
  <c r="BA850" i="6"/>
  <c r="AZ850" i="6" s="1"/>
  <c r="AY850" i="6"/>
  <c r="BC850" i="6" s="1"/>
  <c r="AY1481" i="6"/>
  <c r="BC1481" i="6" s="1"/>
  <c r="BA1481" i="6"/>
  <c r="AZ1481" i="6" s="1"/>
  <c r="AX1481" i="6"/>
  <c r="BA1959" i="6"/>
  <c r="AZ1959" i="6" s="1"/>
  <c r="BA883" i="6"/>
  <c r="AZ883" i="6" s="1"/>
  <c r="BA2363" i="6"/>
  <c r="AZ2363" i="6" s="1"/>
  <c r="AX2363" i="6"/>
  <c r="AY2362" i="6"/>
  <c r="BC2362" i="6" s="1"/>
  <c r="BA2362" i="6"/>
  <c r="AZ2362" i="6" s="1"/>
  <c r="AX2362" i="6"/>
  <c r="AX2464" i="6"/>
  <c r="AY2464" i="6"/>
  <c r="BC2464" i="6" s="1"/>
  <c r="BA207" i="6"/>
  <c r="AZ207" i="6" s="1"/>
  <c r="AX207" i="6"/>
  <c r="AY207" i="6"/>
  <c r="BC207" i="6" s="1"/>
  <c r="AX208" i="6"/>
  <c r="AY208" i="6"/>
  <c r="BC208" i="6" s="1"/>
  <c r="BA888" i="6"/>
  <c r="AZ888" i="6" s="1"/>
  <c r="AX888" i="6"/>
  <c r="AY2357" i="6"/>
  <c r="BC2357" i="6" s="1"/>
  <c r="BA2357" i="6"/>
  <c r="AZ2357" i="6" s="1"/>
  <c r="AX2357" i="6"/>
  <c r="BA219" i="6"/>
  <c r="AZ219" i="6" s="1"/>
  <c r="AX219" i="6"/>
  <c r="AY219" i="6"/>
  <c r="BC219" i="6" s="1"/>
  <c r="AX948" i="6"/>
  <c r="BA847" i="6"/>
  <c r="AZ847" i="6" s="1"/>
  <c r="AY847" i="6"/>
  <c r="BC847" i="6" s="1"/>
  <c r="BA1587" i="6"/>
  <c r="AZ1587" i="6" s="1"/>
  <c r="AX1587" i="6"/>
  <c r="BA2465" i="6"/>
  <c r="AZ2465" i="6" s="1"/>
  <c r="AY2465" i="6"/>
  <c r="BC2465" i="6" s="1"/>
  <c r="BA2464" i="6"/>
  <c r="AZ2464" i="6" s="1"/>
  <c r="AY211" i="6"/>
  <c r="BC211" i="6" s="1"/>
  <c r="BA211" i="6"/>
  <c r="AZ211" i="6" s="1"/>
  <c r="BA208" i="6"/>
  <c r="AZ208" i="6" s="1"/>
  <c r="BA227" i="6"/>
  <c r="AZ227" i="6" s="1"/>
  <c r="AY227" i="6"/>
  <c r="BC227" i="6" s="1"/>
  <c r="AX227" i="6"/>
  <c r="AY888" i="6"/>
  <c r="BC888" i="6" s="1"/>
  <c r="BA212" i="6"/>
  <c r="AZ212" i="6" s="1"/>
  <c r="AX212" i="6"/>
  <c r="AY1470" i="6"/>
  <c r="BC1470" i="6" s="1"/>
  <c r="AX1958" i="6"/>
  <c r="AX1954" i="6"/>
  <c r="AY844" i="6"/>
  <c r="BC844" i="6" s="1"/>
  <c r="AY947" i="6"/>
  <c r="BC947" i="6" s="1"/>
  <c r="BA947" i="6"/>
  <c r="AZ947" i="6" s="1"/>
  <c r="BA1483" i="6"/>
  <c r="AZ1483" i="6" s="1"/>
  <c r="AY1483" i="6"/>
  <c r="BC1483" i="6" s="1"/>
  <c r="AY884" i="6"/>
  <c r="BC884" i="6" s="1"/>
  <c r="BA884" i="6"/>
  <c r="AZ884" i="6" s="1"/>
  <c r="AX884" i="6"/>
  <c r="BA2558" i="6"/>
  <c r="AZ2558" i="6" s="1"/>
  <c r="AX2558" i="6"/>
  <c r="AX2470" i="6"/>
  <c r="BA2470" i="6"/>
  <c r="AZ2470" i="6" s="1"/>
  <c r="AY309" i="6"/>
  <c r="BC309" i="6" s="1"/>
  <c r="BA309" i="6"/>
  <c r="AZ309" i="6" s="1"/>
  <c r="AX2465" i="6"/>
  <c r="AX211" i="6"/>
  <c r="BA228" i="6"/>
  <c r="AZ228" i="6" s="1"/>
  <c r="AX228" i="6"/>
  <c r="AY212" i="6"/>
  <c r="BC212" i="6" s="1"/>
  <c r="BA2354" i="6"/>
  <c r="AZ2354" i="6" s="1"/>
  <c r="AX2354" i="6"/>
  <c r="AY2354" i="6"/>
  <c r="BC2354" i="6" s="1"/>
  <c r="BA2643" i="6"/>
  <c r="AZ2643" i="6" s="1"/>
  <c r="AX2643" i="6"/>
  <c r="AY217" i="6"/>
  <c r="BC217" i="6" s="1"/>
  <c r="AX217" i="6"/>
  <c r="AY934" i="6"/>
  <c r="BC934" i="6" s="1"/>
  <c r="AX1477" i="6"/>
  <c r="AY1473" i="6"/>
  <c r="BC1473" i="6" s="1"/>
  <c r="AX1478" i="6"/>
  <c r="AX933" i="6"/>
  <c r="AX947" i="6"/>
  <c r="AY179" i="6"/>
  <c r="BC179" i="6" s="1"/>
  <c r="AX1483" i="6"/>
  <c r="BA882" i="6"/>
  <c r="AZ882" i="6" s="1"/>
  <c r="AY882" i="6"/>
  <c r="BC882" i="6" s="1"/>
  <c r="BA2557" i="6"/>
  <c r="AZ2557" i="6" s="1"/>
  <c r="AX2562" i="6"/>
  <c r="AY2558" i="6"/>
  <c r="BC2558" i="6" s="1"/>
  <c r="AY2470" i="6"/>
  <c r="BC2470" i="6" s="1"/>
  <c r="AX309" i="6"/>
  <c r="AY228" i="6"/>
  <c r="BC228" i="6" s="1"/>
  <c r="BA233" i="6"/>
  <c r="AZ233" i="6" s="1"/>
  <c r="AX233" i="6"/>
  <c r="BA2569" i="6"/>
  <c r="AZ2569" i="6" s="1"/>
  <c r="AY2569" i="6"/>
  <c r="BC2569" i="6" s="1"/>
  <c r="BA206" i="6"/>
  <c r="AZ206" i="6" s="1"/>
  <c r="AX206" i="6"/>
  <c r="AY2643" i="6"/>
  <c r="BC2643" i="6" s="1"/>
  <c r="BA217" i="6"/>
  <c r="AZ217" i="6" s="1"/>
  <c r="AY231" i="6"/>
  <c r="BC231" i="6" s="1"/>
  <c r="AX231" i="6"/>
  <c r="BA1470" i="6"/>
  <c r="AZ1470" i="6" s="1"/>
  <c r="BA844" i="6"/>
  <c r="AZ844" i="6" s="1"/>
  <c r="BA934" i="6"/>
  <c r="AZ934" i="6" s="1"/>
  <c r="BA1473" i="6"/>
  <c r="AZ1473" i="6" s="1"/>
  <c r="BA210" i="6"/>
  <c r="AZ210" i="6" s="1"/>
  <c r="AX210" i="6"/>
  <c r="BA179" i="6"/>
  <c r="AZ179" i="6" s="1"/>
  <c r="BA885" i="6"/>
  <c r="AZ885" i="6" s="1"/>
  <c r="AY885" i="6"/>
  <c r="BC885" i="6" s="1"/>
  <c r="BA2555" i="6"/>
  <c r="AZ2555" i="6" s="1"/>
  <c r="AX2555" i="6"/>
  <c r="BA2562" i="6"/>
  <c r="AZ2562" i="6" s="1"/>
  <c r="AY2361" i="6"/>
  <c r="BC2361" i="6" s="1"/>
  <c r="BA2361" i="6"/>
  <c r="AZ2361" i="6" s="1"/>
  <c r="BA2356" i="6"/>
  <c r="AZ2356" i="6" s="1"/>
  <c r="AY2356" i="6"/>
  <c r="BC2356" i="6" s="1"/>
  <c r="BA2467" i="6"/>
  <c r="AZ2467" i="6" s="1"/>
  <c r="AX2467" i="6"/>
  <c r="AX226" i="6"/>
  <c r="BA226" i="6"/>
  <c r="AZ226" i="6" s="1"/>
  <c r="AY233" i="6"/>
  <c r="BC233" i="6" s="1"/>
  <c r="BA2466" i="6"/>
  <c r="AZ2466" i="6" s="1"/>
  <c r="AY2466" i="6"/>
  <c r="BC2466" i="6" s="1"/>
  <c r="AX2466" i="6"/>
  <c r="BA911" i="6"/>
  <c r="AZ911" i="6" s="1"/>
  <c r="AX911" i="6"/>
  <c r="AY911" i="6"/>
  <c r="BC911" i="6" s="1"/>
  <c r="BA2559" i="6"/>
  <c r="AZ2559" i="6" s="1"/>
  <c r="BA2358" i="6"/>
  <c r="AZ2358" i="6" s="1"/>
  <c r="AY223" i="6"/>
  <c r="BC223" i="6" s="1"/>
  <c r="BA887" i="6"/>
  <c r="AZ887" i="6" s="1"/>
  <c r="BA889" i="6"/>
  <c r="AZ889" i="6" s="1"/>
  <c r="AY205" i="6"/>
  <c r="BC205" i="6" s="1"/>
  <c r="BA205" i="6"/>
  <c r="AZ205" i="6" s="1"/>
  <c r="AX205" i="6"/>
  <c r="AX942" i="6"/>
  <c r="AY942" i="6"/>
  <c r="BC942" i="6" s="1"/>
  <c r="BA2469" i="6"/>
  <c r="AZ2469" i="6" s="1"/>
  <c r="AY221" i="6"/>
  <c r="BC221" i="6" s="1"/>
  <c r="AX221" i="6"/>
  <c r="BA238" i="6"/>
  <c r="AZ238" i="6" s="1"/>
  <c r="BA2468" i="6"/>
  <c r="AZ2468" i="6" s="1"/>
  <c r="AX2468" i="6"/>
  <c r="AY2193" i="6"/>
  <c r="BC2193" i="6" s="1"/>
  <c r="AX2193" i="6"/>
  <c r="AY214" i="6"/>
  <c r="BC214" i="6" s="1"/>
  <c r="BA214" i="6"/>
  <c r="AZ214" i="6" s="1"/>
  <c r="BA230" i="6"/>
  <c r="AZ230" i="6" s="1"/>
  <c r="AX230" i="6"/>
  <c r="AX237" i="6"/>
  <c r="AY892" i="6"/>
  <c r="BC892" i="6" s="1"/>
  <c r="BA892" i="6"/>
  <c r="AZ892" i="6" s="1"/>
  <c r="BA2645" i="6"/>
  <c r="AZ2645" i="6" s="1"/>
  <c r="AX2645" i="6"/>
  <c r="AY2645" i="6"/>
  <c r="BC2645" i="6" s="1"/>
  <c r="BA218" i="6"/>
  <c r="AZ218" i="6" s="1"/>
  <c r="AY218" i="6"/>
  <c r="BC218" i="6" s="1"/>
  <c r="AY235" i="6"/>
  <c r="BC235" i="6" s="1"/>
  <c r="BA235" i="6"/>
  <c r="AZ235" i="6" s="1"/>
  <c r="AX235" i="6"/>
  <c r="BA891" i="6"/>
  <c r="AZ891" i="6" s="1"/>
  <c r="AX891" i="6"/>
  <c r="AY1952" i="6"/>
  <c r="BC1952" i="6" s="1"/>
  <c r="BA1952" i="6"/>
  <c r="AZ1952" i="6" s="1"/>
  <c r="AX1952" i="6"/>
  <c r="AY897" i="6"/>
  <c r="BC897" i="6" s="1"/>
  <c r="BA897" i="6"/>
  <c r="AZ897" i="6" s="1"/>
  <c r="AX897" i="6"/>
  <c r="AY896" i="6"/>
  <c r="BC896" i="6" s="1"/>
  <c r="AX896" i="6"/>
  <c r="BA896" i="6"/>
  <c r="AZ896" i="6" s="1"/>
  <c r="AY1960" i="6"/>
  <c r="BC1960" i="6" s="1"/>
  <c r="AX1960" i="6"/>
  <c r="AY937" i="6"/>
  <c r="BC937" i="6" s="1"/>
  <c r="BA937" i="6"/>
  <c r="AZ937" i="6" s="1"/>
  <c r="AX937" i="6"/>
  <c r="BA1960" i="6"/>
  <c r="AZ1960" i="6" s="1"/>
  <c r="AY881" i="6"/>
  <c r="BC881" i="6" s="1"/>
  <c r="BA881" i="6"/>
  <c r="AZ881" i="6" s="1"/>
  <c r="AX881" i="6"/>
  <c r="AY216" i="6"/>
  <c r="BC216" i="6" s="1"/>
  <c r="BA216" i="6"/>
  <c r="AZ216" i="6" s="1"/>
  <c r="AX216" i="6"/>
  <c r="AY938" i="6"/>
  <c r="BC938" i="6" s="1"/>
  <c r="BA938" i="6"/>
  <c r="AZ938" i="6" s="1"/>
  <c r="AX938" i="6"/>
  <c r="AY895" i="6"/>
  <c r="BC895" i="6" s="1"/>
  <c r="AX895" i="6"/>
  <c r="BA895" i="6"/>
  <c r="AZ895" i="6" s="1"/>
  <c r="AY2189" i="6"/>
  <c r="BC2189" i="6" s="1"/>
  <c r="AX2189" i="6"/>
  <c r="BA2189" i="6"/>
  <c r="AZ2189" i="6" s="1"/>
  <c r="AY2186" i="6"/>
  <c r="BC2186" i="6" s="1"/>
  <c r="AX2186" i="6"/>
  <c r="AY880" i="6"/>
  <c r="BC880" i="6" s="1"/>
  <c r="BA880" i="6"/>
  <c r="AZ880" i="6" s="1"/>
  <c r="AX880" i="6"/>
  <c r="AY240" i="6"/>
  <c r="BC240" i="6" s="1"/>
  <c r="BA240" i="6"/>
  <c r="AZ240" i="6" s="1"/>
  <c r="AX240" i="6"/>
  <c r="AY2190" i="6"/>
  <c r="BC2190" i="6" s="1"/>
  <c r="AX2190" i="6"/>
  <c r="AY1577" i="6"/>
  <c r="BC1577" i="6" s="1"/>
  <c r="BA1577" i="6"/>
  <c r="AZ1577" i="6" s="1"/>
  <c r="AX1577" i="6"/>
  <c r="AY936" i="6"/>
  <c r="BC936" i="6" s="1"/>
  <c r="BA936" i="6"/>
  <c r="AZ936" i="6" s="1"/>
  <c r="AX936" i="6"/>
  <c r="AX236" i="6"/>
  <c r="AY1961" i="6"/>
  <c r="BC1961" i="6" s="1"/>
  <c r="AX1961" i="6"/>
  <c r="BA2190" i="6"/>
  <c r="AZ2190" i="6" s="1"/>
  <c r="AY2187" i="6"/>
  <c r="BC2187" i="6" s="1"/>
  <c r="BA2187" i="6"/>
  <c r="AZ2187" i="6" s="1"/>
  <c r="AX2187" i="6"/>
  <c r="AY879" i="6"/>
  <c r="BC879" i="6" s="1"/>
  <c r="AX879" i="6"/>
  <c r="BA879" i="6"/>
  <c r="AZ879" i="6" s="1"/>
  <c r="BA236" i="6"/>
  <c r="AZ236" i="6" s="1"/>
  <c r="AY941" i="6"/>
  <c r="BC941" i="6" s="1"/>
  <c r="BA941" i="6"/>
  <c r="AZ941" i="6" s="1"/>
  <c r="BA239" i="6"/>
  <c r="AZ239" i="6" s="1"/>
  <c r="BA894" i="6"/>
  <c r="AZ894" i="6" s="1"/>
  <c r="BA939" i="6"/>
  <c r="AZ939" i="6" s="1"/>
  <c r="BA1576" i="6"/>
  <c r="AZ1576" i="6" s="1"/>
  <c r="BA899" i="6"/>
  <c r="AZ899" i="6" s="1"/>
  <c r="AY899" i="6"/>
  <c r="BC899" i="6" s="1"/>
  <c r="AX899" i="6"/>
  <c r="BA898" i="6"/>
  <c r="AZ898" i="6" s="1"/>
  <c r="AY898" i="6"/>
  <c r="BC898" i="6" s="1"/>
  <c r="AX898" i="6"/>
  <c r="BA2648" i="6"/>
  <c r="AZ2648" i="6" s="1"/>
  <c r="AY2648" i="6"/>
  <c r="BC2648" i="6" s="1"/>
  <c r="AX2648" i="6"/>
  <c r="BA900" i="6"/>
  <c r="AZ900" i="6" s="1"/>
  <c r="AY900" i="6"/>
  <c r="BC900" i="6" s="1"/>
  <c r="AX900" i="6"/>
  <c r="AF1" i="6" l="1"/>
  <c r="AA1" i="6"/>
  <c r="AE1" i="6"/>
  <c r="W132" i="2" l="1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C42" i="2" l="1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Z1" i="7" l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495" authorId="0" shapeId="0" xr:uid="{F62DDFD5-78BE-413C-BCCD-63DEE786AF6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496" authorId="0" shapeId="0" xr:uid="{FDFC4D9A-2CBC-4EBC-AA74-5C6845FEBC9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506" authorId="0" shapeId="0" xr:uid="{8C00D447-804E-491B-92F2-9A09F5A37EE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507" authorId="0" shapeId="0" xr:uid="{30C7C778-4241-4FB9-A34F-6FB92DBAFFE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601" authorId="0" shapeId="0" xr:uid="{7700F014-358E-49A1-9424-44CCD459298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1282" authorId="0" shapeId="0" xr:uid="{F35A0D5C-BCDE-403A-A936-9BA50124F4B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29" authorId="0" shapeId="0" xr:uid="{92638D9C-4C5C-47E6-8CC6-D147977E9DE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30" authorId="0" shapeId="0" xr:uid="{B69AD756-1877-40E9-B302-9009566A3D0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31" authorId="0" shapeId="0" xr:uid="{60423054-05D2-4B12-B633-F59A8909890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61" authorId="0" shapeId="0" xr:uid="{5A5EE407-A4DB-4DC8-BFA3-BCCAA5A49E3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62" authorId="0" shapeId="0" xr:uid="{71A0506A-BF73-4436-8C44-FC3D5317263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69" authorId="0" shapeId="0" xr:uid="{A3C8CAA8-E02B-4D8E-AF6D-BA51B9D499E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70" authorId="0" shapeId="0" xr:uid="{5C7F70BF-9977-419D-A4E2-BD662DBAA17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97" authorId="0" shapeId="0" xr:uid="{B15D2D71-1AB7-46F4-AD23-C4F2A73B947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06" authorId="0" shapeId="0" xr:uid="{68069EA4-FCB5-4167-BC49-23D128D8115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07" authorId="0" shapeId="0" xr:uid="{053AD207-CA79-47C4-B6BB-7C6B6A2EA59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08" authorId="0" shapeId="0" xr:uid="{0EFCCF6E-1A06-439A-BD76-F772AE61FA2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09" authorId="0" shapeId="0" xr:uid="{1EB1EB1E-8ED8-4DDE-B2AF-E4959511932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10" authorId="0" shapeId="0" xr:uid="{18BBFE8C-D25A-4A07-8A9D-203F416D0DF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11" authorId="0" shapeId="0" xr:uid="{0EE5D7D9-56A0-410E-8928-E1A06B723CF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12" authorId="0" shapeId="0" xr:uid="{1B7CAE4C-A88A-4667-8A37-74C0804A5A8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13" authorId="0" shapeId="0" xr:uid="{38CF8020-A091-49EF-B184-2CAC0022D3F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14" authorId="0" shapeId="0" xr:uid="{708AAB6B-A0B6-4586-B684-F6C798DF22D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25" authorId="0" shapeId="0" xr:uid="{17047E76-EEC6-4677-9BDA-28A4F0CDDA6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26" authorId="0" shapeId="0" xr:uid="{5CD7670B-0CB1-4572-9398-2B963A7A8FF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27" authorId="0" shapeId="0" xr:uid="{FF4AA088-31C9-4051-B447-9C8D7E04C76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733" authorId="0" shapeId="0" xr:uid="{38E8FC1F-87C8-4243-A0EA-4E7C4C380BC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789" authorId="0" shapeId="0" xr:uid="{CFA668B1-AFEB-460A-8585-8CBD71B0943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871" authorId="0" shapeId="0" xr:uid="{A0AF0D09-0B2B-4831-8923-FCAC7C03002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085" authorId="0" shapeId="0" xr:uid="{60040743-8543-46D5-A5C9-FA82BF16CEF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<sst xmlns="http://schemas.openxmlformats.org/spreadsheetml/2006/main" count="70008" uniqueCount="5829">
  <si>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</si>
  <si>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</si>
  <si>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</si>
  <si>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</si>
  <si>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</si>
  <si>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</si>
  <si>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</si>
  <si>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</si>
  <si>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</si>
  <si>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</si>
  <si>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</si>
  <si>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</si>
  <si>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</si>
  <si>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</si>
  <si>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</si>
  <si>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</si>
  <si>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</si>
  <si>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</si>
  <si>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</si>
  <si>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</si>
  <si>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</si>
  <si>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</si>
  <si>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</si>
  <si>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</si>
  <si>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</si>
  <si>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</si>
  <si>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</si>
  <si>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</si>
  <si>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</si>
  <si>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</si>
  <si>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</si>
  <si>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</si>
  <si>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</si>
  <si>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</si>
  <si>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</si>
  <si>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</si>
  <si>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</si>
  <si>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</si>
  <si>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</si>
  <si>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</si>
  <si>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</si>
  <si>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</si>
  <si>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</si>
  <si>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</si>
  <si>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</si>
  <si>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</si>
  <si>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</si>
  <si>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</si>
  <si>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</si>
  <si>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</si>
  <si>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</si>
  <si>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</si>
  <si>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</si>
  <si>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</si>
  <si>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</si>
  <si>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</si>
  <si>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</si>
  <si>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</si>
  <si>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</si>
  <si>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</si>
  <si>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</si>
  <si>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</si>
  <si>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</si>
  <si>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</si>
  <si>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</si>
  <si>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</si>
  <si>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</si>
  <si>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</si>
  <si>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</si>
  <si>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</si>
  <si>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</si>
  <si>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</si>
  <si>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</si>
  <si>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</si>
  <si>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</si>
  <si>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</si>
  <si>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</si>
  <si>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</si>
  <si>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</si>
  <si>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</si>
  <si>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</si>
  <si>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</si>
  <si>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</si>
  <si>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</si>
  <si>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</si>
  <si>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</si>
  <si>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</si>
  <si>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</si>
  <si>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</si>
  <si>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</si>
  <si>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</si>
  <si>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</si>
  <si>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</si>
  <si>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</si>
  <si>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</si>
  <si>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</si>
  <si>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</si>
  <si>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</si>
  <si>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</si>
  <si>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</si>
  <si>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</si>
  <si>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</si>
  <si>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</si>
  <si>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</si>
  <si>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</si>
  <si>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</si>
  <si>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</si>
  <si>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</si>
  <si>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</si>
  <si>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</si>
  <si>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</si>
  <si>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</si>
  <si>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</si>
  <si>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</si>
  <si>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</si>
  <si>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</si>
  <si>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</si>
  <si>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</si>
  <si>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</si>
  <si>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</si>
  <si>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</si>
  <si>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</si>
  <si>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</si>
  <si>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</si>
  <si>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</si>
  <si>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</si>
  <si>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</si>
  <si>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</si>
  <si>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</si>
  <si>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</si>
  <si>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</si>
  <si>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</si>
  <si>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</si>
  <si>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</si>
  <si>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</si>
  <si>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</si>
  <si>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</si>
  <si>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</si>
  <si>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</si>
  <si>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</si>
  <si>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</si>
  <si>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</si>
  <si>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</si>
  <si>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</si>
  <si>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</si>
  <si>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</si>
  <si>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</si>
  <si>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</si>
  <si>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</si>
  <si>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</si>
  <si>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</si>
  <si>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</si>
  <si>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</si>
  <si>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</si>
  <si>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</si>
  <si>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</si>
  <si>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</si>
  <si>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</si>
  <si>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</si>
  <si>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</si>
  <si>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</si>
  <si>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</si>
  <si>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</si>
  <si>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</si>
  <si>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</si>
  <si>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</si>
  <si>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</si>
  <si>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</si>
  <si>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</si>
  <si>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</si>
  <si>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</si>
  <si>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</si>
  <si>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</si>
  <si>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</si>
  <si>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</si>
  <si>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</si>
  <si>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</si>
  <si>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</si>
  <si>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</si>
  <si>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</si>
  <si>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</si>
  <si>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</si>
  <si>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</si>
  <si>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</si>
  <si>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</si>
  <si>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</si>
  <si>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</si>
  <si>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</si>
  <si>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</si>
  <si>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</si>
  <si>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</si>
  <si>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</si>
  <si>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</si>
  <si>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</si>
  <si>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</si>
  <si>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</si>
  <si>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</si>
  <si>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</si>
  <si>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</si>
  <si>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</si>
  <si>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</si>
  <si>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</si>
  <si>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</si>
  <si>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</si>
  <si>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</si>
  <si>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</si>
  <si>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</si>
  <si>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</si>
  <si>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</si>
  <si>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</si>
  <si>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</si>
  <si>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</si>
  <si>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</si>
  <si>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</si>
  <si>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</si>
  <si>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</si>
  <si>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</si>
  <si>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</si>
  <si>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</si>
  <si>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</si>
  <si>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</si>
  <si>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</si>
  <si>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</si>
  <si>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</si>
  <si>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</si>
  <si>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</si>
  <si>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</si>
  <si>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</si>
  <si>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</si>
  <si>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</si>
  <si>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</si>
  <si>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</si>
  <si>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</si>
  <si>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</si>
  <si>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</si>
  <si>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</si>
  <si>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</si>
  <si>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</si>
  <si>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</si>
  <si>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</si>
  <si>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</si>
  <si>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</si>
  <si>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</si>
  <si>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</si>
  <si>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</si>
  <si>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</si>
  <si>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</si>
  <si>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</si>
  <si>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</si>
  <si>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</si>
  <si>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</si>
  <si>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</si>
  <si>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</si>
  <si>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</si>
  <si>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</si>
  <si>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</si>
  <si>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</si>
  <si>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</si>
  <si>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</si>
  <si>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</si>
  <si>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</si>
  <si>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</si>
  <si>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</si>
  <si>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</si>
  <si>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</si>
  <si>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</si>
  <si>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</si>
  <si>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</si>
  <si>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</si>
  <si>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</si>
  <si>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</si>
  <si>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</si>
  <si>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</si>
  <si>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</si>
  <si>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</si>
  <si>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</si>
  <si>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</si>
  <si>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</si>
  <si>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</si>
  <si>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</si>
  <si>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</si>
  <si>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</si>
  <si>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</si>
  <si>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</si>
  <si>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</si>
  <si>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</si>
  <si>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</si>
  <si>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</si>
  <si>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</si>
  <si>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</si>
  <si>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</si>
  <si>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</si>
  <si>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</si>
  <si>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</si>
  <si>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</si>
  <si>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</si>
  <si>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</si>
  <si>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</si>
  <si>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</si>
  <si>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</si>
  <si>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</si>
  <si>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</si>
  <si>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</si>
  <si>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</si>
  <si>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</si>
  <si>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</si>
  <si>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</si>
  <si>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</si>
  <si>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</si>
  <si>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</si>
  <si>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</si>
  <si>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</si>
  <si>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</si>
  <si>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</si>
  <si>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</si>
  <si>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</si>
  <si>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</si>
  <si>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</si>
  <si>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</si>
  <si>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</si>
  <si>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</si>
  <si>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</si>
  <si>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</si>
  <si>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</si>
  <si>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</si>
  <si>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</si>
  <si>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</si>
  <si>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</si>
  <si>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</si>
  <si>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</si>
  <si>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</si>
  <si>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</si>
  <si>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</si>
  <si>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</si>
  <si>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</si>
  <si>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</si>
  <si>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</si>
  <si>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</si>
  <si>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</si>
  <si>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</si>
  <si>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</si>
  <si>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</si>
  <si>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</si>
  <si>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</si>
  <si>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</si>
  <si>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</si>
  <si>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</si>
  <si>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</si>
  <si>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</si>
  <si>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</si>
  <si>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</si>
  <si>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</si>
  <si>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</si>
  <si>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</si>
  <si>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</si>
  <si>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</si>
  <si>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</si>
  <si>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</si>
  <si>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</si>
  <si>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</si>
  <si>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</si>
  <si>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</si>
  <si>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</si>
  <si>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</si>
  <si>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</si>
  <si>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</si>
  <si>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</si>
  <si>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</si>
  <si>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</si>
  <si>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</si>
  <si>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</si>
  <si>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</si>
  <si>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</si>
  <si>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</si>
  <si>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</si>
  <si>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</si>
  <si>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</si>
  <si>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</si>
  <si>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</si>
  <si>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</si>
  <si>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</si>
  <si>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</si>
  <si>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</si>
  <si>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</si>
  <si>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</si>
  <si>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</si>
  <si>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</si>
  <si>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</si>
  <si>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</si>
  <si>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</si>
  <si>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</si>
  <si>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</si>
  <si>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</si>
  <si>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</si>
  <si>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</si>
  <si>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</si>
  <si>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</si>
  <si>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</si>
  <si>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</si>
  <si>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</si>
  <si>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</si>
  <si>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</si>
  <si>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</si>
  <si>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</si>
  <si>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</si>
  <si>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</si>
  <si>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</si>
  <si>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</si>
  <si>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</si>
  <si>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</si>
  <si>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</si>
  <si>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</si>
  <si>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</si>
  <si>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</si>
  <si>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</si>
  <si>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</si>
  <si>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</si>
  <si>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</si>
  <si>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</si>
  <si>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</si>
  <si>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</si>
  <si>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</si>
  <si>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</si>
  <si>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</si>
  <si>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</si>
  <si>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</si>
  <si>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</si>
  <si>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</si>
  <si>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</si>
  <si>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</si>
  <si>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</si>
  <si>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</si>
  <si>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</si>
  <si>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</si>
  <si>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</si>
  <si>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</si>
  <si>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</si>
  <si>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</si>
  <si>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</si>
  <si>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</si>
  <si>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</si>
  <si>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</si>
  <si>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</si>
  <si>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</si>
  <si>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</si>
  <si>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</si>
  <si>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</si>
  <si>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</si>
  <si>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</si>
  <si>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</si>
  <si>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</si>
  <si>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</si>
  <si>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</si>
  <si>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</si>
  <si>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</si>
  <si>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</si>
  <si>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</si>
  <si>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</si>
  <si>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</si>
  <si>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</si>
  <si>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</si>
  <si>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</si>
  <si>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</si>
  <si>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</si>
  <si>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</si>
  <si>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</si>
  <si>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</si>
  <si>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</si>
  <si>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</si>
  <si>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</si>
  <si>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</si>
  <si>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</si>
  <si>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</si>
  <si>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</si>
  <si>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</si>
  <si>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</si>
  <si>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</si>
  <si>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</si>
  <si>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</si>
  <si>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</si>
  <si>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</si>
  <si>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</si>
  <si>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</si>
  <si>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</si>
  <si>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</si>
  <si>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</si>
  <si>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</si>
  <si>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</si>
  <si>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</si>
  <si>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</si>
  <si>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</si>
  <si>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</si>
  <si>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</si>
  <si>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</si>
  <si>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</si>
  <si>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</si>
  <si>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</si>
  <si>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</si>
  <si>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</si>
  <si>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</si>
  <si>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</si>
  <si>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</si>
  <si>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</si>
  <si>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</si>
  <si>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</si>
  <si>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</si>
  <si>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</si>
  <si>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</si>
  <si>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</si>
  <si>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</si>
  <si>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</si>
  <si>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</si>
  <si>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</si>
  <si>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</si>
  <si>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</si>
  <si>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</si>
  <si>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</si>
  <si>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</si>
  <si>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</si>
  <si>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</si>
  <si>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</si>
  <si>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</si>
  <si>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</si>
  <si>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</si>
  <si>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</si>
  <si>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</si>
  <si>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</si>
  <si>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</si>
  <si>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</si>
  <si>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</si>
  <si>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</si>
  <si>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</si>
  <si>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</si>
  <si>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</si>
  <si>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</si>
  <si>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</si>
  <si>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</si>
  <si>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</si>
  <si>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</si>
  <si>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</si>
  <si>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</si>
  <si>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</si>
  <si>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</si>
  <si>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</si>
  <si>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</si>
  <si>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</si>
  <si>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</si>
  <si>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</si>
  <si>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</si>
  <si>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</si>
  <si>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</si>
  <si>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</si>
  <si>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</si>
  <si>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</si>
  <si>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</si>
  <si>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</si>
  <si>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</si>
  <si>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</si>
  <si>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</si>
  <si>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</si>
  <si>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</si>
  <si>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</si>
  <si>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</si>
  <si>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</si>
  <si>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</si>
  <si>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</si>
  <si>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</si>
  <si>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</si>
  <si>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</si>
  <si>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</si>
  <si>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</si>
  <si>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</si>
  <si>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</si>
  <si>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</si>
  <si>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</si>
  <si>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</si>
  <si>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</si>
  <si>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</si>
  <si>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</si>
  <si>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</si>
  <si>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</si>
  <si>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</si>
  <si>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</si>
  <si>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</si>
  <si>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</si>
  <si>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</si>
  <si>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</si>
  <si>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</si>
  <si>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</si>
  <si>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</si>
  <si>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</si>
  <si>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</si>
  <si>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</si>
  <si>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</si>
  <si>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</si>
  <si>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</si>
  <si>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</si>
  <si>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</si>
  <si>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</si>
  <si>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</si>
  <si>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</si>
  <si>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</si>
  <si>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</si>
  <si>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</si>
  <si>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</si>
  <si>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</si>
  <si>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</si>
  <si>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</si>
  <si>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</si>
  <si>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</si>
  <si>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</si>
  <si>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</si>
  <si>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</si>
  <si>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</si>
  <si>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</si>
  <si>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</si>
  <si>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</si>
  <si>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</si>
  <si>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</si>
  <si>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</si>
  <si>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</si>
  <si>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</si>
  <si>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</si>
  <si>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</si>
  <si>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</si>
  <si>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</si>
  <si>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</si>
  <si>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</si>
  <si>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</si>
  <si>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</si>
  <si>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</si>
  <si>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</si>
  <si>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</si>
  <si>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</si>
  <si>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</si>
  <si>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</si>
  <si>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</si>
  <si>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</si>
  <si>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</si>
  <si>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</si>
  <si>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</si>
  <si>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</si>
  <si>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</si>
  <si>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</si>
  <si>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</si>
  <si>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</si>
  <si>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</si>
  <si>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</si>
  <si>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</si>
  <si>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</si>
  <si>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</si>
  <si>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</si>
  <si>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</si>
  <si>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</si>
  <si>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</si>
  <si>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</si>
  <si>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</si>
  <si>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</si>
  <si>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</si>
  <si>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</si>
  <si>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</si>
  <si>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</si>
  <si>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</si>
  <si>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</si>
  <si>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</si>
  <si>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</si>
  <si>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</si>
  <si>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</si>
  <si>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</si>
  <si>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</si>
  <si>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</si>
  <si>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</si>
  <si>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</si>
  <si>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</si>
  <si>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</si>
  <si>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</si>
  <si>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</si>
  <si>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</si>
  <si>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</si>
  <si>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</si>
  <si>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</si>
  <si>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</si>
  <si>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</si>
  <si>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</si>
  <si>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</si>
  <si>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</si>
  <si>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</si>
  <si>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</si>
  <si>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</si>
  <si>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</si>
  <si>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</si>
  <si>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</si>
  <si>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</si>
  <si>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</si>
  <si>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</si>
  <si>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</si>
  <si>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</si>
  <si>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</si>
  <si>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</si>
  <si>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</si>
  <si>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</si>
  <si>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</si>
  <si>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</si>
  <si>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</si>
  <si>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</si>
  <si>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</si>
  <si>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</si>
  <si>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</si>
  <si>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</si>
  <si>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</si>
  <si>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</si>
  <si>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</si>
  <si>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</si>
  <si>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</si>
  <si>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</si>
  <si>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</si>
  <si>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</si>
  <si>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</si>
  <si>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</si>
  <si>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</si>
  <si>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</si>
  <si>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</si>
  <si>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</si>
  <si>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</si>
  <si>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</si>
  <si>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</si>
  <si>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</si>
  <si>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</si>
  <si>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</si>
  <si>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</si>
  <si>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</si>
  <si>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</si>
  <si>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</si>
  <si>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</si>
  <si>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</si>
  <si>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</si>
  <si>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</si>
  <si>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</si>
  <si>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</si>
  <si>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</si>
  <si>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</si>
  <si>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</si>
  <si>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</si>
  <si>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</si>
  <si>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</si>
  <si>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</si>
  <si>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</si>
  <si>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</si>
  <si>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</si>
  <si>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</si>
  <si>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</si>
  <si>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</si>
  <si>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</si>
  <si>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</si>
  <si>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</si>
  <si>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</si>
  <si>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</si>
  <si>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</si>
  <si>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</si>
  <si>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</si>
  <si>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</si>
  <si>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</si>
  <si>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</si>
  <si>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</si>
  <si>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</si>
  <si>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</si>
  <si>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</si>
  <si>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</si>
  <si>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</si>
  <si>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</si>
  <si>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</si>
  <si>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</si>
  <si>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</si>
  <si>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</si>
  <si>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</si>
  <si>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</si>
  <si>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</si>
  <si>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</si>
  <si>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</si>
  <si>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</si>
  <si>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</si>
  <si>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</si>
  <si>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</si>
  <si>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</si>
  <si>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</si>
  <si>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</si>
  <si>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</si>
  <si>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</si>
  <si>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</si>
  <si>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</si>
  <si>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</si>
  <si>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</si>
  <si>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</si>
  <si>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</si>
  <si>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</si>
  <si>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</si>
  <si>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</si>
  <si>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</si>
  <si>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</si>
  <si>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</si>
  <si>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</si>
  <si>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</si>
  <si>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</si>
  <si>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</si>
  <si>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</si>
  <si>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</si>
  <si>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</si>
  <si>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</si>
  <si>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</si>
  <si>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</si>
  <si>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</si>
  <si>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</si>
  <si>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</si>
  <si>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</si>
  <si>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</si>
  <si>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</si>
  <si>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</si>
  <si>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</si>
  <si>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</si>
  <si>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</si>
  <si>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</si>
  <si>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</si>
  <si>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</si>
  <si>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</si>
  <si>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</si>
  <si>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</si>
  <si>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</si>
  <si>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</si>
  <si>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</si>
  <si>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</si>
  <si>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</si>
  <si>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</si>
  <si>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</si>
  <si>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</si>
  <si>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</si>
  <si>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</si>
  <si>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</si>
  <si>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</si>
  <si>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</si>
  <si>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</si>
  <si>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</si>
  <si>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</si>
  <si>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</si>
  <si>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</si>
  <si>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</si>
  <si>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</si>
  <si>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</si>
  <si>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</si>
  <si>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</si>
  <si>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</si>
  <si>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</si>
  <si>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</si>
  <si>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</si>
  <si>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</si>
  <si>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</si>
  <si>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</si>
  <si>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</si>
  <si>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</si>
  <si>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</si>
  <si>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</si>
  <si>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</si>
  <si>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</si>
  <si>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</si>
  <si>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</si>
  <si>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</si>
  <si>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</si>
  <si>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</si>
  <si>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</si>
  <si>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</si>
  <si>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</si>
  <si>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</si>
  <si>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</si>
  <si>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</si>
  <si>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</si>
  <si>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</si>
  <si>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</si>
  <si>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</si>
  <si>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</si>
  <si>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</si>
  <si>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</si>
  <si>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</si>
  <si>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</si>
  <si>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</si>
  <si>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</si>
  <si>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</si>
  <si>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</si>
  <si>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</si>
  <si>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</si>
  <si>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</si>
  <si>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</si>
  <si>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</si>
  <si>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</si>
  <si>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</si>
  <si>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</si>
  <si>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</si>
  <si>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</si>
  <si>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</si>
  <si>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</si>
  <si>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</si>
  <si>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</si>
  <si>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</si>
  <si>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</si>
  <si>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</si>
  <si>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</si>
  <si>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</si>
  <si>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</si>
  <si>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</si>
  <si>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</si>
  <si>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</si>
  <si>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</si>
  <si>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</si>
  <si>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</si>
  <si>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</si>
  <si>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</si>
  <si>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</si>
  <si>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</si>
  <si>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</si>
  <si>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</si>
  <si>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</si>
  <si>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</si>
  <si>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</si>
  <si>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</si>
  <si>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</si>
  <si>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</si>
  <si>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</si>
  <si>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</si>
  <si>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</si>
  <si>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</si>
  <si>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</si>
  <si>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</si>
  <si>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</si>
  <si>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</si>
  <si>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</si>
  <si>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</si>
  <si>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</si>
  <si>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</si>
  <si>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</si>
  <si>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</si>
  <si>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</si>
  <si>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</si>
  <si>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</si>
  <si>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</si>
  <si>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</si>
  <si>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</si>
  <si>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</si>
  <si>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</si>
  <si>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</si>
  <si>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</si>
  <si>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</si>
  <si>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</si>
  <si>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</si>
  <si>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</si>
  <si>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</si>
  <si>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</si>
  <si>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</si>
  <si>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</si>
  <si>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</si>
  <si>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</si>
  <si>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</si>
  <si>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</si>
  <si>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</si>
  <si>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</si>
  <si>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</si>
  <si>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</si>
  <si>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</si>
  <si>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</si>
  <si>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</si>
  <si>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</si>
  <si>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</si>
  <si>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</si>
  <si>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</si>
  <si>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</si>
  <si>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</si>
  <si>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</si>
  <si>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</si>
  <si>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</si>
  <si>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</si>
  <si>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</si>
  <si>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</si>
  <si>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</si>
  <si>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</si>
  <si>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</si>
  <si>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</si>
  <si>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</si>
  <si>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</si>
  <si>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</si>
  <si>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</si>
  <si>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</si>
  <si>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</si>
  <si>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</si>
  <si>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</si>
  <si>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</si>
  <si>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</si>
  <si>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</si>
  <si>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</si>
  <si>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</si>
  <si>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</si>
  <si>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</si>
  <si>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</si>
  <si>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</si>
  <si>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</si>
  <si>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</si>
  <si>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</si>
  <si>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</si>
  <si>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</si>
  <si>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</si>
  <si>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</si>
  <si>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</si>
  <si>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</si>
  <si>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</si>
  <si>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</si>
  <si>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</si>
  <si>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</si>
  <si>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</si>
  <si>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</si>
  <si>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</si>
  <si>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</si>
  <si>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</si>
  <si>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</si>
  <si>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</si>
  <si>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</si>
  <si>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</si>
  <si>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</si>
  <si>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</si>
  <si>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</si>
  <si>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</si>
  <si>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</si>
  <si>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</si>
  <si>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</si>
  <si>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</si>
  <si>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</si>
  <si>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</si>
  <si>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</si>
  <si>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</si>
  <si>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</si>
  <si>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</si>
  <si>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</si>
  <si>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</si>
  <si>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</si>
  <si>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</si>
  <si>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</si>
  <si>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</si>
  <si>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</si>
  <si>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</si>
  <si>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</si>
  <si>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</si>
  <si>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</si>
  <si>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</si>
  <si>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</si>
  <si>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</si>
  <si>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</si>
  <si>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</si>
  <si>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</si>
  <si>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</si>
  <si>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</si>
  <si>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</si>
  <si>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</si>
  <si>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</si>
  <si>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</si>
  <si>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</si>
  <si>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</si>
  <si>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</si>
  <si>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</si>
  <si>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</si>
  <si>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</si>
  <si>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SO Approval</t>
  </si>
  <si>
    <t>KB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</si>
  <si>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</si>
  <si>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</si>
  <si>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</si>
  <si>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</si>
  <si>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</si>
  <si>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</si>
  <si>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</si>
  <si>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</si>
  <si>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</si>
  <si>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</si>
  <si>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P3H</t>
  </si>
  <si>
    <t>100% received</t>
  </si>
  <si>
    <t>PO-01202</t>
  </si>
  <si>
    <t>Alten Group, Inc.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</si>
  <si>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</si>
  <si>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</si>
  <si>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</si>
  <si>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</si>
  <si>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</si>
  <si>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</si>
  <si>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</si>
  <si>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</si>
  <si>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</si>
  <si>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</si>
  <si>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</si>
  <si>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</si>
  <si>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</si>
  <si>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</si>
  <si>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</si>
  <si>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</si>
  <si>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</si>
  <si>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</si>
  <si>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</si>
  <si>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</si>
  <si>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</si>
  <si>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</si>
  <si>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</si>
  <si>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</si>
  <si>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</si>
  <si>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</si>
  <si>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</si>
  <si>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</si>
  <si>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</si>
  <si>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</si>
  <si>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</si>
  <si>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</si>
  <si>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</si>
  <si>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</si>
  <si>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</si>
  <si>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</si>
  <si>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</si>
  <si>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</si>
  <si>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</si>
  <si>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</si>
  <si>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</si>
  <si>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</si>
  <si>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</si>
  <si>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</si>
  <si>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</si>
  <si>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</si>
  <si>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</si>
  <si>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</si>
  <si>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</si>
  <si>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</si>
  <si>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</si>
  <si>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</si>
  <si>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</si>
  <si>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</si>
  <si>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</si>
  <si>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</si>
  <si>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</si>
  <si>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</si>
  <si>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</si>
  <si>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</si>
  <si>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</si>
  <si>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</si>
  <si>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</si>
  <si>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</si>
  <si>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</si>
  <si>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</si>
  <si>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</si>
  <si>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</si>
  <si>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</si>
  <si>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</si>
  <si>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</si>
  <si>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</si>
  <si>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</si>
  <si>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</si>
  <si>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</si>
  <si>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</si>
  <si>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</si>
  <si>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</si>
  <si>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</si>
  <si>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</si>
  <si>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</si>
  <si>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</si>
  <si>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</si>
  <si>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</si>
  <si>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</si>
  <si>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</si>
  <si>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</si>
  <si>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</si>
  <si>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</si>
  <si>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</si>
  <si>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</si>
  <si>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</si>
  <si>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</si>
  <si>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</si>
  <si>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</si>
  <si>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</si>
  <si>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</si>
  <si>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</si>
  <si>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</si>
  <si>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</si>
  <si>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</si>
  <si>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</si>
  <si>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</si>
  <si>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</si>
  <si>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</si>
  <si>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</si>
  <si>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</si>
  <si>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</si>
  <si>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</si>
  <si>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</si>
  <si>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</si>
  <si>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</si>
  <si>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</si>
  <si>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</si>
  <si>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</si>
  <si>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</si>
  <si>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</si>
  <si>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</si>
  <si>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</si>
  <si>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</si>
  <si>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</si>
  <si>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</si>
  <si>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</si>
  <si>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</si>
  <si>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</si>
  <si>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</si>
  <si>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</si>
  <si>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</si>
  <si>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</si>
  <si>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</si>
  <si>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</si>
  <si>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</si>
  <si>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</si>
  <si>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</si>
  <si>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</si>
  <si>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</si>
  <si>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</si>
  <si>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</si>
  <si>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</si>
  <si>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</si>
  <si>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</si>
  <si>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>1154-CK-900230S</t>
  </si>
  <si>
    <t>Q.PEAK DUO BLK G10+ AC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</si>
  <si>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</si>
  <si>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</si>
  <si>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</si>
  <si>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</si>
  <si>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</si>
  <si>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</si>
  <si>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</si>
  <si>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</si>
  <si>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</si>
  <si>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</si>
  <si>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</si>
  <si>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</si>
  <si>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</si>
  <si>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</si>
  <si>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</si>
  <si>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</si>
  <si>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</si>
  <si>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</si>
  <si>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</si>
  <si>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</si>
  <si>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</si>
  <si>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</si>
  <si>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</si>
  <si>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</si>
  <si>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</si>
  <si>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</si>
  <si>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</si>
  <si>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</si>
  <si>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</si>
  <si>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</si>
  <si>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</si>
  <si>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</si>
  <si>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</si>
  <si>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</si>
  <si>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</si>
  <si>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</si>
  <si>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</si>
  <si>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</si>
  <si>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</si>
  <si>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</si>
  <si>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</si>
  <si>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</si>
  <si>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</si>
  <si>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</si>
  <si>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</si>
  <si>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</si>
  <si>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</si>
  <si>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</si>
  <si>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</si>
  <si>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</si>
  <si>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</si>
  <si>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</si>
  <si>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</si>
  <si>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</si>
  <si>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</si>
  <si>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</si>
  <si>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</si>
  <si>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</si>
  <si>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</si>
  <si>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</si>
  <si>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</si>
  <si>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</si>
  <si>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</si>
  <si>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</si>
  <si>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</si>
  <si>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</si>
  <si>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</si>
  <si>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</si>
  <si>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</si>
  <si>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</si>
  <si>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</si>
  <si>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</si>
  <si>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</si>
  <si>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</si>
  <si>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</si>
  <si>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</si>
  <si>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</si>
  <si>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</si>
  <si>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</si>
  <si>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</si>
  <si>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</si>
  <si>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</si>
  <si>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</si>
  <si>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</si>
  <si>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</si>
  <si>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</si>
  <si>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</si>
  <si>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</si>
  <si>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</si>
  <si>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</si>
  <si>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</si>
  <si>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</si>
  <si>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</si>
  <si>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</si>
  <si>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</si>
  <si>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</si>
  <si>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4664-GS-903115S</t>
  </si>
  <si>
    <t>4664-GS-903104S PT2</t>
  </si>
  <si>
    <t>4664-GS-903105S PT2</t>
  </si>
  <si>
    <t>need payment</t>
  </si>
  <si>
    <t>4664-GS-903131S PT3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</si>
  <si>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</si>
  <si>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</si>
  <si>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</si>
  <si>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</si>
  <si>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</si>
  <si>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</si>
  <si>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</si>
  <si>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</si>
  <si>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</si>
  <si>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</si>
  <si>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</si>
  <si>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</si>
  <si>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</si>
  <si>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</si>
  <si>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</si>
  <si>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</si>
  <si>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</si>
  <si>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</si>
  <si>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</si>
  <si>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</si>
  <si>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</si>
  <si>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</si>
  <si>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</si>
  <si>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</si>
  <si>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</si>
  <si>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</si>
  <si>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</si>
  <si>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</si>
  <si>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</si>
  <si>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</si>
  <si>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</si>
  <si>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</si>
  <si>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</si>
  <si>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</si>
  <si>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</si>
  <si>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</si>
  <si>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</si>
  <si>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</si>
  <si>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</si>
  <si>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</si>
  <si>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</si>
  <si>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</si>
  <si>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</si>
  <si>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</si>
  <si>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</si>
  <si>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</si>
  <si>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</si>
  <si>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</si>
  <si>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</si>
  <si>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</si>
  <si>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</si>
  <si>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</si>
  <si>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</si>
  <si>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</si>
  <si>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</si>
  <si>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</si>
  <si>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</si>
  <si>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</si>
  <si>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</si>
  <si>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</si>
  <si>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</si>
  <si>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</si>
  <si>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</si>
  <si>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</si>
  <si>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</si>
  <si>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</si>
  <si>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</si>
  <si>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</si>
  <si>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</si>
  <si>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</si>
  <si>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</si>
  <si>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</si>
  <si>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</si>
  <si>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</si>
  <si>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</si>
  <si>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</si>
  <si>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</si>
  <si>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</si>
  <si>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</si>
  <si>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</si>
  <si>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</si>
  <si>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</si>
  <si>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</si>
  <si>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</si>
  <si>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</si>
  <si>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</si>
  <si>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</si>
  <si>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</si>
  <si>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</si>
  <si>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</si>
  <si>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</si>
  <si>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</si>
  <si>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</si>
  <si>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</si>
  <si>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</si>
  <si>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</si>
  <si>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</si>
  <si>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</si>
  <si>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</si>
  <si>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</si>
  <si>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</si>
  <si>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</si>
  <si>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</si>
  <si>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</si>
  <si>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</si>
  <si>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</si>
  <si>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</si>
  <si>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</si>
  <si>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</si>
  <si>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</si>
  <si>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</si>
  <si>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</si>
  <si>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</si>
  <si>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</si>
  <si>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</si>
  <si>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</si>
  <si>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</si>
  <si>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</si>
  <si>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</si>
  <si>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</si>
  <si>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</si>
  <si>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</si>
  <si>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</si>
  <si>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</si>
  <si>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</si>
  <si>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</si>
  <si>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</si>
  <si>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</si>
  <si>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</si>
  <si>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</si>
  <si>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</si>
  <si>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</si>
  <si>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</si>
  <si>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</si>
  <si>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</si>
  <si>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</si>
  <si>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</si>
  <si>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</si>
  <si>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</si>
  <si>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</si>
  <si>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</si>
  <si>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</si>
  <si>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</si>
  <si>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</si>
  <si>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</si>
  <si>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</si>
  <si>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</si>
  <si>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</si>
  <si>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</si>
  <si>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</si>
  <si>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</si>
  <si>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</si>
  <si>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</si>
  <si>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</si>
  <si>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</si>
  <si>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</si>
  <si>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</si>
  <si>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</si>
  <si>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</si>
  <si>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</si>
  <si>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</si>
  <si>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</si>
  <si>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</si>
  <si>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</si>
  <si>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</si>
  <si>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</si>
  <si>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</si>
  <si>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</si>
  <si>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</si>
  <si>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</si>
  <si>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</si>
  <si>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</si>
  <si>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</si>
  <si>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</si>
  <si>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</si>
  <si>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</si>
  <si>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</si>
  <si>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</si>
  <si>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</si>
  <si>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</si>
  <si>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</si>
  <si>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</si>
  <si>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</si>
  <si>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</si>
  <si>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</si>
  <si>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</si>
  <si>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</si>
  <si>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</si>
  <si>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</si>
  <si>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</si>
  <si>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</si>
  <si>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</si>
  <si>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</si>
  <si>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</si>
  <si>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</si>
  <si>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</si>
  <si>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</si>
  <si>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</si>
  <si>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</si>
  <si>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</si>
  <si>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</si>
  <si>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</si>
  <si>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</si>
  <si>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</si>
  <si>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</si>
  <si>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</si>
  <si>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</si>
  <si>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</si>
  <si>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</si>
  <si>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</si>
  <si>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</si>
  <si>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</si>
  <si>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</si>
  <si>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</si>
  <si>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</si>
  <si>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</si>
  <si>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</si>
  <si>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</si>
  <si>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</si>
  <si>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</si>
  <si>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</si>
  <si>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</si>
  <si>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</si>
  <si>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</si>
  <si>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</si>
  <si>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</si>
  <si>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</si>
  <si>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</si>
  <si>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</si>
  <si>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</si>
  <si>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</si>
  <si>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</si>
  <si>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</si>
  <si>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</si>
  <si>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</si>
  <si>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</si>
  <si>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</si>
  <si>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</si>
  <si>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</si>
  <si>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</si>
  <si>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</si>
  <si>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</si>
  <si>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</si>
  <si>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</si>
  <si>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</si>
  <si>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</si>
  <si>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</si>
  <si>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</si>
  <si>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</si>
  <si>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</si>
  <si>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</si>
  <si>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</si>
  <si>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</si>
  <si>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</si>
  <si>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</si>
  <si>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</si>
  <si>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</si>
  <si>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</si>
  <si>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</si>
  <si>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</si>
  <si>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</si>
  <si>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</si>
  <si>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</si>
  <si>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</si>
  <si>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</si>
  <si>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</si>
  <si>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</si>
  <si>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</si>
  <si>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</si>
  <si>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</si>
  <si>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</si>
  <si>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</si>
  <si>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</si>
  <si>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</si>
  <si>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</si>
  <si>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</si>
  <si>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</si>
  <si>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</si>
  <si>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</si>
  <si>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</si>
  <si>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</si>
  <si>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</si>
  <si>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</si>
  <si>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</si>
  <si>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</si>
  <si>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</si>
  <si>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</si>
  <si>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</si>
  <si>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</si>
  <si>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</si>
  <si>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</si>
  <si>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</si>
  <si>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</si>
  <si>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</si>
  <si>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</si>
  <si>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</si>
  <si>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</si>
  <si>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</si>
  <si>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</si>
  <si>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</si>
  <si>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</si>
  <si>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</si>
  <si>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</si>
  <si>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</si>
  <si>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</si>
  <si>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</si>
  <si>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</si>
  <si>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</si>
  <si>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</si>
  <si>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</si>
  <si>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</si>
  <si>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</si>
  <si>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</si>
  <si>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</si>
  <si>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</si>
  <si>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</si>
  <si>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</si>
  <si>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</si>
  <si>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</si>
  <si>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</si>
  <si>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</si>
  <si>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P100990198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</si>
  <si>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</si>
  <si>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</si>
  <si>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</si>
  <si>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</si>
  <si>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</si>
  <si>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</si>
  <si>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</si>
  <si>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</si>
  <si>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</si>
  <si>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</si>
  <si>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</si>
  <si>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</si>
  <si>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</si>
  <si>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</si>
  <si>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</si>
  <si>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</si>
  <si>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</si>
  <si>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</si>
  <si>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</si>
  <si>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</si>
  <si>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</si>
  <si>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</si>
  <si>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</si>
  <si>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</si>
  <si>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</si>
  <si>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</si>
  <si>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</si>
  <si>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</si>
  <si>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</si>
  <si>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</si>
  <si>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</si>
  <si>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</si>
  <si>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</si>
  <si>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</si>
  <si>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</si>
  <si>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</si>
  <si>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</si>
  <si>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</si>
  <si>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</si>
  <si>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</si>
  <si>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</si>
  <si>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</si>
  <si>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</si>
  <si>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</si>
  <si>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</si>
  <si>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</si>
  <si>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</si>
  <si>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</si>
  <si>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</si>
  <si>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</si>
  <si>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</si>
  <si>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</si>
  <si>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</si>
  <si>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</si>
  <si>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</si>
  <si>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</si>
  <si>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</si>
  <si>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</si>
  <si>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</si>
  <si>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</si>
  <si>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</si>
  <si>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</si>
  <si>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</si>
  <si>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</si>
  <si>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</si>
  <si>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</si>
  <si>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</si>
  <si>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</si>
  <si>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</si>
  <si>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</si>
  <si>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</si>
  <si>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</si>
  <si>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</si>
  <si>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</si>
  <si>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</si>
  <si>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</si>
  <si>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</si>
  <si>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>1521-BL966822S PT5</t>
  </si>
  <si>
    <t>92806</t>
  </si>
  <si>
    <t>1521-BL967486S</t>
  </si>
  <si>
    <t>1521-BL966822S PT4</t>
  </si>
  <si>
    <t>1521-BL966822S PT6</t>
  </si>
  <si>
    <t>1521-BL967659S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</si>
  <si>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</si>
  <si>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</si>
  <si>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</si>
  <si>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</si>
  <si>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</si>
  <si>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</si>
  <si>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</si>
  <si>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</si>
  <si>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</si>
  <si>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</si>
  <si>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</si>
  <si>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</si>
  <si>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</si>
  <si>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</si>
  <si>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</si>
  <si>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</si>
  <si>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</si>
  <si>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</si>
  <si>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</si>
  <si>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</si>
  <si>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</si>
  <si>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</si>
  <si>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</si>
  <si>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</si>
  <si>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</si>
  <si>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</si>
  <si>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</si>
  <si>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</si>
  <si>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</si>
  <si>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</si>
  <si>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</si>
  <si>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</si>
  <si>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</si>
  <si>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</si>
  <si>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</si>
  <si>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</si>
  <si>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</si>
  <si>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</si>
  <si>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</si>
  <si>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</si>
  <si>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</si>
  <si>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</si>
  <si>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</si>
  <si>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</si>
  <si>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</si>
  <si>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</si>
  <si>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</si>
  <si>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</si>
  <si>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</si>
  <si>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</si>
  <si>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</si>
  <si>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</si>
  <si>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</si>
  <si>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</si>
  <si>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</si>
  <si>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</si>
  <si>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</si>
  <si>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</si>
  <si>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</si>
  <si>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</si>
  <si>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</si>
  <si>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</si>
  <si>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</si>
  <si>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</si>
  <si>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</si>
  <si>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</si>
  <si>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</si>
  <si>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</si>
  <si>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</si>
  <si>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</si>
  <si>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</si>
  <si>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</si>
  <si>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</si>
  <si>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</si>
  <si>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</si>
  <si>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</si>
  <si>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</si>
  <si>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</si>
  <si>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</si>
  <si>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</si>
  <si>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</si>
  <si>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</si>
  <si>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</si>
  <si>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</si>
  <si>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</si>
  <si>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</si>
  <si>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</si>
  <si>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</si>
  <si>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</si>
  <si>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</si>
  <si>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</si>
  <si>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</si>
  <si>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</si>
  <si>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</si>
  <si>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</si>
  <si>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</si>
  <si>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</si>
  <si>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</si>
  <si>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</si>
  <si>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</si>
  <si>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</si>
  <si>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</si>
  <si>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</si>
  <si>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</si>
  <si>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</si>
  <si>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</si>
  <si>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</si>
  <si>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</si>
  <si>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</si>
  <si>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</si>
  <si>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</si>
  <si>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</si>
  <si>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</si>
  <si>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</si>
  <si>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</si>
  <si>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</si>
  <si>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</si>
  <si>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</si>
  <si>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</si>
  <si>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</si>
  <si>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</si>
  <si>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</si>
  <si>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</si>
  <si>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</si>
  <si>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</si>
  <si>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</si>
  <si>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</si>
  <si>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</si>
  <si>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</si>
  <si>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</si>
  <si>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</si>
  <si>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</si>
  <si>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</si>
  <si>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</si>
  <si>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</si>
  <si>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</si>
  <si>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</si>
  <si>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</si>
  <si>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</si>
  <si>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</si>
  <si>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</si>
  <si>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</si>
  <si>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</si>
  <si>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</si>
  <si>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</si>
  <si>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</si>
  <si>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</si>
  <si>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</si>
  <si>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</si>
  <si>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</si>
  <si>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</si>
  <si>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</si>
  <si>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</si>
  <si>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</si>
  <si>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</si>
  <si>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</si>
  <si>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</si>
  <si>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</si>
  <si>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</si>
  <si>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</si>
  <si>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</si>
  <si>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</si>
  <si>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</si>
  <si>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</si>
  <si>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</si>
  <si>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</si>
  <si>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</si>
  <si>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</si>
  <si>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</si>
  <si>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</si>
  <si>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</si>
  <si>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</si>
  <si>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</si>
  <si>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</si>
  <si>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</si>
  <si>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</si>
  <si>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</si>
  <si>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</si>
  <si>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</si>
  <si>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</si>
  <si>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</si>
  <si>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</si>
  <si>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</si>
  <si>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</si>
  <si>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</si>
  <si>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</si>
  <si>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</si>
  <si>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</si>
  <si>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</si>
  <si>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</si>
  <si>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</si>
  <si>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</si>
  <si>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</si>
  <si>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</si>
  <si>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</si>
  <si>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</si>
  <si>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</si>
  <si>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</si>
  <si>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</si>
  <si>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</si>
  <si>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</si>
  <si>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</si>
  <si>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</si>
  <si>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</si>
  <si>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</si>
  <si>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</si>
  <si>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</si>
  <si>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</si>
  <si>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</si>
  <si>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</si>
  <si>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</si>
  <si>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</si>
  <si>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</si>
  <si>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</si>
  <si>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</si>
  <si>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</si>
  <si>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</si>
  <si>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</si>
  <si>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</si>
  <si>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</si>
  <si>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</si>
  <si>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</si>
  <si>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</si>
  <si>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</si>
  <si>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</si>
  <si>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</si>
  <si>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</si>
  <si>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</si>
  <si>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</si>
  <si>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</si>
  <si>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</si>
  <si>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</si>
  <si>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</si>
  <si>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</si>
  <si>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</si>
  <si>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</si>
  <si>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</si>
  <si>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</si>
  <si>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</si>
  <si>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</si>
  <si>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</si>
  <si>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</si>
  <si>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</si>
  <si>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</si>
  <si>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</si>
  <si>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</si>
  <si>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</si>
  <si>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</si>
  <si>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</si>
  <si>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</si>
  <si>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</si>
  <si>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</si>
  <si>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768pcs 4/4, 768pcs 4/8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</si>
  <si>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</si>
  <si>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</si>
  <si>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</si>
  <si>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</si>
  <si>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</si>
  <si>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</si>
  <si>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</si>
  <si>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</si>
  <si>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</si>
  <si>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</si>
  <si>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</si>
  <si>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</si>
  <si>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</si>
  <si>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</si>
  <si>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</si>
  <si>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</si>
  <si>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</si>
  <si>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</si>
  <si>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</si>
  <si>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</si>
  <si>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</si>
  <si>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</si>
  <si>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</si>
  <si>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</si>
  <si>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Norcross</t>
  </si>
  <si>
    <t>7133-JIM982462S PT1</t>
  </si>
  <si>
    <t>7133-JIM985515S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</si>
  <si>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</si>
  <si>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</si>
  <si>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</si>
  <si>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</si>
  <si>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</si>
  <si>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</si>
  <si>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</si>
  <si>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</si>
  <si>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</si>
  <si>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</si>
  <si>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</si>
  <si>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</si>
  <si>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</si>
  <si>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</si>
  <si>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</si>
  <si>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</si>
  <si>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</si>
  <si>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</si>
  <si>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</si>
  <si>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</si>
  <si>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</si>
  <si>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</si>
  <si>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</si>
  <si>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</si>
  <si>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</si>
  <si>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</si>
  <si>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</si>
  <si>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</si>
  <si>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</si>
  <si>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</si>
  <si>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</si>
  <si>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</si>
  <si>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</si>
  <si>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</si>
  <si>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</si>
  <si>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</si>
  <si>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</si>
  <si>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</si>
  <si>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</si>
  <si>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</si>
  <si>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</si>
  <si>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</si>
  <si>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</si>
  <si>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</si>
  <si>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</si>
  <si>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768pcs 5/2, 768pcs 5/16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</si>
  <si>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</si>
  <si>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</si>
  <si>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</si>
  <si>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</si>
  <si>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</si>
  <si>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</si>
  <si>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</si>
  <si>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</si>
  <si>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</si>
  <si>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</si>
  <si>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</si>
  <si>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</si>
  <si>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</si>
  <si>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</si>
  <si>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</si>
  <si>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</si>
  <si>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</si>
  <si>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</si>
  <si>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</si>
  <si>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</si>
  <si>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</si>
  <si>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</si>
  <si>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</si>
  <si>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</si>
  <si>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</si>
  <si>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</si>
  <si>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</si>
  <si>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</si>
  <si>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</si>
  <si>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</si>
  <si>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</si>
  <si>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</si>
  <si>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</si>
  <si>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</si>
  <si>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</si>
  <si>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</si>
  <si>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</si>
  <si>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</si>
  <si>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</si>
  <si>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</si>
  <si>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</si>
  <si>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</si>
  <si>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</si>
  <si>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</si>
  <si>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</si>
  <si>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</si>
  <si>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</si>
  <si>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</si>
  <si>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</si>
  <si>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</si>
  <si>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</si>
  <si>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</si>
  <si>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</si>
  <si>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</si>
  <si>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768pcs 6/6, 768pcs 6/20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</si>
  <si>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</si>
  <si>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</si>
  <si>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</si>
  <si>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</si>
  <si>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</si>
  <si>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</si>
  <si>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</si>
  <si>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</si>
  <si>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</si>
  <si>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</si>
  <si>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</si>
  <si>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</si>
  <si>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</si>
  <si>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</si>
  <si>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</si>
  <si>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</si>
  <si>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</si>
  <si>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</si>
  <si>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</si>
  <si>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</si>
  <si>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</si>
  <si>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</si>
  <si>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</si>
  <si>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</si>
  <si>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</si>
  <si>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</si>
  <si>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</si>
  <si>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</si>
  <si>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</si>
  <si>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</si>
  <si>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</si>
  <si>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</si>
  <si>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</si>
  <si>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</si>
  <si>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</si>
  <si>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</si>
  <si>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</si>
  <si>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</si>
  <si>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</si>
  <si>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</si>
  <si>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</si>
  <si>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</si>
  <si>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</si>
  <si>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</si>
  <si>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</si>
  <si>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</si>
  <si>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</si>
  <si>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</si>
  <si>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</si>
  <si>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</si>
  <si>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</si>
  <si>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</si>
  <si>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</si>
  <si>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</si>
  <si>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</si>
  <si>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</si>
  <si>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</si>
  <si>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</si>
  <si>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</si>
  <si>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</si>
  <si>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</si>
  <si>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</si>
  <si>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</si>
  <si>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</si>
  <si>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</si>
  <si>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</si>
  <si>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</si>
  <si>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</si>
  <si>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</si>
  <si>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</si>
  <si>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</si>
  <si>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</si>
  <si>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</si>
  <si>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</si>
  <si>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</si>
  <si>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</si>
  <si>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</si>
  <si>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</si>
  <si>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</si>
  <si>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</si>
  <si>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</si>
  <si>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</si>
  <si>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</si>
  <si>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</si>
  <si>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</si>
  <si>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</si>
  <si>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</si>
  <si>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</si>
  <si>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</si>
  <si>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>768pcs 3/7 &amp; 768pcs 3/21</t>
  </si>
  <si>
    <t>PO2778 PT4</t>
  </si>
  <si>
    <t>PO4321</t>
  </si>
  <si>
    <t>5040-JB980481D</t>
  </si>
  <si>
    <t>SAN JOSE</t>
  </si>
  <si>
    <t>95112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</si>
  <si>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</si>
  <si>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</si>
  <si>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</si>
  <si>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</si>
  <si>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</si>
  <si>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</si>
  <si>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</si>
  <si>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</si>
  <si>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</si>
  <si>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</si>
  <si>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</si>
  <si>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</si>
  <si>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</si>
  <si>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</si>
  <si>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</si>
  <si>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</si>
  <si>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</si>
  <si>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</si>
  <si>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</si>
  <si>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</si>
  <si>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</si>
  <si>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</si>
  <si>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</si>
  <si>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</si>
  <si>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</si>
  <si>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</si>
  <si>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</si>
  <si>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</si>
  <si>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</si>
  <si>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</si>
  <si>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</si>
  <si>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</si>
  <si>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</si>
  <si>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</si>
  <si>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</si>
  <si>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</si>
  <si>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</si>
  <si>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</si>
  <si>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</si>
  <si>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</si>
  <si>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</si>
  <si>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</si>
  <si>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</si>
  <si>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</si>
  <si>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</si>
  <si>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</si>
  <si>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</si>
  <si>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</si>
  <si>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</si>
  <si>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</si>
  <si>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</si>
  <si>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</si>
  <si>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</si>
  <si>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</si>
  <si>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</si>
  <si>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</si>
  <si>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</si>
  <si>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</si>
  <si>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</si>
  <si>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</si>
  <si>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</si>
  <si>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</si>
  <si>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</si>
  <si>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</si>
  <si>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</si>
  <si>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</si>
  <si>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</si>
  <si>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</si>
  <si>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</si>
  <si>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</si>
  <si>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</si>
  <si>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</si>
  <si>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</si>
  <si>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</si>
  <si>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</si>
  <si>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</si>
  <si>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</si>
  <si>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</si>
  <si>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</si>
  <si>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</si>
  <si>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</si>
  <si>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</si>
  <si>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</si>
  <si>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</si>
  <si>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</si>
  <si>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</si>
  <si>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</si>
  <si>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</si>
  <si>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</si>
  <si>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</si>
  <si>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</si>
  <si>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</si>
  <si>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</si>
  <si>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</si>
  <si>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</si>
  <si>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</si>
  <si>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</si>
  <si>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</si>
  <si>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</si>
  <si>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</si>
  <si>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</si>
  <si>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</si>
  <si>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</si>
  <si>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</si>
  <si>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</si>
  <si>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</si>
  <si>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</si>
  <si>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San Jacinto</t>
  </si>
  <si>
    <t>92583</t>
  </si>
  <si>
    <t>30390156F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</si>
  <si>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</si>
  <si>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</si>
  <si>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</si>
  <si>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</si>
  <si>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</si>
  <si>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</si>
  <si>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</si>
  <si>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</si>
  <si>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</si>
  <si>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</si>
  <si>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</si>
  <si>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</si>
  <si>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</si>
  <si>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</si>
  <si>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</si>
  <si>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</si>
  <si>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</si>
  <si>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</si>
  <si>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</si>
  <si>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</si>
  <si>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</si>
  <si>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</si>
  <si>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</si>
  <si>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</si>
  <si>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</si>
  <si>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</si>
  <si>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</si>
  <si>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</si>
  <si>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</si>
  <si>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</si>
  <si>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</si>
  <si>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</si>
  <si>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</si>
  <si>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</si>
  <si>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</si>
  <si>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</si>
  <si>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</si>
  <si>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</si>
  <si>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</si>
  <si>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</si>
  <si>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</si>
  <si>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</si>
  <si>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</si>
  <si>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</si>
  <si>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</si>
  <si>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</si>
  <si>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</si>
  <si>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</si>
  <si>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</si>
  <si>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</si>
  <si>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</si>
  <si>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</si>
  <si>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</si>
  <si>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</si>
  <si>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</si>
  <si>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</si>
  <si>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</si>
  <si>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</si>
  <si>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</si>
  <si>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</si>
  <si>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</si>
  <si>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</si>
  <si>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</si>
  <si>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</si>
  <si>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</si>
  <si>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</si>
  <si>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</si>
  <si>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</si>
  <si>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</si>
  <si>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</si>
  <si>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</si>
  <si>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</si>
  <si>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</si>
  <si>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</si>
  <si>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</si>
  <si>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</si>
  <si>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</si>
  <si>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</si>
  <si>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</si>
  <si>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</si>
  <si>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</si>
  <si>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</si>
  <si>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</si>
  <si>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</si>
  <si>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</si>
  <si>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</si>
  <si>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</si>
  <si>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</si>
  <si>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</si>
  <si>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</si>
  <si>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</si>
  <si>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</si>
  <si>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</si>
  <si>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</si>
  <si>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</si>
  <si>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</si>
  <si>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</si>
  <si>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</si>
  <si>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</si>
  <si>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</si>
  <si>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</si>
  <si>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</si>
  <si>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</si>
  <si>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</si>
  <si>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</si>
  <si>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</si>
  <si>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</si>
  <si>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</si>
  <si>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</si>
  <si>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</si>
  <si>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</si>
  <si>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</si>
  <si>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</si>
  <si>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</si>
  <si>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</si>
  <si>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</si>
  <si>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</si>
  <si>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</si>
  <si>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</si>
  <si>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</si>
  <si>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</si>
  <si>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</si>
  <si>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</si>
  <si>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</si>
  <si>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</si>
  <si>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</si>
  <si>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</si>
  <si>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</si>
  <si>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</si>
  <si>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</si>
  <si>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</si>
  <si>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</si>
  <si>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</si>
  <si>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</si>
  <si>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</si>
  <si>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</si>
  <si>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</si>
  <si>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</si>
  <si>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</si>
  <si>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</si>
  <si>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</si>
  <si>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</si>
  <si>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</si>
  <si>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</si>
  <si>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</si>
  <si>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</si>
  <si>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</si>
  <si>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</si>
  <si>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</si>
  <si>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</si>
  <si>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</si>
  <si>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</si>
  <si>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</si>
  <si>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</si>
  <si>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</si>
  <si>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</si>
  <si>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</si>
  <si>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</si>
  <si>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</si>
  <si>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</si>
  <si>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</si>
  <si>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</si>
  <si>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</si>
  <si>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</si>
  <si>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</si>
  <si>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</si>
  <si>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</si>
  <si>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</si>
  <si>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</si>
  <si>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</si>
  <si>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</si>
  <si>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</si>
  <si>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</si>
  <si>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</si>
  <si>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</si>
  <si>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</si>
  <si>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</si>
  <si>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</si>
  <si>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</si>
  <si>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</si>
  <si>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</si>
  <si>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</si>
  <si>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</si>
  <si>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</si>
  <si>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</si>
  <si>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</si>
  <si>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</si>
  <si>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</si>
  <si>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</si>
  <si>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</si>
  <si>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</si>
  <si>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</si>
  <si>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Tampa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</si>
  <si>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</si>
  <si>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</si>
  <si>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</si>
  <si>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</si>
  <si>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</si>
  <si>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</si>
  <si>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</si>
  <si>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</si>
  <si>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</si>
  <si>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</si>
  <si>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</si>
  <si>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</si>
  <si>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</si>
  <si>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</si>
  <si>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</si>
  <si>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</si>
  <si>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</si>
  <si>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</si>
  <si>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</si>
  <si>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</si>
  <si>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</si>
  <si>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</si>
  <si>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</si>
  <si>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</si>
  <si>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</si>
  <si>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</si>
  <si>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</si>
  <si>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</si>
  <si>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</si>
  <si>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</si>
  <si>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</si>
  <si>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</si>
  <si>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</si>
  <si>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</si>
  <si>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</si>
  <si>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</si>
  <si>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</si>
  <si>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</si>
  <si>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</si>
  <si>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</si>
  <si>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</si>
  <si>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</si>
  <si>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</si>
  <si>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</si>
  <si>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</si>
  <si>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</si>
  <si>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</si>
  <si>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</si>
  <si>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</si>
  <si>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</si>
  <si>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</si>
  <si>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</si>
  <si>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</si>
  <si>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</si>
  <si>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</si>
  <si>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</si>
  <si>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</si>
  <si>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</si>
  <si>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</si>
  <si>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</si>
  <si>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</si>
  <si>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</si>
  <si>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</si>
  <si>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</si>
  <si>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</si>
  <si>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</si>
  <si>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</si>
  <si>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</si>
  <si>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</si>
  <si>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</si>
  <si>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</si>
  <si>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</si>
  <si>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</si>
  <si>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</si>
  <si>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</si>
  <si>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</si>
  <si>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</si>
  <si>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</si>
  <si>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</si>
  <si>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</si>
  <si>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</si>
  <si>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</si>
  <si>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</si>
  <si>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</si>
  <si>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</si>
  <si>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</si>
  <si>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</si>
  <si>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</si>
  <si>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</si>
  <si>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</si>
  <si>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</si>
  <si>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</si>
  <si>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</si>
  <si>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</si>
  <si>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</si>
  <si>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</si>
  <si>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</si>
  <si>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</si>
  <si>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</si>
  <si>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</si>
  <si>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</si>
  <si>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</si>
  <si>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</si>
  <si>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</si>
  <si>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</si>
  <si>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</si>
  <si>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</si>
  <si>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</si>
  <si>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</si>
  <si>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</si>
  <si>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</si>
  <si>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</si>
  <si>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</si>
  <si>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</si>
  <si>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</si>
  <si>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</si>
  <si>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</si>
  <si>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</si>
  <si>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</si>
  <si>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</si>
  <si>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</si>
  <si>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</si>
  <si>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</si>
  <si>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</si>
  <si>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</si>
  <si>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</si>
  <si>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</si>
  <si>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</si>
  <si>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</si>
  <si>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</si>
  <si>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</si>
  <si>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</si>
  <si>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</si>
  <si>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</si>
  <si>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</si>
  <si>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</si>
  <si>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</si>
  <si>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</si>
  <si>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</si>
  <si>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</si>
  <si>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</si>
  <si>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</si>
  <si>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</si>
  <si>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</si>
  <si>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</si>
  <si>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</si>
  <si>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</si>
  <si>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</si>
  <si>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</si>
  <si>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</si>
  <si>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</si>
  <si>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</si>
  <si>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</si>
  <si>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</si>
  <si>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</si>
  <si>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</si>
  <si>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</si>
  <si>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</si>
  <si>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</si>
  <si>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</si>
  <si>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</si>
  <si>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</si>
  <si>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</si>
  <si>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</si>
  <si>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</si>
  <si>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</si>
  <si>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</si>
  <si>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</si>
  <si>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</si>
  <si>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</si>
  <si>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</si>
  <si>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</si>
  <si>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</si>
  <si>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</si>
  <si>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</si>
  <si>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</si>
  <si>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</si>
  <si>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</si>
  <si>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</si>
  <si>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</si>
  <si>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</si>
  <si>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</si>
  <si>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</si>
  <si>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</si>
  <si>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</si>
  <si>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</si>
  <si>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</si>
  <si>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</si>
  <si>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</si>
  <si>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</si>
  <si>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</si>
  <si>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</si>
  <si>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</si>
  <si>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</si>
  <si>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</si>
  <si>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</si>
  <si>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</si>
  <si>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</si>
  <si>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</si>
  <si>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</si>
  <si>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</si>
  <si>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</si>
  <si>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</si>
  <si>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</si>
  <si>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</si>
  <si>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</si>
  <si>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</si>
  <si>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</si>
  <si>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</si>
  <si>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</si>
  <si>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</si>
  <si>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</si>
  <si>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</si>
  <si>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</si>
  <si>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</si>
  <si>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</si>
  <si>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</si>
  <si>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</si>
  <si>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</si>
  <si>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</si>
  <si>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</si>
  <si>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</si>
  <si>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</si>
  <si>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</si>
  <si>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</si>
  <si>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</si>
  <si>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</si>
  <si>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</si>
  <si>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</si>
  <si>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</si>
  <si>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</si>
  <si>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</si>
  <si>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</si>
  <si>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</si>
  <si>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</si>
  <si>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</si>
  <si>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</si>
  <si>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</si>
  <si>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</si>
  <si>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</si>
  <si>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</si>
  <si>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</si>
  <si>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</si>
  <si>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</si>
  <si>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</si>
  <si>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</si>
  <si>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</si>
  <si>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</si>
  <si>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</si>
  <si>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</si>
  <si>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</si>
  <si>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</si>
  <si>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</si>
  <si>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</si>
  <si>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</si>
  <si>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</si>
  <si>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</si>
  <si>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</si>
  <si>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</si>
  <si>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</si>
  <si>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</si>
  <si>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</si>
  <si>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</si>
  <si>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</si>
  <si>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</si>
  <si>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</si>
  <si>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</si>
  <si>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</si>
  <si>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</si>
  <si>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</si>
  <si>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</si>
  <si>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</si>
  <si>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</si>
  <si>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</si>
  <si>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</si>
  <si>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</si>
  <si>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</si>
  <si>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</si>
  <si>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</si>
  <si>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</si>
  <si>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</si>
  <si>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</si>
  <si>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</si>
  <si>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</si>
  <si>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</si>
  <si>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</si>
  <si>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</si>
  <si>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</si>
  <si>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</si>
  <si>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</si>
  <si>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</si>
  <si>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</si>
  <si>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</si>
  <si>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</si>
  <si>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</si>
  <si>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</si>
  <si>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</si>
  <si>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</si>
  <si>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</si>
  <si>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</si>
  <si>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</si>
  <si>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</si>
  <si>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</si>
  <si>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</si>
  <si>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</si>
  <si>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</si>
  <si>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</si>
  <si>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</si>
  <si>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</si>
  <si>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</si>
  <si>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</si>
  <si>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</si>
  <si>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</si>
  <si>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</si>
  <si>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</si>
  <si>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</si>
  <si>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</si>
  <si>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</si>
  <si>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</si>
  <si>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</si>
  <si>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</si>
  <si>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</si>
  <si>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</si>
  <si>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</si>
  <si>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</si>
  <si>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</si>
  <si>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</si>
  <si>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</si>
  <si>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</si>
  <si>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</si>
  <si>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</si>
  <si>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</si>
  <si>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</si>
  <si>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</si>
  <si>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</si>
  <si>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</si>
  <si>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</si>
  <si>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</si>
  <si>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</si>
  <si>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</si>
  <si>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</si>
  <si>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</si>
  <si>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</si>
  <si>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</si>
  <si>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</si>
  <si>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</si>
  <si>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</si>
  <si>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</si>
  <si>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</si>
  <si>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</si>
  <si>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</si>
  <si>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</si>
  <si>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</si>
  <si>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</si>
  <si>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</si>
  <si>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</si>
  <si>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</si>
  <si>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</si>
  <si>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</si>
  <si>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</si>
  <si>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</si>
  <si>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</si>
  <si>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</si>
  <si>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</si>
  <si>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</si>
  <si>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</si>
  <si>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</si>
  <si>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</si>
  <si>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</si>
  <si>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</si>
  <si>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</si>
  <si>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</si>
  <si>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</si>
  <si>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</si>
  <si>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</si>
  <si>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</si>
  <si>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</si>
  <si>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</si>
  <si>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</si>
  <si>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</si>
  <si>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</si>
  <si>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</si>
  <si>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</si>
  <si>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</si>
  <si>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</si>
  <si>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</si>
  <si>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</si>
  <si>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</si>
  <si>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</si>
  <si>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</si>
  <si>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</si>
  <si>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</si>
  <si>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</si>
  <si>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</si>
  <si>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</si>
  <si>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</si>
  <si>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</si>
  <si>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</si>
  <si>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</si>
  <si>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</si>
  <si>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</si>
  <si>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</si>
  <si>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</si>
  <si>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</si>
  <si>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</si>
  <si>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</si>
  <si>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</si>
  <si>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</si>
  <si>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</si>
  <si>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</si>
  <si>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</si>
  <si>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</si>
  <si>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</si>
  <si>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</si>
  <si>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</si>
  <si>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</si>
  <si>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</si>
  <si>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</si>
  <si>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</si>
  <si>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</si>
  <si>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</si>
  <si>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</si>
  <si>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</si>
  <si>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</si>
  <si>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</si>
  <si>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</si>
  <si>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</si>
  <si>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</si>
  <si>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</si>
  <si>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</si>
  <si>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</si>
  <si>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</si>
  <si>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</si>
  <si>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</si>
  <si>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</si>
  <si>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</si>
  <si>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</si>
  <si>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</si>
  <si>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</si>
  <si>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</si>
  <si>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</si>
  <si>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</si>
  <si>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</si>
  <si>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</si>
  <si>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</si>
  <si>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</si>
  <si>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</si>
  <si>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</si>
  <si>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</si>
  <si>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</si>
  <si>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</si>
  <si>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</si>
  <si>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</si>
  <si>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</si>
  <si>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</si>
  <si>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</si>
  <si>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</si>
  <si>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</si>
  <si>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</si>
  <si>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</si>
  <si>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</si>
  <si>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</si>
  <si>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</si>
  <si>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</si>
  <si>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</si>
  <si>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</si>
  <si>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</si>
  <si>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</si>
  <si>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</si>
  <si>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>5621-CH904481S PT2</t>
  </si>
  <si>
    <t>5621-CH904814S PT2</t>
  </si>
  <si>
    <t>5621-CH904492S PT1</t>
  </si>
  <si>
    <t>5621-CH904479S PT2</t>
  </si>
  <si>
    <t>5621-CH904492S PT4</t>
  </si>
  <si>
    <t>5621-CH906119S PT3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</si>
  <si>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</si>
  <si>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</si>
  <si>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</si>
  <si>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</si>
  <si>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</si>
  <si>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</si>
  <si>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</si>
  <si>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</si>
  <si>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</si>
  <si>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</si>
  <si>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</si>
  <si>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</si>
  <si>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</si>
  <si>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</si>
  <si>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</si>
  <si>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</si>
  <si>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</si>
  <si>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</si>
  <si>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</si>
  <si>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</si>
  <si>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</si>
  <si>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</si>
  <si>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</si>
  <si>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</si>
  <si>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</si>
  <si>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</si>
  <si>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</si>
  <si>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</si>
  <si>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</si>
  <si>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</si>
  <si>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</si>
  <si>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</si>
  <si>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</si>
  <si>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</si>
  <si>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</si>
  <si>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</si>
  <si>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</si>
  <si>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</si>
  <si>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</si>
  <si>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</si>
  <si>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</si>
  <si>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</si>
  <si>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</si>
  <si>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</si>
  <si>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</si>
  <si>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</si>
  <si>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</si>
  <si>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</si>
  <si>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</si>
  <si>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</si>
  <si>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</si>
  <si>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</si>
  <si>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</si>
  <si>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</si>
  <si>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</si>
  <si>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</si>
  <si>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</si>
  <si>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</si>
  <si>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8018-AD916664S</t>
  </si>
  <si>
    <t>WB4/00123</t>
  </si>
  <si>
    <t>SST/Allocate</t>
  </si>
  <si>
    <t>5621-CH905854S PT6</t>
  </si>
  <si>
    <t>6058-SC904880S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</si>
  <si>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</si>
  <si>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</si>
  <si>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</si>
  <si>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</si>
  <si>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</si>
  <si>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</si>
  <si>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</si>
  <si>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</si>
  <si>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</si>
  <si>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</si>
  <si>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</si>
  <si>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</si>
  <si>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</si>
  <si>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</si>
  <si>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</si>
  <si>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</si>
  <si>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</si>
  <si>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</si>
  <si>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</si>
  <si>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</si>
  <si>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</si>
  <si>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</si>
  <si>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</si>
  <si>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</si>
  <si>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</si>
  <si>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</si>
  <si>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</si>
  <si>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</si>
  <si>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</si>
  <si>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</si>
  <si>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</si>
  <si>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</si>
  <si>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</si>
  <si>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</si>
  <si>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</si>
  <si>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</si>
  <si>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</si>
  <si>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</si>
  <si>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</si>
  <si>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</si>
  <si>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</si>
  <si>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</si>
  <si>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</si>
  <si>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</si>
  <si>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</si>
  <si>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</si>
  <si>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</si>
  <si>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</si>
  <si>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</si>
  <si>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</si>
  <si>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</si>
  <si>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</si>
  <si>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</si>
  <si>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</si>
  <si>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</si>
  <si>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</si>
  <si>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</si>
  <si>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</si>
  <si>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</si>
  <si>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 xml:space="preserve">legal </t>
  </si>
  <si>
    <t>2101437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</si>
  <si>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</si>
  <si>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</si>
  <si>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</si>
  <si>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</si>
  <si>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</si>
  <si>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</si>
  <si>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</si>
  <si>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</si>
  <si>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</si>
  <si>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</si>
  <si>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</si>
  <si>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</si>
  <si>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 xml:space="preserve"> Allocate</t>
  </si>
  <si>
    <t>PO-00007478</t>
  </si>
  <si>
    <t xml:space="preserve">Pooler </t>
  </si>
  <si>
    <t>31322</t>
  </si>
  <si>
    <t>PO-00007479</t>
  </si>
  <si>
    <t>PO-00007480</t>
  </si>
  <si>
    <t>Ashland</t>
  </si>
  <si>
    <t>23005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</si>
  <si>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</si>
  <si>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</si>
  <si>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</si>
  <si>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</si>
  <si>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</si>
  <si>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</si>
  <si>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</si>
  <si>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</si>
  <si>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</si>
  <si>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</si>
  <si>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</si>
  <si>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</si>
  <si>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</si>
  <si>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</si>
  <si>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</si>
  <si>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</si>
  <si>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</si>
  <si>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</si>
  <si>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</si>
  <si>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</si>
  <si>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</si>
  <si>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</si>
  <si>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</si>
  <si>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</si>
  <si>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</si>
  <si>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</si>
  <si>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</si>
  <si>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</si>
  <si>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</si>
  <si>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</si>
  <si>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</si>
  <si>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</si>
  <si>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</t>
  </si>
  <si>
    <t>2022-02 PT3</t>
  </si>
  <si>
    <t>2022-03 PT2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</si>
  <si>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</si>
  <si>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</si>
  <si>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</si>
  <si>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</si>
  <si>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</si>
  <si>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</si>
  <si>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</si>
  <si>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</si>
  <si>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</si>
  <si>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</si>
  <si>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</si>
  <si>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</si>
  <si>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</si>
  <si>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</si>
  <si>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</si>
  <si>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</si>
  <si>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</si>
  <si>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</si>
  <si>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</si>
  <si>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</si>
  <si>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</si>
  <si>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</si>
  <si>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</si>
  <si>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</si>
  <si>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</si>
  <si>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</si>
  <si>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</si>
  <si>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</si>
  <si>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</si>
  <si>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</si>
  <si>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</si>
  <si>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</si>
  <si>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</si>
  <si>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</si>
  <si>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</si>
  <si>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</si>
  <si>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</si>
  <si>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</si>
  <si>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</si>
  <si>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</si>
  <si>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</si>
  <si>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</si>
  <si>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</si>
  <si>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</si>
  <si>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</si>
  <si>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</si>
  <si>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</si>
  <si>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</si>
  <si>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</si>
  <si>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</si>
  <si>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</si>
  <si>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</si>
  <si>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</si>
  <si>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</si>
  <si>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</si>
  <si>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</si>
  <si>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</si>
  <si>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</si>
  <si>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</si>
  <si>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</si>
  <si>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</si>
  <si>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</si>
  <si>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</si>
  <si>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</si>
  <si>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</si>
  <si>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</si>
  <si>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</si>
  <si>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</si>
  <si>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</si>
  <si>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</si>
  <si>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</si>
  <si>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</si>
  <si>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</si>
  <si>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</si>
  <si>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</si>
  <si>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</si>
  <si>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</si>
  <si>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</si>
  <si>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</si>
  <si>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</si>
  <si>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</si>
  <si>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</si>
  <si>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</si>
  <si>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</si>
  <si>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</si>
  <si>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</si>
  <si>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</si>
  <si>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</si>
  <si>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</si>
  <si>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</si>
  <si>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</si>
  <si>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</si>
  <si>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</si>
  <si>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</si>
  <si>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</si>
  <si>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</si>
  <si>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</si>
  <si>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</si>
  <si>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</si>
  <si>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</si>
  <si>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</si>
  <si>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</si>
  <si>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</si>
  <si>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</si>
  <si>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</si>
  <si>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</si>
  <si>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</si>
  <si>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</si>
  <si>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</si>
  <si>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</si>
  <si>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</si>
  <si>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</si>
  <si>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</si>
  <si>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</si>
  <si>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</si>
  <si>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</si>
  <si>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</si>
  <si>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</si>
  <si>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</si>
  <si>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</si>
  <si>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</si>
  <si>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</si>
  <si>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</si>
  <si>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</si>
  <si>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</si>
  <si>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</si>
  <si>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</si>
  <si>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</si>
  <si>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</si>
  <si>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</si>
  <si>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</si>
  <si>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</si>
  <si>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</si>
  <si>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</si>
  <si>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</si>
  <si>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</si>
  <si>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</si>
  <si>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</si>
  <si>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</si>
  <si>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</si>
  <si>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</si>
  <si>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</si>
  <si>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</si>
  <si>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</si>
  <si>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</si>
  <si>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</si>
  <si>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</si>
  <si>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</si>
  <si>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</si>
  <si>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</si>
  <si>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</si>
  <si>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</si>
  <si>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</si>
  <si>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</si>
  <si>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</si>
  <si>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</si>
  <si>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</si>
  <si>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</si>
  <si>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</si>
  <si>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</si>
  <si>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</si>
  <si>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</si>
  <si>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</si>
  <si>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</si>
  <si>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</si>
  <si>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</si>
  <si>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</si>
  <si>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</si>
  <si>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</si>
  <si>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</si>
  <si>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</si>
  <si>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</si>
  <si>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</si>
  <si>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</si>
  <si>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</si>
  <si>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</si>
  <si>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</si>
  <si>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</si>
  <si>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</si>
  <si>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</si>
  <si>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</si>
  <si>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</si>
  <si>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</si>
  <si>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</si>
  <si>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</si>
  <si>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</si>
  <si>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</si>
  <si>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</si>
  <si>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</si>
  <si>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</si>
  <si>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</si>
  <si>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</si>
  <si>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</si>
  <si>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</si>
  <si>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</si>
  <si>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</si>
  <si>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</si>
  <si>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</si>
  <si>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</si>
  <si>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</si>
  <si>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</si>
  <si>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</si>
  <si>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</si>
  <si>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</si>
  <si>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</si>
  <si>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</si>
  <si>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</si>
  <si>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</si>
  <si>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</si>
  <si>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</si>
  <si>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</si>
  <si>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</si>
  <si>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</si>
  <si>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</si>
  <si>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</si>
  <si>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</si>
  <si>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</si>
  <si>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</si>
  <si>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</si>
  <si>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</si>
  <si>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</si>
  <si>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</si>
  <si>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</si>
  <si>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</si>
  <si>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</si>
  <si>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</si>
  <si>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</si>
  <si>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</si>
  <si>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</si>
  <si>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</si>
  <si>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</si>
  <si>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</si>
  <si>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</si>
  <si>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</si>
  <si>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</si>
  <si>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</si>
  <si>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</si>
  <si>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</si>
  <si>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</si>
  <si>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</si>
  <si>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</si>
  <si>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</si>
  <si>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</si>
  <si>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</si>
  <si>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</si>
  <si>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</si>
  <si>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</si>
  <si>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</si>
  <si>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</si>
  <si>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</si>
  <si>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</si>
  <si>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</si>
  <si>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</si>
  <si>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</si>
  <si>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</si>
  <si>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</si>
  <si>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</si>
  <si>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</si>
  <si>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</si>
  <si>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</si>
  <si>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</si>
  <si>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</si>
  <si>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</si>
  <si>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</si>
  <si>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</si>
  <si>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</si>
  <si>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</si>
  <si>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</si>
  <si>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</si>
  <si>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</si>
  <si>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</si>
  <si>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</si>
  <si>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</si>
  <si>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</si>
  <si>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</si>
  <si>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</si>
  <si>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</si>
  <si>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</si>
  <si>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</si>
  <si>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</si>
  <si>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</si>
  <si>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</si>
  <si>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</si>
  <si>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</si>
  <si>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</si>
  <si>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</si>
  <si>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</si>
  <si>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</si>
  <si>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</si>
  <si>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</si>
  <si>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</si>
  <si>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</si>
  <si>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</si>
  <si>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</si>
  <si>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</si>
  <si>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</si>
  <si>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</si>
  <si>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</si>
  <si>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</si>
  <si>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</si>
  <si>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</si>
  <si>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</si>
  <si>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</si>
  <si>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</si>
  <si>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</si>
  <si>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</si>
  <si>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</si>
  <si>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</si>
  <si>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</si>
  <si>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</si>
  <si>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</si>
  <si>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</si>
  <si>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</si>
  <si>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</si>
  <si>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</si>
  <si>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</si>
  <si>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</si>
  <si>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</si>
  <si>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</si>
  <si>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</si>
  <si>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</si>
  <si>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</si>
  <si>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</si>
  <si>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</si>
  <si>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</si>
  <si>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P103458921</t>
  </si>
  <si>
    <t>3924143</t>
  </si>
  <si>
    <t>3946254</t>
  </si>
  <si>
    <t>3960518</t>
  </si>
  <si>
    <t>Seattle</t>
  </si>
  <si>
    <t>JS</t>
  </si>
  <si>
    <t>3975955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</si>
  <si>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</si>
  <si>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</si>
  <si>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</si>
  <si>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</si>
  <si>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</si>
  <si>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</si>
  <si>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</si>
  <si>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</si>
  <si>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</si>
  <si>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</si>
  <si>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</si>
  <si>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</si>
  <si>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</si>
  <si>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</si>
  <si>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</si>
  <si>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</si>
  <si>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</si>
  <si>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</si>
  <si>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</si>
  <si>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</si>
  <si>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</si>
  <si>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</si>
  <si>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</si>
  <si>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</si>
  <si>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</si>
  <si>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</si>
  <si>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</si>
  <si>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</si>
  <si>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</si>
  <si>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</si>
  <si>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</si>
  <si>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</si>
  <si>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</si>
  <si>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</si>
  <si>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</si>
  <si>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</si>
  <si>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</si>
  <si>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</si>
  <si>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</si>
  <si>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</si>
  <si>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</si>
  <si>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</si>
  <si>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</si>
  <si>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</si>
  <si>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</si>
  <si>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</si>
  <si>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</si>
  <si>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</si>
  <si>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</si>
  <si>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</si>
  <si>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</si>
  <si>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</si>
  <si>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</si>
  <si>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</si>
  <si>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</si>
  <si>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</si>
  <si>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</si>
  <si>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</si>
  <si>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</si>
  <si>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</si>
  <si>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</si>
  <si>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</si>
  <si>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</si>
  <si>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</si>
  <si>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</si>
  <si>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</si>
  <si>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</si>
  <si>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</si>
  <si>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</si>
  <si>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</si>
  <si>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</si>
  <si>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</si>
  <si>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</si>
  <si>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</si>
  <si>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</si>
  <si>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</si>
  <si>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</si>
  <si>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</si>
  <si>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</si>
  <si>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</si>
  <si>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</si>
  <si>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</si>
  <si>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</si>
  <si>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</si>
  <si>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</si>
  <si>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</si>
  <si>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</si>
  <si>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</si>
  <si>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</si>
  <si>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</si>
  <si>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</si>
  <si>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</si>
  <si>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</si>
  <si>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</si>
  <si>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P103398659</t>
  </si>
  <si>
    <t>94544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</si>
  <si>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</si>
  <si>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</si>
  <si>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</si>
  <si>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</si>
  <si>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</si>
  <si>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</si>
  <si>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</si>
  <si>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</si>
  <si>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</si>
  <si>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</si>
  <si>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</si>
  <si>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</si>
  <si>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</si>
  <si>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</si>
  <si>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</si>
  <si>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</si>
  <si>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</si>
  <si>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</si>
  <si>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</si>
  <si>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</si>
  <si>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</si>
  <si>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</si>
  <si>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</si>
  <si>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</si>
  <si>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</si>
  <si>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</si>
  <si>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</si>
  <si>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</si>
  <si>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</si>
  <si>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</si>
  <si>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</si>
  <si>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</si>
  <si>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</si>
  <si>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</si>
  <si>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</si>
  <si>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</si>
  <si>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</si>
  <si>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</si>
  <si>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</si>
  <si>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</si>
  <si>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</si>
  <si>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</si>
  <si>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</si>
  <si>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</si>
  <si>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</si>
  <si>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</si>
  <si>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</si>
  <si>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</si>
  <si>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</si>
  <si>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</si>
  <si>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</si>
  <si>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</si>
  <si>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</si>
  <si>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</si>
  <si>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</si>
  <si>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</si>
  <si>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</si>
  <si>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</si>
  <si>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</si>
  <si>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</si>
  <si>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</si>
  <si>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</si>
  <si>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</si>
  <si>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</si>
  <si>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</si>
  <si>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</si>
  <si>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</si>
  <si>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</si>
  <si>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</si>
  <si>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</si>
  <si>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</si>
  <si>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</si>
  <si>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</si>
  <si>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</si>
  <si>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</si>
  <si>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</si>
  <si>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</si>
  <si>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</si>
  <si>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</si>
  <si>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</si>
  <si>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</si>
  <si>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</si>
  <si>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</si>
  <si>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</si>
  <si>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</si>
  <si>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</si>
  <si>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</si>
  <si>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</si>
  <si>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</si>
  <si>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</si>
  <si>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</si>
  <si>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</si>
  <si>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</si>
  <si>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</si>
  <si>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</si>
  <si>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</si>
  <si>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</si>
  <si>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</si>
  <si>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</si>
  <si>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</si>
  <si>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</si>
  <si>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</si>
  <si>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</si>
  <si>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</si>
  <si>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</si>
  <si>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</si>
  <si>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</si>
  <si>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</si>
  <si>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</si>
  <si>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</si>
  <si>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</si>
  <si>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</si>
  <si>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</si>
  <si>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</si>
  <si>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</si>
  <si>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</si>
  <si>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</si>
  <si>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</si>
  <si>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</si>
  <si>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</si>
  <si>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</si>
  <si>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</si>
  <si>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</si>
  <si>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</si>
  <si>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</si>
  <si>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</si>
  <si>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</si>
  <si>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</si>
  <si>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</si>
  <si>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</si>
  <si>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</si>
  <si>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</si>
  <si>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</si>
  <si>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</si>
  <si>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</si>
  <si>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</si>
  <si>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</si>
  <si>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</si>
  <si>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</si>
  <si>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</si>
  <si>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</si>
  <si>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</si>
  <si>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</si>
  <si>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</si>
  <si>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</si>
  <si>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</si>
  <si>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</si>
  <si>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</si>
  <si>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</si>
  <si>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</si>
  <si>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</si>
  <si>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</si>
  <si>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</si>
  <si>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</si>
  <si>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</si>
  <si>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</si>
  <si>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</si>
  <si>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</si>
  <si>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</si>
  <si>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</si>
  <si>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</si>
  <si>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</si>
  <si>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</si>
  <si>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</si>
  <si>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</si>
  <si>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</si>
  <si>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</si>
  <si>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</si>
  <si>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</si>
  <si>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</si>
  <si>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</si>
  <si>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</si>
  <si>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</si>
  <si>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</si>
  <si>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</si>
  <si>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</si>
  <si>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</si>
  <si>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</si>
  <si>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</si>
  <si>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</si>
  <si>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</si>
  <si>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</si>
  <si>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</si>
  <si>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</si>
  <si>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</si>
  <si>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</si>
  <si>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</si>
  <si>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</si>
  <si>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</si>
  <si>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</si>
  <si>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</si>
  <si>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</si>
  <si>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</si>
  <si>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</si>
  <si>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</si>
  <si>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</si>
  <si>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</si>
  <si>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</si>
  <si>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</si>
  <si>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</si>
  <si>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</si>
  <si>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</si>
  <si>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</si>
  <si>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</si>
  <si>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</si>
  <si>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</si>
  <si>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</si>
  <si>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</si>
  <si>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</si>
  <si>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</si>
  <si>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</si>
  <si>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</si>
  <si>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</si>
  <si>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</si>
  <si>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</si>
  <si>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</si>
  <si>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</si>
  <si>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</si>
  <si>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</si>
  <si>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</si>
  <si>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</si>
  <si>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</si>
  <si>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</si>
  <si>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</si>
  <si>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</si>
  <si>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</si>
  <si>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</si>
  <si>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</si>
  <si>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</si>
  <si>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</si>
  <si>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</si>
  <si>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</si>
  <si>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</si>
  <si>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</si>
  <si>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</si>
  <si>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</si>
  <si>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</si>
  <si>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</si>
  <si>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</si>
  <si>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</si>
  <si>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</si>
  <si>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</si>
  <si>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</si>
  <si>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</si>
  <si>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</si>
  <si>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</si>
  <si>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</si>
  <si>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</si>
  <si>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t>PO-32955</t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</si>
  <si>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</si>
  <si>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</si>
  <si>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</si>
  <si>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</si>
  <si>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</si>
  <si>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t>PO-32991</t>
  </si>
  <si>
    <t>PO-32996</t>
  </si>
  <si>
    <t>PO-33295</t>
  </si>
  <si>
    <t xml:space="preserve">Revised PO pricing </t>
  </si>
  <si>
    <t>TDB</t>
  </si>
  <si>
    <t>1069-20</t>
  </si>
  <si>
    <t>1069-21</t>
  </si>
  <si>
    <t>1069-24</t>
  </si>
  <si>
    <t>1069-25</t>
  </si>
  <si>
    <t>1069-29</t>
  </si>
  <si>
    <t>1069-30</t>
  </si>
  <si>
    <t>Onatrio</t>
  </si>
  <si>
    <t>1069-31</t>
  </si>
  <si>
    <t>Pomtton Plains</t>
  </si>
  <si>
    <t>1069-32</t>
  </si>
  <si>
    <t>1069-38</t>
  </si>
  <si>
    <t>1069-39</t>
  </si>
  <si>
    <t>1069-40</t>
  </si>
  <si>
    <t>1069-41</t>
  </si>
  <si>
    <t>1069-42</t>
  </si>
  <si>
    <t>1069-43</t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</si>
  <si>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</si>
  <si>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</si>
  <si>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</si>
  <si>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</si>
  <si>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</si>
  <si>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</si>
  <si>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</si>
  <si>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</si>
  <si>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</si>
  <si>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0224-JV909365S PT1</t>
  </si>
  <si>
    <t>(CIP, GAWH)</t>
  </si>
  <si>
    <t>0224-JV909365S PT2</t>
  </si>
  <si>
    <t>0224-JV910169S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</si>
  <si>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</si>
  <si>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</si>
  <si>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</si>
  <si>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</si>
  <si>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</si>
  <si>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</si>
  <si>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</si>
  <si>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</si>
  <si>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9106-CM929401S</t>
  </si>
  <si>
    <t>need rev Price</t>
  </si>
  <si>
    <t>9106-CM929403S PT1</t>
  </si>
  <si>
    <t>9106-CM929484S</t>
  </si>
  <si>
    <t>5887-RD948461S PT2</t>
  </si>
  <si>
    <t>5887-RD948462S PT1</t>
  </si>
  <si>
    <t>5887-RD948462S PT2</t>
  </si>
  <si>
    <t>5887-RD948540S</t>
  </si>
  <si>
    <t>LUMIO/ATLANTIC KEY</t>
  </si>
  <si>
    <t>4250-CF902725S PT2</t>
  </si>
  <si>
    <t>NY State Solar</t>
  </si>
  <si>
    <t>4250-CF902726S PT2</t>
  </si>
  <si>
    <t>4250-CF902727S</t>
  </si>
  <si>
    <t>0933-DT906774S</t>
  </si>
  <si>
    <t>6408-ZS-900131S PT1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</si>
  <si>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</si>
  <si>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</si>
  <si>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</si>
  <si>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</si>
  <si>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</si>
  <si>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</si>
  <si>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(MASTER PO: BPO1076542)</t>
  </si>
  <si>
    <t>BPO1076542</t>
  </si>
  <si>
    <t>MSPO980051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</si>
  <si>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</si>
  <si>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</si>
  <si>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</si>
  <si>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</si>
  <si>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</si>
  <si>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</si>
  <si>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</si>
  <si>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</si>
  <si>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</si>
  <si>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</si>
  <si>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need rve PO - price 0.475/W Master PO BPO1076540</t>
  </si>
  <si>
    <t>MSPO981423</t>
  </si>
  <si>
    <t>MSPO981736</t>
  </si>
  <si>
    <t>MSPO981737</t>
  </si>
  <si>
    <t>MSPO981738</t>
  </si>
  <si>
    <t>MSPO981739</t>
  </si>
  <si>
    <t>MSPO981740</t>
  </si>
  <si>
    <t>MSPO981741</t>
  </si>
  <si>
    <t>MSPO981891</t>
  </si>
  <si>
    <t>East Berlin</t>
  </si>
  <si>
    <r>
      <rPr>
        <sz val="9"/>
        <rFont val="Calibri"/>
        <family val="2"/>
        <scheme val="minor"/>
      </rPr>
      <t xml:space="preserve">(MASTER PO: BPO10786546/  NEW PO/  </t>
    </r>
    <r>
      <rPr>
        <b/>
        <sz val="9"/>
        <rFont val="Calibri"/>
        <family val="2"/>
        <scheme val="minor"/>
      </rPr>
      <t>SST/LEGAL APPROVED (3/9)</t>
    </r>
  </si>
  <si>
    <t>MSPO981892</t>
  </si>
  <si>
    <t>MSPO981894</t>
  </si>
  <si>
    <t>MSPO981896</t>
  </si>
  <si>
    <t>MSPO981897</t>
  </si>
  <si>
    <t>MSPO981898</t>
  </si>
  <si>
    <t>MSPO982059</t>
  </si>
  <si>
    <r>
      <t xml:space="preserve">DO AR-CR (3/23) Legal-SST APPROVED 3/23 - </t>
    </r>
    <r>
      <rPr>
        <i/>
        <sz val="9"/>
        <color theme="1"/>
        <rFont val="Calibri"/>
        <family val="2"/>
        <scheme val="minor"/>
      </rPr>
      <t>MASTER PO: BPO1076546</t>
    </r>
  </si>
  <si>
    <t>MSPO982145</t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</si>
  <si>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</si>
  <si>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</si>
  <si>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</si>
  <si>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</si>
  <si>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</si>
  <si>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</si>
  <si>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</si>
  <si>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</si>
  <si>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P3850-EMA</t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</si>
  <si>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</si>
  <si>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</si>
  <si>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</si>
  <si>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</si>
  <si>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</si>
  <si>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</si>
  <si>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</si>
  <si>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</si>
  <si>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</si>
  <si>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</si>
  <si>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</si>
  <si>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</si>
  <si>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</si>
  <si>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</si>
  <si>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</si>
  <si>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</si>
  <si>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</si>
  <si>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</si>
  <si>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</si>
  <si>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</si>
  <si>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</si>
  <si>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</si>
  <si>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</si>
  <si>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</si>
  <si>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</si>
  <si>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</si>
  <si>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</si>
  <si>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</si>
  <si>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</si>
  <si>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</si>
  <si>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</si>
  <si>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</si>
  <si>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</si>
  <si>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</si>
  <si>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</si>
  <si>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</si>
  <si>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</si>
  <si>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</si>
  <si>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</si>
  <si>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</si>
  <si>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5887-RD948463S PT1</t>
  </si>
  <si>
    <t>exchange with other branch? No inventory</t>
  </si>
  <si>
    <t>6462-JR906459S</t>
  </si>
  <si>
    <t>6462-JR906463S</t>
  </si>
  <si>
    <t>4250-CF902756S PT1</t>
  </si>
  <si>
    <t>4250-CF902757S</t>
  </si>
  <si>
    <t>8460-EE-923446S PT4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</si>
  <si>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</si>
  <si>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</si>
  <si>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</si>
  <si>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</si>
  <si>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</si>
  <si>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(MASTER PO: BPO1076540)</t>
  </si>
  <si>
    <t>BPO1076540</t>
  </si>
  <si>
    <t>(MASTER PO: BPO1076543)</t>
  </si>
  <si>
    <t>BPO1076543</t>
  </si>
  <si>
    <t>MSPO979959</t>
  </si>
  <si>
    <t>SST-Legal PENDING APPROVAL (2/28)</t>
  </si>
  <si>
    <t>MSPO980507</t>
  </si>
  <si>
    <t>MSPO981424</t>
  </si>
  <si>
    <t>MSPO981425</t>
  </si>
  <si>
    <t>MSPO982150</t>
  </si>
  <si>
    <t>MSPO982151</t>
  </si>
  <si>
    <t>MSPO982152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</si>
  <si>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</si>
  <si>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</si>
  <si>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</si>
  <si>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</si>
  <si>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</si>
  <si>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</si>
  <si>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</si>
  <si>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</si>
  <si>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</si>
  <si>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</si>
  <si>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</si>
  <si>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</si>
  <si>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</si>
  <si>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</si>
  <si>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</si>
  <si>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</si>
  <si>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</si>
  <si>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</si>
  <si>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</si>
  <si>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</si>
  <si>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</si>
  <si>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</si>
  <si>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</si>
  <si>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</si>
  <si>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</si>
  <si>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</si>
  <si>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(MASTER PO: BPO1076545)</t>
  </si>
  <si>
    <t>BPO1076545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</si>
  <si>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</si>
  <si>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</si>
  <si>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</si>
  <si>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</si>
  <si>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</si>
  <si>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</si>
  <si>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</si>
  <si>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</si>
  <si>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</si>
  <si>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</si>
  <si>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</si>
  <si>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</si>
  <si>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</si>
  <si>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</si>
  <si>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</si>
  <si>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</si>
  <si>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</si>
  <si>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</si>
  <si>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</si>
  <si>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</si>
  <si>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</si>
  <si>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</si>
  <si>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</si>
  <si>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</si>
  <si>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</si>
  <si>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</si>
  <si>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</si>
  <si>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</si>
  <si>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</si>
  <si>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</si>
  <si>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</si>
  <si>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(MASTER PO: BPO1076541)</t>
  </si>
  <si>
    <t>BPO1076541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</si>
  <si>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</si>
  <si>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</si>
  <si>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</si>
  <si>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</si>
  <si>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</si>
  <si>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</si>
  <si>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</si>
  <si>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</si>
  <si>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</si>
  <si>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</si>
  <si>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</si>
  <si>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</si>
  <si>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</si>
  <si>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</si>
  <si>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</si>
  <si>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</si>
  <si>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</si>
  <si>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</si>
  <si>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</si>
  <si>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</si>
  <si>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</si>
  <si>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</si>
  <si>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</si>
  <si>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</si>
  <si>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</si>
  <si>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</si>
  <si>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</si>
  <si>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</si>
  <si>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</si>
  <si>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</si>
  <si>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</si>
  <si>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</si>
  <si>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</si>
  <si>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</si>
  <si>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</si>
  <si>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</si>
  <si>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</si>
  <si>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</si>
  <si>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</si>
  <si>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</si>
  <si>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</si>
  <si>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</si>
  <si>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</si>
  <si>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</si>
  <si>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</si>
  <si>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</si>
  <si>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</si>
  <si>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</si>
  <si>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</si>
  <si>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</si>
  <si>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</si>
  <si>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</si>
  <si>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</si>
  <si>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</si>
  <si>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</si>
  <si>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</si>
  <si>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</si>
  <si>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</si>
  <si>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</si>
  <si>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</si>
  <si>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</si>
  <si>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</si>
  <si>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</si>
  <si>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</si>
  <si>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</si>
  <si>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</si>
  <si>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</si>
  <si>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</si>
  <si>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</si>
  <si>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</si>
  <si>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</si>
  <si>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</si>
  <si>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</si>
  <si>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</si>
  <si>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</si>
  <si>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</si>
  <si>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</si>
  <si>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</si>
  <si>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</si>
  <si>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</si>
  <si>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</si>
  <si>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</si>
  <si>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</si>
  <si>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</si>
  <si>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</si>
  <si>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</si>
  <si>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</si>
  <si>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</si>
  <si>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</si>
  <si>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</si>
  <si>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</si>
  <si>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</si>
  <si>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</si>
  <si>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</si>
  <si>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</si>
  <si>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</si>
  <si>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</si>
  <si>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</si>
  <si>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</si>
  <si>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</si>
  <si>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</si>
  <si>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</si>
  <si>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</si>
  <si>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</si>
  <si>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</si>
  <si>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</si>
  <si>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</si>
  <si>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</si>
  <si>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</si>
  <si>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</si>
  <si>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</si>
  <si>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</si>
  <si>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</si>
  <si>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</si>
  <si>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</si>
  <si>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</si>
  <si>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</si>
  <si>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</si>
  <si>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</si>
  <si>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</si>
  <si>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</si>
  <si>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</si>
  <si>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</si>
  <si>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</si>
  <si>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</si>
  <si>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</si>
  <si>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</si>
  <si>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</si>
  <si>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</si>
  <si>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</si>
  <si>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</si>
  <si>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</si>
  <si>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</si>
  <si>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</si>
  <si>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</si>
  <si>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</si>
  <si>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</si>
  <si>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</si>
  <si>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</si>
  <si>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</si>
  <si>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</si>
  <si>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</si>
  <si>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</si>
  <si>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</si>
  <si>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</si>
  <si>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</si>
  <si>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</si>
  <si>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</si>
  <si>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</si>
  <si>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</si>
  <si>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</si>
  <si>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</si>
  <si>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</si>
  <si>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</si>
  <si>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</si>
  <si>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</si>
  <si>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</si>
  <si>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</si>
  <si>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</si>
  <si>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</si>
  <si>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</si>
  <si>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</si>
  <si>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</si>
  <si>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</si>
  <si>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</si>
  <si>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</si>
  <si>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</si>
  <si>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</si>
  <si>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</si>
  <si>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</si>
  <si>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</si>
  <si>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</si>
  <si>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</si>
  <si>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</si>
  <si>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</si>
  <si>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</si>
  <si>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</si>
  <si>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</si>
  <si>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</si>
  <si>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</si>
  <si>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</si>
  <si>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</si>
  <si>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</si>
  <si>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</si>
  <si>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</si>
  <si>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</si>
  <si>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</si>
  <si>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</si>
  <si>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</si>
  <si>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</si>
  <si>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</si>
  <si>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</si>
  <si>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</si>
  <si>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</si>
  <si>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</si>
  <si>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</si>
  <si>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</si>
  <si>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</si>
  <si>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</si>
  <si>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</si>
  <si>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</si>
  <si>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</si>
  <si>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</si>
  <si>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</si>
  <si>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</si>
  <si>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</si>
  <si>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</si>
  <si>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</si>
  <si>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</si>
  <si>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</si>
  <si>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</si>
  <si>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</si>
  <si>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</si>
  <si>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</si>
  <si>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</si>
  <si>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</si>
  <si>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</si>
  <si>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</si>
  <si>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</si>
  <si>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</si>
  <si>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</si>
  <si>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</si>
  <si>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</si>
  <si>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</si>
  <si>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</si>
  <si>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</si>
  <si>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</si>
  <si>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</si>
  <si>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</si>
  <si>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</si>
  <si>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</si>
  <si>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</si>
  <si>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</si>
  <si>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</si>
  <si>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</si>
  <si>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</si>
  <si>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</si>
  <si>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</si>
  <si>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</si>
  <si>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</si>
  <si>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</si>
  <si>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</si>
  <si>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</si>
  <si>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</si>
  <si>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</si>
  <si>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</si>
  <si>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</si>
  <si>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</si>
  <si>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</si>
  <si>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</si>
  <si>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</si>
  <si>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</si>
  <si>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</si>
  <si>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</si>
  <si>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</si>
  <si>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</si>
  <si>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</si>
  <si>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</si>
  <si>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</si>
  <si>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</si>
  <si>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</si>
  <si>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</si>
  <si>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</si>
  <si>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</si>
  <si>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</si>
  <si>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</si>
  <si>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</si>
  <si>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</si>
  <si>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</si>
  <si>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</si>
  <si>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</si>
  <si>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</si>
  <si>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</si>
  <si>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</si>
  <si>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</si>
  <si>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</si>
  <si>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</si>
  <si>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</si>
  <si>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</si>
  <si>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</si>
  <si>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</si>
  <si>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</si>
  <si>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</si>
  <si>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</si>
  <si>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</si>
  <si>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</si>
  <si>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</si>
  <si>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</si>
  <si>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</si>
  <si>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</si>
  <si>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</si>
  <si>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</si>
  <si>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</si>
  <si>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</si>
  <si>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</si>
  <si>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</si>
  <si>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</si>
  <si>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</si>
  <si>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</si>
  <si>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</si>
  <si>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</si>
  <si>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</si>
  <si>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</si>
  <si>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</si>
  <si>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</si>
  <si>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</si>
  <si>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</si>
  <si>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</si>
  <si>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</si>
  <si>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</si>
  <si>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</si>
  <si>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</si>
  <si>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</si>
  <si>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</si>
  <si>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</si>
  <si>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</si>
  <si>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</si>
  <si>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</si>
  <si>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</si>
  <si>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</si>
  <si>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</si>
  <si>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</si>
  <si>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</si>
  <si>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</si>
  <si>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</si>
  <si>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</si>
  <si>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</si>
  <si>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</si>
  <si>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</si>
  <si>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</si>
  <si>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</si>
  <si>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</si>
  <si>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</si>
  <si>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</si>
  <si>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</si>
  <si>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</si>
  <si>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</si>
  <si>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</si>
  <si>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</si>
  <si>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</si>
  <si>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</si>
  <si>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</si>
  <si>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</si>
  <si>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</si>
  <si>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</si>
  <si>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</si>
  <si>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</si>
  <si>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</si>
  <si>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</si>
  <si>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</si>
  <si>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</si>
  <si>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</si>
  <si>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</si>
  <si>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</si>
  <si>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</si>
  <si>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</si>
  <si>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</si>
  <si>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</si>
  <si>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</si>
  <si>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</si>
  <si>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</si>
  <si>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</si>
  <si>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</si>
  <si>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</si>
  <si>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</si>
  <si>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</si>
  <si>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</si>
  <si>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</si>
  <si>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</si>
  <si>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</si>
  <si>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</si>
  <si>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</si>
  <si>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</si>
  <si>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</si>
  <si>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</si>
  <si>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</si>
  <si>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</si>
  <si>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</si>
  <si>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</si>
  <si>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</si>
  <si>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</si>
  <si>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</si>
  <si>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</si>
  <si>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</si>
  <si>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</si>
  <si>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</si>
  <si>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</si>
  <si>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</si>
  <si>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</si>
  <si>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</si>
  <si>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</si>
  <si>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</si>
  <si>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</si>
  <si>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</si>
  <si>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</si>
  <si>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</si>
  <si>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</si>
  <si>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</si>
  <si>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</si>
  <si>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</si>
  <si>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</si>
  <si>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</si>
  <si>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</si>
  <si>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</si>
  <si>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</si>
  <si>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</si>
  <si>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</si>
  <si>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</si>
  <si>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</si>
  <si>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</si>
  <si>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</si>
  <si>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</si>
  <si>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</si>
  <si>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</si>
  <si>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</si>
  <si>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</si>
  <si>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</si>
  <si>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</si>
  <si>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</si>
  <si>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</si>
  <si>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</si>
  <si>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</si>
  <si>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</si>
  <si>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</si>
  <si>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</si>
  <si>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</si>
  <si>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</si>
  <si>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</si>
  <si>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</si>
  <si>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</si>
  <si>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</si>
  <si>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</si>
  <si>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</si>
  <si>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</si>
  <si>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</si>
  <si>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</si>
  <si>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</si>
  <si>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</si>
  <si>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</si>
  <si>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</si>
  <si>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</si>
  <si>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</si>
  <si>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</si>
  <si>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</si>
  <si>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</si>
  <si>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</si>
  <si>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</si>
  <si>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</si>
  <si>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</si>
  <si>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</si>
  <si>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</si>
  <si>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</si>
  <si>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</si>
  <si>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</si>
  <si>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</si>
  <si>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</si>
  <si>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</si>
  <si>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</si>
  <si>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</si>
  <si>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</si>
  <si>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</si>
  <si>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</si>
  <si>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</si>
  <si>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</si>
  <si>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</si>
  <si>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</si>
  <si>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</si>
  <si>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</si>
  <si>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</si>
  <si>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</si>
  <si>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</si>
  <si>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</si>
  <si>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</si>
  <si>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</si>
  <si>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</si>
  <si>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</si>
  <si>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</si>
  <si>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</si>
  <si>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</si>
  <si>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</si>
  <si>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</si>
  <si>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</si>
  <si>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</si>
  <si>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</si>
  <si>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</si>
  <si>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</si>
  <si>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</si>
  <si>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</si>
  <si>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</si>
  <si>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</si>
  <si>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</si>
  <si>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</si>
  <si>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</si>
  <si>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</si>
  <si>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</si>
  <si>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</si>
  <si>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</si>
  <si>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</si>
  <si>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</si>
  <si>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</si>
  <si>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</si>
  <si>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</si>
  <si>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</si>
  <si>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</si>
  <si>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</si>
  <si>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</si>
  <si>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</si>
  <si>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</si>
  <si>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</si>
  <si>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</si>
  <si>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</si>
  <si>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</si>
  <si>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</si>
  <si>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</si>
  <si>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</si>
  <si>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</si>
  <si>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</si>
  <si>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</si>
  <si>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</si>
  <si>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</si>
  <si>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</si>
  <si>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</si>
  <si>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</si>
  <si>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</si>
  <si>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</si>
  <si>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</si>
  <si>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</si>
  <si>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</si>
  <si>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</si>
  <si>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</si>
  <si>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</si>
  <si>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</si>
  <si>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</si>
  <si>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</si>
  <si>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</si>
  <si>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</si>
  <si>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</si>
  <si>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</si>
  <si>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</si>
  <si>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</si>
  <si>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</si>
  <si>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</si>
  <si>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</si>
  <si>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</si>
  <si>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</si>
  <si>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</si>
  <si>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</si>
  <si>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</si>
  <si>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</si>
  <si>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</si>
  <si>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</si>
  <si>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</si>
  <si>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</si>
  <si>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</si>
  <si>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</si>
  <si>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</si>
  <si>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</si>
  <si>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</si>
  <si>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</si>
  <si>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</si>
  <si>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</si>
  <si>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</si>
  <si>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</si>
  <si>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</si>
  <si>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</si>
  <si>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</si>
  <si>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</si>
  <si>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</si>
  <si>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</si>
  <si>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</si>
  <si>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</si>
  <si>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</si>
  <si>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</si>
  <si>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</si>
  <si>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</si>
  <si>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</si>
  <si>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</si>
  <si>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</si>
  <si>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</si>
  <si>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</si>
  <si>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</si>
  <si>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</si>
  <si>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</si>
  <si>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</si>
  <si>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</si>
  <si>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</si>
  <si>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</si>
  <si>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</si>
  <si>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</si>
  <si>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</si>
  <si>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</si>
  <si>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</si>
  <si>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</si>
  <si>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</si>
  <si>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</si>
  <si>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</si>
  <si>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</si>
  <si>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</si>
  <si>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</si>
  <si>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</si>
  <si>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</si>
  <si>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</si>
  <si>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</si>
  <si>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</si>
  <si>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</si>
  <si>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</si>
  <si>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</si>
  <si>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</si>
  <si>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</si>
  <si>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</si>
  <si>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</si>
  <si>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</si>
  <si>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</si>
  <si>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</si>
  <si>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</si>
  <si>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</si>
  <si>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</si>
  <si>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PT1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</si>
  <si>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</si>
  <si>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</si>
  <si>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</si>
  <si>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</si>
  <si>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</si>
  <si>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</si>
  <si>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</si>
  <si>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</si>
  <si>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</si>
  <si>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</si>
  <si>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</si>
  <si>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</si>
  <si>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</si>
  <si>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</si>
  <si>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</si>
  <si>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</si>
  <si>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</si>
  <si>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</si>
  <si>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</si>
  <si>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</si>
  <si>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</si>
  <si>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</si>
  <si>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</si>
  <si>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</si>
  <si>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</si>
  <si>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</si>
  <si>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</si>
  <si>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</si>
  <si>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</si>
  <si>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</si>
  <si>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</si>
  <si>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</si>
  <si>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</si>
  <si>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</si>
  <si>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</si>
  <si>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</si>
  <si>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</si>
  <si>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</si>
  <si>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</si>
  <si>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</si>
  <si>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</si>
  <si>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</si>
  <si>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</si>
  <si>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</si>
  <si>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</si>
  <si>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</si>
  <si>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</si>
  <si>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</si>
  <si>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</si>
  <si>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</si>
  <si>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</si>
  <si>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</si>
  <si>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</si>
  <si>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</si>
  <si>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</si>
  <si>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</si>
  <si>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</si>
  <si>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</si>
  <si>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</si>
  <si>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</si>
  <si>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</si>
  <si>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</si>
  <si>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</si>
  <si>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</si>
  <si>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</si>
  <si>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</si>
  <si>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</si>
  <si>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</si>
  <si>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LUMIO SPA (REVISE), Legal/SST/Allocate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</si>
  <si>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</si>
  <si>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</si>
  <si>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</si>
  <si>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</si>
  <si>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</si>
  <si>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</si>
  <si>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</si>
  <si>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</si>
  <si>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</si>
  <si>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</si>
  <si>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</si>
  <si>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</si>
  <si>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</si>
  <si>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</si>
  <si>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</si>
  <si>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</si>
  <si>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</si>
  <si>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</si>
  <si>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</si>
  <si>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</si>
  <si>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</si>
  <si>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</si>
  <si>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</si>
  <si>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</si>
  <si>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</si>
  <si>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</si>
  <si>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</si>
  <si>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</si>
  <si>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</si>
  <si>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</si>
  <si>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</si>
  <si>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</si>
  <si>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</si>
  <si>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</si>
  <si>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</si>
  <si>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</si>
  <si>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</si>
  <si>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</si>
  <si>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</si>
  <si>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</si>
  <si>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</si>
  <si>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</si>
  <si>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</si>
  <si>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</si>
  <si>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</si>
  <si>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</si>
  <si>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</si>
  <si>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</si>
  <si>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</si>
  <si>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</si>
  <si>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</si>
  <si>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</si>
  <si>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</si>
  <si>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</si>
  <si>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</si>
  <si>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</si>
  <si>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</si>
  <si>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</si>
  <si>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</si>
  <si>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</si>
  <si>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</si>
  <si>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</si>
  <si>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</si>
  <si>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</si>
  <si>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</si>
  <si>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</si>
  <si>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</si>
  <si>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</si>
  <si>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</si>
  <si>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</si>
  <si>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</si>
  <si>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</si>
  <si>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</si>
  <si>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</si>
  <si>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</si>
  <si>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</si>
  <si>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</si>
  <si>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</si>
  <si>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</si>
  <si>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</si>
  <si>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</si>
  <si>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</si>
  <si>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</si>
  <si>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</si>
  <si>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</si>
  <si>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</si>
  <si>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</si>
  <si>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</si>
  <si>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</si>
  <si>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</si>
  <si>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</si>
  <si>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</si>
  <si>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</si>
  <si>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</si>
  <si>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</si>
  <si>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</si>
  <si>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</si>
  <si>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</si>
  <si>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</si>
  <si>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</si>
  <si>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</si>
  <si>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</si>
  <si>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</si>
  <si>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</si>
  <si>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</si>
  <si>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</si>
  <si>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</si>
  <si>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</si>
  <si>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</si>
  <si>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</si>
  <si>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</si>
  <si>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</si>
  <si>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</si>
  <si>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</si>
  <si>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</si>
  <si>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</si>
  <si>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</si>
  <si>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</si>
  <si>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</si>
  <si>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</si>
  <si>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</si>
  <si>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</si>
  <si>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</si>
  <si>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</si>
  <si>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</si>
  <si>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</si>
  <si>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</si>
  <si>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</si>
  <si>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</si>
  <si>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</si>
  <si>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</si>
  <si>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</si>
  <si>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</si>
  <si>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</si>
  <si>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</si>
  <si>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</si>
  <si>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</si>
  <si>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</si>
  <si>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</si>
  <si>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</si>
  <si>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</si>
  <si>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</si>
  <si>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</si>
  <si>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</si>
  <si>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</si>
  <si>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</si>
  <si>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</si>
  <si>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</si>
  <si>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</si>
  <si>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</si>
  <si>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</si>
  <si>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</si>
  <si>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</si>
  <si>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</si>
  <si>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</si>
  <si>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</si>
  <si>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</si>
  <si>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</si>
  <si>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</si>
  <si>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</si>
  <si>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</si>
  <si>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</si>
  <si>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</si>
  <si>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</si>
  <si>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</si>
  <si>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</si>
  <si>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</si>
  <si>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</si>
  <si>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</si>
  <si>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</si>
  <si>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</si>
  <si>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</si>
  <si>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</si>
  <si>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</si>
  <si>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</si>
  <si>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</si>
  <si>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</si>
  <si>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</si>
  <si>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</si>
  <si>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</si>
  <si>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</si>
  <si>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</si>
  <si>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</si>
  <si>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</si>
  <si>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</si>
  <si>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</si>
  <si>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</si>
  <si>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</si>
  <si>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</si>
  <si>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</si>
  <si>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</si>
  <si>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</si>
  <si>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</si>
  <si>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</si>
  <si>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</si>
  <si>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</si>
  <si>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</si>
  <si>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</si>
  <si>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</si>
  <si>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</si>
  <si>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</si>
  <si>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</si>
  <si>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</si>
  <si>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</si>
  <si>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</si>
  <si>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</si>
  <si>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</si>
  <si>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</si>
  <si>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</si>
  <si>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</si>
  <si>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</si>
  <si>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</si>
  <si>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</si>
  <si>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</si>
  <si>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</si>
  <si>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</si>
  <si>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</si>
  <si>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</si>
  <si>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</si>
  <si>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</si>
  <si>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</si>
  <si>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</si>
  <si>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</si>
  <si>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</si>
  <si>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</si>
  <si>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</si>
  <si>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</si>
  <si>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</si>
  <si>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</si>
  <si>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</si>
  <si>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</si>
  <si>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</si>
  <si>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</si>
  <si>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</si>
  <si>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</si>
  <si>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</si>
  <si>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</si>
  <si>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</si>
  <si>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</si>
  <si>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</si>
  <si>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</si>
  <si>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</si>
  <si>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</si>
  <si>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</si>
  <si>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</si>
  <si>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</si>
  <si>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</si>
  <si>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</si>
  <si>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</si>
  <si>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</si>
  <si>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</si>
  <si>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</si>
  <si>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</si>
  <si>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</si>
  <si>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</si>
  <si>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</si>
  <si>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</si>
  <si>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</si>
  <si>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</si>
  <si>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</si>
  <si>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</si>
  <si>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</si>
  <si>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</si>
  <si>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</si>
  <si>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</si>
  <si>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</si>
  <si>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</si>
  <si>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</si>
  <si>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</si>
  <si>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</si>
  <si>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</si>
  <si>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</si>
  <si>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</si>
  <si>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</si>
  <si>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</si>
  <si>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</si>
  <si>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</si>
  <si>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</si>
  <si>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</si>
  <si>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</si>
  <si>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</si>
  <si>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</si>
  <si>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</si>
  <si>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</si>
  <si>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</si>
  <si>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</si>
  <si>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</si>
  <si>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</si>
  <si>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</si>
  <si>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</si>
  <si>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</si>
  <si>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</si>
  <si>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</si>
  <si>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</si>
  <si>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</si>
  <si>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</si>
  <si>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</si>
  <si>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</si>
  <si>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</si>
  <si>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</si>
  <si>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</si>
  <si>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</si>
  <si>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</si>
  <si>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</si>
  <si>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</si>
  <si>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</si>
  <si>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</si>
  <si>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</si>
  <si>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</si>
  <si>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</si>
  <si>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</si>
  <si>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</si>
  <si>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</si>
  <si>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</si>
  <si>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</si>
  <si>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</si>
  <si>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</si>
  <si>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</si>
  <si>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</si>
  <si>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</si>
  <si>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</si>
  <si>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</si>
  <si>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</si>
  <si>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</si>
  <si>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</si>
  <si>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</si>
  <si>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</si>
  <si>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</si>
  <si>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</si>
  <si>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</si>
  <si>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</si>
  <si>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</si>
  <si>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</si>
  <si>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</si>
  <si>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</si>
  <si>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</si>
  <si>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</si>
  <si>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</si>
  <si>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</si>
  <si>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</si>
  <si>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</si>
  <si>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</si>
  <si>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</si>
  <si>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</si>
  <si>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</si>
  <si>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</si>
  <si>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</si>
  <si>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</si>
  <si>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</si>
  <si>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</si>
  <si>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</si>
  <si>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</si>
  <si>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</si>
  <si>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</si>
  <si>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</si>
  <si>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</si>
  <si>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</si>
  <si>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</si>
  <si>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</si>
  <si>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</si>
  <si>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</si>
  <si>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</si>
  <si>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</si>
  <si>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</si>
  <si>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</si>
  <si>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</si>
  <si>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</si>
  <si>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</si>
  <si>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</si>
  <si>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</si>
  <si>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</si>
  <si>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</si>
  <si>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</si>
  <si>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</si>
  <si>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</si>
  <si>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</si>
  <si>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</si>
  <si>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</si>
  <si>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</si>
  <si>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</si>
  <si>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</si>
  <si>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</si>
  <si>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</si>
  <si>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</si>
  <si>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</si>
  <si>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</si>
  <si>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</si>
  <si>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</si>
  <si>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</si>
  <si>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</si>
  <si>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</si>
  <si>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</si>
  <si>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</si>
  <si>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</si>
  <si>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</si>
  <si>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</si>
  <si>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</si>
  <si>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</si>
  <si>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</si>
  <si>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</si>
  <si>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</si>
  <si>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</si>
  <si>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</si>
  <si>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</si>
  <si>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</si>
  <si>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</si>
  <si>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</si>
  <si>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 xml:space="preserve">Max Credit </t>
  </si>
  <si>
    <t>PO2778 PT5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</si>
  <si>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</si>
  <si>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</si>
  <si>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</si>
  <si>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</si>
  <si>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</si>
  <si>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</si>
  <si>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</si>
  <si>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</si>
  <si>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</si>
  <si>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</si>
  <si>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</si>
  <si>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</si>
  <si>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</si>
  <si>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</si>
  <si>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</si>
  <si>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</si>
  <si>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</si>
  <si>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</si>
  <si>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</si>
  <si>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</si>
  <si>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</si>
  <si>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</si>
  <si>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</si>
  <si>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</si>
  <si>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</si>
  <si>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</si>
  <si>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</si>
  <si>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</si>
  <si>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</si>
  <si>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</si>
  <si>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actually shipped 30397472C</t>
  </si>
  <si>
    <t>revise Ts and Cs/ Incoterms</t>
  </si>
  <si>
    <t>082862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</si>
  <si>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</si>
  <si>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</si>
  <si>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</si>
  <si>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</si>
  <si>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</si>
  <si>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</si>
  <si>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SO Created/ BOL393613765 is missing 29pcs/ Invoice email draft</t>
  </si>
  <si>
    <t>5621-CH904814S PT3</t>
  </si>
  <si>
    <t xml:space="preserve">Revised PO Non-SPA/price/GA Modules Only </t>
  </si>
  <si>
    <t xml:space="preserve">Revised to NON-SPA/ SST/Allocate/price/GA Modules Only </t>
  </si>
  <si>
    <t>6058-SC904421S</t>
  </si>
  <si>
    <t>Q.PEAK DUO L-G8.2</t>
  </si>
  <si>
    <t>6058-SC904420S</t>
  </si>
  <si>
    <t>2101438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</si>
  <si>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</si>
  <si>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</si>
  <si>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</si>
  <si>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</si>
  <si>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</si>
  <si>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</si>
  <si>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</si>
  <si>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</si>
  <si>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</si>
  <si>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</si>
  <si>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</si>
  <si>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</si>
  <si>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</si>
  <si>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RECEIVED- 393436410</t>
  </si>
  <si>
    <t>P501821193 PT1</t>
  </si>
  <si>
    <t>East Peoria</t>
  </si>
  <si>
    <t>P501821193 PT2</t>
  </si>
  <si>
    <t>SCHEDULED (4/15)</t>
  </si>
  <si>
    <t>MSPO980061-A</t>
  </si>
  <si>
    <t>MSPO980062-A</t>
  </si>
  <si>
    <t>(DDP, ATLWH, 49203132, 832pcs)</t>
  </si>
  <si>
    <t>P2290</t>
  </si>
  <si>
    <r>
      <t xml:space="preserve">RELEASED &amp; NOT SCHEUDLED (4/15)  - </t>
    </r>
    <r>
      <rPr>
        <i/>
        <sz val="9"/>
        <color theme="1"/>
        <rFont val="Calibri"/>
        <family val="2"/>
        <scheme val="minor"/>
      </rPr>
      <t>MASTER PO: BPO1076546</t>
    </r>
  </si>
  <si>
    <t>P2258</t>
  </si>
  <si>
    <t>P2274</t>
  </si>
  <si>
    <t>Load# 394336356</t>
  </si>
  <si>
    <t>Better Earth SP revised pricing</t>
  </si>
  <si>
    <t>WEST SACRAMENTO</t>
  </si>
  <si>
    <t>Angie</t>
  </si>
  <si>
    <t xml:space="preserve"> Allocate/Cust confirmed deliv date 5/2 per SST okay to push to May REV</t>
  </si>
  <si>
    <t>Allocate/Cust confirmed deliv date 5/2 per SST okay to push to May REV</t>
  </si>
  <si>
    <t>Energy Solutions and Supplies, LLC</t>
  </si>
  <si>
    <t>Cleveland</t>
  </si>
  <si>
    <t>37312</t>
  </si>
  <si>
    <t>SH-00544 PT7</t>
  </si>
  <si>
    <t>WANT EARLY MAY</t>
  </si>
  <si>
    <t>Shipped as 49201132, Delivered as 49201132 (352pcs), 49203132 (64pcs)</t>
  </si>
  <si>
    <t>P103548785</t>
  </si>
  <si>
    <t>P103548783</t>
  </si>
  <si>
    <t>IGS Solar,LLC</t>
  </si>
  <si>
    <t>Southampton</t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</si>
  <si>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</si>
  <si>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</si>
  <si>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</si>
  <si>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</si>
  <si>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</si>
  <si>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</si>
  <si>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</si>
  <si>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</si>
  <si>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</si>
  <si>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</si>
  <si>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</si>
  <si>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</si>
  <si>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</si>
  <si>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</si>
  <si>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</si>
  <si>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</si>
  <si>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</si>
  <si>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</si>
  <si>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SIP</t>
  </si>
  <si>
    <t>WH_PS</t>
  </si>
  <si>
    <t>SO_Approval</t>
  </si>
  <si>
    <t>reallocate</t>
  </si>
  <si>
    <t>FTD/IOD</t>
  </si>
  <si>
    <t>12005559C</t>
  </si>
  <si>
    <t>393919078 screenshot/ATL</t>
  </si>
  <si>
    <t>Carl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</si>
  <si>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</si>
  <si>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</si>
  <si>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</si>
  <si>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</si>
  <si>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</si>
  <si>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</si>
  <si>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</si>
  <si>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</si>
  <si>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</si>
  <si>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</si>
  <si>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</si>
  <si>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</si>
  <si>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</si>
  <si>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</si>
  <si>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</si>
  <si>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</si>
  <si>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</si>
  <si>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</si>
  <si>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</si>
  <si>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</si>
  <si>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</si>
  <si>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t>SCHEDULED (4/20)</t>
  </si>
  <si>
    <r>
      <t xml:space="preserve">RELEASED BUT PUSHED OUT FROM APR TO MAY. DELIVER ON 05-02-2022-MON (4/20) </t>
    </r>
    <r>
      <rPr>
        <sz val="9"/>
        <color theme="1"/>
        <rFont val="Calibri"/>
        <family val="2"/>
        <scheme val="minor"/>
      </rPr>
      <t>Master PO BPO1076540</t>
    </r>
  </si>
  <si>
    <t>proforma/payment</t>
  </si>
  <si>
    <t>Revised PO to NON-SPA, one early may, one late may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</si>
  <si>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</si>
  <si>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</si>
  <si>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</si>
  <si>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</si>
  <si>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</si>
  <si>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</si>
  <si>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</si>
  <si>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</si>
  <si>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</si>
  <si>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</si>
  <si>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</si>
  <si>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</si>
  <si>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</si>
  <si>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</si>
  <si>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</si>
  <si>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</si>
  <si>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</si>
  <si>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</si>
  <si>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</si>
  <si>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</si>
  <si>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</si>
  <si>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</si>
  <si>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</si>
  <si>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</si>
  <si>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</si>
  <si>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</si>
  <si>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</si>
  <si>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</si>
  <si>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</si>
  <si>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</si>
  <si>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</si>
  <si>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</si>
  <si>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</si>
  <si>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</si>
  <si>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</si>
  <si>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</si>
  <si>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</si>
  <si>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</si>
  <si>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</si>
  <si>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</si>
  <si>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</si>
  <si>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</si>
  <si>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</si>
  <si>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</si>
  <si>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</si>
  <si>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</si>
  <si>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</si>
  <si>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</si>
  <si>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</si>
  <si>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</si>
  <si>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</si>
  <si>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</si>
  <si>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</si>
  <si>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</si>
  <si>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</si>
  <si>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</si>
  <si>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</si>
  <si>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</si>
  <si>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</si>
  <si>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</si>
  <si>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</si>
  <si>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</si>
  <si>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</si>
  <si>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</si>
  <si>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</si>
  <si>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</si>
  <si>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</si>
  <si>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</si>
  <si>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 xml:space="preserve"> Legal/SST/Allocate</t>
  </si>
  <si>
    <t>0237-KI907032S</t>
  </si>
  <si>
    <t>0237-KI907033S</t>
  </si>
  <si>
    <t>0237-KI907034S</t>
  </si>
  <si>
    <t>1987-SS904182S</t>
  </si>
  <si>
    <t>P103550077</t>
  </si>
  <si>
    <t>P103550079</t>
  </si>
  <si>
    <t>P103550170</t>
  </si>
  <si>
    <t xml:space="preserve">Q.PEAK DUO XL G10.3 BFG </t>
  </si>
  <si>
    <t>Per Matt/ SST push to May</t>
  </si>
  <si>
    <t>per Asutin use  .49ct/Actually shipped 30390156C</t>
  </si>
  <si>
    <t>PO-003016 PT1 Sacramento</t>
  </si>
  <si>
    <t>IOD</t>
  </si>
  <si>
    <t>SST/Legal /Allocate Cust to revise product name G10.3</t>
  </si>
  <si>
    <t>PO-651678</t>
  </si>
  <si>
    <t>PO-651679</t>
  </si>
  <si>
    <t>ATL FTD missing 52pcs</t>
  </si>
  <si>
    <t>ATL FTD? Not on the report</t>
  </si>
  <si>
    <t>price?</t>
  </si>
  <si>
    <t>Load ID# 395271141</t>
  </si>
  <si>
    <t>Better Earth SP revised pricing/ checking with JK when they can receive 4/20</t>
  </si>
  <si>
    <t>8064-ZH904899S</t>
  </si>
  <si>
    <t>being replaced with bakersfield PO (0311-TC912274S)</t>
  </si>
  <si>
    <t>US Assembled Semper</t>
  </si>
  <si>
    <t>7133-NK986010S</t>
  </si>
  <si>
    <t>7133-NK986170S</t>
  </si>
  <si>
    <t>need rev to 480W</t>
  </si>
  <si>
    <t>revise to 480W BFG</t>
  </si>
  <si>
    <t>20% received )no tax)</t>
  </si>
  <si>
    <t>allocate?</t>
  </si>
  <si>
    <r>
      <t xml:space="preserve">RELEASED &amp; NOT SCHEDULED (4/18) - </t>
    </r>
    <r>
      <rPr>
        <i/>
        <sz val="9"/>
        <rFont val="Calibri"/>
        <family val="2"/>
        <scheme val="minor"/>
      </rPr>
      <t xml:space="preserve">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1664ea)</t>
    </r>
  </si>
  <si>
    <t>CYNTHIA</t>
  </si>
  <si>
    <t>0120-WG903351S PT4</t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</si>
  <si>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 xml:space="preserve"> - </t>
    </r>
    <r>
      <rPr>
        <sz val="9"/>
        <rFont val="Calibri"/>
        <family val="2"/>
        <scheme val="minor"/>
      </rPr>
      <t>(DDP, CAWH, 30390156H, 832ea)</t>
    </r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</si>
  <si>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sz val="9"/>
        <rFont val="Calibri"/>
        <family val="2"/>
        <scheme val="minor"/>
      </rPr>
      <t xml:space="preserve"> (DDP, ATLWH, 49203132, 768ea)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</si>
  <si>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r>
      <t xml:space="preserve">(FTD ISSUE) DO INV REQ (4/20) </t>
    </r>
    <r>
      <rPr>
        <sz val="9"/>
        <rFont val="Calibri"/>
        <family val="2"/>
        <scheme val="minor"/>
      </rPr>
      <t>(CIP, ATLWH, 49201132, 832ea)</t>
    </r>
  </si>
  <si>
    <t>0120-WG903351S PT3</t>
  </si>
  <si>
    <r>
      <t>SCHEDULED (4/20) -</t>
    </r>
    <r>
      <rPr>
        <sz val="9"/>
        <rFont val="Calibri"/>
        <family val="2"/>
        <scheme val="minor"/>
      </rPr>
      <t xml:space="preserve"> (DDP, ATLWH, 49405140, 768pcs)</t>
    </r>
  </si>
  <si>
    <r>
      <t>SCHEDULED (4/20)  -</t>
    </r>
    <r>
      <rPr>
        <sz val="9"/>
        <rFont val="Calibri"/>
        <family val="2"/>
        <scheme val="minor"/>
      </rPr>
      <t xml:space="preserve"> (CIP, ATLWH, 49203132, 832ea) </t>
    </r>
  </si>
  <si>
    <r>
      <t>SCHEDULED (4/20) -</t>
    </r>
    <r>
      <rPr>
        <sz val="9"/>
        <rFont val="Calibri"/>
        <family val="2"/>
        <scheme val="minor"/>
      </rPr>
      <t xml:space="preserve"> (DDP, CAWH, 49405140, 768ea)</t>
    </r>
  </si>
  <si>
    <r>
      <t xml:space="preserve">SCHEDULED (4/20) - </t>
    </r>
    <r>
      <rPr>
        <sz val="9"/>
        <rFont val="Calibri"/>
        <family val="2"/>
        <scheme val="minor"/>
      </rPr>
      <t>(DDP, CAWH, 49405140, 768ea)</t>
    </r>
  </si>
  <si>
    <t>check</t>
  </si>
  <si>
    <t>partial</t>
  </si>
  <si>
    <t>Revised PO to NON-SPA,HALF TO DALLAS</t>
  </si>
  <si>
    <t>THIRD, NEED REV CR</t>
  </si>
  <si>
    <t>SMALL TRUCKS, THIRD</t>
  </si>
  <si>
    <t>0148-RK906443S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</si>
  <si>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</si>
  <si>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</si>
  <si>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</si>
  <si>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</si>
  <si>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</si>
  <si>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</si>
  <si>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</si>
  <si>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</si>
  <si>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</si>
  <si>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</si>
  <si>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P103551328</t>
  </si>
  <si>
    <t>P103551329</t>
  </si>
  <si>
    <t>P103551330</t>
  </si>
  <si>
    <t>legal/Allocate</t>
  </si>
  <si>
    <t>St.Paul</t>
  </si>
  <si>
    <t>need cust rev confirm</t>
  </si>
  <si>
    <t xml:space="preserve">Sparks </t>
  </si>
  <si>
    <t>Pacifico Power, LLC</t>
  </si>
  <si>
    <t>Rancho Santa Margarita</t>
  </si>
  <si>
    <t>Sent</t>
  </si>
  <si>
    <t>long leads/ SST/ Legal/ Allocate/ Cust to revise price to .495CT</t>
  </si>
  <si>
    <t>sst/ legal /allocate</t>
  </si>
  <si>
    <t>SST/Legal/allocate</t>
  </si>
  <si>
    <t>SST/Legal/ allocate</t>
  </si>
  <si>
    <t>cust to revise PO to Q.PEAK DUO XL G10.3 BFG</t>
  </si>
  <si>
    <r>
      <t>SCHEDULED (4/20) -</t>
    </r>
    <r>
      <rPr>
        <sz val="9"/>
        <rFont val="Calibri"/>
        <family val="2"/>
        <scheme val="minor"/>
      </rPr>
      <t xml:space="preserve"> (DDP, ATLWH, 49203132, 896ea) </t>
    </r>
  </si>
  <si>
    <t>FTD retreived 4/22</t>
  </si>
  <si>
    <t>PO2780 PT5</t>
  </si>
  <si>
    <t>PO2782 PT4</t>
  </si>
  <si>
    <t>5621-CH904222S PT6</t>
  </si>
  <si>
    <t>6058-SC904616S PT1</t>
  </si>
  <si>
    <t>6058-SC904616S PT2</t>
  </si>
  <si>
    <t>8018-AD915108S PT4</t>
  </si>
  <si>
    <t xml:space="preserve">  SO Created/ Not Uploading BOL395655352</t>
  </si>
  <si>
    <t>8018-AD915388S PT3</t>
  </si>
  <si>
    <t>need rev PO - price</t>
  </si>
  <si>
    <t>2111420 (Greenport)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</si>
  <si>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</si>
  <si>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</si>
  <si>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</si>
  <si>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</si>
  <si>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</si>
  <si>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</si>
  <si>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SPA ASP (reference)</t>
  </si>
  <si>
    <t>Revised PO delivery address</t>
  </si>
  <si>
    <t>Revise to BFG</t>
  </si>
  <si>
    <t>Horizantly Stacked</t>
  </si>
  <si>
    <t>9185-BPM904253S</t>
  </si>
  <si>
    <t>Long Cables required/ Revise to BFG</t>
  </si>
  <si>
    <t xml:space="preserve">Revised product name </t>
  </si>
  <si>
    <t>2022-700190</t>
  </si>
  <si>
    <t>2022-700191</t>
  </si>
  <si>
    <t>0311-TC913057S</t>
  </si>
  <si>
    <t>2022-700192</t>
  </si>
  <si>
    <t xml:space="preserve">Revised product name/ qty 29pcs per paller </t>
  </si>
  <si>
    <t>2022-700193</t>
  </si>
  <si>
    <t>2022-700194</t>
  </si>
  <si>
    <t>5040-JB981601S</t>
  </si>
  <si>
    <t>2022-700188</t>
  </si>
  <si>
    <t>8187-KA900888S</t>
  </si>
  <si>
    <t>8187-KA900889S</t>
  </si>
  <si>
    <t>8187-KA900890S</t>
  </si>
  <si>
    <t>1057-JS900709S</t>
  </si>
  <si>
    <t>1057-JS900710S</t>
  </si>
  <si>
    <t>2022-700189</t>
  </si>
  <si>
    <t>5040-JB981600S</t>
  </si>
  <si>
    <t>5040-JB981599S</t>
  </si>
  <si>
    <t>5040-JB981598S</t>
  </si>
  <si>
    <t>5040-JB981597S</t>
  </si>
  <si>
    <t>5040-JB981596S</t>
  </si>
  <si>
    <t>5040-JB981595S</t>
  </si>
  <si>
    <t>08077</t>
  </si>
  <si>
    <t>PO-654874</t>
  </si>
  <si>
    <t xml:space="preserve"> replaces PO-00007475</t>
  </si>
  <si>
    <t>replaces PO-00007476</t>
  </si>
  <si>
    <t>FTD not uploading - BOL394853449</t>
  </si>
  <si>
    <t xml:space="preserve">Partial </t>
  </si>
  <si>
    <t>replaces PO-00007476/ Per Edwin ok to push to May</t>
  </si>
  <si>
    <t>Per Edwin ok to push to May</t>
  </si>
  <si>
    <t>Can’t Pull- 393431040, FTD Received</t>
  </si>
  <si>
    <t>Revised Qty 3584, 394697481</t>
  </si>
  <si>
    <t>Revised Qty 3584, 394474824</t>
  </si>
  <si>
    <t>GA-LONGER MC4 LEADS</t>
  </si>
  <si>
    <t>allocate,SunCommon</t>
  </si>
  <si>
    <t>Price need to be updated/Allocate, South Korean Made Version Requested</t>
  </si>
  <si>
    <t>NEED TO BE 480</t>
  </si>
  <si>
    <t>PRICE IS INCORRECT</t>
  </si>
  <si>
    <t>legal/sst/allocate</t>
  </si>
  <si>
    <t>P103553146</t>
  </si>
  <si>
    <t>LONGER MC4 LEADS</t>
  </si>
  <si>
    <t>(PO RCVD 4/4) PO REV NEEDED (a/pricing)  Allocate Pending / Legal Approved / SST Pending (4/4) DEC?</t>
  </si>
  <si>
    <t>(PO RCVD 4/4) PO REV NEEDED (a/pricing)  Allocate Pending / Legal Approved / SST Pending (4/4) NOV?</t>
  </si>
  <si>
    <t>(PO RCVD 4/4) PO REV NEEDED (a/pricing)  Allocate Pending / Legal Approved / SST Pending (4/4) OCT?</t>
  </si>
  <si>
    <t>(PO RCVD 4/4) PO REV NEEDED (a/pricing) Allocate Pending / Legal Approved / SST Pending (4/4) SEPT?</t>
  </si>
  <si>
    <t>allocate/NEED REVISION (QTY, PRICE)</t>
  </si>
  <si>
    <t>1670-RF951047S</t>
  </si>
  <si>
    <t>1670-RF951048S</t>
  </si>
  <si>
    <t>1670-RF951236S</t>
  </si>
  <si>
    <t>1670-RF951237S</t>
  </si>
  <si>
    <t>1670-RF951238S</t>
  </si>
  <si>
    <t>1670-RF951239S</t>
  </si>
  <si>
    <t>1670-RF951240S</t>
  </si>
  <si>
    <t>1670-RF951241S</t>
  </si>
  <si>
    <r>
      <t>allocate/</t>
    </r>
    <r>
      <rPr>
        <b/>
        <sz val="9"/>
        <color theme="1"/>
        <rFont val="Calibri"/>
        <family val="2"/>
        <scheme val="minor"/>
      </rPr>
      <t>NEED REVISION</t>
    </r>
    <r>
      <rPr>
        <sz val="9"/>
        <color theme="1"/>
        <rFont val="Calibri"/>
        <family val="2"/>
        <scheme val="minor"/>
      </rPr>
      <t xml:space="preserve"> (a, SPA, QTY, PRICE)</t>
    </r>
  </si>
  <si>
    <t>4984-MW946543S</t>
  </si>
  <si>
    <t>4984-MW946544S</t>
  </si>
  <si>
    <t>4984-MW946545S</t>
  </si>
  <si>
    <t>4984-MW946546S</t>
  </si>
  <si>
    <t>4984-MW946547S</t>
  </si>
  <si>
    <t>4984-MW946548S</t>
  </si>
  <si>
    <t>allocate/</t>
  </si>
  <si>
    <t>5887-RD948994S</t>
  </si>
  <si>
    <t>5887-RD948995S</t>
  </si>
  <si>
    <t>5887-RD948996S</t>
  </si>
  <si>
    <t>5887-RD948997S</t>
  </si>
  <si>
    <t>5887-RD948998S</t>
  </si>
  <si>
    <t>5887-RD948999S</t>
  </si>
  <si>
    <t>MASTER PO</t>
  </si>
  <si>
    <t>new MASTER po</t>
  </si>
  <si>
    <t>5887-RD948993S</t>
  </si>
  <si>
    <t>MASTER</t>
  </si>
  <si>
    <t>Legal-SST APPROVAL PENDING (4/25)</t>
  </si>
  <si>
    <t>4250-CF902728S</t>
  </si>
  <si>
    <t>po revise to 832pcs</t>
  </si>
  <si>
    <t>Payment Received 4/26/2022</t>
  </si>
  <si>
    <t>Better Earth SPA/ Revised Po pricing</t>
  </si>
  <si>
    <t>1171 PT6</t>
  </si>
  <si>
    <t>flatbed delivery</t>
  </si>
  <si>
    <t>ETA 4/28 (4/26)</t>
  </si>
  <si>
    <t xml:space="preserve">RELEASED &amp; SHIP OUT 4/27 POSSIBLE FOR SAT DELIVERY? (4/26) </t>
  </si>
  <si>
    <t xml:space="preserve">SCHEDULED (4/26) </t>
  </si>
  <si>
    <r>
      <t>SCHEDULED, NOT SHIPPED YET. UNABLE TO INV REQ YET (4/26)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</si>
  <si>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r>
      <t xml:space="preserve">RELEASED (4/22) </t>
    </r>
    <r>
      <rPr>
        <sz val="9"/>
        <rFont val="Calibri"/>
        <family val="2"/>
        <scheme val="minor"/>
      </rPr>
      <t>(CIP, ATLWH, 49203132, 832ea)</t>
    </r>
  </si>
  <si>
    <r>
      <t xml:space="preserve">RELEASED (4/22) </t>
    </r>
    <r>
      <rPr>
        <sz val="9"/>
        <rFont val="Calibri"/>
        <family val="2"/>
        <scheme val="minor"/>
      </rPr>
      <t>SMS willl use TacomaWH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(CIP, TacomaWH, 30390156H, 768ea)</t>
    </r>
  </si>
  <si>
    <r>
      <t xml:space="preserve">RELEASED (4/25) </t>
    </r>
    <r>
      <rPr>
        <sz val="9"/>
        <rFont val="Calibri"/>
        <family val="2"/>
        <scheme val="minor"/>
      </rPr>
      <t>(CIP, CAWH, 30390156H, 768ea)</t>
    </r>
  </si>
  <si>
    <t>AR/CR APPROVED &amp; RELEASED. PUSHED OUT FROM APRIL (4/26)</t>
  </si>
  <si>
    <t>00133</t>
  </si>
  <si>
    <t>TripleSun Photovoltaic</t>
  </si>
  <si>
    <t>Eureka</t>
  </si>
  <si>
    <t>PO-003016 PT3 Simi Valley</t>
  </si>
  <si>
    <t>PO-003016 PT3 Austin</t>
  </si>
  <si>
    <t>PO-003016 PT3 Riverton</t>
  </si>
  <si>
    <t>PO-003016 PT3 Tampa</t>
  </si>
  <si>
    <t>PO-003016 PT3 Iriving</t>
  </si>
  <si>
    <t>OAKLAND</t>
  </si>
  <si>
    <t xml:space="preserve">replacing PO 7539-606673 </t>
  </si>
  <si>
    <t>7539-059141</t>
  </si>
  <si>
    <t>Chandler</t>
  </si>
  <si>
    <t>SO Created/ not scheduled production delay</t>
  </si>
  <si>
    <t>Tarrif</t>
  </si>
  <si>
    <t>Delay production</t>
  </si>
  <si>
    <t>8018-AD918922S</t>
  </si>
  <si>
    <t>12083 PT2 Augusta</t>
  </si>
  <si>
    <t>PUSH OUT TO MAY</t>
  </si>
  <si>
    <t>P103555379</t>
  </si>
  <si>
    <t>P103555387</t>
  </si>
  <si>
    <t>sst/legal</t>
  </si>
  <si>
    <t>6640-SO901165S</t>
  </si>
  <si>
    <t>CED Greentech St.Louis</t>
  </si>
  <si>
    <t>6640-SO901166S</t>
  </si>
  <si>
    <t>6640-SO901167S</t>
  </si>
  <si>
    <t>6640-SO901168S</t>
  </si>
  <si>
    <t>6640-SO901169S</t>
  </si>
  <si>
    <t>6640-SO901170S</t>
  </si>
  <si>
    <t>PO-98945</t>
  </si>
  <si>
    <t>PO-98947</t>
  </si>
  <si>
    <t>PO-98948</t>
  </si>
  <si>
    <t>PO-98949</t>
  </si>
  <si>
    <t>PO-98950</t>
  </si>
  <si>
    <t>PO-98951</t>
  </si>
  <si>
    <t>PO-98952</t>
  </si>
  <si>
    <t>need rev PO/sap B1</t>
  </si>
  <si>
    <t>0768-CW901919D</t>
  </si>
  <si>
    <t>New Bedford</t>
  </si>
  <si>
    <t>2020-2918(Keasbey#4)</t>
  </si>
  <si>
    <t>CA4779040746T</t>
  </si>
  <si>
    <t>need T&amp;Cs/rev PO</t>
  </si>
  <si>
    <t>Galehead Development, LLC</t>
  </si>
  <si>
    <t>270126-5583,1</t>
  </si>
  <si>
    <t>Rosendin Electric, INC.</t>
  </si>
  <si>
    <r>
      <t>SCHEDULED (4/20)-</t>
    </r>
    <r>
      <rPr>
        <i/>
        <sz val="9"/>
        <rFont val="Calibri"/>
        <family val="2"/>
        <scheme val="minor"/>
      </rPr>
      <t xml:space="preserve"> 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</t>
    </r>
    <r>
      <rPr>
        <b/>
        <sz val="9"/>
        <rFont val="Calibri"/>
        <family val="2"/>
        <scheme val="minor"/>
      </rPr>
      <t>CAWH</t>
    </r>
    <r>
      <rPr>
        <sz val="9"/>
        <rFont val="Calibri"/>
        <family val="2"/>
        <scheme val="minor"/>
      </rPr>
      <t>, 30390156H, 832ea)</t>
    </r>
  </si>
  <si>
    <r>
      <t>INVOICED (4/27)</t>
    </r>
    <r>
      <rPr>
        <sz val="9"/>
        <rFont val="Calibri"/>
        <family val="2"/>
        <scheme val="minor"/>
      </rPr>
      <t xml:space="preserve"> </t>
    </r>
  </si>
  <si>
    <t>moved to MAY</t>
  </si>
  <si>
    <t xml:space="preserve">SCHEDULED (4/27) </t>
  </si>
  <si>
    <t>RELEASED (4/27)</t>
  </si>
  <si>
    <t>RELEASED BUT MOST LIKELY PUSH OUT TO MAY (4/27)</t>
  </si>
  <si>
    <t>(FTD ISSUE) AR-CR APPROVAL PENDING (4/25) Mis-shipped. Already delivered. PO revised. PO line added for regular modules (4/22)</t>
  </si>
  <si>
    <t>SST APPROVAL PENDING 4/25 (4/27)</t>
  </si>
  <si>
    <t>F/U w SST/Legal</t>
  </si>
  <si>
    <t>Jeff</t>
  </si>
  <si>
    <t>CHECK (no ETA)</t>
  </si>
  <si>
    <t>INVOICED (4/27)</t>
  </si>
  <si>
    <t>(FTD ISSUE) DO INV REQ (4/22)</t>
  </si>
  <si>
    <t>moved to May</t>
  </si>
  <si>
    <t>93725</t>
  </si>
  <si>
    <t>SST Approval</t>
  </si>
  <si>
    <t>Horizantly Stacked SST Approval</t>
  </si>
  <si>
    <t xml:space="preserve">US Assembled </t>
  </si>
  <si>
    <t>Better Earth Pricing Revision</t>
  </si>
  <si>
    <t>7133-JIM984222S PT3</t>
  </si>
  <si>
    <t>spread out through September</t>
  </si>
  <si>
    <t>7492-MR906980S</t>
  </si>
  <si>
    <t>0756-SJ906109S</t>
  </si>
  <si>
    <t>0756-SJ906110S</t>
  </si>
  <si>
    <t>0756-SJ906111S</t>
  </si>
  <si>
    <t>0756-SJ906112S</t>
  </si>
  <si>
    <t>0756-SJ906113S</t>
  </si>
  <si>
    <t>0756-SJ906114S</t>
  </si>
  <si>
    <t>0756-SJ906115S</t>
  </si>
  <si>
    <t>0756-SJ906116S</t>
  </si>
  <si>
    <t>0756-SJ906117S</t>
  </si>
  <si>
    <t>8064-ZH904950S</t>
  </si>
  <si>
    <t>8187-KA900896S</t>
  </si>
  <si>
    <t>8187-KA900897S</t>
  </si>
  <si>
    <t>8187-KA900898S</t>
  </si>
  <si>
    <t>8187-KA900899S</t>
  </si>
  <si>
    <t>8187-KA900900S</t>
  </si>
  <si>
    <t>8187-KA900901S</t>
  </si>
  <si>
    <t>8187-KA900902S</t>
  </si>
  <si>
    <t>NO INVENTORY,CANCELED FROM ATL, CHANGED TO CAWH</t>
  </si>
  <si>
    <t>NOT PICKED UP?</t>
  </si>
  <si>
    <t>cynthia, IOD</t>
  </si>
  <si>
    <t>NO INVENTORY</t>
  </si>
  <si>
    <t>ON HOLD</t>
  </si>
  <si>
    <t>1&amp;2</t>
  </si>
  <si>
    <t>redo CR</t>
  </si>
  <si>
    <t xml:space="preserve">SST/ Legal </t>
  </si>
  <si>
    <t>PO-655160</t>
  </si>
  <si>
    <t>19067</t>
  </si>
  <si>
    <t>quote in QSP/FTD Not uploading 394899117/ BOL395784438 is missing 64pcs only 1472pcs available</t>
  </si>
  <si>
    <t>Pittsburgh</t>
  </si>
  <si>
    <t>15205</t>
  </si>
  <si>
    <t>SO Created/ Follow up w/ SCM for schedule</t>
  </si>
  <si>
    <t>(Chancellor)</t>
  </si>
  <si>
    <t>(Exchange)</t>
  </si>
  <si>
    <t>SO created/ BOL395786968 BOL # is different 395747337</t>
  </si>
  <si>
    <t>not scheduled prodcution delay</t>
  </si>
  <si>
    <t>Cust confirmed deliv date 4/25 replaces PO819732 change to 475 mono</t>
  </si>
  <si>
    <t>Energy Solutions and Suplies, LLC</t>
  </si>
  <si>
    <t xml:space="preserve">Cleveland </t>
  </si>
  <si>
    <t>0768-CW901923S PT1</t>
  </si>
  <si>
    <t>0768-CW901923S PT2</t>
  </si>
  <si>
    <t>7700010821 (395W PT6)</t>
  </si>
  <si>
    <t>CA0822040765T</t>
  </si>
  <si>
    <t>CA/TAC</t>
  </si>
  <si>
    <t>7700010823 (PT11)</t>
  </si>
  <si>
    <t>7700014779 (PT10)</t>
  </si>
  <si>
    <t>7700010822 (PT8)</t>
  </si>
  <si>
    <t>7700010822 (PT9)</t>
  </si>
  <si>
    <t>1045-CL-907325S PT1</t>
  </si>
  <si>
    <t>1045-CL-907325S PT2</t>
  </si>
  <si>
    <t>1045-CL-907325S PT3</t>
  </si>
  <si>
    <t>1045-CL-907326S PT1</t>
  </si>
  <si>
    <t>1045-CL-907326S PT2</t>
  </si>
  <si>
    <t>1045-CL-907326S PT3</t>
  </si>
  <si>
    <t>1045-CL-907326S PT4</t>
  </si>
  <si>
    <t>1154-CK-900964S PT1</t>
  </si>
  <si>
    <t>1154-CK-900964S PT2</t>
  </si>
  <si>
    <t>1154-CK-900964S PT3</t>
  </si>
  <si>
    <t>1154-CK-900964S PT4</t>
  </si>
  <si>
    <t>1154-CK-900964S PT5</t>
  </si>
  <si>
    <t>1154-CK-900964S PT6</t>
  </si>
  <si>
    <t>1154-CK-900964S PT7</t>
  </si>
  <si>
    <t>Approved 4/27</t>
  </si>
  <si>
    <t>SH-00544 PT8</t>
  </si>
  <si>
    <t>8756-DE998380S</t>
  </si>
  <si>
    <t>Q.PEAK DUO XL G10/BFG</t>
  </si>
  <si>
    <t>114453 PT1</t>
  </si>
  <si>
    <t>114453 PT2</t>
  </si>
  <si>
    <t>Approved 4/28</t>
  </si>
  <si>
    <r>
      <t xml:space="preserve">RELEASED (4/28) </t>
    </r>
    <r>
      <rPr>
        <sz val="9"/>
        <rFont val="Calibri"/>
        <family val="2"/>
        <scheme val="minor"/>
      </rPr>
      <t>WH changed to NJWH. Pushed out from APR.</t>
    </r>
    <r>
      <rPr>
        <b/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Destination changed to Plainview, NY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NJWH, 30390456H, 768pcs)</t>
    </r>
  </si>
  <si>
    <r>
      <t xml:space="preserve">RELEASED (4/28) </t>
    </r>
    <r>
      <rPr>
        <sz val="9"/>
        <rFont val="Calibri"/>
        <family val="2"/>
        <scheme val="minor"/>
      </rPr>
      <t>WH changed to CAWH. Pushed out from APR. (DDP, CAWH, 30390156H, 768pcs)</t>
    </r>
  </si>
  <si>
    <r>
      <t xml:space="preserve">RELEASED (4/28) </t>
    </r>
    <r>
      <rPr>
        <sz val="9"/>
        <rFont val="Calibri"/>
        <family val="2"/>
        <scheme val="minor"/>
      </rPr>
      <t>WH changed to CAWH. Pushed out from APR.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(DDP, CAWH, 30390156H, 768pcs)</t>
    </r>
  </si>
  <si>
    <r>
      <t xml:space="preserve">RELEASED (4/28) </t>
    </r>
    <r>
      <rPr>
        <sz val="9"/>
        <color theme="1"/>
        <rFont val="Calibri"/>
        <family val="2"/>
        <scheme val="minor"/>
      </rPr>
      <t>WH changed to NJWH  (DDP, NJWH, 30390456H, 768pcs)</t>
    </r>
  </si>
  <si>
    <t>SCHEDULED (4/28)</t>
  </si>
  <si>
    <r>
      <t xml:space="preserve">SCHEDULED (4/28) </t>
    </r>
    <r>
      <rPr>
        <i/>
        <sz val="9"/>
        <rFont val="Calibri"/>
        <family val="2"/>
        <scheme val="minor"/>
      </rPr>
      <t>WH CHANGED TO NJWH.</t>
    </r>
  </si>
  <si>
    <t>RE-RELEASED BY ANGIE (4/28)</t>
  </si>
  <si>
    <t>Re-released by Angie</t>
  </si>
  <si>
    <t>SPLIT FROM PT2</t>
  </si>
  <si>
    <t>5887-RD948461S PT3</t>
  </si>
  <si>
    <t>INVOICED (4/28)</t>
  </si>
  <si>
    <r>
      <t>SCHEDULED (4/27) -</t>
    </r>
    <r>
      <rPr>
        <sz val="9"/>
        <rFont val="Calibri"/>
        <family val="2"/>
        <scheme val="minor"/>
      </rPr>
      <t xml:space="preserve"> PUSHED OUT TO MAY. Change of WH from ATLWH to CAWH </t>
    </r>
  </si>
  <si>
    <r>
      <t xml:space="preserve">RELEASED (4/28) </t>
    </r>
    <r>
      <rPr>
        <sz val="9"/>
        <rFont val="Calibri"/>
        <family val="2"/>
        <scheme val="minor"/>
      </rPr>
      <t>WH changed to NJWH</t>
    </r>
    <r>
      <rPr>
        <b/>
        <sz val="9"/>
        <rFont val="Calibri"/>
        <family val="2"/>
        <scheme val="minor"/>
      </rPr>
      <t>.</t>
    </r>
    <r>
      <rPr>
        <sz val="9"/>
        <rFont val="Calibri"/>
        <family val="2"/>
        <scheme val="minor"/>
      </rPr>
      <t xml:space="preserve"> Pushed out from APR.</t>
    </r>
  </si>
  <si>
    <t>no longer 6BB</t>
  </si>
  <si>
    <t>MASTER PO RCVD 4/25 (SST APPROVAL PENDING) 4/28</t>
  </si>
  <si>
    <t>BPO1076556</t>
  </si>
  <si>
    <t>BPO1076557</t>
  </si>
  <si>
    <t xml:space="preserve">30397472C actually shipped </t>
  </si>
  <si>
    <t>Due to production move to May</t>
  </si>
  <si>
    <t>due to production move to May</t>
  </si>
  <si>
    <t>Load# 396484995</t>
  </si>
  <si>
    <t xml:space="preserve">Load# 396051434 406pcs missing </t>
  </si>
  <si>
    <t>Load# 394899002 &amp; 394899008 only 638pcs available</t>
  </si>
  <si>
    <t>Address</t>
  </si>
  <si>
    <t>2005223b</t>
  </si>
  <si>
    <t>10%payment received</t>
  </si>
  <si>
    <t>2005222b</t>
  </si>
  <si>
    <t xml:space="preserve">10% payment received </t>
  </si>
  <si>
    <t>Blue Raven Solar Request Revised PO Ts and Cs, CIP, Full Legal Entity</t>
  </si>
  <si>
    <t>5971-CC908922S</t>
  </si>
  <si>
    <t>5971-CC908923S</t>
  </si>
  <si>
    <t>5971-CC908924S</t>
  </si>
  <si>
    <t>5971-CC908925S</t>
  </si>
  <si>
    <t>5971-CC908926S</t>
  </si>
  <si>
    <t>5971-CC908927S</t>
  </si>
  <si>
    <t>5971-CC908928S</t>
  </si>
  <si>
    <t>PO-003364</t>
  </si>
  <si>
    <t>1247</t>
  </si>
  <si>
    <t>Ozop Energy Systems, Inc.</t>
  </si>
  <si>
    <t>AR/CR/credit</t>
  </si>
  <si>
    <t>vessel 4/21</t>
  </si>
  <si>
    <t>30385558H</t>
  </si>
  <si>
    <t>Approved 4/29</t>
  </si>
  <si>
    <t>rev PO</t>
  </si>
  <si>
    <t>PO-655088</t>
  </si>
  <si>
    <t>PO-655087</t>
  </si>
  <si>
    <t xml:space="preserve">San Antonio </t>
  </si>
  <si>
    <t>78219</t>
  </si>
  <si>
    <t>PO-655085</t>
  </si>
  <si>
    <t>PO-655086</t>
  </si>
  <si>
    <t>IOD/FTD</t>
  </si>
  <si>
    <t>PO-003320</t>
  </si>
  <si>
    <t>SO Created/BOL392655117 not uploading</t>
  </si>
  <si>
    <t>SO created/ 395786407 is missing on the FTD and 416pcs missing</t>
  </si>
  <si>
    <t xml:space="preserve">F/u with SCM did not ship per IOD </t>
  </si>
  <si>
    <t>Actual dates are not updated on IOD</t>
  </si>
  <si>
    <t>P103568109</t>
  </si>
  <si>
    <t>P103567326</t>
  </si>
  <si>
    <t>BOOKED ON NAVI</t>
  </si>
  <si>
    <t>NO INVEN.</t>
  </si>
  <si>
    <t>AFTER PRICE CHANGE MAY</t>
  </si>
  <si>
    <t>8756-MD997755S PT2</t>
  </si>
  <si>
    <t>FIRST HALF OF MAY</t>
  </si>
  <si>
    <t>8756-MD997755S PT1</t>
  </si>
  <si>
    <t>Legal/SST/Allocate/NEED TO REQUEST</t>
  </si>
  <si>
    <t>0237-KI906609S PT1</t>
  </si>
  <si>
    <t>0237-KI906609S PT2</t>
  </si>
  <si>
    <t>1127-JF900568S PT1</t>
  </si>
  <si>
    <t>1127-JF900568S PT2</t>
  </si>
  <si>
    <t>1127-JF900568S PT3</t>
  </si>
  <si>
    <t>1127-JF900568S PT4</t>
  </si>
  <si>
    <t>1127-JF900568S PT5</t>
  </si>
  <si>
    <t>1127-JF900624S PT1</t>
  </si>
  <si>
    <t>1987-SS904235S</t>
  </si>
  <si>
    <t>HQCV3CA3491</t>
  </si>
  <si>
    <t>HQCV3CA3492</t>
  </si>
  <si>
    <t>HQCV3CA3493</t>
  </si>
  <si>
    <t>HQCV3CA3494</t>
  </si>
  <si>
    <t>HQCV3CA3495</t>
  </si>
  <si>
    <t>HQCV3CA3496</t>
  </si>
  <si>
    <t>HQCV3CA3497</t>
  </si>
  <si>
    <t>HQCV3CA3498</t>
  </si>
  <si>
    <t xml:space="preserve">INV PENDING (4/29) </t>
  </si>
  <si>
    <t>INVOICED (4/26)</t>
  </si>
  <si>
    <t>(FTD ISSUE) DO INV REQ</t>
  </si>
  <si>
    <r>
      <t xml:space="preserve">(FTD ISSUE) DO INV REQ </t>
    </r>
    <r>
      <rPr>
        <sz val="9"/>
        <rFont val="Calibri"/>
        <family val="2"/>
        <scheme val="minor"/>
      </rPr>
      <t>MIS-SHIPMENT(ACM) picked up 4/19 &amp; Shipped 2 plts of replacements 4/19 (4/25)</t>
    </r>
  </si>
  <si>
    <r>
      <t xml:space="preserve">(FTD ISSUE) DO INV REQ </t>
    </r>
    <r>
      <rPr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</si>
  <si>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r>
      <t>(FTD ISSUE) DO INV REQ</t>
    </r>
    <r>
      <rPr>
        <sz val="9"/>
        <rFont val="Calibri"/>
        <family val="2"/>
        <scheme val="minor"/>
      </rPr>
      <t xml:space="preserve"> ASK ANGIE IF WE CAN INV REQ W/O FTD FOR NOW </t>
    </r>
  </si>
  <si>
    <t>(FTD ISSUE) Mis-shipped. Released in MAR, Supposed to ship in March, but WH missed shipping these (4/22)</t>
  </si>
  <si>
    <r>
      <t>(FTD ISSUE) INVOICE PENDING 4/6 (4/14) -</t>
    </r>
    <r>
      <rPr>
        <sz val="9"/>
        <rFont val="Calibri"/>
        <family val="2"/>
        <scheme val="minor"/>
      </rPr>
      <t xml:space="preserve"> (CIP, GAWH, 49204132, 728ea)</t>
    </r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</si>
  <si>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1664ea) ASK ANGIE IF WE CAN JUST INV REQ W/O FTD FOR NOW</t>
    </r>
  </si>
  <si>
    <t>(IOD ISSUE) EMAILED TO CHR. NEED CHR'S UPDATE TO PROCEED WITH QSP. TEAMS MSGED TO CHI TO REJECT MY SO SUBMISSION  (4/29)</t>
  </si>
  <si>
    <r>
      <rPr>
        <b/>
        <sz val="9"/>
        <rFont val="Calibri"/>
        <family val="2"/>
        <scheme val="minor"/>
      </rPr>
      <t xml:space="preserve">(FTD ISSUE) DO INV REQ (4/20) </t>
    </r>
    <r>
      <rPr>
        <sz val="9"/>
        <rFont val="Calibri"/>
        <family val="2"/>
        <scheme val="minor"/>
      </rPr>
      <t>(CIP, ATLWH, 49405140, 1664ea) ASK ANGIE IF WE CAN JUST INV REQ W/O FTD FOR NOW</t>
    </r>
  </si>
  <si>
    <t>INVOICED (4/29)</t>
  </si>
  <si>
    <t>Legal-SST APPROVAL PENDING (4/29)</t>
  </si>
  <si>
    <t>1069-62</t>
  </si>
  <si>
    <t>INVOICED (4/21)</t>
  </si>
  <si>
    <t>1069-63</t>
  </si>
  <si>
    <t>1069-64</t>
  </si>
  <si>
    <t>1069-65</t>
  </si>
  <si>
    <t>1069-66</t>
  </si>
  <si>
    <t>1069-67</t>
  </si>
  <si>
    <t>1069-68</t>
  </si>
  <si>
    <t>1069-69</t>
  </si>
  <si>
    <t>1069-70</t>
  </si>
  <si>
    <t>1069-71</t>
  </si>
  <si>
    <t>1069-72</t>
  </si>
  <si>
    <t>1069-73</t>
  </si>
  <si>
    <t>1069-74</t>
  </si>
  <si>
    <t>1069-54</t>
  </si>
  <si>
    <t>1069-55</t>
  </si>
  <si>
    <t>1069-56</t>
  </si>
  <si>
    <t>1069-57</t>
  </si>
  <si>
    <t>1069-58</t>
  </si>
  <si>
    <t>1069-59</t>
  </si>
  <si>
    <t>1069-60</t>
  </si>
  <si>
    <t>1069-61</t>
  </si>
  <si>
    <t>RELEASED (4/29)</t>
  </si>
  <si>
    <t>CUSTOMER(JUSTIN A RICHARDSON) ASKING FOR SCHEDULE (4/29)</t>
  </si>
  <si>
    <t>approved 4/29</t>
  </si>
  <si>
    <t>P3851-CT-D</t>
  </si>
  <si>
    <t>P3851-EMA-B</t>
  </si>
  <si>
    <t>P3851-LI</t>
  </si>
  <si>
    <t>P3851-NJ-C</t>
  </si>
  <si>
    <t>P3851-RPA-B</t>
  </si>
  <si>
    <t>SST APPROVAL PENDING (4/29)</t>
  </si>
  <si>
    <t>P1274981</t>
  </si>
  <si>
    <t>Green Mountain Electric Supply, Inc.</t>
  </si>
  <si>
    <t>P1274982</t>
  </si>
  <si>
    <t>P1278539</t>
  </si>
  <si>
    <t>P1278541</t>
  </si>
  <si>
    <t>1045-CL-907335S  PT1</t>
  </si>
  <si>
    <t>1045-CL-907335S  PT2</t>
  </si>
  <si>
    <t>1045-CL-907335S  PT3</t>
  </si>
  <si>
    <t>1045-CL-907335S  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</si>
</sst>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77" formatCode="_-* #,##0_-;\-* #,##0_-;_-* &quot;-&quot;_-;_-@_-"/>
    <numFmt numFmtId="178" formatCode="_-* #,##0.00_-;\-* #,##0.00_-;_-* &quot;-&quot;??_-;_-@_-"/>
    <numFmt numFmtId="179" formatCode="[$-F400]h:mm:ss\ AM/PM"/>
    <numFmt numFmtId="180" formatCode="#,##0_ ;[Red]\-#,##0\ "/>
    <numFmt numFmtId="181" formatCode="#,##0_ "/>
    <numFmt numFmtId="182" formatCode="_-* #,##0_-;[Red]\-#,##0_-;_-* &quot;-&quot;_-;_-@_-"/>
    <numFmt numFmtId="183" formatCode="_([$€-2]* #,##0.00_);_([$€-2]* \(#,##0.00\);_([$€-2]* &quot;-&quot;??_)"/>
    <numFmt numFmtId="184" formatCode="[$-409]mmm"/>
    <numFmt numFmtId="185" formatCode="0;[Red]0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sz val="9"/>
      <color rgb="FFFFFFFF"/>
      <name val="Calibri"/>
      <family val="2"/>
      <scheme val="minor"/>
    </font>
    <font>
      <sz val="10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theme="6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6" fillId="0" borderId="0"/>
    <xf numFmtId="177" fontId="3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9" fontId="9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38" fillId="0" borderId="0"/>
    <xf numFmtId="0" fontId="38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0" fontId="40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1" fillId="40" borderId="35">
      <alignment vertical="center" wrapText="1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2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0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3" fillId="44" borderId="0" applyNumberFormat="0" applyBorder="0" applyAlignment="0" applyProtection="0">
      <alignment vertical="center"/>
    </xf>
    <xf numFmtId="0" fontId="44" fillId="37" borderId="37" applyNumberFormat="0" applyAlignment="0" applyProtection="0">
      <alignment vertical="center"/>
    </xf>
    <xf numFmtId="181" fontId="9" fillId="38" borderId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5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6" borderId="2" applyNumberFormat="0" applyFont="0" applyBorder="0" applyAlignment="0" applyProtection="0">
      <alignment vertical="center"/>
    </xf>
    <xf numFmtId="0" fontId="38" fillId="4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8" borderId="2" applyNumberFormat="0" applyFont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9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24" borderId="2" applyNumberFormat="0" applyFont="0" applyBorder="0" applyAlignment="0" applyProtection="0">
      <alignment vertical="center"/>
    </xf>
    <xf numFmtId="0" fontId="45" fillId="50" borderId="38" applyNumberFormat="0" applyFont="0" applyFill="0" applyAlignment="0" applyProtection="0">
      <alignment vertical="center"/>
    </xf>
    <xf numFmtId="177" fontId="46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38" fillId="0" borderId="39" applyNumberFormat="0" applyFont="0" applyFill="0" applyAlignment="0" applyProtection="0">
      <alignment vertical="center"/>
    </xf>
    <xf numFmtId="0" fontId="38" fillId="0" borderId="0" applyNumberFormat="0" applyFont="0" applyFill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182" fontId="38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38" fillId="0" borderId="0">
      <alignment vertical="center"/>
    </xf>
    <xf numFmtId="0" fontId="38" fillId="0" borderId="0"/>
    <xf numFmtId="183" fontId="38" fillId="0" borderId="0">
      <alignment vertical="center"/>
    </xf>
    <xf numFmtId="0" fontId="39" fillId="0" borderId="0">
      <alignment vertical="center"/>
    </xf>
    <xf numFmtId="0" fontId="46" fillId="0" borderId="0"/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84" fontId="1" fillId="0" borderId="0"/>
    <xf numFmtId="177" fontId="9" fillId="0" borderId="0" applyFont="0" applyFill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48" fillId="34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682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14" fontId="23" fillId="8" borderId="2" xfId="0" applyNumberFormat="1" applyFont="1" applyFill="1" applyBorder="1"/>
    <xf numFmtId="0" fontId="2" fillId="30" borderId="2" xfId="0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23" fillId="8" borderId="2" xfId="0" applyFont="1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0" fontId="5" fillId="35" borderId="2" xfId="5" applyFont="1" applyFill="1" applyBorder="1">
      <alignment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5" fillId="0" borderId="2" xfId="5" applyNumberFormat="1" applyFont="1" applyBorder="1">
      <alignment vertical="center"/>
    </xf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164" fontId="2" fillId="35" borderId="2" xfId="10" applyNumberFormat="1" applyFont="1" applyFill="1" applyBorder="1">
      <alignment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1" fontId="2" fillId="3" borderId="2" xfId="1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6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51" borderId="2" xfId="0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4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6" fillId="27" borderId="2" xfId="0" applyFont="1" applyFill="1" applyBorder="1" applyAlignment="1">
      <alignment horizontal="center" vertical="center"/>
    </xf>
    <xf numFmtId="14" fontId="6" fillId="27" borderId="2" xfId="0" applyNumberFormat="1" applyFont="1" applyFill="1" applyBorder="1" applyAlignment="1">
      <alignment horizontal="center" vertical="center"/>
    </xf>
    <xf numFmtId="49" fontId="6" fillId="27" borderId="2" xfId="0" applyNumberFormat="1" applyFont="1" applyFill="1" applyBorder="1" applyAlignment="1">
      <alignment horizontal="center" vertical="center"/>
    </xf>
    <xf numFmtId="0" fontId="25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/>
    </xf>
    <xf numFmtId="43" fontId="2" fillId="0" borderId="2" xfId="2" applyNumberFormat="1" applyFont="1" applyBorder="1" applyAlignment="1">
      <alignment horizontal="center" vertical="center"/>
    </xf>
    <xf numFmtId="44" fontId="2" fillId="23" borderId="2" xfId="2" applyFont="1" applyFill="1" applyBorder="1" applyAlignment="1">
      <alignment horizontal="center" vertical="center"/>
    </xf>
    <xf numFmtId="43" fontId="2" fillId="23" borderId="2" xfId="2" applyNumberFormat="1" applyFont="1" applyFill="1" applyBorder="1" applyAlignment="1">
      <alignment horizontal="center" vertical="center"/>
    </xf>
    <xf numFmtId="0" fontId="51" fillId="52" borderId="2" xfId="0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51" fillId="53" borderId="2" xfId="0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16" fontId="0" fillId="0" borderId="2" xfId="0" applyNumberFormat="1" applyBorder="1"/>
    <xf numFmtId="0" fontId="2" fillId="54" borderId="2" xfId="0" applyFont="1" applyFill="1" applyBorder="1" applyAlignment="1">
      <alignment horizontal="center" vertical="center"/>
    </xf>
    <xf numFmtId="1" fontId="2" fillId="54" borderId="2" xfId="0" applyNumberFormat="1" applyFont="1" applyFill="1" applyBorder="1" applyAlignment="1">
      <alignment horizontal="center" vertical="center"/>
    </xf>
    <xf numFmtId="14" fontId="2" fillId="54" borderId="2" xfId="0" applyNumberFormat="1" applyFont="1" applyFill="1" applyBorder="1" applyAlignment="1">
      <alignment horizontal="center" vertical="center"/>
    </xf>
    <xf numFmtId="49" fontId="2" fillId="54" borderId="2" xfId="0" applyNumberFormat="1" applyFont="1" applyFill="1" applyBorder="1" applyAlignment="1">
      <alignment horizontal="center" vertical="center"/>
    </xf>
    <xf numFmtId="14" fontId="5" fillId="54" borderId="2" xfId="0" applyNumberFormat="1" applyFont="1" applyFill="1" applyBorder="1" applyAlignment="1">
      <alignment horizontal="center" vertical="center"/>
    </xf>
    <xf numFmtId="3" fontId="2" fillId="54" borderId="2" xfId="1" applyNumberFormat="1" applyFont="1" applyFill="1" applyBorder="1" applyAlignment="1">
      <alignment horizontal="center" vertical="center"/>
    </xf>
    <xf numFmtId="16" fontId="5" fillId="0" borderId="2" xfId="0" applyNumberFormat="1" applyFont="1" applyBorder="1"/>
    <xf numFmtId="14" fontId="2" fillId="6" borderId="27" xfId="0" applyNumberFormat="1" applyFont="1" applyFill="1" applyBorder="1" applyAlignment="1">
      <alignment horizontal="center" vertical="center"/>
    </xf>
    <xf numFmtId="175" fontId="5" fillId="0" borderId="2" xfId="0" applyNumberFormat="1" applyFont="1" applyBorder="1"/>
    <xf numFmtId="1" fontId="0" fillId="0" borderId="2" xfId="0" applyNumberFormat="1" applyBorder="1" applyAlignment="1">
      <alignment horizontal="center"/>
    </xf>
    <xf numFmtId="14" fontId="52" fillId="0" borderId="2" xfId="0" applyNumberFormat="1" applyFont="1" applyBorder="1" applyAlignment="1">
      <alignment horizontal="center" vertical="center"/>
    </xf>
    <xf numFmtId="49" fontId="20" fillId="9" borderId="2" xfId="0" applyNumberFormat="1" applyFont="1" applyFill="1" applyBorder="1" applyAlignment="1">
      <alignment horizontal="center" vertical="center"/>
    </xf>
    <xf numFmtId="14" fontId="2" fillId="32" borderId="2" xfId="0" applyNumberFormat="1" applyFont="1" applyFill="1" applyBorder="1" applyAlignment="1">
      <alignment horizontal="center" vertical="center"/>
    </xf>
    <xf numFmtId="14" fontId="5" fillId="16" borderId="2" xfId="4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4" fontId="2" fillId="23" borderId="22" xfId="0" applyNumberFormat="1" applyFont="1" applyFill="1" applyBorder="1" applyAlignment="1">
      <alignment horizontal="center" vertical="center"/>
    </xf>
    <xf numFmtId="0" fontId="0" fillId="6" borderId="2" xfId="0" applyFill="1" applyBorder="1"/>
    <xf numFmtId="0" fontId="0" fillId="0" borderId="0" xfId="0" applyBorder="1"/>
    <xf numFmtId="0" fontId="2" fillId="24" borderId="27" xfId="0" applyFont="1" applyFill="1" applyBorder="1" applyAlignment="1">
      <alignment horizontal="center" vertical="center"/>
    </xf>
    <xf numFmtId="44" fontId="5" fillId="0" borderId="2" xfId="5" applyNumberFormat="1" applyFont="1" applyBorder="1" applyAlignment="1">
      <alignment horizontal="center" vertical="center"/>
    </xf>
    <xf numFmtId="0" fontId="5" fillId="6" borderId="2" xfId="0" applyFont="1" applyFill="1" applyBorder="1" applyAlignment="1">
      <alignment horizontal="center"/>
    </xf>
    <xf numFmtId="49" fontId="20" fillId="6" borderId="2" xfId="0" applyNumberFormat="1" applyFont="1" applyFill="1" applyBorder="1" applyAlignment="1">
      <alignment horizontal="center" vertical="center"/>
    </xf>
    <xf numFmtId="14" fontId="21" fillId="6" borderId="2" xfId="0" applyNumberFormat="1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1" fontId="20" fillId="32" borderId="2" xfId="0" applyNumberFormat="1" applyFont="1" applyFill="1" applyBorder="1" applyAlignment="1">
      <alignment horizontal="center" vertical="center"/>
    </xf>
    <xf numFmtId="14" fontId="15" fillId="23" borderId="2" xfId="0" applyNumberFormat="1" applyFont="1" applyFill="1" applyBorder="1" applyAlignment="1">
      <alignment horizontal="center" vertical="center"/>
    </xf>
    <xf numFmtId="49" fontId="21" fillId="16" borderId="2" xfId="0" applyNumberFormat="1" applyFont="1" applyFill="1" applyBorder="1" applyAlignment="1">
      <alignment horizontal="center" vertical="center"/>
    </xf>
    <xf numFmtId="14" fontId="20" fillId="32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14" fontId="2" fillId="5" borderId="2" xfId="0" applyNumberFormat="1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3" fontId="2" fillId="5" borderId="2" xfId="1" applyNumberFormat="1" applyFont="1" applyFill="1" applyBorder="1" applyAlignment="1">
      <alignment horizontal="center" vertical="center"/>
    </xf>
    <xf numFmtId="49" fontId="20" fillId="54" borderId="2" xfId="0" applyNumberFormat="1" applyFont="1" applyFill="1" applyBorder="1" applyAlignment="1">
      <alignment horizontal="center" vertical="center"/>
    </xf>
    <xf numFmtId="0" fontId="20" fillId="54" borderId="2" xfId="0" applyFont="1" applyFill="1" applyBorder="1" applyAlignment="1">
      <alignment horizontal="center" vertical="center"/>
    </xf>
    <xf numFmtId="14" fontId="21" fillId="54" borderId="2" xfId="0" applyNumberFormat="1" applyFont="1" applyFill="1" applyBorder="1" applyAlignment="1">
      <alignment horizontal="center" vertical="center"/>
    </xf>
    <xf numFmtId="14" fontId="20" fillId="54" borderId="2" xfId="0" applyNumberFormat="1" applyFont="1" applyFill="1" applyBorder="1" applyAlignment="1">
      <alignment horizontal="center" vertical="center"/>
    </xf>
    <xf numFmtId="3" fontId="20" fillId="54" borderId="2" xfId="1" applyNumberFormat="1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14" fontId="2" fillId="5" borderId="5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14" fontId="2" fillId="24" borderId="18" xfId="0" applyNumberFormat="1" applyFont="1" applyFill="1" applyBorder="1" applyAlignment="1">
      <alignment horizontal="center" vertical="center"/>
    </xf>
    <xf numFmtId="0" fontId="2" fillId="24" borderId="7" xfId="0" applyFont="1" applyFill="1" applyBorder="1" applyAlignment="1">
      <alignment horizontal="center" vertical="center"/>
    </xf>
    <xf numFmtId="0" fontId="2" fillId="24" borderId="8" xfId="0" applyFont="1" applyFill="1" applyBorder="1" applyAlignment="1">
      <alignment horizontal="center" vertical="center"/>
    </xf>
    <xf numFmtId="0" fontId="2" fillId="24" borderId="13" xfId="0" applyFont="1" applyFill="1" applyBorder="1" applyAlignment="1">
      <alignment horizontal="center" vertical="center"/>
    </xf>
    <xf numFmtId="14" fontId="2" fillId="24" borderId="10" xfId="0" applyNumberFormat="1" applyFont="1" applyFill="1" applyBorder="1" applyAlignment="1">
      <alignment horizontal="center" vertical="center"/>
    </xf>
    <xf numFmtId="0" fontId="2" fillId="24" borderId="10" xfId="0" applyFont="1" applyFill="1" applyBorder="1" applyAlignment="1">
      <alignment horizontal="center" vertical="center"/>
    </xf>
    <xf numFmtId="0" fontId="2" fillId="24" borderId="14" xfId="0" applyFont="1" applyFill="1" applyBorder="1" applyAlignment="1">
      <alignment horizontal="center" vertical="center"/>
    </xf>
    <xf numFmtId="0" fontId="0" fillId="0" borderId="27" xfId="0" applyBorder="1"/>
    <xf numFmtId="44" fontId="2" fillId="8" borderId="22" xfId="2" applyFont="1" applyFill="1" applyBorder="1" applyAlignment="1">
      <alignment horizontal="center" vertical="center"/>
    </xf>
    <xf numFmtId="174" fontId="2" fillId="6" borderId="22" xfId="0" applyNumberFormat="1" applyFont="1" applyFill="1" applyBorder="1" applyAlignment="1">
      <alignment horizontal="center" vertical="center"/>
    </xf>
    <xf numFmtId="0" fontId="34" fillId="0" borderId="2" xfId="0" applyFont="1" applyBorder="1"/>
    <xf numFmtId="49" fontId="5" fillId="35" borderId="2" xfId="5" applyNumberFormat="1" applyFont="1" applyFill="1" applyBorder="1" applyAlignment="1">
      <alignment horizontal="center" vertical="center"/>
    </xf>
    <xf numFmtId="1" fontId="20" fillId="9" borderId="2" xfId="0" applyNumberFormat="1" applyFont="1" applyFill="1" applyBorder="1" applyAlignment="1">
      <alignment horizontal="center" vertical="center"/>
    </xf>
    <xf numFmtId="0" fontId="20" fillId="16" borderId="2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1" fontId="5" fillId="9" borderId="2" xfId="4" applyNumberFormat="1" applyFont="1" applyFill="1" applyBorder="1" applyAlignment="1">
      <alignment horizontal="center" vertical="center"/>
    </xf>
    <xf numFmtId="1" fontId="5" fillId="16" borderId="2" xfId="4" applyNumberFormat="1" applyFont="1" applyFill="1" applyBorder="1" applyAlignment="1">
      <alignment horizontal="center" vertical="center"/>
    </xf>
    <xf numFmtId="185" fontId="2" fillId="6" borderId="2" xfId="0" applyNumberFormat="1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/>
    </xf>
    <xf numFmtId="14" fontId="20" fillId="23" borderId="2" xfId="0" applyNumberFormat="1" applyFont="1" applyFill="1" applyBorder="1" applyAlignment="1">
      <alignment horizontal="center" vertical="center"/>
    </xf>
    <xf numFmtId="3" fontId="6" fillId="54" borderId="2" xfId="1" applyNumberFormat="1" applyFont="1" applyFill="1" applyBorder="1" applyAlignment="1">
      <alignment horizontal="center" vertical="center"/>
    </xf>
    <xf numFmtId="49" fontId="2" fillId="55" borderId="2" xfId="0" applyNumberFormat="1" applyFont="1" applyFill="1" applyBorder="1" applyAlignment="1">
      <alignment horizontal="center" vertical="center"/>
    </xf>
    <xf numFmtId="0" fontId="5" fillId="55" borderId="2" xfId="0" applyFont="1" applyFill="1" applyBorder="1" applyAlignment="1">
      <alignment horizont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176" fontId="5" fillId="0" borderId="2" xfId="5" applyNumberFormat="1" applyFont="1" applyBorder="1" applyAlignment="1">
      <alignment horizontal="center" vertical="center"/>
    </xf>
    <xf numFmtId="0" fontId="5" fillId="0" borderId="0" xfId="5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21" fillId="6" borderId="27" xfId="0" applyFont="1" applyFill="1" applyBorder="1" applyAlignment="1">
      <alignment horizontal="center" vertical="center"/>
    </xf>
    <xf numFmtId="0" fontId="6" fillId="6" borderId="27" xfId="0" applyFont="1" applyFill="1" applyBorder="1" applyAlignment="1">
      <alignment horizontal="center" vertical="center"/>
    </xf>
    <xf numFmtId="0" fontId="6" fillId="6" borderId="22" xfId="0" applyFont="1" applyFill="1" applyBorder="1" applyAlignment="1">
      <alignment horizontal="center" vertical="center"/>
    </xf>
    <xf numFmtId="43" fontId="5" fillId="6" borderId="22" xfId="0" applyNumberFormat="1" applyFont="1" applyFill="1" applyBorder="1" applyAlignment="1">
      <alignment horizontal="center" vertical="center"/>
    </xf>
    <xf numFmtId="3" fontId="2" fillId="6" borderId="22" xfId="0" applyNumberFormat="1" applyFont="1" applyFill="1" applyBorder="1" applyAlignment="1">
      <alignment horizontal="center" vertical="center"/>
    </xf>
    <xf numFmtId="3" fontId="2" fillId="0" borderId="22" xfId="0" applyNumberFormat="1" applyFont="1" applyBorder="1" applyAlignment="1">
      <alignment horizontal="right" vertical="center"/>
    </xf>
    <xf numFmtId="0" fontId="0" fillId="0" borderId="2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44" fontId="5" fillId="35" borderId="2" xfId="10" applyFont="1" applyFill="1" applyBorder="1" applyAlignment="1">
      <alignment vertical="center"/>
    </xf>
    <xf numFmtId="14" fontId="20" fillId="9" borderId="2" xfId="0" applyNumberFormat="1" applyFont="1" applyFill="1" applyBorder="1" applyAlignment="1">
      <alignment horizontal="center" vertical="center"/>
    </xf>
    <xf numFmtId="44" fontId="2" fillId="6" borderId="0" xfId="2" applyFont="1" applyFill="1" applyBorder="1" applyAlignment="1">
      <alignment horizontal="center" vertical="center"/>
    </xf>
    <xf numFmtId="0" fontId="34" fillId="0" borderId="18" xfId="0" applyFont="1" applyBorder="1"/>
    <xf numFmtId="1" fontId="20" fillId="16" borderId="0" xfId="0" applyNumberFormat="1" applyFont="1" applyFill="1" applyAlignment="1">
      <alignment horizontal="center" vertical="center"/>
    </xf>
    <xf numFmtId="1" fontId="20" fillId="6" borderId="2" xfId="0" applyNumberFormat="1" applyFont="1" applyFill="1" applyBorder="1" applyAlignment="1">
      <alignment horizontal="center" vertical="center"/>
    </xf>
    <xf numFmtId="1" fontId="20" fillId="6" borderId="0" xfId="0" applyNumberFormat="1" applyFont="1" applyFill="1" applyAlignment="1">
      <alignment horizontal="center" vertical="center"/>
    </xf>
    <xf numFmtId="14" fontId="2" fillId="6" borderId="0" xfId="0" applyNumberFormat="1" applyFont="1" applyFill="1" applyAlignment="1">
      <alignment horizontal="center" vertical="center"/>
    </xf>
    <xf numFmtId="1" fontId="2" fillId="6" borderId="0" xfId="0" applyNumberFormat="1" applyFont="1" applyFill="1" applyAlignment="1">
      <alignment horizontal="center" vertic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colors>
    <mruColors>
      <color rgb="FFDC14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47256F-16E6-4852-A41A-23D9C1DE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3393400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>
    <tabColor theme="4" tint="0.79998168889431442"/>
  </sheetPr>
  <dimension ref="A1:AVJ2888"/>
  <sheetViews>
    <sheetView tabSelected="1" zoomScaleNormal="100" workbookViewId="0">
      <pane ySplit="2" topLeftCell="A2808" activePane="bottomLeft" state="frozen"/>
      <selection pane="bottomLeft" activeCell="S2820" sqref="S2820"/>
    </sheetView>
  </sheetViews>
  <sheetFormatPr defaultColWidth="9.5703125" defaultRowHeight="15"/>
  <cols>
    <col min="1" max="1" width="3.28515625" style="259" customWidth="1"/>
    <col min="2" max="3" width="8.85546875" style="259" customWidth="1"/>
    <col min="4" max="4" width="4.28515625" style="262" customWidth="1"/>
    <col min="5" max="5" width="10.7109375" style="262" customWidth="1"/>
    <col min="6" max="7" width="5.7109375" style="262" customWidth="1"/>
    <col min="8" max="8" width="3.85546875" style="262" customWidth="1"/>
    <col min="9" max="9" width="13.140625" style="262" customWidth="1"/>
    <col min="10" max="10" width="8.42578125" style="262" customWidth="1"/>
    <col min="11" max="11" width="19.42578125" style="262" customWidth="1"/>
    <col min="12" max="12" width="19" style="262" customWidth="1"/>
    <col min="13" max="13" width="11" style="1" customWidth="1"/>
    <col min="14" max="17" width="9.7109375" style="1" customWidth="1"/>
    <col min="18" max="18" width="9.7109375" style="258" customWidth="1"/>
    <col min="19" max="19" width="8.7109375" style="262" customWidth="1"/>
    <col min="20" max="20" width="3.5703125" style="262" customWidth="1"/>
    <col min="21" max="21" width="8.42578125" style="262" customWidth="1"/>
    <col min="22" max="22" width="21.28515625" style="262" customWidth="1"/>
    <col min="23" max="23" width="7.140625" style="262" customWidth="1"/>
    <col min="24" max="24" width="8.140625" style="262" bestFit="1" customWidth="1"/>
    <col min="25" max="25" width="10.7109375" style="262" customWidth="1"/>
    <col min="26" max="26" width="9.42578125" style="262" bestFit="1" customWidth="1"/>
    <col min="27" max="27" width="14.85546875" style="262" customWidth="1"/>
    <col min="28" max="28" width="13" style="262" customWidth="1"/>
    <col min="29" max="29" width="10.42578125" style="262" customWidth="1"/>
    <col min="30" max="30" width="8.5703125" style="262" customWidth="1"/>
    <col min="31" max="31" width="12.42578125" style="262" customWidth="1"/>
    <col min="32" max="32" width="16.140625" style="262" customWidth="1"/>
    <col min="33" max="33" width="11" style="262" customWidth="1"/>
    <col min="34" max="34" width="7.5703125" style="262" customWidth="1"/>
    <col min="35" max="35" width="14" style="262" customWidth="1"/>
    <col min="36" max="36" width="13.7109375" style="262" customWidth="1"/>
    <col min="37" max="37" width="4.7109375" style="262" customWidth="1"/>
    <col min="38" max="38" width="7.85546875" style="274" customWidth="1"/>
    <col min="39" max="39" width="5.28515625" style="262" customWidth="1"/>
    <col min="40" max="40" width="8.28515625" style="262" bestFit="1" customWidth="1"/>
    <col min="41" max="41" width="12.5703125" style="262" bestFit="1" customWidth="1"/>
    <col min="42" max="42" width="8.5703125" style="262" bestFit="1" customWidth="1"/>
    <col min="43" max="43" width="10.7109375" style="262" bestFit="1" customWidth="1"/>
    <col min="44" max="44" width="26.7109375" style="262" bestFit="1" customWidth="1"/>
    <col min="45" max="45" width="23" style="262" bestFit="1" customWidth="1"/>
    <col min="46" max="46" width="14.85546875" style="262" bestFit="1" customWidth="1"/>
    <col min="47" max="47" width="8.7109375" style="262" customWidth="1"/>
    <col min="48" max="49" width="9.5703125" style="262"/>
    <col min="50" max="50" width="24.28515625" style="262" customWidth="1"/>
    <col min="51" max="16384" width="9.5703125" style="262"/>
  </cols>
  <sheetData>
    <row r="1" spans="1:55">
      <c r="I1" s="1"/>
      <c r="J1" s="1"/>
      <c r="K1" s="1"/>
      <c r="L1" s="1"/>
      <c r="P1" s="502" t="s">
        <v>5687</v>
      </c>
      <c r="S1" s="257"/>
      <c r="V1" s="275"/>
      <c r="X1" s="530">
        <f>SUBTOTAL(9,X2:X4075)</f>
        <v>7246358</v>
      </c>
      <c r="Y1" s="530">
        <f>SUBTOTAL(9,Y2:Y4075)</f>
        <v>3196935565</v>
      </c>
      <c r="Z1" s="260">
        <f>AA1/Y1</f>
        <v>0.48506021947835021</v>
      </c>
      <c r="AA1" s="379">
        <f>SUBTOTAL(9,AA2:AA4075)</f>
        <v>1550706266.8170435</v>
      </c>
      <c r="AD1" s="379">
        <f>SUBTOTAL(9,AD2:AD4075)</f>
        <v>0</v>
      </c>
      <c r="AE1" s="379">
        <f>SUBTOTAL(9,AE2:AE4075)</f>
        <v>2461362.8308750009</v>
      </c>
      <c r="AF1" s="379">
        <f>SUBTOTAL(9,AF2:AF4075)</f>
        <v>1561645254.7779171</v>
      </c>
    </row>
    <row r="2" spans="1:55" ht="15.75" thickBot="1">
      <c r="A2" s="311" t="s">
        <v>1051</v>
      </c>
      <c r="B2" s="311" t="s">
        <v>1052</v>
      </c>
      <c r="C2" s="311" t="s">
        <v>1053</v>
      </c>
      <c r="D2" s="311" t="s">
        <v>1</v>
      </c>
      <c r="E2" s="311" t="s">
        <v>2</v>
      </c>
      <c r="F2" s="311" t="s">
        <v>3</v>
      </c>
      <c r="G2" s="264" t="s">
        <v>4</v>
      </c>
      <c r="H2" s="264" t="s">
        <v>5</v>
      </c>
      <c r="I2" s="585" t="s">
        <v>5259</v>
      </c>
      <c r="J2" s="585" t="s">
        <v>5260</v>
      </c>
      <c r="K2" s="272" t="s">
        <v>5261</v>
      </c>
      <c r="L2" s="272" t="s">
        <v>5262</v>
      </c>
      <c r="M2" s="586" t="s">
        <v>5263</v>
      </c>
      <c r="N2" s="586" t="s">
        <v>5264</v>
      </c>
      <c r="O2" s="587" t="s">
        <v>5265</v>
      </c>
      <c r="P2" s="586" t="s">
        <v>5266</v>
      </c>
      <c r="Q2" s="585" t="s">
        <v>14</v>
      </c>
      <c r="R2" s="585" t="s">
        <v>15</v>
      </c>
      <c r="S2" s="585" t="s">
        <v>16</v>
      </c>
      <c r="T2" s="585" t="s">
        <v>17</v>
      </c>
      <c r="U2" s="272" t="s">
        <v>5267</v>
      </c>
      <c r="V2" s="272" t="s">
        <v>5268</v>
      </c>
      <c r="W2" s="272" t="s">
        <v>5269</v>
      </c>
      <c r="X2" s="588" t="s">
        <v>1055</v>
      </c>
      <c r="Y2" s="585" t="s">
        <v>5270</v>
      </c>
      <c r="Z2" s="585" t="s">
        <v>1057</v>
      </c>
      <c r="AA2" s="585" t="s">
        <v>26</v>
      </c>
      <c r="AB2" s="585" t="s">
        <v>5271</v>
      </c>
      <c r="AC2" s="585" t="s">
        <v>5272</v>
      </c>
      <c r="AD2" s="585" t="s">
        <v>5273</v>
      </c>
      <c r="AE2" s="585" t="s">
        <v>1061</v>
      </c>
      <c r="AF2" s="585" t="s">
        <v>5274</v>
      </c>
      <c r="AG2" s="585" t="s">
        <v>30</v>
      </c>
      <c r="AH2" s="585" t="s">
        <v>31</v>
      </c>
      <c r="AI2" s="585" t="s">
        <v>5275</v>
      </c>
      <c r="AJ2" s="585" t="s">
        <v>33</v>
      </c>
      <c r="AK2" s="585" t="s">
        <v>34</v>
      </c>
      <c r="AL2" s="585" t="s">
        <v>35</v>
      </c>
      <c r="AM2" s="585" t="s">
        <v>36</v>
      </c>
      <c r="AN2" s="585" t="s">
        <v>37</v>
      </c>
      <c r="AO2" s="585" t="s">
        <v>5276</v>
      </c>
      <c r="AP2" s="585" t="s">
        <v>1062</v>
      </c>
      <c r="AQ2" s="585" t="s">
        <v>5277</v>
      </c>
      <c r="AR2" s="585" t="s">
        <v>1064</v>
      </c>
      <c r="AS2" s="585" t="s">
        <v>1</v>
      </c>
      <c r="AT2" s="585" t="s">
        <v>5278</v>
      </c>
      <c r="AU2" s="272" t="s">
        <v>5467</v>
      </c>
      <c r="AX2" s="256" t="s">
        <v>1681</v>
      </c>
      <c r="AY2" s="256" t="s">
        <v>381</v>
      </c>
      <c r="AZ2" s="256" t="s">
        <v>1682</v>
      </c>
      <c r="BA2" s="256" t="s">
        <v>1682</v>
      </c>
      <c r="BB2" s="261" t="s">
        <v>1683</v>
      </c>
      <c r="BC2" s="261" t="s">
        <v>1684</v>
      </c>
    </row>
    <row r="3" spans="1:55" ht="15.75" thickTop="1">
      <c r="A3" s="495"/>
      <c r="B3" s="407">
        <v>44624</v>
      </c>
      <c r="C3" s="407">
        <v>44607</v>
      </c>
      <c r="D3" s="485" t="s">
        <v>86</v>
      </c>
      <c r="E3" s="474"/>
      <c r="F3" s="486"/>
      <c r="G3" s="380">
        <v>2022</v>
      </c>
      <c r="H3" s="474">
        <v>3</v>
      </c>
      <c r="I3" s="474">
        <v>127224</v>
      </c>
      <c r="J3" s="475">
        <v>44627</v>
      </c>
      <c r="K3" s="474" t="s">
        <v>1771</v>
      </c>
      <c r="L3" s="474" t="s">
        <v>1772</v>
      </c>
      <c r="M3" s="475">
        <v>44473</v>
      </c>
      <c r="N3" s="475">
        <v>44583</v>
      </c>
      <c r="O3" s="475"/>
      <c r="P3" s="475">
        <v>44623</v>
      </c>
      <c r="Q3" s="475">
        <v>44627</v>
      </c>
      <c r="R3" s="475">
        <v>44628</v>
      </c>
      <c r="S3" s="474" t="s">
        <v>1688</v>
      </c>
      <c r="T3" s="474">
        <v>72</v>
      </c>
      <c r="U3" s="486" t="s">
        <v>1773</v>
      </c>
      <c r="V3" s="474" t="s">
        <v>1188</v>
      </c>
      <c r="W3" s="474">
        <v>415</v>
      </c>
      <c r="X3" s="432">
        <v>609</v>
      </c>
      <c r="Y3" s="389">
        <f t="shared" ref="Y3:Y66" si="0">W3*X3</f>
        <v>252735</v>
      </c>
      <c r="Z3" s="478">
        <f>186.75/415</f>
        <v>0.45</v>
      </c>
      <c r="AA3" s="480">
        <f t="shared" ref="AA3:AA66" si="1">Z3*Y3</f>
        <v>113730.75</v>
      </c>
      <c r="AB3" s="480"/>
      <c r="AC3" s="481">
        <f>AB3*Y3</f>
        <v>0</v>
      </c>
      <c r="AD3" s="474"/>
      <c r="AE3" s="474"/>
      <c r="AF3" s="493">
        <f t="shared" ref="AF3:AF66" si="2">AE3+AD3+AA3</f>
        <v>113730.75</v>
      </c>
      <c r="AG3" s="474" t="s">
        <v>1071</v>
      </c>
      <c r="AH3" s="474">
        <v>100</v>
      </c>
      <c r="AI3" s="474"/>
      <c r="AJ3" s="475" t="s">
        <v>1374</v>
      </c>
      <c r="AK3" s="475" t="s">
        <v>50</v>
      </c>
      <c r="AL3" s="483" t="s">
        <v>1774</v>
      </c>
      <c r="AM3" s="474" t="s">
        <v>52</v>
      </c>
      <c r="AN3" s="384" t="s">
        <v>50</v>
      </c>
      <c r="AO3" s="474" t="s">
        <v>1076</v>
      </c>
      <c r="AP3" s="482" t="s">
        <v>38</v>
      </c>
      <c r="AQ3" s="474" t="s">
        <v>1086</v>
      </c>
      <c r="AR3" s="474"/>
      <c r="AS3" s="473"/>
      <c r="AT3" s="473"/>
      <c r="AU3" s="478"/>
      <c r="AV3" s="471" t="str">
        <f t="shared" ref="AV3:AV34" si="3">U3</f>
        <v>30380659F</v>
      </c>
      <c r="AW3" s="471" cm="1">
        <f t="array" ref="AW3">SUM(MID(0&amp;AV3,LARGE(INDEX(ISNUMBER(--MID(AV3,ROW($1:$8),1))*ROW($1:$8),),ROW($1:$8))+1,1)*10^ROW($1:$8)/10)</f>
        <v>30380659</v>
      </c>
      <c r="AX3" s="471" t="str">
        <f>VLOOKUP($AW3,'Item Master Data'!$A:$F,3,FALSE)</f>
        <v xml:space="preserve">Q.PEAK DUO L G6 </v>
      </c>
      <c r="AY3" s="471">
        <f>VLOOKUP($AW3,'Item Master Data'!$A:$F,6,FALSE)</f>
        <v>415</v>
      </c>
      <c r="AZ3" s="471">
        <f t="shared" ref="AZ3:AZ34" si="4">X3/BA3</f>
        <v>21</v>
      </c>
      <c r="BA3" s="471">
        <f>VLOOKUP(AW3,'Item Master Data'!$A:$G,7,FALSE)</f>
        <v>29</v>
      </c>
      <c r="BB3" s="471"/>
      <c r="BC3" s="471">
        <f t="shared" ref="BC3:BC34" si="5">W3-AY3</f>
        <v>0</v>
      </c>
    </row>
    <row r="4" spans="1:55">
      <c r="A4" s="495"/>
      <c r="B4" s="407">
        <v>44630</v>
      </c>
      <c r="C4" s="407">
        <v>44630</v>
      </c>
      <c r="D4" s="485" t="s">
        <v>86</v>
      </c>
      <c r="E4" s="474"/>
      <c r="F4" s="486" t="s">
        <v>87</v>
      </c>
      <c r="G4" s="380">
        <v>2022</v>
      </c>
      <c r="H4" s="474">
        <v>3</v>
      </c>
      <c r="I4" s="474">
        <v>127323</v>
      </c>
      <c r="J4" s="475">
        <v>44630</v>
      </c>
      <c r="K4" s="474" t="s">
        <v>1788</v>
      </c>
      <c r="L4" s="474" t="s">
        <v>1789</v>
      </c>
      <c r="M4" s="475">
        <v>44432</v>
      </c>
      <c r="N4" s="475">
        <v>44501</v>
      </c>
      <c r="O4" s="475">
        <v>44620</v>
      </c>
      <c r="P4" s="475">
        <v>44601</v>
      </c>
      <c r="Q4" s="475">
        <v>44627</v>
      </c>
      <c r="R4" s="475">
        <v>44630</v>
      </c>
      <c r="S4" s="474" t="s">
        <v>1688</v>
      </c>
      <c r="T4" s="474">
        <v>72</v>
      </c>
      <c r="U4" s="486">
        <v>49301156</v>
      </c>
      <c r="V4" s="474" t="s">
        <v>1104</v>
      </c>
      <c r="W4" s="474">
        <v>480</v>
      </c>
      <c r="X4" s="432">
        <v>1044</v>
      </c>
      <c r="Y4" s="389">
        <f t="shared" si="0"/>
        <v>501120</v>
      </c>
      <c r="Z4" s="478">
        <f>204/480</f>
        <v>0.42499999999999999</v>
      </c>
      <c r="AA4" s="480">
        <f t="shared" si="1"/>
        <v>212976</v>
      </c>
      <c r="AB4" s="480"/>
      <c r="AC4" s="481">
        <f>AB4*Y4</f>
        <v>0</v>
      </c>
      <c r="AD4" s="474"/>
      <c r="AE4" s="474"/>
      <c r="AF4" s="493">
        <f t="shared" si="2"/>
        <v>212976</v>
      </c>
      <c r="AG4" s="474" t="s">
        <v>47</v>
      </c>
      <c r="AH4" s="474">
        <v>10</v>
      </c>
      <c r="AI4" s="474">
        <v>60</v>
      </c>
      <c r="AJ4" s="475" t="s">
        <v>1790</v>
      </c>
      <c r="AK4" s="475" t="s">
        <v>50</v>
      </c>
      <c r="AL4" s="483" t="s">
        <v>1791</v>
      </c>
      <c r="AM4" s="474" t="s">
        <v>52</v>
      </c>
      <c r="AN4" s="384" t="s">
        <v>1074</v>
      </c>
      <c r="AO4" s="474" t="s">
        <v>1076</v>
      </c>
      <c r="AP4" s="482"/>
      <c r="AQ4" s="474" t="s">
        <v>1086</v>
      </c>
      <c r="AR4" s="474"/>
      <c r="AS4" s="473"/>
      <c r="AT4" s="473"/>
      <c r="AU4" s="478"/>
      <c r="AV4" s="471">
        <f t="shared" si="3"/>
        <v>49301156</v>
      </c>
      <c r="AW4" s="471" cm="1">
        <f t="array" ref="AW4">SUM(MID(0&amp;AV4,LARGE(INDEX(ISNUMBER(--MID(AV4,ROW($1:$8),1))*ROW($1:$8),),ROW($1:$8))+1,1)*10^ROW($1:$8)/10)</f>
        <v>49301156</v>
      </c>
      <c r="AX4" s="471" t="str">
        <f>VLOOKUP($AW4,'Item Master Data'!$A:$F,3,FALSE)</f>
        <v>Q.PEAK DUO XL G10</v>
      </c>
      <c r="AY4" s="471">
        <f>VLOOKUP($AW4,'Item Master Data'!$A:$F,6,FALSE)</f>
        <v>480</v>
      </c>
      <c r="AZ4" s="471">
        <f t="shared" si="4"/>
        <v>36</v>
      </c>
      <c r="BA4" s="471">
        <f>VLOOKUP(AW4,'Item Master Data'!$A:$G,7,FALSE)</f>
        <v>29</v>
      </c>
      <c r="BB4" s="471"/>
      <c r="BC4" s="471">
        <f t="shared" si="5"/>
        <v>0</v>
      </c>
    </row>
    <row r="5" spans="1:55">
      <c r="A5" s="495"/>
      <c r="B5" s="407">
        <v>44630</v>
      </c>
      <c r="C5" s="407">
        <v>44630</v>
      </c>
      <c r="D5" s="485" t="s">
        <v>86</v>
      </c>
      <c r="E5" s="663"/>
      <c r="F5" s="486" t="s">
        <v>87</v>
      </c>
      <c r="G5" s="380">
        <v>2022</v>
      </c>
      <c r="H5" s="474">
        <v>3</v>
      </c>
      <c r="I5" s="474">
        <v>127200</v>
      </c>
      <c r="J5" s="475">
        <v>44622</v>
      </c>
      <c r="K5" s="474" t="s">
        <v>1796</v>
      </c>
      <c r="L5" s="474" t="s">
        <v>1789</v>
      </c>
      <c r="M5" s="475">
        <v>44432</v>
      </c>
      <c r="N5" s="475">
        <v>44501</v>
      </c>
      <c r="O5" s="475">
        <v>44620</v>
      </c>
      <c r="P5" s="475">
        <v>44601</v>
      </c>
      <c r="Q5" s="475">
        <v>44621</v>
      </c>
      <c r="R5" s="475">
        <v>44622</v>
      </c>
      <c r="S5" s="474" t="s">
        <v>1688</v>
      </c>
      <c r="T5" s="474">
        <v>72</v>
      </c>
      <c r="U5" s="486">
        <v>49301156</v>
      </c>
      <c r="V5" s="474" t="s">
        <v>1104</v>
      </c>
      <c r="W5" s="474">
        <v>480</v>
      </c>
      <c r="X5" s="432">
        <v>1044</v>
      </c>
      <c r="Y5" s="389">
        <f t="shared" si="0"/>
        <v>501120</v>
      </c>
      <c r="Z5" s="478">
        <f>204/480</f>
        <v>0.42499999999999999</v>
      </c>
      <c r="AA5" s="480">
        <f t="shared" si="1"/>
        <v>212976</v>
      </c>
      <c r="AB5" s="480"/>
      <c r="AC5" s="481">
        <f>AB5*Y5</f>
        <v>0</v>
      </c>
      <c r="AD5" s="474"/>
      <c r="AE5" s="474"/>
      <c r="AF5" s="493">
        <f t="shared" si="2"/>
        <v>212976</v>
      </c>
      <c r="AG5" s="474" t="s">
        <v>47</v>
      </c>
      <c r="AH5" s="474">
        <v>10</v>
      </c>
      <c r="AI5" s="474">
        <v>60</v>
      </c>
      <c r="AJ5" s="475" t="s">
        <v>1083</v>
      </c>
      <c r="AK5" s="475" t="s">
        <v>1084</v>
      </c>
      <c r="AL5" s="483" t="s">
        <v>1791</v>
      </c>
      <c r="AM5" s="474" t="s">
        <v>52</v>
      </c>
      <c r="AN5" s="384" t="s">
        <v>1074</v>
      </c>
      <c r="AO5" s="474" t="s">
        <v>1076</v>
      </c>
      <c r="AP5" s="482"/>
      <c r="AQ5" s="474" t="s">
        <v>1086</v>
      </c>
      <c r="AR5" s="474"/>
      <c r="AS5" s="473"/>
      <c r="AT5" s="473"/>
      <c r="AU5" s="478"/>
      <c r="AV5" s="471">
        <f t="shared" si="3"/>
        <v>49301156</v>
      </c>
      <c r="AW5" s="471" cm="1">
        <f t="array" ref="AW5">SUM(MID(0&amp;AV5,LARGE(INDEX(ISNUMBER(--MID(AV5,ROW($1:$8),1))*ROW($1:$8),),ROW($1:$8))+1,1)*10^ROW($1:$8)/10)</f>
        <v>49301156</v>
      </c>
      <c r="AX5" s="471" t="str">
        <f>VLOOKUP($AW5,'Item Master Data'!$A:$F,3,FALSE)</f>
        <v>Q.PEAK DUO XL G10</v>
      </c>
      <c r="AY5" s="471">
        <f>VLOOKUP($AW5,'Item Master Data'!$A:$F,6,FALSE)</f>
        <v>480</v>
      </c>
      <c r="AZ5" s="471">
        <f t="shared" si="4"/>
        <v>36</v>
      </c>
      <c r="BA5" s="471">
        <f>VLOOKUP(AW5,'Item Master Data'!$A:$G,7,FALSE)</f>
        <v>29</v>
      </c>
      <c r="BB5" s="471"/>
      <c r="BC5" s="471">
        <f t="shared" si="5"/>
        <v>0</v>
      </c>
    </row>
    <row r="6" spans="1:55">
      <c r="A6" s="495"/>
      <c r="B6" s="407">
        <v>44642</v>
      </c>
      <c r="C6" s="407">
        <v>44621</v>
      </c>
      <c r="D6" s="485" t="s">
        <v>86</v>
      </c>
      <c r="E6" s="663" t="s">
        <v>1808</v>
      </c>
      <c r="F6" s="486"/>
      <c r="G6" s="380">
        <v>2022</v>
      </c>
      <c r="H6" s="474">
        <v>3</v>
      </c>
      <c r="I6" s="474">
        <v>127628</v>
      </c>
      <c r="J6" s="475">
        <v>44649</v>
      </c>
      <c r="K6" s="474">
        <v>220209</v>
      </c>
      <c r="L6" s="474" t="s">
        <v>1717</v>
      </c>
      <c r="M6" s="475">
        <v>37296</v>
      </c>
      <c r="N6" s="475">
        <v>44629</v>
      </c>
      <c r="O6" s="475"/>
      <c r="P6" s="475">
        <v>44642</v>
      </c>
      <c r="Q6" s="475">
        <v>44649</v>
      </c>
      <c r="R6" s="475">
        <v>44650</v>
      </c>
      <c r="S6" s="474" t="s">
        <v>88</v>
      </c>
      <c r="T6" s="474">
        <v>72</v>
      </c>
      <c r="U6" s="486" t="s">
        <v>1809</v>
      </c>
      <c r="V6" s="474" t="s">
        <v>1104</v>
      </c>
      <c r="W6" s="474">
        <v>475</v>
      </c>
      <c r="X6" s="432">
        <v>464</v>
      </c>
      <c r="Y6" s="389">
        <f t="shared" si="0"/>
        <v>220400</v>
      </c>
      <c r="Z6" s="478">
        <f>235.12/475</f>
        <v>0.49498947368421053</v>
      </c>
      <c r="AA6" s="480">
        <f t="shared" si="1"/>
        <v>109095.68000000001</v>
      </c>
      <c r="AB6" s="480"/>
      <c r="AC6" s="481">
        <f>AB6*Y6</f>
        <v>0</v>
      </c>
      <c r="AD6" s="474"/>
      <c r="AE6" s="474"/>
      <c r="AF6" s="493">
        <f t="shared" si="2"/>
        <v>109095.68000000001</v>
      </c>
      <c r="AG6" s="474" t="s">
        <v>1071</v>
      </c>
      <c r="AH6" s="474">
        <v>100</v>
      </c>
      <c r="AI6" s="474">
        <v>0</v>
      </c>
      <c r="AJ6" s="475" t="s">
        <v>1810</v>
      </c>
      <c r="AK6" s="475" t="s">
        <v>50</v>
      </c>
      <c r="AL6" s="483" t="s">
        <v>1720</v>
      </c>
      <c r="AM6" s="474" t="s">
        <v>52</v>
      </c>
      <c r="AN6" s="384" t="s">
        <v>50</v>
      </c>
      <c r="AO6" s="474" t="s">
        <v>1076</v>
      </c>
      <c r="AP6" s="482" t="s">
        <v>38</v>
      </c>
      <c r="AQ6" s="474" t="s">
        <v>37</v>
      </c>
      <c r="AR6" s="474"/>
      <c r="AS6" s="473"/>
      <c r="AT6" s="473"/>
      <c r="AU6" s="478"/>
      <c r="AV6" s="471" t="str">
        <f t="shared" si="3"/>
        <v>30397471F</v>
      </c>
      <c r="AW6" s="471" cm="1">
        <f t="array" ref="AW6">SUM(MID(0&amp;AV6,LARGE(INDEX(ISNUMBER(--MID(AV6,ROW($1:$8),1))*ROW($1:$8),),ROW($1:$8))+1,1)*10^ROW($1:$8)/10)</f>
        <v>30397471</v>
      </c>
      <c r="AX6" s="471" t="str">
        <f>VLOOKUP($AW6,'Item Master Data'!$A:$F,3,FALSE)</f>
        <v>Q.PEAK DUO XL G10</v>
      </c>
      <c r="AY6" s="471">
        <f>VLOOKUP($AW6,'Item Master Data'!$A:$F,6,FALSE)</f>
        <v>475</v>
      </c>
      <c r="AZ6" s="471">
        <f t="shared" si="4"/>
        <v>16</v>
      </c>
      <c r="BA6" s="471">
        <f>VLOOKUP(AW6,'Item Master Data'!$A:$G,7,FALSE)</f>
        <v>29</v>
      </c>
      <c r="BB6" s="471"/>
      <c r="BC6" s="471">
        <f t="shared" si="5"/>
        <v>0</v>
      </c>
    </row>
    <row r="7" spans="1:55">
      <c r="A7" s="495"/>
      <c r="B7" s="596">
        <v>44629</v>
      </c>
      <c r="C7" s="596">
        <v>44629</v>
      </c>
      <c r="D7" s="485" t="s">
        <v>86</v>
      </c>
      <c r="E7" s="474" t="s">
        <v>1816</v>
      </c>
      <c r="F7" s="486" t="s">
        <v>87</v>
      </c>
      <c r="G7" s="380">
        <v>2022</v>
      </c>
      <c r="H7" s="474">
        <v>3</v>
      </c>
      <c r="I7" s="474">
        <v>127276</v>
      </c>
      <c r="J7" s="475">
        <v>44634</v>
      </c>
      <c r="K7" s="474" t="s">
        <v>1817</v>
      </c>
      <c r="L7" s="474" t="s">
        <v>1693</v>
      </c>
      <c r="M7" s="475">
        <v>44279</v>
      </c>
      <c r="N7" s="475">
        <v>44440</v>
      </c>
      <c r="O7" s="475"/>
      <c r="P7" s="475">
        <v>44630</v>
      </c>
      <c r="Q7" s="475">
        <v>44634</v>
      </c>
      <c r="R7" s="475">
        <v>44638</v>
      </c>
      <c r="S7" s="474" t="s">
        <v>88</v>
      </c>
      <c r="T7" s="474">
        <v>72</v>
      </c>
      <c r="U7" s="474" t="s">
        <v>1149</v>
      </c>
      <c r="V7" s="474" t="s">
        <v>1150</v>
      </c>
      <c r="W7" s="474">
        <v>425</v>
      </c>
      <c r="X7" s="432">
        <v>720</v>
      </c>
      <c r="Y7" s="389">
        <f t="shared" si="0"/>
        <v>306000</v>
      </c>
      <c r="Z7" s="478">
        <f>187/425</f>
        <v>0.44</v>
      </c>
      <c r="AA7" s="492">
        <f t="shared" si="1"/>
        <v>134640</v>
      </c>
      <c r="AB7" s="480"/>
      <c r="AC7" s="481">
        <f>AB7*Y7</f>
        <v>0</v>
      </c>
      <c r="AD7" s="474"/>
      <c r="AE7" s="474"/>
      <c r="AF7" s="493">
        <f t="shared" si="2"/>
        <v>134640</v>
      </c>
      <c r="AG7" s="474" t="s">
        <v>1071</v>
      </c>
      <c r="AH7" s="474"/>
      <c r="AI7" s="474">
        <v>60</v>
      </c>
      <c r="AJ7" s="475" t="s">
        <v>1694</v>
      </c>
      <c r="AK7" s="475" t="s">
        <v>50</v>
      </c>
      <c r="AL7" s="483" t="s">
        <v>1725</v>
      </c>
      <c r="AM7" s="474" t="s">
        <v>52</v>
      </c>
      <c r="AN7" s="384" t="s">
        <v>1151</v>
      </c>
      <c r="AO7" s="474" t="s">
        <v>1076</v>
      </c>
      <c r="AP7" s="482" t="s">
        <v>38</v>
      </c>
      <c r="AQ7" s="474" t="s">
        <v>37</v>
      </c>
      <c r="AR7" s="474"/>
      <c r="AS7" s="473"/>
      <c r="AT7" s="473"/>
      <c r="AU7" s="472"/>
      <c r="AV7" s="471" t="str">
        <f t="shared" si="3"/>
        <v>12005804F</v>
      </c>
      <c r="AW7" s="471" cm="1">
        <f t="array" ref="AW7">SUM(MID(0&amp;AV7,LARGE(INDEX(ISNUMBER(--MID(AV7,ROW($1:$8),1))*ROW($1:$8),),ROW($1:$8))+1,1)*10^ROW($1:$8)/10)</f>
        <v>12005804</v>
      </c>
      <c r="AX7" s="471" t="str">
        <f>VLOOKUP($AW7,'Item Master Data'!$A:$F,3,FALSE)</f>
        <v>Q.PEAK DUO L G8</v>
      </c>
      <c r="AY7" s="471">
        <f>VLOOKUP($AW7,'Item Master Data'!$A:$F,6,FALSE)</f>
        <v>425</v>
      </c>
      <c r="AZ7" s="471">
        <f t="shared" si="4"/>
        <v>24</v>
      </c>
      <c r="BA7" s="471">
        <f>VLOOKUP(AW7,'Item Master Data'!$A:$G,7,FALSE)</f>
        <v>30</v>
      </c>
      <c r="BB7" s="471"/>
      <c r="BC7" s="471">
        <f t="shared" si="5"/>
        <v>0</v>
      </c>
    </row>
    <row r="8" spans="1:55">
      <c r="A8" s="495"/>
      <c r="B8" s="407">
        <v>44336</v>
      </c>
      <c r="C8" s="407">
        <v>44477</v>
      </c>
      <c r="D8" s="485" t="s">
        <v>1811</v>
      </c>
      <c r="E8" s="474" t="s">
        <v>1812</v>
      </c>
      <c r="F8" s="486"/>
      <c r="G8" s="380">
        <v>2022</v>
      </c>
      <c r="H8" s="474">
        <v>3</v>
      </c>
      <c r="I8" s="474">
        <v>127493</v>
      </c>
      <c r="J8" s="475">
        <v>44637</v>
      </c>
      <c r="K8" s="474" t="s">
        <v>1813</v>
      </c>
      <c r="L8" s="474" t="s">
        <v>1693</v>
      </c>
      <c r="M8" s="475">
        <v>44334</v>
      </c>
      <c r="N8" s="475">
        <v>44508</v>
      </c>
      <c r="O8" s="475"/>
      <c r="P8" s="475" t="s">
        <v>1814</v>
      </c>
      <c r="Q8" s="475">
        <v>44911</v>
      </c>
      <c r="R8" s="475">
        <v>44547</v>
      </c>
      <c r="S8" s="474" t="s">
        <v>88</v>
      </c>
      <c r="T8" s="474">
        <v>60</v>
      </c>
      <c r="U8" s="486" t="s">
        <v>1689</v>
      </c>
      <c r="V8" s="474" t="s">
        <v>960</v>
      </c>
      <c r="W8" s="474">
        <v>380</v>
      </c>
      <c r="X8" s="432">
        <v>352</v>
      </c>
      <c r="Y8" s="389">
        <f t="shared" si="0"/>
        <v>133760</v>
      </c>
      <c r="Z8" s="478">
        <v>0.52</v>
      </c>
      <c r="AA8" s="480">
        <f t="shared" si="1"/>
        <v>69555.199999999997</v>
      </c>
      <c r="AB8" s="480"/>
      <c r="AC8" s="481">
        <v>0</v>
      </c>
      <c r="AD8" s="474"/>
      <c r="AE8" s="474"/>
      <c r="AF8" s="493">
        <f t="shared" si="2"/>
        <v>69555.199999999997</v>
      </c>
      <c r="AG8" s="474" t="s">
        <v>47</v>
      </c>
      <c r="AH8" s="474"/>
      <c r="AI8" s="474">
        <v>60</v>
      </c>
      <c r="AJ8" s="475" t="s">
        <v>1694</v>
      </c>
      <c r="AK8" s="475" t="s">
        <v>50</v>
      </c>
      <c r="AL8" s="483" t="s">
        <v>1725</v>
      </c>
      <c r="AM8" s="474" t="s">
        <v>52</v>
      </c>
      <c r="AN8" s="384" t="s">
        <v>50</v>
      </c>
      <c r="AO8" s="474" t="s">
        <v>1076</v>
      </c>
      <c r="AP8" s="482" t="s">
        <v>38</v>
      </c>
      <c r="AQ8" s="474" t="s">
        <v>37</v>
      </c>
      <c r="AR8" s="474"/>
      <c r="AS8" s="473" t="s">
        <v>1075</v>
      </c>
      <c r="AT8" s="473"/>
      <c r="AU8" s="478"/>
      <c r="AV8" s="471" t="str">
        <f t="shared" si="3"/>
        <v>30368817F</v>
      </c>
      <c r="AW8" s="471" cm="1">
        <f t="array" ref="AW8">SUM(MID(0&amp;AV8,LARGE(INDEX(ISNUMBER(--MID(AV8,ROW($1:$8),1))*ROW($1:$8),),ROW($1:$8))+1,1)*10^ROW($1:$8)/10)</f>
        <v>30368817</v>
      </c>
      <c r="AX8" s="471" t="str">
        <f>VLOOKUP($AW8,'Item Master Data'!$A:$F,3,FALSE)</f>
        <v>Q.PEAK DUO BLK ML G9+</v>
      </c>
      <c r="AY8" s="471">
        <f>VLOOKUP($AW8,'Item Master Data'!$A:$F,6,FALSE)</f>
        <v>380</v>
      </c>
      <c r="AZ8" s="471">
        <f t="shared" si="4"/>
        <v>11</v>
      </c>
      <c r="BA8" s="471">
        <f>VLOOKUP(AW8,'Item Master Data'!$A:$G,7,FALSE)</f>
        <v>32</v>
      </c>
      <c r="BB8" s="471"/>
      <c r="BC8" s="471">
        <f t="shared" si="5"/>
        <v>0</v>
      </c>
    </row>
    <row r="9" spans="1:55">
      <c r="A9" s="495"/>
      <c r="B9" s="407">
        <v>44336</v>
      </c>
      <c r="C9" s="407">
        <v>44477</v>
      </c>
      <c r="D9" s="485" t="s">
        <v>1811</v>
      </c>
      <c r="E9" s="474" t="s">
        <v>1812</v>
      </c>
      <c r="F9" s="486"/>
      <c r="G9" s="380">
        <v>2022</v>
      </c>
      <c r="H9" s="474">
        <v>3</v>
      </c>
      <c r="I9" s="474">
        <v>127494</v>
      </c>
      <c r="J9" s="475">
        <v>44637</v>
      </c>
      <c r="K9" s="474" t="s">
        <v>1815</v>
      </c>
      <c r="L9" s="474" t="s">
        <v>1693</v>
      </c>
      <c r="M9" s="475">
        <v>44334</v>
      </c>
      <c r="N9" s="475">
        <v>44536</v>
      </c>
      <c r="O9" s="475"/>
      <c r="P9" s="475" t="s">
        <v>1814</v>
      </c>
      <c r="Q9" s="475">
        <v>44911</v>
      </c>
      <c r="R9" s="475">
        <v>44547</v>
      </c>
      <c r="S9" s="474" t="s">
        <v>1688</v>
      </c>
      <c r="T9" s="474">
        <v>60</v>
      </c>
      <c r="U9" s="486" t="s">
        <v>1689</v>
      </c>
      <c r="V9" s="474" t="s">
        <v>960</v>
      </c>
      <c r="W9" s="474">
        <v>380</v>
      </c>
      <c r="X9" s="432">
        <v>768</v>
      </c>
      <c r="Y9" s="389">
        <f t="shared" si="0"/>
        <v>291840</v>
      </c>
      <c r="Z9" s="478">
        <v>0.52</v>
      </c>
      <c r="AA9" s="480">
        <f t="shared" si="1"/>
        <v>151756.80000000002</v>
      </c>
      <c r="AB9" s="480"/>
      <c r="AC9" s="481">
        <f t="shared" ref="AC9:AC15" si="6">AB9*Y9</f>
        <v>0</v>
      </c>
      <c r="AD9" s="474"/>
      <c r="AE9" s="474"/>
      <c r="AF9" s="493">
        <f t="shared" si="2"/>
        <v>151756.80000000002</v>
      </c>
      <c r="AG9" s="474" t="s">
        <v>47</v>
      </c>
      <c r="AH9" s="474"/>
      <c r="AI9" s="474">
        <v>60</v>
      </c>
      <c r="AJ9" s="475" t="s">
        <v>1694</v>
      </c>
      <c r="AK9" s="475" t="s">
        <v>50</v>
      </c>
      <c r="AL9" s="483">
        <v>92806</v>
      </c>
      <c r="AM9" s="474" t="s">
        <v>52</v>
      </c>
      <c r="AN9" s="384" t="s">
        <v>50</v>
      </c>
      <c r="AO9" s="474" t="s">
        <v>1076</v>
      </c>
      <c r="AP9" s="482" t="s">
        <v>38</v>
      </c>
      <c r="AQ9" s="474" t="s">
        <v>37</v>
      </c>
      <c r="AR9" s="474"/>
      <c r="AS9" s="473"/>
      <c r="AT9" s="473"/>
      <c r="AU9" s="478"/>
      <c r="AV9" s="471" t="str">
        <f t="shared" si="3"/>
        <v>30368817F</v>
      </c>
      <c r="AW9" s="471" cm="1">
        <f t="array" ref="AW9">SUM(MID(0&amp;AV9,LARGE(INDEX(ISNUMBER(--MID(AV9,ROW($1:$8),1))*ROW($1:$8),),ROW($1:$8))+1,1)*10^ROW($1:$8)/10)</f>
        <v>30368817</v>
      </c>
      <c r="AX9" s="471" t="str">
        <f>VLOOKUP($AW9,'Item Master Data'!$A:$F,3,FALSE)</f>
        <v>Q.PEAK DUO BLK ML G9+</v>
      </c>
      <c r="AY9" s="471">
        <f>VLOOKUP($AW9,'Item Master Data'!$A:$F,6,FALSE)</f>
        <v>380</v>
      </c>
      <c r="AZ9" s="471">
        <f t="shared" si="4"/>
        <v>24</v>
      </c>
      <c r="BA9" s="471">
        <f>VLOOKUP(AW9,'Item Master Data'!$A:$G,7,FALSE)</f>
        <v>32</v>
      </c>
      <c r="BB9" s="471"/>
      <c r="BC9" s="471">
        <f t="shared" si="5"/>
        <v>0</v>
      </c>
    </row>
    <row r="10" spans="1:55">
      <c r="A10" s="495"/>
      <c r="B10" s="407">
        <v>44628</v>
      </c>
      <c r="C10" s="407">
        <v>44628</v>
      </c>
      <c r="D10" s="485" t="s">
        <v>86</v>
      </c>
      <c r="E10" s="474"/>
      <c r="F10" s="486"/>
      <c r="G10" s="380">
        <v>2022</v>
      </c>
      <c r="H10" s="474">
        <v>3</v>
      </c>
      <c r="I10" s="524">
        <v>127781</v>
      </c>
      <c r="J10" s="475">
        <v>44651</v>
      </c>
      <c r="K10" s="474" t="s">
        <v>1692</v>
      </c>
      <c r="L10" s="474" t="s">
        <v>1693</v>
      </c>
      <c r="M10" s="475">
        <v>44361</v>
      </c>
      <c r="N10" s="475">
        <v>44531</v>
      </c>
      <c r="O10" s="475"/>
      <c r="P10" s="475">
        <v>44628</v>
      </c>
      <c r="Q10" s="475">
        <v>44650</v>
      </c>
      <c r="R10" s="475">
        <v>44655</v>
      </c>
      <c r="S10" s="474" t="s">
        <v>1688</v>
      </c>
      <c r="T10" s="474">
        <v>60</v>
      </c>
      <c r="U10" s="486">
        <v>49204132</v>
      </c>
      <c r="V10" s="474" t="s">
        <v>1223</v>
      </c>
      <c r="W10" s="474">
        <v>360</v>
      </c>
      <c r="X10" s="432">
        <v>676</v>
      </c>
      <c r="Y10" s="389">
        <f t="shared" si="0"/>
        <v>243360</v>
      </c>
      <c r="Z10" s="478">
        <f>298.8/360</f>
        <v>0.83000000000000007</v>
      </c>
      <c r="AA10" s="480">
        <f t="shared" si="1"/>
        <v>201988.80000000002</v>
      </c>
      <c r="AB10" s="480"/>
      <c r="AC10" s="481">
        <f t="shared" si="6"/>
        <v>0</v>
      </c>
      <c r="AD10" s="474"/>
      <c r="AE10" s="474"/>
      <c r="AF10" s="493">
        <f t="shared" si="2"/>
        <v>201988.80000000002</v>
      </c>
      <c r="AG10" s="474" t="s">
        <v>1071</v>
      </c>
      <c r="AH10" s="474"/>
      <c r="AI10" s="474">
        <v>60</v>
      </c>
      <c r="AJ10" s="475" t="s">
        <v>1694</v>
      </c>
      <c r="AK10" s="475" t="s">
        <v>50</v>
      </c>
      <c r="AL10" s="483">
        <v>92806</v>
      </c>
      <c r="AM10" s="474" t="s">
        <v>52</v>
      </c>
      <c r="AN10" s="384" t="s">
        <v>1695</v>
      </c>
      <c r="AO10" s="474" t="s">
        <v>1076</v>
      </c>
      <c r="AP10" s="482"/>
      <c r="AQ10" s="474" t="s">
        <v>37</v>
      </c>
      <c r="AR10" s="474"/>
      <c r="AS10" s="473"/>
      <c r="AT10" s="473"/>
      <c r="AU10" s="478"/>
      <c r="AV10" s="471">
        <f t="shared" si="3"/>
        <v>49204132</v>
      </c>
      <c r="AW10" s="471" cm="1">
        <f t="array" ref="AW10">SUM(MID(0&amp;AV10,LARGE(INDEX(ISNUMBER(--MID(AV10,ROW($1:$8),1))*ROW($1:$8),),ROW($1:$8))+1,1)*10^ROW($1:$8)/10)</f>
        <v>49204132</v>
      </c>
      <c r="AX10" s="471" t="str">
        <f>VLOOKUP($AW10,'Item Master Data'!$A:$F,3,FALSE)</f>
        <v>Q.PEAK DUO BLK G10+/AC</v>
      </c>
      <c r="AY10" s="471">
        <f>VLOOKUP($AW10,'Item Master Data'!$A:$F,6,FALSE)</f>
        <v>360</v>
      </c>
      <c r="AZ10" s="471">
        <f t="shared" si="4"/>
        <v>26</v>
      </c>
      <c r="BA10" s="471">
        <f>VLOOKUP(AW10,'Item Master Data'!$A:$G,7,FALSE)</f>
        <v>26</v>
      </c>
      <c r="BB10" s="471"/>
      <c r="BC10" s="471">
        <f t="shared" si="5"/>
        <v>0</v>
      </c>
    </row>
    <row r="11" spans="1:55">
      <c r="A11" s="495"/>
      <c r="B11" s="407">
        <v>44628</v>
      </c>
      <c r="C11" s="407">
        <v>44628</v>
      </c>
      <c r="D11" s="485" t="s">
        <v>86</v>
      </c>
      <c r="E11" s="474" t="s">
        <v>1696</v>
      </c>
      <c r="F11" s="486"/>
      <c r="G11" s="380">
        <v>2022</v>
      </c>
      <c r="H11" s="474">
        <v>3</v>
      </c>
      <c r="I11" s="524">
        <v>127876</v>
      </c>
      <c r="J11" s="538">
        <v>44650</v>
      </c>
      <c r="K11" s="524" t="s">
        <v>1692</v>
      </c>
      <c r="L11" s="524" t="s">
        <v>1693</v>
      </c>
      <c r="M11" s="475">
        <v>44361</v>
      </c>
      <c r="N11" s="475">
        <v>44531</v>
      </c>
      <c r="O11" s="475"/>
      <c r="P11" s="475">
        <v>44628</v>
      </c>
      <c r="Q11" s="475">
        <v>44650</v>
      </c>
      <c r="R11" s="475">
        <v>44655</v>
      </c>
      <c r="S11" s="474" t="s">
        <v>1688</v>
      </c>
      <c r="T11" s="474">
        <v>60</v>
      </c>
      <c r="U11" s="486">
        <v>49204132</v>
      </c>
      <c r="V11" s="474" t="s">
        <v>1223</v>
      </c>
      <c r="W11" s="474">
        <v>360</v>
      </c>
      <c r="X11" s="432">
        <v>156</v>
      </c>
      <c r="Y11" s="389">
        <f t="shared" si="0"/>
        <v>56160</v>
      </c>
      <c r="Z11" s="478">
        <f>298.8/360</f>
        <v>0.83000000000000007</v>
      </c>
      <c r="AA11" s="480">
        <f t="shared" si="1"/>
        <v>46612.800000000003</v>
      </c>
      <c r="AB11" s="480"/>
      <c r="AC11" s="481">
        <f t="shared" si="6"/>
        <v>0</v>
      </c>
      <c r="AD11" s="474"/>
      <c r="AE11" s="474"/>
      <c r="AF11" s="493">
        <f t="shared" si="2"/>
        <v>46612.800000000003</v>
      </c>
      <c r="AG11" s="474" t="s">
        <v>1071</v>
      </c>
      <c r="AH11" s="474"/>
      <c r="AI11" s="474">
        <v>60</v>
      </c>
      <c r="AJ11" s="475" t="s">
        <v>1694</v>
      </c>
      <c r="AK11" s="475" t="s">
        <v>50</v>
      </c>
      <c r="AL11" s="483">
        <v>92806</v>
      </c>
      <c r="AM11" s="474" t="s">
        <v>52</v>
      </c>
      <c r="AN11" s="384" t="s">
        <v>1695</v>
      </c>
      <c r="AO11" s="474" t="s">
        <v>1076</v>
      </c>
      <c r="AP11" s="482"/>
      <c r="AQ11" s="474" t="s">
        <v>37</v>
      </c>
      <c r="AR11" s="474"/>
      <c r="AS11" s="473"/>
      <c r="AT11" s="473"/>
      <c r="AU11" s="478"/>
      <c r="AV11" s="471">
        <f t="shared" si="3"/>
        <v>49204132</v>
      </c>
      <c r="AW11" s="471" cm="1">
        <f t="array" ref="AW11">SUM(MID(0&amp;AV11,LARGE(INDEX(ISNUMBER(--MID(AV11,ROW($1:$8),1))*ROW($1:$8),),ROW($1:$8))+1,1)*10^ROW($1:$8)/10)</f>
        <v>49204132</v>
      </c>
      <c r="AX11" s="471" t="str">
        <f>VLOOKUP($AW11,'Item Master Data'!$A:$F,3,FALSE)</f>
        <v>Q.PEAK DUO BLK G10+/AC</v>
      </c>
      <c r="AY11" s="471">
        <f>VLOOKUP($AW11,'Item Master Data'!$A:$F,6,FALSE)</f>
        <v>360</v>
      </c>
      <c r="AZ11" s="471">
        <f t="shared" si="4"/>
        <v>6</v>
      </c>
      <c r="BA11" s="471">
        <f>VLOOKUP(AW11,'Item Master Data'!$A:$G,7,FALSE)</f>
        <v>26</v>
      </c>
      <c r="BB11" s="471"/>
      <c r="BC11" s="471">
        <f t="shared" si="5"/>
        <v>0</v>
      </c>
    </row>
    <row r="12" spans="1:55">
      <c r="A12" s="495"/>
      <c r="B12" s="407">
        <v>44628</v>
      </c>
      <c r="C12" s="407">
        <v>44628</v>
      </c>
      <c r="D12" s="485" t="s">
        <v>86</v>
      </c>
      <c r="E12" s="474"/>
      <c r="F12" s="486"/>
      <c r="G12" s="380">
        <v>2022</v>
      </c>
      <c r="H12" s="474">
        <v>3</v>
      </c>
      <c r="I12" s="474">
        <v>127739</v>
      </c>
      <c r="J12" s="475">
        <v>44651</v>
      </c>
      <c r="K12" s="474" t="s">
        <v>1758</v>
      </c>
      <c r="L12" s="474" t="s">
        <v>1693</v>
      </c>
      <c r="M12" s="475">
        <v>44433</v>
      </c>
      <c r="N12" s="475">
        <v>44536</v>
      </c>
      <c r="O12" s="475"/>
      <c r="P12" s="475">
        <v>44628</v>
      </c>
      <c r="Q12" s="475">
        <v>44651</v>
      </c>
      <c r="R12" s="475">
        <v>44656</v>
      </c>
      <c r="S12" s="474" t="s">
        <v>1688</v>
      </c>
      <c r="T12" s="474">
        <v>60</v>
      </c>
      <c r="U12" s="486">
        <v>49204132</v>
      </c>
      <c r="V12" s="474" t="s">
        <v>1223</v>
      </c>
      <c r="W12" s="474">
        <v>360</v>
      </c>
      <c r="X12" s="432">
        <v>676</v>
      </c>
      <c r="Y12" s="389">
        <f t="shared" si="0"/>
        <v>243360</v>
      </c>
      <c r="Z12" s="478">
        <f>298.8/360</f>
        <v>0.83000000000000007</v>
      </c>
      <c r="AA12" s="480">
        <f t="shared" si="1"/>
        <v>201988.80000000002</v>
      </c>
      <c r="AB12" s="480"/>
      <c r="AC12" s="481">
        <f t="shared" si="6"/>
        <v>0</v>
      </c>
      <c r="AD12" s="474"/>
      <c r="AE12" s="474"/>
      <c r="AF12" s="493">
        <f t="shared" si="2"/>
        <v>201988.80000000002</v>
      </c>
      <c r="AG12" s="474" t="s">
        <v>1071</v>
      </c>
      <c r="AH12" s="474"/>
      <c r="AI12" s="474">
        <v>60</v>
      </c>
      <c r="AJ12" s="475" t="s">
        <v>1694</v>
      </c>
      <c r="AK12" s="475" t="s">
        <v>50</v>
      </c>
      <c r="AL12" s="483">
        <v>92806</v>
      </c>
      <c r="AM12" s="474" t="s">
        <v>52</v>
      </c>
      <c r="AN12" s="384" t="s">
        <v>1695</v>
      </c>
      <c r="AO12" s="474" t="s">
        <v>1076</v>
      </c>
      <c r="AP12" s="482"/>
      <c r="AQ12" s="474" t="s">
        <v>37</v>
      </c>
      <c r="AR12" s="474"/>
      <c r="AS12" s="473"/>
      <c r="AT12" s="473"/>
      <c r="AU12" s="478"/>
      <c r="AV12" s="471">
        <f t="shared" si="3"/>
        <v>49204132</v>
      </c>
      <c r="AW12" s="471" cm="1">
        <f t="array" ref="AW12">SUM(MID(0&amp;AV12,LARGE(INDEX(ISNUMBER(--MID(AV12,ROW($1:$8),1))*ROW($1:$8),),ROW($1:$8))+1,1)*10^ROW($1:$8)/10)</f>
        <v>49204132</v>
      </c>
      <c r="AX12" s="471" t="str">
        <f>VLOOKUP($AW12,'Item Master Data'!$A:$F,3,FALSE)</f>
        <v>Q.PEAK DUO BLK G10+/AC</v>
      </c>
      <c r="AY12" s="471">
        <f>VLOOKUP($AW12,'Item Master Data'!$A:$F,6,FALSE)</f>
        <v>360</v>
      </c>
      <c r="AZ12" s="471">
        <f t="shared" si="4"/>
        <v>26</v>
      </c>
      <c r="BA12" s="471">
        <f>VLOOKUP(AW12,'Item Master Data'!$A:$G,7,FALSE)</f>
        <v>26</v>
      </c>
      <c r="BB12" s="471"/>
      <c r="BC12" s="471">
        <f t="shared" si="5"/>
        <v>0</v>
      </c>
    </row>
    <row r="13" spans="1:55">
      <c r="A13" s="495"/>
      <c r="B13" s="407">
        <v>44630</v>
      </c>
      <c r="C13" s="596">
        <v>44630</v>
      </c>
      <c r="D13" s="485" t="s">
        <v>86</v>
      </c>
      <c r="E13" s="474" t="s">
        <v>1818</v>
      </c>
      <c r="F13" s="486" t="s">
        <v>87</v>
      </c>
      <c r="G13" s="380">
        <v>2022</v>
      </c>
      <c r="H13" s="474">
        <v>3</v>
      </c>
      <c r="I13" s="474">
        <v>127371</v>
      </c>
      <c r="J13" s="475">
        <v>44638</v>
      </c>
      <c r="K13" s="474" t="s">
        <v>1819</v>
      </c>
      <c r="L13" s="474" t="s">
        <v>1776</v>
      </c>
      <c r="M13" s="475">
        <v>44487</v>
      </c>
      <c r="N13" s="475">
        <v>44487</v>
      </c>
      <c r="O13" s="475"/>
      <c r="P13" s="475">
        <v>44631</v>
      </c>
      <c r="Q13" s="475">
        <v>44638</v>
      </c>
      <c r="R13" s="475">
        <v>44638</v>
      </c>
      <c r="S13" s="474" t="s">
        <v>88</v>
      </c>
      <c r="T13" s="474">
        <v>72</v>
      </c>
      <c r="U13" s="486" t="s">
        <v>1103</v>
      </c>
      <c r="V13" s="474" t="s">
        <v>1002</v>
      </c>
      <c r="W13" s="474">
        <v>480</v>
      </c>
      <c r="X13" s="432">
        <v>638</v>
      </c>
      <c r="Y13" s="389">
        <f t="shared" si="0"/>
        <v>306240</v>
      </c>
      <c r="Z13" s="478">
        <f>235.2/480</f>
        <v>0.49</v>
      </c>
      <c r="AA13" s="492">
        <f t="shared" si="1"/>
        <v>150057.60000000001</v>
      </c>
      <c r="AB13" s="480"/>
      <c r="AC13" s="481">
        <f t="shared" si="6"/>
        <v>0</v>
      </c>
      <c r="AD13" s="474"/>
      <c r="AE13" s="474"/>
      <c r="AF13" s="493">
        <f t="shared" si="2"/>
        <v>150057.60000000001</v>
      </c>
      <c r="AG13" s="474" t="s">
        <v>1071</v>
      </c>
      <c r="AH13" s="474"/>
      <c r="AI13" s="474">
        <v>60</v>
      </c>
      <c r="AJ13" s="475" t="s">
        <v>1777</v>
      </c>
      <c r="AK13" s="475" t="s">
        <v>50</v>
      </c>
      <c r="AL13" s="483" t="s">
        <v>1778</v>
      </c>
      <c r="AM13" s="474" t="s">
        <v>52</v>
      </c>
      <c r="AN13" s="384" t="s">
        <v>50</v>
      </c>
      <c r="AO13" s="474" t="s">
        <v>1076</v>
      </c>
      <c r="AP13" s="482" t="s">
        <v>38</v>
      </c>
      <c r="AQ13" s="474" t="s">
        <v>37</v>
      </c>
      <c r="AR13" s="474"/>
      <c r="AS13" s="473"/>
      <c r="AT13" s="473"/>
      <c r="AU13" s="472"/>
      <c r="AV13" s="471" t="str">
        <f t="shared" si="3"/>
        <v>30397472F</v>
      </c>
      <c r="AW13" s="471" cm="1">
        <f t="array" ref="AW13">SUM(MID(0&amp;AV13,LARGE(INDEX(ISNUMBER(--MID(AV13,ROW($1:$8),1))*ROW($1:$8),),ROW($1:$8))+1,1)*10^ROW($1:$8)/10)</f>
        <v>30397472</v>
      </c>
      <c r="AX13" s="471" t="str">
        <f>VLOOKUP($AW13,'Item Master Data'!$A:$F,3,FALSE)</f>
        <v>Q.PEAK DUO XL G10</v>
      </c>
      <c r="AY13" s="471">
        <f>VLOOKUP($AW13,'Item Master Data'!$A:$F,6,FALSE)</f>
        <v>480</v>
      </c>
      <c r="AZ13" s="471">
        <f t="shared" si="4"/>
        <v>22</v>
      </c>
      <c r="BA13" s="471">
        <f>VLOOKUP(AW13,'Item Master Data'!$A:$G,7,FALSE)</f>
        <v>29</v>
      </c>
      <c r="BB13" s="471"/>
      <c r="BC13" s="471">
        <f t="shared" si="5"/>
        <v>0</v>
      </c>
    </row>
    <row r="14" spans="1:55">
      <c r="A14" s="495"/>
      <c r="B14" s="407">
        <v>44627</v>
      </c>
      <c r="C14" s="407">
        <v>44628</v>
      </c>
      <c r="D14" s="474" t="s">
        <v>86</v>
      </c>
      <c r="E14" s="336"/>
      <c r="F14" s="474"/>
      <c r="G14" s="380">
        <v>2022</v>
      </c>
      <c r="H14" s="474">
        <v>3</v>
      </c>
      <c r="I14" s="474">
        <v>127762</v>
      </c>
      <c r="J14" s="475">
        <v>44648</v>
      </c>
      <c r="K14" s="474" t="s">
        <v>1820</v>
      </c>
      <c r="L14" s="474" t="s">
        <v>1821</v>
      </c>
      <c r="M14" s="475">
        <v>44551</v>
      </c>
      <c r="N14" s="475">
        <v>44641</v>
      </c>
      <c r="O14" s="475"/>
      <c r="P14" s="475">
        <v>44628</v>
      </c>
      <c r="Q14" s="475">
        <v>44648</v>
      </c>
      <c r="R14" s="475">
        <v>44650</v>
      </c>
      <c r="S14" s="474" t="s">
        <v>1704</v>
      </c>
      <c r="T14" s="474">
        <v>60</v>
      </c>
      <c r="U14" s="486" t="s">
        <v>1281</v>
      </c>
      <c r="V14" s="474" t="s">
        <v>973</v>
      </c>
      <c r="W14" s="474">
        <v>400</v>
      </c>
      <c r="X14" s="432">
        <v>768</v>
      </c>
      <c r="Y14" s="389">
        <f t="shared" si="0"/>
        <v>307200</v>
      </c>
      <c r="Z14" s="478">
        <f>220/400</f>
        <v>0.55000000000000004</v>
      </c>
      <c r="AA14" s="479">
        <f t="shared" si="1"/>
        <v>168960</v>
      </c>
      <c r="AB14" s="480"/>
      <c r="AC14" s="481">
        <f t="shared" si="6"/>
        <v>0</v>
      </c>
      <c r="AD14" s="474"/>
      <c r="AE14" s="474"/>
      <c r="AF14" s="493">
        <f t="shared" si="2"/>
        <v>168960</v>
      </c>
      <c r="AG14" s="474" t="s">
        <v>1071</v>
      </c>
      <c r="AH14" s="474"/>
      <c r="AI14" s="474">
        <v>60</v>
      </c>
      <c r="AJ14" s="475" t="s">
        <v>1822</v>
      </c>
      <c r="AK14" s="475" t="s">
        <v>1823</v>
      </c>
      <c r="AL14" s="483" t="s">
        <v>1824</v>
      </c>
      <c r="AM14" s="474" t="s">
        <v>52</v>
      </c>
      <c r="AN14" s="384" t="s">
        <v>50</v>
      </c>
      <c r="AO14" s="474" t="s">
        <v>1076</v>
      </c>
      <c r="AP14" s="482" t="s">
        <v>38</v>
      </c>
      <c r="AQ14" s="482" t="s">
        <v>37</v>
      </c>
      <c r="AR14" s="482"/>
      <c r="AS14" s="473"/>
      <c r="AT14" s="473"/>
      <c r="AU14" s="478">
        <f>200/400</f>
        <v>0.5</v>
      </c>
      <c r="AV14" s="471" t="str">
        <f t="shared" si="3"/>
        <v>30390456H</v>
      </c>
      <c r="AW14" s="471" cm="1">
        <f t="array" ref="AW14">SUM(MID(0&amp;AV14,LARGE(INDEX(ISNUMBER(--MID(AV14,ROW($1:$8),1))*ROW($1:$8),),ROW($1:$8))+1,1)*10^ROW($1:$8)/10)</f>
        <v>30390456</v>
      </c>
      <c r="AX14" s="471" t="str">
        <f>VLOOKUP($AW14,'Item Master Data'!$A:$F,3,FALSE)</f>
        <v>Q.PEAK DUO BLK ML G10+</v>
      </c>
      <c r="AY14" s="471">
        <f>VLOOKUP($AW14,'Item Master Data'!$A:$F,6,FALSE)</f>
        <v>400</v>
      </c>
      <c r="AZ14" s="471">
        <f t="shared" si="4"/>
        <v>24</v>
      </c>
      <c r="BA14" s="471">
        <f>VLOOKUP(AW14,'Item Master Data'!$A:$G,7,FALSE)</f>
        <v>32</v>
      </c>
      <c r="BB14" s="471"/>
      <c r="BC14" s="471">
        <f t="shared" si="5"/>
        <v>0</v>
      </c>
    </row>
    <row r="15" spans="1:55">
      <c r="A15" s="495"/>
      <c r="B15" s="407">
        <v>44628</v>
      </c>
      <c r="C15" s="407">
        <v>44628</v>
      </c>
      <c r="D15" s="485" t="s">
        <v>86</v>
      </c>
      <c r="E15" s="474"/>
      <c r="F15" s="486"/>
      <c r="G15" s="380">
        <v>2022</v>
      </c>
      <c r="H15" s="474">
        <v>3</v>
      </c>
      <c r="I15" s="474">
        <v>127740</v>
      </c>
      <c r="J15" s="475">
        <v>44651</v>
      </c>
      <c r="K15" s="474" t="s">
        <v>1825</v>
      </c>
      <c r="L15" s="474" t="s">
        <v>1798</v>
      </c>
      <c r="M15" s="475">
        <v>44538</v>
      </c>
      <c r="N15" s="475">
        <v>44538</v>
      </c>
      <c r="O15" s="475">
        <v>44648</v>
      </c>
      <c r="P15" s="475">
        <v>44628</v>
      </c>
      <c r="Q15" s="475">
        <v>44651</v>
      </c>
      <c r="R15" s="475">
        <v>44656</v>
      </c>
      <c r="S15" s="474" t="s">
        <v>1688</v>
      </c>
      <c r="T15" s="474">
        <v>60</v>
      </c>
      <c r="U15" s="486">
        <v>49204132</v>
      </c>
      <c r="V15" s="474" t="s">
        <v>1223</v>
      </c>
      <c r="W15" s="474">
        <v>360</v>
      </c>
      <c r="X15" s="432">
        <v>676</v>
      </c>
      <c r="Y15" s="389">
        <f t="shared" si="0"/>
        <v>243360</v>
      </c>
      <c r="Z15" s="478">
        <f>298.8/360</f>
        <v>0.83000000000000007</v>
      </c>
      <c r="AA15" s="480">
        <f t="shared" si="1"/>
        <v>201988.80000000002</v>
      </c>
      <c r="AB15" s="480"/>
      <c r="AC15" s="481">
        <f t="shared" si="6"/>
        <v>0</v>
      </c>
      <c r="AD15" s="474"/>
      <c r="AE15" s="474"/>
      <c r="AF15" s="493">
        <f t="shared" si="2"/>
        <v>201988.80000000002</v>
      </c>
      <c r="AG15" s="474" t="s">
        <v>1071</v>
      </c>
      <c r="AH15" s="474"/>
      <c r="AI15" s="474">
        <v>60</v>
      </c>
      <c r="AJ15" s="475" t="s">
        <v>1799</v>
      </c>
      <c r="AK15" s="475" t="s">
        <v>50</v>
      </c>
      <c r="AL15" s="483">
        <v>91311</v>
      </c>
      <c r="AM15" s="474" t="s">
        <v>52</v>
      </c>
      <c r="AN15" s="384" t="s">
        <v>1695</v>
      </c>
      <c r="AO15" s="474" t="s">
        <v>1076</v>
      </c>
      <c r="AP15" s="482"/>
      <c r="AQ15" s="474" t="s">
        <v>37</v>
      </c>
      <c r="AR15" s="474"/>
      <c r="AS15" s="473"/>
      <c r="AT15" s="473"/>
      <c r="AU15" s="478"/>
      <c r="AV15" s="471">
        <f t="shared" si="3"/>
        <v>49204132</v>
      </c>
      <c r="AW15" s="471" cm="1">
        <f t="array" ref="AW15">SUM(MID(0&amp;AV15,LARGE(INDEX(ISNUMBER(--MID(AV15,ROW($1:$8),1))*ROW($1:$8),),ROW($1:$8))+1,1)*10^ROW($1:$8)/10)</f>
        <v>49204132</v>
      </c>
      <c r="AX15" s="471" t="str">
        <f>VLOOKUP($AW15,'Item Master Data'!$A:$F,3,FALSE)</f>
        <v>Q.PEAK DUO BLK G10+/AC</v>
      </c>
      <c r="AY15" s="471">
        <f>VLOOKUP($AW15,'Item Master Data'!$A:$F,6,FALSE)</f>
        <v>360</v>
      </c>
      <c r="AZ15" s="471">
        <f t="shared" si="4"/>
        <v>26</v>
      </c>
      <c r="BA15" s="471">
        <f>VLOOKUP(AW15,'Item Master Data'!$A:$G,7,FALSE)</f>
        <v>26</v>
      </c>
      <c r="BB15" s="471"/>
      <c r="BC15" s="471">
        <f t="shared" si="5"/>
        <v>0</v>
      </c>
    </row>
    <row r="16" spans="1:55">
      <c r="A16" s="495"/>
      <c r="B16" s="407">
        <v>44656</v>
      </c>
      <c r="C16" s="407">
        <v>44656</v>
      </c>
      <c r="D16" s="485" t="s">
        <v>86</v>
      </c>
      <c r="E16" s="474"/>
      <c r="F16" s="486"/>
      <c r="G16" s="380">
        <v>2022</v>
      </c>
      <c r="H16" s="474">
        <v>3</v>
      </c>
      <c r="I16" s="474">
        <v>127763</v>
      </c>
      <c r="J16" s="475">
        <v>44651</v>
      </c>
      <c r="K16" s="474" t="s">
        <v>1868</v>
      </c>
      <c r="L16" s="474" t="s">
        <v>1832</v>
      </c>
      <c r="M16" s="475">
        <v>44505</v>
      </c>
      <c r="N16" s="475">
        <v>44589</v>
      </c>
      <c r="O16" s="475">
        <v>44648</v>
      </c>
      <c r="P16" s="475">
        <v>44630</v>
      </c>
      <c r="Q16" s="475">
        <v>44651</v>
      </c>
      <c r="R16" s="475">
        <v>44655</v>
      </c>
      <c r="S16" s="474" t="s">
        <v>1704</v>
      </c>
      <c r="T16" s="474">
        <v>60</v>
      </c>
      <c r="U16" s="486">
        <v>49204132</v>
      </c>
      <c r="V16" s="474" t="s">
        <v>1223</v>
      </c>
      <c r="W16" s="474">
        <v>360</v>
      </c>
      <c r="X16" s="432">
        <v>1924</v>
      </c>
      <c r="Y16" s="389">
        <f t="shared" si="0"/>
        <v>692640</v>
      </c>
      <c r="Z16" s="478">
        <f>298.8/360</f>
        <v>0.83000000000000007</v>
      </c>
      <c r="AA16" s="480">
        <f t="shared" si="1"/>
        <v>574891.20000000007</v>
      </c>
      <c r="AB16" s="480"/>
      <c r="AC16" s="481">
        <v>0</v>
      </c>
      <c r="AD16" s="474"/>
      <c r="AE16" s="474"/>
      <c r="AF16" s="493">
        <f t="shared" si="2"/>
        <v>574891.20000000007</v>
      </c>
      <c r="AG16" s="474" t="s">
        <v>1071</v>
      </c>
      <c r="AH16" s="474"/>
      <c r="AI16" s="474">
        <v>60</v>
      </c>
      <c r="AJ16" s="475" t="s">
        <v>1853</v>
      </c>
      <c r="AK16" s="475" t="s">
        <v>50</v>
      </c>
      <c r="AL16" s="483" t="s">
        <v>1854</v>
      </c>
      <c r="AM16" s="474" t="s">
        <v>52</v>
      </c>
      <c r="AN16" s="384" t="s">
        <v>1695</v>
      </c>
      <c r="AO16" s="474" t="s">
        <v>1076</v>
      </c>
      <c r="AP16" s="482"/>
      <c r="AQ16" s="474" t="s">
        <v>37</v>
      </c>
      <c r="AR16" s="474"/>
      <c r="AS16" s="473" t="s">
        <v>1075</v>
      </c>
      <c r="AT16" s="473"/>
      <c r="AU16" s="478"/>
      <c r="AV16" s="471">
        <f t="shared" si="3"/>
        <v>49204132</v>
      </c>
      <c r="AW16" s="471" cm="1">
        <f t="array" ref="AW16">SUM(MID(0&amp;AV16,LARGE(INDEX(ISNUMBER(--MID(AV16,ROW($1:$8),1))*ROW($1:$8),),ROW($1:$8))+1,1)*10^ROW($1:$8)/10)</f>
        <v>49204132</v>
      </c>
      <c r="AX16" s="471" t="str">
        <f>VLOOKUP($AW16,'Item Master Data'!$A:$F,3,FALSE)</f>
        <v>Q.PEAK DUO BLK G10+/AC</v>
      </c>
      <c r="AY16" s="471">
        <f>VLOOKUP($AW16,'Item Master Data'!$A:$F,6,FALSE)</f>
        <v>360</v>
      </c>
      <c r="AZ16" s="471">
        <f t="shared" si="4"/>
        <v>74</v>
      </c>
      <c r="BA16" s="471">
        <f>VLOOKUP(AW16,'Item Master Data'!$A:$G,7,FALSE)</f>
        <v>26</v>
      </c>
      <c r="BB16" s="471"/>
      <c r="BC16" s="471">
        <f t="shared" si="5"/>
        <v>0</v>
      </c>
    </row>
    <row r="17" spans="1:55">
      <c r="A17" s="495"/>
      <c r="B17" s="407">
        <v>44644</v>
      </c>
      <c r="C17" s="407">
        <v>44644</v>
      </c>
      <c r="D17" s="485" t="s">
        <v>86</v>
      </c>
      <c r="E17" s="474"/>
      <c r="F17" s="486"/>
      <c r="G17" s="380">
        <v>2022</v>
      </c>
      <c r="H17" s="474">
        <v>3</v>
      </c>
      <c r="I17" s="474">
        <v>127744</v>
      </c>
      <c r="J17" s="475">
        <v>44645</v>
      </c>
      <c r="K17" s="474" t="s">
        <v>1994</v>
      </c>
      <c r="L17" s="474" t="s">
        <v>1842</v>
      </c>
      <c r="M17" s="475">
        <v>44510</v>
      </c>
      <c r="N17" s="475">
        <v>44571</v>
      </c>
      <c r="O17" s="475"/>
      <c r="P17" s="475">
        <v>44628</v>
      </c>
      <c r="Q17" s="475">
        <v>44645</v>
      </c>
      <c r="R17" s="475">
        <v>44650</v>
      </c>
      <c r="S17" s="474" t="s">
        <v>1688</v>
      </c>
      <c r="T17" s="474">
        <v>60</v>
      </c>
      <c r="U17" s="486">
        <v>49204132</v>
      </c>
      <c r="V17" s="474" t="s">
        <v>1223</v>
      </c>
      <c r="W17" s="474">
        <v>360</v>
      </c>
      <c r="X17" s="432">
        <v>1352</v>
      </c>
      <c r="Y17" s="389">
        <f t="shared" si="0"/>
        <v>486720</v>
      </c>
      <c r="Z17" s="478">
        <f>298.8/360</f>
        <v>0.83000000000000007</v>
      </c>
      <c r="AA17" s="480">
        <f t="shared" si="1"/>
        <v>403977.60000000003</v>
      </c>
      <c r="AB17" s="480"/>
      <c r="AC17" s="481">
        <f t="shared" ref="AC17:AC36" si="7">AB17*Y17</f>
        <v>0</v>
      </c>
      <c r="AD17" s="474"/>
      <c r="AE17" s="474"/>
      <c r="AF17" s="493">
        <f t="shared" si="2"/>
        <v>403977.60000000003</v>
      </c>
      <c r="AG17" s="474" t="s">
        <v>1071</v>
      </c>
      <c r="AH17" s="474"/>
      <c r="AI17" s="474">
        <v>60</v>
      </c>
      <c r="AJ17" s="475" t="s">
        <v>1863</v>
      </c>
      <c r="AK17" s="475" t="s">
        <v>50</v>
      </c>
      <c r="AL17" s="483" t="s">
        <v>5618</v>
      </c>
      <c r="AM17" s="474" t="s">
        <v>52</v>
      </c>
      <c r="AN17" s="384" t="s">
        <v>1695</v>
      </c>
      <c r="AO17" s="474" t="s">
        <v>1076</v>
      </c>
      <c r="AP17" s="482"/>
      <c r="AQ17" s="474" t="s">
        <v>37</v>
      </c>
      <c r="AR17" s="474" t="s">
        <v>1864</v>
      </c>
      <c r="AS17" s="473"/>
      <c r="AT17" s="473"/>
      <c r="AU17" s="478">
        <f>273.6/360</f>
        <v>0.76</v>
      </c>
      <c r="AV17" s="471">
        <f t="shared" si="3"/>
        <v>49204132</v>
      </c>
      <c r="AW17" s="471" cm="1">
        <f t="array" ref="AW17">SUM(MID(0&amp;AV17,LARGE(INDEX(ISNUMBER(--MID(AV17,ROW($1:$8),1))*ROW($1:$8),),ROW($1:$8))+1,1)*10^ROW($1:$8)/10)</f>
        <v>49204132</v>
      </c>
      <c r="AX17" s="471" t="str">
        <f>VLOOKUP($AW17,'Item Master Data'!$A:$F,3,FALSE)</f>
        <v>Q.PEAK DUO BLK G10+/AC</v>
      </c>
      <c r="AY17" s="471">
        <f>VLOOKUP($AW17,'Item Master Data'!$A:$F,6,FALSE)</f>
        <v>360</v>
      </c>
      <c r="AZ17" s="471">
        <f t="shared" si="4"/>
        <v>52</v>
      </c>
      <c r="BA17" s="471">
        <f>VLOOKUP(AW17,'Item Master Data'!$A:$G,7,FALSE)</f>
        <v>26</v>
      </c>
      <c r="BB17" s="471"/>
      <c r="BC17" s="471">
        <f t="shared" si="5"/>
        <v>0</v>
      </c>
    </row>
    <row r="18" spans="1:55">
      <c r="A18" s="495"/>
      <c r="B18" s="407">
        <v>44589</v>
      </c>
      <c r="C18" s="407">
        <v>44589</v>
      </c>
      <c r="D18" s="485" t="s">
        <v>86</v>
      </c>
      <c r="E18" s="474" t="s">
        <v>1818</v>
      </c>
      <c r="F18" s="486" t="s">
        <v>87</v>
      </c>
      <c r="G18" s="380">
        <v>2022</v>
      </c>
      <c r="H18" s="474">
        <v>3</v>
      </c>
      <c r="I18" s="474">
        <v>127262</v>
      </c>
      <c r="J18" s="475">
        <v>44635</v>
      </c>
      <c r="K18" s="474" t="s">
        <v>1885</v>
      </c>
      <c r="L18" s="474" t="s">
        <v>1842</v>
      </c>
      <c r="M18" s="475">
        <v>44511</v>
      </c>
      <c r="N18" s="475">
        <v>44641</v>
      </c>
      <c r="O18" s="475"/>
      <c r="P18" s="475">
        <v>44631</v>
      </c>
      <c r="Q18" s="475">
        <v>44635</v>
      </c>
      <c r="R18" s="475">
        <v>44636</v>
      </c>
      <c r="S18" s="474" t="s">
        <v>88</v>
      </c>
      <c r="T18" s="474">
        <v>72</v>
      </c>
      <c r="U18" s="486" t="s">
        <v>1103</v>
      </c>
      <c r="V18" s="474" t="s">
        <v>1002</v>
      </c>
      <c r="W18" s="474">
        <v>480</v>
      </c>
      <c r="X18" s="432">
        <v>638</v>
      </c>
      <c r="Y18" s="389">
        <f t="shared" si="0"/>
        <v>306240</v>
      </c>
      <c r="Z18" s="478">
        <f>225.6/480</f>
        <v>0.47</v>
      </c>
      <c r="AA18" s="480">
        <f t="shared" si="1"/>
        <v>143932.79999999999</v>
      </c>
      <c r="AB18" s="480"/>
      <c r="AC18" s="481">
        <f t="shared" si="7"/>
        <v>0</v>
      </c>
      <c r="AD18" s="474"/>
      <c r="AE18" s="398"/>
      <c r="AF18" s="493">
        <f t="shared" si="2"/>
        <v>143932.79999999999</v>
      </c>
      <c r="AG18" s="474" t="s">
        <v>1071</v>
      </c>
      <c r="AH18" s="474"/>
      <c r="AI18" s="474">
        <v>60</v>
      </c>
      <c r="AJ18" s="475" t="s">
        <v>1860</v>
      </c>
      <c r="AK18" s="475" t="s">
        <v>50</v>
      </c>
      <c r="AL18" s="483">
        <v>93703</v>
      </c>
      <c r="AM18" s="474" t="s">
        <v>52</v>
      </c>
      <c r="AN18" s="384" t="s">
        <v>50</v>
      </c>
      <c r="AO18" s="474" t="s">
        <v>1076</v>
      </c>
      <c r="AP18" s="482" t="s">
        <v>38</v>
      </c>
      <c r="AQ18" s="474" t="s">
        <v>37</v>
      </c>
      <c r="AR18" s="474"/>
      <c r="AS18" s="473" t="s">
        <v>1492</v>
      </c>
      <c r="AT18" s="473"/>
      <c r="AU18" s="478"/>
      <c r="AV18" s="471" t="str">
        <f t="shared" si="3"/>
        <v>30397472F</v>
      </c>
      <c r="AW18" s="471" cm="1">
        <f t="array" ref="AW18">SUM(MID(0&amp;AV18,LARGE(INDEX(ISNUMBER(--MID(AV18,ROW($1:$8),1))*ROW($1:$8),),ROW($1:$8))+1,1)*10^ROW($1:$8)/10)</f>
        <v>30397472</v>
      </c>
      <c r="AX18" s="471" t="str">
        <f>VLOOKUP($AW18,'Item Master Data'!$A:$F,3,FALSE)</f>
        <v>Q.PEAK DUO XL G10</v>
      </c>
      <c r="AY18" s="471">
        <f>VLOOKUP($AW18,'Item Master Data'!$A:$F,6,FALSE)</f>
        <v>480</v>
      </c>
      <c r="AZ18" s="471">
        <f t="shared" si="4"/>
        <v>22</v>
      </c>
      <c r="BA18" s="471">
        <f>VLOOKUP(AW18,'Item Master Data'!$A:$G,7,FALSE)</f>
        <v>29</v>
      </c>
      <c r="BB18" s="471"/>
      <c r="BC18" s="471">
        <f t="shared" si="5"/>
        <v>0</v>
      </c>
    </row>
    <row r="19" spans="1:55">
      <c r="A19" s="495"/>
      <c r="B19" s="407">
        <v>44629</v>
      </c>
      <c r="C19" s="407">
        <v>44630</v>
      </c>
      <c r="D19" s="485" t="s">
        <v>86</v>
      </c>
      <c r="E19" s="474" t="s">
        <v>1840</v>
      </c>
      <c r="F19" s="486"/>
      <c r="G19" s="380">
        <v>2022</v>
      </c>
      <c r="H19" s="474">
        <v>3</v>
      </c>
      <c r="I19" s="474">
        <v>127236</v>
      </c>
      <c r="J19" s="475">
        <v>44629</v>
      </c>
      <c r="K19" s="474" t="s">
        <v>1841</v>
      </c>
      <c r="L19" s="474" t="s">
        <v>1842</v>
      </c>
      <c r="M19" s="475">
        <v>44533</v>
      </c>
      <c r="N19" s="475">
        <v>44533</v>
      </c>
      <c r="O19" s="475"/>
      <c r="P19" s="475">
        <v>44620</v>
      </c>
      <c r="Q19" s="475">
        <v>44629</v>
      </c>
      <c r="R19" s="475">
        <v>44630</v>
      </c>
      <c r="S19" s="474" t="s">
        <v>1688</v>
      </c>
      <c r="T19" s="474">
        <v>60</v>
      </c>
      <c r="U19" s="486" t="s">
        <v>1843</v>
      </c>
      <c r="V19" s="474" t="s">
        <v>691</v>
      </c>
      <c r="W19" s="474">
        <v>340</v>
      </c>
      <c r="X19" s="432">
        <v>832</v>
      </c>
      <c r="Y19" s="389">
        <f t="shared" si="0"/>
        <v>282880</v>
      </c>
      <c r="Z19" s="478">
        <f>154.7/340</f>
        <v>0.45499999999999996</v>
      </c>
      <c r="AA19" s="480">
        <f t="shared" si="1"/>
        <v>128710.39999999999</v>
      </c>
      <c r="AB19" s="480"/>
      <c r="AC19" s="481">
        <f t="shared" si="7"/>
        <v>0</v>
      </c>
      <c r="AD19" s="474"/>
      <c r="AE19" s="474"/>
      <c r="AF19" s="493">
        <f t="shared" si="2"/>
        <v>128710.39999999999</v>
      </c>
      <c r="AG19" s="474" t="s">
        <v>1071</v>
      </c>
      <c r="AH19" s="474"/>
      <c r="AI19" s="474">
        <v>60</v>
      </c>
      <c r="AJ19" s="475" t="s">
        <v>1844</v>
      </c>
      <c r="AK19" s="475" t="s">
        <v>50</v>
      </c>
      <c r="AL19" s="483" t="s">
        <v>1845</v>
      </c>
      <c r="AM19" s="474" t="s">
        <v>52</v>
      </c>
      <c r="AN19" s="384" t="s">
        <v>50</v>
      </c>
      <c r="AO19" s="474" t="s">
        <v>1076</v>
      </c>
      <c r="AP19" s="482" t="s">
        <v>38</v>
      </c>
      <c r="AQ19" s="474" t="s">
        <v>1086</v>
      </c>
      <c r="AR19" s="474"/>
      <c r="AS19" s="473" t="s">
        <v>1492</v>
      </c>
      <c r="AT19" s="473"/>
      <c r="AU19" s="478"/>
      <c r="AV19" s="471" t="str">
        <f t="shared" si="3"/>
        <v>30376609C+</v>
      </c>
      <c r="AW19" s="471" cm="1">
        <f t="array" ref="AW19">SUM(MID(0&amp;AV19,LARGE(INDEX(ISNUMBER(--MID(AV19,ROW($1:$8),1))*ROW($1:$8),),ROW($1:$8))+1,1)*10^ROW($1:$8)/10)</f>
        <v>30376609</v>
      </c>
      <c r="AX19" s="471" t="str">
        <f>VLOOKUP($AW19,'Item Master Data'!$A:$F,3,FALSE)</f>
        <v>Q.PEAK DUO BLK G6+</v>
      </c>
      <c r="AY19" s="471">
        <f>VLOOKUP($AW19,'Item Master Data'!$A:$F,6,FALSE)</f>
        <v>340</v>
      </c>
      <c r="AZ19" s="471">
        <f t="shared" si="4"/>
        <v>26</v>
      </c>
      <c r="BA19" s="471">
        <f>VLOOKUP(AW19,'Item Master Data'!$A:$G,7,FALSE)</f>
        <v>32</v>
      </c>
      <c r="BB19" s="471"/>
      <c r="BC19" s="471">
        <f t="shared" si="5"/>
        <v>0</v>
      </c>
    </row>
    <row r="20" spans="1:55">
      <c r="A20" s="495"/>
      <c r="B20" s="407">
        <v>44629</v>
      </c>
      <c r="C20" s="407">
        <v>44630</v>
      </c>
      <c r="D20" s="485" t="s">
        <v>86</v>
      </c>
      <c r="E20" s="474" t="s">
        <v>1840</v>
      </c>
      <c r="F20" s="486"/>
      <c r="G20" s="380">
        <v>2022</v>
      </c>
      <c r="H20" s="474">
        <v>3</v>
      </c>
      <c r="I20" s="474">
        <v>127237</v>
      </c>
      <c r="J20" s="475">
        <v>44630</v>
      </c>
      <c r="K20" s="474" t="s">
        <v>1846</v>
      </c>
      <c r="L20" s="474" t="s">
        <v>1842</v>
      </c>
      <c r="M20" s="475">
        <v>44533</v>
      </c>
      <c r="N20" s="475">
        <v>44533</v>
      </c>
      <c r="O20" s="475"/>
      <c r="P20" s="475">
        <v>44620</v>
      </c>
      <c r="Q20" s="475">
        <v>44630</v>
      </c>
      <c r="R20" s="475">
        <v>44630</v>
      </c>
      <c r="S20" s="474" t="s">
        <v>1688</v>
      </c>
      <c r="T20" s="474">
        <v>60</v>
      </c>
      <c r="U20" s="486" t="s">
        <v>1843</v>
      </c>
      <c r="V20" s="474" t="s">
        <v>691</v>
      </c>
      <c r="W20" s="474">
        <v>340</v>
      </c>
      <c r="X20" s="432">
        <v>832</v>
      </c>
      <c r="Y20" s="389">
        <f t="shared" si="0"/>
        <v>282880</v>
      </c>
      <c r="Z20" s="478">
        <f>154.7/340</f>
        <v>0.45499999999999996</v>
      </c>
      <c r="AA20" s="480">
        <f t="shared" si="1"/>
        <v>128710.39999999999</v>
      </c>
      <c r="AB20" s="480"/>
      <c r="AC20" s="481">
        <f t="shared" si="7"/>
        <v>0</v>
      </c>
      <c r="AD20" s="474"/>
      <c r="AE20" s="474"/>
      <c r="AF20" s="493">
        <f t="shared" si="2"/>
        <v>128710.39999999999</v>
      </c>
      <c r="AG20" s="474" t="s">
        <v>1071</v>
      </c>
      <c r="AH20" s="474"/>
      <c r="AI20" s="474">
        <v>60</v>
      </c>
      <c r="AJ20" s="475" t="s">
        <v>1847</v>
      </c>
      <c r="AK20" s="475" t="s">
        <v>50</v>
      </c>
      <c r="AL20" s="483" t="s">
        <v>1848</v>
      </c>
      <c r="AM20" s="474" t="s">
        <v>52</v>
      </c>
      <c r="AN20" s="384" t="s">
        <v>50</v>
      </c>
      <c r="AO20" s="474" t="s">
        <v>1076</v>
      </c>
      <c r="AP20" s="482" t="s">
        <v>38</v>
      </c>
      <c r="AQ20" s="474" t="s">
        <v>1086</v>
      </c>
      <c r="AR20" s="474"/>
      <c r="AS20" s="473" t="s">
        <v>1492</v>
      </c>
      <c r="AT20" s="473"/>
      <c r="AU20" s="478"/>
      <c r="AV20" s="471" t="str">
        <f t="shared" si="3"/>
        <v>30376609C+</v>
      </c>
      <c r="AW20" s="471" cm="1">
        <f t="array" ref="AW20">SUM(MID(0&amp;AV20,LARGE(INDEX(ISNUMBER(--MID(AV20,ROW($1:$8),1))*ROW($1:$8),),ROW($1:$8))+1,1)*10^ROW($1:$8)/10)</f>
        <v>30376609</v>
      </c>
      <c r="AX20" s="471" t="str">
        <f>VLOOKUP($AW20,'Item Master Data'!$A:$F,3,FALSE)</f>
        <v>Q.PEAK DUO BLK G6+</v>
      </c>
      <c r="AY20" s="471">
        <f>VLOOKUP($AW20,'Item Master Data'!$A:$F,6,FALSE)</f>
        <v>340</v>
      </c>
      <c r="AZ20" s="471">
        <f t="shared" si="4"/>
        <v>26</v>
      </c>
      <c r="BA20" s="471">
        <f>VLOOKUP(AW20,'Item Master Data'!$A:$G,7,FALSE)</f>
        <v>32</v>
      </c>
      <c r="BB20" s="471"/>
      <c r="BC20" s="471">
        <f t="shared" si="5"/>
        <v>0</v>
      </c>
    </row>
    <row r="21" spans="1:55">
      <c r="A21" s="495"/>
      <c r="B21" s="407">
        <v>44629</v>
      </c>
      <c r="C21" s="407">
        <v>44630</v>
      </c>
      <c r="D21" s="485" t="s">
        <v>86</v>
      </c>
      <c r="E21" s="474" t="s">
        <v>1840</v>
      </c>
      <c r="F21" s="486"/>
      <c r="G21" s="380">
        <v>2022</v>
      </c>
      <c r="H21" s="474">
        <v>3</v>
      </c>
      <c r="I21" s="474">
        <v>127257</v>
      </c>
      <c r="J21" s="475">
        <v>44631</v>
      </c>
      <c r="K21" s="474" t="s">
        <v>1849</v>
      </c>
      <c r="L21" s="474" t="s">
        <v>1842</v>
      </c>
      <c r="M21" s="475">
        <v>44533</v>
      </c>
      <c r="N21" s="475">
        <v>44533</v>
      </c>
      <c r="O21" s="475"/>
      <c r="P21" s="475">
        <v>44620</v>
      </c>
      <c r="Q21" s="475">
        <v>44631</v>
      </c>
      <c r="R21" s="475">
        <v>44634</v>
      </c>
      <c r="S21" s="474" t="s">
        <v>1688</v>
      </c>
      <c r="T21" s="474">
        <v>60</v>
      </c>
      <c r="U21" s="486" t="s">
        <v>1843</v>
      </c>
      <c r="V21" s="474" t="s">
        <v>691</v>
      </c>
      <c r="W21" s="474">
        <v>340</v>
      </c>
      <c r="X21" s="432">
        <v>832</v>
      </c>
      <c r="Y21" s="389">
        <f t="shared" si="0"/>
        <v>282880</v>
      </c>
      <c r="Z21" s="478">
        <f>154.7/340</f>
        <v>0.45499999999999996</v>
      </c>
      <c r="AA21" s="480">
        <f t="shared" si="1"/>
        <v>128710.39999999999</v>
      </c>
      <c r="AB21" s="480"/>
      <c r="AC21" s="481">
        <f t="shared" si="7"/>
        <v>0</v>
      </c>
      <c r="AD21" s="474"/>
      <c r="AE21" s="474"/>
      <c r="AF21" s="493">
        <f t="shared" si="2"/>
        <v>128710.39999999999</v>
      </c>
      <c r="AG21" s="474" t="s">
        <v>1071</v>
      </c>
      <c r="AH21" s="474"/>
      <c r="AI21" s="474">
        <v>60</v>
      </c>
      <c r="AJ21" s="475" t="s">
        <v>1850</v>
      </c>
      <c r="AK21" s="475" t="s">
        <v>1144</v>
      </c>
      <c r="AL21" s="483" t="s">
        <v>1851</v>
      </c>
      <c r="AM21" s="474" t="s">
        <v>52</v>
      </c>
      <c r="AN21" s="384" t="s">
        <v>50</v>
      </c>
      <c r="AO21" s="474" t="s">
        <v>1076</v>
      </c>
      <c r="AP21" s="482" t="s">
        <v>38</v>
      </c>
      <c r="AQ21" s="474" t="s">
        <v>1086</v>
      </c>
      <c r="AR21" s="474"/>
      <c r="AS21" s="473" t="s">
        <v>1492</v>
      </c>
      <c r="AT21" s="473"/>
      <c r="AU21" s="478"/>
      <c r="AV21" s="471" t="str">
        <f t="shared" si="3"/>
        <v>30376609C+</v>
      </c>
      <c r="AW21" s="471" cm="1">
        <f t="array" ref="AW21">SUM(MID(0&amp;AV21,LARGE(INDEX(ISNUMBER(--MID(AV21,ROW($1:$8),1))*ROW($1:$8),),ROW($1:$8))+1,1)*10^ROW($1:$8)/10)</f>
        <v>30376609</v>
      </c>
      <c r="AX21" s="471" t="str">
        <f>VLOOKUP($AW21,'Item Master Data'!$A:$F,3,FALSE)</f>
        <v>Q.PEAK DUO BLK G6+</v>
      </c>
      <c r="AY21" s="471">
        <f>VLOOKUP($AW21,'Item Master Data'!$A:$F,6,FALSE)</f>
        <v>340</v>
      </c>
      <c r="AZ21" s="471">
        <f t="shared" si="4"/>
        <v>26</v>
      </c>
      <c r="BA21" s="471">
        <f>VLOOKUP(AW21,'Item Master Data'!$A:$G,7,FALSE)</f>
        <v>32</v>
      </c>
      <c r="BB21" s="471"/>
      <c r="BC21" s="471">
        <f t="shared" si="5"/>
        <v>0</v>
      </c>
    </row>
    <row r="22" spans="1:55">
      <c r="A22" s="495"/>
      <c r="B22" s="407">
        <v>44629</v>
      </c>
      <c r="C22" s="407">
        <v>44630</v>
      </c>
      <c r="D22" s="485" t="s">
        <v>86</v>
      </c>
      <c r="E22" s="474" t="s">
        <v>1840</v>
      </c>
      <c r="F22" s="486"/>
      <c r="G22" s="380">
        <v>2022</v>
      </c>
      <c r="H22" s="474">
        <v>3</v>
      </c>
      <c r="I22" s="474">
        <v>127419</v>
      </c>
      <c r="J22" s="475">
        <v>44638</v>
      </c>
      <c r="K22" s="474" t="s">
        <v>1867</v>
      </c>
      <c r="L22" s="474" t="s">
        <v>1842</v>
      </c>
      <c r="M22" s="475">
        <v>44533</v>
      </c>
      <c r="N22" s="475">
        <v>44533</v>
      </c>
      <c r="O22" s="475"/>
      <c r="P22" s="475">
        <v>44620</v>
      </c>
      <c r="Q22" s="475">
        <v>44638</v>
      </c>
      <c r="R22" s="475">
        <v>44641</v>
      </c>
      <c r="S22" s="474" t="s">
        <v>1688</v>
      </c>
      <c r="T22" s="474">
        <v>60</v>
      </c>
      <c r="U22" s="486" t="s">
        <v>1843</v>
      </c>
      <c r="V22" s="474" t="s">
        <v>691</v>
      </c>
      <c r="W22" s="474">
        <v>340</v>
      </c>
      <c r="X22" s="432">
        <v>832</v>
      </c>
      <c r="Y22" s="389">
        <f t="shared" si="0"/>
        <v>282880</v>
      </c>
      <c r="Z22" s="478">
        <f>154.7/340</f>
        <v>0.45499999999999996</v>
      </c>
      <c r="AA22" s="480">
        <f t="shared" si="1"/>
        <v>128710.39999999999</v>
      </c>
      <c r="AB22" s="480"/>
      <c r="AC22" s="481">
        <f t="shared" si="7"/>
        <v>0</v>
      </c>
      <c r="AD22" s="474"/>
      <c r="AE22" s="474"/>
      <c r="AF22" s="493">
        <f t="shared" si="2"/>
        <v>128710.39999999999</v>
      </c>
      <c r="AG22" s="474" t="s">
        <v>1071</v>
      </c>
      <c r="AH22" s="474"/>
      <c r="AI22" s="474">
        <v>60</v>
      </c>
      <c r="AJ22" s="475" t="s">
        <v>1844</v>
      </c>
      <c r="AK22" s="475" t="s">
        <v>50</v>
      </c>
      <c r="AL22" s="483" t="s">
        <v>1845</v>
      </c>
      <c r="AM22" s="474" t="s">
        <v>52</v>
      </c>
      <c r="AN22" s="384" t="s">
        <v>50</v>
      </c>
      <c r="AO22" s="474" t="s">
        <v>1076</v>
      </c>
      <c r="AP22" s="482" t="s">
        <v>38</v>
      </c>
      <c r="AQ22" s="474" t="s">
        <v>1086</v>
      </c>
      <c r="AR22" s="474"/>
      <c r="AS22" s="473" t="s">
        <v>1492</v>
      </c>
      <c r="AT22" s="473"/>
      <c r="AU22" s="478"/>
      <c r="AV22" s="471" t="str">
        <f t="shared" si="3"/>
        <v>30376609C+</v>
      </c>
      <c r="AW22" s="471" cm="1">
        <f t="array" ref="AW22">SUM(MID(0&amp;AV22,LARGE(INDEX(ISNUMBER(--MID(AV22,ROW($1:$8),1))*ROW($1:$8),),ROW($1:$8))+1,1)*10^ROW($1:$8)/10)</f>
        <v>30376609</v>
      </c>
      <c r="AX22" s="471" t="str">
        <f>VLOOKUP($AW22,'Item Master Data'!$A:$F,3,FALSE)</f>
        <v>Q.PEAK DUO BLK G6+</v>
      </c>
      <c r="AY22" s="471">
        <f>VLOOKUP($AW22,'Item Master Data'!$A:$F,6,FALSE)</f>
        <v>340</v>
      </c>
      <c r="AZ22" s="471">
        <f t="shared" si="4"/>
        <v>26</v>
      </c>
      <c r="BA22" s="471">
        <f>VLOOKUP(AW22,'Item Master Data'!$A:$G,7,FALSE)</f>
        <v>32</v>
      </c>
      <c r="BB22" s="471"/>
      <c r="BC22" s="471">
        <f t="shared" si="5"/>
        <v>0</v>
      </c>
    </row>
    <row r="23" spans="1:55">
      <c r="A23" s="495"/>
      <c r="B23" s="407">
        <v>44629</v>
      </c>
      <c r="C23" s="407">
        <v>44630</v>
      </c>
      <c r="D23" s="485" t="s">
        <v>86</v>
      </c>
      <c r="E23" s="474" t="s">
        <v>1840</v>
      </c>
      <c r="F23" s="486"/>
      <c r="G23" s="380">
        <v>2022</v>
      </c>
      <c r="H23" s="474">
        <v>3</v>
      </c>
      <c r="I23" s="474">
        <v>127573</v>
      </c>
      <c r="J23" s="475">
        <v>44648</v>
      </c>
      <c r="K23" s="474" t="s">
        <v>1886</v>
      </c>
      <c r="L23" s="474" t="s">
        <v>1842</v>
      </c>
      <c r="M23" s="475">
        <v>44533</v>
      </c>
      <c r="N23" s="475">
        <v>44533</v>
      </c>
      <c r="O23" s="475"/>
      <c r="P23" s="475">
        <v>44620</v>
      </c>
      <c r="Q23" s="475">
        <v>44648</v>
      </c>
      <c r="R23" s="475">
        <v>44648</v>
      </c>
      <c r="S23" s="474" t="s">
        <v>1688</v>
      </c>
      <c r="T23" s="474">
        <v>60</v>
      </c>
      <c r="U23" s="486" t="s">
        <v>1843</v>
      </c>
      <c r="V23" s="474" t="s">
        <v>691</v>
      </c>
      <c r="W23" s="474">
        <v>340</v>
      </c>
      <c r="X23" s="432">
        <v>832</v>
      </c>
      <c r="Y23" s="389">
        <f t="shared" si="0"/>
        <v>282880</v>
      </c>
      <c r="Z23" s="478">
        <f>154.7/340</f>
        <v>0.45499999999999996</v>
      </c>
      <c r="AA23" s="480">
        <f t="shared" si="1"/>
        <v>128710.39999999999</v>
      </c>
      <c r="AB23" s="480"/>
      <c r="AC23" s="481">
        <f t="shared" si="7"/>
        <v>0</v>
      </c>
      <c r="AD23" s="474"/>
      <c r="AE23" s="474"/>
      <c r="AF23" s="493">
        <f t="shared" si="2"/>
        <v>128710.39999999999</v>
      </c>
      <c r="AG23" s="474" t="s">
        <v>1071</v>
      </c>
      <c r="AH23" s="474"/>
      <c r="AI23" s="474">
        <v>60</v>
      </c>
      <c r="AJ23" s="475" t="s">
        <v>1847</v>
      </c>
      <c r="AK23" s="475" t="s">
        <v>50</v>
      </c>
      <c r="AL23" s="483" t="s">
        <v>1848</v>
      </c>
      <c r="AM23" s="474" t="s">
        <v>52</v>
      </c>
      <c r="AN23" s="384" t="s">
        <v>50</v>
      </c>
      <c r="AO23" s="474" t="s">
        <v>1076</v>
      </c>
      <c r="AP23" s="482" t="s">
        <v>38</v>
      </c>
      <c r="AQ23" s="474" t="s">
        <v>1086</v>
      </c>
      <c r="AR23" s="474"/>
      <c r="AS23" s="473" t="s">
        <v>1492</v>
      </c>
      <c r="AT23" s="473"/>
      <c r="AU23" s="478"/>
      <c r="AV23" s="471" t="str">
        <f t="shared" si="3"/>
        <v>30376609C+</v>
      </c>
      <c r="AW23" s="471" cm="1">
        <f t="array" ref="AW23">SUM(MID(0&amp;AV23,LARGE(INDEX(ISNUMBER(--MID(AV23,ROW($1:$8),1))*ROW($1:$8),),ROW($1:$8))+1,1)*10^ROW($1:$8)/10)</f>
        <v>30376609</v>
      </c>
      <c r="AX23" s="471" t="str">
        <f>VLOOKUP($AW23,'Item Master Data'!$A:$F,3,FALSE)</f>
        <v>Q.PEAK DUO BLK G6+</v>
      </c>
      <c r="AY23" s="471">
        <f>VLOOKUP($AW23,'Item Master Data'!$A:$F,6,FALSE)</f>
        <v>340</v>
      </c>
      <c r="AZ23" s="471">
        <f t="shared" si="4"/>
        <v>26</v>
      </c>
      <c r="BA23" s="471">
        <f>VLOOKUP(AW23,'Item Master Data'!$A:$G,7,FALSE)</f>
        <v>32</v>
      </c>
      <c r="BB23" s="471"/>
      <c r="BC23" s="471">
        <f t="shared" si="5"/>
        <v>0</v>
      </c>
    </row>
    <row r="24" spans="1:55">
      <c r="A24" s="495"/>
      <c r="B24" s="407">
        <v>44650</v>
      </c>
      <c r="C24" s="407">
        <v>44650</v>
      </c>
      <c r="D24" s="485" t="s">
        <v>86</v>
      </c>
      <c r="E24" s="474" t="s">
        <v>1891</v>
      </c>
      <c r="F24" s="486"/>
      <c r="G24" s="380">
        <v>2022</v>
      </c>
      <c r="H24" s="474">
        <v>3</v>
      </c>
      <c r="I24" s="474">
        <v>127741</v>
      </c>
      <c r="J24" s="475">
        <v>44650</v>
      </c>
      <c r="K24" s="474" t="s">
        <v>1892</v>
      </c>
      <c r="L24" s="474" t="s">
        <v>1878</v>
      </c>
      <c r="M24" s="475">
        <v>44490</v>
      </c>
      <c r="N24" s="475">
        <v>44576</v>
      </c>
      <c r="O24" s="475"/>
      <c r="P24" s="475">
        <v>44630</v>
      </c>
      <c r="Q24" s="475">
        <v>44650</v>
      </c>
      <c r="R24" s="475">
        <v>44659</v>
      </c>
      <c r="S24" s="474" t="s">
        <v>1688</v>
      </c>
      <c r="T24" s="474">
        <v>60</v>
      </c>
      <c r="U24" s="486">
        <v>49203132</v>
      </c>
      <c r="V24" s="474" t="s">
        <v>986</v>
      </c>
      <c r="W24" s="474">
        <v>360</v>
      </c>
      <c r="X24" s="432">
        <v>768</v>
      </c>
      <c r="Y24" s="389">
        <f t="shared" si="0"/>
        <v>276480</v>
      </c>
      <c r="Z24" s="348">
        <f>187.2/360</f>
        <v>0.52</v>
      </c>
      <c r="AA24" s="480">
        <f t="shared" si="1"/>
        <v>143769.60000000001</v>
      </c>
      <c r="AB24" s="480"/>
      <c r="AC24" s="481">
        <f t="shared" si="7"/>
        <v>0</v>
      </c>
      <c r="AD24" s="474"/>
      <c r="AE24" s="474"/>
      <c r="AF24" s="493">
        <f t="shared" si="2"/>
        <v>143769.60000000001</v>
      </c>
      <c r="AG24" s="474" t="s">
        <v>1071</v>
      </c>
      <c r="AH24" s="474"/>
      <c r="AI24" s="474">
        <v>60</v>
      </c>
      <c r="AJ24" s="475" t="s">
        <v>1880</v>
      </c>
      <c r="AK24" s="475" t="s">
        <v>1679</v>
      </c>
      <c r="AL24" s="483" t="s">
        <v>1881</v>
      </c>
      <c r="AM24" s="474" t="s">
        <v>52</v>
      </c>
      <c r="AN24" s="384" t="s">
        <v>1074</v>
      </c>
      <c r="AO24" s="474" t="s">
        <v>1076</v>
      </c>
      <c r="AP24" s="482"/>
      <c r="AQ24" s="474" t="s">
        <v>37</v>
      </c>
      <c r="AR24" s="474" t="s">
        <v>1890</v>
      </c>
      <c r="AS24" s="473" t="s">
        <v>1075</v>
      </c>
      <c r="AT24" s="473"/>
      <c r="AU24" s="478">
        <f>187.2/360</f>
        <v>0.52</v>
      </c>
      <c r="AV24" s="471">
        <f t="shared" si="3"/>
        <v>49203132</v>
      </c>
      <c r="AW24" s="471" cm="1">
        <f t="array" ref="AW24">SUM(MID(0&amp;AV24,LARGE(INDEX(ISNUMBER(--MID(AV24,ROW($1:$8),1))*ROW($1:$8),),ROW($1:$8))+1,1)*10^ROW($1:$8)/10)</f>
        <v>49203132</v>
      </c>
      <c r="AX24" s="471" t="str">
        <f>VLOOKUP($AW24,'Item Master Data'!$A:$F,3,FALSE)</f>
        <v>Q.PEAK DUO BLK G10+</v>
      </c>
      <c r="AY24" s="471">
        <f>VLOOKUP($AW24,'Item Master Data'!$A:$F,6,FALSE)</f>
        <v>360</v>
      </c>
      <c r="AZ24" s="471">
        <f t="shared" si="4"/>
        <v>24</v>
      </c>
      <c r="BA24" s="471">
        <f>VLOOKUP(AW24,'Item Master Data'!$A:$G,7,FALSE)</f>
        <v>32</v>
      </c>
      <c r="BB24" s="471"/>
      <c r="BC24" s="471">
        <f t="shared" si="5"/>
        <v>0</v>
      </c>
    </row>
    <row r="25" spans="1:55">
      <c r="A25" s="495">
        <v>10</v>
      </c>
      <c r="B25" s="407">
        <v>44571</v>
      </c>
      <c r="C25" s="407">
        <v>44630</v>
      </c>
      <c r="D25" s="485" t="s">
        <v>86</v>
      </c>
      <c r="E25" s="474" t="s">
        <v>1888</v>
      </c>
      <c r="F25" s="486"/>
      <c r="G25" s="380">
        <v>2022</v>
      </c>
      <c r="H25" s="474">
        <v>3</v>
      </c>
      <c r="I25" s="474">
        <v>127434</v>
      </c>
      <c r="J25" s="475">
        <v>44643</v>
      </c>
      <c r="K25" s="474" t="s">
        <v>1889</v>
      </c>
      <c r="L25" s="474" t="s">
        <v>1878</v>
      </c>
      <c r="M25" s="475">
        <v>44567</v>
      </c>
      <c r="N25" s="475">
        <v>44635</v>
      </c>
      <c r="O25" s="475"/>
      <c r="P25" s="475">
        <v>44630</v>
      </c>
      <c r="Q25" s="475">
        <v>44643</v>
      </c>
      <c r="R25" s="475">
        <v>44655</v>
      </c>
      <c r="S25" s="474" t="s">
        <v>1688</v>
      </c>
      <c r="T25" s="474">
        <v>60</v>
      </c>
      <c r="U25" s="486" t="s">
        <v>1247</v>
      </c>
      <c r="V25" s="474" t="s">
        <v>973</v>
      </c>
      <c r="W25" s="474">
        <v>400</v>
      </c>
      <c r="X25" s="432">
        <v>768</v>
      </c>
      <c r="Y25" s="389">
        <f t="shared" si="0"/>
        <v>307200</v>
      </c>
      <c r="Z25" s="478">
        <f>216/400</f>
        <v>0.54</v>
      </c>
      <c r="AA25" s="480">
        <f t="shared" si="1"/>
        <v>165888</v>
      </c>
      <c r="AB25" s="480"/>
      <c r="AC25" s="481">
        <f t="shared" si="7"/>
        <v>0</v>
      </c>
      <c r="AD25" s="474"/>
      <c r="AE25" s="474"/>
      <c r="AF25" s="493">
        <f t="shared" si="2"/>
        <v>165888</v>
      </c>
      <c r="AG25" s="474" t="s">
        <v>1071</v>
      </c>
      <c r="AH25" s="474"/>
      <c r="AI25" s="474">
        <v>60</v>
      </c>
      <c r="AJ25" s="475" t="s">
        <v>1880</v>
      </c>
      <c r="AK25" s="475" t="s">
        <v>1679</v>
      </c>
      <c r="AL25" s="483" t="s">
        <v>1881</v>
      </c>
      <c r="AM25" s="474" t="s">
        <v>52</v>
      </c>
      <c r="AN25" s="384" t="s">
        <v>50</v>
      </c>
      <c r="AO25" s="474" t="s">
        <v>1076</v>
      </c>
      <c r="AP25" s="482" t="s">
        <v>38</v>
      </c>
      <c r="AQ25" s="474" t="s">
        <v>37</v>
      </c>
      <c r="AR25" s="474" t="s">
        <v>1890</v>
      </c>
      <c r="AS25" s="473" t="s">
        <v>1075</v>
      </c>
      <c r="AT25" s="473"/>
      <c r="AU25" s="478">
        <f>216/400</f>
        <v>0.54</v>
      </c>
      <c r="AV25" s="471" t="str">
        <f t="shared" si="3"/>
        <v>30390456C</v>
      </c>
      <c r="AW25" s="471" cm="1">
        <f t="array" ref="AW25">SUM(MID(0&amp;AV25,LARGE(INDEX(ISNUMBER(--MID(AV25,ROW($1:$8),1))*ROW($1:$8),),ROW($1:$8))+1,1)*10^ROW($1:$8)/10)</f>
        <v>30390456</v>
      </c>
      <c r="AX25" s="471" t="str">
        <f>VLOOKUP($AW25,'Item Master Data'!$A:$F,3,FALSE)</f>
        <v>Q.PEAK DUO BLK ML G10+</v>
      </c>
      <c r="AY25" s="471">
        <f>VLOOKUP($AW25,'Item Master Data'!$A:$F,6,FALSE)</f>
        <v>400</v>
      </c>
      <c r="AZ25" s="471">
        <f t="shared" si="4"/>
        <v>24</v>
      </c>
      <c r="BA25" s="471">
        <f>VLOOKUP(AW25,'Item Master Data'!$A:$G,7,FALSE)</f>
        <v>32</v>
      </c>
      <c r="BB25" s="471"/>
      <c r="BC25" s="471">
        <f t="shared" si="5"/>
        <v>0</v>
      </c>
    </row>
    <row r="26" spans="1:55">
      <c r="A26" s="495"/>
      <c r="B26" s="407">
        <v>44628</v>
      </c>
      <c r="C26" s="407">
        <v>44628</v>
      </c>
      <c r="D26" s="474" t="s">
        <v>86</v>
      </c>
      <c r="E26" s="336" t="s">
        <v>1893</v>
      </c>
      <c r="F26" s="474"/>
      <c r="G26" s="380">
        <v>2022</v>
      </c>
      <c r="H26" s="474">
        <v>3</v>
      </c>
      <c r="I26" s="486">
        <v>127437</v>
      </c>
      <c r="J26" s="475">
        <v>44643</v>
      </c>
      <c r="K26" s="474" t="s">
        <v>1894</v>
      </c>
      <c r="L26" s="474" t="s">
        <v>1895</v>
      </c>
      <c r="M26" s="475">
        <v>44588</v>
      </c>
      <c r="N26" s="475">
        <v>44619</v>
      </c>
      <c r="O26" s="475"/>
      <c r="P26" s="475">
        <v>44628</v>
      </c>
      <c r="Q26" s="475">
        <v>44643</v>
      </c>
      <c r="R26" s="475">
        <v>44645</v>
      </c>
      <c r="S26" s="474" t="s">
        <v>1704</v>
      </c>
      <c r="T26" s="474">
        <v>60</v>
      </c>
      <c r="U26" s="486" t="s">
        <v>1247</v>
      </c>
      <c r="V26" s="486" t="s">
        <v>973</v>
      </c>
      <c r="W26" s="474">
        <v>400</v>
      </c>
      <c r="X26" s="432">
        <v>768</v>
      </c>
      <c r="Y26" s="389">
        <f t="shared" si="0"/>
        <v>307200</v>
      </c>
      <c r="Z26" s="478">
        <f>220/400</f>
        <v>0.55000000000000004</v>
      </c>
      <c r="AA26" s="479">
        <f t="shared" si="1"/>
        <v>168960</v>
      </c>
      <c r="AB26" s="480"/>
      <c r="AC26" s="481">
        <f t="shared" si="7"/>
        <v>0</v>
      </c>
      <c r="AD26" s="474"/>
      <c r="AE26" s="482"/>
      <c r="AF26" s="493">
        <f t="shared" si="2"/>
        <v>168960</v>
      </c>
      <c r="AG26" s="486" t="s">
        <v>1071</v>
      </c>
      <c r="AH26" s="486"/>
      <c r="AI26" s="486">
        <v>60</v>
      </c>
      <c r="AJ26" s="475" t="s">
        <v>1896</v>
      </c>
      <c r="AK26" s="486" t="s">
        <v>1823</v>
      </c>
      <c r="AL26" s="483" t="s">
        <v>1897</v>
      </c>
      <c r="AM26" s="486" t="s">
        <v>52</v>
      </c>
      <c r="AN26" s="384" t="s">
        <v>50</v>
      </c>
      <c r="AO26" s="474" t="s">
        <v>1076</v>
      </c>
      <c r="AP26" s="482" t="s">
        <v>38</v>
      </c>
      <c r="AQ26" s="482" t="s">
        <v>37</v>
      </c>
      <c r="AR26" s="482" t="s">
        <v>1216</v>
      </c>
      <c r="AS26" s="472" t="s">
        <v>1492</v>
      </c>
      <c r="AT26" s="472"/>
      <c r="AU26" s="478">
        <f>208/400</f>
        <v>0.52</v>
      </c>
      <c r="AV26" s="471" t="str">
        <f t="shared" si="3"/>
        <v>30390456C</v>
      </c>
      <c r="AW26" s="471" cm="1">
        <f t="array" ref="AW26">SUM(MID(0&amp;AV26,LARGE(INDEX(ISNUMBER(--MID(AV26,ROW($1:$8),1))*ROW($1:$8),),ROW($1:$8))+1,1)*10^ROW($1:$8)/10)</f>
        <v>30390456</v>
      </c>
      <c r="AX26" s="471" t="str">
        <f>VLOOKUP($AW26,'Item Master Data'!$A:$F,3,FALSE)</f>
        <v>Q.PEAK DUO BLK ML G10+</v>
      </c>
      <c r="AY26" s="471">
        <f>VLOOKUP($AW26,'Item Master Data'!$A:$F,6,FALSE)</f>
        <v>400</v>
      </c>
      <c r="AZ26" s="471">
        <f t="shared" si="4"/>
        <v>24</v>
      </c>
      <c r="BA26" s="471">
        <f>VLOOKUP(AW26,'Item Master Data'!$A:$G,7,FALSE)</f>
        <v>32</v>
      </c>
      <c r="BB26" s="471"/>
      <c r="BC26" s="471">
        <f t="shared" si="5"/>
        <v>0</v>
      </c>
    </row>
    <row r="27" spans="1:55">
      <c r="A27" s="495"/>
      <c r="B27" s="407">
        <v>44628</v>
      </c>
      <c r="C27" s="407">
        <v>44628</v>
      </c>
      <c r="D27" s="474" t="s">
        <v>86</v>
      </c>
      <c r="E27" s="336"/>
      <c r="F27" s="485">
        <v>2</v>
      </c>
      <c r="G27" s="380">
        <v>2022</v>
      </c>
      <c r="H27" s="474">
        <v>3</v>
      </c>
      <c r="I27" s="474">
        <v>127742</v>
      </c>
      <c r="J27" s="475">
        <v>44650</v>
      </c>
      <c r="K27" s="474" t="s">
        <v>1898</v>
      </c>
      <c r="L27" s="474" t="s">
        <v>1895</v>
      </c>
      <c r="M27" s="475">
        <v>44588</v>
      </c>
      <c r="N27" s="475">
        <v>44619</v>
      </c>
      <c r="O27" s="475"/>
      <c r="P27" s="475">
        <v>44644</v>
      </c>
      <c r="Q27" s="475">
        <v>44650</v>
      </c>
      <c r="R27" s="475">
        <v>44655</v>
      </c>
      <c r="S27" s="474" t="s">
        <v>1704</v>
      </c>
      <c r="T27" s="474">
        <v>60</v>
      </c>
      <c r="U27" s="474">
        <v>49203132</v>
      </c>
      <c r="V27" s="486" t="s">
        <v>986</v>
      </c>
      <c r="W27" s="474">
        <v>360</v>
      </c>
      <c r="X27" s="432">
        <v>768</v>
      </c>
      <c r="Y27" s="389">
        <f t="shared" si="0"/>
        <v>276480</v>
      </c>
      <c r="Z27" s="478">
        <f>190.8/360</f>
        <v>0.53</v>
      </c>
      <c r="AA27" s="479">
        <f t="shared" si="1"/>
        <v>146534.39999999999</v>
      </c>
      <c r="AB27" s="480"/>
      <c r="AC27" s="481">
        <f t="shared" si="7"/>
        <v>0</v>
      </c>
      <c r="AD27" s="474"/>
      <c r="AE27" s="482"/>
      <c r="AF27" s="493">
        <f t="shared" si="2"/>
        <v>146534.39999999999</v>
      </c>
      <c r="AG27" s="486" t="s">
        <v>1071</v>
      </c>
      <c r="AH27" s="486"/>
      <c r="AI27" s="486">
        <v>60</v>
      </c>
      <c r="AJ27" s="475" t="s">
        <v>1899</v>
      </c>
      <c r="AK27" s="486" t="s">
        <v>1823</v>
      </c>
      <c r="AL27" s="483" t="s">
        <v>1900</v>
      </c>
      <c r="AM27" s="486" t="s">
        <v>52</v>
      </c>
      <c r="AN27" s="384" t="s">
        <v>1074</v>
      </c>
      <c r="AO27" s="474" t="s">
        <v>1076</v>
      </c>
      <c r="AP27" s="482"/>
      <c r="AQ27" s="482" t="s">
        <v>37</v>
      </c>
      <c r="AR27" s="482" t="s">
        <v>1216</v>
      </c>
      <c r="AS27" s="472" t="s">
        <v>1492</v>
      </c>
      <c r="AT27" s="472"/>
      <c r="AU27" s="478">
        <f>208/400</f>
        <v>0.52</v>
      </c>
      <c r="AV27" s="471">
        <f t="shared" si="3"/>
        <v>49203132</v>
      </c>
      <c r="AW27" s="471" cm="1">
        <f t="array" ref="AW27">SUM(MID(0&amp;AV27,LARGE(INDEX(ISNUMBER(--MID(AV27,ROW($1:$8),1))*ROW($1:$8),),ROW($1:$8))+1,1)*10^ROW($1:$8)/10)</f>
        <v>49203132</v>
      </c>
      <c r="AX27" s="471" t="str">
        <f>VLOOKUP($AW27,'Item Master Data'!$A:$F,3,FALSE)</f>
        <v>Q.PEAK DUO BLK G10+</v>
      </c>
      <c r="AY27" s="471">
        <f>VLOOKUP($AW27,'Item Master Data'!$A:$F,6,FALSE)</f>
        <v>360</v>
      </c>
      <c r="AZ27" s="471">
        <f t="shared" si="4"/>
        <v>24</v>
      </c>
      <c r="BA27" s="471">
        <f>VLOOKUP(AW27,'Item Master Data'!$A:$G,7,FALSE)</f>
        <v>32</v>
      </c>
      <c r="BB27" s="471"/>
      <c r="BC27" s="471">
        <f t="shared" si="5"/>
        <v>0</v>
      </c>
    </row>
    <row r="28" spans="1:55">
      <c r="A28" s="495"/>
      <c r="B28" s="407">
        <v>44655</v>
      </c>
      <c r="C28" s="407">
        <v>44645</v>
      </c>
      <c r="D28" s="485" t="s">
        <v>86</v>
      </c>
      <c r="E28" s="474" t="s">
        <v>1946</v>
      </c>
      <c r="F28" s="486" t="s">
        <v>1147</v>
      </c>
      <c r="G28" s="380">
        <v>2022</v>
      </c>
      <c r="H28" s="474">
        <v>3</v>
      </c>
      <c r="I28" s="474">
        <v>127642</v>
      </c>
      <c r="J28" s="475">
        <v>44650</v>
      </c>
      <c r="K28" s="474" t="s">
        <v>1947</v>
      </c>
      <c r="L28" s="474" t="s">
        <v>1912</v>
      </c>
      <c r="M28" s="475">
        <v>44644</v>
      </c>
      <c r="N28" s="475">
        <v>44644</v>
      </c>
      <c r="O28" s="475"/>
      <c r="P28" s="475">
        <v>44649</v>
      </c>
      <c r="Q28" s="475">
        <v>44650</v>
      </c>
      <c r="R28" s="475">
        <v>44650</v>
      </c>
      <c r="S28" s="474" t="s">
        <v>1688</v>
      </c>
      <c r="T28" s="474">
        <v>72</v>
      </c>
      <c r="U28" s="486" t="s">
        <v>1948</v>
      </c>
      <c r="V28" s="474" t="s">
        <v>1226</v>
      </c>
      <c r="W28" s="474">
        <v>475</v>
      </c>
      <c r="X28" s="432">
        <v>3</v>
      </c>
      <c r="Y28" s="389">
        <f t="shared" si="0"/>
        <v>1425</v>
      </c>
      <c r="Z28" s="348">
        <f>228/475</f>
        <v>0.48</v>
      </c>
      <c r="AA28" s="480">
        <f t="shared" si="1"/>
        <v>684</v>
      </c>
      <c r="AB28" s="480"/>
      <c r="AC28" s="481">
        <f t="shared" si="7"/>
        <v>0</v>
      </c>
      <c r="AD28" s="474"/>
      <c r="AE28" s="474"/>
      <c r="AF28" s="493">
        <f t="shared" si="2"/>
        <v>684</v>
      </c>
      <c r="AG28" s="474" t="s">
        <v>1949</v>
      </c>
      <c r="AH28" s="474"/>
      <c r="AI28" s="474">
        <v>60</v>
      </c>
      <c r="AJ28" s="475" t="s">
        <v>1950</v>
      </c>
      <c r="AK28" s="475" t="s">
        <v>50</v>
      </c>
      <c r="AL28" s="483" t="s">
        <v>1951</v>
      </c>
      <c r="AM28" s="474" t="s">
        <v>52</v>
      </c>
      <c r="AN28" s="384" t="s">
        <v>50</v>
      </c>
      <c r="AO28" s="474" t="s">
        <v>1076</v>
      </c>
      <c r="AP28" s="482" t="s">
        <v>38</v>
      </c>
      <c r="AQ28" s="474" t="s">
        <v>37</v>
      </c>
      <c r="AR28" s="474"/>
      <c r="AS28" s="473"/>
      <c r="AT28" s="473"/>
      <c r="AU28" s="478"/>
      <c r="AV28" s="471" t="str">
        <f t="shared" si="3"/>
        <v>30397871F</v>
      </c>
      <c r="AW28" s="471" cm="1">
        <f t="array" ref="AW28">SUM(MID(0&amp;AV28,LARGE(INDEX(ISNUMBER(--MID(AV28,ROW($1:$8),1))*ROW($1:$8),),ROW($1:$8))+1,1)*10^ROW($1:$8)/10)</f>
        <v>30397871</v>
      </c>
      <c r="AX28" s="471" t="str">
        <f>VLOOKUP($AW28,'Item Master Data'!$A:$F,3,FALSE)</f>
        <v>Q.PEAK DUO XL G10 BFG</v>
      </c>
      <c r="AY28" s="471">
        <f>VLOOKUP($AW28,'Item Master Data'!$A:$F,6,FALSE)</f>
        <v>475</v>
      </c>
      <c r="AZ28" s="471">
        <f t="shared" si="4"/>
        <v>0.10344827586206896</v>
      </c>
      <c r="BA28" s="471">
        <f>VLOOKUP(AW28,'Item Master Data'!$A:$G,7,FALSE)</f>
        <v>29</v>
      </c>
      <c r="BB28" s="471"/>
      <c r="BC28" s="471">
        <f t="shared" si="5"/>
        <v>0</v>
      </c>
    </row>
    <row r="29" spans="1:55">
      <c r="A29" s="495"/>
      <c r="B29" s="407">
        <v>44609</v>
      </c>
      <c r="C29" s="407">
        <v>44609</v>
      </c>
      <c r="D29" s="485" t="s">
        <v>86</v>
      </c>
      <c r="E29" s="474" t="s">
        <v>1818</v>
      </c>
      <c r="F29" s="486"/>
      <c r="G29" s="380">
        <v>2022</v>
      </c>
      <c r="H29" s="474">
        <v>3</v>
      </c>
      <c r="I29" s="474">
        <v>127191</v>
      </c>
      <c r="J29" s="475">
        <v>44627</v>
      </c>
      <c r="K29" s="474" t="s">
        <v>1945</v>
      </c>
      <c r="L29" s="474" t="s">
        <v>1912</v>
      </c>
      <c r="M29" s="475">
        <v>44608</v>
      </c>
      <c r="N29" s="475">
        <v>44608</v>
      </c>
      <c r="O29" s="475"/>
      <c r="P29" s="475">
        <v>44614</v>
      </c>
      <c r="Q29" s="475">
        <v>44627</v>
      </c>
      <c r="R29" s="475">
        <v>44627</v>
      </c>
      <c r="S29" s="474" t="s">
        <v>1688</v>
      </c>
      <c r="T29" s="474">
        <v>72</v>
      </c>
      <c r="U29" s="486" t="s">
        <v>1103</v>
      </c>
      <c r="V29" s="474" t="s">
        <v>1002</v>
      </c>
      <c r="W29" s="474">
        <v>480</v>
      </c>
      <c r="X29" s="432">
        <v>464</v>
      </c>
      <c r="Y29" s="389">
        <f t="shared" si="0"/>
        <v>222720</v>
      </c>
      <c r="Z29" s="478">
        <v>0.49</v>
      </c>
      <c r="AA29" s="480">
        <f t="shared" si="1"/>
        <v>109132.8</v>
      </c>
      <c r="AB29" s="480"/>
      <c r="AC29" s="481">
        <f t="shared" si="7"/>
        <v>0</v>
      </c>
      <c r="AD29" s="474"/>
      <c r="AE29" s="474"/>
      <c r="AF29" s="493">
        <f t="shared" si="2"/>
        <v>109132.8</v>
      </c>
      <c r="AG29" s="474" t="s">
        <v>1071</v>
      </c>
      <c r="AH29" s="474"/>
      <c r="AI29" s="474">
        <v>60</v>
      </c>
      <c r="AJ29" s="475" t="s">
        <v>1913</v>
      </c>
      <c r="AK29" s="475" t="s">
        <v>50</v>
      </c>
      <c r="AL29" s="483">
        <v>92507</v>
      </c>
      <c r="AM29" s="474" t="s">
        <v>52</v>
      </c>
      <c r="AN29" s="384" t="s">
        <v>50</v>
      </c>
      <c r="AO29" s="474" t="s">
        <v>1076</v>
      </c>
      <c r="AP29" s="482" t="s">
        <v>38</v>
      </c>
      <c r="AQ29" s="474" t="s">
        <v>37</v>
      </c>
      <c r="AR29" s="474"/>
      <c r="AS29" s="473"/>
      <c r="AT29" s="473"/>
      <c r="AU29" s="478"/>
      <c r="AV29" s="471" t="str">
        <f t="shared" si="3"/>
        <v>30397472F</v>
      </c>
      <c r="AW29" s="471" cm="1">
        <f t="array" ref="AW29">SUM(MID(0&amp;AV29,LARGE(INDEX(ISNUMBER(--MID(AV29,ROW($1:$8),1))*ROW($1:$8),),ROW($1:$8))+1,1)*10^ROW($1:$8)/10)</f>
        <v>30397472</v>
      </c>
      <c r="AX29" s="471" t="str">
        <f>VLOOKUP($AW29,'Item Master Data'!$A:$F,3,FALSE)</f>
        <v>Q.PEAK DUO XL G10</v>
      </c>
      <c r="AY29" s="471">
        <f>VLOOKUP($AW29,'Item Master Data'!$A:$F,6,FALSE)</f>
        <v>480</v>
      </c>
      <c r="AZ29" s="471">
        <f t="shared" si="4"/>
        <v>16</v>
      </c>
      <c r="BA29" s="471">
        <f>VLOOKUP(AW29,'Item Master Data'!$A:$G,7,FALSE)</f>
        <v>29</v>
      </c>
      <c r="BB29" s="471"/>
      <c r="BC29" s="471">
        <f t="shared" si="5"/>
        <v>0</v>
      </c>
    </row>
    <row r="30" spans="1:55">
      <c r="A30" s="495">
        <v>10</v>
      </c>
      <c r="B30" s="407">
        <v>44616</v>
      </c>
      <c r="C30" s="407">
        <v>44616</v>
      </c>
      <c r="D30" s="485" t="s">
        <v>86</v>
      </c>
      <c r="E30" s="474"/>
      <c r="F30" s="486" t="s">
        <v>1147</v>
      </c>
      <c r="G30" s="380">
        <v>2022</v>
      </c>
      <c r="H30" s="474">
        <v>3</v>
      </c>
      <c r="I30" s="474">
        <v>127412</v>
      </c>
      <c r="J30" s="475">
        <v>44642</v>
      </c>
      <c r="K30" s="474" t="s">
        <v>1955</v>
      </c>
      <c r="L30" s="474" t="s">
        <v>1956</v>
      </c>
      <c r="M30" s="475">
        <v>44477</v>
      </c>
      <c r="N30" s="475">
        <v>44627</v>
      </c>
      <c r="O30" s="475"/>
      <c r="P30" s="475">
        <v>44628</v>
      </c>
      <c r="Q30" s="475">
        <v>44642</v>
      </c>
      <c r="R30" s="475">
        <v>44643</v>
      </c>
      <c r="S30" s="474" t="s">
        <v>1957</v>
      </c>
      <c r="T30" s="474">
        <v>60</v>
      </c>
      <c r="U30" s="486" t="s">
        <v>1760</v>
      </c>
      <c r="V30" s="474" t="s">
        <v>973</v>
      </c>
      <c r="W30" s="474">
        <v>400</v>
      </c>
      <c r="X30" s="432">
        <v>1536</v>
      </c>
      <c r="Y30" s="389">
        <f t="shared" si="0"/>
        <v>614400</v>
      </c>
      <c r="Z30" s="478">
        <f>220/400</f>
        <v>0.55000000000000004</v>
      </c>
      <c r="AA30" s="480">
        <f t="shared" si="1"/>
        <v>337920</v>
      </c>
      <c r="AB30" s="480"/>
      <c r="AC30" s="481">
        <f t="shared" si="7"/>
        <v>0</v>
      </c>
      <c r="AD30" s="474"/>
      <c r="AE30" s="474"/>
      <c r="AF30" s="493">
        <f t="shared" si="2"/>
        <v>337920</v>
      </c>
      <c r="AG30" s="474" t="s">
        <v>1071</v>
      </c>
      <c r="AH30" s="474"/>
      <c r="AI30" s="474">
        <v>60</v>
      </c>
      <c r="AJ30" s="475" t="s">
        <v>1958</v>
      </c>
      <c r="AK30" s="475" t="s">
        <v>50</v>
      </c>
      <c r="AL30" s="483" t="s">
        <v>1959</v>
      </c>
      <c r="AM30" s="474" t="s">
        <v>52</v>
      </c>
      <c r="AN30" s="384" t="s">
        <v>50</v>
      </c>
      <c r="AO30" s="474" t="s">
        <v>1076</v>
      </c>
      <c r="AP30" s="482" t="s">
        <v>38</v>
      </c>
      <c r="AQ30" s="474" t="s">
        <v>37</v>
      </c>
      <c r="AR30" s="474" t="s">
        <v>1960</v>
      </c>
      <c r="AS30" s="473"/>
      <c r="AT30" s="473"/>
      <c r="AU30" s="478">
        <f>196/400</f>
        <v>0.49</v>
      </c>
      <c r="AV30" s="471" t="str">
        <f t="shared" si="3"/>
        <v>30390156H</v>
      </c>
      <c r="AW30" s="471" cm="1">
        <f t="array" ref="AW30">SUM(MID(0&amp;AV30,LARGE(INDEX(ISNUMBER(--MID(AV30,ROW($1:$8),1))*ROW($1:$8),),ROW($1:$8))+1,1)*10^ROW($1:$8)/10)</f>
        <v>30390156</v>
      </c>
      <c r="AX30" s="471" t="str">
        <f>VLOOKUP($AW30,'Item Master Data'!$A:$F,3,FALSE)</f>
        <v>Q.PEAK DUO BLK ML G10+</v>
      </c>
      <c r="AY30" s="471">
        <f>VLOOKUP($AW30,'Item Master Data'!$A:$F,6,FALSE)</f>
        <v>400</v>
      </c>
      <c r="AZ30" s="471">
        <f t="shared" si="4"/>
        <v>48</v>
      </c>
      <c r="BA30" s="471">
        <f>VLOOKUP(AW30,'Item Master Data'!$A:$G,7,FALSE)</f>
        <v>32</v>
      </c>
      <c r="BB30" s="471"/>
      <c r="BC30" s="471">
        <f t="shared" si="5"/>
        <v>0</v>
      </c>
    </row>
    <row r="31" spans="1:55">
      <c r="A31" s="495"/>
      <c r="B31" s="407">
        <v>44617</v>
      </c>
      <c r="C31" s="407">
        <v>44616</v>
      </c>
      <c r="D31" s="485" t="s">
        <v>86</v>
      </c>
      <c r="E31" s="474"/>
      <c r="F31" s="486"/>
      <c r="G31" s="380">
        <v>2022</v>
      </c>
      <c r="H31" s="474">
        <v>3</v>
      </c>
      <c r="I31" s="474">
        <v>127544</v>
      </c>
      <c r="J31" s="475">
        <v>44629</v>
      </c>
      <c r="K31" s="474" t="s">
        <v>1966</v>
      </c>
      <c r="L31" s="474" t="s">
        <v>1956</v>
      </c>
      <c r="M31" s="475">
        <v>44495</v>
      </c>
      <c r="N31" s="475">
        <v>44567</v>
      </c>
      <c r="O31" s="475">
        <v>44626</v>
      </c>
      <c r="P31" s="475">
        <v>44623</v>
      </c>
      <c r="Q31" s="475">
        <v>44629</v>
      </c>
      <c r="R31" s="475">
        <v>44634</v>
      </c>
      <c r="S31" s="474" t="s">
        <v>1957</v>
      </c>
      <c r="T31" s="474">
        <v>60</v>
      </c>
      <c r="U31" s="486">
        <v>49201132</v>
      </c>
      <c r="V31" s="474" t="s">
        <v>986</v>
      </c>
      <c r="W31" s="474">
        <v>360</v>
      </c>
      <c r="X31" s="432">
        <v>1664</v>
      </c>
      <c r="Y31" s="389">
        <f t="shared" si="0"/>
        <v>599040</v>
      </c>
      <c r="Z31" s="478">
        <f>190.8/360</f>
        <v>0.53</v>
      </c>
      <c r="AA31" s="480">
        <f t="shared" si="1"/>
        <v>317491.20000000001</v>
      </c>
      <c r="AB31" s="480"/>
      <c r="AC31" s="481">
        <f t="shared" si="7"/>
        <v>0</v>
      </c>
      <c r="AD31" s="474"/>
      <c r="AE31" s="474"/>
      <c r="AF31" s="493">
        <f t="shared" si="2"/>
        <v>317491.20000000001</v>
      </c>
      <c r="AG31" s="474" t="s">
        <v>1071</v>
      </c>
      <c r="AH31" s="474"/>
      <c r="AI31" s="474">
        <v>60</v>
      </c>
      <c r="AJ31" s="475" t="s">
        <v>1790</v>
      </c>
      <c r="AK31" s="475" t="s">
        <v>50</v>
      </c>
      <c r="AL31" s="483">
        <v>95834</v>
      </c>
      <c r="AM31" s="474" t="s">
        <v>52</v>
      </c>
      <c r="AN31" s="384" t="s">
        <v>1074</v>
      </c>
      <c r="AO31" s="474" t="s">
        <v>1076</v>
      </c>
      <c r="AP31" s="482"/>
      <c r="AQ31" s="474" t="s">
        <v>37</v>
      </c>
      <c r="AR31" s="474" t="s">
        <v>1216</v>
      </c>
      <c r="AS31" s="473" t="s">
        <v>1492</v>
      </c>
      <c r="AT31" s="473"/>
      <c r="AU31" s="478">
        <f>180/360</f>
        <v>0.5</v>
      </c>
      <c r="AV31" s="471">
        <f t="shared" si="3"/>
        <v>49201132</v>
      </c>
      <c r="AW31" s="471" cm="1">
        <f t="array" ref="AW31">SUM(MID(0&amp;AV31,LARGE(INDEX(ISNUMBER(--MID(AV31,ROW($1:$8),1))*ROW($1:$8),),ROW($1:$8))+1,1)*10^ROW($1:$8)/10)</f>
        <v>49201132</v>
      </c>
      <c r="AX31" s="471" t="str">
        <f>VLOOKUP($AW31,'Item Master Data'!$A:$F,3,FALSE)</f>
        <v>Q.PEAK DUO BLK G10+</v>
      </c>
      <c r="AY31" s="471">
        <f>VLOOKUP($AW31,'Item Master Data'!$A:$F,6,FALSE)</f>
        <v>360</v>
      </c>
      <c r="AZ31" s="471">
        <f t="shared" si="4"/>
        <v>52</v>
      </c>
      <c r="BA31" s="471">
        <f>VLOOKUP(AW31,'Item Master Data'!$A:$G,7,FALSE)</f>
        <v>32</v>
      </c>
      <c r="BB31" s="471"/>
      <c r="BC31" s="471">
        <f t="shared" si="5"/>
        <v>0</v>
      </c>
    </row>
    <row r="32" spans="1:55">
      <c r="A32" s="495"/>
      <c r="B32" s="407">
        <v>44617</v>
      </c>
      <c r="C32" s="407">
        <v>44616</v>
      </c>
      <c r="D32" s="485" t="s">
        <v>86</v>
      </c>
      <c r="E32" s="474" t="s">
        <v>1968</v>
      </c>
      <c r="F32" s="486"/>
      <c r="G32" s="380">
        <v>2022</v>
      </c>
      <c r="H32" s="474">
        <v>3</v>
      </c>
      <c r="I32" s="474">
        <v>127199</v>
      </c>
      <c r="J32" s="475">
        <v>44621</v>
      </c>
      <c r="K32" s="474" t="s">
        <v>1969</v>
      </c>
      <c r="L32" s="474" t="s">
        <v>1956</v>
      </c>
      <c r="M32" s="475">
        <v>44495</v>
      </c>
      <c r="N32" s="475">
        <v>44599</v>
      </c>
      <c r="O32" s="475">
        <v>44627</v>
      </c>
      <c r="P32" s="475">
        <v>44617</v>
      </c>
      <c r="Q32" s="475">
        <v>44621</v>
      </c>
      <c r="R32" s="475">
        <v>44624</v>
      </c>
      <c r="S32" s="474" t="s">
        <v>1957</v>
      </c>
      <c r="T32" s="474">
        <v>60</v>
      </c>
      <c r="U32" s="486">
        <v>49201132</v>
      </c>
      <c r="V32" s="474" t="s">
        <v>986</v>
      </c>
      <c r="W32" s="474">
        <v>360</v>
      </c>
      <c r="X32" s="432">
        <v>832</v>
      </c>
      <c r="Y32" s="389">
        <f t="shared" si="0"/>
        <v>299520</v>
      </c>
      <c r="Z32" s="478">
        <v>0.5</v>
      </c>
      <c r="AA32" s="480">
        <f t="shared" si="1"/>
        <v>149760</v>
      </c>
      <c r="AB32" s="480"/>
      <c r="AC32" s="481">
        <f t="shared" si="7"/>
        <v>0</v>
      </c>
      <c r="AD32" s="474"/>
      <c r="AE32" s="474"/>
      <c r="AF32" s="493">
        <f t="shared" si="2"/>
        <v>149760</v>
      </c>
      <c r="AG32" s="474" t="s">
        <v>1071</v>
      </c>
      <c r="AH32" s="474"/>
      <c r="AI32" s="474">
        <v>60</v>
      </c>
      <c r="AJ32" s="475" t="s">
        <v>1790</v>
      </c>
      <c r="AK32" s="475" t="s">
        <v>50</v>
      </c>
      <c r="AL32" s="483">
        <v>95834</v>
      </c>
      <c r="AM32" s="474" t="s">
        <v>52</v>
      </c>
      <c r="AN32" s="384" t="s">
        <v>1074</v>
      </c>
      <c r="AO32" s="474" t="s">
        <v>1076</v>
      </c>
      <c r="AP32" s="482"/>
      <c r="AQ32" s="474" t="s">
        <v>37</v>
      </c>
      <c r="AR32" s="474"/>
      <c r="AS32" s="473" t="s">
        <v>1492</v>
      </c>
      <c r="AT32" s="473"/>
      <c r="AU32" s="478"/>
      <c r="AV32" s="471">
        <f t="shared" si="3"/>
        <v>49201132</v>
      </c>
      <c r="AW32" s="471" cm="1">
        <f t="array" ref="AW32">SUM(MID(0&amp;AV32,LARGE(INDEX(ISNUMBER(--MID(AV32,ROW($1:$8),1))*ROW($1:$8),),ROW($1:$8))+1,1)*10^ROW($1:$8)/10)</f>
        <v>49201132</v>
      </c>
      <c r="AX32" s="471" t="str">
        <f>VLOOKUP($AW32,'Item Master Data'!$A:$F,3,FALSE)</f>
        <v>Q.PEAK DUO BLK G10+</v>
      </c>
      <c r="AY32" s="471">
        <f>VLOOKUP($AW32,'Item Master Data'!$A:$F,6,FALSE)</f>
        <v>360</v>
      </c>
      <c r="AZ32" s="471">
        <f t="shared" si="4"/>
        <v>26</v>
      </c>
      <c r="BA32" s="471">
        <f>VLOOKUP(AW32,'Item Master Data'!$A:$G,7,FALSE)</f>
        <v>32</v>
      </c>
      <c r="BB32" s="471"/>
      <c r="BC32" s="471">
        <f t="shared" si="5"/>
        <v>0</v>
      </c>
    </row>
    <row r="33" spans="1:55">
      <c r="A33" s="495">
        <v>10</v>
      </c>
      <c r="B33" s="407">
        <v>44617</v>
      </c>
      <c r="C33" s="407">
        <v>44616</v>
      </c>
      <c r="D33" s="485" t="s">
        <v>86</v>
      </c>
      <c r="E33" s="474" t="s">
        <v>1961</v>
      </c>
      <c r="F33" s="486"/>
      <c r="G33" s="380">
        <v>2022</v>
      </c>
      <c r="H33" s="474">
        <v>3</v>
      </c>
      <c r="I33" s="474">
        <v>127499</v>
      </c>
      <c r="J33" s="475">
        <v>44644</v>
      </c>
      <c r="K33" s="474" t="s">
        <v>1962</v>
      </c>
      <c r="L33" s="474" t="s">
        <v>1956</v>
      </c>
      <c r="M33" s="475">
        <v>44502</v>
      </c>
      <c r="N33" s="475">
        <v>44606</v>
      </c>
      <c r="O33" s="475">
        <v>44634</v>
      </c>
      <c r="P33" s="475">
        <v>44628</v>
      </c>
      <c r="Q33" s="475">
        <v>44644</v>
      </c>
      <c r="R33" s="475">
        <v>44644</v>
      </c>
      <c r="S33" s="474" t="s">
        <v>1957</v>
      </c>
      <c r="T33" s="474">
        <v>60</v>
      </c>
      <c r="U33" s="486" t="s">
        <v>1247</v>
      </c>
      <c r="V33" s="474" t="s">
        <v>973</v>
      </c>
      <c r="W33" s="474">
        <v>400</v>
      </c>
      <c r="X33" s="432">
        <v>768</v>
      </c>
      <c r="Y33" s="389">
        <f t="shared" si="0"/>
        <v>307200</v>
      </c>
      <c r="Z33" s="478">
        <f>220/400</f>
        <v>0.55000000000000004</v>
      </c>
      <c r="AA33" s="480">
        <f t="shared" si="1"/>
        <v>168960</v>
      </c>
      <c r="AB33" s="480"/>
      <c r="AC33" s="481">
        <f t="shared" si="7"/>
        <v>0</v>
      </c>
      <c r="AD33" s="474"/>
      <c r="AE33" s="474"/>
      <c r="AF33" s="493">
        <f t="shared" si="2"/>
        <v>168960</v>
      </c>
      <c r="AG33" s="474" t="s">
        <v>1071</v>
      </c>
      <c r="AH33" s="474"/>
      <c r="AI33" s="474">
        <v>60</v>
      </c>
      <c r="AJ33" s="475" t="s">
        <v>1958</v>
      </c>
      <c r="AK33" s="475" t="s">
        <v>50</v>
      </c>
      <c r="AL33" s="483" t="s">
        <v>1959</v>
      </c>
      <c r="AM33" s="474" t="s">
        <v>52</v>
      </c>
      <c r="AN33" s="384" t="s">
        <v>1963</v>
      </c>
      <c r="AO33" s="474" t="s">
        <v>1076</v>
      </c>
      <c r="AP33" s="482" t="s">
        <v>38</v>
      </c>
      <c r="AQ33" s="474" t="s">
        <v>37</v>
      </c>
      <c r="AR33" s="474" t="s">
        <v>1960</v>
      </c>
      <c r="AS33" s="473"/>
      <c r="AT33" s="473"/>
      <c r="AU33" s="478">
        <f>196/400</f>
        <v>0.49</v>
      </c>
      <c r="AV33" s="471" t="str">
        <f t="shared" si="3"/>
        <v>30390456C</v>
      </c>
      <c r="AW33" s="471" cm="1">
        <f t="array" ref="AW33">SUM(MID(0&amp;AV33,LARGE(INDEX(ISNUMBER(--MID(AV33,ROW($1:$8),1))*ROW($1:$8),),ROW($1:$8))+1,1)*10^ROW($1:$8)/10)</f>
        <v>30390456</v>
      </c>
      <c r="AX33" s="471" t="str">
        <f>VLOOKUP($AW33,'Item Master Data'!$A:$F,3,FALSE)</f>
        <v>Q.PEAK DUO BLK ML G10+</v>
      </c>
      <c r="AY33" s="471">
        <f>VLOOKUP($AW33,'Item Master Data'!$A:$F,6,FALSE)</f>
        <v>400</v>
      </c>
      <c r="AZ33" s="471">
        <f t="shared" si="4"/>
        <v>24</v>
      </c>
      <c r="BA33" s="471">
        <f>VLOOKUP(AW33,'Item Master Data'!$A:$G,7,FALSE)</f>
        <v>32</v>
      </c>
      <c r="BB33" s="471"/>
      <c r="BC33" s="471">
        <f t="shared" si="5"/>
        <v>0</v>
      </c>
    </row>
    <row r="34" spans="1:55">
      <c r="A34" s="495"/>
      <c r="B34" s="407">
        <v>44550</v>
      </c>
      <c r="C34" s="407">
        <v>44550</v>
      </c>
      <c r="D34" s="485" t="s">
        <v>86</v>
      </c>
      <c r="E34" s="474" t="s">
        <v>1818</v>
      </c>
      <c r="F34" s="486" t="s">
        <v>87</v>
      </c>
      <c r="G34" s="380">
        <v>2022</v>
      </c>
      <c r="H34" s="474">
        <v>3</v>
      </c>
      <c r="I34" s="474">
        <v>127495</v>
      </c>
      <c r="J34" s="475">
        <v>44644</v>
      </c>
      <c r="K34" s="474" t="s">
        <v>1995</v>
      </c>
      <c r="L34" s="474" t="s">
        <v>1699</v>
      </c>
      <c r="M34" s="475">
        <v>44550</v>
      </c>
      <c r="N34" s="475">
        <v>44630</v>
      </c>
      <c r="O34" s="475"/>
      <c r="P34" s="475">
        <v>44631</v>
      </c>
      <c r="Q34" s="475">
        <v>44644</v>
      </c>
      <c r="R34" s="475">
        <v>44645</v>
      </c>
      <c r="S34" s="474" t="s">
        <v>88</v>
      </c>
      <c r="T34" s="474">
        <v>72</v>
      </c>
      <c r="U34" s="486" t="s">
        <v>1103</v>
      </c>
      <c r="V34" s="474" t="s">
        <v>1104</v>
      </c>
      <c r="W34" s="474">
        <v>480</v>
      </c>
      <c r="X34" s="432">
        <v>1276</v>
      </c>
      <c r="Y34" s="389">
        <f t="shared" si="0"/>
        <v>612480</v>
      </c>
      <c r="Z34" s="478">
        <f>225.6/480</f>
        <v>0.47</v>
      </c>
      <c r="AA34" s="480">
        <f t="shared" si="1"/>
        <v>287865.59999999998</v>
      </c>
      <c r="AB34" s="480"/>
      <c r="AC34" s="481">
        <f t="shared" si="7"/>
        <v>0</v>
      </c>
      <c r="AD34" s="474"/>
      <c r="AE34" s="398"/>
      <c r="AF34" s="493">
        <f t="shared" si="2"/>
        <v>287865.59999999998</v>
      </c>
      <c r="AG34" s="474" t="s">
        <v>1071</v>
      </c>
      <c r="AH34" s="474"/>
      <c r="AI34" s="474">
        <v>60</v>
      </c>
      <c r="AJ34" s="475" t="s">
        <v>1700</v>
      </c>
      <c r="AK34" s="475" t="s">
        <v>50</v>
      </c>
      <c r="AL34" s="483">
        <v>92126</v>
      </c>
      <c r="AM34" s="474" t="s">
        <v>52</v>
      </c>
      <c r="AN34" s="384" t="s">
        <v>50</v>
      </c>
      <c r="AO34" s="474" t="s">
        <v>1076</v>
      </c>
      <c r="AP34" s="482" t="s">
        <v>38</v>
      </c>
      <c r="AQ34" s="474" t="s">
        <v>37</v>
      </c>
      <c r="AR34" s="474"/>
      <c r="AS34" s="473" t="s">
        <v>1492</v>
      </c>
      <c r="AT34" s="473"/>
      <c r="AU34" s="478"/>
      <c r="AV34" s="471" t="str">
        <f t="shared" si="3"/>
        <v>30397472F</v>
      </c>
      <c r="AW34" s="471" cm="1">
        <f t="array" ref="AW34">SUM(MID(0&amp;AV34,LARGE(INDEX(ISNUMBER(--MID(AV34,ROW($1:$8),1))*ROW($1:$8),),ROW($1:$8))+1,1)*10^ROW($1:$8)/10)</f>
        <v>30397472</v>
      </c>
      <c r="AX34" s="471" t="str">
        <f>VLOOKUP($AW34,'Item Master Data'!$A:$F,3,FALSE)</f>
        <v>Q.PEAK DUO XL G10</v>
      </c>
      <c r="AY34" s="471">
        <f>VLOOKUP($AW34,'Item Master Data'!$A:$F,6,FALSE)</f>
        <v>480</v>
      </c>
      <c r="AZ34" s="471">
        <f t="shared" si="4"/>
        <v>44</v>
      </c>
      <c r="BA34" s="471">
        <f>VLOOKUP(AW34,'Item Master Data'!$A:$G,7,FALSE)</f>
        <v>29</v>
      </c>
      <c r="BB34" s="471"/>
      <c r="BC34" s="471">
        <f t="shared" si="5"/>
        <v>0</v>
      </c>
    </row>
    <row r="35" spans="1:55">
      <c r="A35" s="495"/>
      <c r="B35" s="407">
        <v>44550</v>
      </c>
      <c r="C35" s="407">
        <v>44550</v>
      </c>
      <c r="D35" s="485" t="s">
        <v>86</v>
      </c>
      <c r="E35" s="474" t="s">
        <v>1818</v>
      </c>
      <c r="F35" s="486" t="s">
        <v>87</v>
      </c>
      <c r="G35" s="380">
        <v>2022</v>
      </c>
      <c r="H35" s="474">
        <v>3</v>
      </c>
      <c r="I35" s="474">
        <v>127643</v>
      </c>
      <c r="J35" s="475">
        <v>44650</v>
      </c>
      <c r="K35" s="474" t="s">
        <v>1995</v>
      </c>
      <c r="L35" s="474" t="s">
        <v>1699</v>
      </c>
      <c r="M35" s="475">
        <v>44550</v>
      </c>
      <c r="N35" s="475">
        <v>44630</v>
      </c>
      <c r="O35" s="475"/>
      <c r="P35" s="475">
        <v>44631</v>
      </c>
      <c r="Q35" s="475">
        <v>44650</v>
      </c>
      <c r="R35" s="475">
        <v>44651</v>
      </c>
      <c r="S35" s="474" t="s">
        <v>88</v>
      </c>
      <c r="T35" s="474">
        <v>72</v>
      </c>
      <c r="U35" s="486" t="s">
        <v>1103</v>
      </c>
      <c r="V35" s="474" t="s">
        <v>1104</v>
      </c>
      <c r="W35" s="474">
        <v>480</v>
      </c>
      <c r="X35" s="432">
        <v>638</v>
      </c>
      <c r="Y35" s="389">
        <f t="shared" si="0"/>
        <v>306240</v>
      </c>
      <c r="Z35" s="478">
        <f>225.6/480</f>
        <v>0.47</v>
      </c>
      <c r="AA35" s="480">
        <f t="shared" si="1"/>
        <v>143932.79999999999</v>
      </c>
      <c r="AB35" s="480"/>
      <c r="AC35" s="481">
        <f t="shared" si="7"/>
        <v>0</v>
      </c>
      <c r="AD35" s="474"/>
      <c r="AE35" s="398"/>
      <c r="AF35" s="493">
        <f t="shared" si="2"/>
        <v>143932.79999999999</v>
      </c>
      <c r="AG35" s="474" t="s">
        <v>1071</v>
      </c>
      <c r="AH35" s="474"/>
      <c r="AI35" s="474">
        <v>60</v>
      </c>
      <c r="AJ35" s="475" t="s">
        <v>1700</v>
      </c>
      <c r="AK35" s="475" t="s">
        <v>50</v>
      </c>
      <c r="AL35" s="483">
        <v>92126</v>
      </c>
      <c r="AM35" s="474" t="s">
        <v>52</v>
      </c>
      <c r="AN35" s="384" t="s">
        <v>50</v>
      </c>
      <c r="AO35" s="474" t="s">
        <v>1076</v>
      </c>
      <c r="AP35" s="482" t="s">
        <v>38</v>
      </c>
      <c r="AQ35" s="474" t="s">
        <v>37</v>
      </c>
      <c r="AR35" s="474"/>
      <c r="AS35" s="473" t="s">
        <v>1492</v>
      </c>
      <c r="AT35" s="473"/>
      <c r="AU35" s="478"/>
      <c r="AV35" s="471" t="str">
        <f t="shared" ref="AV35:AV66" si="8">U35</f>
        <v>30397472F</v>
      </c>
      <c r="AW35" s="471" cm="1">
        <f t="array" ref="AW35">SUM(MID(0&amp;AV35,LARGE(INDEX(ISNUMBER(--MID(AV35,ROW($1:$8),1))*ROW($1:$8),),ROW($1:$8))+1,1)*10^ROW($1:$8)/10)</f>
        <v>30397472</v>
      </c>
      <c r="AX35" s="471" t="str">
        <f>VLOOKUP($AW35,'Item Master Data'!$A:$F,3,FALSE)</f>
        <v>Q.PEAK DUO XL G10</v>
      </c>
      <c r="AY35" s="471">
        <f>VLOOKUP($AW35,'Item Master Data'!$A:$F,6,FALSE)</f>
        <v>480</v>
      </c>
      <c r="AZ35" s="471">
        <f t="shared" ref="AZ35:AZ66" si="9">X35/BA35</f>
        <v>22</v>
      </c>
      <c r="BA35" s="471">
        <f>VLOOKUP(AW35,'Item Master Data'!$A:$G,7,FALSE)</f>
        <v>29</v>
      </c>
      <c r="BB35" s="471"/>
      <c r="BC35" s="471">
        <f t="shared" ref="BC35:BC66" si="10">W35-AY35</f>
        <v>0</v>
      </c>
    </row>
    <row r="36" spans="1:55">
      <c r="A36" s="495"/>
      <c r="B36" s="407">
        <v>44550</v>
      </c>
      <c r="C36" s="407">
        <v>44550</v>
      </c>
      <c r="D36" s="485" t="s">
        <v>86</v>
      </c>
      <c r="E36" s="474" t="s">
        <v>1818</v>
      </c>
      <c r="F36" s="486" t="s">
        <v>87</v>
      </c>
      <c r="G36" s="380">
        <v>2022</v>
      </c>
      <c r="H36" s="474">
        <v>3</v>
      </c>
      <c r="I36" s="474">
        <v>127577</v>
      </c>
      <c r="J36" s="475">
        <v>44648</v>
      </c>
      <c r="K36" s="474" t="s">
        <v>1995</v>
      </c>
      <c r="L36" s="474" t="s">
        <v>1699</v>
      </c>
      <c r="M36" s="475">
        <v>44550</v>
      </c>
      <c r="N36" s="475">
        <v>44630</v>
      </c>
      <c r="O36" s="475"/>
      <c r="P36" s="475">
        <v>44631</v>
      </c>
      <c r="Q36" s="475">
        <v>44648</v>
      </c>
      <c r="R36" s="475">
        <v>44649</v>
      </c>
      <c r="S36" s="474" t="s">
        <v>88</v>
      </c>
      <c r="T36" s="474">
        <v>72</v>
      </c>
      <c r="U36" s="486" t="s">
        <v>1103</v>
      </c>
      <c r="V36" s="474" t="s">
        <v>1104</v>
      </c>
      <c r="W36" s="474">
        <v>480</v>
      </c>
      <c r="X36" s="432">
        <v>638</v>
      </c>
      <c r="Y36" s="389">
        <f t="shared" si="0"/>
        <v>306240</v>
      </c>
      <c r="Z36" s="478">
        <f>225.6/480</f>
        <v>0.47</v>
      </c>
      <c r="AA36" s="480">
        <f t="shared" si="1"/>
        <v>143932.79999999999</v>
      </c>
      <c r="AB36" s="480"/>
      <c r="AC36" s="481">
        <f t="shared" si="7"/>
        <v>0</v>
      </c>
      <c r="AD36" s="474"/>
      <c r="AE36" s="398"/>
      <c r="AF36" s="493">
        <f t="shared" si="2"/>
        <v>143932.79999999999</v>
      </c>
      <c r="AG36" s="474" t="s">
        <v>1071</v>
      </c>
      <c r="AH36" s="474"/>
      <c r="AI36" s="474">
        <v>60</v>
      </c>
      <c r="AJ36" s="475" t="s">
        <v>1700</v>
      </c>
      <c r="AK36" s="475" t="s">
        <v>50</v>
      </c>
      <c r="AL36" s="483">
        <v>92126</v>
      </c>
      <c r="AM36" s="474" t="s">
        <v>52</v>
      </c>
      <c r="AN36" s="384" t="s">
        <v>50</v>
      </c>
      <c r="AO36" s="474" t="s">
        <v>1076</v>
      </c>
      <c r="AP36" s="482" t="s">
        <v>38</v>
      </c>
      <c r="AQ36" s="474" t="s">
        <v>37</v>
      </c>
      <c r="AR36" s="474"/>
      <c r="AS36" s="473" t="s">
        <v>1492</v>
      </c>
      <c r="AT36" s="473"/>
      <c r="AU36" s="478"/>
      <c r="AV36" s="471" t="str">
        <f t="shared" si="8"/>
        <v>30397472F</v>
      </c>
      <c r="AW36" s="471" cm="1">
        <f t="array" ref="AW36">SUM(MID(0&amp;AV36,LARGE(INDEX(ISNUMBER(--MID(AV36,ROW($1:$8),1))*ROW($1:$8),),ROW($1:$8))+1,1)*10^ROW($1:$8)/10)</f>
        <v>30397472</v>
      </c>
      <c r="AX36" s="471" t="str">
        <f>VLOOKUP($AW36,'Item Master Data'!$A:$F,3,FALSE)</f>
        <v>Q.PEAK DUO XL G10</v>
      </c>
      <c r="AY36" s="471">
        <f>VLOOKUP($AW36,'Item Master Data'!$A:$F,6,FALSE)</f>
        <v>480</v>
      </c>
      <c r="AZ36" s="471">
        <f t="shared" si="9"/>
        <v>22</v>
      </c>
      <c r="BA36" s="471">
        <f>VLOOKUP(AW36,'Item Master Data'!$A:$G,7,FALSE)</f>
        <v>29</v>
      </c>
      <c r="BB36" s="471"/>
      <c r="BC36" s="471">
        <f t="shared" si="10"/>
        <v>0</v>
      </c>
    </row>
    <row r="37" spans="1:55">
      <c r="A37" s="495"/>
      <c r="B37" s="407">
        <v>44621</v>
      </c>
      <c r="C37" s="407">
        <v>44620</v>
      </c>
      <c r="D37" s="485" t="s">
        <v>86</v>
      </c>
      <c r="E37" s="474" t="s">
        <v>1697</v>
      </c>
      <c r="F37" s="486"/>
      <c r="G37" s="380">
        <v>2022</v>
      </c>
      <c r="H37" s="474">
        <v>3</v>
      </c>
      <c r="I37" s="474">
        <v>127770</v>
      </c>
      <c r="J37" s="475">
        <v>44648</v>
      </c>
      <c r="K37" s="474" t="s">
        <v>1997</v>
      </c>
      <c r="L37" s="474" t="s">
        <v>1699</v>
      </c>
      <c r="M37" s="475">
        <v>44578</v>
      </c>
      <c r="N37" s="475">
        <v>44602</v>
      </c>
      <c r="O37" s="475" t="s">
        <v>1280</v>
      </c>
      <c r="P37" s="475">
        <v>44646</v>
      </c>
      <c r="Q37" s="475">
        <v>44648</v>
      </c>
      <c r="R37" s="475">
        <v>44652</v>
      </c>
      <c r="S37" s="474" t="s">
        <v>88</v>
      </c>
      <c r="T37" s="474">
        <v>60</v>
      </c>
      <c r="U37" s="486">
        <v>49403540</v>
      </c>
      <c r="V37" s="474" t="s">
        <v>973</v>
      </c>
      <c r="W37" s="474">
        <v>400</v>
      </c>
      <c r="X37" s="432">
        <v>1408</v>
      </c>
      <c r="Y37" s="389">
        <f t="shared" si="0"/>
        <v>563200</v>
      </c>
      <c r="Z37" s="478">
        <f>220/400</f>
        <v>0.55000000000000004</v>
      </c>
      <c r="AA37" s="480">
        <f t="shared" si="1"/>
        <v>309760</v>
      </c>
      <c r="AB37" s="480"/>
      <c r="AC37" s="481">
        <v>0</v>
      </c>
      <c r="AD37" s="474"/>
      <c r="AE37" s="474"/>
      <c r="AF37" s="493">
        <f t="shared" si="2"/>
        <v>309760</v>
      </c>
      <c r="AG37" s="474" t="s">
        <v>1071</v>
      </c>
      <c r="AH37" s="474"/>
      <c r="AI37" s="474">
        <v>60</v>
      </c>
      <c r="AJ37" s="475" t="s">
        <v>1700</v>
      </c>
      <c r="AK37" s="475" t="s">
        <v>50</v>
      </c>
      <c r="AL37" s="483">
        <v>92126</v>
      </c>
      <c r="AM37" s="474" t="s">
        <v>52</v>
      </c>
      <c r="AN37" s="384" t="s">
        <v>1695</v>
      </c>
      <c r="AO37" s="474" t="s">
        <v>1076</v>
      </c>
      <c r="AP37" s="482"/>
      <c r="AQ37" s="474" t="s">
        <v>37</v>
      </c>
      <c r="AR37" s="474" t="s">
        <v>1216</v>
      </c>
      <c r="AS37" s="473" t="s">
        <v>1492</v>
      </c>
      <c r="AT37" s="473"/>
      <c r="AU37" s="478">
        <v>0.52</v>
      </c>
      <c r="AV37" s="471">
        <f t="shared" si="8"/>
        <v>49403540</v>
      </c>
      <c r="AW37" s="471" cm="1">
        <f t="array" ref="AW37">SUM(MID(0&amp;AV37,LARGE(INDEX(ISNUMBER(--MID(AV37,ROW($1:$8),1))*ROW($1:$8),),ROW($1:$8))+1,1)*10^ROW($1:$8)/10)</f>
        <v>49403540</v>
      </c>
      <c r="AX37" s="471" t="str">
        <f>VLOOKUP($AW37,'Item Master Data'!$A:$F,3,FALSE)</f>
        <v>Q.PEAK DUO BLK ML G10+</v>
      </c>
      <c r="AY37" s="471">
        <f>VLOOKUP($AW37,'Item Master Data'!$A:$F,6,FALSE)</f>
        <v>400</v>
      </c>
      <c r="AZ37" s="471">
        <f t="shared" si="9"/>
        <v>44</v>
      </c>
      <c r="BA37" s="471">
        <f>VLOOKUP(AW37,'Item Master Data'!$A:$G,7,FALSE)</f>
        <v>32</v>
      </c>
      <c r="BB37" s="471"/>
      <c r="BC37" s="471">
        <f t="shared" si="10"/>
        <v>0</v>
      </c>
    </row>
    <row r="38" spans="1:55">
      <c r="A38" s="495"/>
      <c r="B38" s="407">
        <v>44621</v>
      </c>
      <c r="C38" s="407">
        <v>44620</v>
      </c>
      <c r="D38" s="485" t="s">
        <v>86</v>
      </c>
      <c r="E38" s="474" t="s">
        <v>1697</v>
      </c>
      <c r="F38" s="486"/>
      <c r="G38" s="380">
        <v>2022</v>
      </c>
      <c r="H38" s="474">
        <v>3</v>
      </c>
      <c r="I38" s="474">
        <v>127770</v>
      </c>
      <c r="J38" s="475">
        <v>44648</v>
      </c>
      <c r="K38" s="474" t="s">
        <v>1997</v>
      </c>
      <c r="L38" s="474" t="s">
        <v>1699</v>
      </c>
      <c r="M38" s="475">
        <v>44578</v>
      </c>
      <c r="N38" s="475">
        <v>44602</v>
      </c>
      <c r="O38" s="475" t="s">
        <v>1280</v>
      </c>
      <c r="P38" s="475">
        <v>44646</v>
      </c>
      <c r="Q38" s="475">
        <v>44648</v>
      </c>
      <c r="R38" s="475">
        <v>44652</v>
      </c>
      <c r="S38" s="474" t="s">
        <v>88</v>
      </c>
      <c r="T38" s="474">
        <v>60</v>
      </c>
      <c r="U38" s="486">
        <v>49405140</v>
      </c>
      <c r="V38" s="474" t="s">
        <v>973</v>
      </c>
      <c r="W38" s="474">
        <v>400</v>
      </c>
      <c r="X38" s="432">
        <v>128</v>
      </c>
      <c r="Y38" s="389">
        <f t="shared" si="0"/>
        <v>51200</v>
      </c>
      <c r="Z38" s="478">
        <f>220/400</f>
        <v>0.55000000000000004</v>
      </c>
      <c r="AA38" s="480">
        <f t="shared" si="1"/>
        <v>28160.000000000004</v>
      </c>
      <c r="AB38" s="480"/>
      <c r="AC38" s="481">
        <v>0</v>
      </c>
      <c r="AD38" s="474"/>
      <c r="AE38" s="474"/>
      <c r="AF38" s="493">
        <f t="shared" si="2"/>
        <v>28160.000000000004</v>
      </c>
      <c r="AG38" s="474" t="s">
        <v>1071</v>
      </c>
      <c r="AH38" s="474"/>
      <c r="AI38" s="474">
        <v>60</v>
      </c>
      <c r="AJ38" s="475" t="s">
        <v>1700</v>
      </c>
      <c r="AK38" s="475" t="s">
        <v>50</v>
      </c>
      <c r="AL38" s="483">
        <v>92126</v>
      </c>
      <c r="AM38" s="474" t="s">
        <v>52</v>
      </c>
      <c r="AN38" s="384" t="s">
        <v>1695</v>
      </c>
      <c r="AO38" s="474" t="s">
        <v>1076</v>
      </c>
      <c r="AP38" s="482"/>
      <c r="AQ38" s="474" t="s">
        <v>37</v>
      </c>
      <c r="AR38" s="474" t="s">
        <v>1216</v>
      </c>
      <c r="AS38" s="473" t="s">
        <v>1492</v>
      </c>
      <c r="AT38" s="473"/>
      <c r="AU38" s="478">
        <v>0.52</v>
      </c>
      <c r="AV38" s="471">
        <f t="shared" si="8"/>
        <v>49405140</v>
      </c>
      <c r="AW38" s="471" cm="1">
        <f t="array" ref="AW38">SUM(MID(0&amp;AV38,LARGE(INDEX(ISNUMBER(--MID(AV38,ROW($1:$8),1))*ROW($1:$8),),ROW($1:$8))+1,1)*10^ROW($1:$8)/10)</f>
        <v>49405140</v>
      </c>
      <c r="AX38" s="471" t="str">
        <f>VLOOKUP($AW38,'Item Master Data'!$A:$F,3,FALSE)</f>
        <v>Q.PEAK DUO BLK ML G10+</v>
      </c>
      <c r="AY38" s="471">
        <f>VLOOKUP($AW38,'Item Master Data'!$A:$F,6,FALSE)</f>
        <v>400</v>
      </c>
      <c r="AZ38" s="471">
        <f t="shared" si="9"/>
        <v>4</v>
      </c>
      <c r="BA38" s="471">
        <f>VLOOKUP(AW38,'Item Master Data'!$A:$G,7,FALSE)</f>
        <v>32</v>
      </c>
      <c r="BB38" s="471"/>
      <c r="BC38" s="471">
        <f t="shared" si="10"/>
        <v>0</v>
      </c>
    </row>
    <row r="39" spans="1:55">
      <c r="A39" s="495"/>
      <c r="B39" s="407">
        <v>44621</v>
      </c>
      <c r="C39" s="407">
        <v>44620</v>
      </c>
      <c r="D39" s="485" t="s">
        <v>86</v>
      </c>
      <c r="E39" s="474" t="s">
        <v>2004</v>
      </c>
      <c r="F39" s="486"/>
      <c r="G39" s="380">
        <v>2022</v>
      </c>
      <c r="H39" s="474">
        <v>3</v>
      </c>
      <c r="I39" s="474">
        <v>127746</v>
      </c>
      <c r="J39" s="475">
        <v>44651</v>
      </c>
      <c r="K39" s="474" t="s">
        <v>2035</v>
      </c>
      <c r="L39" s="474" t="s">
        <v>1699</v>
      </c>
      <c r="M39" s="475">
        <v>44578</v>
      </c>
      <c r="N39" s="475">
        <v>44635</v>
      </c>
      <c r="O39" s="475" t="s">
        <v>1280</v>
      </c>
      <c r="P39" s="475">
        <v>44648</v>
      </c>
      <c r="Q39" s="475">
        <v>44651</v>
      </c>
      <c r="R39" s="475">
        <v>44656</v>
      </c>
      <c r="S39" s="474" t="s">
        <v>88</v>
      </c>
      <c r="T39" s="474">
        <v>60</v>
      </c>
      <c r="U39" s="486">
        <v>49405140</v>
      </c>
      <c r="V39" s="474" t="s">
        <v>973</v>
      </c>
      <c r="W39" s="474">
        <v>400</v>
      </c>
      <c r="X39" s="432">
        <v>768</v>
      </c>
      <c r="Y39" s="389">
        <f t="shared" si="0"/>
        <v>307200</v>
      </c>
      <c r="Z39" s="478">
        <f>220/400</f>
        <v>0.55000000000000004</v>
      </c>
      <c r="AA39" s="480">
        <f t="shared" si="1"/>
        <v>168960</v>
      </c>
      <c r="AB39" s="480"/>
      <c r="AC39" s="481">
        <v>0</v>
      </c>
      <c r="AD39" s="474"/>
      <c r="AE39" s="398"/>
      <c r="AF39" s="493">
        <f t="shared" si="2"/>
        <v>168960</v>
      </c>
      <c r="AG39" s="474" t="s">
        <v>1071</v>
      </c>
      <c r="AH39" s="474"/>
      <c r="AI39" s="474">
        <v>60</v>
      </c>
      <c r="AJ39" s="475" t="s">
        <v>1700</v>
      </c>
      <c r="AK39" s="475" t="s">
        <v>50</v>
      </c>
      <c r="AL39" s="483">
        <v>92126</v>
      </c>
      <c r="AM39" s="474" t="s">
        <v>52</v>
      </c>
      <c r="AN39" s="384" t="s">
        <v>1074</v>
      </c>
      <c r="AO39" s="474" t="s">
        <v>1076</v>
      </c>
      <c r="AP39" s="482"/>
      <c r="AQ39" s="474" t="s">
        <v>37</v>
      </c>
      <c r="AR39" s="474" t="s">
        <v>1216</v>
      </c>
      <c r="AS39" s="473" t="s">
        <v>1492</v>
      </c>
      <c r="AT39" s="473"/>
      <c r="AU39" s="478">
        <v>0.52</v>
      </c>
      <c r="AV39" s="471">
        <f t="shared" si="8"/>
        <v>49405140</v>
      </c>
      <c r="AW39" s="471" cm="1">
        <f t="array" ref="AW39">SUM(MID(0&amp;AV39,LARGE(INDEX(ISNUMBER(--MID(AV39,ROW($1:$8),1))*ROW($1:$8),),ROW($1:$8))+1,1)*10^ROW($1:$8)/10)</f>
        <v>49405140</v>
      </c>
      <c r="AX39" s="471" t="str">
        <f>VLOOKUP($AW39,'Item Master Data'!$A:$F,3,FALSE)</f>
        <v>Q.PEAK DUO BLK ML G10+</v>
      </c>
      <c r="AY39" s="471">
        <f>VLOOKUP($AW39,'Item Master Data'!$A:$F,6,FALSE)</f>
        <v>400</v>
      </c>
      <c r="AZ39" s="471">
        <f t="shared" si="9"/>
        <v>24</v>
      </c>
      <c r="BA39" s="471">
        <f>VLOOKUP(AW39,'Item Master Data'!$A:$G,7,FALSE)</f>
        <v>32</v>
      </c>
      <c r="BB39" s="471"/>
      <c r="BC39" s="471">
        <f t="shared" si="10"/>
        <v>0</v>
      </c>
    </row>
    <row r="40" spans="1:55">
      <c r="A40" s="495"/>
      <c r="B40" s="407">
        <v>44627</v>
      </c>
      <c r="C40" s="407">
        <v>44628</v>
      </c>
      <c r="D40" s="474" t="s">
        <v>86</v>
      </c>
      <c r="E40" s="474" t="s">
        <v>1697</v>
      </c>
      <c r="F40" s="474"/>
      <c r="G40" s="380">
        <v>2022</v>
      </c>
      <c r="H40" s="474">
        <v>3</v>
      </c>
      <c r="I40" s="524">
        <v>127790</v>
      </c>
      <c r="J40" s="538">
        <v>44646</v>
      </c>
      <c r="K40" s="474" t="s">
        <v>1698</v>
      </c>
      <c r="L40" s="474" t="s">
        <v>1699</v>
      </c>
      <c r="M40" s="475">
        <v>44593</v>
      </c>
      <c r="N40" s="475">
        <v>44602</v>
      </c>
      <c r="O40" s="475" t="s">
        <v>1280</v>
      </c>
      <c r="P40" s="475">
        <v>44628</v>
      </c>
      <c r="Q40" s="475">
        <v>44646</v>
      </c>
      <c r="R40" s="475">
        <v>44648</v>
      </c>
      <c r="S40" s="474" t="s">
        <v>88</v>
      </c>
      <c r="T40" s="474">
        <v>60</v>
      </c>
      <c r="U40" s="474">
        <v>49201132</v>
      </c>
      <c r="V40" s="474" t="s">
        <v>986</v>
      </c>
      <c r="W40" s="474">
        <v>360</v>
      </c>
      <c r="X40" s="432">
        <v>1440</v>
      </c>
      <c r="Y40" s="389">
        <f t="shared" si="0"/>
        <v>518400</v>
      </c>
      <c r="Z40" s="478">
        <f>190.8/360</f>
        <v>0.53</v>
      </c>
      <c r="AA40" s="479">
        <f t="shared" si="1"/>
        <v>274752</v>
      </c>
      <c r="AB40" s="480"/>
      <c r="AC40" s="481">
        <v>0</v>
      </c>
      <c r="AD40" s="490"/>
      <c r="AE40" s="482"/>
      <c r="AF40" s="493">
        <f t="shared" si="2"/>
        <v>274752</v>
      </c>
      <c r="AG40" s="474" t="s">
        <v>1071</v>
      </c>
      <c r="AH40" s="474"/>
      <c r="AI40" s="474">
        <v>60</v>
      </c>
      <c r="AJ40" s="474" t="s">
        <v>1700</v>
      </c>
      <c r="AK40" s="474" t="s">
        <v>50</v>
      </c>
      <c r="AL40" s="474">
        <v>92126</v>
      </c>
      <c r="AM40" s="474" t="s">
        <v>52</v>
      </c>
      <c r="AN40" s="384" t="s">
        <v>1695</v>
      </c>
      <c r="AO40" s="474" t="s">
        <v>1076</v>
      </c>
      <c r="AP40" s="482"/>
      <c r="AQ40" s="482" t="s">
        <v>37</v>
      </c>
      <c r="AR40" s="482" t="s">
        <v>1216</v>
      </c>
      <c r="AS40" s="473" t="s">
        <v>1492</v>
      </c>
      <c r="AT40" s="473"/>
      <c r="AU40" s="478">
        <f>180/360</f>
        <v>0.5</v>
      </c>
      <c r="AV40" s="471">
        <f t="shared" si="8"/>
        <v>49201132</v>
      </c>
      <c r="AW40" s="471" cm="1">
        <f t="array" ref="AW40">SUM(MID(0&amp;AV40,LARGE(INDEX(ISNUMBER(--MID(AV40,ROW($1:$8),1))*ROW($1:$8),),ROW($1:$8))+1,1)*10^ROW($1:$8)/10)</f>
        <v>49201132</v>
      </c>
      <c r="AX40" s="471" t="str">
        <f>VLOOKUP($AW40,'Item Master Data'!$A:$F,3,FALSE)</f>
        <v>Q.PEAK DUO BLK G10+</v>
      </c>
      <c r="AY40" s="471">
        <f>VLOOKUP($AW40,'Item Master Data'!$A:$F,6,FALSE)</f>
        <v>360</v>
      </c>
      <c r="AZ40" s="471">
        <f t="shared" si="9"/>
        <v>45</v>
      </c>
      <c r="BA40" s="471">
        <f>VLOOKUP(AW40,'Item Master Data'!$A:$G,7,FALSE)</f>
        <v>32</v>
      </c>
      <c r="BB40" s="471"/>
      <c r="BC40" s="471">
        <f t="shared" si="10"/>
        <v>0</v>
      </c>
    </row>
    <row r="41" spans="1:55">
      <c r="A41" s="495"/>
      <c r="B41" s="407">
        <v>44627</v>
      </c>
      <c r="C41" s="407">
        <v>44628</v>
      </c>
      <c r="D41" s="474" t="s">
        <v>86</v>
      </c>
      <c r="E41" s="474" t="s">
        <v>1701</v>
      </c>
      <c r="F41" s="474"/>
      <c r="G41" s="380">
        <v>2022</v>
      </c>
      <c r="H41" s="474">
        <v>3</v>
      </c>
      <c r="I41" s="524">
        <v>127872</v>
      </c>
      <c r="J41" s="538">
        <v>44646</v>
      </c>
      <c r="K41" s="524" t="s">
        <v>1698</v>
      </c>
      <c r="L41" s="524" t="s">
        <v>1699</v>
      </c>
      <c r="M41" s="475">
        <v>44593</v>
      </c>
      <c r="N41" s="475">
        <v>44602</v>
      </c>
      <c r="O41" s="475" t="s">
        <v>1280</v>
      </c>
      <c r="P41" s="475">
        <v>44628</v>
      </c>
      <c r="Q41" s="475">
        <v>44646</v>
      </c>
      <c r="R41" s="475">
        <v>44648</v>
      </c>
      <c r="S41" s="474" t="s">
        <v>88</v>
      </c>
      <c r="T41" s="474">
        <v>60</v>
      </c>
      <c r="U41" s="474">
        <v>49201132</v>
      </c>
      <c r="V41" s="474" t="s">
        <v>986</v>
      </c>
      <c r="W41" s="474">
        <v>360</v>
      </c>
      <c r="X41" s="432">
        <v>96</v>
      </c>
      <c r="Y41" s="389">
        <f t="shared" si="0"/>
        <v>34560</v>
      </c>
      <c r="Z41" s="478">
        <f>190.8/360</f>
        <v>0.53</v>
      </c>
      <c r="AA41" s="479">
        <f t="shared" si="1"/>
        <v>18316.8</v>
      </c>
      <c r="AB41" s="480"/>
      <c r="AC41" s="481">
        <v>0</v>
      </c>
      <c r="AD41" s="490"/>
      <c r="AE41" s="482"/>
      <c r="AF41" s="493">
        <f t="shared" si="2"/>
        <v>18316.8</v>
      </c>
      <c r="AG41" s="474" t="s">
        <v>1071</v>
      </c>
      <c r="AH41" s="474"/>
      <c r="AI41" s="474">
        <v>60</v>
      </c>
      <c r="AJ41" s="474" t="s">
        <v>1700</v>
      </c>
      <c r="AK41" s="474" t="s">
        <v>50</v>
      </c>
      <c r="AL41" s="474">
        <v>92126</v>
      </c>
      <c r="AM41" s="474" t="s">
        <v>52</v>
      </c>
      <c r="AN41" s="384" t="s">
        <v>1695</v>
      </c>
      <c r="AO41" s="474" t="s">
        <v>1076</v>
      </c>
      <c r="AP41" s="482"/>
      <c r="AQ41" s="482" t="s">
        <v>37</v>
      </c>
      <c r="AR41" s="482" t="s">
        <v>1216</v>
      </c>
      <c r="AS41" s="473" t="s">
        <v>1492</v>
      </c>
      <c r="AT41" s="473"/>
      <c r="AU41" s="478">
        <f>180/360</f>
        <v>0.5</v>
      </c>
      <c r="AV41" s="471">
        <f t="shared" si="8"/>
        <v>49201132</v>
      </c>
      <c r="AW41" s="471" cm="1">
        <f t="array" ref="AW41">SUM(MID(0&amp;AV41,LARGE(INDEX(ISNUMBER(--MID(AV41,ROW($1:$8),1))*ROW($1:$8),),ROW($1:$8))+1,1)*10^ROW($1:$8)/10)</f>
        <v>49201132</v>
      </c>
      <c r="AX41" s="471" t="str">
        <f>VLOOKUP($AW41,'Item Master Data'!$A:$F,3,FALSE)</f>
        <v>Q.PEAK DUO BLK G10+</v>
      </c>
      <c r="AY41" s="471">
        <f>VLOOKUP($AW41,'Item Master Data'!$A:$F,6,FALSE)</f>
        <v>360</v>
      </c>
      <c r="AZ41" s="471">
        <f t="shared" si="9"/>
        <v>3</v>
      </c>
      <c r="BA41" s="471">
        <f>VLOOKUP(AW41,'Item Master Data'!$A:$G,7,FALSE)</f>
        <v>32</v>
      </c>
      <c r="BB41" s="471"/>
      <c r="BC41" s="471">
        <f t="shared" si="10"/>
        <v>0</v>
      </c>
    </row>
    <row r="42" spans="1:55">
      <c r="A42" s="495"/>
      <c r="B42" s="407">
        <v>44627</v>
      </c>
      <c r="C42" s="407">
        <v>44628</v>
      </c>
      <c r="D42" s="474" t="s">
        <v>86</v>
      </c>
      <c r="E42" s="474" t="s">
        <v>2004</v>
      </c>
      <c r="F42" s="474">
        <v>2</v>
      </c>
      <c r="G42" s="380">
        <v>2022</v>
      </c>
      <c r="H42" s="474">
        <v>3</v>
      </c>
      <c r="I42" s="474">
        <v>127661</v>
      </c>
      <c r="J42" s="475">
        <v>44649</v>
      </c>
      <c r="K42" s="474" t="s">
        <v>2083</v>
      </c>
      <c r="L42" s="474" t="s">
        <v>1699</v>
      </c>
      <c r="M42" s="475">
        <v>44593</v>
      </c>
      <c r="N42" s="475">
        <v>44630</v>
      </c>
      <c r="O42" s="475" t="s">
        <v>1280</v>
      </c>
      <c r="P42" s="475">
        <v>44644</v>
      </c>
      <c r="Q42" s="475">
        <v>44649</v>
      </c>
      <c r="R42" s="475">
        <v>44655</v>
      </c>
      <c r="S42" s="474" t="s">
        <v>88</v>
      </c>
      <c r="T42" s="474">
        <v>60</v>
      </c>
      <c r="U42" s="474">
        <v>49203132</v>
      </c>
      <c r="V42" s="474" t="s">
        <v>986</v>
      </c>
      <c r="W42" s="474">
        <v>360</v>
      </c>
      <c r="X42" s="432">
        <v>768</v>
      </c>
      <c r="Y42" s="389">
        <f t="shared" si="0"/>
        <v>276480</v>
      </c>
      <c r="Z42" s="478">
        <f>190.8/360</f>
        <v>0.53</v>
      </c>
      <c r="AA42" s="479">
        <f t="shared" si="1"/>
        <v>146534.39999999999</v>
      </c>
      <c r="AB42" s="480"/>
      <c r="AC42" s="481">
        <v>0</v>
      </c>
      <c r="AD42" s="490"/>
      <c r="AE42" s="398"/>
      <c r="AF42" s="493">
        <f t="shared" si="2"/>
        <v>146534.39999999999</v>
      </c>
      <c r="AG42" s="474" t="s">
        <v>1071</v>
      </c>
      <c r="AH42" s="474"/>
      <c r="AI42" s="474">
        <v>60</v>
      </c>
      <c r="AJ42" s="474" t="s">
        <v>1700</v>
      </c>
      <c r="AK42" s="474" t="s">
        <v>50</v>
      </c>
      <c r="AL42" s="474">
        <v>92126</v>
      </c>
      <c r="AM42" s="474" t="s">
        <v>52</v>
      </c>
      <c r="AN42" s="384" t="s">
        <v>1695</v>
      </c>
      <c r="AO42" s="474" t="s">
        <v>1076</v>
      </c>
      <c r="AP42" s="482"/>
      <c r="AQ42" s="482" t="s">
        <v>37</v>
      </c>
      <c r="AR42" s="482" t="s">
        <v>1216</v>
      </c>
      <c r="AS42" s="473" t="s">
        <v>1492</v>
      </c>
      <c r="AT42" s="473"/>
      <c r="AU42" s="478">
        <f>180/360</f>
        <v>0.5</v>
      </c>
      <c r="AV42" s="471">
        <f t="shared" si="8"/>
        <v>49203132</v>
      </c>
      <c r="AW42" s="471" cm="1">
        <f t="array" ref="AW42">SUM(MID(0&amp;AV42,LARGE(INDEX(ISNUMBER(--MID(AV42,ROW($1:$8),1))*ROW($1:$8),),ROW($1:$8))+1,1)*10^ROW($1:$8)/10)</f>
        <v>49203132</v>
      </c>
      <c r="AX42" s="471" t="str">
        <f>VLOOKUP($AW42,'Item Master Data'!$A:$F,3,FALSE)</f>
        <v>Q.PEAK DUO BLK G10+</v>
      </c>
      <c r="AY42" s="471">
        <f>VLOOKUP($AW42,'Item Master Data'!$A:$F,6,FALSE)</f>
        <v>360</v>
      </c>
      <c r="AZ42" s="471">
        <f t="shared" si="9"/>
        <v>24</v>
      </c>
      <c r="BA42" s="471">
        <f>VLOOKUP(AW42,'Item Master Data'!$A:$G,7,FALSE)</f>
        <v>32</v>
      </c>
      <c r="BB42" s="471"/>
      <c r="BC42" s="471">
        <f t="shared" si="10"/>
        <v>0</v>
      </c>
    </row>
    <row r="43" spans="1:55">
      <c r="A43" s="495"/>
      <c r="B43" s="407">
        <v>44638</v>
      </c>
      <c r="C43" s="407">
        <v>44638</v>
      </c>
      <c r="D43" s="485" t="s">
        <v>86</v>
      </c>
      <c r="E43" s="474" t="s">
        <v>1975</v>
      </c>
      <c r="F43" s="486" t="s">
        <v>87</v>
      </c>
      <c r="G43" s="380">
        <v>2022</v>
      </c>
      <c r="H43" s="474">
        <v>3</v>
      </c>
      <c r="I43" s="474">
        <v>127436</v>
      </c>
      <c r="J43" s="475">
        <v>44643</v>
      </c>
      <c r="K43" s="474" t="s">
        <v>1976</v>
      </c>
      <c r="L43" s="474" t="s">
        <v>1699</v>
      </c>
      <c r="M43" s="475">
        <v>44620</v>
      </c>
      <c r="N43" s="475">
        <v>44651</v>
      </c>
      <c r="O43" s="475"/>
      <c r="P43" s="475">
        <v>44629</v>
      </c>
      <c r="Q43" s="475">
        <v>44643</v>
      </c>
      <c r="R43" s="475">
        <v>44644</v>
      </c>
      <c r="S43" s="474" t="s">
        <v>88</v>
      </c>
      <c r="T43" s="474">
        <v>72</v>
      </c>
      <c r="U43" s="486" t="s">
        <v>1809</v>
      </c>
      <c r="V43" s="474" t="s">
        <v>1104</v>
      </c>
      <c r="W43" s="474">
        <v>475</v>
      </c>
      <c r="X43" s="432">
        <v>377</v>
      </c>
      <c r="Y43" s="389">
        <f t="shared" si="0"/>
        <v>179075</v>
      </c>
      <c r="Z43" s="478">
        <f>230.38/475</f>
        <v>0.48501052631578945</v>
      </c>
      <c r="AA43" s="480">
        <f t="shared" si="1"/>
        <v>86853.26</v>
      </c>
      <c r="AB43" s="480"/>
      <c r="AC43" s="481">
        <f>AB43*Y43</f>
        <v>0</v>
      </c>
      <c r="AD43" s="474"/>
      <c r="AE43" s="474"/>
      <c r="AF43" s="493">
        <f t="shared" si="2"/>
        <v>86853.26</v>
      </c>
      <c r="AG43" s="474" t="s">
        <v>1071</v>
      </c>
      <c r="AH43" s="474"/>
      <c r="AI43" s="474">
        <v>60</v>
      </c>
      <c r="AJ43" s="475" t="s">
        <v>1700</v>
      </c>
      <c r="AK43" s="475" t="s">
        <v>50</v>
      </c>
      <c r="AL43" s="483">
        <v>92126</v>
      </c>
      <c r="AM43" s="474" t="s">
        <v>52</v>
      </c>
      <c r="AN43" s="384" t="s">
        <v>50</v>
      </c>
      <c r="AO43" s="474" t="s">
        <v>1076</v>
      </c>
      <c r="AP43" s="482" t="s">
        <v>38</v>
      </c>
      <c r="AQ43" s="474" t="s">
        <v>37</v>
      </c>
      <c r="AR43" s="474"/>
      <c r="AS43" s="473" t="s">
        <v>1492</v>
      </c>
      <c r="AT43" s="473"/>
      <c r="AU43" s="478"/>
      <c r="AV43" s="471" t="str">
        <f t="shared" si="8"/>
        <v>30397471F</v>
      </c>
      <c r="AW43" s="471" cm="1">
        <f t="array" ref="AW43">SUM(MID(0&amp;AV43,LARGE(INDEX(ISNUMBER(--MID(AV43,ROW($1:$8),1))*ROW($1:$8),),ROW($1:$8))+1,1)*10^ROW($1:$8)/10)</f>
        <v>30397471</v>
      </c>
      <c r="AX43" s="471" t="str">
        <f>VLOOKUP($AW43,'Item Master Data'!$A:$F,3,FALSE)</f>
        <v>Q.PEAK DUO XL G10</v>
      </c>
      <c r="AY43" s="471">
        <f>VLOOKUP($AW43,'Item Master Data'!$A:$F,6,FALSE)</f>
        <v>475</v>
      </c>
      <c r="AZ43" s="471">
        <f t="shared" si="9"/>
        <v>13</v>
      </c>
      <c r="BA43" s="471">
        <f>VLOOKUP(AW43,'Item Master Data'!$A:$G,7,FALSE)</f>
        <v>29</v>
      </c>
      <c r="BB43" s="471"/>
      <c r="BC43" s="471">
        <f t="shared" si="10"/>
        <v>0</v>
      </c>
    </row>
    <row r="44" spans="1:55">
      <c r="A44" s="495"/>
      <c r="B44" s="407">
        <v>44638</v>
      </c>
      <c r="C44" s="407">
        <v>44638</v>
      </c>
      <c r="D44" s="485" t="s">
        <v>86</v>
      </c>
      <c r="E44" s="474" t="s">
        <v>1975</v>
      </c>
      <c r="F44" s="486" t="s">
        <v>87</v>
      </c>
      <c r="G44" s="380">
        <v>2022</v>
      </c>
      <c r="H44" s="474">
        <v>3</v>
      </c>
      <c r="I44" s="474">
        <v>127644</v>
      </c>
      <c r="J44" s="475">
        <v>44650</v>
      </c>
      <c r="K44" s="474" t="s">
        <v>1976</v>
      </c>
      <c r="L44" s="474" t="s">
        <v>1699</v>
      </c>
      <c r="M44" s="475">
        <v>44620</v>
      </c>
      <c r="N44" s="475">
        <v>44651</v>
      </c>
      <c r="O44" s="475"/>
      <c r="P44" s="475">
        <v>44629</v>
      </c>
      <c r="Q44" s="475">
        <v>44650</v>
      </c>
      <c r="R44" s="475">
        <v>44651</v>
      </c>
      <c r="S44" s="474" t="s">
        <v>88</v>
      </c>
      <c r="T44" s="474">
        <v>72</v>
      </c>
      <c r="U44" s="486" t="s">
        <v>1809</v>
      </c>
      <c r="V44" s="474" t="s">
        <v>1104</v>
      </c>
      <c r="W44" s="474">
        <v>475</v>
      </c>
      <c r="X44" s="432">
        <v>5278</v>
      </c>
      <c r="Y44" s="389">
        <f t="shared" si="0"/>
        <v>2507050</v>
      </c>
      <c r="Z44" s="478">
        <f>230.38/475</f>
        <v>0.48501052631578945</v>
      </c>
      <c r="AA44" s="480">
        <f t="shared" si="1"/>
        <v>1215945.6399999999</v>
      </c>
      <c r="AB44" s="480"/>
      <c r="AC44" s="481">
        <f>AB44*Y44</f>
        <v>0</v>
      </c>
      <c r="AD44" s="474"/>
      <c r="AE44" s="474"/>
      <c r="AF44" s="493">
        <f t="shared" si="2"/>
        <v>1215945.6399999999</v>
      </c>
      <c r="AG44" s="474" t="s">
        <v>1071</v>
      </c>
      <c r="AH44" s="474"/>
      <c r="AI44" s="474">
        <v>60</v>
      </c>
      <c r="AJ44" s="475" t="s">
        <v>1700</v>
      </c>
      <c r="AK44" s="475" t="s">
        <v>50</v>
      </c>
      <c r="AL44" s="483">
        <v>92126</v>
      </c>
      <c r="AM44" s="474" t="s">
        <v>52</v>
      </c>
      <c r="AN44" s="384" t="s">
        <v>50</v>
      </c>
      <c r="AO44" s="474" t="s">
        <v>1076</v>
      </c>
      <c r="AP44" s="482" t="s">
        <v>38</v>
      </c>
      <c r="AQ44" s="474" t="s">
        <v>37</v>
      </c>
      <c r="AR44" s="474"/>
      <c r="AS44" s="473" t="s">
        <v>1492</v>
      </c>
      <c r="AT44" s="473"/>
      <c r="AU44" s="478"/>
      <c r="AV44" s="471" t="str">
        <f t="shared" si="8"/>
        <v>30397471F</v>
      </c>
      <c r="AW44" s="471" cm="1">
        <f t="array" ref="AW44">SUM(MID(0&amp;AV44,LARGE(INDEX(ISNUMBER(--MID(AV44,ROW($1:$8),1))*ROW($1:$8),),ROW($1:$8))+1,1)*10^ROW($1:$8)/10)</f>
        <v>30397471</v>
      </c>
      <c r="AX44" s="471" t="str">
        <f>VLOOKUP($AW44,'Item Master Data'!$A:$F,3,FALSE)</f>
        <v>Q.PEAK DUO XL G10</v>
      </c>
      <c r="AY44" s="471">
        <f>VLOOKUP($AW44,'Item Master Data'!$A:$F,6,FALSE)</f>
        <v>475</v>
      </c>
      <c r="AZ44" s="471">
        <f t="shared" si="9"/>
        <v>182</v>
      </c>
      <c r="BA44" s="471">
        <f>VLOOKUP(AW44,'Item Master Data'!$A:$G,7,FALSE)</f>
        <v>29</v>
      </c>
      <c r="BB44" s="471"/>
      <c r="BC44" s="471">
        <f t="shared" si="10"/>
        <v>0</v>
      </c>
    </row>
    <row r="45" spans="1:55">
      <c r="A45" s="495"/>
      <c r="B45" s="407">
        <v>44552</v>
      </c>
      <c r="C45" s="407">
        <v>44552</v>
      </c>
      <c r="D45" s="485" t="s">
        <v>86</v>
      </c>
      <c r="E45" s="474" t="s">
        <v>2084</v>
      </c>
      <c r="F45" s="486"/>
      <c r="G45" s="380">
        <v>2022</v>
      </c>
      <c r="H45" s="474">
        <v>3</v>
      </c>
      <c r="I45" s="474">
        <v>127197</v>
      </c>
      <c r="J45" s="475">
        <v>44622</v>
      </c>
      <c r="K45" s="474" t="s">
        <v>2085</v>
      </c>
      <c r="L45" s="474" t="s">
        <v>2086</v>
      </c>
      <c r="M45" s="475">
        <v>44544</v>
      </c>
      <c r="N45" s="475">
        <v>44544</v>
      </c>
      <c r="O45" s="475"/>
      <c r="P45" s="475">
        <v>44616</v>
      </c>
      <c r="Q45" s="475">
        <v>44622</v>
      </c>
      <c r="R45" s="475">
        <v>44627</v>
      </c>
      <c r="S45" s="474" t="s">
        <v>1688</v>
      </c>
      <c r="T45" s="474">
        <v>60</v>
      </c>
      <c r="U45" s="486" t="s">
        <v>2087</v>
      </c>
      <c r="V45" s="474" t="s">
        <v>691</v>
      </c>
      <c r="W45" s="474">
        <v>340</v>
      </c>
      <c r="X45" s="432">
        <v>1664</v>
      </c>
      <c r="Y45" s="389">
        <f t="shared" si="0"/>
        <v>565760</v>
      </c>
      <c r="Z45" s="478">
        <f>156.4/340</f>
        <v>0.46</v>
      </c>
      <c r="AA45" s="480">
        <f t="shared" si="1"/>
        <v>260249.60000000001</v>
      </c>
      <c r="AB45" s="480"/>
      <c r="AC45" s="481">
        <v>0</v>
      </c>
      <c r="AD45" s="474"/>
      <c r="AE45" s="474"/>
      <c r="AF45" s="493">
        <f t="shared" si="2"/>
        <v>260249.60000000001</v>
      </c>
      <c r="AG45" s="474" t="s">
        <v>1071</v>
      </c>
      <c r="AH45" s="474"/>
      <c r="AI45" s="474">
        <v>60</v>
      </c>
      <c r="AJ45" s="475" t="s">
        <v>2077</v>
      </c>
      <c r="AK45" s="475" t="s">
        <v>50</v>
      </c>
      <c r="AL45" s="483" t="s">
        <v>2051</v>
      </c>
      <c r="AM45" s="474" t="s">
        <v>52</v>
      </c>
      <c r="AN45" s="384" t="s">
        <v>1144</v>
      </c>
      <c r="AO45" s="474" t="s">
        <v>1076</v>
      </c>
      <c r="AP45" s="482" t="s">
        <v>38</v>
      </c>
      <c r="AQ45" s="474" t="s">
        <v>37</v>
      </c>
      <c r="AR45" s="474"/>
      <c r="AS45" s="473"/>
      <c r="AT45" s="473"/>
      <c r="AU45" s="478"/>
      <c r="AV45" s="471" t="str">
        <f t="shared" si="8"/>
        <v>30376609C</v>
      </c>
      <c r="AW45" s="471" cm="1">
        <f t="array" ref="AW45">SUM(MID(0&amp;AV45,LARGE(INDEX(ISNUMBER(--MID(AV45,ROW($1:$8),1))*ROW($1:$8),),ROW($1:$8))+1,1)*10^ROW($1:$8)/10)</f>
        <v>30376609</v>
      </c>
      <c r="AX45" s="471" t="str">
        <f>VLOOKUP($AW45,'Item Master Data'!$A:$F,3,FALSE)</f>
        <v>Q.PEAK DUO BLK G6+</v>
      </c>
      <c r="AY45" s="471">
        <f>VLOOKUP($AW45,'Item Master Data'!$A:$F,6,FALSE)</f>
        <v>340</v>
      </c>
      <c r="AZ45" s="471">
        <f t="shared" si="9"/>
        <v>52</v>
      </c>
      <c r="BA45" s="471">
        <f>VLOOKUP(AW45,'Item Master Data'!$A:$G,7,FALSE)</f>
        <v>32</v>
      </c>
      <c r="BB45" s="471"/>
      <c r="BC45" s="471">
        <f t="shared" si="10"/>
        <v>0</v>
      </c>
    </row>
    <row r="46" spans="1:55">
      <c r="A46" s="495"/>
      <c r="B46" s="596">
        <v>44629</v>
      </c>
      <c r="C46" s="596">
        <v>44629</v>
      </c>
      <c r="D46" s="474" t="s">
        <v>86</v>
      </c>
      <c r="E46" s="336"/>
      <c r="F46" s="474"/>
      <c r="G46" s="380">
        <v>2022</v>
      </c>
      <c r="H46" s="474">
        <v>3</v>
      </c>
      <c r="I46" s="486">
        <v>127738</v>
      </c>
      <c r="J46" s="475">
        <v>44649</v>
      </c>
      <c r="K46" s="474" t="s">
        <v>2096</v>
      </c>
      <c r="L46" s="474" t="s">
        <v>2086</v>
      </c>
      <c r="M46" s="475">
        <v>44616</v>
      </c>
      <c r="N46" s="475">
        <v>44617</v>
      </c>
      <c r="O46" s="475"/>
      <c r="P46" s="475">
        <v>44630</v>
      </c>
      <c r="Q46" s="475">
        <v>44649</v>
      </c>
      <c r="R46" s="475">
        <v>44659</v>
      </c>
      <c r="S46" s="474" t="s">
        <v>88</v>
      </c>
      <c r="T46" s="474">
        <v>60</v>
      </c>
      <c r="U46" s="474">
        <v>46209128</v>
      </c>
      <c r="V46" s="486" t="s">
        <v>2097</v>
      </c>
      <c r="W46" s="474">
        <v>340</v>
      </c>
      <c r="X46" s="432">
        <v>66</v>
      </c>
      <c r="Y46" s="389">
        <f t="shared" si="0"/>
        <v>22440</v>
      </c>
      <c r="Z46" s="478">
        <f t="shared" ref="Z46:Z51" si="11">255/340</f>
        <v>0.75</v>
      </c>
      <c r="AA46" s="479">
        <f t="shared" si="1"/>
        <v>16830</v>
      </c>
      <c r="AB46" s="480"/>
      <c r="AC46" s="481">
        <f t="shared" ref="AC46:AC77" si="12">AB46*Y46</f>
        <v>0</v>
      </c>
      <c r="AD46" s="474"/>
      <c r="AE46" s="482"/>
      <c r="AF46" s="493">
        <f t="shared" si="2"/>
        <v>16830</v>
      </c>
      <c r="AG46" s="486" t="s">
        <v>1071</v>
      </c>
      <c r="AH46" s="486"/>
      <c r="AI46" s="486">
        <v>60</v>
      </c>
      <c r="AJ46" s="475" t="s">
        <v>2098</v>
      </c>
      <c r="AK46" s="486" t="s">
        <v>50</v>
      </c>
      <c r="AL46" s="483" t="s">
        <v>2099</v>
      </c>
      <c r="AM46" s="486" t="s">
        <v>52</v>
      </c>
      <c r="AN46" s="384" t="s">
        <v>1074</v>
      </c>
      <c r="AO46" s="474" t="s">
        <v>1076</v>
      </c>
      <c r="AP46" s="482"/>
      <c r="AQ46" s="482" t="s">
        <v>37</v>
      </c>
      <c r="AR46" s="482" t="s">
        <v>1216</v>
      </c>
      <c r="AS46" s="472" t="s">
        <v>1492</v>
      </c>
      <c r="AT46" s="472"/>
      <c r="AU46" s="478">
        <f t="shared" ref="AU46:AU51" si="13">208/400</f>
        <v>0.52</v>
      </c>
      <c r="AV46" s="471">
        <f t="shared" si="8"/>
        <v>46209128</v>
      </c>
      <c r="AW46" s="471" cm="1">
        <f t="array" ref="AW46">SUM(MID(0&amp;AV46,LARGE(INDEX(ISNUMBER(--MID(AV46,ROW($1:$8),1))*ROW($1:$8),),ROW($1:$8))+1,1)*10^ROW($1:$8)/10)</f>
        <v>46209128</v>
      </c>
      <c r="AX46" s="471" t="str">
        <f>VLOOKUP($AW46,'Item Master Data'!$A:$F,3,FALSE)</f>
        <v>Q.PEAK DUO BLK G6+/AC</v>
      </c>
      <c r="AY46" s="471">
        <f>VLOOKUP($AW46,'Item Master Data'!$A:$F,6,FALSE)</f>
        <v>340</v>
      </c>
      <c r="AZ46" s="471">
        <f t="shared" si="9"/>
        <v>2.5384615384615383</v>
      </c>
      <c r="BA46" s="471">
        <f>VLOOKUP(AW46,'Item Master Data'!$A:$G,7,FALSE)</f>
        <v>26</v>
      </c>
      <c r="BB46" s="471"/>
      <c r="BC46" s="471">
        <f t="shared" si="10"/>
        <v>0</v>
      </c>
    </row>
    <row r="47" spans="1:55">
      <c r="A47" s="495"/>
      <c r="B47" s="596">
        <v>44629</v>
      </c>
      <c r="C47" s="596">
        <v>44629</v>
      </c>
      <c r="D47" s="474" t="s">
        <v>86</v>
      </c>
      <c r="E47" s="336"/>
      <c r="F47" s="474"/>
      <c r="G47" s="380">
        <v>2022</v>
      </c>
      <c r="H47" s="474">
        <v>3</v>
      </c>
      <c r="I47" s="486">
        <v>127738</v>
      </c>
      <c r="J47" s="475">
        <v>44649</v>
      </c>
      <c r="K47" s="474" t="s">
        <v>2096</v>
      </c>
      <c r="L47" s="474" t="s">
        <v>2086</v>
      </c>
      <c r="M47" s="475">
        <v>44616</v>
      </c>
      <c r="N47" s="475">
        <v>44617</v>
      </c>
      <c r="O47" s="475"/>
      <c r="P47" s="475">
        <v>44630</v>
      </c>
      <c r="Q47" s="475">
        <v>44649</v>
      </c>
      <c r="R47" s="475">
        <v>44659</v>
      </c>
      <c r="S47" s="474" t="s">
        <v>88</v>
      </c>
      <c r="T47" s="474">
        <v>60</v>
      </c>
      <c r="U47" s="474">
        <v>46213128</v>
      </c>
      <c r="V47" s="486" t="s">
        <v>2097</v>
      </c>
      <c r="W47" s="474">
        <v>340</v>
      </c>
      <c r="X47" s="432">
        <v>105</v>
      </c>
      <c r="Y47" s="389">
        <f t="shared" si="0"/>
        <v>35700</v>
      </c>
      <c r="Z47" s="478">
        <f t="shared" si="11"/>
        <v>0.75</v>
      </c>
      <c r="AA47" s="479">
        <f t="shared" si="1"/>
        <v>26775</v>
      </c>
      <c r="AB47" s="480"/>
      <c r="AC47" s="481">
        <f t="shared" si="12"/>
        <v>0</v>
      </c>
      <c r="AD47" s="474"/>
      <c r="AE47" s="482"/>
      <c r="AF47" s="493">
        <f t="shared" si="2"/>
        <v>26775</v>
      </c>
      <c r="AG47" s="486" t="s">
        <v>1071</v>
      </c>
      <c r="AH47" s="486"/>
      <c r="AI47" s="486">
        <v>60</v>
      </c>
      <c r="AJ47" s="475" t="s">
        <v>2098</v>
      </c>
      <c r="AK47" s="486" t="s">
        <v>50</v>
      </c>
      <c r="AL47" s="483" t="s">
        <v>2099</v>
      </c>
      <c r="AM47" s="486" t="s">
        <v>52</v>
      </c>
      <c r="AN47" s="384" t="s">
        <v>1695</v>
      </c>
      <c r="AO47" s="474" t="s">
        <v>1076</v>
      </c>
      <c r="AP47" s="482"/>
      <c r="AQ47" s="482" t="s">
        <v>37</v>
      </c>
      <c r="AR47" s="482" t="s">
        <v>1216</v>
      </c>
      <c r="AS47" s="472" t="s">
        <v>1492</v>
      </c>
      <c r="AT47" s="472"/>
      <c r="AU47" s="478">
        <f t="shared" si="13"/>
        <v>0.52</v>
      </c>
      <c r="AV47" s="471">
        <f t="shared" si="8"/>
        <v>46213128</v>
      </c>
      <c r="AW47" s="471" cm="1">
        <f t="array" ref="AW47">SUM(MID(0&amp;AV47,LARGE(INDEX(ISNUMBER(--MID(AV47,ROW($1:$8),1))*ROW($1:$8),),ROW($1:$8))+1,1)*10^ROW($1:$8)/10)</f>
        <v>46213128</v>
      </c>
      <c r="AX47" s="471" t="str">
        <f>VLOOKUP($AW47,'Item Master Data'!$A:$F,3,FALSE)</f>
        <v>Q.PEAK DUO BLK G6+/AC</v>
      </c>
      <c r="AY47" s="471">
        <f>VLOOKUP($AW47,'Item Master Data'!$A:$F,6,FALSE)</f>
        <v>340</v>
      </c>
      <c r="AZ47" s="471">
        <f t="shared" si="9"/>
        <v>4.0384615384615383</v>
      </c>
      <c r="BA47" s="471">
        <f>VLOOKUP(AW47,'Item Master Data'!$A:$G,7,FALSE)</f>
        <v>26</v>
      </c>
      <c r="BB47" s="471"/>
      <c r="BC47" s="471">
        <f t="shared" si="10"/>
        <v>0</v>
      </c>
    </row>
    <row r="48" spans="1:55">
      <c r="A48" s="495"/>
      <c r="B48" s="596">
        <v>44629</v>
      </c>
      <c r="C48" s="596">
        <v>44629</v>
      </c>
      <c r="D48" s="474" t="s">
        <v>86</v>
      </c>
      <c r="E48" s="336"/>
      <c r="F48" s="474"/>
      <c r="G48" s="380">
        <v>2022</v>
      </c>
      <c r="H48" s="474">
        <v>3</v>
      </c>
      <c r="I48" s="486">
        <v>127738</v>
      </c>
      <c r="J48" s="475">
        <v>44649</v>
      </c>
      <c r="K48" s="474" t="s">
        <v>2096</v>
      </c>
      <c r="L48" s="474" t="s">
        <v>2086</v>
      </c>
      <c r="M48" s="475">
        <v>44616</v>
      </c>
      <c r="N48" s="475">
        <v>44617</v>
      </c>
      <c r="O48" s="475"/>
      <c r="P48" s="475">
        <v>44630</v>
      </c>
      <c r="Q48" s="475">
        <v>44649</v>
      </c>
      <c r="R48" s="475">
        <v>44659</v>
      </c>
      <c r="S48" s="474" t="s">
        <v>88</v>
      </c>
      <c r="T48" s="474">
        <v>60</v>
      </c>
      <c r="U48" s="474">
        <v>46224128</v>
      </c>
      <c r="V48" s="486" t="s">
        <v>2097</v>
      </c>
      <c r="W48" s="474">
        <v>340</v>
      </c>
      <c r="X48" s="432">
        <v>1</v>
      </c>
      <c r="Y48" s="389">
        <f t="shared" si="0"/>
        <v>340</v>
      </c>
      <c r="Z48" s="478">
        <f t="shared" si="11"/>
        <v>0.75</v>
      </c>
      <c r="AA48" s="479">
        <f t="shared" si="1"/>
        <v>255</v>
      </c>
      <c r="AB48" s="480"/>
      <c r="AC48" s="481">
        <f t="shared" si="12"/>
        <v>0</v>
      </c>
      <c r="AD48" s="474"/>
      <c r="AE48" s="482"/>
      <c r="AF48" s="493">
        <f t="shared" si="2"/>
        <v>255</v>
      </c>
      <c r="AG48" s="486" t="s">
        <v>1071</v>
      </c>
      <c r="AH48" s="486"/>
      <c r="AI48" s="486">
        <v>60</v>
      </c>
      <c r="AJ48" s="475" t="s">
        <v>2098</v>
      </c>
      <c r="AK48" s="486" t="s">
        <v>50</v>
      </c>
      <c r="AL48" s="483" t="s">
        <v>2099</v>
      </c>
      <c r="AM48" s="486" t="s">
        <v>52</v>
      </c>
      <c r="AN48" s="384" t="s">
        <v>1074</v>
      </c>
      <c r="AO48" s="474" t="s">
        <v>1076</v>
      </c>
      <c r="AP48" s="482"/>
      <c r="AQ48" s="482" t="s">
        <v>37</v>
      </c>
      <c r="AR48" s="482" t="s">
        <v>1216</v>
      </c>
      <c r="AS48" s="472" t="s">
        <v>1492</v>
      </c>
      <c r="AT48" s="472"/>
      <c r="AU48" s="478">
        <f t="shared" si="13"/>
        <v>0.52</v>
      </c>
      <c r="AV48" s="471">
        <f t="shared" si="8"/>
        <v>46224128</v>
      </c>
      <c r="AW48" s="471" cm="1">
        <f t="array" ref="AW48">SUM(MID(0&amp;AV48,LARGE(INDEX(ISNUMBER(--MID(AV48,ROW($1:$8),1))*ROW($1:$8),),ROW($1:$8))+1,1)*10^ROW($1:$8)/10)</f>
        <v>46224128</v>
      </c>
      <c r="AX48" s="471" t="str">
        <f>VLOOKUP($AW48,'Item Master Data'!$A:$F,3,FALSE)</f>
        <v>Q.PEAK DUO BLK G6+/AC</v>
      </c>
      <c r="AY48" s="471">
        <f>VLOOKUP($AW48,'Item Master Data'!$A:$F,6,FALSE)</f>
        <v>340</v>
      </c>
      <c r="AZ48" s="471">
        <f t="shared" si="9"/>
        <v>3.8461538461538464E-2</v>
      </c>
      <c r="BA48" s="471">
        <f>VLOOKUP(AW48,'Item Master Data'!$A:$G,7,FALSE)</f>
        <v>26</v>
      </c>
      <c r="BB48" s="471"/>
      <c r="BC48" s="471">
        <f t="shared" si="10"/>
        <v>0</v>
      </c>
    </row>
    <row r="49" spans="1:55">
      <c r="A49" s="495"/>
      <c r="B49" s="596">
        <v>44629</v>
      </c>
      <c r="C49" s="596">
        <v>44629</v>
      </c>
      <c r="D49" s="474" t="s">
        <v>86</v>
      </c>
      <c r="E49" s="336"/>
      <c r="F49" s="474"/>
      <c r="G49" s="380">
        <v>2022</v>
      </c>
      <c r="H49" s="474">
        <v>3</v>
      </c>
      <c r="I49" s="486">
        <v>127738</v>
      </c>
      <c r="J49" s="475">
        <v>44649</v>
      </c>
      <c r="K49" s="474" t="s">
        <v>2096</v>
      </c>
      <c r="L49" s="474" t="s">
        <v>2086</v>
      </c>
      <c r="M49" s="475">
        <v>44616</v>
      </c>
      <c r="N49" s="475">
        <v>44617</v>
      </c>
      <c r="O49" s="475"/>
      <c r="P49" s="475">
        <v>44630</v>
      </c>
      <c r="Q49" s="475">
        <v>44649</v>
      </c>
      <c r="R49" s="475">
        <v>44659</v>
      </c>
      <c r="S49" s="474" t="s">
        <v>88</v>
      </c>
      <c r="T49" s="474">
        <v>60</v>
      </c>
      <c r="U49" s="474">
        <v>46207128</v>
      </c>
      <c r="V49" s="486" t="s">
        <v>2097</v>
      </c>
      <c r="W49" s="474">
        <v>340</v>
      </c>
      <c r="X49" s="432">
        <v>3</v>
      </c>
      <c r="Y49" s="389">
        <f t="shared" si="0"/>
        <v>1020</v>
      </c>
      <c r="Z49" s="478">
        <f t="shared" si="11"/>
        <v>0.75</v>
      </c>
      <c r="AA49" s="479">
        <f t="shared" si="1"/>
        <v>765</v>
      </c>
      <c r="AB49" s="480"/>
      <c r="AC49" s="481">
        <f t="shared" si="12"/>
        <v>0</v>
      </c>
      <c r="AD49" s="474"/>
      <c r="AE49" s="482"/>
      <c r="AF49" s="493">
        <f t="shared" si="2"/>
        <v>765</v>
      </c>
      <c r="AG49" s="486" t="s">
        <v>1071</v>
      </c>
      <c r="AH49" s="486"/>
      <c r="AI49" s="486">
        <v>60</v>
      </c>
      <c r="AJ49" s="475" t="s">
        <v>2098</v>
      </c>
      <c r="AK49" s="486" t="s">
        <v>50</v>
      </c>
      <c r="AL49" s="483" t="s">
        <v>2099</v>
      </c>
      <c r="AM49" s="486" t="s">
        <v>52</v>
      </c>
      <c r="AN49" s="384" t="s">
        <v>1074</v>
      </c>
      <c r="AO49" s="474" t="s">
        <v>1076</v>
      </c>
      <c r="AP49" s="482"/>
      <c r="AQ49" s="482" t="s">
        <v>37</v>
      </c>
      <c r="AR49" s="482" t="s">
        <v>1216</v>
      </c>
      <c r="AS49" s="472" t="s">
        <v>1492</v>
      </c>
      <c r="AT49" s="472"/>
      <c r="AU49" s="478">
        <f t="shared" si="13"/>
        <v>0.52</v>
      </c>
      <c r="AV49" s="471">
        <f t="shared" si="8"/>
        <v>46207128</v>
      </c>
      <c r="AW49" s="471" cm="1">
        <f t="array" ref="AW49">SUM(MID(0&amp;AV49,LARGE(INDEX(ISNUMBER(--MID(AV49,ROW($1:$8),1))*ROW($1:$8),),ROW($1:$8))+1,1)*10^ROW($1:$8)/10)</f>
        <v>46207128</v>
      </c>
      <c r="AX49" s="471" t="str">
        <f>VLOOKUP($AW49,'Item Master Data'!$A:$F,3,FALSE)</f>
        <v>Q.PEAK DUO BLK G6+/AC</v>
      </c>
      <c r="AY49" s="471">
        <f>VLOOKUP($AW49,'Item Master Data'!$A:$F,6,FALSE)</f>
        <v>340</v>
      </c>
      <c r="AZ49" s="471">
        <f t="shared" si="9"/>
        <v>0.11538461538461539</v>
      </c>
      <c r="BA49" s="471">
        <f>VLOOKUP(AW49,'Item Master Data'!$A:$G,7,FALSE)</f>
        <v>26</v>
      </c>
      <c r="BB49" s="471"/>
      <c r="BC49" s="471">
        <f t="shared" si="10"/>
        <v>0</v>
      </c>
    </row>
    <row r="50" spans="1:55">
      <c r="A50" s="495"/>
      <c r="B50" s="596">
        <v>44629</v>
      </c>
      <c r="C50" s="596">
        <v>44629</v>
      </c>
      <c r="D50" s="474" t="s">
        <v>86</v>
      </c>
      <c r="E50" s="336"/>
      <c r="F50" s="474"/>
      <c r="G50" s="380">
        <v>2022</v>
      </c>
      <c r="H50" s="474">
        <v>3</v>
      </c>
      <c r="I50" s="486">
        <v>127738</v>
      </c>
      <c r="J50" s="475">
        <v>44649</v>
      </c>
      <c r="K50" s="474" t="s">
        <v>2096</v>
      </c>
      <c r="L50" s="474" t="s">
        <v>2086</v>
      </c>
      <c r="M50" s="475">
        <v>44616</v>
      </c>
      <c r="N50" s="475">
        <v>44617</v>
      </c>
      <c r="O50" s="475"/>
      <c r="P50" s="475">
        <v>44630</v>
      </c>
      <c r="Q50" s="475">
        <v>44649</v>
      </c>
      <c r="R50" s="475">
        <v>44659</v>
      </c>
      <c r="S50" s="474" t="s">
        <v>88</v>
      </c>
      <c r="T50" s="474">
        <v>60</v>
      </c>
      <c r="U50" s="474">
        <v>46213128</v>
      </c>
      <c r="V50" s="486" t="s">
        <v>2097</v>
      </c>
      <c r="W50" s="474">
        <v>340</v>
      </c>
      <c r="X50" s="432">
        <v>3</v>
      </c>
      <c r="Y50" s="389">
        <f t="shared" si="0"/>
        <v>1020</v>
      </c>
      <c r="Z50" s="478">
        <f t="shared" si="11"/>
        <v>0.75</v>
      </c>
      <c r="AA50" s="479">
        <f t="shared" si="1"/>
        <v>765</v>
      </c>
      <c r="AB50" s="480"/>
      <c r="AC50" s="481">
        <f t="shared" si="12"/>
        <v>0</v>
      </c>
      <c r="AD50" s="474"/>
      <c r="AE50" s="482"/>
      <c r="AF50" s="493">
        <f t="shared" si="2"/>
        <v>765</v>
      </c>
      <c r="AG50" s="486" t="s">
        <v>1071</v>
      </c>
      <c r="AH50" s="486"/>
      <c r="AI50" s="486">
        <v>60</v>
      </c>
      <c r="AJ50" s="475" t="s">
        <v>2098</v>
      </c>
      <c r="AK50" s="486" t="s">
        <v>50</v>
      </c>
      <c r="AL50" s="483" t="s">
        <v>2099</v>
      </c>
      <c r="AM50" s="486" t="s">
        <v>52</v>
      </c>
      <c r="AN50" s="384" t="s">
        <v>1074</v>
      </c>
      <c r="AO50" s="474" t="s">
        <v>1076</v>
      </c>
      <c r="AP50" s="482"/>
      <c r="AQ50" s="482" t="s">
        <v>37</v>
      </c>
      <c r="AR50" s="482" t="s">
        <v>1216</v>
      </c>
      <c r="AS50" s="472" t="s">
        <v>1492</v>
      </c>
      <c r="AT50" s="472"/>
      <c r="AU50" s="478">
        <f t="shared" si="13"/>
        <v>0.52</v>
      </c>
      <c r="AV50" s="471">
        <f t="shared" si="8"/>
        <v>46213128</v>
      </c>
      <c r="AW50" s="471" cm="1">
        <f t="array" ref="AW50">SUM(MID(0&amp;AV50,LARGE(INDEX(ISNUMBER(--MID(AV50,ROW($1:$8),1))*ROW($1:$8),),ROW($1:$8))+1,1)*10^ROW($1:$8)/10)</f>
        <v>46213128</v>
      </c>
      <c r="AX50" s="471" t="str">
        <f>VLOOKUP($AW50,'Item Master Data'!$A:$F,3,FALSE)</f>
        <v>Q.PEAK DUO BLK G6+/AC</v>
      </c>
      <c r="AY50" s="471">
        <f>VLOOKUP($AW50,'Item Master Data'!$A:$F,6,FALSE)</f>
        <v>340</v>
      </c>
      <c r="AZ50" s="471">
        <f t="shared" si="9"/>
        <v>0.11538461538461539</v>
      </c>
      <c r="BA50" s="471">
        <f>VLOOKUP(AW50,'Item Master Data'!$A:$G,7,FALSE)</f>
        <v>26</v>
      </c>
      <c r="BB50" s="471"/>
      <c r="BC50" s="471">
        <f t="shared" si="10"/>
        <v>0</v>
      </c>
    </row>
    <row r="51" spans="1:55">
      <c r="A51" s="495"/>
      <c r="B51" s="596">
        <v>44629</v>
      </c>
      <c r="C51" s="596">
        <v>44629</v>
      </c>
      <c r="D51" s="474" t="s">
        <v>86</v>
      </c>
      <c r="E51" s="336"/>
      <c r="F51" s="474"/>
      <c r="G51" s="380">
        <v>2022</v>
      </c>
      <c r="H51" s="474">
        <v>3</v>
      </c>
      <c r="I51" s="486">
        <v>127738</v>
      </c>
      <c r="J51" s="475">
        <v>44649</v>
      </c>
      <c r="K51" s="474" t="s">
        <v>2096</v>
      </c>
      <c r="L51" s="474" t="s">
        <v>2086</v>
      </c>
      <c r="M51" s="475">
        <v>44616</v>
      </c>
      <c r="N51" s="475">
        <v>44617</v>
      </c>
      <c r="O51" s="475"/>
      <c r="P51" s="475">
        <v>44630</v>
      </c>
      <c r="Q51" s="475">
        <v>44649</v>
      </c>
      <c r="R51" s="475">
        <v>44659</v>
      </c>
      <c r="S51" s="474" t="s">
        <v>88</v>
      </c>
      <c r="T51" s="474">
        <v>60</v>
      </c>
      <c r="U51" s="474">
        <v>46223128</v>
      </c>
      <c r="V51" s="486" t="s">
        <v>2097</v>
      </c>
      <c r="W51" s="474">
        <v>340</v>
      </c>
      <c r="X51" s="432">
        <v>3</v>
      </c>
      <c r="Y51" s="389">
        <f t="shared" si="0"/>
        <v>1020</v>
      </c>
      <c r="Z51" s="478">
        <f t="shared" si="11"/>
        <v>0.75</v>
      </c>
      <c r="AA51" s="479">
        <f t="shared" si="1"/>
        <v>765</v>
      </c>
      <c r="AB51" s="480"/>
      <c r="AC51" s="481">
        <f t="shared" si="12"/>
        <v>0</v>
      </c>
      <c r="AD51" s="474"/>
      <c r="AE51" s="482"/>
      <c r="AF51" s="493">
        <f t="shared" si="2"/>
        <v>765</v>
      </c>
      <c r="AG51" s="486" t="s">
        <v>1071</v>
      </c>
      <c r="AH51" s="486"/>
      <c r="AI51" s="486">
        <v>60</v>
      </c>
      <c r="AJ51" s="475" t="s">
        <v>2098</v>
      </c>
      <c r="AK51" s="486" t="s">
        <v>50</v>
      </c>
      <c r="AL51" s="483" t="s">
        <v>2099</v>
      </c>
      <c r="AM51" s="486" t="s">
        <v>52</v>
      </c>
      <c r="AN51" s="384" t="s">
        <v>1074</v>
      </c>
      <c r="AO51" s="474" t="s">
        <v>1076</v>
      </c>
      <c r="AP51" s="482"/>
      <c r="AQ51" s="482" t="s">
        <v>37</v>
      </c>
      <c r="AR51" s="482" t="s">
        <v>1216</v>
      </c>
      <c r="AS51" s="472" t="s">
        <v>1492</v>
      </c>
      <c r="AT51" s="472"/>
      <c r="AU51" s="478">
        <f t="shared" si="13"/>
        <v>0.52</v>
      </c>
      <c r="AV51" s="471">
        <f t="shared" si="8"/>
        <v>46223128</v>
      </c>
      <c r="AW51" s="471" cm="1">
        <f t="array" ref="AW51">SUM(MID(0&amp;AV51,LARGE(INDEX(ISNUMBER(--MID(AV51,ROW($1:$8),1))*ROW($1:$8),),ROW($1:$8))+1,1)*10^ROW($1:$8)/10)</f>
        <v>46223128</v>
      </c>
      <c r="AX51" s="471" t="str">
        <f>VLOOKUP($AW51,'Item Master Data'!$A:$F,3,FALSE)</f>
        <v>Q.PEAK DUO BLK G6+/AC</v>
      </c>
      <c r="AY51" s="471">
        <f>VLOOKUP($AW51,'Item Master Data'!$A:$F,6,FALSE)</f>
        <v>340</v>
      </c>
      <c r="AZ51" s="471">
        <f t="shared" si="9"/>
        <v>0.11538461538461539</v>
      </c>
      <c r="BA51" s="471">
        <f>VLOOKUP(AW51,'Item Master Data'!$A:$G,7,FALSE)</f>
        <v>26</v>
      </c>
      <c r="BB51" s="471"/>
      <c r="BC51" s="471">
        <f t="shared" si="10"/>
        <v>0</v>
      </c>
    </row>
    <row r="52" spans="1:55">
      <c r="A52" s="495"/>
      <c r="B52" s="407">
        <v>44545</v>
      </c>
      <c r="C52" s="407">
        <v>44599</v>
      </c>
      <c r="D52" s="485" t="s">
        <v>86</v>
      </c>
      <c r="E52" s="474" t="s">
        <v>2149</v>
      </c>
      <c r="F52" s="486" t="s">
        <v>1147</v>
      </c>
      <c r="G52" s="380">
        <v>2022</v>
      </c>
      <c r="H52" s="474">
        <v>3</v>
      </c>
      <c r="I52" s="474">
        <v>127428</v>
      </c>
      <c r="J52" s="475">
        <v>44628</v>
      </c>
      <c r="K52" s="474" t="s">
        <v>2150</v>
      </c>
      <c r="L52" s="474" t="s">
        <v>1703</v>
      </c>
      <c r="M52" s="475">
        <v>44404</v>
      </c>
      <c r="N52" s="475">
        <v>44547</v>
      </c>
      <c r="O52" s="475">
        <v>44587</v>
      </c>
      <c r="P52" s="475">
        <v>44616</v>
      </c>
      <c r="Q52" s="475">
        <v>44628</v>
      </c>
      <c r="R52" s="475">
        <v>44635</v>
      </c>
      <c r="S52" s="474" t="s">
        <v>1957</v>
      </c>
      <c r="T52" s="474">
        <v>60</v>
      </c>
      <c r="U52" s="486" t="s">
        <v>2087</v>
      </c>
      <c r="V52" s="474" t="s">
        <v>691</v>
      </c>
      <c r="W52" s="474">
        <v>340</v>
      </c>
      <c r="X52" s="432">
        <v>416</v>
      </c>
      <c r="Y52" s="389">
        <f t="shared" si="0"/>
        <v>141440</v>
      </c>
      <c r="Z52" s="478">
        <f>147.9/340</f>
        <v>0.435</v>
      </c>
      <c r="AA52" s="480">
        <f t="shared" si="1"/>
        <v>61526.400000000001</v>
      </c>
      <c r="AB52" s="480"/>
      <c r="AC52" s="481">
        <f t="shared" si="12"/>
        <v>0</v>
      </c>
      <c r="AD52" s="474"/>
      <c r="AE52" s="474"/>
      <c r="AF52" s="493">
        <f t="shared" si="2"/>
        <v>61526.400000000001</v>
      </c>
      <c r="AG52" s="474" t="s">
        <v>1071</v>
      </c>
      <c r="AH52" s="474"/>
      <c r="AI52" s="474">
        <v>60</v>
      </c>
      <c r="AJ52" s="475" t="s">
        <v>1709</v>
      </c>
      <c r="AK52" s="475" t="s">
        <v>1706</v>
      </c>
      <c r="AL52" s="483" t="s">
        <v>1710</v>
      </c>
      <c r="AM52" s="474" t="s">
        <v>52</v>
      </c>
      <c r="AN52" s="384" t="s">
        <v>1144</v>
      </c>
      <c r="AO52" s="474" t="s">
        <v>1076</v>
      </c>
      <c r="AP52" s="482" t="s">
        <v>38</v>
      </c>
      <c r="AQ52" s="474" t="s">
        <v>37</v>
      </c>
      <c r="AR52" s="474"/>
      <c r="AS52" s="473"/>
      <c r="AT52" s="473"/>
      <c r="AU52" s="478"/>
      <c r="AV52" s="471" t="str">
        <f t="shared" si="8"/>
        <v>30376609C</v>
      </c>
      <c r="AW52" s="471" cm="1">
        <f t="array" ref="AW52">SUM(MID(0&amp;AV52,LARGE(INDEX(ISNUMBER(--MID(AV52,ROW($1:$8),1))*ROW($1:$8),),ROW($1:$8))+1,1)*10^ROW($1:$8)/10)</f>
        <v>30376609</v>
      </c>
      <c r="AX52" s="471" t="str">
        <f>VLOOKUP($AW52,'Item Master Data'!$A:$F,3,FALSE)</f>
        <v>Q.PEAK DUO BLK G6+</v>
      </c>
      <c r="AY52" s="471">
        <f>VLOOKUP($AW52,'Item Master Data'!$A:$F,6,FALSE)</f>
        <v>340</v>
      </c>
      <c r="AZ52" s="471">
        <f t="shared" si="9"/>
        <v>13</v>
      </c>
      <c r="BA52" s="471">
        <f>VLOOKUP(AW52,'Item Master Data'!$A:$G,7,FALSE)</f>
        <v>32</v>
      </c>
      <c r="BB52" s="471"/>
      <c r="BC52" s="471">
        <f t="shared" si="10"/>
        <v>0</v>
      </c>
    </row>
    <row r="53" spans="1:55">
      <c r="A53" s="495">
        <v>10</v>
      </c>
      <c r="B53" s="407">
        <v>44628</v>
      </c>
      <c r="C53" s="407">
        <v>44628</v>
      </c>
      <c r="D53" s="485" t="s">
        <v>86</v>
      </c>
      <c r="E53" s="474" t="s">
        <v>1893</v>
      </c>
      <c r="F53" s="486"/>
      <c r="G53" s="380">
        <v>2022</v>
      </c>
      <c r="H53" s="474">
        <v>3</v>
      </c>
      <c r="I53" s="474">
        <v>127574</v>
      </c>
      <c r="J53" s="475">
        <v>44648</v>
      </c>
      <c r="K53" s="474" t="s">
        <v>2153</v>
      </c>
      <c r="L53" s="474" t="s">
        <v>1703</v>
      </c>
      <c r="M53" s="475">
        <v>44501</v>
      </c>
      <c r="N53" s="475">
        <v>44594</v>
      </c>
      <c r="O53" s="475">
        <v>44622</v>
      </c>
      <c r="P53" s="475">
        <v>44628</v>
      </c>
      <c r="Q53" s="475">
        <v>44648</v>
      </c>
      <c r="R53" s="475">
        <v>44650</v>
      </c>
      <c r="S53" s="474" t="s">
        <v>1957</v>
      </c>
      <c r="T53" s="474">
        <v>60</v>
      </c>
      <c r="U53" s="486" t="s">
        <v>1247</v>
      </c>
      <c r="V53" s="474" t="s">
        <v>973</v>
      </c>
      <c r="W53" s="474">
        <v>400</v>
      </c>
      <c r="X53" s="432">
        <v>768</v>
      </c>
      <c r="Y53" s="389">
        <f t="shared" si="0"/>
        <v>307200</v>
      </c>
      <c r="Z53" s="478">
        <f>220/400</f>
        <v>0.55000000000000004</v>
      </c>
      <c r="AA53" s="480">
        <f t="shared" si="1"/>
        <v>168960</v>
      </c>
      <c r="AB53" s="480"/>
      <c r="AC53" s="481">
        <f t="shared" si="12"/>
        <v>0</v>
      </c>
      <c r="AD53" s="474"/>
      <c r="AE53" s="474"/>
      <c r="AF53" s="493">
        <f t="shared" si="2"/>
        <v>168960</v>
      </c>
      <c r="AG53" s="474" t="s">
        <v>1071</v>
      </c>
      <c r="AH53" s="474"/>
      <c r="AI53" s="474">
        <v>60</v>
      </c>
      <c r="AJ53" s="475" t="s">
        <v>1705</v>
      </c>
      <c r="AK53" s="475" t="s">
        <v>1706</v>
      </c>
      <c r="AL53" s="483" t="s">
        <v>1707</v>
      </c>
      <c r="AM53" s="474" t="s">
        <v>52</v>
      </c>
      <c r="AN53" s="384" t="s">
        <v>50</v>
      </c>
      <c r="AO53" s="474" t="s">
        <v>1076</v>
      </c>
      <c r="AP53" s="482" t="s">
        <v>38</v>
      </c>
      <c r="AQ53" s="474" t="s">
        <v>37</v>
      </c>
      <c r="AR53" s="474"/>
      <c r="AS53" s="473"/>
      <c r="AT53" s="473"/>
      <c r="AU53" s="478"/>
      <c r="AV53" s="471" t="str">
        <f t="shared" si="8"/>
        <v>30390456C</v>
      </c>
      <c r="AW53" s="471" cm="1">
        <f t="array" ref="AW53">SUM(MID(0&amp;AV53,LARGE(INDEX(ISNUMBER(--MID(AV53,ROW($1:$8),1))*ROW($1:$8),),ROW($1:$8))+1,1)*10^ROW($1:$8)/10)</f>
        <v>30390456</v>
      </c>
      <c r="AX53" s="471" t="str">
        <f>VLOOKUP($AW53,'Item Master Data'!$A:$F,3,FALSE)</f>
        <v>Q.PEAK DUO BLK ML G10+</v>
      </c>
      <c r="AY53" s="471">
        <f>VLOOKUP($AW53,'Item Master Data'!$A:$F,6,FALSE)</f>
        <v>400</v>
      </c>
      <c r="AZ53" s="471">
        <f t="shared" si="9"/>
        <v>24</v>
      </c>
      <c r="BA53" s="471">
        <f>VLOOKUP(AW53,'Item Master Data'!$A:$G,7,FALSE)</f>
        <v>32</v>
      </c>
      <c r="BB53" s="471"/>
      <c r="BC53" s="471">
        <f t="shared" si="10"/>
        <v>0</v>
      </c>
    </row>
    <row r="54" spans="1:55">
      <c r="A54" s="495">
        <v>10</v>
      </c>
      <c r="B54" s="407">
        <v>44628</v>
      </c>
      <c r="C54" s="407">
        <v>44628</v>
      </c>
      <c r="D54" s="485" t="s">
        <v>86</v>
      </c>
      <c r="E54" s="474"/>
      <c r="F54" s="486"/>
      <c r="G54" s="380">
        <v>2022</v>
      </c>
      <c r="H54" s="474">
        <v>3</v>
      </c>
      <c r="I54" s="474">
        <v>127595</v>
      </c>
      <c r="J54" s="475">
        <v>44649</v>
      </c>
      <c r="K54" s="474" t="s">
        <v>2151</v>
      </c>
      <c r="L54" s="474" t="s">
        <v>1703</v>
      </c>
      <c r="M54" s="475">
        <v>44501</v>
      </c>
      <c r="N54" s="475">
        <v>44594</v>
      </c>
      <c r="O54" s="475">
        <v>44636</v>
      </c>
      <c r="P54" s="475">
        <v>44628</v>
      </c>
      <c r="Q54" s="475">
        <v>44649</v>
      </c>
      <c r="R54" s="475">
        <v>44651</v>
      </c>
      <c r="S54" s="474" t="s">
        <v>1957</v>
      </c>
      <c r="T54" s="474">
        <v>60</v>
      </c>
      <c r="U54" s="486" t="s">
        <v>1281</v>
      </c>
      <c r="V54" s="474" t="s">
        <v>973</v>
      </c>
      <c r="W54" s="474">
        <v>400</v>
      </c>
      <c r="X54" s="432">
        <v>768</v>
      </c>
      <c r="Y54" s="389">
        <f t="shared" si="0"/>
        <v>307200</v>
      </c>
      <c r="Z54" s="478">
        <f>220/400</f>
        <v>0.55000000000000004</v>
      </c>
      <c r="AA54" s="480">
        <f t="shared" si="1"/>
        <v>168960</v>
      </c>
      <c r="AB54" s="480"/>
      <c r="AC54" s="481">
        <f t="shared" si="12"/>
        <v>0</v>
      </c>
      <c r="AD54" s="474"/>
      <c r="AE54" s="474"/>
      <c r="AF54" s="493">
        <f t="shared" si="2"/>
        <v>168960</v>
      </c>
      <c r="AG54" s="474" t="s">
        <v>1071</v>
      </c>
      <c r="AH54" s="474"/>
      <c r="AI54" s="474">
        <v>60</v>
      </c>
      <c r="AJ54" s="475" t="s">
        <v>1705</v>
      </c>
      <c r="AK54" s="475" t="s">
        <v>1706</v>
      </c>
      <c r="AL54" s="483" t="s">
        <v>1707</v>
      </c>
      <c r="AM54" s="474" t="s">
        <v>52</v>
      </c>
      <c r="AN54" s="384" t="s">
        <v>50</v>
      </c>
      <c r="AO54" s="474" t="s">
        <v>1076</v>
      </c>
      <c r="AP54" s="482" t="s">
        <v>38</v>
      </c>
      <c r="AQ54" s="474" t="s">
        <v>37</v>
      </c>
      <c r="AR54" s="474"/>
      <c r="AS54" s="473"/>
      <c r="AT54" s="473"/>
      <c r="AU54" s="478"/>
      <c r="AV54" s="471" t="str">
        <f t="shared" si="8"/>
        <v>30390456H</v>
      </c>
      <c r="AW54" s="471" cm="1">
        <f t="array" ref="AW54">SUM(MID(0&amp;AV54,LARGE(INDEX(ISNUMBER(--MID(AV54,ROW($1:$8),1))*ROW($1:$8),),ROW($1:$8))+1,1)*10^ROW($1:$8)/10)</f>
        <v>30390456</v>
      </c>
      <c r="AX54" s="471" t="str">
        <f>VLOOKUP($AW54,'Item Master Data'!$A:$F,3,FALSE)</f>
        <v>Q.PEAK DUO BLK ML G10+</v>
      </c>
      <c r="AY54" s="471">
        <f>VLOOKUP($AW54,'Item Master Data'!$A:$F,6,FALSE)</f>
        <v>400</v>
      </c>
      <c r="AZ54" s="471">
        <f t="shared" si="9"/>
        <v>24</v>
      </c>
      <c r="BA54" s="471">
        <f>VLOOKUP(AW54,'Item Master Data'!$A:$G,7,FALSE)</f>
        <v>32</v>
      </c>
      <c r="BB54" s="471"/>
      <c r="BC54" s="471">
        <f t="shared" si="10"/>
        <v>0</v>
      </c>
    </row>
    <row r="55" spans="1:55">
      <c r="A55" s="495">
        <v>10</v>
      </c>
      <c r="B55" s="407">
        <v>44628</v>
      </c>
      <c r="C55" s="407">
        <v>44628</v>
      </c>
      <c r="D55" s="485" t="s">
        <v>86</v>
      </c>
      <c r="E55" s="474"/>
      <c r="F55" s="486"/>
      <c r="G55" s="380">
        <v>2022</v>
      </c>
      <c r="H55" s="474">
        <v>3</v>
      </c>
      <c r="I55" s="474">
        <v>127664</v>
      </c>
      <c r="J55" s="475">
        <v>44650</v>
      </c>
      <c r="K55" s="474" t="s">
        <v>2152</v>
      </c>
      <c r="L55" s="474" t="s">
        <v>1703</v>
      </c>
      <c r="M55" s="475">
        <v>44501</v>
      </c>
      <c r="N55" s="475">
        <v>44594</v>
      </c>
      <c r="O55" s="475">
        <v>44642</v>
      </c>
      <c r="P55" s="475">
        <v>44628</v>
      </c>
      <c r="Q55" s="475">
        <v>44650</v>
      </c>
      <c r="R55" s="475">
        <v>44652</v>
      </c>
      <c r="S55" s="474" t="s">
        <v>1957</v>
      </c>
      <c r="T55" s="474">
        <v>60</v>
      </c>
      <c r="U55" s="486" t="s">
        <v>1281</v>
      </c>
      <c r="V55" s="474" t="s">
        <v>973</v>
      </c>
      <c r="W55" s="474">
        <v>400</v>
      </c>
      <c r="X55" s="432">
        <v>768</v>
      </c>
      <c r="Y55" s="389">
        <f t="shared" si="0"/>
        <v>307200</v>
      </c>
      <c r="Z55" s="478">
        <f>220/400</f>
        <v>0.55000000000000004</v>
      </c>
      <c r="AA55" s="480">
        <f t="shared" si="1"/>
        <v>168960</v>
      </c>
      <c r="AB55" s="480"/>
      <c r="AC55" s="481">
        <f t="shared" si="12"/>
        <v>0</v>
      </c>
      <c r="AD55" s="474"/>
      <c r="AE55" s="474"/>
      <c r="AF55" s="493">
        <f t="shared" si="2"/>
        <v>168960</v>
      </c>
      <c r="AG55" s="474" t="s">
        <v>1071</v>
      </c>
      <c r="AH55" s="474"/>
      <c r="AI55" s="474">
        <v>60</v>
      </c>
      <c r="AJ55" s="475" t="s">
        <v>1705</v>
      </c>
      <c r="AK55" s="475" t="s">
        <v>1706</v>
      </c>
      <c r="AL55" s="483" t="s">
        <v>1707</v>
      </c>
      <c r="AM55" s="474" t="s">
        <v>52</v>
      </c>
      <c r="AN55" s="384" t="s">
        <v>50</v>
      </c>
      <c r="AO55" s="474" t="s">
        <v>1076</v>
      </c>
      <c r="AP55" s="482" t="s">
        <v>38</v>
      </c>
      <c r="AQ55" s="474" t="s">
        <v>37</v>
      </c>
      <c r="AR55" s="474"/>
      <c r="AS55" s="473"/>
      <c r="AT55" s="473"/>
      <c r="AU55" s="478"/>
      <c r="AV55" s="471" t="str">
        <f t="shared" si="8"/>
        <v>30390456H</v>
      </c>
      <c r="AW55" s="471" cm="1">
        <f t="array" ref="AW55">SUM(MID(0&amp;AV55,LARGE(INDEX(ISNUMBER(--MID(AV55,ROW($1:$8),1))*ROW($1:$8),),ROW($1:$8))+1,1)*10^ROW($1:$8)/10)</f>
        <v>30390456</v>
      </c>
      <c r="AX55" s="471" t="str">
        <f>VLOOKUP($AW55,'Item Master Data'!$A:$F,3,FALSE)</f>
        <v>Q.PEAK DUO BLK ML G10+</v>
      </c>
      <c r="AY55" s="471">
        <f>VLOOKUP($AW55,'Item Master Data'!$A:$F,6,FALSE)</f>
        <v>400</v>
      </c>
      <c r="AZ55" s="471">
        <f t="shared" si="9"/>
        <v>24</v>
      </c>
      <c r="BA55" s="471">
        <f>VLOOKUP(AW55,'Item Master Data'!$A:$G,7,FALSE)</f>
        <v>32</v>
      </c>
      <c r="BB55" s="471"/>
      <c r="BC55" s="471">
        <f t="shared" si="10"/>
        <v>0</v>
      </c>
    </row>
    <row r="56" spans="1:55">
      <c r="A56" s="495"/>
      <c r="B56" s="407">
        <v>44629</v>
      </c>
      <c r="C56" s="407">
        <v>44629</v>
      </c>
      <c r="D56" s="485" t="s">
        <v>86</v>
      </c>
      <c r="E56" s="474" t="s">
        <v>5450</v>
      </c>
      <c r="F56" s="486"/>
      <c r="G56" s="380">
        <v>2022</v>
      </c>
      <c r="H56" s="474">
        <v>3</v>
      </c>
      <c r="I56" s="474">
        <v>127879</v>
      </c>
      <c r="J56" s="475">
        <v>44650</v>
      </c>
      <c r="K56" s="474" t="s">
        <v>1702</v>
      </c>
      <c r="L56" s="474" t="s">
        <v>1703</v>
      </c>
      <c r="M56" s="475">
        <v>44547</v>
      </c>
      <c r="N56" s="475">
        <v>44599</v>
      </c>
      <c r="O56" s="475"/>
      <c r="P56" s="475">
        <v>44629</v>
      </c>
      <c r="Q56" s="475">
        <v>44650</v>
      </c>
      <c r="R56" s="475">
        <v>44655</v>
      </c>
      <c r="S56" s="474" t="s">
        <v>1704</v>
      </c>
      <c r="T56" s="474">
        <v>60</v>
      </c>
      <c r="U56" s="486">
        <v>49201132</v>
      </c>
      <c r="V56" s="474" t="s">
        <v>986</v>
      </c>
      <c r="W56" s="474">
        <v>360</v>
      </c>
      <c r="X56" s="432">
        <v>832</v>
      </c>
      <c r="Y56" s="389">
        <f t="shared" si="0"/>
        <v>299520</v>
      </c>
      <c r="Z56" s="348">
        <f>190.8/360</f>
        <v>0.53</v>
      </c>
      <c r="AA56" s="480">
        <f t="shared" si="1"/>
        <v>158745.60000000001</v>
      </c>
      <c r="AB56" s="480"/>
      <c r="AC56" s="481">
        <f t="shared" si="12"/>
        <v>0</v>
      </c>
      <c r="AD56" s="474"/>
      <c r="AE56" s="474"/>
      <c r="AF56" s="493">
        <f t="shared" si="2"/>
        <v>158745.60000000001</v>
      </c>
      <c r="AG56" s="474" t="s">
        <v>1071</v>
      </c>
      <c r="AH56" s="474"/>
      <c r="AI56" s="474">
        <v>60</v>
      </c>
      <c r="AJ56" s="475" t="s">
        <v>1705</v>
      </c>
      <c r="AK56" s="475" t="s">
        <v>1706</v>
      </c>
      <c r="AL56" s="483" t="s">
        <v>1707</v>
      </c>
      <c r="AM56" s="474" t="s">
        <v>52</v>
      </c>
      <c r="AN56" s="384" t="s">
        <v>1695</v>
      </c>
      <c r="AO56" s="474" t="s">
        <v>1076</v>
      </c>
      <c r="AP56" s="482"/>
      <c r="AQ56" s="474" t="s">
        <v>37</v>
      </c>
      <c r="AR56" s="474"/>
      <c r="AS56" s="473"/>
      <c r="AT56" s="473"/>
      <c r="AU56" s="478">
        <f>180/360</f>
        <v>0.5</v>
      </c>
      <c r="AV56" s="471">
        <f t="shared" si="8"/>
        <v>49201132</v>
      </c>
      <c r="AW56" s="471" cm="1">
        <f t="array" ref="AW56">SUM(MID(0&amp;AV56,LARGE(INDEX(ISNUMBER(--MID(AV56,ROW($1:$8),1))*ROW($1:$8),),ROW($1:$8))+1,1)*10^ROW($1:$8)/10)</f>
        <v>49201132</v>
      </c>
      <c r="AX56" s="471" t="str">
        <f>VLOOKUP($AW56,'Item Master Data'!$A:$F,3,FALSE)</f>
        <v>Q.PEAK DUO BLK G10+</v>
      </c>
      <c r="AY56" s="471">
        <f>VLOOKUP($AW56,'Item Master Data'!$A:$F,6,FALSE)</f>
        <v>360</v>
      </c>
      <c r="AZ56" s="471">
        <f t="shared" si="9"/>
        <v>26</v>
      </c>
      <c r="BA56" s="471">
        <f>VLOOKUP(AW56,'Item Master Data'!$A:$G,7,FALSE)</f>
        <v>32</v>
      </c>
      <c r="BB56" s="471"/>
      <c r="BC56" s="471">
        <f t="shared" si="10"/>
        <v>0</v>
      </c>
    </row>
    <row r="57" spans="1:55">
      <c r="A57" s="495"/>
      <c r="B57" s="407">
        <v>44629</v>
      </c>
      <c r="C57" s="407">
        <v>44629</v>
      </c>
      <c r="D57" s="485" t="s">
        <v>86</v>
      </c>
      <c r="E57" s="474"/>
      <c r="F57" s="486"/>
      <c r="G57" s="380">
        <v>2022</v>
      </c>
      <c r="H57" s="474">
        <v>3</v>
      </c>
      <c r="I57" s="524">
        <v>127791</v>
      </c>
      <c r="J57" s="538">
        <v>44650</v>
      </c>
      <c r="K57" s="474" t="s">
        <v>1708</v>
      </c>
      <c r="L57" s="474" t="s">
        <v>1703</v>
      </c>
      <c r="M57" s="475">
        <v>44547</v>
      </c>
      <c r="N57" s="475">
        <v>44627</v>
      </c>
      <c r="O57" s="475"/>
      <c r="P57" s="475">
        <v>44629</v>
      </c>
      <c r="Q57" s="475">
        <v>44650</v>
      </c>
      <c r="R57" s="475">
        <v>44655</v>
      </c>
      <c r="S57" s="474" t="s">
        <v>1704</v>
      </c>
      <c r="T57" s="474">
        <v>60</v>
      </c>
      <c r="U57" s="486">
        <v>49201132</v>
      </c>
      <c r="V57" s="474" t="s">
        <v>986</v>
      </c>
      <c r="W57" s="474">
        <v>360</v>
      </c>
      <c r="X57" s="432">
        <v>704</v>
      </c>
      <c r="Y57" s="389">
        <f t="shared" si="0"/>
        <v>253440</v>
      </c>
      <c r="Z57" s="348">
        <f>190.8/360</f>
        <v>0.53</v>
      </c>
      <c r="AA57" s="480">
        <f t="shared" si="1"/>
        <v>134323.20000000001</v>
      </c>
      <c r="AB57" s="480"/>
      <c r="AC57" s="481">
        <f t="shared" si="12"/>
        <v>0</v>
      </c>
      <c r="AD57" s="474"/>
      <c r="AE57" s="474"/>
      <c r="AF57" s="493">
        <f t="shared" si="2"/>
        <v>134323.20000000001</v>
      </c>
      <c r="AG57" s="474" t="s">
        <v>1071</v>
      </c>
      <c r="AH57" s="474"/>
      <c r="AI57" s="474">
        <v>60</v>
      </c>
      <c r="AJ57" s="475" t="s">
        <v>1709</v>
      </c>
      <c r="AK57" s="475" t="s">
        <v>1706</v>
      </c>
      <c r="AL57" s="483" t="s">
        <v>1710</v>
      </c>
      <c r="AM57" s="474" t="s">
        <v>52</v>
      </c>
      <c r="AN57" s="384" t="s">
        <v>1695</v>
      </c>
      <c r="AO57" s="474" t="s">
        <v>1076</v>
      </c>
      <c r="AP57" s="482"/>
      <c r="AQ57" s="474" t="s">
        <v>37</v>
      </c>
      <c r="AR57" s="474"/>
      <c r="AS57" s="473"/>
      <c r="AT57" s="473"/>
      <c r="AU57" s="478">
        <f>180/360</f>
        <v>0.5</v>
      </c>
      <c r="AV57" s="471">
        <f t="shared" si="8"/>
        <v>49201132</v>
      </c>
      <c r="AW57" s="471" cm="1">
        <f t="array" ref="AW57">SUM(MID(0&amp;AV57,LARGE(INDEX(ISNUMBER(--MID(AV57,ROW($1:$8),1))*ROW($1:$8),),ROW($1:$8))+1,1)*10^ROW($1:$8)/10)</f>
        <v>49201132</v>
      </c>
      <c r="AX57" s="471" t="str">
        <f>VLOOKUP($AW57,'Item Master Data'!$A:$F,3,FALSE)</f>
        <v>Q.PEAK DUO BLK G10+</v>
      </c>
      <c r="AY57" s="471">
        <f>VLOOKUP($AW57,'Item Master Data'!$A:$F,6,FALSE)</f>
        <v>360</v>
      </c>
      <c r="AZ57" s="471">
        <f t="shared" si="9"/>
        <v>22</v>
      </c>
      <c r="BA57" s="471">
        <f>VLOOKUP(AW57,'Item Master Data'!$A:$G,7,FALSE)</f>
        <v>32</v>
      </c>
      <c r="BB57" s="471"/>
      <c r="BC57" s="471">
        <f t="shared" si="10"/>
        <v>0</v>
      </c>
    </row>
    <row r="58" spans="1:55">
      <c r="A58" s="495"/>
      <c r="B58" s="407">
        <v>44629</v>
      </c>
      <c r="C58" s="407">
        <v>44629</v>
      </c>
      <c r="D58" s="485" t="s">
        <v>86</v>
      </c>
      <c r="E58" s="474" t="s">
        <v>1711</v>
      </c>
      <c r="F58" s="486"/>
      <c r="G58" s="380">
        <v>2022</v>
      </c>
      <c r="H58" s="474">
        <v>3</v>
      </c>
      <c r="I58" s="524">
        <v>127873</v>
      </c>
      <c r="J58" s="538">
        <v>44650</v>
      </c>
      <c r="K58" s="524" t="s">
        <v>1708</v>
      </c>
      <c r="L58" s="524" t="s">
        <v>1703</v>
      </c>
      <c r="M58" s="475">
        <v>44547</v>
      </c>
      <c r="N58" s="475">
        <v>44627</v>
      </c>
      <c r="O58" s="475"/>
      <c r="P58" s="475">
        <v>44629</v>
      </c>
      <c r="Q58" s="475">
        <v>44650</v>
      </c>
      <c r="R58" s="475">
        <v>44655</v>
      </c>
      <c r="S58" s="474" t="s">
        <v>1704</v>
      </c>
      <c r="T58" s="474">
        <v>60</v>
      </c>
      <c r="U58" s="486">
        <v>49201132</v>
      </c>
      <c r="V58" s="474" t="s">
        <v>986</v>
      </c>
      <c r="W58" s="474">
        <v>360</v>
      </c>
      <c r="X58" s="432">
        <v>128</v>
      </c>
      <c r="Y58" s="389">
        <f t="shared" si="0"/>
        <v>46080</v>
      </c>
      <c r="Z58" s="348">
        <f>190.8/360</f>
        <v>0.53</v>
      </c>
      <c r="AA58" s="480">
        <f t="shared" si="1"/>
        <v>24422.400000000001</v>
      </c>
      <c r="AB58" s="480"/>
      <c r="AC58" s="481">
        <f t="shared" si="12"/>
        <v>0</v>
      </c>
      <c r="AD58" s="474"/>
      <c r="AE58" s="474"/>
      <c r="AF58" s="493">
        <f t="shared" si="2"/>
        <v>24422.400000000001</v>
      </c>
      <c r="AG58" s="474" t="s">
        <v>1071</v>
      </c>
      <c r="AH58" s="474"/>
      <c r="AI58" s="474">
        <v>60</v>
      </c>
      <c r="AJ58" s="475" t="s">
        <v>1709</v>
      </c>
      <c r="AK58" s="475" t="s">
        <v>1706</v>
      </c>
      <c r="AL58" s="483" t="s">
        <v>1710</v>
      </c>
      <c r="AM58" s="474" t="s">
        <v>52</v>
      </c>
      <c r="AN58" s="384" t="s">
        <v>1695</v>
      </c>
      <c r="AO58" s="474" t="s">
        <v>1076</v>
      </c>
      <c r="AP58" s="482"/>
      <c r="AQ58" s="474" t="s">
        <v>37</v>
      </c>
      <c r="AR58" s="474"/>
      <c r="AS58" s="473"/>
      <c r="AT58" s="473"/>
      <c r="AU58" s="478">
        <f>180/360</f>
        <v>0.5</v>
      </c>
      <c r="AV58" s="471">
        <f t="shared" si="8"/>
        <v>49201132</v>
      </c>
      <c r="AW58" s="471" cm="1">
        <f t="array" ref="AW58">SUM(MID(0&amp;AV58,LARGE(INDEX(ISNUMBER(--MID(AV58,ROW($1:$8),1))*ROW($1:$8),),ROW($1:$8))+1,1)*10^ROW($1:$8)/10)</f>
        <v>49201132</v>
      </c>
      <c r="AX58" s="471" t="str">
        <f>VLOOKUP($AW58,'Item Master Data'!$A:$F,3,FALSE)</f>
        <v>Q.PEAK DUO BLK G10+</v>
      </c>
      <c r="AY58" s="471">
        <f>VLOOKUP($AW58,'Item Master Data'!$A:$F,6,FALSE)</f>
        <v>360</v>
      </c>
      <c r="AZ58" s="471">
        <f t="shared" si="9"/>
        <v>4</v>
      </c>
      <c r="BA58" s="471">
        <f>VLOOKUP(AW58,'Item Master Data'!$A:$G,7,FALSE)</f>
        <v>32</v>
      </c>
      <c r="BB58" s="471"/>
      <c r="BC58" s="471">
        <f t="shared" si="10"/>
        <v>0</v>
      </c>
    </row>
    <row r="59" spans="1:55">
      <c r="A59" s="495">
        <v>10</v>
      </c>
      <c r="B59" s="407">
        <v>44627</v>
      </c>
      <c r="C59" s="407">
        <v>44628</v>
      </c>
      <c r="D59" s="485" t="s">
        <v>86</v>
      </c>
      <c r="E59" s="474" t="s">
        <v>2154</v>
      </c>
      <c r="F59" s="486"/>
      <c r="G59" s="380">
        <v>2022</v>
      </c>
      <c r="H59" s="474">
        <v>3</v>
      </c>
      <c r="I59" s="474">
        <v>127497</v>
      </c>
      <c r="J59" s="475">
        <v>44643</v>
      </c>
      <c r="K59" s="474" t="s">
        <v>2155</v>
      </c>
      <c r="L59" s="474" t="s">
        <v>2045</v>
      </c>
      <c r="M59" s="475">
        <v>44505</v>
      </c>
      <c r="N59" s="475">
        <v>44620</v>
      </c>
      <c r="O59" s="475">
        <v>44634</v>
      </c>
      <c r="P59" s="475">
        <v>44630</v>
      </c>
      <c r="Q59" s="475">
        <v>44643</v>
      </c>
      <c r="R59" s="475">
        <v>44645</v>
      </c>
      <c r="S59" s="474" t="s">
        <v>1957</v>
      </c>
      <c r="T59" s="474">
        <v>60</v>
      </c>
      <c r="U59" s="486" t="s">
        <v>1247</v>
      </c>
      <c r="V59" s="474" t="s">
        <v>973</v>
      </c>
      <c r="W59" s="474">
        <v>400</v>
      </c>
      <c r="X59" s="432">
        <v>384</v>
      </c>
      <c r="Y59" s="389">
        <f t="shared" si="0"/>
        <v>153600</v>
      </c>
      <c r="Z59" s="478">
        <f>220/400</f>
        <v>0.55000000000000004</v>
      </c>
      <c r="AA59" s="480">
        <f t="shared" si="1"/>
        <v>84480</v>
      </c>
      <c r="AB59" s="480"/>
      <c r="AC59" s="481">
        <f t="shared" si="12"/>
        <v>0</v>
      </c>
      <c r="AD59" s="474"/>
      <c r="AE59" s="474"/>
      <c r="AF59" s="493">
        <f t="shared" si="2"/>
        <v>84480</v>
      </c>
      <c r="AG59" s="474" t="s">
        <v>1071</v>
      </c>
      <c r="AH59" s="474"/>
      <c r="AI59" s="474">
        <v>60</v>
      </c>
      <c r="AJ59" s="475" t="s">
        <v>2046</v>
      </c>
      <c r="AK59" s="475" t="s">
        <v>1706</v>
      </c>
      <c r="AL59" s="483">
        <v>99217</v>
      </c>
      <c r="AM59" s="474" t="s">
        <v>52</v>
      </c>
      <c r="AN59" s="384" t="s">
        <v>50</v>
      </c>
      <c r="AO59" s="474" t="s">
        <v>1076</v>
      </c>
      <c r="AP59" s="482" t="s">
        <v>38</v>
      </c>
      <c r="AQ59" s="474" t="s">
        <v>37</v>
      </c>
      <c r="AR59" s="474" t="s">
        <v>1677</v>
      </c>
      <c r="AS59" s="473" t="s">
        <v>1492</v>
      </c>
      <c r="AT59" s="473"/>
      <c r="AU59" s="478">
        <f>182/400</f>
        <v>0.45500000000000002</v>
      </c>
      <c r="AV59" s="471" t="str">
        <f t="shared" si="8"/>
        <v>30390456C</v>
      </c>
      <c r="AW59" s="471" cm="1">
        <f t="array" ref="AW59">SUM(MID(0&amp;AV59,LARGE(INDEX(ISNUMBER(--MID(AV59,ROW($1:$8),1))*ROW($1:$8),),ROW($1:$8))+1,1)*10^ROW($1:$8)/10)</f>
        <v>30390456</v>
      </c>
      <c r="AX59" s="471" t="str">
        <f>VLOOKUP($AW59,'Item Master Data'!$A:$F,3,FALSE)</f>
        <v>Q.PEAK DUO BLK ML G10+</v>
      </c>
      <c r="AY59" s="471">
        <f>VLOOKUP($AW59,'Item Master Data'!$A:$F,6,FALSE)</f>
        <v>400</v>
      </c>
      <c r="AZ59" s="471">
        <f t="shared" si="9"/>
        <v>12</v>
      </c>
      <c r="BA59" s="471">
        <f>VLOOKUP(AW59,'Item Master Data'!$A:$G,7,FALSE)</f>
        <v>32</v>
      </c>
      <c r="BB59" s="471"/>
      <c r="BC59" s="471">
        <f t="shared" si="10"/>
        <v>0</v>
      </c>
    </row>
    <row r="60" spans="1:55">
      <c r="A60" s="495">
        <v>10</v>
      </c>
      <c r="B60" s="407">
        <v>44627</v>
      </c>
      <c r="C60" s="407">
        <v>44628</v>
      </c>
      <c r="D60" s="485" t="s">
        <v>86</v>
      </c>
      <c r="E60" s="474" t="s">
        <v>2154</v>
      </c>
      <c r="F60" s="486"/>
      <c r="G60" s="380">
        <v>2022</v>
      </c>
      <c r="H60" s="474">
        <v>3</v>
      </c>
      <c r="I60" s="474">
        <v>127498</v>
      </c>
      <c r="J60" s="475">
        <v>44643</v>
      </c>
      <c r="K60" s="474" t="s">
        <v>2155</v>
      </c>
      <c r="L60" s="474" t="s">
        <v>2045</v>
      </c>
      <c r="M60" s="475">
        <v>44505</v>
      </c>
      <c r="N60" s="475">
        <v>44620</v>
      </c>
      <c r="O60" s="475">
        <v>44634</v>
      </c>
      <c r="P60" s="475">
        <v>44630</v>
      </c>
      <c r="Q60" s="475">
        <v>44643</v>
      </c>
      <c r="R60" s="475">
        <v>44645</v>
      </c>
      <c r="S60" s="474" t="s">
        <v>1957</v>
      </c>
      <c r="T60" s="474">
        <v>60</v>
      </c>
      <c r="U60" s="486" t="s">
        <v>1247</v>
      </c>
      <c r="V60" s="474" t="s">
        <v>973</v>
      </c>
      <c r="W60" s="474">
        <v>400</v>
      </c>
      <c r="X60" s="432">
        <v>384</v>
      </c>
      <c r="Y60" s="389">
        <f t="shared" si="0"/>
        <v>153600</v>
      </c>
      <c r="Z60" s="478">
        <f>220/400</f>
        <v>0.55000000000000004</v>
      </c>
      <c r="AA60" s="480">
        <f t="shared" si="1"/>
        <v>84480</v>
      </c>
      <c r="AB60" s="480"/>
      <c r="AC60" s="481">
        <f t="shared" si="12"/>
        <v>0</v>
      </c>
      <c r="AD60" s="474"/>
      <c r="AE60" s="474"/>
      <c r="AF60" s="493">
        <f t="shared" si="2"/>
        <v>84480</v>
      </c>
      <c r="AG60" s="474" t="s">
        <v>1071</v>
      </c>
      <c r="AH60" s="474"/>
      <c r="AI60" s="474">
        <v>60</v>
      </c>
      <c r="AJ60" s="475" t="s">
        <v>1705</v>
      </c>
      <c r="AK60" s="475" t="s">
        <v>1706</v>
      </c>
      <c r="AL60" s="483" t="s">
        <v>1707</v>
      </c>
      <c r="AM60" s="474" t="s">
        <v>52</v>
      </c>
      <c r="AN60" s="384" t="s">
        <v>50</v>
      </c>
      <c r="AO60" s="474" t="s">
        <v>1076</v>
      </c>
      <c r="AP60" s="482" t="s">
        <v>38</v>
      </c>
      <c r="AQ60" s="474" t="s">
        <v>37</v>
      </c>
      <c r="AR60" s="474" t="s">
        <v>1677</v>
      </c>
      <c r="AS60" s="473" t="s">
        <v>1492</v>
      </c>
      <c r="AT60" s="473"/>
      <c r="AU60" s="478">
        <f>182/400</f>
        <v>0.45500000000000002</v>
      </c>
      <c r="AV60" s="471" t="str">
        <f t="shared" si="8"/>
        <v>30390456C</v>
      </c>
      <c r="AW60" s="471" cm="1">
        <f t="array" ref="AW60">SUM(MID(0&amp;AV60,LARGE(INDEX(ISNUMBER(--MID(AV60,ROW($1:$8),1))*ROW($1:$8),),ROW($1:$8))+1,1)*10^ROW($1:$8)/10)</f>
        <v>30390456</v>
      </c>
      <c r="AX60" s="471" t="str">
        <f>VLOOKUP($AW60,'Item Master Data'!$A:$F,3,FALSE)</f>
        <v>Q.PEAK DUO BLK ML G10+</v>
      </c>
      <c r="AY60" s="471">
        <f>VLOOKUP($AW60,'Item Master Data'!$A:$F,6,FALSE)</f>
        <v>400</v>
      </c>
      <c r="AZ60" s="471">
        <f t="shared" si="9"/>
        <v>12</v>
      </c>
      <c r="BA60" s="471">
        <f>VLOOKUP(AW60,'Item Master Data'!$A:$G,7,FALSE)</f>
        <v>32</v>
      </c>
      <c r="BB60" s="471"/>
      <c r="BC60" s="471">
        <f t="shared" si="10"/>
        <v>0</v>
      </c>
    </row>
    <row r="61" spans="1:55">
      <c r="A61" s="495">
        <v>10</v>
      </c>
      <c r="B61" s="407">
        <v>44630</v>
      </c>
      <c r="C61" s="407">
        <v>44631</v>
      </c>
      <c r="D61" s="485" t="s">
        <v>86</v>
      </c>
      <c r="E61" s="474"/>
      <c r="F61" s="486" t="s">
        <v>1147</v>
      </c>
      <c r="G61" s="380">
        <v>2022</v>
      </c>
      <c r="H61" s="474">
        <v>3</v>
      </c>
      <c r="I61" s="474">
        <v>127665</v>
      </c>
      <c r="J61" s="475">
        <v>44645</v>
      </c>
      <c r="K61" s="474" t="s">
        <v>2156</v>
      </c>
      <c r="L61" s="474" t="s">
        <v>2049</v>
      </c>
      <c r="M61" s="475">
        <v>44488</v>
      </c>
      <c r="N61" s="475">
        <v>44641</v>
      </c>
      <c r="O61" s="475"/>
      <c r="P61" s="475">
        <v>44631</v>
      </c>
      <c r="Q61" s="475">
        <v>44645</v>
      </c>
      <c r="R61" s="475">
        <v>44645</v>
      </c>
      <c r="S61" s="474" t="s">
        <v>1688</v>
      </c>
      <c r="T61" s="474">
        <v>60</v>
      </c>
      <c r="U61" s="486" t="s">
        <v>1281</v>
      </c>
      <c r="V61" s="474" t="s">
        <v>973</v>
      </c>
      <c r="W61" s="474">
        <v>400</v>
      </c>
      <c r="X61" s="432">
        <v>832</v>
      </c>
      <c r="Y61" s="389">
        <f t="shared" si="0"/>
        <v>332800</v>
      </c>
      <c r="Z61" s="478">
        <f>220/400</f>
        <v>0.55000000000000004</v>
      </c>
      <c r="AA61" s="480">
        <f t="shared" si="1"/>
        <v>183040.00000000003</v>
      </c>
      <c r="AB61" s="480"/>
      <c r="AC61" s="481">
        <f t="shared" si="12"/>
        <v>0</v>
      </c>
      <c r="AD61" s="474"/>
      <c r="AE61" s="474"/>
      <c r="AF61" s="493">
        <f t="shared" si="2"/>
        <v>183040.00000000003</v>
      </c>
      <c r="AG61" s="474" t="s">
        <v>1071</v>
      </c>
      <c r="AH61" s="474"/>
      <c r="AI61" s="474">
        <v>60</v>
      </c>
      <c r="AJ61" s="475" t="s">
        <v>2050</v>
      </c>
      <c r="AK61" s="475" t="s">
        <v>50</v>
      </c>
      <c r="AL61" s="483" t="s">
        <v>2051</v>
      </c>
      <c r="AM61" s="474" t="s">
        <v>52</v>
      </c>
      <c r="AN61" s="384" t="s">
        <v>1963</v>
      </c>
      <c r="AO61" s="474" t="s">
        <v>1076</v>
      </c>
      <c r="AP61" s="482" t="s">
        <v>38</v>
      </c>
      <c r="AQ61" s="474" t="s">
        <v>37</v>
      </c>
      <c r="AR61" s="474" t="s">
        <v>1248</v>
      </c>
      <c r="AS61" s="473"/>
      <c r="AT61" s="473"/>
      <c r="AU61" s="478">
        <f>186/400</f>
        <v>0.46500000000000002</v>
      </c>
      <c r="AV61" s="471" t="str">
        <f t="shared" si="8"/>
        <v>30390456H</v>
      </c>
      <c r="AW61" s="471" cm="1">
        <f t="array" ref="AW61">SUM(MID(0&amp;AV61,LARGE(INDEX(ISNUMBER(--MID(AV61,ROW($1:$8),1))*ROW($1:$8),),ROW($1:$8))+1,1)*10^ROW($1:$8)/10)</f>
        <v>30390456</v>
      </c>
      <c r="AX61" s="471" t="str">
        <f>VLOOKUP($AW61,'Item Master Data'!$A:$F,3,FALSE)</f>
        <v>Q.PEAK DUO BLK ML G10+</v>
      </c>
      <c r="AY61" s="471">
        <f>VLOOKUP($AW61,'Item Master Data'!$A:$F,6,FALSE)</f>
        <v>400</v>
      </c>
      <c r="AZ61" s="471">
        <f t="shared" si="9"/>
        <v>26</v>
      </c>
      <c r="BA61" s="471">
        <f>VLOOKUP(AW61,'Item Master Data'!$A:$G,7,FALSE)</f>
        <v>32</v>
      </c>
      <c r="BB61" s="471"/>
      <c r="BC61" s="471">
        <f t="shared" si="10"/>
        <v>0</v>
      </c>
    </row>
    <row r="62" spans="1:55">
      <c r="A62" s="495"/>
      <c r="B62" s="407">
        <v>44631</v>
      </c>
      <c r="C62" s="407">
        <v>44630</v>
      </c>
      <c r="D62" s="485" t="s">
        <v>86</v>
      </c>
      <c r="E62" s="474"/>
      <c r="F62" s="486"/>
      <c r="G62" s="380">
        <v>2022</v>
      </c>
      <c r="H62" s="474">
        <v>3</v>
      </c>
      <c r="I62" s="474">
        <v>127745</v>
      </c>
      <c r="J62" s="475">
        <v>44646</v>
      </c>
      <c r="K62" s="474" t="s">
        <v>2157</v>
      </c>
      <c r="L62" s="474" t="s">
        <v>2049</v>
      </c>
      <c r="M62" s="475">
        <v>44505</v>
      </c>
      <c r="N62" s="475">
        <v>44593</v>
      </c>
      <c r="O62" s="475"/>
      <c r="P62" s="475">
        <v>44631</v>
      </c>
      <c r="Q62" s="475">
        <v>44646</v>
      </c>
      <c r="R62" s="475">
        <v>44649</v>
      </c>
      <c r="S62" s="474" t="s">
        <v>1688</v>
      </c>
      <c r="T62" s="474">
        <v>60</v>
      </c>
      <c r="U62" s="486">
        <v>49204132</v>
      </c>
      <c r="V62" s="474" t="s">
        <v>1223</v>
      </c>
      <c r="W62" s="474">
        <v>360</v>
      </c>
      <c r="X62" s="432">
        <v>364</v>
      </c>
      <c r="Y62" s="389">
        <f t="shared" si="0"/>
        <v>131040</v>
      </c>
      <c r="Z62" s="478">
        <f>298.8/360</f>
        <v>0.83000000000000007</v>
      </c>
      <c r="AA62" s="480">
        <f t="shared" si="1"/>
        <v>108763.20000000001</v>
      </c>
      <c r="AB62" s="480"/>
      <c r="AC62" s="481">
        <f t="shared" si="12"/>
        <v>0</v>
      </c>
      <c r="AD62" s="474"/>
      <c r="AE62" s="474"/>
      <c r="AF62" s="493">
        <f t="shared" si="2"/>
        <v>108763.20000000001</v>
      </c>
      <c r="AG62" s="474" t="s">
        <v>1071</v>
      </c>
      <c r="AH62" s="474"/>
      <c r="AI62" s="474">
        <v>60</v>
      </c>
      <c r="AJ62" s="475" t="s">
        <v>2050</v>
      </c>
      <c r="AK62" s="475" t="s">
        <v>50</v>
      </c>
      <c r="AL62" s="483" t="s">
        <v>2051</v>
      </c>
      <c r="AM62" s="474" t="s">
        <v>52</v>
      </c>
      <c r="AN62" s="384" t="s">
        <v>1695</v>
      </c>
      <c r="AO62" s="474" t="s">
        <v>1076</v>
      </c>
      <c r="AP62" s="482"/>
      <c r="AQ62" s="474" t="s">
        <v>37</v>
      </c>
      <c r="AR62" s="474"/>
      <c r="AS62" s="473"/>
      <c r="AT62" s="473"/>
      <c r="AU62" s="478"/>
      <c r="AV62" s="471">
        <f t="shared" si="8"/>
        <v>49204132</v>
      </c>
      <c r="AW62" s="471" cm="1">
        <f t="array" ref="AW62">SUM(MID(0&amp;AV62,LARGE(INDEX(ISNUMBER(--MID(AV62,ROW($1:$8),1))*ROW($1:$8),),ROW($1:$8))+1,1)*10^ROW($1:$8)/10)</f>
        <v>49204132</v>
      </c>
      <c r="AX62" s="471" t="str">
        <f>VLOOKUP($AW62,'Item Master Data'!$A:$F,3,FALSE)</f>
        <v>Q.PEAK DUO BLK G10+/AC</v>
      </c>
      <c r="AY62" s="471">
        <f>VLOOKUP($AW62,'Item Master Data'!$A:$F,6,FALSE)</f>
        <v>360</v>
      </c>
      <c r="AZ62" s="471">
        <f t="shared" si="9"/>
        <v>14</v>
      </c>
      <c r="BA62" s="471">
        <f>VLOOKUP(AW62,'Item Master Data'!$A:$G,7,FALSE)</f>
        <v>26</v>
      </c>
      <c r="BB62" s="471"/>
      <c r="BC62" s="471">
        <f t="shared" si="10"/>
        <v>0</v>
      </c>
    </row>
    <row r="63" spans="1:55">
      <c r="A63" s="495"/>
      <c r="B63" s="407">
        <v>44630</v>
      </c>
      <c r="C63" s="407">
        <v>44631</v>
      </c>
      <c r="D63" s="485" t="s">
        <v>86</v>
      </c>
      <c r="E63" s="474"/>
      <c r="F63" s="474">
        <v>1</v>
      </c>
      <c r="G63" s="380">
        <v>2022</v>
      </c>
      <c r="H63" s="474">
        <v>3</v>
      </c>
      <c r="I63" s="474">
        <v>127662</v>
      </c>
      <c r="J63" s="475">
        <v>44649</v>
      </c>
      <c r="K63" s="474" t="s">
        <v>2157</v>
      </c>
      <c r="L63" s="474" t="s">
        <v>2049</v>
      </c>
      <c r="M63" s="475">
        <v>44505</v>
      </c>
      <c r="N63" s="475">
        <v>44593</v>
      </c>
      <c r="O63" s="475">
        <v>44652</v>
      </c>
      <c r="P63" s="475">
        <v>44644</v>
      </c>
      <c r="Q63" s="475">
        <v>44649</v>
      </c>
      <c r="R63" s="475">
        <v>44655</v>
      </c>
      <c r="S63" s="474" t="s">
        <v>1688</v>
      </c>
      <c r="T63" s="474">
        <v>60</v>
      </c>
      <c r="U63" s="474">
        <v>49203132</v>
      </c>
      <c r="V63" s="474" t="s">
        <v>986</v>
      </c>
      <c r="W63" s="474">
        <v>360</v>
      </c>
      <c r="X63" s="432">
        <v>448</v>
      </c>
      <c r="Y63" s="389">
        <f t="shared" si="0"/>
        <v>161280</v>
      </c>
      <c r="Z63" s="478">
        <f>190.8/360</f>
        <v>0.53</v>
      </c>
      <c r="AA63" s="480">
        <f t="shared" si="1"/>
        <v>85478.400000000009</v>
      </c>
      <c r="AB63" s="480"/>
      <c r="AC63" s="481">
        <f t="shared" si="12"/>
        <v>0</v>
      </c>
      <c r="AD63" s="474"/>
      <c r="AE63" s="398"/>
      <c r="AF63" s="493">
        <f t="shared" si="2"/>
        <v>85478.400000000009</v>
      </c>
      <c r="AG63" s="474" t="s">
        <v>1071</v>
      </c>
      <c r="AH63" s="474"/>
      <c r="AI63" s="474">
        <v>60</v>
      </c>
      <c r="AJ63" s="475" t="s">
        <v>2050</v>
      </c>
      <c r="AK63" s="475" t="s">
        <v>50</v>
      </c>
      <c r="AL63" s="483" t="s">
        <v>2051</v>
      </c>
      <c r="AM63" s="474" t="s">
        <v>52</v>
      </c>
      <c r="AN63" s="384" t="s">
        <v>1074</v>
      </c>
      <c r="AO63" s="474" t="s">
        <v>1076</v>
      </c>
      <c r="AP63" s="482"/>
      <c r="AQ63" s="474" t="s">
        <v>37</v>
      </c>
      <c r="AR63" s="474"/>
      <c r="AS63" s="473"/>
      <c r="AT63" s="473"/>
      <c r="AU63" s="478"/>
      <c r="AV63" s="471">
        <f t="shared" si="8"/>
        <v>49203132</v>
      </c>
      <c r="AW63" s="471" cm="1">
        <f t="array" ref="AW63">SUM(MID(0&amp;AV63,LARGE(INDEX(ISNUMBER(--MID(AV63,ROW($1:$8),1))*ROW($1:$8),),ROW($1:$8))+1,1)*10^ROW($1:$8)/10)</f>
        <v>49203132</v>
      </c>
      <c r="AX63" s="471" t="str">
        <f>VLOOKUP($AW63,'Item Master Data'!$A:$F,3,FALSE)</f>
        <v>Q.PEAK DUO BLK G10+</v>
      </c>
      <c r="AY63" s="471">
        <f>VLOOKUP($AW63,'Item Master Data'!$A:$F,6,FALSE)</f>
        <v>360</v>
      </c>
      <c r="AZ63" s="471">
        <f t="shared" si="9"/>
        <v>14</v>
      </c>
      <c r="BA63" s="471">
        <f>VLOOKUP(AW63,'Item Master Data'!$A:$G,7,FALSE)</f>
        <v>32</v>
      </c>
      <c r="BB63" s="471"/>
      <c r="BC63" s="471">
        <f t="shared" si="10"/>
        <v>0</v>
      </c>
    </row>
    <row r="64" spans="1:55">
      <c r="A64" s="495"/>
      <c r="B64" s="407">
        <v>44607</v>
      </c>
      <c r="C64" s="407">
        <v>44607</v>
      </c>
      <c r="D64" s="485" t="s">
        <v>86</v>
      </c>
      <c r="E64" s="474" t="s">
        <v>1712</v>
      </c>
      <c r="F64" s="486"/>
      <c r="G64" s="380">
        <v>2022</v>
      </c>
      <c r="H64" s="474">
        <v>3</v>
      </c>
      <c r="I64" s="474">
        <v>127792</v>
      </c>
      <c r="J64" s="475">
        <v>44650</v>
      </c>
      <c r="K64" s="474" t="s">
        <v>1713</v>
      </c>
      <c r="L64" s="474" t="s">
        <v>1714</v>
      </c>
      <c r="M64" s="475">
        <v>44510</v>
      </c>
      <c r="N64" s="475">
        <v>44621</v>
      </c>
      <c r="O64" s="475">
        <v>44641</v>
      </c>
      <c r="P64" s="475">
        <v>44628</v>
      </c>
      <c r="Q64" s="475">
        <v>44650</v>
      </c>
      <c r="R64" s="475">
        <v>44655</v>
      </c>
      <c r="S64" s="474" t="s">
        <v>88</v>
      </c>
      <c r="T64" s="474">
        <v>60</v>
      </c>
      <c r="U64" s="486">
        <v>49201132</v>
      </c>
      <c r="V64" s="474" t="s">
        <v>986</v>
      </c>
      <c r="W64" s="474">
        <v>360</v>
      </c>
      <c r="X64" s="432">
        <v>768</v>
      </c>
      <c r="Y64" s="389">
        <f t="shared" si="0"/>
        <v>276480</v>
      </c>
      <c r="Z64" s="478">
        <f>190.8/360</f>
        <v>0.53</v>
      </c>
      <c r="AA64" s="480">
        <f t="shared" si="1"/>
        <v>146534.39999999999</v>
      </c>
      <c r="AB64" s="480"/>
      <c r="AC64" s="481">
        <f t="shared" si="12"/>
        <v>0</v>
      </c>
      <c r="AD64" s="474"/>
      <c r="AE64" s="474"/>
      <c r="AF64" s="493">
        <f t="shared" si="2"/>
        <v>146534.39999999999</v>
      </c>
      <c r="AG64" s="474" t="s">
        <v>1071</v>
      </c>
      <c r="AH64" s="474"/>
      <c r="AI64" s="474">
        <v>60</v>
      </c>
      <c r="AJ64" s="475" t="s">
        <v>1715</v>
      </c>
      <c r="AK64" s="475" t="s">
        <v>50</v>
      </c>
      <c r="AL64" s="483" t="s">
        <v>1716</v>
      </c>
      <c r="AM64" s="474" t="s">
        <v>52</v>
      </c>
      <c r="AN64" s="384" t="s">
        <v>1695</v>
      </c>
      <c r="AO64" s="474" t="s">
        <v>1076</v>
      </c>
      <c r="AP64" s="482"/>
      <c r="AQ64" s="474" t="s">
        <v>37</v>
      </c>
      <c r="AR64" s="474" t="s">
        <v>1216</v>
      </c>
      <c r="AS64" s="473" t="s">
        <v>1492</v>
      </c>
      <c r="AT64" s="473"/>
      <c r="AU64" s="478">
        <f>180/360</f>
        <v>0.5</v>
      </c>
      <c r="AV64" s="471">
        <f t="shared" si="8"/>
        <v>49201132</v>
      </c>
      <c r="AW64" s="471" cm="1">
        <f t="array" ref="AW64">SUM(MID(0&amp;AV64,LARGE(INDEX(ISNUMBER(--MID(AV64,ROW($1:$8),1))*ROW($1:$8),),ROW($1:$8))+1,1)*10^ROW($1:$8)/10)</f>
        <v>49201132</v>
      </c>
      <c r="AX64" s="471" t="str">
        <f>VLOOKUP($AW64,'Item Master Data'!$A:$F,3,FALSE)</f>
        <v>Q.PEAK DUO BLK G10+</v>
      </c>
      <c r="AY64" s="471">
        <f>VLOOKUP($AW64,'Item Master Data'!$A:$F,6,FALSE)</f>
        <v>360</v>
      </c>
      <c r="AZ64" s="471">
        <f t="shared" si="9"/>
        <v>24</v>
      </c>
      <c r="BA64" s="471">
        <f>VLOOKUP(AW64,'Item Master Data'!$A:$G,7,FALSE)</f>
        <v>32</v>
      </c>
      <c r="BB64" s="471"/>
      <c r="BC64" s="471">
        <f t="shared" si="10"/>
        <v>0</v>
      </c>
    </row>
    <row r="65" spans="1:55">
      <c r="A65" s="495">
        <v>10</v>
      </c>
      <c r="B65" s="407">
        <v>44629</v>
      </c>
      <c r="C65" s="407">
        <v>44629</v>
      </c>
      <c r="D65" s="485" t="s">
        <v>86</v>
      </c>
      <c r="E65" s="474"/>
      <c r="F65" s="486"/>
      <c r="G65" s="380">
        <v>2022</v>
      </c>
      <c r="H65" s="474">
        <v>3</v>
      </c>
      <c r="I65" s="474">
        <v>127496</v>
      </c>
      <c r="J65" s="475">
        <v>44645</v>
      </c>
      <c r="K65" s="474" t="s">
        <v>2181</v>
      </c>
      <c r="L65" s="474" t="s">
        <v>1714</v>
      </c>
      <c r="M65" s="475">
        <v>44558</v>
      </c>
      <c r="N65" s="475">
        <v>44255</v>
      </c>
      <c r="O65" s="475">
        <v>44641</v>
      </c>
      <c r="P65" s="475">
        <v>44629</v>
      </c>
      <c r="Q65" s="475">
        <v>44645</v>
      </c>
      <c r="R65" s="475">
        <v>44645</v>
      </c>
      <c r="S65" s="474" t="s">
        <v>1688</v>
      </c>
      <c r="T65" s="474">
        <v>60</v>
      </c>
      <c r="U65" s="486" t="s">
        <v>1760</v>
      </c>
      <c r="V65" s="474" t="s">
        <v>973</v>
      </c>
      <c r="W65" s="474">
        <v>400</v>
      </c>
      <c r="X65" s="432">
        <v>768</v>
      </c>
      <c r="Y65" s="389">
        <f t="shared" si="0"/>
        <v>307200</v>
      </c>
      <c r="Z65" s="478">
        <f>220/400</f>
        <v>0.55000000000000004</v>
      </c>
      <c r="AA65" s="480">
        <f t="shared" si="1"/>
        <v>168960</v>
      </c>
      <c r="AB65" s="480"/>
      <c r="AC65" s="481">
        <f t="shared" si="12"/>
        <v>0</v>
      </c>
      <c r="AD65" s="474"/>
      <c r="AE65" s="474"/>
      <c r="AF65" s="493">
        <f t="shared" si="2"/>
        <v>168960</v>
      </c>
      <c r="AG65" s="474" t="s">
        <v>1071</v>
      </c>
      <c r="AH65" s="474"/>
      <c r="AI65" s="474">
        <v>60</v>
      </c>
      <c r="AJ65" s="475" t="s">
        <v>2101</v>
      </c>
      <c r="AK65" s="475" t="s">
        <v>50</v>
      </c>
      <c r="AL65" s="483">
        <v>93003</v>
      </c>
      <c r="AM65" s="474" t="s">
        <v>52</v>
      </c>
      <c r="AN65" s="384" t="s">
        <v>50</v>
      </c>
      <c r="AO65" s="474" t="s">
        <v>1076</v>
      </c>
      <c r="AP65" s="482" t="s">
        <v>38</v>
      </c>
      <c r="AQ65" s="474" t="s">
        <v>37</v>
      </c>
      <c r="AR65" s="474"/>
      <c r="AS65" s="473"/>
      <c r="AT65" s="473"/>
      <c r="AU65" s="478"/>
      <c r="AV65" s="471" t="str">
        <f t="shared" si="8"/>
        <v>30390156H</v>
      </c>
      <c r="AW65" s="471" cm="1">
        <f t="array" ref="AW65">SUM(MID(0&amp;AV65,LARGE(INDEX(ISNUMBER(--MID(AV65,ROW($1:$8),1))*ROW($1:$8),),ROW($1:$8))+1,1)*10^ROW($1:$8)/10)</f>
        <v>30390156</v>
      </c>
      <c r="AX65" s="471" t="str">
        <f>VLOOKUP($AW65,'Item Master Data'!$A:$F,3,FALSE)</f>
        <v>Q.PEAK DUO BLK ML G10+</v>
      </c>
      <c r="AY65" s="471">
        <f>VLOOKUP($AW65,'Item Master Data'!$A:$F,6,FALSE)</f>
        <v>400</v>
      </c>
      <c r="AZ65" s="471">
        <f t="shared" si="9"/>
        <v>24</v>
      </c>
      <c r="BA65" s="471">
        <f>VLOOKUP(AW65,'Item Master Data'!$A:$G,7,FALSE)</f>
        <v>32</v>
      </c>
      <c r="BB65" s="471"/>
      <c r="BC65" s="471">
        <f t="shared" si="10"/>
        <v>0</v>
      </c>
    </row>
    <row r="66" spans="1:55">
      <c r="A66" s="495"/>
      <c r="B66" s="407">
        <v>44522</v>
      </c>
      <c r="C66" s="407">
        <v>44522</v>
      </c>
      <c r="D66" s="485" t="s">
        <v>86</v>
      </c>
      <c r="E66" s="474"/>
      <c r="F66" s="486" t="s">
        <v>87</v>
      </c>
      <c r="G66" s="380">
        <v>2022</v>
      </c>
      <c r="H66" s="474">
        <v>3</v>
      </c>
      <c r="I66" s="474">
        <v>127835</v>
      </c>
      <c r="J66" s="475">
        <v>44641</v>
      </c>
      <c r="K66" s="474" t="s">
        <v>1835</v>
      </c>
      <c r="L66" s="474" t="s">
        <v>1836</v>
      </c>
      <c r="M66" s="475">
        <v>44461</v>
      </c>
      <c r="N66" s="475">
        <v>44616</v>
      </c>
      <c r="O66" s="475"/>
      <c r="P66" s="475">
        <v>44522</v>
      </c>
      <c r="Q66" s="475">
        <v>44641</v>
      </c>
      <c r="R66" s="475">
        <v>44645</v>
      </c>
      <c r="S66" s="474" t="s">
        <v>1688</v>
      </c>
      <c r="T66" s="474">
        <v>72</v>
      </c>
      <c r="U66" s="486" t="s">
        <v>1837</v>
      </c>
      <c r="V66" s="474" t="s">
        <v>1838</v>
      </c>
      <c r="W66" s="474">
        <v>410</v>
      </c>
      <c r="X66" s="432">
        <v>607</v>
      </c>
      <c r="Y66" s="389">
        <f t="shared" si="0"/>
        <v>248870</v>
      </c>
      <c r="Z66" s="478">
        <f>172.2/410</f>
        <v>0.42</v>
      </c>
      <c r="AA66" s="480">
        <f t="shared" si="1"/>
        <v>104525.4</v>
      </c>
      <c r="AB66" s="480"/>
      <c r="AC66" s="481">
        <f t="shared" si="12"/>
        <v>0</v>
      </c>
      <c r="AD66" s="474"/>
      <c r="AE66" s="474">
        <v>9929.91</v>
      </c>
      <c r="AF66" s="493">
        <f t="shared" si="2"/>
        <v>114455.31</v>
      </c>
      <c r="AG66" s="474" t="s">
        <v>1071</v>
      </c>
      <c r="AH66" s="474">
        <v>100</v>
      </c>
      <c r="AI66" s="474"/>
      <c r="AJ66" s="475" t="s">
        <v>1839</v>
      </c>
      <c r="AK66" s="475" t="s">
        <v>50</v>
      </c>
      <c r="AL66" s="483">
        <v>91311</v>
      </c>
      <c r="AM66" s="474" t="s">
        <v>52</v>
      </c>
      <c r="AN66" s="384" t="s">
        <v>1085</v>
      </c>
      <c r="AO66" s="474" t="s">
        <v>1076</v>
      </c>
      <c r="AP66" s="482" t="s">
        <v>38</v>
      </c>
      <c r="AQ66" s="474" t="s">
        <v>1086</v>
      </c>
      <c r="AR66" s="474"/>
      <c r="AS66" s="473"/>
      <c r="AT66" s="473"/>
      <c r="AU66" s="478"/>
      <c r="AV66" s="471" t="str">
        <f t="shared" si="8"/>
        <v>30368158R</v>
      </c>
      <c r="AW66" s="471" cm="1">
        <f t="array" ref="AW66">SUM(MID(0&amp;AV66,LARGE(INDEX(ISNUMBER(--MID(AV66,ROW($1:$8),1))*ROW($1:$8),),ROW($1:$8))+1,1)*10^ROW($1:$8)/10)</f>
        <v>30368158</v>
      </c>
      <c r="AX66" s="471" t="str">
        <f>VLOOKUP($AW66,'Item Master Data'!$A:$F,3,FALSE)</f>
        <v>Q.PEAK DUO L G8 BFG</v>
      </c>
      <c r="AY66" s="471">
        <f>VLOOKUP($AW66,'Item Master Data'!$A:$F,6,FALSE)</f>
        <v>410</v>
      </c>
      <c r="AZ66" s="471">
        <f t="shared" si="9"/>
        <v>20.931034482758619</v>
      </c>
      <c r="BA66" s="471">
        <f>VLOOKUP(AW66,'Item Master Data'!$A:$G,7,FALSE)</f>
        <v>29</v>
      </c>
      <c r="BB66" s="471"/>
      <c r="BC66" s="471">
        <f t="shared" si="10"/>
        <v>0</v>
      </c>
    </row>
    <row r="67" spans="1:55">
      <c r="A67" s="495"/>
      <c r="B67" s="407">
        <v>44635</v>
      </c>
      <c r="C67" s="407">
        <v>44635</v>
      </c>
      <c r="D67" s="474" t="s">
        <v>86</v>
      </c>
      <c r="E67" s="474"/>
      <c r="F67" s="474"/>
      <c r="G67" s="380">
        <v>2022</v>
      </c>
      <c r="H67" s="445">
        <v>3</v>
      </c>
      <c r="I67" s="474">
        <v>127557</v>
      </c>
      <c r="J67" s="394">
        <v>44641</v>
      </c>
      <c r="K67" s="469">
        <v>2036412</v>
      </c>
      <c r="L67" s="474" t="s">
        <v>1827</v>
      </c>
      <c r="M67" s="394">
        <v>44551</v>
      </c>
      <c r="N67" s="394">
        <v>44578</v>
      </c>
      <c r="O67" s="394"/>
      <c r="P67" s="394">
        <v>44636</v>
      </c>
      <c r="Q67" s="394">
        <v>44641</v>
      </c>
      <c r="R67" s="394">
        <v>44645</v>
      </c>
      <c r="S67" s="445" t="s">
        <v>88</v>
      </c>
      <c r="T67" s="445">
        <v>60</v>
      </c>
      <c r="U67" s="486">
        <v>49204132</v>
      </c>
      <c r="V67" s="445" t="s">
        <v>1223</v>
      </c>
      <c r="W67" s="445">
        <v>360</v>
      </c>
      <c r="X67" s="395">
        <v>1820</v>
      </c>
      <c r="Y67" s="389">
        <f t="shared" ref="Y67:Y130" si="14">W67*X67</f>
        <v>655200</v>
      </c>
      <c r="Z67" s="478">
        <f>298.8/360</f>
        <v>0.83000000000000007</v>
      </c>
      <c r="AA67" s="479">
        <f t="shared" ref="AA67:AA122" si="15">Z67*Y67</f>
        <v>543816</v>
      </c>
      <c r="AB67" s="386"/>
      <c r="AC67" s="481">
        <f t="shared" si="12"/>
        <v>0</v>
      </c>
      <c r="AD67" s="474"/>
      <c r="AE67" s="482"/>
      <c r="AF67" s="481">
        <f t="shared" ref="AF67:AF82" si="16">AE67+AD67+AA67</f>
        <v>543816</v>
      </c>
      <c r="AG67" s="474" t="s">
        <v>1071</v>
      </c>
      <c r="AH67" s="447"/>
      <c r="AI67" s="474">
        <v>60</v>
      </c>
      <c r="AJ67" s="474" t="s">
        <v>1828</v>
      </c>
      <c r="AK67" s="474" t="s">
        <v>50</v>
      </c>
      <c r="AL67" s="494">
        <v>90810</v>
      </c>
      <c r="AM67" s="474" t="s">
        <v>52</v>
      </c>
      <c r="AN67" s="384" t="s">
        <v>1074</v>
      </c>
      <c r="AO67" s="474" t="s">
        <v>1076</v>
      </c>
      <c r="AP67" s="482"/>
      <c r="AQ67" s="474" t="s">
        <v>37</v>
      </c>
      <c r="AR67" s="474" t="s">
        <v>1216</v>
      </c>
      <c r="AS67" s="387" t="s">
        <v>1152</v>
      </c>
      <c r="AT67" s="387" t="s">
        <v>1076</v>
      </c>
      <c r="AU67" s="478">
        <f>248.97/360</f>
        <v>0.69158333333333333</v>
      </c>
      <c r="AV67" s="471">
        <f t="shared" ref="AV67:AV92" si="17">U67</f>
        <v>49204132</v>
      </c>
      <c r="AW67" s="471" cm="1">
        <f t="array" ref="AW67">SUM(MID(0&amp;AV67,LARGE(INDEX(ISNUMBER(--MID(AV67,ROW($1:$8),1))*ROW($1:$8),),ROW($1:$8))+1,1)*10^ROW($1:$8)/10)</f>
        <v>49204132</v>
      </c>
      <c r="AX67" s="471" t="str">
        <f>VLOOKUP($AW67,'Item Master Data'!$A:$F,3,FALSE)</f>
        <v>Q.PEAK DUO BLK G10+/AC</v>
      </c>
      <c r="AY67" s="471">
        <f>VLOOKUP($AW67,'Item Master Data'!$A:$F,6,FALSE)</f>
        <v>360</v>
      </c>
      <c r="AZ67" s="471">
        <f t="shared" ref="AZ67:AZ98" si="18">X67/BA67</f>
        <v>70</v>
      </c>
      <c r="BA67" s="471">
        <f>VLOOKUP(AW67,'Item Master Data'!$A:$G,7,FALSE)</f>
        <v>26</v>
      </c>
      <c r="BB67" s="471"/>
      <c r="BC67" s="471">
        <f t="shared" ref="BC67:BC92" si="19">W67-AY67</f>
        <v>0</v>
      </c>
    </row>
    <row r="68" spans="1:55">
      <c r="A68" s="495">
        <v>10</v>
      </c>
      <c r="B68" s="407">
        <v>44558</v>
      </c>
      <c r="C68" s="407">
        <v>44558</v>
      </c>
      <c r="D68" s="485" t="s">
        <v>86</v>
      </c>
      <c r="E68" s="474" t="s">
        <v>2182</v>
      </c>
      <c r="F68" s="486" t="s">
        <v>1147</v>
      </c>
      <c r="G68" s="380">
        <v>2022</v>
      </c>
      <c r="H68" s="474">
        <v>3</v>
      </c>
      <c r="I68" s="474">
        <v>127259</v>
      </c>
      <c r="J68" s="475">
        <v>44634</v>
      </c>
      <c r="K68" s="474" t="s">
        <v>2183</v>
      </c>
      <c r="L68" s="474" t="s">
        <v>1953</v>
      </c>
      <c r="M68" s="475">
        <v>44498</v>
      </c>
      <c r="N68" s="475">
        <v>44593</v>
      </c>
      <c r="O68" s="475" t="s">
        <v>1978</v>
      </c>
      <c r="P68" s="475">
        <v>44628</v>
      </c>
      <c r="Q68" s="475">
        <v>44631</v>
      </c>
      <c r="R68" s="475">
        <v>44634</v>
      </c>
      <c r="S68" s="474" t="s">
        <v>1704</v>
      </c>
      <c r="T68" s="474">
        <v>60</v>
      </c>
      <c r="U68" s="486" t="s">
        <v>2184</v>
      </c>
      <c r="V68" s="474" t="s">
        <v>973</v>
      </c>
      <c r="W68" s="474">
        <v>400</v>
      </c>
      <c r="X68" s="432">
        <v>768</v>
      </c>
      <c r="Y68" s="389">
        <f t="shared" si="14"/>
        <v>307200</v>
      </c>
      <c r="Z68" s="478">
        <f t="shared" ref="Z68:Z75" si="20">188/400</f>
        <v>0.47</v>
      </c>
      <c r="AA68" s="480">
        <f t="shared" si="15"/>
        <v>144384</v>
      </c>
      <c r="AB68" s="480"/>
      <c r="AC68" s="481">
        <f t="shared" si="12"/>
        <v>0</v>
      </c>
      <c r="AD68" s="474"/>
      <c r="AE68" s="474">
        <f>AA68*0.0725</f>
        <v>10467.84</v>
      </c>
      <c r="AF68" s="493">
        <f t="shared" si="16"/>
        <v>154851.84</v>
      </c>
      <c r="AG68" s="474" t="s">
        <v>47</v>
      </c>
      <c r="AH68" s="474"/>
      <c r="AI68" s="474">
        <v>60</v>
      </c>
      <c r="AJ68" s="475" t="s">
        <v>1984</v>
      </c>
      <c r="AK68" s="475" t="s">
        <v>50</v>
      </c>
      <c r="AL68" s="483">
        <v>95765</v>
      </c>
      <c r="AM68" s="474" t="s">
        <v>52</v>
      </c>
      <c r="AN68" s="384" t="s">
        <v>50</v>
      </c>
      <c r="AO68" s="474" t="s">
        <v>1076</v>
      </c>
      <c r="AP68" s="482" t="s">
        <v>38</v>
      </c>
      <c r="AQ68" s="474" t="s">
        <v>37</v>
      </c>
      <c r="AR68" s="474"/>
      <c r="AS68" s="473" t="s">
        <v>1152</v>
      </c>
      <c r="AT68" s="473" t="s">
        <v>1076</v>
      </c>
      <c r="AU68" s="478"/>
      <c r="AV68" s="471" t="str">
        <f t="shared" si="17"/>
        <v>30390456C+</v>
      </c>
      <c r="AW68" s="471" cm="1">
        <f t="array" ref="AW68">SUM(MID(0&amp;AV68,LARGE(INDEX(ISNUMBER(--MID(AV68,ROW($1:$8),1))*ROW($1:$8),),ROW($1:$8))+1,1)*10^ROW($1:$8)/10)</f>
        <v>30390456</v>
      </c>
      <c r="AX68" s="471" t="str">
        <f>VLOOKUP($AW68,'Item Master Data'!$A:$F,3,FALSE)</f>
        <v>Q.PEAK DUO BLK ML G10+</v>
      </c>
      <c r="AY68" s="471">
        <f>VLOOKUP($AW68,'Item Master Data'!$A:$F,6,FALSE)</f>
        <v>400</v>
      </c>
      <c r="AZ68" s="471">
        <f t="shared" si="18"/>
        <v>24</v>
      </c>
      <c r="BA68" s="471">
        <f>VLOOKUP(AW68,'Item Master Data'!$A:$G,7,FALSE)</f>
        <v>32</v>
      </c>
      <c r="BB68" s="471"/>
      <c r="BC68" s="471">
        <f t="shared" si="19"/>
        <v>0</v>
      </c>
    </row>
    <row r="69" spans="1:55">
      <c r="A69" s="495">
        <v>10</v>
      </c>
      <c r="B69" s="407">
        <v>44558</v>
      </c>
      <c r="C69" s="407">
        <v>44558</v>
      </c>
      <c r="D69" s="485" t="s">
        <v>86</v>
      </c>
      <c r="E69" s="474" t="s">
        <v>2185</v>
      </c>
      <c r="F69" s="486" t="s">
        <v>1147</v>
      </c>
      <c r="G69" s="380">
        <v>2022</v>
      </c>
      <c r="H69" s="474">
        <v>3</v>
      </c>
      <c r="I69" s="474">
        <v>127260</v>
      </c>
      <c r="J69" s="475">
        <v>44635</v>
      </c>
      <c r="K69" s="474" t="s">
        <v>2186</v>
      </c>
      <c r="L69" s="474" t="s">
        <v>1953</v>
      </c>
      <c r="M69" s="475">
        <v>44498</v>
      </c>
      <c r="N69" s="475">
        <v>44593</v>
      </c>
      <c r="O69" s="475" t="s">
        <v>1978</v>
      </c>
      <c r="P69" s="475">
        <v>44628</v>
      </c>
      <c r="Q69" s="475">
        <v>44634</v>
      </c>
      <c r="R69" s="475">
        <v>44635</v>
      </c>
      <c r="S69" s="474" t="s">
        <v>1704</v>
      </c>
      <c r="T69" s="474">
        <v>60</v>
      </c>
      <c r="U69" s="486" t="s">
        <v>2184</v>
      </c>
      <c r="V69" s="474" t="s">
        <v>973</v>
      </c>
      <c r="W69" s="474">
        <v>400</v>
      </c>
      <c r="X69" s="432">
        <v>768</v>
      </c>
      <c r="Y69" s="389">
        <f t="shared" si="14"/>
        <v>307200</v>
      </c>
      <c r="Z69" s="478">
        <f t="shared" si="20"/>
        <v>0.47</v>
      </c>
      <c r="AA69" s="480">
        <f t="shared" si="15"/>
        <v>144384</v>
      </c>
      <c r="AB69" s="480"/>
      <c r="AC69" s="481">
        <f t="shared" si="12"/>
        <v>0</v>
      </c>
      <c r="AD69" s="474"/>
      <c r="AE69" s="474">
        <f>AA69*0.0775</f>
        <v>11189.76</v>
      </c>
      <c r="AF69" s="493">
        <f t="shared" si="16"/>
        <v>155573.76000000001</v>
      </c>
      <c r="AG69" s="474" t="s">
        <v>47</v>
      </c>
      <c r="AH69" s="474"/>
      <c r="AI69" s="474">
        <v>60</v>
      </c>
      <c r="AJ69" s="475" t="s">
        <v>1954</v>
      </c>
      <c r="AK69" s="475" t="s">
        <v>50</v>
      </c>
      <c r="AL69" s="483">
        <v>92123</v>
      </c>
      <c r="AM69" s="474" t="s">
        <v>52</v>
      </c>
      <c r="AN69" s="384" t="s">
        <v>50</v>
      </c>
      <c r="AO69" s="474" t="s">
        <v>1076</v>
      </c>
      <c r="AP69" s="482" t="s">
        <v>38</v>
      </c>
      <c r="AQ69" s="474" t="s">
        <v>37</v>
      </c>
      <c r="AR69" s="474"/>
      <c r="AS69" s="473" t="s">
        <v>1152</v>
      </c>
      <c r="AT69" s="473" t="s">
        <v>1076</v>
      </c>
      <c r="AU69" s="478"/>
      <c r="AV69" s="471" t="str">
        <f t="shared" si="17"/>
        <v>30390456C+</v>
      </c>
      <c r="AW69" s="471" cm="1">
        <f t="array" ref="AW69">SUM(MID(0&amp;AV69,LARGE(INDEX(ISNUMBER(--MID(AV69,ROW($1:$8),1))*ROW($1:$8),),ROW($1:$8))+1,1)*10^ROW($1:$8)/10)</f>
        <v>30390456</v>
      </c>
      <c r="AX69" s="471" t="str">
        <f>VLOOKUP($AW69,'Item Master Data'!$A:$F,3,FALSE)</f>
        <v>Q.PEAK DUO BLK ML G10+</v>
      </c>
      <c r="AY69" s="471">
        <f>VLOOKUP($AW69,'Item Master Data'!$A:$F,6,FALSE)</f>
        <v>400</v>
      </c>
      <c r="AZ69" s="471">
        <f t="shared" si="18"/>
        <v>24</v>
      </c>
      <c r="BA69" s="471">
        <f>VLOOKUP(AW69,'Item Master Data'!$A:$G,7,FALSE)</f>
        <v>32</v>
      </c>
      <c r="BB69" s="471"/>
      <c r="BC69" s="471">
        <f t="shared" si="19"/>
        <v>0</v>
      </c>
    </row>
    <row r="70" spans="1:55">
      <c r="A70" s="495">
        <v>10</v>
      </c>
      <c r="B70" s="407">
        <v>44558</v>
      </c>
      <c r="C70" s="407">
        <v>44558</v>
      </c>
      <c r="D70" s="485" t="s">
        <v>86</v>
      </c>
      <c r="E70" s="474" t="s">
        <v>2187</v>
      </c>
      <c r="F70" s="486" t="s">
        <v>1147</v>
      </c>
      <c r="G70" s="380">
        <v>2022</v>
      </c>
      <c r="H70" s="474">
        <v>3</v>
      </c>
      <c r="I70" s="474">
        <v>127596</v>
      </c>
      <c r="J70" s="475">
        <v>44649</v>
      </c>
      <c r="K70" s="474" t="s">
        <v>2188</v>
      </c>
      <c r="L70" s="474" t="s">
        <v>1953</v>
      </c>
      <c r="M70" s="475">
        <v>44498</v>
      </c>
      <c r="N70" s="475">
        <v>44593</v>
      </c>
      <c r="O70" s="475" t="s">
        <v>1978</v>
      </c>
      <c r="P70" s="475">
        <v>44641</v>
      </c>
      <c r="Q70" s="475">
        <v>44649</v>
      </c>
      <c r="R70" s="475">
        <v>44649</v>
      </c>
      <c r="S70" s="474" t="s">
        <v>1704</v>
      </c>
      <c r="T70" s="474">
        <v>60</v>
      </c>
      <c r="U70" s="486" t="s">
        <v>1281</v>
      </c>
      <c r="V70" s="474" t="s">
        <v>973</v>
      </c>
      <c r="W70" s="474">
        <v>400</v>
      </c>
      <c r="X70" s="432">
        <v>768</v>
      </c>
      <c r="Y70" s="389">
        <f t="shared" si="14"/>
        <v>307200</v>
      </c>
      <c r="Z70" s="478">
        <f t="shared" si="20"/>
        <v>0.47</v>
      </c>
      <c r="AA70" s="480">
        <f t="shared" si="15"/>
        <v>144384</v>
      </c>
      <c r="AB70" s="480"/>
      <c r="AC70" s="481">
        <f t="shared" si="12"/>
        <v>0</v>
      </c>
      <c r="AD70" s="474"/>
      <c r="AE70" s="474">
        <f>AA70*0.0875</f>
        <v>12633.599999999999</v>
      </c>
      <c r="AF70" s="493">
        <f t="shared" si="16"/>
        <v>157017.60000000001</v>
      </c>
      <c r="AG70" s="474" t="s">
        <v>47</v>
      </c>
      <c r="AH70" s="474"/>
      <c r="AI70" s="474">
        <v>60</v>
      </c>
      <c r="AJ70" s="475" t="s">
        <v>1913</v>
      </c>
      <c r="AK70" s="475" t="s">
        <v>50</v>
      </c>
      <c r="AL70" s="483">
        <v>92507</v>
      </c>
      <c r="AM70" s="474" t="s">
        <v>52</v>
      </c>
      <c r="AN70" s="384" t="s">
        <v>50</v>
      </c>
      <c r="AO70" s="474" t="s">
        <v>1076</v>
      </c>
      <c r="AP70" s="482" t="s">
        <v>38</v>
      </c>
      <c r="AQ70" s="474" t="s">
        <v>37</v>
      </c>
      <c r="AR70" s="474"/>
      <c r="AS70" s="473" t="s">
        <v>1152</v>
      </c>
      <c r="AT70" s="473" t="s">
        <v>1076</v>
      </c>
      <c r="AU70" s="478"/>
      <c r="AV70" s="471" t="str">
        <f t="shared" si="17"/>
        <v>30390456H</v>
      </c>
      <c r="AW70" s="471" cm="1">
        <f t="array" ref="AW70">SUM(MID(0&amp;AV70,LARGE(INDEX(ISNUMBER(--MID(AV70,ROW($1:$8),1))*ROW($1:$8),),ROW($1:$8))+1,1)*10^ROW($1:$8)/10)</f>
        <v>30390456</v>
      </c>
      <c r="AX70" s="471" t="str">
        <f>VLOOKUP($AW70,'Item Master Data'!$A:$F,3,FALSE)</f>
        <v>Q.PEAK DUO BLK ML G10+</v>
      </c>
      <c r="AY70" s="471">
        <f>VLOOKUP($AW70,'Item Master Data'!$A:$F,6,FALSE)</f>
        <v>400</v>
      </c>
      <c r="AZ70" s="471">
        <f t="shared" si="18"/>
        <v>24</v>
      </c>
      <c r="BA70" s="471">
        <f>VLOOKUP(AW70,'Item Master Data'!$A:$G,7,FALSE)</f>
        <v>32</v>
      </c>
      <c r="BB70" s="471"/>
      <c r="BC70" s="471">
        <f t="shared" si="19"/>
        <v>0</v>
      </c>
    </row>
    <row r="71" spans="1:55">
      <c r="A71" s="495">
        <v>10</v>
      </c>
      <c r="B71" s="407">
        <v>44558</v>
      </c>
      <c r="C71" s="407">
        <v>44558</v>
      </c>
      <c r="D71" s="485" t="s">
        <v>86</v>
      </c>
      <c r="E71" s="474" t="s">
        <v>2189</v>
      </c>
      <c r="F71" s="486" t="s">
        <v>1147</v>
      </c>
      <c r="G71" s="380">
        <v>2022</v>
      </c>
      <c r="H71" s="474">
        <v>3</v>
      </c>
      <c r="I71" s="474">
        <v>127414</v>
      </c>
      <c r="J71" s="475">
        <v>44643</v>
      </c>
      <c r="K71" s="474" t="s">
        <v>2190</v>
      </c>
      <c r="L71" s="474" t="s">
        <v>1953</v>
      </c>
      <c r="M71" s="475">
        <v>44498</v>
      </c>
      <c r="N71" s="475">
        <v>44593</v>
      </c>
      <c r="O71" s="475" t="s">
        <v>1978</v>
      </c>
      <c r="P71" s="475">
        <v>44641</v>
      </c>
      <c r="Q71" s="475">
        <v>44642</v>
      </c>
      <c r="R71" s="475">
        <v>44643</v>
      </c>
      <c r="S71" s="474" t="s">
        <v>1704</v>
      </c>
      <c r="T71" s="474">
        <v>60</v>
      </c>
      <c r="U71" s="486" t="s">
        <v>1760</v>
      </c>
      <c r="V71" s="474" t="s">
        <v>973</v>
      </c>
      <c r="W71" s="474">
        <v>400</v>
      </c>
      <c r="X71" s="432">
        <v>768</v>
      </c>
      <c r="Y71" s="389">
        <f t="shared" si="14"/>
        <v>307200</v>
      </c>
      <c r="Z71" s="478">
        <f t="shared" si="20"/>
        <v>0.47</v>
      </c>
      <c r="AA71" s="480">
        <f t="shared" si="15"/>
        <v>144384</v>
      </c>
      <c r="AB71" s="480"/>
      <c r="AC71" s="481">
        <f t="shared" si="12"/>
        <v>0</v>
      </c>
      <c r="AD71" s="474"/>
      <c r="AE71" s="474">
        <f>AA71*0.0725</f>
        <v>10467.84</v>
      </c>
      <c r="AF71" s="493">
        <f t="shared" si="16"/>
        <v>154851.84</v>
      </c>
      <c r="AG71" s="474" t="s">
        <v>47</v>
      </c>
      <c r="AH71" s="474"/>
      <c r="AI71" s="474">
        <v>60</v>
      </c>
      <c r="AJ71" s="475" t="s">
        <v>1764</v>
      </c>
      <c r="AK71" s="475" t="s">
        <v>50</v>
      </c>
      <c r="AL71" s="483">
        <v>93308</v>
      </c>
      <c r="AM71" s="474" t="s">
        <v>52</v>
      </c>
      <c r="AN71" s="384" t="s">
        <v>50</v>
      </c>
      <c r="AO71" s="474" t="s">
        <v>1076</v>
      </c>
      <c r="AP71" s="482" t="s">
        <v>38</v>
      </c>
      <c r="AQ71" s="474" t="s">
        <v>37</v>
      </c>
      <c r="AR71" s="474"/>
      <c r="AS71" s="473" t="s">
        <v>1152</v>
      </c>
      <c r="AT71" s="473" t="s">
        <v>1076</v>
      </c>
      <c r="AU71" s="478"/>
      <c r="AV71" s="471" t="str">
        <f t="shared" si="17"/>
        <v>30390156H</v>
      </c>
      <c r="AW71" s="471" cm="1">
        <f t="array" ref="AW71">SUM(MID(0&amp;AV71,LARGE(INDEX(ISNUMBER(--MID(AV71,ROW($1:$8),1))*ROW($1:$8),),ROW($1:$8))+1,1)*10^ROW($1:$8)/10)</f>
        <v>30390156</v>
      </c>
      <c r="AX71" s="471" t="str">
        <f>VLOOKUP($AW71,'Item Master Data'!$A:$F,3,FALSE)</f>
        <v>Q.PEAK DUO BLK ML G10+</v>
      </c>
      <c r="AY71" s="471">
        <f>VLOOKUP($AW71,'Item Master Data'!$A:$F,6,FALSE)</f>
        <v>400</v>
      </c>
      <c r="AZ71" s="471">
        <f t="shared" si="18"/>
        <v>24</v>
      </c>
      <c r="BA71" s="471">
        <f>VLOOKUP(AW71,'Item Master Data'!$A:$G,7,FALSE)</f>
        <v>32</v>
      </c>
      <c r="BB71" s="471"/>
      <c r="BC71" s="471">
        <f t="shared" si="19"/>
        <v>0</v>
      </c>
    </row>
    <row r="72" spans="1:55">
      <c r="A72" s="495"/>
      <c r="B72" s="407">
        <v>44501</v>
      </c>
      <c r="C72" s="407">
        <v>44501</v>
      </c>
      <c r="D72" s="485" t="s">
        <v>86</v>
      </c>
      <c r="E72" s="474" t="s">
        <v>2230</v>
      </c>
      <c r="F72" s="486" t="s">
        <v>1147</v>
      </c>
      <c r="G72" s="380">
        <v>2022</v>
      </c>
      <c r="H72" s="474">
        <v>3</v>
      </c>
      <c r="I72" s="474">
        <v>127415</v>
      </c>
      <c r="J72" s="475">
        <v>44643</v>
      </c>
      <c r="K72" s="474" t="s">
        <v>1977</v>
      </c>
      <c r="L72" s="474" t="s">
        <v>1953</v>
      </c>
      <c r="M72" s="475">
        <v>44498</v>
      </c>
      <c r="N72" s="475">
        <v>44593</v>
      </c>
      <c r="O72" s="475" t="s">
        <v>1978</v>
      </c>
      <c r="P72" s="475">
        <v>44641</v>
      </c>
      <c r="Q72" s="475">
        <v>44642</v>
      </c>
      <c r="R72" s="475">
        <v>44643</v>
      </c>
      <c r="S72" s="474" t="s">
        <v>1704</v>
      </c>
      <c r="T72" s="474">
        <v>60</v>
      </c>
      <c r="U72" s="486" t="s">
        <v>1760</v>
      </c>
      <c r="V72" s="474" t="s">
        <v>973</v>
      </c>
      <c r="W72" s="474">
        <v>400</v>
      </c>
      <c r="X72" s="432">
        <v>768</v>
      </c>
      <c r="Y72" s="389">
        <f t="shared" si="14"/>
        <v>307200</v>
      </c>
      <c r="Z72" s="478">
        <f t="shared" si="20"/>
        <v>0.47</v>
      </c>
      <c r="AA72" s="480">
        <f t="shared" si="15"/>
        <v>144384</v>
      </c>
      <c r="AB72" s="480"/>
      <c r="AC72" s="481">
        <f t="shared" si="12"/>
        <v>0</v>
      </c>
      <c r="AD72" s="474"/>
      <c r="AE72" s="398">
        <f>AA72*0.0725</f>
        <v>10467.84</v>
      </c>
      <c r="AF72" s="493">
        <f t="shared" si="16"/>
        <v>154851.84</v>
      </c>
      <c r="AG72" s="474" t="s">
        <v>47</v>
      </c>
      <c r="AH72" s="474"/>
      <c r="AI72" s="474">
        <v>60</v>
      </c>
      <c r="AJ72" s="475" t="s">
        <v>1853</v>
      </c>
      <c r="AK72" s="475" t="s">
        <v>50</v>
      </c>
      <c r="AL72" s="483">
        <v>95928</v>
      </c>
      <c r="AM72" s="474" t="s">
        <v>52</v>
      </c>
      <c r="AN72" s="384" t="s">
        <v>50</v>
      </c>
      <c r="AO72" s="474" t="s">
        <v>1076</v>
      </c>
      <c r="AP72" s="482" t="s">
        <v>38</v>
      </c>
      <c r="AQ72" s="474" t="s">
        <v>37</v>
      </c>
      <c r="AR72" s="474"/>
      <c r="AS72" s="473" t="s">
        <v>1152</v>
      </c>
      <c r="AT72" s="473" t="s">
        <v>1076</v>
      </c>
      <c r="AU72" s="478"/>
      <c r="AV72" s="471" t="str">
        <f t="shared" si="17"/>
        <v>30390156H</v>
      </c>
      <c r="AW72" s="471" cm="1">
        <f t="array" ref="AW72">SUM(MID(0&amp;AV72,LARGE(INDEX(ISNUMBER(--MID(AV72,ROW($1:$8),1))*ROW($1:$8),),ROW($1:$8))+1,1)*10^ROW($1:$8)/10)</f>
        <v>30390156</v>
      </c>
      <c r="AX72" s="471" t="str">
        <f>VLOOKUP($AW72,'Item Master Data'!$A:$F,3,FALSE)</f>
        <v>Q.PEAK DUO BLK ML G10+</v>
      </c>
      <c r="AY72" s="471">
        <f>VLOOKUP($AW72,'Item Master Data'!$A:$F,6,FALSE)</f>
        <v>400</v>
      </c>
      <c r="AZ72" s="471">
        <f t="shared" si="18"/>
        <v>24</v>
      </c>
      <c r="BA72" s="471">
        <f>VLOOKUP(AW72,'Item Master Data'!$A:$G,7,FALSE)</f>
        <v>32</v>
      </c>
      <c r="BB72" s="471"/>
      <c r="BC72" s="471">
        <f t="shared" si="19"/>
        <v>0</v>
      </c>
    </row>
    <row r="73" spans="1:55">
      <c r="A73" s="495"/>
      <c r="B73" s="407">
        <v>44508</v>
      </c>
      <c r="C73" s="407">
        <v>44510</v>
      </c>
      <c r="D73" s="485" t="s">
        <v>86</v>
      </c>
      <c r="E73" s="474" t="s">
        <v>2231</v>
      </c>
      <c r="F73" s="486" t="s">
        <v>1147</v>
      </c>
      <c r="G73" s="380">
        <v>2022</v>
      </c>
      <c r="H73" s="474">
        <v>3</v>
      </c>
      <c r="I73" s="474">
        <v>127416</v>
      </c>
      <c r="J73" s="475">
        <v>44643</v>
      </c>
      <c r="K73" s="474" t="s">
        <v>2232</v>
      </c>
      <c r="L73" s="474" t="s">
        <v>1953</v>
      </c>
      <c r="M73" s="475">
        <v>44498</v>
      </c>
      <c r="N73" s="475">
        <v>44593</v>
      </c>
      <c r="O73" s="475" t="s">
        <v>1978</v>
      </c>
      <c r="P73" s="475">
        <v>44641</v>
      </c>
      <c r="Q73" s="475">
        <v>44642</v>
      </c>
      <c r="R73" s="475">
        <v>44643</v>
      </c>
      <c r="S73" s="474" t="s">
        <v>1704</v>
      </c>
      <c r="T73" s="474">
        <v>60</v>
      </c>
      <c r="U73" s="486" t="s">
        <v>1760</v>
      </c>
      <c r="V73" s="474" t="s">
        <v>973</v>
      </c>
      <c r="W73" s="474">
        <v>400</v>
      </c>
      <c r="X73" s="432">
        <v>768</v>
      </c>
      <c r="Y73" s="389">
        <f t="shared" si="14"/>
        <v>307200</v>
      </c>
      <c r="Z73" s="478">
        <f t="shared" si="20"/>
        <v>0.47</v>
      </c>
      <c r="AA73" s="480">
        <f t="shared" si="15"/>
        <v>144384</v>
      </c>
      <c r="AB73" s="480"/>
      <c r="AC73" s="481">
        <f t="shared" si="12"/>
        <v>0</v>
      </c>
      <c r="AD73" s="474"/>
      <c r="AE73" s="398">
        <f>AA73*0.1025</f>
        <v>14799.359999999999</v>
      </c>
      <c r="AF73" s="493">
        <f t="shared" si="16"/>
        <v>159183.35999999999</v>
      </c>
      <c r="AG73" s="474" t="s">
        <v>47</v>
      </c>
      <c r="AH73" s="474"/>
      <c r="AI73" s="474">
        <v>60</v>
      </c>
      <c r="AJ73" s="475" t="s">
        <v>1981</v>
      </c>
      <c r="AK73" s="475" t="s">
        <v>50</v>
      </c>
      <c r="AL73" s="483">
        <v>95928</v>
      </c>
      <c r="AM73" s="474" t="s">
        <v>52</v>
      </c>
      <c r="AN73" s="384" t="s">
        <v>50</v>
      </c>
      <c r="AO73" s="474" t="s">
        <v>1076</v>
      </c>
      <c r="AP73" s="482" t="s">
        <v>38</v>
      </c>
      <c r="AQ73" s="474" t="s">
        <v>37</v>
      </c>
      <c r="AR73" s="474"/>
      <c r="AS73" s="473" t="s">
        <v>1152</v>
      </c>
      <c r="AT73" s="473" t="s">
        <v>1076</v>
      </c>
      <c r="AU73" s="478"/>
      <c r="AV73" s="471" t="str">
        <f t="shared" si="17"/>
        <v>30390156H</v>
      </c>
      <c r="AW73" s="471" cm="1">
        <f t="array" ref="AW73">SUM(MID(0&amp;AV73,LARGE(INDEX(ISNUMBER(--MID(AV73,ROW($1:$8),1))*ROW($1:$8),),ROW($1:$8))+1,1)*10^ROW($1:$8)/10)</f>
        <v>30390156</v>
      </c>
      <c r="AX73" s="471" t="str">
        <f>VLOOKUP($AW73,'Item Master Data'!$A:$F,3,FALSE)</f>
        <v>Q.PEAK DUO BLK ML G10+</v>
      </c>
      <c r="AY73" s="471">
        <f>VLOOKUP($AW73,'Item Master Data'!$A:$F,6,FALSE)</f>
        <v>400</v>
      </c>
      <c r="AZ73" s="471">
        <f t="shared" si="18"/>
        <v>24</v>
      </c>
      <c r="BA73" s="471">
        <f>VLOOKUP(AW73,'Item Master Data'!$A:$G,7,FALSE)</f>
        <v>32</v>
      </c>
      <c r="BB73" s="471"/>
      <c r="BC73" s="471">
        <f t="shared" si="19"/>
        <v>0</v>
      </c>
    </row>
    <row r="74" spans="1:55">
      <c r="A74" s="495"/>
      <c r="B74" s="407">
        <v>44508</v>
      </c>
      <c r="C74" s="407">
        <v>44510</v>
      </c>
      <c r="D74" s="485" t="s">
        <v>86</v>
      </c>
      <c r="E74" s="474" t="s">
        <v>2233</v>
      </c>
      <c r="F74" s="486" t="s">
        <v>1147</v>
      </c>
      <c r="G74" s="380">
        <v>2022</v>
      </c>
      <c r="H74" s="474">
        <v>3</v>
      </c>
      <c r="I74" s="474">
        <v>127501</v>
      </c>
      <c r="J74" s="475">
        <v>44645</v>
      </c>
      <c r="K74" s="474" t="s">
        <v>2234</v>
      </c>
      <c r="L74" s="474" t="s">
        <v>1953</v>
      </c>
      <c r="M74" s="475">
        <v>44498</v>
      </c>
      <c r="N74" s="475">
        <v>44621</v>
      </c>
      <c r="O74" s="475">
        <v>44627</v>
      </c>
      <c r="P74" s="475">
        <v>44641</v>
      </c>
      <c r="Q74" s="475">
        <v>44642</v>
      </c>
      <c r="R74" s="475">
        <v>44645</v>
      </c>
      <c r="S74" s="474" t="s">
        <v>1704</v>
      </c>
      <c r="T74" s="474">
        <v>60</v>
      </c>
      <c r="U74" s="486" t="s">
        <v>1760</v>
      </c>
      <c r="V74" s="474" t="s">
        <v>973</v>
      </c>
      <c r="W74" s="474">
        <v>400</v>
      </c>
      <c r="X74" s="432">
        <v>768</v>
      </c>
      <c r="Y74" s="389">
        <f t="shared" si="14"/>
        <v>307200</v>
      </c>
      <c r="Z74" s="478">
        <f t="shared" si="20"/>
        <v>0.47</v>
      </c>
      <c r="AA74" s="480">
        <f t="shared" si="15"/>
        <v>144384</v>
      </c>
      <c r="AB74" s="480"/>
      <c r="AC74" s="481">
        <f t="shared" si="12"/>
        <v>0</v>
      </c>
      <c r="AD74" s="474"/>
      <c r="AE74" s="398">
        <f>AA74*0.0825</f>
        <v>11911.68</v>
      </c>
      <c r="AF74" s="493">
        <f t="shared" si="16"/>
        <v>156295.67999999999</v>
      </c>
      <c r="AG74" s="474" t="s">
        <v>47</v>
      </c>
      <c r="AH74" s="474"/>
      <c r="AI74" s="474">
        <v>60</v>
      </c>
      <c r="AJ74" s="475" t="s">
        <v>2066</v>
      </c>
      <c r="AK74" s="475" t="s">
        <v>1144</v>
      </c>
      <c r="AL74" s="483">
        <v>75041</v>
      </c>
      <c r="AM74" s="474" t="s">
        <v>52</v>
      </c>
      <c r="AN74" s="384" t="s">
        <v>50</v>
      </c>
      <c r="AO74" s="474" t="s">
        <v>1076</v>
      </c>
      <c r="AP74" s="482" t="s">
        <v>38</v>
      </c>
      <c r="AQ74" s="474" t="s">
        <v>37</v>
      </c>
      <c r="AR74" s="474"/>
      <c r="AS74" s="473" t="s">
        <v>1152</v>
      </c>
      <c r="AT74" s="473" t="s">
        <v>1076</v>
      </c>
      <c r="AU74" s="478"/>
      <c r="AV74" s="471" t="str">
        <f t="shared" si="17"/>
        <v>30390156H</v>
      </c>
      <c r="AW74" s="471" cm="1">
        <f t="array" ref="AW74">SUM(MID(0&amp;AV74,LARGE(INDEX(ISNUMBER(--MID(AV74,ROW($1:$8),1))*ROW($1:$8),),ROW($1:$8))+1,1)*10^ROW($1:$8)/10)</f>
        <v>30390156</v>
      </c>
      <c r="AX74" s="471" t="str">
        <f>VLOOKUP($AW74,'Item Master Data'!$A:$F,3,FALSE)</f>
        <v>Q.PEAK DUO BLK ML G10+</v>
      </c>
      <c r="AY74" s="471">
        <f>VLOOKUP($AW74,'Item Master Data'!$A:$F,6,FALSE)</f>
        <v>400</v>
      </c>
      <c r="AZ74" s="471">
        <f t="shared" si="18"/>
        <v>24</v>
      </c>
      <c r="BA74" s="471">
        <f>VLOOKUP(AW74,'Item Master Data'!$A:$G,7,FALSE)</f>
        <v>32</v>
      </c>
      <c r="BB74" s="471"/>
      <c r="BC74" s="471">
        <f t="shared" si="19"/>
        <v>0</v>
      </c>
    </row>
    <row r="75" spans="1:55">
      <c r="A75" s="495">
        <v>10</v>
      </c>
      <c r="B75" s="407">
        <v>44558</v>
      </c>
      <c r="C75" s="407">
        <v>44558</v>
      </c>
      <c r="D75" s="485" t="s">
        <v>86</v>
      </c>
      <c r="E75" s="474" t="s">
        <v>1893</v>
      </c>
      <c r="F75" s="486" t="s">
        <v>1147</v>
      </c>
      <c r="G75" s="380">
        <v>2022</v>
      </c>
      <c r="H75" s="474">
        <v>3</v>
      </c>
      <c r="I75" s="474">
        <v>127201</v>
      </c>
      <c r="J75" s="475">
        <v>44624</v>
      </c>
      <c r="K75" s="474" t="s">
        <v>2191</v>
      </c>
      <c r="L75" s="474" t="s">
        <v>1953</v>
      </c>
      <c r="M75" s="475">
        <v>44498</v>
      </c>
      <c r="N75" s="475">
        <v>44621</v>
      </c>
      <c r="O75" s="475"/>
      <c r="P75" s="475">
        <v>44616</v>
      </c>
      <c r="Q75" s="475">
        <v>44623</v>
      </c>
      <c r="R75" s="475">
        <v>44624</v>
      </c>
      <c r="S75" s="474" t="s">
        <v>1704</v>
      </c>
      <c r="T75" s="474">
        <v>60</v>
      </c>
      <c r="U75" s="486" t="s">
        <v>1247</v>
      </c>
      <c r="V75" s="474" t="s">
        <v>973</v>
      </c>
      <c r="W75" s="474">
        <v>400</v>
      </c>
      <c r="X75" s="432">
        <v>768</v>
      </c>
      <c r="Y75" s="389">
        <f t="shared" si="14"/>
        <v>307200</v>
      </c>
      <c r="Z75" s="478">
        <f t="shared" si="20"/>
        <v>0.47</v>
      </c>
      <c r="AA75" s="480">
        <f t="shared" si="15"/>
        <v>144384</v>
      </c>
      <c r="AB75" s="480"/>
      <c r="AC75" s="481">
        <f t="shared" si="12"/>
        <v>0</v>
      </c>
      <c r="AD75" s="474"/>
      <c r="AE75" s="398">
        <f>AA75*0.0825</f>
        <v>11911.68</v>
      </c>
      <c r="AF75" s="493">
        <f t="shared" si="16"/>
        <v>156295.67999999999</v>
      </c>
      <c r="AG75" s="474" t="s">
        <v>47</v>
      </c>
      <c r="AH75" s="474"/>
      <c r="AI75" s="474">
        <v>60</v>
      </c>
      <c r="AJ75" s="475" t="s">
        <v>1384</v>
      </c>
      <c r="AK75" s="475" t="s">
        <v>1144</v>
      </c>
      <c r="AL75" s="483">
        <v>77064</v>
      </c>
      <c r="AM75" s="474" t="s">
        <v>52</v>
      </c>
      <c r="AN75" s="384" t="s">
        <v>1144</v>
      </c>
      <c r="AO75" s="474" t="s">
        <v>1076</v>
      </c>
      <c r="AP75" s="482" t="s">
        <v>38</v>
      </c>
      <c r="AQ75" s="474" t="s">
        <v>37</v>
      </c>
      <c r="AR75" s="474"/>
      <c r="AS75" s="473" t="s">
        <v>1152</v>
      </c>
      <c r="AT75" s="473" t="s">
        <v>1076</v>
      </c>
      <c r="AU75" s="478"/>
      <c r="AV75" s="471" t="str">
        <f t="shared" si="17"/>
        <v>30390456C</v>
      </c>
      <c r="AW75" s="471" cm="1">
        <f t="array" ref="AW75">SUM(MID(0&amp;AV75,LARGE(INDEX(ISNUMBER(--MID(AV75,ROW($1:$8),1))*ROW($1:$8),),ROW($1:$8))+1,1)*10^ROW($1:$8)/10)</f>
        <v>30390456</v>
      </c>
      <c r="AX75" s="471" t="str">
        <f>VLOOKUP($AW75,'Item Master Data'!$A:$F,3,FALSE)</f>
        <v>Q.PEAK DUO BLK ML G10+</v>
      </c>
      <c r="AY75" s="471">
        <f>VLOOKUP($AW75,'Item Master Data'!$A:$F,6,FALSE)</f>
        <v>400</v>
      </c>
      <c r="AZ75" s="471">
        <f t="shared" si="18"/>
        <v>24</v>
      </c>
      <c r="BA75" s="471">
        <f>VLOOKUP(AW75,'Item Master Data'!$A:$G,7,FALSE)</f>
        <v>32</v>
      </c>
      <c r="BB75" s="471"/>
      <c r="BC75" s="471">
        <f t="shared" si="19"/>
        <v>0</v>
      </c>
    </row>
    <row r="76" spans="1:55">
      <c r="A76" s="495"/>
      <c r="B76" s="407">
        <v>44595</v>
      </c>
      <c r="C76" s="407">
        <v>44558</v>
      </c>
      <c r="D76" s="485" t="s">
        <v>86</v>
      </c>
      <c r="E76" s="474" t="s">
        <v>1975</v>
      </c>
      <c r="F76" s="486"/>
      <c r="G76" s="380">
        <v>2022</v>
      </c>
      <c r="H76" s="474">
        <v>3</v>
      </c>
      <c r="I76" s="474">
        <v>127202</v>
      </c>
      <c r="J76" s="475">
        <v>44624</v>
      </c>
      <c r="K76" s="474" t="s">
        <v>2195</v>
      </c>
      <c r="L76" s="474" t="s">
        <v>1953</v>
      </c>
      <c r="M76" s="475">
        <v>44578</v>
      </c>
      <c r="N76" s="475">
        <v>44578</v>
      </c>
      <c r="O76" s="475"/>
      <c r="P76" s="475">
        <v>44617</v>
      </c>
      <c r="Q76" s="475">
        <v>44623</v>
      </c>
      <c r="R76" s="475">
        <v>44624</v>
      </c>
      <c r="S76" s="474" t="s">
        <v>1704</v>
      </c>
      <c r="T76" s="474">
        <v>72</v>
      </c>
      <c r="U76" s="486" t="s">
        <v>1809</v>
      </c>
      <c r="V76" s="474" t="s">
        <v>1002</v>
      </c>
      <c r="W76" s="474">
        <v>475</v>
      </c>
      <c r="X76" s="432">
        <v>290</v>
      </c>
      <c r="Y76" s="389">
        <f t="shared" si="14"/>
        <v>137750</v>
      </c>
      <c r="Z76" s="478">
        <f>232.75/475</f>
        <v>0.49</v>
      </c>
      <c r="AA76" s="480">
        <f t="shared" si="15"/>
        <v>67497.5</v>
      </c>
      <c r="AB76" s="480"/>
      <c r="AC76" s="481">
        <f t="shared" si="12"/>
        <v>0</v>
      </c>
      <c r="AD76" s="474"/>
      <c r="AE76" s="398">
        <f>AA76*0.0725</f>
        <v>4893.5687499999995</v>
      </c>
      <c r="AF76" s="493">
        <f t="shared" si="16"/>
        <v>72391.068750000006</v>
      </c>
      <c r="AG76" s="474" t="s">
        <v>47</v>
      </c>
      <c r="AH76" s="474"/>
      <c r="AI76" s="474">
        <v>60</v>
      </c>
      <c r="AJ76" s="475" t="s">
        <v>1984</v>
      </c>
      <c r="AK76" s="475" t="s">
        <v>50</v>
      </c>
      <c r="AL76" s="483">
        <v>95765</v>
      </c>
      <c r="AM76" s="474" t="s">
        <v>52</v>
      </c>
      <c r="AN76" s="384" t="s">
        <v>50</v>
      </c>
      <c r="AO76" s="474" t="s">
        <v>1076</v>
      </c>
      <c r="AP76" s="482" t="s">
        <v>38</v>
      </c>
      <c r="AQ76" s="474" t="s">
        <v>37</v>
      </c>
      <c r="AR76" s="474"/>
      <c r="AS76" s="473" t="s">
        <v>1152</v>
      </c>
      <c r="AT76" s="473" t="s">
        <v>1076</v>
      </c>
      <c r="AU76" s="478"/>
      <c r="AV76" s="471" t="str">
        <f t="shared" si="17"/>
        <v>30397471F</v>
      </c>
      <c r="AW76" s="471" cm="1">
        <f t="array" ref="AW76">SUM(MID(0&amp;AV76,LARGE(INDEX(ISNUMBER(--MID(AV76,ROW($1:$8),1))*ROW($1:$8),),ROW($1:$8))+1,1)*10^ROW($1:$8)/10)</f>
        <v>30397471</v>
      </c>
      <c r="AX76" s="471" t="str">
        <f>VLOOKUP($AW76,'Item Master Data'!$A:$F,3,FALSE)</f>
        <v>Q.PEAK DUO XL G10</v>
      </c>
      <c r="AY76" s="471">
        <f>VLOOKUP($AW76,'Item Master Data'!$A:$F,6,FALSE)</f>
        <v>475</v>
      </c>
      <c r="AZ76" s="471">
        <f t="shared" si="18"/>
        <v>10</v>
      </c>
      <c r="BA76" s="471">
        <f>VLOOKUP(AW76,'Item Master Data'!$A:$G,7,FALSE)</f>
        <v>29</v>
      </c>
      <c r="BB76" s="471"/>
      <c r="BC76" s="471">
        <f t="shared" si="19"/>
        <v>0</v>
      </c>
    </row>
    <row r="77" spans="1:55">
      <c r="A77" s="495"/>
      <c r="B77" s="407">
        <v>44627</v>
      </c>
      <c r="C77" s="407">
        <v>44627</v>
      </c>
      <c r="D77" s="485" t="s">
        <v>86</v>
      </c>
      <c r="E77" s="474" t="s">
        <v>2235</v>
      </c>
      <c r="F77" s="474"/>
      <c r="G77" s="380">
        <v>2022</v>
      </c>
      <c r="H77" s="474">
        <v>3</v>
      </c>
      <c r="I77" s="474">
        <v>127543</v>
      </c>
      <c r="J77" s="475">
        <v>44645</v>
      </c>
      <c r="K77" s="474" t="s">
        <v>2236</v>
      </c>
      <c r="L77" s="474" t="s">
        <v>1953</v>
      </c>
      <c r="M77" s="475">
        <v>44602</v>
      </c>
      <c r="N77" s="475">
        <v>44655</v>
      </c>
      <c r="O77" s="475"/>
      <c r="P77" s="475">
        <v>44641</v>
      </c>
      <c r="Q77" s="475">
        <v>44642</v>
      </c>
      <c r="R77" s="475">
        <v>44645</v>
      </c>
      <c r="S77" s="474" t="s">
        <v>1704</v>
      </c>
      <c r="T77" s="474">
        <v>60</v>
      </c>
      <c r="U77" s="486" t="s">
        <v>1760</v>
      </c>
      <c r="V77" s="486" t="s">
        <v>973</v>
      </c>
      <c r="W77" s="474">
        <v>400</v>
      </c>
      <c r="X77" s="432">
        <v>768</v>
      </c>
      <c r="Y77" s="389">
        <f t="shared" si="14"/>
        <v>307200</v>
      </c>
      <c r="Z77" s="478">
        <f>188/400</f>
        <v>0.47</v>
      </c>
      <c r="AA77" s="479">
        <f t="shared" si="15"/>
        <v>144384</v>
      </c>
      <c r="AB77" s="480"/>
      <c r="AC77" s="481">
        <f t="shared" si="12"/>
        <v>0</v>
      </c>
      <c r="AD77" s="474"/>
      <c r="AE77" s="398">
        <f>AA77*0.0825</f>
        <v>11911.68</v>
      </c>
      <c r="AF77" s="493">
        <f t="shared" si="16"/>
        <v>156295.67999999999</v>
      </c>
      <c r="AG77" s="474" t="s">
        <v>47</v>
      </c>
      <c r="AH77" s="474"/>
      <c r="AI77" s="474">
        <v>60</v>
      </c>
      <c r="AJ77" s="475" t="s">
        <v>1384</v>
      </c>
      <c r="AK77" s="475" t="s">
        <v>1144</v>
      </c>
      <c r="AL77" s="483" t="s">
        <v>2120</v>
      </c>
      <c r="AM77" s="474" t="s">
        <v>52</v>
      </c>
      <c r="AN77" s="384" t="s">
        <v>50</v>
      </c>
      <c r="AO77" s="474" t="s">
        <v>1076</v>
      </c>
      <c r="AP77" s="482" t="s">
        <v>38</v>
      </c>
      <c r="AQ77" s="482" t="s">
        <v>37</v>
      </c>
      <c r="AR77" s="474"/>
      <c r="AS77" s="473"/>
      <c r="AT77" s="473"/>
      <c r="AU77" s="478"/>
      <c r="AV77" s="471" t="str">
        <f t="shared" si="17"/>
        <v>30390156H</v>
      </c>
      <c r="AW77" s="471" cm="1">
        <f t="array" ref="AW77">SUM(MID(0&amp;AV77,LARGE(INDEX(ISNUMBER(--MID(AV77,ROW($1:$8),1))*ROW($1:$8),),ROW($1:$8))+1,1)*10^ROW($1:$8)/10)</f>
        <v>30390156</v>
      </c>
      <c r="AX77" s="471" t="str">
        <f>VLOOKUP($AW77,'Item Master Data'!$A:$F,3,FALSE)</f>
        <v>Q.PEAK DUO BLK ML G10+</v>
      </c>
      <c r="AY77" s="471">
        <f>VLOOKUP($AW77,'Item Master Data'!$A:$F,6,FALSE)</f>
        <v>400</v>
      </c>
      <c r="AZ77" s="471">
        <f t="shared" si="18"/>
        <v>24</v>
      </c>
      <c r="BA77" s="471">
        <f>VLOOKUP(AW77,'Item Master Data'!$A:$G,7,FALSE)</f>
        <v>32</v>
      </c>
      <c r="BB77" s="471"/>
      <c r="BC77" s="471">
        <f t="shared" si="19"/>
        <v>0</v>
      </c>
    </row>
    <row r="78" spans="1:55">
      <c r="A78" s="495">
        <v>10</v>
      </c>
      <c r="B78" s="407">
        <v>44640</v>
      </c>
      <c r="C78" s="407">
        <v>44638</v>
      </c>
      <c r="D78" s="474" t="s">
        <v>86</v>
      </c>
      <c r="E78" s="474" t="s">
        <v>2154</v>
      </c>
      <c r="F78" s="474"/>
      <c r="G78" s="380">
        <v>2022</v>
      </c>
      <c r="H78" s="474">
        <v>3</v>
      </c>
      <c r="I78" s="474">
        <v>127335</v>
      </c>
      <c r="J78" s="475">
        <v>44630</v>
      </c>
      <c r="K78" s="474" t="s">
        <v>2202</v>
      </c>
      <c r="L78" s="474" t="s">
        <v>1953</v>
      </c>
      <c r="M78" s="475">
        <v>44608</v>
      </c>
      <c r="N78" s="475">
        <v>44615</v>
      </c>
      <c r="O78" s="475"/>
      <c r="P78" s="475" t="s">
        <v>5168</v>
      </c>
      <c r="Q78" s="475">
        <v>44627</v>
      </c>
      <c r="R78" s="475">
        <v>44630</v>
      </c>
      <c r="S78" s="474" t="s">
        <v>1704</v>
      </c>
      <c r="T78" s="474">
        <v>60</v>
      </c>
      <c r="U78" s="474" t="s">
        <v>2184</v>
      </c>
      <c r="V78" s="474" t="s">
        <v>973</v>
      </c>
      <c r="W78" s="474">
        <v>400</v>
      </c>
      <c r="X78" s="432">
        <v>768</v>
      </c>
      <c r="Y78" s="389">
        <f t="shared" si="14"/>
        <v>307200</v>
      </c>
      <c r="Z78" s="478">
        <f>188/400</f>
        <v>0.47</v>
      </c>
      <c r="AA78" s="479">
        <f t="shared" si="15"/>
        <v>144384</v>
      </c>
      <c r="AB78" s="480"/>
      <c r="AC78" s="481">
        <v>0</v>
      </c>
      <c r="AD78" s="490"/>
      <c r="AE78" s="398">
        <f>AA78*0.0825</f>
        <v>11911.68</v>
      </c>
      <c r="AF78" s="493">
        <f t="shared" si="16"/>
        <v>156295.67999999999</v>
      </c>
      <c r="AG78" s="474" t="s">
        <v>47</v>
      </c>
      <c r="AH78" s="474"/>
      <c r="AI78" s="474">
        <v>60</v>
      </c>
      <c r="AJ78" s="474" t="s">
        <v>2066</v>
      </c>
      <c r="AK78" s="474" t="s">
        <v>1144</v>
      </c>
      <c r="AL78" s="474">
        <v>75041</v>
      </c>
      <c r="AM78" s="474" t="s">
        <v>52</v>
      </c>
      <c r="AN78" s="474" t="s">
        <v>50</v>
      </c>
      <c r="AO78" s="474" t="s">
        <v>1076</v>
      </c>
      <c r="AP78" s="482" t="s">
        <v>38</v>
      </c>
      <c r="AQ78" s="482" t="s">
        <v>37</v>
      </c>
      <c r="AR78" s="482" t="s">
        <v>1216</v>
      </c>
      <c r="AS78" s="473" t="s">
        <v>1492</v>
      </c>
      <c r="AT78" s="473"/>
      <c r="AU78" s="478">
        <f>180/360</f>
        <v>0.5</v>
      </c>
      <c r="AV78" s="471" t="str">
        <f t="shared" si="17"/>
        <v>30390456C+</v>
      </c>
      <c r="AW78" s="471" cm="1">
        <f t="array" ref="AW78">SUM(MID(0&amp;AV78,LARGE(INDEX(ISNUMBER(--MID(AV78,ROW($1:$8),1))*ROW($1:$8),),ROW($1:$8))+1,1)*10^ROW($1:$8)/10)</f>
        <v>30390456</v>
      </c>
      <c r="AX78" s="471" t="str">
        <f>VLOOKUP($AW78,'Item Master Data'!$A:$F,3,FALSE)</f>
        <v>Q.PEAK DUO BLK ML G10+</v>
      </c>
      <c r="AY78" s="471">
        <f>VLOOKUP($AW78,'Item Master Data'!$A:$F,6,FALSE)</f>
        <v>400</v>
      </c>
      <c r="AZ78" s="471">
        <f t="shared" si="18"/>
        <v>24</v>
      </c>
      <c r="BA78" s="471">
        <f>VLOOKUP(AW78,'Item Master Data'!$A:$G,7,FALSE)</f>
        <v>32</v>
      </c>
      <c r="BB78" s="471"/>
      <c r="BC78" s="471">
        <f t="shared" si="19"/>
        <v>0</v>
      </c>
    </row>
    <row r="79" spans="1:55">
      <c r="A79" s="495">
        <v>10</v>
      </c>
      <c r="B79" s="407">
        <v>44257</v>
      </c>
      <c r="C79" s="407">
        <v>44624</v>
      </c>
      <c r="D79" s="474" t="s">
        <v>86</v>
      </c>
      <c r="E79" s="474" t="s">
        <v>2208</v>
      </c>
      <c r="F79" s="474"/>
      <c r="G79" s="380">
        <v>2022</v>
      </c>
      <c r="H79" s="474">
        <v>3</v>
      </c>
      <c r="I79" s="474">
        <v>127261</v>
      </c>
      <c r="J79" s="475">
        <v>44634</v>
      </c>
      <c r="K79" s="474" t="s">
        <v>2209</v>
      </c>
      <c r="L79" s="474" t="s">
        <v>1953</v>
      </c>
      <c r="M79" s="475">
        <v>44621</v>
      </c>
      <c r="N79" s="475">
        <v>44627</v>
      </c>
      <c r="O79" s="475"/>
      <c r="P79" s="475">
        <v>44624</v>
      </c>
      <c r="Q79" s="475">
        <v>44629</v>
      </c>
      <c r="R79" s="475">
        <v>44634</v>
      </c>
      <c r="S79" s="474" t="s">
        <v>1704</v>
      </c>
      <c r="T79" s="474">
        <v>60</v>
      </c>
      <c r="U79" s="474" t="s">
        <v>2210</v>
      </c>
      <c r="V79" s="474" t="s">
        <v>973</v>
      </c>
      <c r="W79" s="474">
        <v>400</v>
      </c>
      <c r="X79" s="432">
        <v>768</v>
      </c>
      <c r="Y79" s="389">
        <f t="shared" si="14"/>
        <v>307200</v>
      </c>
      <c r="Z79" s="478">
        <f>188/400</f>
        <v>0.47</v>
      </c>
      <c r="AA79" s="479">
        <f t="shared" si="15"/>
        <v>144384</v>
      </c>
      <c r="AB79" s="480"/>
      <c r="AC79" s="481">
        <v>0</v>
      </c>
      <c r="AD79" s="490"/>
      <c r="AE79" s="398"/>
      <c r="AF79" s="493">
        <f t="shared" si="16"/>
        <v>144384</v>
      </c>
      <c r="AG79" s="474" t="s">
        <v>47</v>
      </c>
      <c r="AH79" s="474"/>
      <c r="AI79" s="474">
        <v>60</v>
      </c>
      <c r="AJ79" s="474" t="s">
        <v>1194</v>
      </c>
      <c r="AK79" s="474" t="s">
        <v>1073</v>
      </c>
      <c r="AL79" s="474">
        <v>21046</v>
      </c>
      <c r="AM79" s="474" t="s">
        <v>52</v>
      </c>
      <c r="AN79" s="474" t="s">
        <v>50</v>
      </c>
      <c r="AO79" s="474" t="s">
        <v>1076</v>
      </c>
      <c r="AP79" s="482" t="s">
        <v>38</v>
      </c>
      <c r="AQ79" s="482" t="s">
        <v>37</v>
      </c>
      <c r="AR79" s="482" t="s">
        <v>1216</v>
      </c>
      <c r="AS79" s="473" t="s">
        <v>1492</v>
      </c>
      <c r="AT79" s="473"/>
      <c r="AU79" s="478">
        <f>180/360</f>
        <v>0.5</v>
      </c>
      <c r="AV79" s="471" t="str">
        <f t="shared" si="17"/>
        <v>30390156C</v>
      </c>
      <c r="AW79" s="471" cm="1">
        <f t="array" ref="AW79">SUM(MID(0&amp;AV79,LARGE(INDEX(ISNUMBER(--MID(AV79,ROW($1:$8),1))*ROW($1:$8),),ROW($1:$8))+1,1)*10^ROW($1:$8)/10)</f>
        <v>30390156</v>
      </c>
      <c r="AX79" s="471" t="str">
        <f>VLOOKUP($AW79,'Item Master Data'!$A:$F,3,FALSE)</f>
        <v>Q.PEAK DUO BLK ML G10+</v>
      </c>
      <c r="AY79" s="471">
        <f>VLOOKUP($AW79,'Item Master Data'!$A:$F,6,FALSE)</f>
        <v>400</v>
      </c>
      <c r="AZ79" s="471">
        <f t="shared" si="18"/>
        <v>24</v>
      </c>
      <c r="BA79" s="471">
        <f>VLOOKUP(AW79,'Item Master Data'!$A:$G,7,FALSE)</f>
        <v>32</v>
      </c>
      <c r="BB79" s="471"/>
      <c r="BC79" s="471">
        <f t="shared" si="19"/>
        <v>0</v>
      </c>
    </row>
    <row r="80" spans="1:55">
      <c r="A80" s="495"/>
      <c r="B80" s="407">
        <v>44614</v>
      </c>
      <c r="C80" s="407">
        <v>44629</v>
      </c>
      <c r="D80" s="485" t="s">
        <v>86</v>
      </c>
      <c r="E80" s="474" t="s">
        <v>1721</v>
      </c>
      <c r="F80" s="486"/>
      <c r="G80" s="380">
        <v>2022</v>
      </c>
      <c r="H80" s="474">
        <v>3</v>
      </c>
      <c r="I80" s="524">
        <v>127772</v>
      </c>
      <c r="J80" s="538">
        <v>44650</v>
      </c>
      <c r="K80" s="524" t="s">
        <v>1722</v>
      </c>
      <c r="L80" s="524" t="s">
        <v>1723</v>
      </c>
      <c r="M80" s="475">
        <v>44481</v>
      </c>
      <c r="N80" s="475">
        <v>44643</v>
      </c>
      <c r="O80" s="475"/>
      <c r="P80" s="475">
        <v>44628</v>
      </c>
      <c r="Q80" s="475">
        <v>44650</v>
      </c>
      <c r="R80" s="475">
        <v>44652</v>
      </c>
      <c r="S80" s="474" t="s">
        <v>88</v>
      </c>
      <c r="T80" s="474">
        <v>60</v>
      </c>
      <c r="U80" s="486">
        <v>49201132</v>
      </c>
      <c r="V80" s="474" t="s">
        <v>986</v>
      </c>
      <c r="W80" s="474">
        <v>360</v>
      </c>
      <c r="X80" s="432">
        <v>768</v>
      </c>
      <c r="Y80" s="389">
        <f t="shared" si="14"/>
        <v>276480</v>
      </c>
      <c r="Z80" s="478">
        <f>192.6/360</f>
        <v>0.53500000000000003</v>
      </c>
      <c r="AA80" s="480">
        <f t="shared" si="15"/>
        <v>147916.80000000002</v>
      </c>
      <c r="AB80" s="480"/>
      <c r="AC80" s="481">
        <f>AB80*Y80</f>
        <v>0</v>
      </c>
      <c r="AD80" s="474"/>
      <c r="AE80" s="398"/>
      <c r="AF80" s="493">
        <f t="shared" si="16"/>
        <v>147916.80000000002</v>
      </c>
      <c r="AG80" s="474" t="s">
        <v>1071</v>
      </c>
      <c r="AH80" s="474"/>
      <c r="AI80" s="474">
        <v>60</v>
      </c>
      <c r="AJ80" s="475" t="s">
        <v>1342</v>
      </c>
      <c r="AK80" s="475" t="s">
        <v>1085</v>
      </c>
      <c r="AL80" s="483">
        <v>8110</v>
      </c>
      <c r="AM80" s="474" t="s">
        <v>52</v>
      </c>
      <c r="AN80" s="384" t="s">
        <v>1695</v>
      </c>
      <c r="AO80" s="474" t="s">
        <v>1076</v>
      </c>
      <c r="AP80" s="482"/>
      <c r="AQ80" s="474" t="s">
        <v>37</v>
      </c>
      <c r="AR80" s="474"/>
      <c r="AS80" s="473" t="s">
        <v>1152</v>
      </c>
      <c r="AT80" s="473" t="s">
        <v>1076</v>
      </c>
      <c r="AU80" s="478"/>
      <c r="AV80" s="471">
        <f t="shared" si="17"/>
        <v>49201132</v>
      </c>
      <c r="AW80" s="471" cm="1">
        <f t="array" ref="AW80">SUM(MID(0&amp;AV80,LARGE(INDEX(ISNUMBER(--MID(AV80,ROW($1:$8),1))*ROW($1:$8),),ROW($1:$8))+1,1)*10^ROW($1:$8)/10)</f>
        <v>49201132</v>
      </c>
      <c r="AX80" s="471" t="str">
        <f>VLOOKUP($AW80,'Item Master Data'!$A:$F,3,FALSE)</f>
        <v>Q.PEAK DUO BLK G10+</v>
      </c>
      <c r="AY80" s="471">
        <f>VLOOKUP($AW80,'Item Master Data'!$A:$F,6,FALSE)</f>
        <v>360</v>
      </c>
      <c r="AZ80" s="471">
        <f t="shared" si="18"/>
        <v>24</v>
      </c>
      <c r="BA80" s="471">
        <f>VLOOKUP(AW80,'Item Master Data'!$A:$G,7,FALSE)</f>
        <v>32</v>
      </c>
      <c r="BB80" s="471"/>
      <c r="BC80" s="471">
        <f t="shared" si="19"/>
        <v>0</v>
      </c>
    </row>
    <row r="81" spans="1:55">
      <c r="A81" s="495"/>
      <c r="B81" s="407">
        <v>44614</v>
      </c>
      <c r="C81" s="407">
        <v>44629</v>
      </c>
      <c r="D81" s="485" t="s">
        <v>86</v>
      </c>
      <c r="E81" s="474" t="s">
        <v>1818</v>
      </c>
      <c r="F81" s="486" t="s">
        <v>87</v>
      </c>
      <c r="G81" s="380">
        <v>2022</v>
      </c>
      <c r="H81" s="474">
        <v>3</v>
      </c>
      <c r="I81" s="474">
        <v>127379</v>
      </c>
      <c r="J81" s="475">
        <v>44637</v>
      </c>
      <c r="K81" s="474" t="s">
        <v>2238</v>
      </c>
      <c r="L81" s="474" t="s">
        <v>1723</v>
      </c>
      <c r="M81" s="475">
        <v>44481</v>
      </c>
      <c r="N81" s="475">
        <v>44650</v>
      </c>
      <c r="O81" s="475"/>
      <c r="P81" s="475">
        <v>44631</v>
      </c>
      <c r="Q81" s="475">
        <v>44637</v>
      </c>
      <c r="R81" s="475">
        <v>44642</v>
      </c>
      <c r="S81" s="474" t="s">
        <v>88</v>
      </c>
      <c r="T81" s="474">
        <v>72</v>
      </c>
      <c r="U81" s="486" t="s">
        <v>1103</v>
      </c>
      <c r="V81" s="474" t="s">
        <v>1002</v>
      </c>
      <c r="W81" s="474">
        <v>480</v>
      </c>
      <c r="X81" s="432">
        <v>638</v>
      </c>
      <c r="Y81" s="389">
        <f t="shared" si="14"/>
        <v>306240</v>
      </c>
      <c r="Z81" s="478">
        <f>228/480</f>
        <v>0.47499999999999998</v>
      </c>
      <c r="AA81" s="480">
        <f t="shared" si="15"/>
        <v>145464</v>
      </c>
      <c r="AB81" s="480"/>
      <c r="AC81" s="481">
        <f>AB81*Y81</f>
        <v>0</v>
      </c>
      <c r="AD81" s="474"/>
      <c r="AE81" s="474"/>
      <c r="AF81" s="493">
        <f t="shared" si="16"/>
        <v>145464</v>
      </c>
      <c r="AG81" s="474" t="s">
        <v>1071</v>
      </c>
      <c r="AH81" s="474"/>
      <c r="AI81" s="474">
        <v>60</v>
      </c>
      <c r="AJ81" s="475" t="s">
        <v>1342</v>
      </c>
      <c r="AK81" s="475" t="s">
        <v>1085</v>
      </c>
      <c r="AL81" s="483">
        <v>8110</v>
      </c>
      <c r="AM81" s="474" t="s">
        <v>52</v>
      </c>
      <c r="AN81" s="384" t="s">
        <v>50</v>
      </c>
      <c r="AO81" s="474" t="s">
        <v>1076</v>
      </c>
      <c r="AP81" s="482" t="s">
        <v>38</v>
      </c>
      <c r="AQ81" s="474" t="s">
        <v>37</v>
      </c>
      <c r="AR81" s="474"/>
      <c r="AS81" s="473" t="s">
        <v>1152</v>
      </c>
      <c r="AT81" s="473" t="s">
        <v>1076</v>
      </c>
      <c r="AU81" s="478"/>
      <c r="AV81" s="471" t="str">
        <f t="shared" si="17"/>
        <v>30397472F</v>
      </c>
      <c r="AW81" s="471" cm="1">
        <f t="array" ref="AW81">SUM(MID(0&amp;AV81,LARGE(INDEX(ISNUMBER(--MID(AV81,ROW($1:$8),1))*ROW($1:$8),),ROW($1:$8))+1,1)*10^ROW($1:$8)/10)</f>
        <v>30397472</v>
      </c>
      <c r="AX81" s="471" t="str">
        <f>VLOOKUP($AW81,'Item Master Data'!$A:$F,3,FALSE)</f>
        <v>Q.PEAK DUO XL G10</v>
      </c>
      <c r="AY81" s="471">
        <f>VLOOKUP($AW81,'Item Master Data'!$A:$F,6,FALSE)</f>
        <v>480</v>
      </c>
      <c r="AZ81" s="471">
        <f t="shared" si="18"/>
        <v>22</v>
      </c>
      <c r="BA81" s="471">
        <f>VLOOKUP(AW81,'Item Master Data'!$A:$G,7,FALSE)</f>
        <v>29</v>
      </c>
      <c r="BB81" s="471"/>
      <c r="BC81" s="471">
        <f t="shared" si="19"/>
        <v>0</v>
      </c>
    </row>
    <row r="82" spans="1:55">
      <c r="A82" s="495"/>
      <c r="B82" s="407">
        <v>44601</v>
      </c>
      <c r="C82" s="407">
        <v>44545</v>
      </c>
      <c r="D82" s="485" t="s">
        <v>86</v>
      </c>
      <c r="E82" s="474"/>
      <c r="F82" s="486"/>
      <c r="G82" s="380">
        <v>2022</v>
      </c>
      <c r="H82" s="474">
        <v>3</v>
      </c>
      <c r="I82" s="474">
        <v>127681</v>
      </c>
      <c r="J82" s="475">
        <v>44650</v>
      </c>
      <c r="K82" s="474" t="s">
        <v>2237</v>
      </c>
      <c r="L82" s="474" t="s">
        <v>1723</v>
      </c>
      <c r="M82" s="475">
        <v>44481</v>
      </c>
      <c r="N82" s="475">
        <v>44615</v>
      </c>
      <c r="O82" s="475">
        <v>44643</v>
      </c>
      <c r="P82" s="475">
        <v>44628</v>
      </c>
      <c r="Q82" s="475">
        <v>44650</v>
      </c>
      <c r="R82" s="475">
        <v>44652</v>
      </c>
      <c r="S82" s="474" t="s">
        <v>88</v>
      </c>
      <c r="T82" s="474">
        <v>60</v>
      </c>
      <c r="U82" s="486">
        <v>49201132</v>
      </c>
      <c r="V82" s="474" t="s">
        <v>986</v>
      </c>
      <c r="W82" s="474">
        <v>360</v>
      </c>
      <c r="X82" s="432">
        <v>768</v>
      </c>
      <c r="Y82" s="389">
        <f t="shared" si="14"/>
        <v>276480</v>
      </c>
      <c r="Z82" s="478">
        <f>192.6/360</f>
        <v>0.53500000000000003</v>
      </c>
      <c r="AA82" s="480">
        <f t="shared" si="15"/>
        <v>147916.80000000002</v>
      </c>
      <c r="AB82" s="480"/>
      <c r="AC82" s="481">
        <f>AB82*Y82</f>
        <v>0</v>
      </c>
      <c r="AD82" s="474"/>
      <c r="AE82" s="398"/>
      <c r="AF82" s="493">
        <f t="shared" si="16"/>
        <v>147916.80000000002</v>
      </c>
      <c r="AG82" s="474" t="s">
        <v>1071</v>
      </c>
      <c r="AH82" s="474"/>
      <c r="AI82" s="474">
        <v>60</v>
      </c>
      <c r="AJ82" s="475" t="s">
        <v>1342</v>
      </c>
      <c r="AK82" s="475" t="s">
        <v>1085</v>
      </c>
      <c r="AL82" s="483">
        <v>8110</v>
      </c>
      <c r="AM82" s="474" t="s">
        <v>52</v>
      </c>
      <c r="AN82" s="384" t="s">
        <v>1695</v>
      </c>
      <c r="AO82" s="474" t="s">
        <v>1076</v>
      </c>
      <c r="AP82" s="482"/>
      <c r="AQ82" s="474" t="s">
        <v>37</v>
      </c>
      <c r="AR82" s="474"/>
      <c r="AS82" s="473" t="s">
        <v>1152</v>
      </c>
      <c r="AT82" s="473" t="s">
        <v>1076</v>
      </c>
      <c r="AU82" s="478"/>
      <c r="AV82" s="471">
        <f t="shared" si="17"/>
        <v>49201132</v>
      </c>
      <c r="AW82" s="471" cm="1">
        <f t="array" ref="AW82">SUM(MID(0&amp;AV82,LARGE(INDEX(ISNUMBER(--MID(AV82,ROW($1:$8),1))*ROW($1:$8),),ROW($1:$8))+1,1)*10^ROW($1:$8)/10)</f>
        <v>49201132</v>
      </c>
      <c r="AX82" s="471" t="str">
        <f>VLOOKUP($AW82,'Item Master Data'!$A:$F,3,FALSE)</f>
        <v>Q.PEAK DUO BLK G10+</v>
      </c>
      <c r="AY82" s="471">
        <f>VLOOKUP($AW82,'Item Master Data'!$A:$F,6,FALSE)</f>
        <v>360</v>
      </c>
      <c r="AZ82" s="471">
        <f t="shared" si="18"/>
        <v>24</v>
      </c>
      <c r="BA82" s="471">
        <f>VLOOKUP(AW82,'Item Master Data'!$A:$G,7,FALSE)</f>
        <v>32</v>
      </c>
      <c r="BB82" s="471"/>
      <c r="BC82" s="471">
        <f t="shared" si="19"/>
        <v>0</v>
      </c>
    </row>
    <row r="83" spans="1:55">
      <c r="A83" s="495">
        <v>10</v>
      </c>
      <c r="B83" s="407">
        <v>44575</v>
      </c>
      <c r="C83" s="407">
        <v>44575</v>
      </c>
      <c r="D83" s="485" t="s">
        <v>86</v>
      </c>
      <c r="E83" s="474" t="s">
        <v>1893</v>
      </c>
      <c r="F83" s="486"/>
      <c r="G83" s="380">
        <v>2022</v>
      </c>
      <c r="H83" s="474">
        <v>3</v>
      </c>
      <c r="I83" s="474">
        <v>127203</v>
      </c>
      <c r="J83" s="475">
        <v>44621</v>
      </c>
      <c r="K83" s="474" t="s">
        <v>2239</v>
      </c>
      <c r="L83" s="474" t="s">
        <v>2079</v>
      </c>
      <c r="M83" s="475">
        <v>44490</v>
      </c>
      <c r="N83" s="475">
        <v>44620</v>
      </c>
      <c r="O83" s="475" t="s">
        <v>1978</v>
      </c>
      <c r="P83" s="475">
        <v>44616</v>
      </c>
      <c r="Q83" s="475">
        <v>44621</v>
      </c>
      <c r="R83" s="475">
        <v>44621</v>
      </c>
      <c r="S83" s="474" t="s">
        <v>88</v>
      </c>
      <c r="T83" s="474">
        <v>60</v>
      </c>
      <c r="U83" s="486" t="s">
        <v>2184</v>
      </c>
      <c r="V83" s="474" t="s">
        <v>973</v>
      </c>
      <c r="W83" s="474">
        <v>400</v>
      </c>
      <c r="X83" s="432">
        <v>1536</v>
      </c>
      <c r="Y83" s="389">
        <f t="shared" si="14"/>
        <v>614400</v>
      </c>
      <c r="Z83" s="348">
        <v>0.52500000000000002</v>
      </c>
      <c r="AA83" s="480">
        <f t="shared" si="15"/>
        <v>322560</v>
      </c>
      <c r="AB83" s="480"/>
      <c r="AC83" s="481">
        <v>0</v>
      </c>
      <c r="AD83" s="474"/>
      <c r="AE83" s="398"/>
      <c r="AF83" s="493">
        <v>483840</v>
      </c>
      <c r="AG83" s="474" t="s">
        <v>1071</v>
      </c>
      <c r="AH83" s="474"/>
      <c r="AI83" s="474">
        <v>60</v>
      </c>
      <c r="AJ83" s="475" t="s">
        <v>2240</v>
      </c>
      <c r="AK83" s="475" t="s">
        <v>50</v>
      </c>
      <c r="AL83" s="483" t="s">
        <v>2241</v>
      </c>
      <c r="AM83" s="474" t="s">
        <v>52</v>
      </c>
      <c r="AN83" s="384" t="s">
        <v>50</v>
      </c>
      <c r="AO83" s="474" t="s">
        <v>1076</v>
      </c>
      <c r="AP83" s="482" t="s">
        <v>38</v>
      </c>
      <c r="AQ83" s="474" t="s">
        <v>37</v>
      </c>
      <c r="AR83" s="474"/>
      <c r="AS83" s="473" t="s">
        <v>1152</v>
      </c>
      <c r="AT83" s="473" t="s">
        <v>1076</v>
      </c>
      <c r="AU83" s="478"/>
      <c r="AV83" s="471" t="str">
        <f t="shared" si="17"/>
        <v>30390456C+</v>
      </c>
      <c r="AW83" s="471" cm="1">
        <f t="array" ref="AW83">SUM(MID(0&amp;AV83,LARGE(INDEX(ISNUMBER(--MID(AV83,ROW($1:$8),1))*ROW($1:$8),),ROW($1:$8))+1,1)*10^ROW($1:$8)/10)</f>
        <v>30390456</v>
      </c>
      <c r="AX83" s="471" t="str">
        <f>VLOOKUP($AW83,'Item Master Data'!$A:$F,3,FALSE)</f>
        <v>Q.PEAK DUO BLK ML G10+</v>
      </c>
      <c r="AY83" s="471">
        <f>VLOOKUP($AW83,'Item Master Data'!$A:$F,6,FALSE)</f>
        <v>400</v>
      </c>
      <c r="AZ83" s="471">
        <f t="shared" si="18"/>
        <v>48</v>
      </c>
      <c r="BA83" s="471">
        <f>VLOOKUP(AW83,'Item Master Data'!$A:$G,7,FALSE)</f>
        <v>32</v>
      </c>
      <c r="BB83" s="471"/>
      <c r="BC83" s="471">
        <f t="shared" si="19"/>
        <v>0</v>
      </c>
    </row>
    <row r="84" spans="1:55">
      <c r="A84" s="495"/>
      <c r="B84" s="407">
        <v>44655</v>
      </c>
      <c r="C84" s="407">
        <v>44552</v>
      </c>
      <c r="D84" s="485" t="s">
        <v>86</v>
      </c>
      <c r="E84" s="474" t="s">
        <v>1818</v>
      </c>
      <c r="F84" s="486"/>
      <c r="G84" s="380">
        <v>2022</v>
      </c>
      <c r="H84" s="474">
        <v>3</v>
      </c>
      <c r="I84" s="474">
        <v>127380</v>
      </c>
      <c r="J84" s="475">
        <v>44641</v>
      </c>
      <c r="K84" s="474" t="s">
        <v>2259</v>
      </c>
      <c r="L84" s="474" t="s">
        <v>2079</v>
      </c>
      <c r="M84" s="475">
        <v>44490</v>
      </c>
      <c r="N84" s="475">
        <v>44651</v>
      </c>
      <c r="O84" s="475">
        <v>44651</v>
      </c>
      <c r="P84" s="475">
        <v>44631</v>
      </c>
      <c r="Q84" s="475">
        <v>44641</v>
      </c>
      <c r="R84" s="475">
        <v>44641</v>
      </c>
      <c r="S84" s="474" t="s">
        <v>88</v>
      </c>
      <c r="T84" s="474">
        <v>72</v>
      </c>
      <c r="U84" s="486" t="s">
        <v>1103</v>
      </c>
      <c r="V84" s="474" t="s">
        <v>1002</v>
      </c>
      <c r="W84" s="474">
        <v>480</v>
      </c>
      <c r="X84" s="432">
        <v>638</v>
      </c>
      <c r="Y84" s="389">
        <f t="shared" si="14"/>
        <v>306240</v>
      </c>
      <c r="Z84" s="478">
        <f>228/480</f>
        <v>0.47499999999999998</v>
      </c>
      <c r="AA84" s="480">
        <f t="shared" si="15"/>
        <v>145464</v>
      </c>
      <c r="AB84" s="480"/>
      <c r="AC84" s="481">
        <f>AB84*Y84</f>
        <v>0</v>
      </c>
      <c r="AD84" s="474"/>
      <c r="AE84" s="474"/>
      <c r="AF84" s="493">
        <f t="shared" ref="AF84:AF101" si="21">AE84+AD84+AA84</f>
        <v>145464</v>
      </c>
      <c r="AG84" s="474" t="s">
        <v>1071</v>
      </c>
      <c r="AH84" s="474"/>
      <c r="AI84" s="474">
        <v>60</v>
      </c>
      <c r="AJ84" s="475" t="s">
        <v>2075</v>
      </c>
      <c r="AK84" s="475" t="s">
        <v>50</v>
      </c>
      <c r="AL84" s="483">
        <v>92056</v>
      </c>
      <c r="AM84" s="474" t="s">
        <v>52</v>
      </c>
      <c r="AN84" s="384" t="s">
        <v>50</v>
      </c>
      <c r="AO84" s="474" t="s">
        <v>1076</v>
      </c>
      <c r="AP84" s="482" t="s">
        <v>38</v>
      </c>
      <c r="AQ84" s="474" t="s">
        <v>37</v>
      </c>
      <c r="AR84" s="474"/>
      <c r="AS84" s="473" t="s">
        <v>1152</v>
      </c>
      <c r="AT84" s="473" t="s">
        <v>1076</v>
      </c>
      <c r="AU84" s="478"/>
      <c r="AV84" s="471" t="str">
        <f t="shared" si="17"/>
        <v>30397472F</v>
      </c>
      <c r="AW84" s="471" cm="1">
        <f t="array" ref="AW84">SUM(MID(0&amp;AV84,LARGE(INDEX(ISNUMBER(--MID(AV84,ROW($1:$8),1))*ROW($1:$8),),ROW($1:$8))+1,1)*10^ROW($1:$8)/10)</f>
        <v>30397472</v>
      </c>
      <c r="AX84" s="471" t="str">
        <f>VLOOKUP($AW84,'Item Master Data'!$A:$F,3,FALSE)</f>
        <v>Q.PEAK DUO XL G10</v>
      </c>
      <c r="AY84" s="471">
        <f>VLOOKUP($AW84,'Item Master Data'!$A:$F,6,FALSE)</f>
        <v>480</v>
      </c>
      <c r="AZ84" s="471">
        <f t="shared" si="18"/>
        <v>22</v>
      </c>
      <c r="BA84" s="471">
        <f>VLOOKUP(AW84,'Item Master Data'!$A:$G,7,FALSE)</f>
        <v>29</v>
      </c>
      <c r="BB84" s="471"/>
      <c r="BC84" s="471">
        <f t="shared" si="19"/>
        <v>0</v>
      </c>
    </row>
    <row r="85" spans="1:55">
      <c r="A85" s="495" t="s">
        <v>2269</v>
      </c>
      <c r="B85" s="407">
        <v>44545</v>
      </c>
      <c r="C85" s="407">
        <v>44575</v>
      </c>
      <c r="D85" s="485" t="s">
        <v>86</v>
      </c>
      <c r="E85" s="474"/>
      <c r="F85" s="486"/>
      <c r="G85" s="380">
        <v>2022</v>
      </c>
      <c r="H85" s="474">
        <v>3</v>
      </c>
      <c r="I85" s="474">
        <v>127581</v>
      </c>
      <c r="J85" s="475">
        <v>44623</v>
      </c>
      <c r="K85" s="474" t="s">
        <v>2270</v>
      </c>
      <c r="L85" s="474" t="s">
        <v>2074</v>
      </c>
      <c r="M85" s="475">
        <v>44490</v>
      </c>
      <c r="N85" s="475">
        <v>44589</v>
      </c>
      <c r="O85" s="475">
        <v>44628</v>
      </c>
      <c r="P85" s="475">
        <v>44616</v>
      </c>
      <c r="Q85" s="475">
        <v>44623</v>
      </c>
      <c r="R85" s="475">
        <v>44628</v>
      </c>
      <c r="S85" s="474" t="s">
        <v>88</v>
      </c>
      <c r="T85" s="474">
        <v>60</v>
      </c>
      <c r="U85" s="486">
        <v>49201132</v>
      </c>
      <c r="V85" s="474" t="s">
        <v>986</v>
      </c>
      <c r="W85" s="474">
        <v>360</v>
      </c>
      <c r="X85" s="432">
        <v>640</v>
      </c>
      <c r="Y85" s="389">
        <f t="shared" si="14"/>
        <v>230400</v>
      </c>
      <c r="Z85" s="348">
        <f>192.6/360</f>
        <v>0.53500000000000003</v>
      </c>
      <c r="AA85" s="480">
        <f t="shared" si="15"/>
        <v>123264</v>
      </c>
      <c r="AB85" s="480"/>
      <c r="AC85" s="481">
        <v>0</v>
      </c>
      <c r="AD85" s="474"/>
      <c r="AE85" s="398"/>
      <c r="AF85" s="493">
        <f t="shared" si="21"/>
        <v>123264</v>
      </c>
      <c r="AG85" s="474" t="s">
        <v>1071</v>
      </c>
      <c r="AH85" s="474"/>
      <c r="AI85" s="474">
        <v>60</v>
      </c>
      <c r="AJ85" s="475" t="s">
        <v>2075</v>
      </c>
      <c r="AK85" s="475" t="s">
        <v>50</v>
      </c>
      <c r="AL85" s="483">
        <v>92056</v>
      </c>
      <c r="AM85" s="474" t="s">
        <v>52</v>
      </c>
      <c r="AN85" s="384" t="s">
        <v>1074</v>
      </c>
      <c r="AO85" s="474" t="s">
        <v>1076</v>
      </c>
      <c r="AP85" s="482"/>
      <c r="AQ85" s="474" t="s">
        <v>37</v>
      </c>
      <c r="AR85" s="474"/>
      <c r="AS85" s="473" t="s">
        <v>1152</v>
      </c>
      <c r="AT85" s="473" t="s">
        <v>1076</v>
      </c>
      <c r="AU85" s="478"/>
      <c r="AV85" s="471">
        <f t="shared" si="17"/>
        <v>49201132</v>
      </c>
      <c r="AW85" s="471" cm="1">
        <f t="array" ref="AW85">SUM(MID(0&amp;AV85,LARGE(INDEX(ISNUMBER(--MID(AV85,ROW($1:$8),1))*ROW($1:$8),),ROW($1:$8))+1,1)*10^ROW($1:$8)/10)</f>
        <v>49201132</v>
      </c>
      <c r="AX85" s="471" t="str">
        <f>VLOOKUP($AW85,'Item Master Data'!$A:$F,3,FALSE)</f>
        <v>Q.PEAK DUO BLK G10+</v>
      </c>
      <c r="AY85" s="471">
        <f>VLOOKUP($AW85,'Item Master Data'!$A:$F,6,FALSE)</f>
        <v>360</v>
      </c>
      <c r="AZ85" s="471">
        <f t="shared" si="18"/>
        <v>20</v>
      </c>
      <c r="BA85" s="471">
        <f>VLOOKUP(AW85,'Item Master Data'!$A:$G,7,FALSE)</f>
        <v>32</v>
      </c>
      <c r="BB85" s="471"/>
      <c r="BC85" s="471">
        <f t="shared" si="19"/>
        <v>0</v>
      </c>
    </row>
    <row r="86" spans="1:55">
      <c r="A86" s="495"/>
      <c r="B86" s="407">
        <v>44866</v>
      </c>
      <c r="C86" s="407">
        <v>44860</v>
      </c>
      <c r="D86" s="485" t="s">
        <v>86</v>
      </c>
      <c r="E86" s="474"/>
      <c r="F86" s="486"/>
      <c r="G86" s="380">
        <v>2022</v>
      </c>
      <c r="H86" s="474">
        <v>3</v>
      </c>
      <c r="I86" s="524">
        <v>127838</v>
      </c>
      <c r="J86" s="538">
        <v>44643</v>
      </c>
      <c r="K86" s="474">
        <v>1147</v>
      </c>
      <c r="L86" s="474" t="s">
        <v>1754</v>
      </c>
      <c r="M86" s="475">
        <v>44488</v>
      </c>
      <c r="N86" s="475">
        <v>44621</v>
      </c>
      <c r="O86" s="475"/>
      <c r="P86" s="475">
        <v>44635</v>
      </c>
      <c r="Q86" s="475">
        <v>44643</v>
      </c>
      <c r="R86" s="475">
        <v>44648</v>
      </c>
      <c r="S86" s="474" t="s">
        <v>1688</v>
      </c>
      <c r="T86" s="474">
        <v>60</v>
      </c>
      <c r="U86" s="486">
        <v>49201132</v>
      </c>
      <c r="V86" s="474" t="s">
        <v>1755</v>
      </c>
      <c r="W86" s="474">
        <v>360</v>
      </c>
      <c r="X86" s="432">
        <v>832</v>
      </c>
      <c r="Y86" s="389">
        <f t="shared" si="14"/>
        <v>299520</v>
      </c>
      <c r="Z86" s="348">
        <f>181.8/360</f>
        <v>0.505</v>
      </c>
      <c r="AA86" s="480">
        <f t="shared" si="15"/>
        <v>151257.60000000001</v>
      </c>
      <c r="AB86" s="480"/>
      <c r="AC86" s="481">
        <f t="shared" ref="AC86:AC92" si="22">AB86*Y86</f>
        <v>0</v>
      </c>
      <c r="AD86" s="474"/>
      <c r="AE86" s="398"/>
      <c r="AF86" s="493">
        <f t="shared" si="21"/>
        <v>151257.60000000001</v>
      </c>
      <c r="AG86" s="474" t="s">
        <v>1071</v>
      </c>
      <c r="AH86" s="474">
        <v>100</v>
      </c>
      <c r="AI86" s="474">
        <v>0</v>
      </c>
      <c r="AJ86" s="475" t="s">
        <v>1756</v>
      </c>
      <c r="AK86" s="475" t="s">
        <v>50</v>
      </c>
      <c r="AL86" s="483">
        <v>92010</v>
      </c>
      <c r="AM86" s="474" t="s">
        <v>52</v>
      </c>
      <c r="AN86" s="384" t="s">
        <v>1695</v>
      </c>
      <c r="AO86" s="474" t="s">
        <v>1076</v>
      </c>
      <c r="AP86" s="482"/>
      <c r="AQ86" s="474" t="s">
        <v>37</v>
      </c>
      <c r="AR86" s="474"/>
      <c r="AS86" s="473"/>
      <c r="AT86" s="473"/>
      <c r="AU86" s="478"/>
      <c r="AV86" s="471">
        <f t="shared" si="17"/>
        <v>49201132</v>
      </c>
      <c r="AW86" s="471" cm="1">
        <f t="array" ref="AW86">SUM(MID(0&amp;AV86,LARGE(INDEX(ISNUMBER(--MID(AV86,ROW($1:$8),1))*ROW($1:$8),),ROW($1:$8))+1,1)*10^ROW($1:$8)/10)</f>
        <v>49201132</v>
      </c>
      <c r="AX86" s="471" t="str">
        <f>VLOOKUP($AW86,'Item Master Data'!$A:$F,3,FALSE)</f>
        <v>Q.PEAK DUO BLK G10+</v>
      </c>
      <c r="AY86" s="471">
        <f>VLOOKUP($AW86,'Item Master Data'!$A:$F,6,FALSE)</f>
        <v>360</v>
      </c>
      <c r="AZ86" s="471">
        <f t="shared" si="18"/>
        <v>26</v>
      </c>
      <c r="BA86" s="471">
        <f>VLOOKUP(AW86,'Item Master Data'!$A:$G,7,FALSE)</f>
        <v>32</v>
      </c>
      <c r="BB86" s="471"/>
      <c r="BC86" s="471">
        <f t="shared" si="19"/>
        <v>0</v>
      </c>
    </row>
    <row r="87" spans="1:55">
      <c r="A87" s="495"/>
      <c r="B87" s="407">
        <v>44642</v>
      </c>
      <c r="C87" s="407">
        <v>44642</v>
      </c>
      <c r="D87" s="485" t="s">
        <v>86</v>
      </c>
      <c r="E87" s="474" t="s">
        <v>2271</v>
      </c>
      <c r="F87" s="486"/>
      <c r="G87" s="380">
        <v>2022</v>
      </c>
      <c r="H87" s="474">
        <v>3</v>
      </c>
      <c r="I87" s="474">
        <v>127420</v>
      </c>
      <c r="J87" s="475">
        <v>44635</v>
      </c>
      <c r="K87" s="474" t="s">
        <v>2275</v>
      </c>
      <c r="L87" s="474" t="s">
        <v>1754</v>
      </c>
      <c r="M87" s="475">
        <v>44566</v>
      </c>
      <c r="N87" s="475">
        <v>44603</v>
      </c>
      <c r="O87" s="475"/>
      <c r="P87" s="475">
        <v>44631</v>
      </c>
      <c r="Q87" s="475">
        <v>44635</v>
      </c>
      <c r="R87" s="475">
        <v>44636</v>
      </c>
      <c r="S87" s="474" t="s">
        <v>1688</v>
      </c>
      <c r="T87" s="474">
        <v>60</v>
      </c>
      <c r="U87" s="486" t="s">
        <v>1843</v>
      </c>
      <c r="V87" s="474" t="s">
        <v>691</v>
      </c>
      <c r="W87" s="474">
        <v>340</v>
      </c>
      <c r="X87" s="432">
        <v>832</v>
      </c>
      <c r="Y87" s="389">
        <f t="shared" si="14"/>
        <v>282880</v>
      </c>
      <c r="Z87" s="478">
        <f>158.1/340</f>
        <v>0.46499999999999997</v>
      </c>
      <c r="AA87" s="480">
        <f t="shared" si="15"/>
        <v>131539.19999999998</v>
      </c>
      <c r="AB87" s="480"/>
      <c r="AC87" s="481">
        <f t="shared" si="22"/>
        <v>0</v>
      </c>
      <c r="AD87" s="474"/>
      <c r="AE87" s="398"/>
      <c r="AF87" s="493">
        <f t="shared" si="21"/>
        <v>131539.19999999998</v>
      </c>
      <c r="AG87" s="474" t="s">
        <v>1071</v>
      </c>
      <c r="AH87" s="474">
        <v>100</v>
      </c>
      <c r="AI87" s="474">
        <v>0</v>
      </c>
      <c r="AJ87" s="475" t="s">
        <v>1844</v>
      </c>
      <c r="AK87" s="475" t="s">
        <v>50</v>
      </c>
      <c r="AL87" s="483">
        <v>93291</v>
      </c>
      <c r="AM87" s="474" t="s">
        <v>52</v>
      </c>
      <c r="AN87" s="384" t="s">
        <v>50</v>
      </c>
      <c r="AO87" s="474" t="s">
        <v>1076</v>
      </c>
      <c r="AP87" s="482" t="s">
        <v>38</v>
      </c>
      <c r="AQ87" s="474" t="s">
        <v>37</v>
      </c>
      <c r="AR87" s="474" t="s">
        <v>1216</v>
      </c>
      <c r="AS87" s="473"/>
      <c r="AT87" s="473"/>
      <c r="AU87" s="478">
        <f>158.1/340</f>
        <v>0.46499999999999997</v>
      </c>
      <c r="AV87" s="471" t="str">
        <f t="shared" si="17"/>
        <v>30376609C+</v>
      </c>
      <c r="AW87" s="471" cm="1">
        <f t="array" ref="AW87">SUM(MID(0&amp;AV87,LARGE(INDEX(ISNUMBER(--MID(AV87,ROW($1:$8),1))*ROW($1:$8),),ROW($1:$8))+1,1)*10^ROW($1:$8)/10)</f>
        <v>30376609</v>
      </c>
      <c r="AX87" s="471" t="str">
        <f>VLOOKUP($AW87,'Item Master Data'!$A:$F,3,FALSE)</f>
        <v>Q.PEAK DUO BLK G6+</v>
      </c>
      <c r="AY87" s="471">
        <f>VLOOKUP($AW87,'Item Master Data'!$A:$F,6,FALSE)</f>
        <v>340</v>
      </c>
      <c r="AZ87" s="471">
        <f t="shared" si="18"/>
        <v>26</v>
      </c>
      <c r="BA87" s="471">
        <f>VLOOKUP(AW87,'Item Master Data'!$A:$G,7,FALSE)</f>
        <v>32</v>
      </c>
      <c r="BB87" s="471"/>
      <c r="BC87" s="471">
        <f t="shared" si="19"/>
        <v>0</v>
      </c>
    </row>
    <row r="88" spans="1:55">
      <c r="A88" s="495"/>
      <c r="B88" s="407">
        <v>44642</v>
      </c>
      <c r="C88" s="407">
        <v>44642</v>
      </c>
      <c r="D88" s="485" t="s">
        <v>86</v>
      </c>
      <c r="E88" s="474" t="s">
        <v>2271</v>
      </c>
      <c r="F88" s="486"/>
      <c r="G88" s="380">
        <v>2022</v>
      </c>
      <c r="H88" s="474">
        <v>3</v>
      </c>
      <c r="I88" s="474">
        <v>127421</v>
      </c>
      <c r="J88" s="475">
        <v>44636</v>
      </c>
      <c r="K88" s="474" t="s">
        <v>2276</v>
      </c>
      <c r="L88" s="474" t="s">
        <v>1754</v>
      </c>
      <c r="M88" s="475">
        <v>44566</v>
      </c>
      <c r="N88" s="475">
        <v>44603</v>
      </c>
      <c r="O88" s="475"/>
      <c r="P88" s="475">
        <v>44631</v>
      </c>
      <c r="Q88" s="475">
        <v>44636</v>
      </c>
      <c r="R88" s="475">
        <v>44641</v>
      </c>
      <c r="S88" s="474" t="s">
        <v>1688</v>
      </c>
      <c r="T88" s="474">
        <v>60</v>
      </c>
      <c r="U88" s="486" t="s">
        <v>1843</v>
      </c>
      <c r="V88" s="474" t="s">
        <v>691</v>
      </c>
      <c r="W88" s="474">
        <v>340</v>
      </c>
      <c r="X88" s="432">
        <v>832</v>
      </c>
      <c r="Y88" s="389">
        <f t="shared" si="14"/>
        <v>282880</v>
      </c>
      <c r="Z88" s="478">
        <f>158.1/340</f>
        <v>0.46499999999999997</v>
      </c>
      <c r="AA88" s="480">
        <f t="shared" si="15"/>
        <v>131539.19999999998</v>
      </c>
      <c r="AB88" s="480"/>
      <c r="AC88" s="481">
        <f t="shared" si="22"/>
        <v>0</v>
      </c>
      <c r="AD88" s="474"/>
      <c r="AE88" s="398"/>
      <c r="AF88" s="493">
        <f t="shared" si="21"/>
        <v>131539.19999999998</v>
      </c>
      <c r="AG88" s="474" t="s">
        <v>1071</v>
      </c>
      <c r="AH88" s="474">
        <v>100</v>
      </c>
      <c r="AI88" s="474">
        <v>0</v>
      </c>
      <c r="AJ88" s="475" t="s">
        <v>2277</v>
      </c>
      <c r="AK88" s="475" t="s">
        <v>1084</v>
      </c>
      <c r="AL88" s="483" t="s">
        <v>2278</v>
      </c>
      <c r="AM88" s="474" t="s">
        <v>52</v>
      </c>
      <c r="AN88" s="384" t="s">
        <v>50</v>
      </c>
      <c r="AO88" s="474" t="s">
        <v>1076</v>
      </c>
      <c r="AP88" s="482" t="s">
        <v>38</v>
      </c>
      <c r="AQ88" s="474" t="s">
        <v>37</v>
      </c>
      <c r="AR88" s="474" t="s">
        <v>1216</v>
      </c>
      <c r="AS88" s="473"/>
      <c r="AT88" s="473"/>
      <c r="AU88" s="478">
        <f>158.1/340</f>
        <v>0.46499999999999997</v>
      </c>
      <c r="AV88" s="471" t="str">
        <f t="shared" si="17"/>
        <v>30376609C+</v>
      </c>
      <c r="AW88" s="471" cm="1">
        <f t="array" ref="AW88">SUM(MID(0&amp;AV88,LARGE(INDEX(ISNUMBER(--MID(AV88,ROW($1:$8),1))*ROW($1:$8),),ROW($1:$8))+1,1)*10^ROW($1:$8)/10)</f>
        <v>30376609</v>
      </c>
      <c r="AX88" s="471" t="str">
        <f>VLOOKUP($AW88,'Item Master Data'!$A:$F,3,FALSE)</f>
        <v>Q.PEAK DUO BLK G6+</v>
      </c>
      <c r="AY88" s="471">
        <f>VLOOKUP($AW88,'Item Master Data'!$A:$F,6,FALSE)</f>
        <v>340</v>
      </c>
      <c r="AZ88" s="471">
        <f t="shared" si="18"/>
        <v>26</v>
      </c>
      <c r="BA88" s="471">
        <f>VLOOKUP(AW88,'Item Master Data'!$A:$G,7,FALSE)</f>
        <v>32</v>
      </c>
      <c r="BB88" s="471"/>
      <c r="BC88" s="471">
        <f t="shared" si="19"/>
        <v>0</v>
      </c>
    </row>
    <row r="89" spans="1:55">
      <c r="A89" s="495"/>
      <c r="B89" s="407">
        <v>44642</v>
      </c>
      <c r="C89" s="407">
        <v>44642</v>
      </c>
      <c r="D89" s="485" t="s">
        <v>86</v>
      </c>
      <c r="E89" s="474" t="s">
        <v>2271</v>
      </c>
      <c r="F89" s="486"/>
      <c r="G89" s="380">
        <v>2022</v>
      </c>
      <c r="H89" s="474">
        <v>3</v>
      </c>
      <c r="I89" s="474">
        <v>127500</v>
      </c>
      <c r="J89" s="475">
        <v>44645</v>
      </c>
      <c r="K89" s="474" t="s">
        <v>2272</v>
      </c>
      <c r="L89" s="474" t="s">
        <v>1754</v>
      </c>
      <c r="M89" s="475">
        <v>44566</v>
      </c>
      <c r="N89" s="475">
        <v>44603</v>
      </c>
      <c r="O89" s="475"/>
      <c r="P89" s="475">
        <v>44642</v>
      </c>
      <c r="Q89" s="475">
        <v>44645</v>
      </c>
      <c r="R89" s="475">
        <v>44648</v>
      </c>
      <c r="S89" s="474" t="s">
        <v>1688</v>
      </c>
      <c r="T89" s="474">
        <v>60</v>
      </c>
      <c r="U89" s="486" t="s">
        <v>1843</v>
      </c>
      <c r="V89" s="474" t="s">
        <v>691</v>
      </c>
      <c r="W89" s="474">
        <v>340</v>
      </c>
      <c r="X89" s="432">
        <v>832</v>
      </c>
      <c r="Y89" s="389">
        <f t="shared" si="14"/>
        <v>282880</v>
      </c>
      <c r="Z89" s="478">
        <f>158.1/340</f>
        <v>0.46499999999999997</v>
      </c>
      <c r="AA89" s="480">
        <f t="shared" si="15"/>
        <v>131539.19999999998</v>
      </c>
      <c r="AB89" s="480"/>
      <c r="AC89" s="481">
        <f t="shared" si="22"/>
        <v>0</v>
      </c>
      <c r="AD89" s="474"/>
      <c r="AE89" s="398"/>
      <c r="AF89" s="493">
        <f t="shared" si="21"/>
        <v>131539.19999999998</v>
      </c>
      <c r="AG89" s="474" t="s">
        <v>1071</v>
      </c>
      <c r="AH89" s="474">
        <v>100</v>
      </c>
      <c r="AI89" s="474">
        <v>0</v>
      </c>
      <c r="AJ89" s="475" t="s">
        <v>1850</v>
      </c>
      <c r="AK89" s="475" t="s">
        <v>1144</v>
      </c>
      <c r="AL89" s="483" t="s">
        <v>1851</v>
      </c>
      <c r="AM89" s="474" t="s">
        <v>52</v>
      </c>
      <c r="AN89" s="384" t="s">
        <v>50</v>
      </c>
      <c r="AO89" s="474" t="s">
        <v>1076</v>
      </c>
      <c r="AP89" s="482" t="s">
        <v>38</v>
      </c>
      <c r="AQ89" s="474" t="s">
        <v>37</v>
      </c>
      <c r="AR89" s="474" t="s">
        <v>1216</v>
      </c>
      <c r="AS89" s="473"/>
      <c r="AT89" s="473"/>
      <c r="AU89" s="478">
        <f>158.1/340</f>
        <v>0.46499999999999997</v>
      </c>
      <c r="AV89" s="471" t="str">
        <f t="shared" si="17"/>
        <v>30376609C+</v>
      </c>
      <c r="AW89" s="471" cm="1">
        <f t="array" ref="AW89">SUM(MID(0&amp;AV89,LARGE(INDEX(ISNUMBER(--MID(AV89,ROW($1:$8),1))*ROW($1:$8),),ROW($1:$8))+1,1)*10^ROW($1:$8)/10)</f>
        <v>30376609</v>
      </c>
      <c r="AX89" s="471" t="str">
        <f>VLOOKUP($AW89,'Item Master Data'!$A:$F,3,FALSE)</f>
        <v>Q.PEAK DUO BLK G6+</v>
      </c>
      <c r="AY89" s="471">
        <f>VLOOKUP($AW89,'Item Master Data'!$A:$F,6,FALSE)</f>
        <v>340</v>
      </c>
      <c r="AZ89" s="471">
        <f t="shared" si="18"/>
        <v>26</v>
      </c>
      <c r="BA89" s="471">
        <f>VLOOKUP(AW89,'Item Master Data'!$A:$G,7,FALSE)</f>
        <v>32</v>
      </c>
      <c r="BB89" s="471"/>
      <c r="BC89" s="471">
        <f t="shared" si="19"/>
        <v>0</v>
      </c>
    </row>
    <row r="90" spans="1:55">
      <c r="A90" s="495"/>
      <c r="B90" s="407">
        <v>44600</v>
      </c>
      <c r="C90" s="407">
        <v>44600</v>
      </c>
      <c r="D90" s="485" t="s">
        <v>86</v>
      </c>
      <c r="E90" s="474"/>
      <c r="F90" s="486" t="s">
        <v>87</v>
      </c>
      <c r="G90" s="380">
        <v>2022</v>
      </c>
      <c r="H90" s="474">
        <v>3</v>
      </c>
      <c r="I90" s="474">
        <v>127402</v>
      </c>
      <c r="J90" s="475">
        <v>44641</v>
      </c>
      <c r="K90" s="474">
        <v>1292</v>
      </c>
      <c r="L90" s="474" t="s">
        <v>2279</v>
      </c>
      <c r="M90" s="475">
        <v>44438</v>
      </c>
      <c r="N90" s="475">
        <v>44438</v>
      </c>
      <c r="O90" s="475"/>
      <c r="P90" s="475">
        <v>44601</v>
      </c>
      <c r="Q90" s="475">
        <v>44641</v>
      </c>
      <c r="R90" s="475">
        <v>44641</v>
      </c>
      <c r="S90" s="474" t="s">
        <v>1688</v>
      </c>
      <c r="T90" s="474">
        <v>72</v>
      </c>
      <c r="U90" s="486" t="s">
        <v>2280</v>
      </c>
      <c r="V90" s="474" t="s">
        <v>1104</v>
      </c>
      <c r="W90" s="474">
        <v>475</v>
      </c>
      <c r="X90" s="432">
        <v>1073</v>
      </c>
      <c r="Y90" s="389">
        <f t="shared" si="14"/>
        <v>509675</v>
      </c>
      <c r="Z90" s="478">
        <f>213.75/475</f>
        <v>0.45</v>
      </c>
      <c r="AA90" s="480">
        <f t="shared" si="15"/>
        <v>229353.75</v>
      </c>
      <c r="AB90" s="480"/>
      <c r="AC90" s="481">
        <f t="shared" si="22"/>
        <v>0</v>
      </c>
      <c r="AD90" s="474"/>
      <c r="AE90" s="398">
        <f>AA90*0.1025</f>
        <v>23508.759374999998</v>
      </c>
      <c r="AF90" s="493">
        <f t="shared" si="21"/>
        <v>252862.50937499999</v>
      </c>
      <c r="AG90" s="474" t="s">
        <v>1071</v>
      </c>
      <c r="AH90" s="474">
        <v>10</v>
      </c>
      <c r="AI90" s="474">
        <v>30</v>
      </c>
      <c r="AJ90" s="475" t="s">
        <v>2281</v>
      </c>
      <c r="AK90" s="475" t="s">
        <v>50</v>
      </c>
      <c r="AL90" s="483" t="s">
        <v>2282</v>
      </c>
      <c r="AM90" s="474" t="s">
        <v>52</v>
      </c>
      <c r="AN90" s="384" t="s">
        <v>50</v>
      </c>
      <c r="AO90" s="474" t="s">
        <v>1076</v>
      </c>
      <c r="AP90" s="482" t="s">
        <v>38</v>
      </c>
      <c r="AQ90" s="474" t="s">
        <v>1086</v>
      </c>
      <c r="AR90" s="474"/>
      <c r="AS90" s="473"/>
      <c r="AT90" s="473"/>
      <c r="AU90" s="478"/>
      <c r="AV90" s="471" t="str">
        <f t="shared" si="17"/>
        <v>30397371F</v>
      </c>
      <c r="AW90" s="471" cm="1">
        <f t="array" ref="AW90">SUM(MID(0&amp;AV90,LARGE(INDEX(ISNUMBER(--MID(AV90,ROW($1:$8),1))*ROW($1:$8),),ROW($1:$8))+1,1)*10^ROW($1:$8)/10)</f>
        <v>30397371</v>
      </c>
      <c r="AX90" s="471" t="str">
        <f>VLOOKUP($AW90,'Item Master Data'!$A:$F,3,FALSE)</f>
        <v xml:space="preserve">Q.PEAK DUO XL G10 </v>
      </c>
      <c r="AY90" s="471">
        <f>VLOOKUP($AW90,'Item Master Data'!$A:$F,6,FALSE)</f>
        <v>475</v>
      </c>
      <c r="AZ90" s="471">
        <f t="shared" si="18"/>
        <v>37</v>
      </c>
      <c r="BA90" s="471">
        <f>VLOOKUP(AW90,'Item Master Data'!$A:$G,7,FALSE)</f>
        <v>29</v>
      </c>
      <c r="BB90" s="471"/>
      <c r="BC90" s="471">
        <f t="shared" si="19"/>
        <v>0</v>
      </c>
    </row>
    <row r="91" spans="1:55">
      <c r="A91" s="495"/>
      <c r="B91" s="407">
        <v>44600</v>
      </c>
      <c r="C91" s="407">
        <v>44600</v>
      </c>
      <c r="D91" s="485" t="s">
        <v>86</v>
      </c>
      <c r="E91" s="474" t="s">
        <v>1975</v>
      </c>
      <c r="F91" s="486" t="s">
        <v>87</v>
      </c>
      <c r="G91" s="380">
        <v>2022</v>
      </c>
      <c r="H91" s="474">
        <v>3</v>
      </c>
      <c r="I91" s="474">
        <v>127402</v>
      </c>
      <c r="J91" s="475">
        <v>44641</v>
      </c>
      <c r="K91" s="474">
        <v>1292</v>
      </c>
      <c r="L91" s="474" t="s">
        <v>2279</v>
      </c>
      <c r="M91" s="475">
        <v>44438</v>
      </c>
      <c r="N91" s="475">
        <v>44438</v>
      </c>
      <c r="O91" s="475"/>
      <c r="P91" s="475">
        <v>44601</v>
      </c>
      <c r="Q91" s="475">
        <v>44641</v>
      </c>
      <c r="R91" s="475">
        <v>44641</v>
      </c>
      <c r="S91" s="474" t="s">
        <v>1688</v>
      </c>
      <c r="T91" s="474">
        <v>72</v>
      </c>
      <c r="U91" s="486" t="s">
        <v>1809</v>
      </c>
      <c r="V91" s="474" t="s">
        <v>1104</v>
      </c>
      <c r="W91" s="474">
        <v>475</v>
      </c>
      <c r="X91" s="432">
        <v>812</v>
      </c>
      <c r="Y91" s="389">
        <f t="shared" si="14"/>
        <v>385700</v>
      </c>
      <c r="Z91" s="478">
        <f>213.75/475</f>
        <v>0.45</v>
      </c>
      <c r="AA91" s="480">
        <f t="shared" si="15"/>
        <v>173565</v>
      </c>
      <c r="AB91" s="480"/>
      <c r="AC91" s="481">
        <f t="shared" si="22"/>
        <v>0</v>
      </c>
      <c r="AD91" s="474"/>
      <c r="AE91" s="398">
        <f>AA91*0.1025</f>
        <v>17790.412499999999</v>
      </c>
      <c r="AF91" s="493">
        <f t="shared" si="21"/>
        <v>191355.41250000001</v>
      </c>
      <c r="AG91" s="474" t="s">
        <v>1071</v>
      </c>
      <c r="AH91" s="474">
        <v>10</v>
      </c>
      <c r="AI91" s="474">
        <v>30</v>
      </c>
      <c r="AJ91" s="475" t="s">
        <v>2281</v>
      </c>
      <c r="AK91" s="475" t="s">
        <v>50</v>
      </c>
      <c r="AL91" s="483" t="s">
        <v>2282</v>
      </c>
      <c r="AM91" s="474" t="s">
        <v>52</v>
      </c>
      <c r="AN91" s="384" t="s">
        <v>50</v>
      </c>
      <c r="AO91" s="474" t="s">
        <v>1076</v>
      </c>
      <c r="AP91" s="482" t="s">
        <v>38</v>
      </c>
      <c r="AQ91" s="474" t="s">
        <v>1086</v>
      </c>
      <c r="AR91" s="474"/>
      <c r="AS91" s="473"/>
      <c r="AT91" s="473"/>
      <c r="AU91" s="478"/>
      <c r="AV91" s="471" t="str">
        <f t="shared" si="17"/>
        <v>30397471F</v>
      </c>
      <c r="AW91" s="471" cm="1">
        <f t="array" ref="AW91">SUM(MID(0&amp;AV91,LARGE(INDEX(ISNUMBER(--MID(AV91,ROW($1:$8),1))*ROW($1:$8),),ROW($1:$8))+1,1)*10^ROW($1:$8)/10)</f>
        <v>30397471</v>
      </c>
      <c r="AX91" s="471" t="str">
        <f>VLOOKUP($AW91,'Item Master Data'!$A:$F,3,FALSE)</f>
        <v>Q.PEAK DUO XL G10</v>
      </c>
      <c r="AY91" s="471">
        <f>VLOOKUP($AW91,'Item Master Data'!$A:$F,6,FALSE)</f>
        <v>475</v>
      </c>
      <c r="AZ91" s="471">
        <f t="shared" si="18"/>
        <v>28</v>
      </c>
      <c r="BA91" s="471">
        <f>VLOOKUP(AW91,'Item Master Data'!$A:$G,7,FALSE)</f>
        <v>29</v>
      </c>
      <c r="BB91" s="471"/>
      <c r="BC91" s="471">
        <f t="shared" si="19"/>
        <v>0</v>
      </c>
    </row>
    <row r="92" spans="1:55">
      <c r="A92" s="495">
        <v>10</v>
      </c>
      <c r="B92" s="407">
        <v>44635</v>
      </c>
      <c r="C92" s="407">
        <v>44636</v>
      </c>
      <c r="D92" s="485" t="s">
        <v>86</v>
      </c>
      <c r="E92" s="474"/>
      <c r="F92" s="486" t="s">
        <v>1147</v>
      </c>
      <c r="G92" s="380">
        <v>2022</v>
      </c>
      <c r="H92" s="474">
        <v>3</v>
      </c>
      <c r="I92" s="474">
        <v>127413</v>
      </c>
      <c r="J92" s="475">
        <v>44642</v>
      </c>
      <c r="K92" s="474">
        <v>101489</v>
      </c>
      <c r="L92" s="474" t="s">
        <v>2293</v>
      </c>
      <c r="M92" s="475">
        <v>44481</v>
      </c>
      <c r="N92" s="475">
        <v>44563</v>
      </c>
      <c r="O92" s="475"/>
      <c r="P92" s="475">
        <v>44637</v>
      </c>
      <c r="Q92" s="475">
        <v>44642</v>
      </c>
      <c r="R92" s="475">
        <v>44642</v>
      </c>
      <c r="S92" s="474" t="s">
        <v>1688</v>
      </c>
      <c r="T92" s="474">
        <v>60</v>
      </c>
      <c r="U92" s="486" t="s">
        <v>1760</v>
      </c>
      <c r="V92" s="474" t="s">
        <v>973</v>
      </c>
      <c r="W92" s="474">
        <v>400</v>
      </c>
      <c r="X92" s="432">
        <v>768</v>
      </c>
      <c r="Y92" s="389">
        <f t="shared" si="14"/>
        <v>307200</v>
      </c>
      <c r="Z92" s="348">
        <f>230/400</f>
        <v>0.57499999999999996</v>
      </c>
      <c r="AA92" s="480">
        <f t="shared" si="15"/>
        <v>176640</v>
      </c>
      <c r="AB92" s="480"/>
      <c r="AC92" s="481">
        <f t="shared" si="22"/>
        <v>0</v>
      </c>
      <c r="AD92" s="474"/>
      <c r="AE92" s="398">
        <f>AA92*0.0825</f>
        <v>14572.800000000001</v>
      </c>
      <c r="AF92" s="493">
        <f t="shared" si="21"/>
        <v>191212.79999999999</v>
      </c>
      <c r="AG92" s="474" t="s">
        <v>1071</v>
      </c>
      <c r="AH92" s="474">
        <v>100</v>
      </c>
      <c r="AI92" s="474">
        <v>0</v>
      </c>
      <c r="AJ92" s="475" t="s">
        <v>2075</v>
      </c>
      <c r="AK92" s="475" t="s">
        <v>50</v>
      </c>
      <c r="AL92" s="483">
        <v>92058</v>
      </c>
      <c r="AM92" s="474" t="s">
        <v>52</v>
      </c>
      <c r="AN92" s="384" t="s">
        <v>50</v>
      </c>
      <c r="AO92" s="474" t="s">
        <v>1076</v>
      </c>
      <c r="AP92" s="482" t="s">
        <v>38</v>
      </c>
      <c r="AQ92" s="474" t="s">
        <v>37</v>
      </c>
      <c r="AR92" s="474"/>
      <c r="AS92" s="473" t="s">
        <v>1152</v>
      </c>
      <c r="AT92" s="473" t="s">
        <v>1076</v>
      </c>
      <c r="AU92" s="478"/>
      <c r="AV92" s="471" t="str">
        <f t="shared" si="17"/>
        <v>30390156H</v>
      </c>
      <c r="AW92" s="471" cm="1">
        <f t="array" ref="AW92">SUM(MID(0&amp;AV92,LARGE(INDEX(ISNUMBER(--MID(AV92,ROW($1:$8),1))*ROW($1:$8),),ROW($1:$8))+1,1)*10^ROW($1:$8)/10)</f>
        <v>30390156</v>
      </c>
      <c r="AX92" s="471" t="str">
        <f>VLOOKUP($AW92,'Item Master Data'!$A:$F,3,FALSE)</f>
        <v>Q.PEAK DUO BLK ML G10+</v>
      </c>
      <c r="AY92" s="471">
        <f>VLOOKUP($AW92,'Item Master Data'!$A:$F,6,FALSE)</f>
        <v>400</v>
      </c>
      <c r="AZ92" s="471">
        <f t="shared" si="18"/>
        <v>24</v>
      </c>
      <c r="BA92" s="471">
        <f>VLOOKUP(AW92,'Item Master Data'!$A:$G,7,FALSE)</f>
        <v>32</v>
      </c>
      <c r="BB92" s="471"/>
      <c r="BC92" s="471">
        <f t="shared" si="19"/>
        <v>0</v>
      </c>
    </row>
    <row r="93" spans="1:55">
      <c r="A93" s="495"/>
      <c r="B93" s="407">
        <v>44642</v>
      </c>
      <c r="C93" s="407">
        <v>44663</v>
      </c>
      <c r="D93" s="485" t="s">
        <v>86</v>
      </c>
      <c r="E93" s="474"/>
      <c r="F93" s="486"/>
      <c r="G93" s="380">
        <v>2022</v>
      </c>
      <c r="H93" s="474">
        <v>4</v>
      </c>
      <c r="I93" s="474">
        <v>128074</v>
      </c>
      <c r="J93" s="475">
        <v>44669</v>
      </c>
      <c r="K93" s="474">
        <v>220210</v>
      </c>
      <c r="L93" s="474" t="s">
        <v>1717</v>
      </c>
      <c r="M93" s="475">
        <v>37296</v>
      </c>
      <c r="N93" s="475">
        <v>44660</v>
      </c>
      <c r="O93" s="475"/>
      <c r="P93" s="475">
        <v>44663</v>
      </c>
      <c r="Q93" s="475">
        <v>44669</v>
      </c>
      <c r="R93" s="475">
        <v>44670</v>
      </c>
      <c r="S93" s="474" t="s">
        <v>88</v>
      </c>
      <c r="T93" s="474">
        <v>60</v>
      </c>
      <c r="U93" s="486" t="s">
        <v>1718</v>
      </c>
      <c r="V93" s="474" t="s">
        <v>986</v>
      </c>
      <c r="W93" s="474">
        <v>395</v>
      </c>
      <c r="X93" s="432">
        <v>256</v>
      </c>
      <c r="Y93" s="389">
        <f t="shared" si="14"/>
        <v>101120</v>
      </c>
      <c r="Z93" s="478">
        <f>225.15/395</f>
        <v>0.57000000000000006</v>
      </c>
      <c r="AA93" s="480">
        <f t="shared" si="15"/>
        <v>57638.400000000009</v>
      </c>
      <c r="AB93" s="480"/>
      <c r="AC93" s="481">
        <f>AB93*Y93</f>
        <v>0</v>
      </c>
      <c r="AD93" s="474"/>
      <c r="AE93" s="474"/>
      <c r="AF93" s="493">
        <f t="shared" si="21"/>
        <v>57638.400000000009</v>
      </c>
      <c r="AG93" s="474" t="s">
        <v>1071</v>
      </c>
      <c r="AH93" s="474"/>
      <c r="AI93" s="474">
        <v>60</v>
      </c>
      <c r="AJ93" s="475" t="s">
        <v>1719</v>
      </c>
      <c r="AK93" s="475" t="s">
        <v>50</v>
      </c>
      <c r="AL93" s="483" t="s">
        <v>1720</v>
      </c>
      <c r="AM93" s="474" t="s">
        <v>52</v>
      </c>
      <c r="AN93" s="384" t="s">
        <v>50</v>
      </c>
      <c r="AO93" s="474" t="s">
        <v>1076</v>
      </c>
      <c r="AP93" s="482" t="s">
        <v>38</v>
      </c>
      <c r="AQ93" s="474" t="s">
        <v>37</v>
      </c>
      <c r="AR93" s="474"/>
      <c r="AS93" s="473"/>
      <c r="AT93" s="473"/>
      <c r="AU93" s="478"/>
      <c r="AV93" s="471"/>
      <c r="AW93" s="471"/>
      <c r="AX93" s="471"/>
      <c r="AY93" s="471"/>
      <c r="AZ93" s="471"/>
      <c r="BA93" s="471"/>
      <c r="BB93" s="471"/>
      <c r="BC93" s="471"/>
    </row>
    <row r="94" spans="1:55">
      <c r="A94" s="495"/>
      <c r="B94" s="407">
        <v>44628</v>
      </c>
      <c r="C94" s="407">
        <v>44628</v>
      </c>
      <c r="D94" s="485" t="s">
        <v>86</v>
      </c>
      <c r="E94" s="474" t="s">
        <v>1757</v>
      </c>
      <c r="F94" s="486"/>
      <c r="G94" s="380">
        <v>2022</v>
      </c>
      <c r="H94" s="474">
        <v>4</v>
      </c>
      <c r="I94" s="474" t="s">
        <v>5389</v>
      </c>
      <c r="J94" s="475">
        <v>44659</v>
      </c>
      <c r="K94" s="474" t="s">
        <v>1758</v>
      </c>
      <c r="L94" s="474" t="s">
        <v>1693</v>
      </c>
      <c r="M94" s="475">
        <v>44433</v>
      </c>
      <c r="N94" s="475">
        <v>44536</v>
      </c>
      <c r="O94" s="475"/>
      <c r="P94" s="475">
        <v>44628</v>
      </c>
      <c r="Q94" s="475">
        <v>44659</v>
      </c>
      <c r="R94" s="475">
        <v>44664</v>
      </c>
      <c r="S94" s="474" t="s">
        <v>1688</v>
      </c>
      <c r="T94" s="474">
        <v>60</v>
      </c>
      <c r="U94" s="486">
        <v>49204132</v>
      </c>
      <c r="V94" s="474" t="s">
        <v>1223</v>
      </c>
      <c r="W94" s="474">
        <v>360</v>
      </c>
      <c r="X94" s="432">
        <v>156</v>
      </c>
      <c r="Y94" s="389">
        <f t="shared" si="14"/>
        <v>56160</v>
      </c>
      <c r="Z94" s="478">
        <f>298.8/360</f>
        <v>0.83000000000000007</v>
      </c>
      <c r="AA94" s="480">
        <f t="shared" si="15"/>
        <v>46612.800000000003</v>
      </c>
      <c r="AB94" s="480"/>
      <c r="AC94" s="481">
        <f>AB94*Y94</f>
        <v>0</v>
      </c>
      <c r="AD94" s="474"/>
      <c r="AE94" s="474"/>
      <c r="AF94" s="493">
        <f t="shared" si="21"/>
        <v>46612.800000000003</v>
      </c>
      <c r="AG94" s="474" t="s">
        <v>1071</v>
      </c>
      <c r="AH94" s="474"/>
      <c r="AI94" s="474">
        <v>60</v>
      </c>
      <c r="AJ94" s="475" t="s">
        <v>1694</v>
      </c>
      <c r="AK94" s="475" t="s">
        <v>50</v>
      </c>
      <c r="AL94" s="483">
        <v>92806</v>
      </c>
      <c r="AM94" s="474" t="s">
        <v>52</v>
      </c>
      <c r="AN94" s="384" t="s">
        <v>1695</v>
      </c>
      <c r="AO94" s="474" t="s">
        <v>1076</v>
      </c>
      <c r="AP94" s="482"/>
      <c r="AQ94" s="474" t="s">
        <v>37</v>
      </c>
      <c r="AR94" s="474"/>
      <c r="AS94" s="473"/>
      <c r="AT94" s="473"/>
      <c r="AU94" s="478"/>
      <c r="AV94" s="471"/>
      <c r="AW94" s="471"/>
      <c r="AX94" s="471"/>
      <c r="AY94" s="471"/>
      <c r="AZ94" s="471"/>
      <c r="BA94" s="471"/>
      <c r="BB94" s="471"/>
      <c r="BC94" s="471"/>
    </row>
    <row r="95" spans="1:55">
      <c r="A95" s="495"/>
      <c r="B95" s="407">
        <v>44629</v>
      </c>
      <c r="C95" s="407">
        <v>44629</v>
      </c>
      <c r="D95" s="485" t="s">
        <v>86</v>
      </c>
      <c r="E95" s="474"/>
      <c r="F95" s="486"/>
      <c r="G95" s="380">
        <v>2022</v>
      </c>
      <c r="H95" s="474">
        <v>4</v>
      </c>
      <c r="I95" s="474">
        <v>128077</v>
      </c>
      <c r="J95" s="475">
        <v>44657</v>
      </c>
      <c r="K95" s="474" t="s">
        <v>1727</v>
      </c>
      <c r="L95" s="474" t="s">
        <v>1693</v>
      </c>
      <c r="M95" s="475">
        <v>44480</v>
      </c>
      <c r="N95" s="475">
        <v>44623</v>
      </c>
      <c r="O95" s="475"/>
      <c r="P95" s="475">
        <v>44629</v>
      </c>
      <c r="Q95" s="475">
        <v>44657</v>
      </c>
      <c r="R95" s="475">
        <v>44658</v>
      </c>
      <c r="S95" s="474" t="s">
        <v>88</v>
      </c>
      <c r="T95" s="474">
        <v>60</v>
      </c>
      <c r="U95" s="486">
        <v>49201132</v>
      </c>
      <c r="V95" s="474" t="s">
        <v>986</v>
      </c>
      <c r="W95" s="474">
        <v>360</v>
      </c>
      <c r="X95" s="432">
        <v>832</v>
      </c>
      <c r="Y95" s="389">
        <f t="shared" si="14"/>
        <v>299520</v>
      </c>
      <c r="Z95" s="348">
        <f>190.8/360</f>
        <v>0.53</v>
      </c>
      <c r="AA95" s="480">
        <f t="shared" si="15"/>
        <v>158745.60000000001</v>
      </c>
      <c r="AB95" s="480"/>
      <c r="AC95" s="481">
        <v>0</v>
      </c>
      <c r="AD95" s="474"/>
      <c r="AE95" s="474"/>
      <c r="AF95" s="493">
        <f t="shared" si="21"/>
        <v>158745.60000000001</v>
      </c>
      <c r="AG95" s="474" t="s">
        <v>1071</v>
      </c>
      <c r="AH95" s="474"/>
      <c r="AI95" s="474">
        <v>60</v>
      </c>
      <c r="AJ95" s="475" t="s">
        <v>1694</v>
      </c>
      <c r="AK95" s="475" t="s">
        <v>50</v>
      </c>
      <c r="AL95" s="483" t="s">
        <v>1725</v>
      </c>
      <c r="AM95" s="474" t="s">
        <v>52</v>
      </c>
      <c r="AN95" s="384" t="s">
        <v>1695</v>
      </c>
      <c r="AO95" s="474" t="s">
        <v>1076</v>
      </c>
      <c r="AP95" s="482"/>
      <c r="AQ95" s="474" t="s">
        <v>37</v>
      </c>
      <c r="AR95" s="474"/>
      <c r="AS95" s="473" t="s">
        <v>1075</v>
      </c>
      <c r="AT95" s="473"/>
      <c r="AU95" s="478"/>
      <c r="AV95" s="471"/>
      <c r="AW95" s="471"/>
      <c r="AX95" s="471"/>
      <c r="AY95" s="471"/>
      <c r="AZ95" s="471"/>
      <c r="BA95" s="471"/>
      <c r="BB95" s="471"/>
      <c r="BC95" s="471"/>
    </row>
    <row r="96" spans="1:55">
      <c r="A96" s="495"/>
      <c r="B96" s="407">
        <v>44629</v>
      </c>
      <c r="C96" s="407">
        <v>44629</v>
      </c>
      <c r="D96" s="485" t="s">
        <v>86</v>
      </c>
      <c r="E96" s="474"/>
      <c r="F96" s="474">
        <v>1</v>
      </c>
      <c r="G96" s="380">
        <v>2022</v>
      </c>
      <c r="H96" s="474">
        <v>4</v>
      </c>
      <c r="I96" s="474">
        <v>128209</v>
      </c>
      <c r="J96" s="475">
        <v>44670</v>
      </c>
      <c r="K96" s="474" t="s">
        <v>1724</v>
      </c>
      <c r="L96" s="474" t="s">
        <v>1693</v>
      </c>
      <c r="M96" s="475">
        <v>44480</v>
      </c>
      <c r="N96" s="475">
        <v>44654</v>
      </c>
      <c r="O96" s="475"/>
      <c r="P96" s="475">
        <v>44644</v>
      </c>
      <c r="Q96" s="475">
        <v>44670</v>
      </c>
      <c r="R96" s="475">
        <v>44673</v>
      </c>
      <c r="S96" s="474" t="s">
        <v>88</v>
      </c>
      <c r="T96" s="474">
        <v>60</v>
      </c>
      <c r="U96" s="474">
        <v>49203132</v>
      </c>
      <c r="V96" s="474" t="s">
        <v>986</v>
      </c>
      <c r="W96" s="474">
        <v>360</v>
      </c>
      <c r="X96" s="432">
        <v>832</v>
      </c>
      <c r="Y96" s="389">
        <f t="shared" si="14"/>
        <v>299520</v>
      </c>
      <c r="Z96" s="348">
        <f>190.8/360</f>
        <v>0.53</v>
      </c>
      <c r="AA96" s="480">
        <f t="shared" si="15"/>
        <v>158745.60000000001</v>
      </c>
      <c r="AB96" s="480"/>
      <c r="AC96" s="481">
        <v>0</v>
      </c>
      <c r="AD96" s="474"/>
      <c r="AE96" s="398"/>
      <c r="AF96" s="493">
        <f t="shared" si="21"/>
        <v>158745.60000000001</v>
      </c>
      <c r="AG96" s="474" t="s">
        <v>1071</v>
      </c>
      <c r="AH96" s="474"/>
      <c r="AI96" s="474">
        <v>60</v>
      </c>
      <c r="AJ96" s="475" t="s">
        <v>1694</v>
      </c>
      <c r="AK96" s="475" t="s">
        <v>50</v>
      </c>
      <c r="AL96" s="483" t="s">
        <v>1725</v>
      </c>
      <c r="AM96" s="474" t="s">
        <v>52</v>
      </c>
      <c r="AN96" s="384" t="s">
        <v>1695</v>
      </c>
      <c r="AO96" s="474" t="s">
        <v>1076</v>
      </c>
      <c r="AP96" s="482"/>
      <c r="AQ96" s="474" t="s">
        <v>37</v>
      </c>
      <c r="AR96" s="474"/>
      <c r="AS96" s="473" t="s">
        <v>1075</v>
      </c>
      <c r="AT96" s="473"/>
      <c r="AU96" s="478"/>
      <c r="AV96" s="471"/>
      <c r="AW96" s="471"/>
      <c r="AX96" s="471"/>
      <c r="AY96" s="471"/>
      <c r="AZ96" s="471"/>
      <c r="BA96" s="471"/>
      <c r="BB96" s="471"/>
      <c r="BC96" s="471"/>
    </row>
    <row r="97" spans="1:55">
      <c r="A97" s="495"/>
      <c r="B97" s="407"/>
      <c r="C97" s="407"/>
      <c r="D97" s="485" t="s">
        <v>86</v>
      </c>
      <c r="E97" s="474"/>
      <c r="F97" s="486"/>
      <c r="G97" s="380">
        <v>2022</v>
      </c>
      <c r="H97" s="474">
        <v>4</v>
      </c>
      <c r="I97" s="474">
        <v>127931</v>
      </c>
      <c r="J97" s="475">
        <v>44662</v>
      </c>
      <c r="K97" s="474" t="s">
        <v>1759</v>
      </c>
      <c r="L97" s="474" t="s">
        <v>1693</v>
      </c>
      <c r="M97" s="475">
        <v>44540</v>
      </c>
      <c r="N97" s="475">
        <v>44655</v>
      </c>
      <c r="O97" s="475"/>
      <c r="P97" s="475">
        <v>44657</v>
      </c>
      <c r="Q97" s="475">
        <v>44662</v>
      </c>
      <c r="R97" s="475">
        <v>44663</v>
      </c>
      <c r="S97" s="474" t="s">
        <v>88</v>
      </c>
      <c r="T97" s="474">
        <v>60</v>
      </c>
      <c r="U97" s="486" t="s">
        <v>1760</v>
      </c>
      <c r="V97" s="474" t="s">
        <v>973</v>
      </c>
      <c r="W97" s="474">
        <v>400</v>
      </c>
      <c r="X97" s="432">
        <v>768</v>
      </c>
      <c r="Y97" s="389">
        <f t="shared" si="14"/>
        <v>307200</v>
      </c>
      <c r="Z97" s="348">
        <f>220/400</f>
        <v>0.55000000000000004</v>
      </c>
      <c r="AA97" s="480">
        <f t="shared" si="15"/>
        <v>168960</v>
      </c>
      <c r="AB97" s="480"/>
      <c r="AC97" s="481">
        <v>0</v>
      </c>
      <c r="AD97" s="474"/>
      <c r="AE97" s="398"/>
      <c r="AF97" s="493">
        <f t="shared" si="21"/>
        <v>168960</v>
      </c>
      <c r="AG97" s="474" t="s">
        <v>1071</v>
      </c>
      <c r="AH97" s="474"/>
      <c r="AI97" s="474">
        <v>60</v>
      </c>
      <c r="AJ97" s="475" t="s">
        <v>1694</v>
      </c>
      <c r="AK97" s="475" t="s">
        <v>50</v>
      </c>
      <c r="AL97" s="483" t="s">
        <v>1725</v>
      </c>
      <c r="AM97" s="474" t="s">
        <v>52</v>
      </c>
      <c r="AN97" s="384" t="s">
        <v>50</v>
      </c>
      <c r="AO97" s="474" t="s">
        <v>1076</v>
      </c>
      <c r="AP97" s="482" t="s">
        <v>38</v>
      </c>
      <c r="AQ97" s="474" t="s">
        <v>37</v>
      </c>
      <c r="AR97" s="474"/>
      <c r="AS97" s="473" t="s">
        <v>1075</v>
      </c>
      <c r="AT97" s="473"/>
      <c r="AU97" s="478">
        <v>0.52</v>
      </c>
      <c r="AV97" s="471"/>
      <c r="AW97" s="471"/>
      <c r="AX97" s="471"/>
      <c r="AY97" s="471"/>
      <c r="AZ97" s="471"/>
      <c r="BA97" s="471"/>
      <c r="BB97" s="471"/>
      <c r="BC97" s="471"/>
    </row>
    <row r="98" spans="1:55">
      <c r="A98" s="495"/>
      <c r="B98" s="495"/>
      <c r="C98" s="495"/>
      <c r="D98" s="474" t="s">
        <v>86</v>
      </c>
      <c r="E98" s="474"/>
      <c r="F98" s="474"/>
      <c r="G98" s="380">
        <v>2022</v>
      </c>
      <c r="H98" s="474">
        <v>4</v>
      </c>
      <c r="I98" s="474">
        <v>128019</v>
      </c>
      <c r="J98" s="475">
        <v>44665</v>
      </c>
      <c r="K98" s="474" t="s">
        <v>1726</v>
      </c>
      <c r="L98" s="474" t="s">
        <v>1693</v>
      </c>
      <c r="M98" s="475">
        <v>44595</v>
      </c>
      <c r="N98" s="475">
        <v>44627</v>
      </c>
      <c r="O98" s="475">
        <v>44658</v>
      </c>
      <c r="P98" s="475">
        <v>44658</v>
      </c>
      <c r="Q98" s="475">
        <v>44665</v>
      </c>
      <c r="R98" s="475">
        <v>44670</v>
      </c>
      <c r="S98" s="474" t="s">
        <v>88</v>
      </c>
      <c r="T98" s="474">
        <v>60</v>
      </c>
      <c r="U98" s="474">
        <v>49204132</v>
      </c>
      <c r="V98" s="474" t="s">
        <v>1223</v>
      </c>
      <c r="W98" s="474">
        <v>360</v>
      </c>
      <c r="X98" s="432">
        <v>832</v>
      </c>
      <c r="Y98" s="389">
        <f t="shared" si="14"/>
        <v>299520</v>
      </c>
      <c r="Z98" s="478">
        <f>298.8/360</f>
        <v>0.83000000000000007</v>
      </c>
      <c r="AA98" s="479">
        <f t="shared" si="15"/>
        <v>248601.60000000003</v>
      </c>
      <c r="AB98" s="480"/>
      <c r="AC98" s="481">
        <v>0</v>
      </c>
      <c r="AD98" s="490"/>
      <c r="AE98" s="482"/>
      <c r="AF98" s="493">
        <f t="shared" si="21"/>
        <v>248601.60000000003</v>
      </c>
      <c r="AG98" s="474" t="s">
        <v>1071</v>
      </c>
      <c r="AH98" s="474"/>
      <c r="AI98" s="474">
        <v>60</v>
      </c>
      <c r="AJ98" s="474" t="s">
        <v>1694</v>
      </c>
      <c r="AK98" s="474" t="s">
        <v>1144</v>
      </c>
      <c r="AL98" s="474">
        <v>92806</v>
      </c>
      <c r="AM98" s="474" t="s">
        <v>52</v>
      </c>
      <c r="AN98" s="474" t="s">
        <v>1695</v>
      </c>
      <c r="AO98" s="474" t="s">
        <v>1076</v>
      </c>
      <c r="AP98" s="482"/>
      <c r="AQ98" s="482" t="s">
        <v>37</v>
      </c>
      <c r="AR98" s="482" t="s">
        <v>1216</v>
      </c>
      <c r="AS98" s="473" t="s">
        <v>1492</v>
      </c>
      <c r="AT98" s="473"/>
      <c r="AU98" s="478">
        <f>180/360</f>
        <v>0.5</v>
      </c>
      <c r="AV98" s="471"/>
      <c r="AW98" s="471"/>
      <c r="AX98" s="471"/>
      <c r="AY98" s="471"/>
      <c r="AZ98" s="471"/>
      <c r="BA98" s="471"/>
      <c r="BB98" s="471"/>
      <c r="BC98" s="471"/>
    </row>
    <row r="99" spans="1:55">
      <c r="A99" s="495"/>
      <c r="B99" s="407"/>
      <c r="C99" s="495"/>
      <c r="D99" s="485" t="s">
        <v>86</v>
      </c>
      <c r="E99" s="383"/>
      <c r="F99" s="474"/>
      <c r="G99" s="380">
        <v>2022</v>
      </c>
      <c r="H99" s="474">
        <v>4</v>
      </c>
      <c r="I99" s="474" t="s">
        <v>2316</v>
      </c>
      <c r="J99" s="475">
        <v>44677</v>
      </c>
      <c r="K99" s="474" t="s">
        <v>4105</v>
      </c>
      <c r="L99" s="474" t="s">
        <v>1776</v>
      </c>
      <c r="M99" s="475">
        <v>44571</v>
      </c>
      <c r="N99" s="475">
        <v>44652</v>
      </c>
      <c r="O99" s="475"/>
      <c r="P99" s="345">
        <v>44673</v>
      </c>
      <c r="Q99" s="475">
        <v>44677</v>
      </c>
      <c r="R99" s="475">
        <v>44680</v>
      </c>
      <c r="S99" s="474" t="s">
        <v>88</v>
      </c>
      <c r="T99" s="474">
        <v>60</v>
      </c>
      <c r="U99" s="474">
        <v>49204132</v>
      </c>
      <c r="V99" s="486" t="s">
        <v>1223</v>
      </c>
      <c r="W99" s="501">
        <v>360</v>
      </c>
      <c r="X99" s="354">
        <v>676</v>
      </c>
      <c r="Y99" s="389">
        <f>W99*X99</f>
        <v>243360</v>
      </c>
      <c r="Z99" s="478">
        <f>298.8/360</f>
        <v>0.83000000000000007</v>
      </c>
      <c r="AA99" s="479">
        <f t="shared" si="15"/>
        <v>201988.80000000002</v>
      </c>
      <c r="AB99" s="480"/>
      <c r="AC99" s="481">
        <f>AB99*Y99</f>
        <v>0</v>
      </c>
      <c r="AD99" s="474"/>
      <c r="AE99" s="474"/>
      <c r="AF99" s="493">
        <f t="shared" si="21"/>
        <v>201988.80000000002</v>
      </c>
      <c r="AG99" s="474" t="s">
        <v>1071</v>
      </c>
      <c r="AH99" s="474"/>
      <c r="AI99" s="474">
        <v>60</v>
      </c>
      <c r="AJ99" s="475" t="s">
        <v>1777</v>
      </c>
      <c r="AK99" s="475" t="s">
        <v>50</v>
      </c>
      <c r="AL99" s="483" t="s">
        <v>1725</v>
      </c>
      <c r="AM99" s="474" t="s">
        <v>52</v>
      </c>
      <c r="AN99" s="384" t="s">
        <v>1695</v>
      </c>
      <c r="AO99" s="474" t="s">
        <v>1076</v>
      </c>
      <c r="AP99" s="474"/>
      <c r="AQ99" s="482" t="s">
        <v>37</v>
      </c>
      <c r="AR99" s="474"/>
      <c r="AS99" s="473" t="s">
        <v>1075</v>
      </c>
      <c r="AT99" s="473"/>
      <c r="AU99" s="478">
        <f>183.6/360</f>
        <v>0.51</v>
      </c>
      <c r="AV99" s="471"/>
      <c r="AW99" s="471"/>
      <c r="AX99" s="471"/>
      <c r="AY99" s="471"/>
      <c r="AZ99" s="471"/>
      <c r="BA99" s="471"/>
      <c r="BB99" s="471"/>
      <c r="BC99" s="471"/>
    </row>
    <row r="100" spans="1:55">
      <c r="A100" s="495"/>
      <c r="B100" s="407">
        <v>44663</v>
      </c>
      <c r="C100" s="407">
        <v>44663</v>
      </c>
      <c r="D100" s="485" t="s">
        <v>86</v>
      </c>
      <c r="E100" s="474"/>
      <c r="F100" s="486" t="s">
        <v>87</v>
      </c>
      <c r="G100" s="380">
        <v>2022</v>
      </c>
      <c r="H100" s="474">
        <v>5</v>
      </c>
      <c r="I100" s="474"/>
      <c r="J100" s="475"/>
      <c r="K100" s="474" t="s">
        <v>1792</v>
      </c>
      <c r="L100" s="474" t="s">
        <v>1776</v>
      </c>
      <c r="M100" s="475">
        <v>44652</v>
      </c>
      <c r="N100" s="475">
        <v>44652</v>
      </c>
      <c r="O100" s="475"/>
      <c r="P100" s="475">
        <v>44671</v>
      </c>
      <c r="Q100" s="475"/>
      <c r="R100" s="475"/>
      <c r="S100" s="474" t="s">
        <v>88</v>
      </c>
      <c r="T100" s="474">
        <v>72</v>
      </c>
      <c r="U100" s="486">
        <v>49303156</v>
      </c>
      <c r="V100" s="474" t="s">
        <v>995</v>
      </c>
      <c r="W100" s="474">
        <v>480</v>
      </c>
      <c r="X100" s="432">
        <v>638</v>
      </c>
      <c r="Y100" s="389">
        <f t="shared" si="14"/>
        <v>306240</v>
      </c>
      <c r="Z100" s="478">
        <f>235.2/480</f>
        <v>0.49</v>
      </c>
      <c r="AA100" s="480">
        <f t="shared" si="15"/>
        <v>150057.60000000001</v>
      </c>
      <c r="AB100" s="480"/>
      <c r="AC100" s="481">
        <f>AB100*Y100</f>
        <v>0</v>
      </c>
      <c r="AD100" s="474"/>
      <c r="AE100" s="474"/>
      <c r="AF100" s="493">
        <f t="shared" si="21"/>
        <v>150057.60000000001</v>
      </c>
      <c r="AG100" s="474" t="s">
        <v>1071</v>
      </c>
      <c r="AH100" s="474"/>
      <c r="AI100" s="474">
        <v>60</v>
      </c>
      <c r="AJ100" s="475" t="s">
        <v>1777</v>
      </c>
      <c r="AK100" s="475" t="s">
        <v>50</v>
      </c>
      <c r="AL100" s="483" t="s">
        <v>1778</v>
      </c>
      <c r="AM100" s="474" t="s">
        <v>52</v>
      </c>
      <c r="AN100" s="384" t="s">
        <v>1695</v>
      </c>
      <c r="AO100" s="474" t="s">
        <v>1076</v>
      </c>
      <c r="AP100" s="482"/>
      <c r="AQ100" s="474" t="s">
        <v>37</v>
      </c>
      <c r="AR100" s="474"/>
      <c r="AS100" s="473"/>
      <c r="AT100" s="473"/>
      <c r="AU100" s="478"/>
      <c r="AV100" s="471"/>
      <c r="AW100" s="471"/>
      <c r="AX100" s="471"/>
      <c r="AY100" s="471"/>
      <c r="AZ100" s="471"/>
      <c r="BA100" s="471"/>
      <c r="BB100" s="471"/>
      <c r="BC100" s="471"/>
    </row>
    <row r="101" spans="1:55">
      <c r="A101" s="495"/>
      <c r="B101" s="407">
        <v>44663</v>
      </c>
      <c r="C101" s="407">
        <v>44663</v>
      </c>
      <c r="D101" s="485" t="s">
        <v>86</v>
      </c>
      <c r="E101" s="474"/>
      <c r="F101" s="486" t="s">
        <v>87</v>
      </c>
      <c r="G101" s="380">
        <v>2022</v>
      </c>
      <c r="H101" s="474">
        <v>5</v>
      </c>
      <c r="I101" s="474"/>
      <c r="J101" s="475"/>
      <c r="K101" s="474" t="s">
        <v>1775</v>
      </c>
      <c r="L101" s="474" t="s">
        <v>1776</v>
      </c>
      <c r="M101" s="475">
        <v>44652</v>
      </c>
      <c r="N101" s="475">
        <v>44652</v>
      </c>
      <c r="O101" s="475"/>
      <c r="P101" s="475">
        <v>44671</v>
      </c>
      <c r="Q101" s="475"/>
      <c r="R101" s="475"/>
      <c r="S101" s="474" t="s">
        <v>88</v>
      </c>
      <c r="T101" s="474">
        <v>72</v>
      </c>
      <c r="U101" s="486">
        <v>49303156</v>
      </c>
      <c r="V101" s="474" t="s">
        <v>995</v>
      </c>
      <c r="W101" s="474">
        <v>480</v>
      </c>
      <c r="X101" s="432">
        <v>638</v>
      </c>
      <c r="Y101" s="389">
        <f t="shared" si="14"/>
        <v>306240</v>
      </c>
      <c r="Z101" s="478">
        <f>235.2/480</f>
        <v>0.49</v>
      </c>
      <c r="AA101" s="480">
        <f t="shared" si="15"/>
        <v>150057.60000000001</v>
      </c>
      <c r="AB101" s="480"/>
      <c r="AC101" s="481">
        <f>AB101*Y101</f>
        <v>0</v>
      </c>
      <c r="AD101" s="474"/>
      <c r="AE101" s="474"/>
      <c r="AF101" s="493">
        <f t="shared" si="21"/>
        <v>150057.60000000001</v>
      </c>
      <c r="AG101" s="474" t="s">
        <v>1071</v>
      </c>
      <c r="AH101" s="474"/>
      <c r="AI101" s="474">
        <v>60</v>
      </c>
      <c r="AJ101" s="475" t="s">
        <v>1777</v>
      </c>
      <c r="AK101" s="475" t="s">
        <v>50</v>
      </c>
      <c r="AL101" s="483" t="s">
        <v>1778</v>
      </c>
      <c r="AM101" s="474" t="s">
        <v>52</v>
      </c>
      <c r="AN101" s="384" t="s">
        <v>1695</v>
      </c>
      <c r="AO101" s="474" t="s">
        <v>1076</v>
      </c>
      <c r="AP101" s="482"/>
      <c r="AQ101" s="474" t="s">
        <v>37</v>
      </c>
      <c r="AR101" s="474"/>
      <c r="AS101" s="473"/>
      <c r="AT101" s="473"/>
      <c r="AU101" s="478"/>
      <c r="AV101" s="471"/>
      <c r="AW101" s="471"/>
      <c r="AX101" s="471"/>
      <c r="AY101" s="471"/>
      <c r="AZ101" s="471"/>
      <c r="BA101" s="471"/>
      <c r="BB101" s="471"/>
      <c r="BC101" s="471"/>
    </row>
    <row r="102" spans="1:55">
      <c r="A102" s="495">
        <v>10</v>
      </c>
      <c r="B102" s="407">
        <v>44637</v>
      </c>
      <c r="C102" s="407">
        <v>44637</v>
      </c>
      <c r="D102" s="485" t="s">
        <v>86</v>
      </c>
      <c r="E102" s="474"/>
      <c r="F102" s="664"/>
      <c r="G102" s="380">
        <v>2022</v>
      </c>
      <c r="H102" s="474">
        <v>4</v>
      </c>
      <c r="I102" s="474">
        <v>127926</v>
      </c>
      <c r="J102" s="475">
        <v>44652</v>
      </c>
      <c r="K102" s="474" t="s">
        <v>1793</v>
      </c>
      <c r="L102" s="474" t="s">
        <v>1762</v>
      </c>
      <c r="M102" s="475">
        <v>44546</v>
      </c>
      <c r="N102" s="475">
        <v>44614</v>
      </c>
      <c r="O102" s="475" t="s">
        <v>1763</v>
      </c>
      <c r="P102" s="475">
        <v>44638</v>
      </c>
      <c r="Q102" s="475">
        <v>44652</v>
      </c>
      <c r="R102" s="475">
        <v>44652</v>
      </c>
      <c r="S102" s="474" t="s">
        <v>88</v>
      </c>
      <c r="T102" s="474">
        <v>60</v>
      </c>
      <c r="U102" s="486" t="s">
        <v>1281</v>
      </c>
      <c r="V102" s="474" t="s">
        <v>973</v>
      </c>
      <c r="W102" s="474">
        <v>400</v>
      </c>
      <c r="X102" s="432">
        <v>1664</v>
      </c>
      <c r="Y102" s="389">
        <f t="shared" si="14"/>
        <v>665600</v>
      </c>
      <c r="Z102" s="478">
        <f>220/400</f>
        <v>0.55000000000000004</v>
      </c>
      <c r="AA102" s="480">
        <f t="shared" si="15"/>
        <v>366080.00000000006</v>
      </c>
      <c r="AB102" s="480"/>
      <c r="AC102" s="481"/>
      <c r="AD102" s="474"/>
      <c r="AE102" s="474"/>
      <c r="AF102" s="493">
        <v>1368640</v>
      </c>
      <c r="AG102" s="474" t="s">
        <v>1071</v>
      </c>
      <c r="AH102" s="474"/>
      <c r="AI102" s="474">
        <v>60</v>
      </c>
      <c r="AJ102" s="475" t="s">
        <v>1764</v>
      </c>
      <c r="AK102" s="475" t="s">
        <v>50</v>
      </c>
      <c r="AL102" s="483">
        <v>93305</v>
      </c>
      <c r="AM102" s="474" t="s">
        <v>52</v>
      </c>
      <c r="AN102" s="384" t="s">
        <v>50</v>
      </c>
      <c r="AO102" s="474" t="s">
        <v>1076</v>
      </c>
      <c r="AP102" s="482" t="s">
        <v>38</v>
      </c>
      <c r="AQ102" s="474" t="s">
        <v>37</v>
      </c>
      <c r="AR102" s="474" t="s">
        <v>1677</v>
      </c>
      <c r="AS102" s="473"/>
      <c r="AT102" s="473"/>
      <c r="AU102" s="478">
        <v>0.45500000000000002</v>
      </c>
      <c r="AV102" s="471"/>
      <c r="AW102" s="471"/>
      <c r="AX102" s="471"/>
      <c r="AY102" s="471"/>
      <c r="AZ102" s="471"/>
      <c r="BA102" s="471"/>
      <c r="BB102" s="471"/>
      <c r="BC102" s="471"/>
    </row>
    <row r="103" spans="1:55">
      <c r="A103" s="495">
        <v>10</v>
      </c>
      <c r="B103" s="407">
        <v>44637</v>
      </c>
      <c r="C103" s="407">
        <v>44637</v>
      </c>
      <c r="D103" s="485" t="s">
        <v>86</v>
      </c>
      <c r="E103" s="474"/>
      <c r="F103" s="486"/>
      <c r="G103" s="380">
        <v>2022</v>
      </c>
      <c r="H103" s="474">
        <v>4</v>
      </c>
      <c r="I103" s="474">
        <v>127980</v>
      </c>
      <c r="J103" s="475">
        <v>44664</v>
      </c>
      <c r="K103" s="474" t="s">
        <v>1794</v>
      </c>
      <c r="L103" s="474" t="s">
        <v>1762</v>
      </c>
      <c r="M103" s="475">
        <v>44546</v>
      </c>
      <c r="N103" s="475">
        <v>44614</v>
      </c>
      <c r="O103" s="475" t="s">
        <v>1763</v>
      </c>
      <c r="P103" s="475">
        <v>44657</v>
      </c>
      <c r="Q103" s="475">
        <v>44664</v>
      </c>
      <c r="R103" s="475">
        <v>44664</v>
      </c>
      <c r="S103" s="474" t="s">
        <v>88</v>
      </c>
      <c r="T103" s="474">
        <v>60</v>
      </c>
      <c r="U103" s="486" t="s">
        <v>1760</v>
      </c>
      <c r="V103" s="474" t="s">
        <v>973</v>
      </c>
      <c r="W103" s="474">
        <v>400</v>
      </c>
      <c r="X103" s="432">
        <v>2912</v>
      </c>
      <c r="Y103" s="389">
        <f t="shared" si="14"/>
        <v>1164800</v>
      </c>
      <c r="Z103" s="478">
        <f>220/400</f>
        <v>0.55000000000000004</v>
      </c>
      <c r="AA103" s="480">
        <f t="shared" si="15"/>
        <v>640640</v>
      </c>
      <c r="AB103" s="480"/>
      <c r="AC103" s="481"/>
      <c r="AD103" s="474"/>
      <c r="AE103" s="474"/>
      <c r="AF103" s="493">
        <v>1368640</v>
      </c>
      <c r="AG103" s="474" t="s">
        <v>1071</v>
      </c>
      <c r="AH103" s="474"/>
      <c r="AI103" s="474">
        <v>60</v>
      </c>
      <c r="AJ103" s="475" t="s">
        <v>1764</v>
      </c>
      <c r="AK103" s="475" t="s">
        <v>50</v>
      </c>
      <c r="AL103" s="483">
        <v>93305</v>
      </c>
      <c r="AM103" s="474" t="s">
        <v>52</v>
      </c>
      <c r="AN103" s="384" t="s">
        <v>50</v>
      </c>
      <c r="AO103" s="474" t="s">
        <v>1076</v>
      </c>
      <c r="AP103" s="482" t="s">
        <v>38</v>
      </c>
      <c r="AQ103" s="474" t="s">
        <v>37</v>
      </c>
      <c r="AR103" s="474" t="s">
        <v>1677</v>
      </c>
      <c r="AS103" s="473"/>
      <c r="AT103" s="473"/>
      <c r="AU103" s="478">
        <v>0.45500000000000002</v>
      </c>
      <c r="AV103" s="471"/>
      <c r="AW103" s="471"/>
      <c r="AX103" s="471"/>
      <c r="AY103" s="471"/>
      <c r="AZ103" s="471"/>
      <c r="BA103" s="471"/>
      <c r="BB103" s="471"/>
      <c r="BC103" s="471"/>
    </row>
    <row r="104" spans="1:55">
      <c r="A104" s="495"/>
      <c r="B104" s="407"/>
      <c r="C104" s="407"/>
      <c r="D104" s="485" t="s">
        <v>86</v>
      </c>
      <c r="E104" s="474"/>
      <c r="F104" s="486"/>
      <c r="G104" s="380">
        <v>2022</v>
      </c>
      <c r="H104" s="474">
        <v>4</v>
      </c>
      <c r="I104" s="474">
        <v>127932</v>
      </c>
      <c r="J104" s="475">
        <v>44662</v>
      </c>
      <c r="K104" s="474" t="s">
        <v>1795</v>
      </c>
      <c r="L104" s="474" t="s">
        <v>1780</v>
      </c>
      <c r="M104" s="475">
        <v>44524</v>
      </c>
      <c r="N104" s="475">
        <v>44599</v>
      </c>
      <c r="O104" s="475"/>
      <c r="P104" s="475">
        <v>44657</v>
      </c>
      <c r="Q104" s="475">
        <v>44662</v>
      </c>
      <c r="R104" s="475">
        <v>44664</v>
      </c>
      <c r="S104" s="474" t="s">
        <v>1704</v>
      </c>
      <c r="T104" s="474">
        <v>60</v>
      </c>
      <c r="U104" s="486" t="s">
        <v>1760</v>
      </c>
      <c r="V104" s="474" t="s">
        <v>973</v>
      </c>
      <c r="W104" s="474">
        <v>400</v>
      </c>
      <c r="X104" s="432">
        <v>768</v>
      </c>
      <c r="Y104" s="389">
        <f t="shared" si="14"/>
        <v>307200</v>
      </c>
      <c r="Z104" s="478">
        <f>220/400</f>
        <v>0.55000000000000004</v>
      </c>
      <c r="AA104" s="480">
        <f t="shared" si="15"/>
        <v>168960</v>
      </c>
      <c r="AB104" s="480"/>
      <c r="AC104" s="481"/>
      <c r="AD104" s="474"/>
      <c r="AE104" s="398"/>
      <c r="AF104" s="493">
        <f t="shared" ref="AF104:AF115" si="23">AE104+AD104+AA104</f>
        <v>168960</v>
      </c>
      <c r="AG104" s="474" t="s">
        <v>1071</v>
      </c>
      <c r="AH104" s="474"/>
      <c r="AI104" s="474">
        <v>60</v>
      </c>
      <c r="AJ104" s="475" t="s">
        <v>1781</v>
      </c>
      <c r="AK104" s="475" t="s">
        <v>1417</v>
      </c>
      <c r="AL104" s="483">
        <v>83642</v>
      </c>
      <c r="AM104" s="474" t="s">
        <v>52</v>
      </c>
      <c r="AN104" s="384" t="s">
        <v>50</v>
      </c>
      <c r="AO104" s="474" t="s">
        <v>1076</v>
      </c>
      <c r="AP104" s="482" t="s">
        <v>38</v>
      </c>
      <c r="AQ104" s="474" t="s">
        <v>37</v>
      </c>
      <c r="AR104" s="474" t="s">
        <v>1288</v>
      </c>
      <c r="AS104" s="473"/>
      <c r="AT104" s="473"/>
      <c r="AU104" s="478">
        <f>196/400</f>
        <v>0.49</v>
      </c>
      <c r="AV104" s="471"/>
      <c r="AW104" s="471"/>
      <c r="AX104" s="471"/>
      <c r="AY104" s="471"/>
      <c r="AZ104" s="471"/>
      <c r="BA104" s="471"/>
      <c r="BB104" s="471"/>
      <c r="BC104" s="471"/>
    </row>
    <row r="105" spans="1:55">
      <c r="A105" s="495"/>
      <c r="B105" s="407">
        <v>44628</v>
      </c>
      <c r="C105" s="407">
        <v>44628</v>
      </c>
      <c r="D105" s="485" t="s">
        <v>86</v>
      </c>
      <c r="E105" s="474"/>
      <c r="F105" s="486"/>
      <c r="G105" s="380">
        <v>2022</v>
      </c>
      <c r="H105" s="474">
        <v>4</v>
      </c>
      <c r="I105" s="474"/>
      <c r="J105" s="475"/>
      <c r="K105" s="474" t="s">
        <v>1797</v>
      </c>
      <c r="L105" s="474" t="s">
        <v>1798</v>
      </c>
      <c r="M105" s="475">
        <v>44568</v>
      </c>
      <c r="N105" s="475">
        <v>44621</v>
      </c>
      <c r="O105" s="475">
        <v>44652</v>
      </c>
      <c r="P105" s="475">
        <v>44663</v>
      </c>
      <c r="Q105" s="475">
        <v>44680</v>
      </c>
      <c r="R105" s="475">
        <v>44685</v>
      </c>
      <c r="S105" s="474" t="s">
        <v>1688</v>
      </c>
      <c r="T105" s="474">
        <v>60</v>
      </c>
      <c r="U105" s="474">
        <v>49204132</v>
      </c>
      <c r="V105" s="474" t="s">
        <v>1223</v>
      </c>
      <c r="W105" s="474">
        <v>360</v>
      </c>
      <c r="X105" s="432">
        <v>1352</v>
      </c>
      <c r="Y105" s="389">
        <f t="shared" si="14"/>
        <v>486720</v>
      </c>
      <c r="Z105" s="478">
        <f>298.8/360</f>
        <v>0.83000000000000007</v>
      </c>
      <c r="AA105" s="480">
        <f t="shared" si="15"/>
        <v>403977.60000000003</v>
      </c>
      <c r="AB105" s="480"/>
      <c r="AC105" s="481">
        <v>0</v>
      </c>
      <c r="AD105" s="474"/>
      <c r="AE105" s="398"/>
      <c r="AF105" s="493">
        <f t="shared" si="23"/>
        <v>403977.60000000003</v>
      </c>
      <c r="AG105" s="474" t="s">
        <v>1071</v>
      </c>
      <c r="AH105" s="474"/>
      <c r="AI105" s="474">
        <v>60</v>
      </c>
      <c r="AJ105" s="475" t="s">
        <v>1799</v>
      </c>
      <c r="AK105" s="475" t="s">
        <v>50</v>
      </c>
      <c r="AL105" s="483">
        <v>91311</v>
      </c>
      <c r="AM105" s="474" t="s">
        <v>52</v>
      </c>
      <c r="AN105" s="474" t="s">
        <v>1695</v>
      </c>
      <c r="AO105" s="474" t="s">
        <v>1076</v>
      </c>
      <c r="AP105" s="482"/>
      <c r="AQ105" s="474" t="s">
        <v>37</v>
      </c>
      <c r="AR105" s="474"/>
      <c r="AS105" s="473"/>
      <c r="AT105" s="473"/>
      <c r="AU105" s="478">
        <v>0.72</v>
      </c>
      <c r="AV105" s="471"/>
      <c r="AW105" s="471"/>
      <c r="AX105" s="471"/>
      <c r="AY105" s="471"/>
      <c r="AZ105" s="471"/>
      <c r="BA105" s="471"/>
      <c r="BB105" s="471"/>
      <c r="BC105" s="471"/>
    </row>
    <row r="106" spans="1:55">
      <c r="A106" s="495"/>
      <c r="B106" s="407">
        <v>44628</v>
      </c>
      <c r="C106" s="407">
        <v>44628</v>
      </c>
      <c r="D106" s="485" t="s">
        <v>86</v>
      </c>
      <c r="E106" s="474"/>
      <c r="F106" s="486"/>
      <c r="G106" s="380">
        <v>2022</v>
      </c>
      <c r="H106" s="474">
        <v>4</v>
      </c>
      <c r="I106" s="474">
        <v>127988</v>
      </c>
      <c r="J106" s="475">
        <v>44665</v>
      </c>
      <c r="K106" s="474" t="s">
        <v>1829</v>
      </c>
      <c r="L106" s="474" t="s">
        <v>1798</v>
      </c>
      <c r="M106" s="475">
        <v>44505</v>
      </c>
      <c r="N106" s="475">
        <v>44564</v>
      </c>
      <c r="O106" s="475">
        <v>44654</v>
      </c>
      <c r="P106" s="475">
        <v>44657</v>
      </c>
      <c r="Q106" s="475">
        <v>44665</v>
      </c>
      <c r="R106" s="475">
        <v>44665</v>
      </c>
      <c r="S106" s="474" t="s">
        <v>1688</v>
      </c>
      <c r="T106" s="474">
        <v>60</v>
      </c>
      <c r="U106" s="486" t="s">
        <v>1760</v>
      </c>
      <c r="V106" s="474" t="s">
        <v>973</v>
      </c>
      <c r="W106" s="474">
        <v>400</v>
      </c>
      <c r="X106" s="432">
        <v>1536</v>
      </c>
      <c r="Y106" s="389">
        <f t="shared" si="14"/>
        <v>614400</v>
      </c>
      <c r="Z106" s="478">
        <f>220/400</f>
        <v>0.55000000000000004</v>
      </c>
      <c r="AA106" s="480">
        <f t="shared" si="15"/>
        <v>337920</v>
      </c>
      <c r="AB106" s="480"/>
      <c r="AC106" s="481">
        <f>AB106*Y106</f>
        <v>0</v>
      </c>
      <c r="AD106" s="474"/>
      <c r="AE106" s="398"/>
      <c r="AF106" s="493">
        <f t="shared" si="23"/>
        <v>337920</v>
      </c>
      <c r="AG106" s="474" t="s">
        <v>1071</v>
      </c>
      <c r="AH106" s="474"/>
      <c r="AI106" s="474">
        <v>60</v>
      </c>
      <c r="AJ106" s="475" t="s">
        <v>1799</v>
      </c>
      <c r="AK106" s="475" t="s">
        <v>50</v>
      </c>
      <c r="AL106" s="483">
        <v>91311</v>
      </c>
      <c r="AM106" s="474" t="s">
        <v>52</v>
      </c>
      <c r="AN106" s="384" t="s">
        <v>50</v>
      </c>
      <c r="AO106" s="474" t="s">
        <v>1076</v>
      </c>
      <c r="AP106" s="482" t="s">
        <v>38</v>
      </c>
      <c r="AQ106" s="474" t="s">
        <v>37</v>
      </c>
      <c r="AR106" s="474"/>
      <c r="AS106" s="473"/>
      <c r="AT106" s="473"/>
      <c r="AU106" s="478"/>
      <c r="AV106" s="471"/>
      <c r="AW106" s="471"/>
      <c r="AX106" s="471"/>
      <c r="AY106" s="471"/>
      <c r="AZ106" s="471"/>
      <c r="BA106" s="471"/>
      <c r="BB106" s="471"/>
      <c r="BC106" s="471"/>
    </row>
    <row r="107" spans="1:55">
      <c r="A107" s="495"/>
      <c r="B107" s="407">
        <v>44628</v>
      </c>
      <c r="C107" s="407">
        <v>44628</v>
      </c>
      <c r="D107" s="485" t="s">
        <v>86</v>
      </c>
      <c r="E107" s="474"/>
      <c r="F107" s="486"/>
      <c r="G107" s="380">
        <v>2022</v>
      </c>
      <c r="H107" s="474">
        <v>5</v>
      </c>
      <c r="I107" s="474"/>
      <c r="J107" s="475"/>
      <c r="K107" s="474" t="s">
        <v>1830</v>
      </c>
      <c r="L107" s="474" t="s">
        <v>1798</v>
      </c>
      <c r="M107" s="475">
        <v>44505</v>
      </c>
      <c r="N107" s="475">
        <v>44564</v>
      </c>
      <c r="O107" s="475">
        <v>44654</v>
      </c>
      <c r="P107" s="475">
        <v>44663</v>
      </c>
      <c r="Q107" s="475"/>
      <c r="R107" s="475"/>
      <c r="S107" s="474" t="s">
        <v>1688</v>
      </c>
      <c r="T107" s="474">
        <v>60</v>
      </c>
      <c r="U107" s="486">
        <v>49203132</v>
      </c>
      <c r="V107" s="474" t="s">
        <v>986</v>
      </c>
      <c r="W107" s="474">
        <v>360</v>
      </c>
      <c r="X107" s="432">
        <v>1536</v>
      </c>
      <c r="Y107" s="389">
        <f t="shared" si="14"/>
        <v>552960</v>
      </c>
      <c r="Z107" s="478">
        <f>190.8/360</f>
        <v>0.53</v>
      </c>
      <c r="AA107" s="480">
        <f t="shared" si="15"/>
        <v>293068.79999999999</v>
      </c>
      <c r="AB107" s="480"/>
      <c r="AC107" s="481">
        <f>AB107*Y107</f>
        <v>0</v>
      </c>
      <c r="AD107" s="474"/>
      <c r="AE107" s="398"/>
      <c r="AF107" s="493">
        <f t="shared" si="23"/>
        <v>293068.79999999999</v>
      </c>
      <c r="AG107" s="474" t="s">
        <v>1071</v>
      </c>
      <c r="AH107" s="474"/>
      <c r="AI107" s="474">
        <v>60</v>
      </c>
      <c r="AJ107" s="475" t="s">
        <v>1799</v>
      </c>
      <c r="AK107" s="475" t="s">
        <v>50</v>
      </c>
      <c r="AL107" s="483">
        <v>91311</v>
      </c>
      <c r="AM107" s="474" t="s">
        <v>52</v>
      </c>
      <c r="AN107" s="474" t="s">
        <v>1695</v>
      </c>
      <c r="AO107" s="474" t="s">
        <v>1076</v>
      </c>
      <c r="AP107" s="482"/>
      <c r="AQ107" s="474" t="s">
        <v>37</v>
      </c>
      <c r="AR107" s="474"/>
      <c r="AS107" s="473"/>
      <c r="AT107" s="473"/>
      <c r="AU107" s="478"/>
      <c r="AV107" s="471"/>
      <c r="AW107" s="471"/>
      <c r="AX107" s="471"/>
      <c r="AY107" s="471"/>
      <c r="AZ107" s="471"/>
      <c r="BA107" s="471"/>
      <c r="BB107" s="471"/>
      <c r="BC107" s="471"/>
    </row>
    <row r="108" spans="1:55">
      <c r="A108" s="495"/>
      <c r="B108" s="407">
        <v>44656</v>
      </c>
      <c r="C108" s="407">
        <v>44656</v>
      </c>
      <c r="D108" s="485" t="s">
        <v>86</v>
      </c>
      <c r="E108" s="474" t="s">
        <v>5242</v>
      </c>
      <c r="F108" s="474">
        <v>2</v>
      </c>
      <c r="G108" s="380">
        <v>2022</v>
      </c>
      <c r="H108" s="474">
        <v>4</v>
      </c>
      <c r="I108" s="474">
        <v>128164</v>
      </c>
      <c r="J108" s="475">
        <v>44659</v>
      </c>
      <c r="K108" s="474" t="s">
        <v>1831</v>
      </c>
      <c r="L108" s="474" t="s">
        <v>1832</v>
      </c>
      <c r="M108" s="475">
        <v>44505</v>
      </c>
      <c r="N108" s="475">
        <v>44589</v>
      </c>
      <c r="O108" s="475">
        <v>44679</v>
      </c>
      <c r="P108" s="475">
        <v>44644</v>
      </c>
      <c r="Q108" s="475">
        <v>44659</v>
      </c>
      <c r="R108" s="475">
        <v>44665</v>
      </c>
      <c r="S108" s="474" t="s">
        <v>1704</v>
      </c>
      <c r="T108" s="474">
        <v>60</v>
      </c>
      <c r="U108" s="474">
        <v>49203132</v>
      </c>
      <c r="V108" s="474" t="s">
        <v>986</v>
      </c>
      <c r="W108" s="474">
        <v>360</v>
      </c>
      <c r="X108" s="432">
        <v>768</v>
      </c>
      <c r="Y108" s="389">
        <f t="shared" si="14"/>
        <v>276480</v>
      </c>
      <c r="Z108" s="478">
        <f>190.8/360</f>
        <v>0.53</v>
      </c>
      <c r="AA108" s="480">
        <f t="shared" si="15"/>
        <v>146534.39999999999</v>
      </c>
      <c r="AB108" s="480"/>
      <c r="AC108" s="481">
        <v>0</v>
      </c>
      <c r="AD108" s="474"/>
      <c r="AE108" s="398"/>
      <c r="AF108" s="493">
        <f t="shared" si="23"/>
        <v>146534.39999999999</v>
      </c>
      <c r="AG108" s="474" t="s">
        <v>1071</v>
      </c>
      <c r="AH108" s="474"/>
      <c r="AI108" s="474">
        <v>60</v>
      </c>
      <c r="AJ108" s="475" t="s">
        <v>1833</v>
      </c>
      <c r="AK108" s="475" t="s">
        <v>50</v>
      </c>
      <c r="AL108" s="483" t="s">
        <v>1834</v>
      </c>
      <c r="AM108" s="474" t="s">
        <v>52</v>
      </c>
      <c r="AN108" s="384" t="s">
        <v>1695</v>
      </c>
      <c r="AO108" s="474" t="s">
        <v>1076</v>
      </c>
      <c r="AP108" s="482"/>
      <c r="AQ108" s="474" t="s">
        <v>37</v>
      </c>
      <c r="AR108" s="474"/>
      <c r="AS108" s="473" t="s">
        <v>1075</v>
      </c>
      <c r="AT108" s="473"/>
      <c r="AU108" s="478"/>
      <c r="AV108" s="471"/>
      <c r="AW108" s="471"/>
      <c r="AX108" s="471"/>
      <c r="AY108" s="471"/>
      <c r="AZ108" s="471"/>
      <c r="BA108" s="471"/>
      <c r="BB108" s="471"/>
      <c r="BC108" s="471"/>
    </row>
    <row r="109" spans="1:55">
      <c r="A109" s="495"/>
      <c r="B109" s="407">
        <v>44656</v>
      </c>
      <c r="C109" s="407">
        <v>44656</v>
      </c>
      <c r="D109" s="485" t="s">
        <v>86</v>
      </c>
      <c r="E109" s="474"/>
      <c r="F109" s="486"/>
      <c r="G109" s="380">
        <v>2022</v>
      </c>
      <c r="H109" s="474">
        <v>4</v>
      </c>
      <c r="I109" s="474">
        <v>127933</v>
      </c>
      <c r="J109" s="475">
        <v>44662</v>
      </c>
      <c r="K109" s="474" t="s">
        <v>1858</v>
      </c>
      <c r="L109" s="474" t="s">
        <v>1832</v>
      </c>
      <c r="M109" s="475">
        <v>44505</v>
      </c>
      <c r="N109" s="475">
        <v>44589</v>
      </c>
      <c r="O109" s="475">
        <v>44656</v>
      </c>
      <c r="P109" s="475">
        <v>44657</v>
      </c>
      <c r="Q109" s="475">
        <v>44662</v>
      </c>
      <c r="R109" s="475">
        <v>44663</v>
      </c>
      <c r="S109" s="474" t="s">
        <v>1704</v>
      </c>
      <c r="T109" s="474">
        <v>60</v>
      </c>
      <c r="U109" s="486" t="s">
        <v>1760</v>
      </c>
      <c r="V109" s="474" t="s">
        <v>973</v>
      </c>
      <c r="W109" s="474">
        <v>400</v>
      </c>
      <c r="X109" s="432">
        <v>768</v>
      </c>
      <c r="Y109" s="389">
        <f t="shared" si="14"/>
        <v>307200</v>
      </c>
      <c r="Z109" s="478">
        <f>220/400</f>
        <v>0.55000000000000004</v>
      </c>
      <c r="AA109" s="480">
        <f t="shared" si="15"/>
        <v>168960</v>
      </c>
      <c r="AB109" s="480"/>
      <c r="AC109" s="481">
        <v>0</v>
      </c>
      <c r="AD109" s="474"/>
      <c r="AE109" s="398"/>
      <c r="AF109" s="493">
        <f t="shared" si="23"/>
        <v>168960</v>
      </c>
      <c r="AG109" s="474" t="s">
        <v>1071</v>
      </c>
      <c r="AH109" s="474"/>
      <c r="AI109" s="474">
        <v>60</v>
      </c>
      <c r="AJ109" s="475" t="s">
        <v>1853</v>
      </c>
      <c r="AK109" s="475" t="s">
        <v>50</v>
      </c>
      <c r="AL109" s="483" t="s">
        <v>1854</v>
      </c>
      <c r="AM109" s="474" t="s">
        <v>52</v>
      </c>
      <c r="AN109" s="384" t="s">
        <v>50</v>
      </c>
      <c r="AO109" s="474" t="s">
        <v>1076</v>
      </c>
      <c r="AP109" s="482" t="s">
        <v>38</v>
      </c>
      <c r="AQ109" s="474" t="s">
        <v>37</v>
      </c>
      <c r="AR109" s="474"/>
      <c r="AS109" s="473" t="s">
        <v>1075</v>
      </c>
      <c r="AT109" s="473"/>
      <c r="AU109" s="478"/>
      <c r="AV109" s="471"/>
      <c r="AW109" s="471"/>
      <c r="AX109" s="471"/>
      <c r="AY109" s="471"/>
      <c r="AZ109" s="471"/>
      <c r="BA109" s="471"/>
      <c r="BB109" s="471"/>
      <c r="BC109" s="471"/>
    </row>
    <row r="110" spans="1:55">
      <c r="A110" s="495"/>
      <c r="B110" s="407">
        <v>44656</v>
      </c>
      <c r="C110" s="407">
        <v>44656</v>
      </c>
      <c r="D110" s="485" t="s">
        <v>86</v>
      </c>
      <c r="E110" s="474"/>
      <c r="F110" s="486"/>
      <c r="G110" s="380">
        <v>2022</v>
      </c>
      <c r="H110" s="474">
        <v>5</v>
      </c>
      <c r="I110" s="474"/>
      <c r="J110" s="475"/>
      <c r="K110" s="474" t="s">
        <v>1852</v>
      </c>
      <c r="L110" s="474" t="s">
        <v>1832</v>
      </c>
      <c r="M110" s="475">
        <v>44505</v>
      </c>
      <c r="N110" s="475">
        <v>44589</v>
      </c>
      <c r="O110" s="475">
        <v>44679</v>
      </c>
      <c r="P110" s="475">
        <v>44663</v>
      </c>
      <c r="Q110" s="475"/>
      <c r="R110" s="475"/>
      <c r="S110" s="474" t="s">
        <v>1704</v>
      </c>
      <c r="T110" s="474">
        <v>60</v>
      </c>
      <c r="U110" s="486">
        <v>49203132</v>
      </c>
      <c r="V110" s="474" t="s">
        <v>986</v>
      </c>
      <c r="W110" s="474">
        <v>360</v>
      </c>
      <c r="X110" s="432">
        <f>1920-768</f>
        <v>1152</v>
      </c>
      <c r="Y110" s="389">
        <f t="shared" si="14"/>
        <v>414720</v>
      </c>
      <c r="Z110" s="478">
        <f>190.8/360</f>
        <v>0.53</v>
      </c>
      <c r="AA110" s="480">
        <f t="shared" si="15"/>
        <v>219801.60000000001</v>
      </c>
      <c r="AB110" s="480"/>
      <c r="AC110" s="481">
        <v>0</v>
      </c>
      <c r="AD110" s="474"/>
      <c r="AE110" s="398"/>
      <c r="AF110" s="493">
        <f t="shared" si="23"/>
        <v>219801.60000000001</v>
      </c>
      <c r="AG110" s="474" t="s">
        <v>1071</v>
      </c>
      <c r="AH110" s="474"/>
      <c r="AI110" s="474">
        <v>60</v>
      </c>
      <c r="AJ110" s="475" t="s">
        <v>1853</v>
      </c>
      <c r="AK110" s="475" t="s">
        <v>50</v>
      </c>
      <c r="AL110" s="483" t="s">
        <v>1854</v>
      </c>
      <c r="AM110" s="474" t="s">
        <v>52</v>
      </c>
      <c r="AN110" s="474" t="s">
        <v>1695</v>
      </c>
      <c r="AO110" s="474" t="s">
        <v>1076</v>
      </c>
      <c r="AP110" s="482"/>
      <c r="AQ110" s="474" t="s">
        <v>37</v>
      </c>
      <c r="AR110" s="474"/>
      <c r="AS110" s="473" t="s">
        <v>1075</v>
      </c>
      <c r="AT110" s="473"/>
      <c r="AU110" s="478"/>
      <c r="AV110" s="471"/>
      <c r="AW110" s="471"/>
      <c r="AX110" s="471"/>
      <c r="AY110" s="471"/>
      <c r="AZ110" s="471"/>
      <c r="BA110" s="471"/>
      <c r="BB110" s="471"/>
      <c r="BC110" s="471"/>
    </row>
    <row r="111" spans="1:55">
      <c r="A111" s="495"/>
      <c r="B111" s="407">
        <v>44665</v>
      </c>
      <c r="C111" s="407">
        <v>44665</v>
      </c>
      <c r="D111" s="485" t="s">
        <v>86</v>
      </c>
      <c r="E111" s="474" t="s">
        <v>1975</v>
      </c>
      <c r="F111" s="486"/>
      <c r="G111" s="380">
        <v>2022</v>
      </c>
      <c r="H111" s="474">
        <v>4</v>
      </c>
      <c r="I111" s="474">
        <v>128169</v>
      </c>
      <c r="J111" s="475">
        <v>44672</v>
      </c>
      <c r="K111" s="474" t="s">
        <v>1857</v>
      </c>
      <c r="L111" s="474" t="s">
        <v>1832</v>
      </c>
      <c r="M111" s="475">
        <v>44580</v>
      </c>
      <c r="N111" s="475">
        <v>44580</v>
      </c>
      <c r="O111" s="475">
        <v>44670</v>
      </c>
      <c r="P111" s="475">
        <v>44665</v>
      </c>
      <c r="Q111" s="475">
        <v>44672</v>
      </c>
      <c r="R111" s="475">
        <v>44673</v>
      </c>
      <c r="S111" s="474" t="s">
        <v>1704</v>
      </c>
      <c r="T111" s="474">
        <v>72</v>
      </c>
      <c r="U111" s="486" t="s">
        <v>1809</v>
      </c>
      <c r="V111" s="474" t="s">
        <v>1104</v>
      </c>
      <c r="W111" s="474">
        <v>475</v>
      </c>
      <c r="X111" s="432">
        <v>1073</v>
      </c>
      <c r="Y111" s="389">
        <f t="shared" si="14"/>
        <v>509675</v>
      </c>
      <c r="Z111" s="478">
        <f>220.87/475</f>
        <v>0.46498947368421056</v>
      </c>
      <c r="AA111" s="480">
        <f t="shared" si="15"/>
        <v>236993.51</v>
      </c>
      <c r="AB111" s="480"/>
      <c r="AC111" s="481">
        <v>0</v>
      </c>
      <c r="AD111" s="474"/>
      <c r="AE111" s="398"/>
      <c r="AF111" s="493">
        <f t="shared" si="23"/>
        <v>236993.51</v>
      </c>
      <c r="AG111" s="474" t="s">
        <v>1071</v>
      </c>
      <c r="AH111" s="474"/>
      <c r="AI111" s="474">
        <v>60</v>
      </c>
      <c r="AJ111" s="475" t="s">
        <v>1853</v>
      </c>
      <c r="AK111" s="475" t="s">
        <v>50</v>
      </c>
      <c r="AL111" s="483" t="s">
        <v>1854</v>
      </c>
      <c r="AM111" s="474" t="s">
        <v>52</v>
      </c>
      <c r="AN111" s="384" t="s">
        <v>50</v>
      </c>
      <c r="AO111" s="474" t="s">
        <v>1076</v>
      </c>
      <c r="AP111" s="482"/>
      <c r="AQ111" s="474" t="s">
        <v>37</v>
      </c>
      <c r="AR111" s="474"/>
      <c r="AS111" s="473" t="s">
        <v>1075</v>
      </c>
      <c r="AT111" s="473"/>
      <c r="AU111" s="478"/>
      <c r="AV111" s="471"/>
      <c r="AW111" s="471"/>
      <c r="AX111" s="471"/>
      <c r="AY111" s="471"/>
      <c r="AZ111" s="471"/>
      <c r="BA111" s="471"/>
      <c r="BB111" s="471"/>
      <c r="BC111" s="471"/>
    </row>
    <row r="112" spans="1:55">
      <c r="A112" s="495"/>
      <c r="B112" s="407">
        <v>44665</v>
      </c>
      <c r="C112" s="407">
        <v>44665</v>
      </c>
      <c r="D112" s="485" t="s">
        <v>86</v>
      </c>
      <c r="E112" s="474"/>
      <c r="F112" s="486"/>
      <c r="G112" s="380">
        <v>2022</v>
      </c>
      <c r="H112" s="474">
        <v>4</v>
      </c>
      <c r="I112" s="474">
        <v>128169</v>
      </c>
      <c r="J112" s="475">
        <v>44672</v>
      </c>
      <c r="K112" s="474" t="s">
        <v>1855</v>
      </c>
      <c r="L112" s="474" t="s">
        <v>1832</v>
      </c>
      <c r="M112" s="475">
        <v>44580</v>
      </c>
      <c r="N112" s="475">
        <v>44580</v>
      </c>
      <c r="O112" s="475">
        <v>44670</v>
      </c>
      <c r="P112" s="475">
        <v>44665</v>
      </c>
      <c r="Q112" s="475">
        <v>44672</v>
      </c>
      <c r="R112" s="475">
        <v>44676</v>
      </c>
      <c r="S112" s="474" t="s">
        <v>1704</v>
      </c>
      <c r="T112" s="474">
        <v>72</v>
      </c>
      <c r="U112" s="486" t="s">
        <v>1856</v>
      </c>
      <c r="V112" s="474" t="s">
        <v>1104</v>
      </c>
      <c r="W112" s="474">
        <v>475</v>
      </c>
      <c r="X112" s="432">
        <v>2407</v>
      </c>
      <c r="Y112" s="389">
        <f t="shared" si="14"/>
        <v>1143325</v>
      </c>
      <c r="Z112" s="478">
        <f>220.87/475</f>
        <v>0.46498947368421056</v>
      </c>
      <c r="AA112" s="480">
        <f t="shared" si="15"/>
        <v>531634.09000000008</v>
      </c>
      <c r="AB112" s="480"/>
      <c r="AC112" s="481">
        <v>0</v>
      </c>
      <c r="AD112" s="474"/>
      <c r="AE112" s="398"/>
      <c r="AF112" s="493">
        <f t="shared" si="23"/>
        <v>531634.09000000008</v>
      </c>
      <c r="AG112" s="474" t="s">
        <v>1071</v>
      </c>
      <c r="AH112" s="474"/>
      <c r="AI112" s="474">
        <v>60</v>
      </c>
      <c r="AJ112" s="475" t="s">
        <v>1853</v>
      </c>
      <c r="AK112" s="475" t="s">
        <v>50</v>
      </c>
      <c r="AL112" s="483" t="s">
        <v>1854</v>
      </c>
      <c r="AM112" s="474" t="s">
        <v>52</v>
      </c>
      <c r="AN112" s="384" t="s">
        <v>1151</v>
      </c>
      <c r="AO112" s="474" t="s">
        <v>1076</v>
      </c>
      <c r="AP112" s="482"/>
      <c r="AQ112" s="474" t="s">
        <v>37</v>
      </c>
      <c r="AR112" s="474"/>
      <c r="AS112" s="473" t="s">
        <v>1075</v>
      </c>
      <c r="AT112" s="473"/>
      <c r="AU112" s="478"/>
      <c r="AV112" s="471"/>
      <c r="AW112" s="471"/>
      <c r="AX112" s="471"/>
      <c r="AY112" s="471"/>
      <c r="AZ112" s="471"/>
      <c r="BA112" s="471"/>
      <c r="BB112" s="471"/>
      <c r="BC112" s="471"/>
    </row>
    <row r="113" spans="1:55">
      <c r="A113" s="495"/>
      <c r="B113" s="407">
        <v>44644</v>
      </c>
      <c r="C113" s="407">
        <v>44644</v>
      </c>
      <c r="D113" s="485" t="s">
        <v>86</v>
      </c>
      <c r="E113" s="474"/>
      <c r="F113" s="486"/>
      <c r="G113" s="380">
        <v>2022</v>
      </c>
      <c r="H113" s="474">
        <v>4</v>
      </c>
      <c r="I113" s="474"/>
      <c r="J113" s="475"/>
      <c r="K113" s="474" t="s">
        <v>1862</v>
      </c>
      <c r="L113" s="474" t="s">
        <v>1842</v>
      </c>
      <c r="M113" s="475">
        <v>44510</v>
      </c>
      <c r="N113" s="475">
        <v>44630</v>
      </c>
      <c r="O113" s="475"/>
      <c r="P113" s="475">
        <v>44662</v>
      </c>
      <c r="Q113" s="475">
        <v>44680</v>
      </c>
      <c r="R113" s="475">
        <v>44685</v>
      </c>
      <c r="S113" s="474" t="s">
        <v>1688</v>
      </c>
      <c r="T113" s="474">
        <v>60</v>
      </c>
      <c r="U113" s="474">
        <v>49204132</v>
      </c>
      <c r="V113" s="474" t="s">
        <v>1223</v>
      </c>
      <c r="W113" s="474">
        <v>360</v>
      </c>
      <c r="X113" s="432">
        <v>1352</v>
      </c>
      <c r="Y113" s="389">
        <f t="shared" si="14"/>
        <v>486720</v>
      </c>
      <c r="Z113" s="478">
        <f>298.8/360</f>
        <v>0.83000000000000007</v>
      </c>
      <c r="AA113" s="480">
        <f t="shared" si="15"/>
        <v>403977.60000000003</v>
      </c>
      <c r="AB113" s="480"/>
      <c r="AC113" s="481">
        <f>AB113*Y113</f>
        <v>0</v>
      </c>
      <c r="AD113" s="474"/>
      <c r="AE113" s="398"/>
      <c r="AF113" s="493">
        <f t="shared" si="23"/>
        <v>403977.60000000003</v>
      </c>
      <c r="AG113" s="474" t="s">
        <v>1071</v>
      </c>
      <c r="AH113" s="474"/>
      <c r="AI113" s="474">
        <v>60</v>
      </c>
      <c r="AJ113" s="475" t="s">
        <v>1863</v>
      </c>
      <c r="AK113" s="475" t="s">
        <v>50</v>
      </c>
      <c r="AL113" s="483" t="s">
        <v>5618</v>
      </c>
      <c r="AM113" s="474" t="s">
        <v>52</v>
      </c>
      <c r="AN113" s="474" t="s">
        <v>1695</v>
      </c>
      <c r="AO113" s="474" t="s">
        <v>1076</v>
      </c>
      <c r="AP113" s="482"/>
      <c r="AQ113" s="474" t="s">
        <v>37</v>
      </c>
      <c r="AR113" s="474" t="s">
        <v>1864</v>
      </c>
      <c r="AS113" s="473"/>
      <c r="AT113" s="473"/>
      <c r="AU113" s="478">
        <f>273.6/360</f>
        <v>0.76</v>
      </c>
      <c r="AV113" s="471">
        <f t="shared" ref="AV113:AV176" si="24">U113</f>
        <v>49204132</v>
      </c>
      <c r="AW113" s="471" cm="1">
        <f t="array" ref="AW113">SUM(MID(0&amp;AV113,LARGE(INDEX(ISNUMBER(--MID(AV113,ROW($1:$8),1))*ROW($1:$8),),ROW($1:$8))+1,1)*10^ROW($1:$8)/10)</f>
        <v>49204132</v>
      </c>
      <c r="AX113" s="471" t="str">
        <f>VLOOKUP($AW113,'Item Master Data'!$A:$F,3,FALSE)</f>
        <v>Q.PEAK DUO BLK G10+/AC</v>
      </c>
      <c r="AY113" s="471">
        <f>VLOOKUP($AW113,'Item Master Data'!$A:$F,6,FALSE)</f>
        <v>360</v>
      </c>
      <c r="AZ113" s="471">
        <f t="shared" ref="AZ113:AZ176" si="25">X113/BA113</f>
        <v>52</v>
      </c>
      <c r="BA113" s="471">
        <f>VLOOKUP(AW113,'Item Master Data'!$A:$G,7,FALSE)</f>
        <v>26</v>
      </c>
      <c r="BB113" s="471"/>
      <c r="BC113" s="471">
        <f t="shared" ref="BC113:BC176" si="26">W113-AY113</f>
        <v>0</v>
      </c>
    </row>
    <row r="114" spans="1:55">
      <c r="A114" s="495"/>
      <c r="B114" s="407"/>
      <c r="C114" s="407"/>
      <c r="D114" s="485" t="s">
        <v>86</v>
      </c>
      <c r="E114" s="474" t="s">
        <v>1840</v>
      </c>
      <c r="F114" s="486"/>
      <c r="G114" s="380">
        <v>2022</v>
      </c>
      <c r="H114" s="474">
        <v>4</v>
      </c>
      <c r="I114" s="474">
        <v>128105</v>
      </c>
      <c r="J114" s="475">
        <v>44662</v>
      </c>
      <c r="K114" s="474" t="s">
        <v>1872</v>
      </c>
      <c r="L114" s="474" t="s">
        <v>1842</v>
      </c>
      <c r="M114" s="475">
        <v>44533</v>
      </c>
      <c r="N114" s="475">
        <v>44533</v>
      </c>
      <c r="O114" s="475">
        <v>44662</v>
      </c>
      <c r="P114" s="475">
        <v>44635</v>
      </c>
      <c r="Q114" s="475">
        <v>44662</v>
      </c>
      <c r="R114" s="475">
        <v>44662</v>
      </c>
      <c r="S114" s="474" t="s">
        <v>1688</v>
      </c>
      <c r="T114" s="474">
        <v>60</v>
      </c>
      <c r="U114" s="486" t="s">
        <v>1843</v>
      </c>
      <c r="V114" s="474" t="s">
        <v>691</v>
      </c>
      <c r="W114" s="474">
        <v>340</v>
      </c>
      <c r="X114" s="432">
        <v>1664</v>
      </c>
      <c r="Y114" s="389">
        <f t="shared" si="14"/>
        <v>565760</v>
      </c>
      <c r="Z114" s="478">
        <f>154.7/340</f>
        <v>0.45499999999999996</v>
      </c>
      <c r="AA114" s="480">
        <f t="shared" si="15"/>
        <v>257420.79999999999</v>
      </c>
      <c r="AB114" s="480"/>
      <c r="AC114" s="481">
        <f>AB114*Y114</f>
        <v>0</v>
      </c>
      <c r="AD114" s="474"/>
      <c r="AE114" s="398"/>
      <c r="AF114" s="493">
        <f t="shared" si="23"/>
        <v>257420.79999999999</v>
      </c>
      <c r="AG114" s="474" t="s">
        <v>1071</v>
      </c>
      <c r="AH114" s="474"/>
      <c r="AI114" s="474">
        <v>60</v>
      </c>
      <c r="AJ114" s="475" t="s">
        <v>1844</v>
      </c>
      <c r="AK114" s="475" t="s">
        <v>50</v>
      </c>
      <c r="AL114" s="483" t="s">
        <v>1845</v>
      </c>
      <c r="AM114" s="474" t="s">
        <v>52</v>
      </c>
      <c r="AN114" s="384" t="s">
        <v>50</v>
      </c>
      <c r="AO114" s="474" t="s">
        <v>1076</v>
      </c>
      <c r="AP114" s="482" t="s">
        <v>38</v>
      </c>
      <c r="AQ114" s="474" t="s">
        <v>1086</v>
      </c>
      <c r="AR114" s="474"/>
      <c r="AS114" s="473" t="s">
        <v>1492</v>
      </c>
      <c r="AT114" s="473"/>
      <c r="AU114" s="478"/>
      <c r="AV114" s="471" t="str">
        <f t="shared" si="24"/>
        <v>30376609C+</v>
      </c>
      <c r="AW114" s="471" cm="1">
        <f t="array" ref="AW114">SUM(MID(0&amp;AV114,LARGE(INDEX(ISNUMBER(--MID(AV114,ROW($1:$8),1))*ROW($1:$8),),ROW($1:$8))+1,1)*10^ROW($1:$8)/10)</f>
        <v>30376609</v>
      </c>
      <c r="AX114" s="471" t="str">
        <f>VLOOKUP($AW114,'Item Master Data'!$A:$F,3,FALSE)</f>
        <v>Q.PEAK DUO BLK G6+</v>
      </c>
      <c r="AY114" s="471">
        <f>VLOOKUP($AW114,'Item Master Data'!$A:$F,6,FALSE)</f>
        <v>340</v>
      </c>
      <c r="AZ114" s="471">
        <f t="shared" si="25"/>
        <v>52</v>
      </c>
      <c r="BA114" s="471">
        <f>VLOOKUP(AW114,'Item Master Data'!$A:$G,7,FALSE)</f>
        <v>32</v>
      </c>
      <c r="BB114" s="471"/>
      <c r="BC114" s="471">
        <f t="shared" si="26"/>
        <v>0</v>
      </c>
    </row>
    <row r="115" spans="1:55">
      <c r="A115" s="495"/>
      <c r="B115" s="495"/>
      <c r="C115" s="495"/>
      <c r="D115" s="474" t="s">
        <v>86</v>
      </c>
      <c r="E115" s="336"/>
      <c r="F115" s="474"/>
      <c r="G115" s="380">
        <v>2022</v>
      </c>
      <c r="H115" s="474">
        <v>4</v>
      </c>
      <c r="I115" s="474"/>
      <c r="J115" s="475"/>
      <c r="K115" s="474" t="s">
        <v>1869</v>
      </c>
      <c r="L115" s="474" t="s">
        <v>1842</v>
      </c>
      <c r="M115" s="475">
        <v>44558</v>
      </c>
      <c r="N115" s="475">
        <v>44620</v>
      </c>
      <c r="O115" s="475"/>
      <c r="P115" s="475">
        <v>44662</v>
      </c>
      <c r="Q115" s="475">
        <v>44680</v>
      </c>
      <c r="R115" s="475">
        <v>44685</v>
      </c>
      <c r="S115" s="474" t="s">
        <v>1688</v>
      </c>
      <c r="T115" s="474">
        <v>60</v>
      </c>
      <c r="U115" s="474">
        <v>49204132</v>
      </c>
      <c r="V115" s="474" t="s">
        <v>1223</v>
      </c>
      <c r="W115" s="474">
        <v>360</v>
      </c>
      <c r="X115" s="432">
        <v>676</v>
      </c>
      <c r="Y115" s="389">
        <f t="shared" si="14"/>
        <v>243360</v>
      </c>
      <c r="Z115" s="478">
        <f>298.8/360</f>
        <v>0.83000000000000007</v>
      </c>
      <c r="AA115" s="479">
        <f t="shared" si="15"/>
        <v>201988.80000000002</v>
      </c>
      <c r="AB115" s="480"/>
      <c r="AC115" s="481">
        <f>AB115*Y115</f>
        <v>0</v>
      </c>
      <c r="AD115" s="474"/>
      <c r="AE115" s="474"/>
      <c r="AF115" s="493">
        <f t="shared" si="23"/>
        <v>201988.80000000002</v>
      </c>
      <c r="AG115" s="474" t="s">
        <v>1071</v>
      </c>
      <c r="AH115" s="474"/>
      <c r="AI115" s="474">
        <v>60</v>
      </c>
      <c r="AJ115" s="475" t="s">
        <v>1860</v>
      </c>
      <c r="AK115" s="475" t="s">
        <v>50</v>
      </c>
      <c r="AL115" s="483" t="s">
        <v>1870</v>
      </c>
      <c r="AM115" s="474" t="s">
        <v>52</v>
      </c>
      <c r="AN115" s="474" t="s">
        <v>1695</v>
      </c>
      <c r="AO115" s="474" t="s">
        <v>1076</v>
      </c>
      <c r="AP115" s="474"/>
      <c r="AQ115" s="482" t="s">
        <v>37</v>
      </c>
      <c r="AR115" s="482" t="s">
        <v>1864</v>
      </c>
      <c r="AS115" s="473"/>
      <c r="AT115" s="473"/>
      <c r="AU115" s="478">
        <f>273.6/360</f>
        <v>0.76</v>
      </c>
      <c r="AV115" s="471">
        <f t="shared" si="24"/>
        <v>49204132</v>
      </c>
      <c r="AW115" s="471" cm="1">
        <f t="array" ref="AW115">SUM(MID(0&amp;AV115,LARGE(INDEX(ISNUMBER(--MID(AV115,ROW($1:$8),1))*ROW($1:$8),),ROW($1:$8))+1,1)*10^ROW($1:$8)/10)</f>
        <v>49204132</v>
      </c>
      <c r="AX115" s="471" t="str">
        <f>VLOOKUP($AW115,'Item Master Data'!$A:$F,3,FALSE)</f>
        <v>Q.PEAK DUO BLK G10+/AC</v>
      </c>
      <c r="AY115" s="471">
        <f>VLOOKUP($AW115,'Item Master Data'!$A:$F,6,FALSE)</f>
        <v>360</v>
      </c>
      <c r="AZ115" s="471">
        <f t="shared" si="25"/>
        <v>26</v>
      </c>
      <c r="BA115" s="471">
        <f>VLOOKUP(AW115,'Item Master Data'!$A:$G,7,FALSE)</f>
        <v>26</v>
      </c>
      <c r="BB115" s="471"/>
      <c r="BC115" s="471">
        <f t="shared" si="26"/>
        <v>0</v>
      </c>
    </row>
    <row r="116" spans="1:55">
      <c r="A116" s="495"/>
      <c r="B116" s="407">
        <v>44589</v>
      </c>
      <c r="C116" s="407">
        <v>44589</v>
      </c>
      <c r="D116" s="485" t="s">
        <v>86</v>
      </c>
      <c r="E116" s="474"/>
      <c r="F116" s="486" t="s">
        <v>87</v>
      </c>
      <c r="G116" s="380">
        <v>2022</v>
      </c>
      <c r="H116" s="474">
        <v>4</v>
      </c>
      <c r="I116" s="474" t="s">
        <v>2316</v>
      </c>
      <c r="J116" s="475">
        <v>44677</v>
      </c>
      <c r="K116" s="474" t="s">
        <v>1874</v>
      </c>
      <c r="L116" s="474" t="s">
        <v>1842</v>
      </c>
      <c r="M116" s="475">
        <v>44924</v>
      </c>
      <c r="N116" s="475">
        <v>44649</v>
      </c>
      <c r="O116" s="475"/>
      <c r="P116" s="475">
        <v>44666</v>
      </c>
      <c r="Q116" s="475">
        <v>44677</v>
      </c>
      <c r="R116" s="475">
        <v>44680</v>
      </c>
      <c r="S116" s="474" t="s">
        <v>88</v>
      </c>
      <c r="T116" s="474">
        <v>72</v>
      </c>
      <c r="U116" s="486">
        <v>49303156</v>
      </c>
      <c r="V116" s="474" t="s">
        <v>1070</v>
      </c>
      <c r="W116" s="474">
        <v>480</v>
      </c>
      <c r="X116" s="432">
        <v>1914</v>
      </c>
      <c r="Y116" s="389">
        <f t="shared" si="14"/>
        <v>918720</v>
      </c>
      <c r="Z116" s="478">
        <f>225.6/480</f>
        <v>0.47</v>
      </c>
      <c r="AA116" s="480">
        <f t="shared" si="15"/>
        <v>431798.39999999997</v>
      </c>
      <c r="AB116" s="480"/>
      <c r="AC116" s="481">
        <v>0</v>
      </c>
      <c r="AD116" s="474"/>
      <c r="AE116" s="398"/>
      <c r="AF116" s="493">
        <v>157017.59999999998</v>
      </c>
      <c r="AG116" s="474" t="s">
        <v>1071</v>
      </c>
      <c r="AH116" s="474"/>
      <c r="AI116" s="474">
        <v>60</v>
      </c>
      <c r="AJ116" s="475" t="s">
        <v>1860</v>
      </c>
      <c r="AK116" s="475" t="s">
        <v>50</v>
      </c>
      <c r="AL116" s="483">
        <v>93703</v>
      </c>
      <c r="AM116" s="474" t="s">
        <v>52</v>
      </c>
      <c r="AN116" s="384" t="s">
        <v>1695</v>
      </c>
      <c r="AO116" s="474" t="s">
        <v>1076</v>
      </c>
      <c r="AP116" s="482"/>
      <c r="AQ116" s="474" t="s">
        <v>1086</v>
      </c>
      <c r="AR116" s="474"/>
      <c r="AS116" s="473" t="s">
        <v>1492</v>
      </c>
      <c r="AT116" s="346"/>
      <c r="AU116" s="478"/>
      <c r="AV116" s="471">
        <f t="shared" si="24"/>
        <v>49303156</v>
      </c>
      <c r="AW116" s="471" cm="1">
        <f t="array" ref="AW116">SUM(MID(0&amp;AV116,LARGE(INDEX(ISNUMBER(--MID(AV116,ROW($1:$8),1))*ROW($1:$8),),ROW($1:$8))+1,1)*10^ROW($1:$8)/10)</f>
        <v>49303156</v>
      </c>
      <c r="AX116" s="471" t="str">
        <f>VLOOKUP($AW116,'Item Master Data'!$A:$F,3,FALSE)</f>
        <v>Q.PEAK DUO XL G10 BFG</v>
      </c>
      <c r="AY116" s="471">
        <f>VLOOKUP($AW116,'Item Master Data'!$A:$F,6,FALSE)</f>
        <v>480</v>
      </c>
      <c r="AZ116" s="471">
        <f t="shared" si="25"/>
        <v>66</v>
      </c>
      <c r="BA116" s="471">
        <f>VLOOKUP(AW116,'Item Master Data'!$A:$G,7,FALSE)</f>
        <v>29</v>
      </c>
      <c r="BB116" s="471"/>
      <c r="BC116" s="471">
        <f t="shared" si="26"/>
        <v>0</v>
      </c>
    </row>
    <row r="117" spans="1:55">
      <c r="A117" s="495"/>
      <c r="B117" s="407">
        <v>44628</v>
      </c>
      <c r="C117" s="407">
        <v>44628</v>
      </c>
      <c r="D117" s="485" t="s">
        <v>86</v>
      </c>
      <c r="E117" s="474" t="s">
        <v>5396</v>
      </c>
      <c r="F117" s="486"/>
      <c r="G117" s="380">
        <v>2022</v>
      </c>
      <c r="H117" s="380">
        <v>4</v>
      </c>
      <c r="I117" s="474" t="s">
        <v>3023</v>
      </c>
      <c r="J117" s="475">
        <v>44670</v>
      </c>
      <c r="K117" s="474" t="s">
        <v>1859</v>
      </c>
      <c r="L117" s="474" t="s">
        <v>1842</v>
      </c>
      <c r="M117" s="475">
        <v>44572</v>
      </c>
      <c r="N117" s="475">
        <v>44666</v>
      </c>
      <c r="O117" s="475"/>
      <c r="P117" s="475">
        <v>44662</v>
      </c>
      <c r="Q117" s="475">
        <v>44670</v>
      </c>
      <c r="R117" s="475">
        <v>44676</v>
      </c>
      <c r="S117" s="474" t="s">
        <v>1688</v>
      </c>
      <c r="T117" s="474">
        <v>60</v>
      </c>
      <c r="U117" s="486">
        <v>49203132</v>
      </c>
      <c r="V117" s="474" t="s">
        <v>986</v>
      </c>
      <c r="W117" s="474">
        <v>360</v>
      </c>
      <c r="X117" s="432">
        <v>832</v>
      </c>
      <c r="Y117" s="389">
        <f t="shared" si="14"/>
        <v>299520</v>
      </c>
      <c r="Z117" s="478">
        <f>190.8/360</f>
        <v>0.53</v>
      </c>
      <c r="AA117" s="480">
        <f t="shared" si="15"/>
        <v>158745.60000000001</v>
      </c>
      <c r="AB117" s="480"/>
      <c r="AC117" s="481">
        <v>0</v>
      </c>
      <c r="AD117" s="474"/>
      <c r="AE117" s="398"/>
      <c r="AF117" s="493">
        <f>AE117+AD117+AA117</f>
        <v>158745.60000000001</v>
      </c>
      <c r="AG117" s="474" t="s">
        <v>1071</v>
      </c>
      <c r="AH117" s="474"/>
      <c r="AI117" s="474">
        <v>60</v>
      </c>
      <c r="AJ117" s="475" t="s">
        <v>1860</v>
      </c>
      <c r="AK117" s="475" t="s">
        <v>50</v>
      </c>
      <c r="AL117" s="483" t="s">
        <v>1861</v>
      </c>
      <c r="AM117" s="474" t="s">
        <v>52</v>
      </c>
      <c r="AN117" s="474" t="s">
        <v>1695</v>
      </c>
      <c r="AO117" s="474" t="s">
        <v>1076</v>
      </c>
      <c r="AP117" s="482"/>
      <c r="AQ117" s="474" t="s">
        <v>37</v>
      </c>
      <c r="AR117" s="474" t="s">
        <v>1216</v>
      </c>
      <c r="AS117" s="473" t="s">
        <v>1492</v>
      </c>
      <c r="AT117" s="346"/>
      <c r="AU117" s="478">
        <v>0.5</v>
      </c>
      <c r="AV117" s="471">
        <f t="shared" si="24"/>
        <v>49203132</v>
      </c>
      <c r="AW117" s="471" cm="1">
        <f t="array" ref="AW117">SUM(MID(0&amp;AV117,LARGE(INDEX(ISNUMBER(--MID(AV117,ROW($1:$8),1))*ROW($1:$8),),ROW($1:$8))+1,1)*10^ROW($1:$8)/10)</f>
        <v>49203132</v>
      </c>
      <c r="AX117" s="471" t="str">
        <f>VLOOKUP($AW117,'Item Master Data'!$A:$F,3,FALSE)</f>
        <v>Q.PEAK DUO BLK G10+</v>
      </c>
      <c r="AY117" s="471">
        <f>VLOOKUP($AW117,'Item Master Data'!$A:$F,6,FALSE)</f>
        <v>360</v>
      </c>
      <c r="AZ117" s="471">
        <f t="shared" si="25"/>
        <v>26</v>
      </c>
      <c r="BA117" s="471">
        <f>VLOOKUP(AW117,'Item Master Data'!$A:$G,7,FALSE)</f>
        <v>32</v>
      </c>
      <c r="BB117" s="471"/>
      <c r="BC117" s="471">
        <f t="shared" si="26"/>
        <v>0</v>
      </c>
    </row>
    <row r="118" spans="1:55">
      <c r="A118" s="495"/>
      <c r="B118" s="407">
        <v>44589</v>
      </c>
      <c r="C118" s="407">
        <v>44589</v>
      </c>
      <c r="D118" s="485" t="s">
        <v>86</v>
      </c>
      <c r="E118" s="474"/>
      <c r="F118" s="486"/>
      <c r="G118" s="380">
        <v>2022</v>
      </c>
      <c r="H118" s="474">
        <v>4</v>
      </c>
      <c r="I118" s="474">
        <v>128211</v>
      </c>
      <c r="J118" s="475">
        <v>44673</v>
      </c>
      <c r="K118" s="474" t="s">
        <v>1875</v>
      </c>
      <c r="L118" s="474" t="s">
        <v>1842</v>
      </c>
      <c r="M118" s="475">
        <v>44592</v>
      </c>
      <c r="N118" s="475">
        <v>44666</v>
      </c>
      <c r="O118" s="475"/>
      <c r="P118" s="475">
        <v>44665</v>
      </c>
      <c r="Q118" s="475">
        <v>44673</v>
      </c>
      <c r="R118" s="475">
        <v>44677</v>
      </c>
      <c r="S118" s="474" t="s">
        <v>88</v>
      </c>
      <c r="T118" s="474">
        <v>72</v>
      </c>
      <c r="U118" s="486">
        <v>49303156</v>
      </c>
      <c r="V118" s="474" t="s">
        <v>995</v>
      </c>
      <c r="W118" s="474">
        <v>480</v>
      </c>
      <c r="X118" s="432">
        <v>638</v>
      </c>
      <c r="Y118" s="389">
        <f t="shared" si="14"/>
        <v>306240</v>
      </c>
      <c r="Z118" s="478">
        <f>235.2/480</f>
        <v>0.49</v>
      </c>
      <c r="AA118" s="480">
        <f t="shared" si="15"/>
        <v>150057.60000000001</v>
      </c>
      <c r="AB118" s="480"/>
      <c r="AC118" s="481">
        <v>0</v>
      </c>
      <c r="AD118" s="474"/>
      <c r="AE118" s="398"/>
      <c r="AF118" s="493">
        <v>157017.59999999998</v>
      </c>
      <c r="AG118" s="474" t="s">
        <v>1071</v>
      </c>
      <c r="AH118" s="474"/>
      <c r="AI118" s="474">
        <v>60</v>
      </c>
      <c r="AJ118" s="475" t="s">
        <v>1860</v>
      </c>
      <c r="AK118" s="475" t="s">
        <v>50</v>
      </c>
      <c r="AL118" s="483">
        <v>93703</v>
      </c>
      <c r="AM118" s="474" t="s">
        <v>52</v>
      </c>
      <c r="AN118" s="384" t="s">
        <v>1695</v>
      </c>
      <c r="AO118" s="474" t="s">
        <v>1076</v>
      </c>
      <c r="AP118" s="482"/>
      <c r="AQ118" s="474" t="s">
        <v>37</v>
      </c>
      <c r="AR118" s="474"/>
      <c r="AS118" s="473" t="s">
        <v>1492</v>
      </c>
      <c r="AT118" s="473"/>
      <c r="AU118" s="478"/>
      <c r="AV118" s="471">
        <f t="shared" si="24"/>
        <v>49303156</v>
      </c>
      <c r="AW118" s="471" cm="1">
        <f t="array" ref="AW118">SUM(MID(0&amp;AV118,LARGE(INDEX(ISNUMBER(--MID(AV118,ROW($1:$8),1))*ROW($1:$8),),ROW($1:$8))+1,1)*10^ROW($1:$8)/10)</f>
        <v>49303156</v>
      </c>
      <c r="AX118" s="471" t="str">
        <f>VLOOKUP($AW118,'Item Master Data'!$A:$F,3,FALSE)</f>
        <v>Q.PEAK DUO XL G10 BFG</v>
      </c>
      <c r="AY118" s="471">
        <f>VLOOKUP($AW118,'Item Master Data'!$A:$F,6,FALSE)</f>
        <v>480</v>
      </c>
      <c r="AZ118" s="471">
        <f t="shared" si="25"/>
        <v>22</v>
      </c>
      <c r="BA118" s="471">
        <f>VLOOKUP(AW118,'Item Master Data'!$A:$G,7,FALSE)</f>
        <v>29</v>
      </c>
      <c r="BB118" s="471"/>
      <c r="BC118" s="471">
        <f t="shared" si="26"/>
        <v>0</v>
      </c>
    </row>
    <row r="119" spans="1:55">
      <c r="A119" s="495"/>
      <c r="B119" s="407"/>
      <c r="C119" s="407"/>
      <c r="D119" s="485" t="s">
        <v>86</v>
      </c>
      <c r="E119" s="474" t="s">
        <v>1871</v>
      </c>
      <c r="F119" s="486"/>
      <c r="G119" s="380">
        <v>2022</v>
      </c>
      <c r="H119" s="474">
        <v>4</v>
      </c>
      <c r="I119" s="474"/>
      <c r="J119" s="475"/>
      <c r="K119" s="519" t="s">
        <v>1872</v>
      </c>
      <c r="L119" s="519" t="s">
        <v>1842</v>
      </c>
      <c r="M119" s="521">
        <v>44533</v>
      </c>
      <c r="N119" s="521">
        <v>44533</v>
      </c>
      <c r="O119" s="521">
        <v>44662</v>
      </c>
      <c r="P119" s="521">
        <v>44635</v>
      </c>
      <c r="Q119" s="521">
        <v>44680</v>
      </c>
      <c r="R119" s="521">
        <v>44680</v>
      </c>
      <c r="S119" s="519" t="s">
        <v>1688</v>
      </c>
      <c r="T119" s="519">
        <v>60</v>
      </c>
      <c r="U119" s="390" t="s">
        <v>1873</v>
      </c>
      <c r="V119" s="519" t="s">
        <v>691</v>
      </c>
      <c r="W119" s="519">
        <v>340</v>
      </c>
      <c r="X119" s="391">
        <v>832</v>
      </c>
      <c r="Y119" s="396">
        <f t="shared" si="14"/>
        <v>282880</v>
      </c>
      <c r="Z119" s="478">
        <f>154.7/340</f>
        <v>0.45499999999999996</v>
      </c>
      <c r="AA119" s="480">
        <f t="shared" si="15"/>
        <v>128710.39999999999</v>
      </c>
      <c r="AB119" s="480"/>
      <c r="AC119" s="481">
        <f>AB119*Y119</f>
        <v>0</v>
      </c>
      <c r="AD119" s="474"/>
      <c r="AE119" s="398"/>
      <c r="AF119" s="493">
        <f>AE119+AD119+AA119</f>
        <v>128710.39999999999</v>
      </c>
      <c r="AG119" s="474" t="s">
        <v>1071</v>
      </c>
      <c r="AH119" s="474"/>
      <c r="AI119" s="474">
        <v>60</v>
      </c>
      <c r="AJ119" s="475" t="s">
        <v>1844</v>
      </c>
      <c r="AK119" s="475" t="s">
        <v>50</v>
      </c>
      <c r="AL119" s="483" t="s">
        <v>1845</v>
      </c>
      <c r="AM119" s="474" t="s">
        <v>52</v>
      </c>
      <c r="AN119" s="384" t="s">
        <v>50</v>
      </c>
      <c r="AO119" s="474" t="s">
        <v>1076</v>
      </c>
      <c r="AP119" s="482" t="s">
        <v>38</v>
      </c>
      <c r="AQ119" s="474" t="s">
        <v>1086</v>
      </c>
      <c r="AR119" s="474"/>
      <c r="AS119" s="473" t="s">
        <v>1492</v>
      </c>
      <c r="AT119" s="473"/>
      <c r="AU119" s="478"/>
      <c r="AV119" s="471" t="str">
        <f t="shared" si="24"/>
        <v>30376609H</v>
      </c>
      <c r="AW119" s="471" cm="1">
        <f t="array" ref="AW119">SUM(MID(0&amp;AV119,LARGE(INDEX(ISNUMBER(--MID(AV119,ROW($1:$8),1))*ROW($1:$8),),ROW($1:$8))+1,1)*10^ROW($1:$8)/10)</f>
        <v>30376609</v>
      </c>
      <c r="AX119" s="471" t="str">
        <f>VLOOKUP($AW119,'Item Master Data'!$A:$F,3,FALSE)</f>
        <v>Q.PEAK DUO BLK G6+</v>
      </c>
      <c r="AY119" s="471">
        <f>VLOOKUP($AW119,'Item Master Data'!$A:$F,6,FALSE)</f>
        <v>340</v>
      </c>
      <c r="AZ119" s="471">
        <f t="shared" si="25"/>
        <v>26</v>
      </c>
      <c r="BA119" s="471">
        <f>VLOOKUP(AW119,'Item Master Data'!$A:$G,7,FALSE)</f>
        <v>32</v>
      </c>
      <c r="BB119" s="471"/>
      <c r="BC119" s="471">
        <f t="shared" si="26"/>
        <v>0</v>
      </c>
    </row>
    <row r="120" spans="1:55">
      <c r="A120" s="495"/>
      <c r="B120" s="407"/>
      <c r="C120" s="407"/>
      <c r="D120" s="485" t="s">
        <v>86</v>
      </c>
      <c r="E120" s="474"/>
      <c r="F120" s="486"/>
      <c r="G120" s="380">
        <v>2022</v>
      </c>
      <c r="H120" s="474">
        <v>4</v>
      </c>
      <c r="I120" s="474"/>
      <c r="J120" s="475">
        <v>44677</v>
      </c>
      <c r="K120" s="474" t="s">
        <v>1877</v>
      </c>
      <c r="L120" s="474" t="s">
        <v>1878</v>
      </c>
      <c r="M120" s="475">
        <v>44649</v>
      </c>
      <c r="N120" s="475">
        <v>44681</v>
      </c>
      <c r="O120" s="475"/>
      <c r="P120" s="475">
        <v>44666</v>
      </c>
      <c r="Q120" s="475">
        <v>44677</v>
      </c>
      <c r="R120" s="475">
        <v>44690</v>
      </c>
      <c r="S120" s="474" t="s">
        <v>1688</v>
      </c>
      <c r="T120" s="474">
        <v>60</v>
      </c>
      <c r="U120" s="486" t="s">
        <v>1879</v>
      </c>
      <c r="V120" s="474" t="s">
        <v>970</v>
      </c>
      <c r="W120" s="474">
        <v>405</v>
      </c>
      <c r="X120" s="432">
        <v>768</v>
      </c>
      <c r="Y120" s="389">
        <f t="shared" si="14"/>
        <v>311040</v>
      </c>
      <c r="Z120" s="478">
        <v>0.56999999999999995</v>
      </c>
      <c r="AA120" s="480">
        <f t="shared" si="15"/>
        <v>177292.79999999999</v>
      </c>
      <c r="AB120" s="480"/>
      <c r="AC120" s="481">
        <f>AB120*Y120</f>
        <v>0</v>
      </c>
      <c r="AD120" s="474"/>
      <c r="AE120" s="474"/>
      <c r="AF120" s="493">
        <f>AE120+AD120+AA120</f>
        <v>177292.79999999999</v>
      </c>
      <c r="AG120" s="474" t="s">
        <v>1071</v>
      </c>
      <c r="AH120" s="474"/>
      <c r="AI120" s="474">
        <v>60</v>
      </c>
      <c r="AJ120" s="475" t="s">
        <v>1880</v>
      </c>
      <c r="AK120" s="475" t="s">
        <v>1679</v>
      </c>
      <c r="AL120" s="483" t="s">
        <v>1881</v>
      </c>
      <c r="AM120" s="474" t="s">
        <v>52</v>
      </c>
      <c r="AN120" s="474" t="s">
        <v>50</v>
      </c>
      <c r="AO120" s="474" t="s">
        <v>1076</v>
      </c>
      <c r="AP120" s="482" t="s">
        <v>92</v>
      </c>
      <c r="AQ120" s="474" t="s">
        <v>37</v>
      </c>
      <c r="AR120" s="474"/>
      <c r="AS120" s="473"/>
      <c r="AT120" s="473"/>
      <c r="AU120" s="478"/>
      <c r="AV120" s="471" t="str">
        <f t="shared" si="24"/>
        <v>30372157H</v>
      </c>
      <c r="AW120" s="471" cm="1">
        <f t="array" ref="AW120">SUM(MID(0&amp;AV120,LARGE(INDEX(ISNUMBER(--MID(AV120,ROW($1:$8),1))*ROW($1:$8),),ROW($1:$8))+1,1)*10^ROW($1:$8)/10)</f>
        <v>30372157</v>
      </c>
      <c r="AX120" s="471" t="str">
        <f>VLOOKUP($AW120,'Item Master Data'!$A:$F,3,FALSE)</f>
        <v>Q.PEAK DUO ML G10.a+</v>
      </c>
      <c r="AY120" s="471">
        <f>VLOOKUP($AW120,'Item Master Data'!$A:$F,6,FALSE)</f>
        <v>405</v>
      </c>
      <c r="AZ120" s="471">
        <f t="shared" si="25"/>
        <v>24</v>
      </c>
      <c r="BA120" s="471">
        <f>VLOOKUP(AW120,'Item Master Data'!$A:$G,7,FALSE)</f>
        <v>32</v>
      </c>
      <c r="BB120" s="471"/>
      <c r="BC120" s="471">
        <f t="shared" si="26"/>
        <v>0</v>
      </c>
    </row>
    <row r="121" spans="1:55">
      <c r="A121" s="495"/>
      <c r="B121" s="407"/>
      <c r="C121" s="407"/>
      <c r="D121" s="485" t="s">
        <v>86</v>
      </c>
      <c r="E121" s="474"/>
      <c r="F121" s="486"/>
      <c r="G121" s="380">
        <v>2022</v>
      </c>
      <c r="H121" s="474">
        <v>4</v>
      </c>
      <c r="I121" s="474">
        <v>128249</v>
      </c>
      <c r="J121" s="475">
        <v>44677</v>
      </c>
      <c r="K121" s="474" t="s">
        <v>1882</v>
      </c>
      <c r="L121" s="474" t="s">
        <v>1878</v>
      </c>
      <c r="M121" s="475">
        <v>44650</v>
      </c>
      <c r="N121" s="475">
        <v>44681</v>
      </c>
      <c r="O121" s="475"/>
      <c r="P121" s="475">
        <v>44666</v>
      </c>
      <c r="Q121" s="475">
        <v>44677</v>
      </c>
      <c r="R121" s="475">
        <v>44690</v>
      </c>
      <c r="S121" s="474" t="s">
        <v>1688</v>
      </c>
      <c r="T121" s="474">
        <v>60</v>
      </c>
      <c r="U121" s="486" t="s">
        <v>1879</v>
      </c>
      <c r="V121" s="474" t="s">
        <v>970</v>
      </c>
      <c r="W121" s="474">
        <v>405</v>
      </c>
      <c r="X121" s="432">
        <v>768</v>
      </c>
      <c r="Y121" s="389">
        <f t="shared" si="14"/>
        <v>311040</v>
      </c>
      <c r="Z121" s="478">
        <v>0.56999999999999995</v>
      </c>
      <c r="AA121" s="480">
        <f t="shared" si="15"/>
        <v>177292.79999999999</v>
      </c>
      <c r="AB121" s="480"/>
      <c r="AC121" s="481">
        <f>AB121*Y121</f>
        <v>0</v>
      </c>
      <c r="AD121" s="474"/>
      <c r="AE121" s="474"/>
      <c r="AF121" s="493">
        <f>AE121+AD121+AA121</f>
        <v>177292.79999999999</v>
      </c>
      <c r="AG121" s="474" t="s">
        <v>1071</v>
      </c>
      <c r="AH121" s="474"/>
      <c r="AI121" s="474">
        <v>60</v>
      </c>
      <c r="AJ121" s="475" t="s">
        <v>1880</v>
      </c>
      <c r="AK121" s="475" t="s">
        <v>1679</v>
      </c>
      <c r="AL121" s="483" t="s">
        <v>1881</v>
      </c>
      <c r="AM121" s="474" t="s">
        <v>52</v>
      </c>
      <c r="AN121" s="474" t="s">
        <v>50</v>
      </c>
      <c r="AO121" s="474" t="s">
        <v>1076</v>
      </c>
      <c r="AP121" s="482" t="s">
        <v>92</v>
      </c>
      <c r="AQ121" s="474" t="s">
        <v>37</v>
      </c>
      <c r="AR121" s="474"/>
      <c r="AS121" s="473"/>
      <c r="AT121" s="473"/>
      <c r="AU121" s="478"/>
      <c r="AV121" s="471" t="str">
        <f t="shared" si="24"/>
        <v>30372157H</v>
      </c>
      <c r="AW121" s="471" cm="1">
        <f t="array" ref="AW121">SUM(MID(0&amp;AV121,LARGE(INDEX(ISNUMBER(--MID(AV121,ROW($1:$8),1))*ROW($1:$8),),ROW($1:$8))+1,1)*10^ROW($1:$8)/10)</f>
        <v>30372157</v>
      </c>
      <c r="AX121" s="471" t="str">
        <f>VLOOKUP($AW121,'Item Master Data'!$A:$F,3,FALSE)</f>
        <v>Q.PEAK DUO ML G10.a+</v>
      </c>
      <c r="AY121" s="471">
        <f>VLOOKUP($AW121,'Item Master Data'!$A:$F,6,FALSE)</f>
        <v>405</v>
      </c>
      <c r="AZ121" s="471">
        <f t="shared" si="25"/>
        <v>24</v>
      </c>
      <c r="BA121" s="471">
        <f>VLOOKUP(AW121,'Item Master Data'!$A:$G,7,FALSE)</f>
        <v>32</v>
      </c>
      <c r="BB121" s="471"/>
      <c r="BC121" s="471">
        <f t="shared" si="26"/>
        <v>0</v>
      </c>
    </row>
    <row r="122" spans="1:55">
      <c r="A122" s="495"/>
      <c r="B122" s="407"/>
      <c r="C122" s="407"/>
      <c r="D122" s="485" t="s">
        <v>86</v>
      </c>
      <c r="E122" s="474" t="s">
        <v>5468</v>
      </c>
      <c r="F122" s="486"/>
      <c r="G122" s="380">
        <v>2022</v>
      </c>
      <c r="H122" s="474">
        <v>4</v>
      </c>
      <c r="I122" s="474" t="s">
        <v>2316</v>
      </c>
      <c r="J122" s="475">
        <v>44677</v>
      </c>
      <c r="K122" s="474" t="s">
        <v>1887</v>
      </c>
      <c r="L122" s="474" t="s">
        <v>1878</v>
      </c>
      <c r="M122" s="475">
        <v>44650</v>
      </c>
      <c r="N122" s="475">
        <v>44681</v>
      </c>
      <c r="O122" s="475"/>
      <c r="P122" s="475">
        <v>44666</v>
      </c>
      <c r="Q122" s="475">
        <v>44677</v>
      </c>
      <c r="R122" s="475">
        <v>44690</v>
      </c>
      <c r="S122" s="474" t="s">
        <v>1688</v>
      </c>
      <c r="T122" s="474">
        <v>60</v>
      </c>
      <c r="U122" s="486" t="s">
        <v>1879</v>
      </c>
      <c r="V122" s="474" t="s">
        <v>970</v>
      </c>
      <c r="W122" s="474">
        <v>405</v>
      </c>
      <c r="X122" s="432">
        <v>768</v>
      </c>
      <c r="Y122" s="389">
        <f t="shared" si="14"/>
        <v>311040</v>
      </c>
      <c r="Z122" s="478">
        <v>0.56999999999999995</v>
      </c>
      <c r="AA122" s="480">
        <f t="shared" si="15"/>
        <v>177292.79999999999</v>
      </c>
      <c r="AB122" s="480"/>
      <c r="AC122" s="481">
        <f>AB122*Y122</f>
        <v>0</v>
      </c>
      <c r="AD122" s="474"/>
      <c r="AE122" s="474"/>
      <c r="AF122" s="493">
        <f>AE122+AD122+AA122</f>
        <v>177292.79999999999</v>
      </c>
      <c r="AG122" s="474" t="s">
        <v>1071</v>
      </c>
      <c r="AH122" s="474"/>
      <c r="AI122" s="474">
        <v>60</v>
      </c>
      <c r="AJ122" s="475" t="s">
        <v>1880</v>
      </c>
      <c r="AK122" s="475" t="s">
        <v>1679</v>
      </c>
      <c r="AL122" s="483" t="s">
        <v>1881</v>
      </c>
      <c r="AM122" s="474" t="s">
        <v>52</v>
      </c>
      <c r="AN122" s="474" t="s">
        <v>50</v>
      </c>
      <c r="AO122" s="474" t="s">
        <v>1076</v>
      </c>
      <c r="AP122" s="482" t="s">
        <v>92</v>
      </c>
      <c r="AQ122" s="474" t="s">
        <v>37</v>
      </c>
      <c r="AR122" s="474"/>
      <c r="AS122" s="473"/>
      <c r="AT122" s="473"/>
      <c r="AU122" s="478"/>
      <c r="AV122" s="471" t="str">
        <f t="shared" si="24"/>
        <v>30372157H</v>
      </c>
      <c r="AW122" s="471" cm="1">
        <f t="array" ref="AW122">SUM(MID(0&amp;AV122,LARGE(INDEX(ISNUMBER(--MID(AV122,ROW($1:$8),1))*ROW($1:$8),),ROW($1:$8))+1,1)*10^ROW($1:$8)/10)</f>
        <v>30372157</v>
      </c>
      <c r="AX122" s="471" t="str">
        <f>VLOOKUP($AW122,'Item Master Data'!$A:$F,3,FALSE)</f>
        <v>Q.PEAK DUO ML G10.a+</v>
      </c>
      <c r="AY122" s="471">
        <f>VLOOKUP($AW122,'Item Master Data'!$A:$F,6,FALSE)</f>
        <v>405</v>
      </c>
      <c r="AZ122" s="471">
        <f t="shared" si="25"/>
        <v>24</v>
      </c>
      <c r="BA122" s="471">
        <f>VLOOKUP(AW122,'Item Master Data'!$A:$G,7,FALSE)</f>
        <v>32</v>
      </c>
      <c r="BB122" s="471"/>
      <c r="BC122" s="471">
        <f t="shared" si="26"/>
        <v>0</v>
      </c>
    </row>
    <row r="123" spans="1:55">
      <c r="A123" s="495"/>
      <c r="B123" s="407">
        <v>44628</v>
      </c>
      <c r="C123" s="495"/>
      <c r="D123" s="474" t="s">
        <v>86</v>
      </c>
      <c r="E123" s="336" t="s">
        <v>5714</v>
      </c>
      <c r="F123" s="474"/>
      <c r="G123" s="380">
        <v>2022</v>
      </c>
      <c r="H123" s="474">
        <v>4</v>
      </c>
      <c r="I123" s="486" t="s">
        <v>3023</v>
      </c>
      <c r="J123" s="475">
        <v>44679</v>
      </c>
      <c r="K123" s="474" t="s">
        <v>1907</v>
      </c>
      <c r="L123" s="474" t="s">
        <v>1895</v>
      </c>
      <c r="M123" s="475">
        <v>44588</v>
      </c>
      <c r="N123" s="475">
        <v>44619</v>
      </c>
      <c r="O123" s="475"/>
      <c r="P123" s="502">
        <v>44664</v>
      </c>
      <c r="Q123" s="475">
        <v>44679</v>
      </c>
      <c r="R123" s="475">
        <v>44684</v>
      </c>
      <c r="S123" s="474" t="s">
        <v>1704</v>
      </c>
      <c r="T123" s="474">
        <v>60</v>
      </c>
      <c r="U123" s="474">
        <v>49204132</v>
      </c>
      <c r="V123" s="486" t="s">
        <v>1223</v>
      </c>
      <c r="W123" s="474">
        <v>360</v>
      </c>
      <c r="X123" s="432">
        <v>676</v>
      </c>
      <c r="Y123" s="389">
        <f t="shared" si="14"/>
        <v>243360</v>
      </c>
      <c r="Z123" s="478">
        <v>0.83000000000000007</v>
      </c>
      <c r="AA123" s="479">
        <v>201988.80000000002</v>
      </c>
      <c r="AB123" s="480"/>
      <c r="AC123" s="481">
        <v>0</v>
      </c>
      <c r="AD123" s="474"/>
      <c r="AE123" s="482"/>
      <c r="AF123" s="493">
        <v>201988.80000000002</v>
      </c>
      <c r="AG123" s="486" t="s">
        <v>1071</v>
      </c>
      <c r="AH123" s="486"/>
      <c r="AI123" s="486">
        <v>60</v>
      </c>
      <c r="AJ123" s="475" t="s">
        <v>1899</v>
      </c>
      <c r="AK123" s="486" t="s">
        <v>1823</v>
      </c>
      <c r="AL123" s="483" t="s">
        <v>1900</v>
      </c>
      <c r="AM123" s="486" t="s">
        <v>52</v>
      </c>
      <c r="AN123" s="474" t="s">
        <v>1695</v>
      </c>
      <c r="AO123" s="474" t="s">
        <v>1076</v>
      </c>
      <c r="AP123" s="482"/>
      <c r="AQ123" s="482" t="s">
        <v>37</v>
      </c>
      <c r="AR123" s="482" t="s">
        <v>1216</v>
      </c>
      <c r="AS123" s="472" t="s">
        <v>1492</v>
      </c>
      <c r="AT123" s="472"/>
      <c r="AU123" s="478">
        <v>0.52</v>
      </c>
      <c r="AV123" s="471">
        <f t="shared" si="24"/>
        <v>49204132</v>
      </c>
      <c r="AW123" s="471" cm="1">
        <f t="array" ref="AW123">SUM(MID(0&amp;AV123,LARGE(INDEX(ISNUMBER(--MID(AV123,ROW($1:$8),1))*ROW($1:$8),),ROW($1:$8))+1,1)*10^ROW($1:$8)/10)</f>
        <v>49204132</v>
      </c>
      <c r="AX123" s="471" t="str">
        <f>VLOOKUP($AW123,'Item Master Data'!$A:$F,3,FALSE)</f>
        <v>Q.PEAK DUO BLK G10+/AC</v>
      </c>
      <c r="AY123" s="471">
        <f>VLOOKUP($AW123,'Item Master Data'!$A:$F,6,FALSE)</f>
        <v>360</v>
      </c>
      <c r="AZ123" s="471">
        <f t="shared" si="25"/>
        <v>26</v>
      </c>
      <c r="BA123" s="471">
        <f>VLOOKUP(AW123,'Item Master Data'!$A:$G,7,FALSE)</f>
        <v>26</v>
      </c>
      <c r="BB123" s="471"/>
      <c r="BC123" s="471">
        <f t="shared" si="26"/>
        <v>0</v>
      </c>
    </row>
    <row r="124" spans="1:55">
      <c r="A124" s="495"/>
      <c r="B124" s="407"/>
      <c r="C124" s="407"/>
      <c r="D124" s="485" t="s">
        <v>86</v>
      </c>
      <c r="E124" s="474"/>
      <c r="F124" s="486"/>
      <c r="G124" s="380">
        <v>2022</v>
      </c>
      <c r="H124" s="474">
        <v>4</v>
      </c>
      <c r="I124" s="474">
        <v>127934</v>
      </c>
      <c r="J124" s="475">
        <v>44662</v>
      </c>
      <c r="K124" s="474" t="s">
        <v>1904</v>
      </c>
      <c r="L124" s="474" t="s">
        <v>1905</v>
      </c>
      <c r="M124" s="475">
        <v>44538</v>
      </c>
      <c r="N124" s="475">
        <v>44606</v>
      </c>
      <c r="O124" s="475"/>
      <c r="P124" s="475">
        <v>44657</v>
      </c>
      <c r="Q124" s="475">
        <v>44662</v>
      </c>
      <c r="R124" s="475">
        <v>44664</v>
      </c>
      <c r="S124" s="474" t="s">
        <v>1704</v>
      </c>
      <c r="T124" s="474">
        <v>60</v>
      </c>
      <c r="U124" s="486" t="s">
        <v>1760</v>
      </c>
      <c r="V124" s="474" t="s">
        <v>973</v>
      </c>
      <c r="W124" s="474">
        <v>400</v>
      </c>
      <c r="X124" s="432">
        <v>768</v>
      </c>
      <c r="Y124" s="389">
        <f t="shared" si="14"/>
        <v>307200</v>
      </c>
      <c r="Z124" s="478">
        <f>220/400</f>
        <v>0.55000000000000004</v>
      </c>
      <c r="AA124" s="480">
        <f>Z124*Y124</f>
        <v>168960</v>
      </c>
      <c r="AB124" s="480"/>
      <c r="AC124" s="481"/>
      <c r="AD124" s="474"/>
      <c r="AE124" s="398"/>
      <c r="AF124" s="493">
        <f>AE124+AD124+AA124</f>
        <v>168960</v>
      </c>
      <c r="AG124" s="474" t="s">
        <v>1071</v>
      </c>
      <c r="AH124" s="474"/>
      <c r="AI124" s="474">
        <v>60</v>
      </c>
      <c r="AJ124" s="475" t="s">
        <v>1906</v>
      </c>
      <c r="AK124" s="475" t="s">
        <v>1417</v>
      </c>
      <c r="AL124" s="483">
        <v>83202</v>
      </c>
      <c r="AM124" s="474" t="s">
        <v>52</v>
      </c>
      <c r="AN124" s="384" t="s">
        <v>50</v>
      </c>
      <c r="AO124" s="474" t="s">
        <v>1076</v>
      </c>
      <c r="AP124" s="482" t="s">
        <v>38</v>
      </c>
      <c r="AQ124" s="474" t="s">
        <v>37</v>
      </c>
      <c r="AR124" s="474" t="s">
        <v>1288</v>
      </c>
      <c r="AS124" s="473"/>
      <c r="AT124" s="473"/>
      <c r="AU124" s="478">
        <f>196/400</f>
        <v>0.49</v>
      </c>
      <c r="AV124" s="471" t="str">
        <f t="shared" si="24"/>
        <v>30390156H</v>
      </c>
      <c r="AW124" s="471" cm="1">
        <f t="array" ref="AW124">SUM(MID(0&amp;AV124,LARGE(INDEX(ISNUMBER(--MID(AV124,ROW($1:$8),1))*ROW($1:$8),),ROW($1:$8))+1,1)*10^ROW($1:$8)/10)</f>
        <v>30390156</v>
      </c>
      <c r="AX124" s="471" t="str">
        <f>VLOOKUP($AW124,'Item Master Data'!$A:$F,3,FALSE)</f>
        <v>Q.PEAK DUO BLK ML G10+</v>
      </c>
      <c r="AY124" s="471">
        <f>VLOOKUP($AW124,'Item Master Data'!$A:$F,6,FALSE)</f>
        <v>400</v>
      </c>
      <c r="AZ124" s="471">
        <f t="shared" si="25"/>
        <v>24</v>
      </c>
      <c r="BA124" s="471">
        <f>VLOOKUP(AW124,'Item Master Data'!$A:$G,7,FALSE)</f>
        <v>32</v>
      </c>
      <c r="BB124" s="471"/>
      <c r="BC124" s="471">
        <f t="shared" si="26"/>
        <v>0</v>
      </c>
    </row>
    <row r="125" spans="1:55">
      <c r="A125" s="495"/>
      <c r="B125" s="407">
        <v>44628</v>
      </c>
      <c r="C125" s="495"/>
      <c r="D125" s="474" t="s">
        <v>86</v>
      </c>
      <c r="E125" s="336"/>
      <c r="F125" s="474"/>
      <c r="G125" s="380">
        <v>2022</v>
      </c>
      <c r="H125" s="474">
        <v>4</v>
      </c>
      <c r="I125" s="486" t="s">
        <v>3023</v>
      </c>
      <c r="J125" s="475">
        <v>44679</v>
      </c>
      <c r="K125" s="474" t="s">
        <v>1908</v>
      </c>
      <c r="L125" s="474" t="s">
        <v>1895</v>
      </c>
      <c r="M125" s="475">
        <v>44588</v>
      </c>
      <c r="N125" s="475">
        <v>44647</v>
      </c>
      <c r="O125" s="475"/>
      <c r="P125" s="502">
        <v>44664</v>
      </c>
      <c r="Q125" s="475">
        <v>44679</v>
      </c>
      <c r="R125" s="475">
        <v>44685</v>
      </c>
      <c r="S125" s="474" t="s">
        <v>1704</v>
      </c>
      <c r="T125" s="474">
        <v>60</v>
      </c>
      <c r="U125" s="474">
        <v>49204132</v>
      </c>
      <c r="V125" s="486" t="s">
        <v>1223</v>
      </c>
      <c r="W125" s="474">
        <v>360</v>
      </c>
      <c r="X125" s="432">
        <v>676</v>
      </c>
      <c r="Y125" s="389">
        <f t="shared" si="14"/>
        <v>243360</v>
      </c>
      <c r="Z125" s="478">
        <v>0.83000000000000007</v>
      </c>
      <c r="AA125" s="479">
        <v>403977.60000000003</v>
      </c>
      <c r="AB125" s="480"/>
      <c r="AC125" s="481">
        <v>0</v>
      </c>
      <c r="AD125" s="474"/>
      <c r="AE125" s="482"/>
      <c r="AF125" s="493">
        <v>403977.60000000003</v>
      </c>
      <c r="AG125" s="486" t="s">
        <v>1071</v>
      </c>
      <c r="AH125" s="486"/>
      <c r="AI125" s="486">
        <v>60</v>
      </c>
      <c r="AJ125" s="475" t="s">
        <v>1899</v>
      </c>
      <c r="AK125" s="486" t="s">
        <v>1823</v>
      </c>
      <c r="AL125" s="483" t="s">
        <v>1900</v>
      </c>
      <c r="AM125" s="486" t="s">
        <v>52</v>
      </c>
      <c r="AN125" s="474" t="s">
        <v>1695</v>
      </c>
      <c r="AO125" s="474" t="s">
        <v>1076</v>
      </c>
      <c r="AP125" s="482"/>
      <c r="AQ125" s="482" t="s">
        <v>37</v>
      </c>
      <c r="AR125" s="482" t="s">
        <v>1216</v>
      </c>
      <c r="AS125" s="472" t="s">
        <v>1492</v>
      </c>
      <c r="AT125" s="472"/>
      <c r="AU125" s="478">
        <v>0.52</v>
      </c>
      <c r="AV125" s="471">
        <f t="shared" si="24"/>
        <v>49204132</v>
      </c>
      <c r="AW125" s="471" cm="1">
        <f t="array" ref="AW125">SUM(MID(0&amp;AV125,LARGE(INDEX(ISNUMBER(--MID(AV125,ROW($1:$8),1))*ROW($1:$8),),ROW($1:$8))+1,1)*10^ROW($1:$8)/10)</f>
        <v>49204132</v>
      </c>
      <c r="AX125" s="471" t="str">
        <f>VLOOKUP($AW125,'Item Master Data'!$A:$F,3,FALSE)</f>
        <v>Q.PEAK DUO BLK G10+/AC</v>
      </c>
      <c r="AY125" s="471">
        <f>VLOOKUP($AW125,'Item Master Data'!$A:$F,6,FALSE)</f>
        <v>360</v>
      </c>
      <c r="AZ125" s="471">
        <f t="shared" si="25"/>
        <v>26</v>
      </c>
      <c r="BA125" s="471">
        <f>VLOOKUP(AW125,'Item Master Data'!$A:$G,7,FALSE)</f>
        <v>26</v>
      </c>
      <c r="BB125" s="471"/>
      <c r="BC125" s="471">
        <f t="shared" si="26"/>
        <v>0</v>
      </c>
    </row>
    <row r="126" spans="1:55">
      <c r="A126" s="495"/>
      <c r="B126" s="407">
        <v>44628</v>
      </c>
      <c r="C126" s="495"/>
      <c r="D126" s="474" t="s">
        <v>86</v>
      </c>
      <c r="E126" s="336"/>
      <c r="F126" s="474"/>
      <c r="G126" s="380">
        <v>2022</v>
      </c>
      <c r="H126" s="474">
        <v>4</v>
      </c>
      <c r="I126" s="486">
        <v>127935</v>
      </c>
      <c r="J126" s="475">
        <v>44662</v>
      </c>
      <c r="K126" s="474" t="s">
        <v>1909</v>
      </c>
      <c r="L126" s="474" t="s">
        <v>1895</v>
      </c>
      <c r="M126" s="475">
        <v>44588</v>
      </c>
      <c r="N126" s="475">
        <v>44647</v>
      </c>
      <c r="O126" s="475"/>
      <c r="P126" s="475">
        <v>44657</v>
      </c>
      <c r="Q126" s="475">
        <v>44662</v>
      </c>
      <c r="R126" s="475">
        <v>44664</v>
      </c>
      <c r="S126" s="474" t="s">
        <v>1704</v>
      </c>
      <c r="T126" s="474">
        <v>60</v>
      </c>
      <c r="U126" s="486" t="s">
        <v>1760</v>
      </c>
      <c r="V126" s="486" t="s">
        <v>973</v>
      </c>
      <c r="W126" s="474">
        <v>400</v>
      </c>
      <c r="X126" s="432">
        <v>768</v>
      </c>
      <c r="Y126" s="389">
        <f t="shared" si="14"/>
        <v>307200</v>
      </c>
      <c r="Z126" s="478">
        <f>220/400</f>
        <v>0.55000000000000004</v>
      </c>
      <c r="AA126" s="479">
        <f t="shared" ref="AA126:AA151" si="27">Z126*Y126</f>
        <v>168960</v>
      </c>
      <c r="AB126" s="480"/>
      <c r="AC126" s="481">
        <f>AB126*Y126</f>
        <v>0</v>
      </c>
      <c r="AD126" s="474"/>
      <c r="AE126" s="482"/>
      <c r="AF126" s="493">
        <f t="shared" ref="AF126:AF151" si="28">AE126+AD126+AA126</f>
        <v>168960</v>
      </c>
      <c r="AG126" s="486" t="s">
        <v>1071</v>
      </c>
      <c r="AH126" s="486"/>
      <c r="AI126" s="486">
        <v>60</v>
      </c>
      <c r="AJ126" s="475" t="s">
        <v>1910</v>
      </c>
      <c r="AK126" s="486" t="s">
        <v>1823</v>
      </c>
      <c r="AL126" s="483" t="s">
        <v>1900</v>
      </c>
      <c r="AM126" s="486" t="s">
        <v>52</v>
      </c>
      <c r="AN126" s="384" t="s">
        <v>50</v>
      </c>
      <c r="AO126" s="474" t="s">
        <v>1076</v>
      </c>
      <c r="AP126" s="482" t="s">
        <v>38</v>
      </c>
      <c r="AQ126" s="482" t="s">
        <v>37</v>
      </c>
      <c r="AR126" s="482" t="s">
        <v>1216</v>
      </c>
      <c r="AS126" s="472" t="s">
        <v>1492</v>
      </c>
      <c r="AT126" s="472"/>
      <c r="AU126" s="478">
        <f>208/400</f>
        <v>0.52</v>
      </c>
      <c r="AV126" s="471" t="str">
        <f t="shared" si="24"/>
        <v>30390156H</v>
      </c>
      <c r="AW126" s="471" cm="1">
        <f t="array" ref="AW126">SUM(MID(0&amp;AV126,LARGE(INDEX(ISNUMBER(--MID(AV126,ROW($1:$8),1))*ROW($1:$8),),ROW($1:$8))+1,1)*10^ROW($1:$8)/10)</f>
        <v>30390156</v>
      </c>
      <c r="AX126" s="471" t="str">
        <f>VLOOKUP($AW126,'Item Master Data'!$A:$F,3,FALSE)</f>
        <v>Q.PEAK DUO BLK ML G10+</v>
      </c>
      <c r="AY126" s="471">
        <f>VLOOKUP($AW126,'Item Master Data'!$A:$F,6,FALSE)</f>
        <v>400</v>
      </c>
      <c r="AZ126" s="471">
        <f t="shared" si="25"/>
        <v>24</v>
      </c>
      <c r="BA126" s="471">
        <f>VLOOKUP(AW126,'Item Master Data'!$A:$G,7,FALSE)</f>
        <v>32</v>
      </c>
      <c r="BB126" s="471"/>
      <c r="BC126" s="471">
        <f t="shared" si="26"/>
        <v>0</v>
      </c>
    </row>
    <row r="127" spans="1:55">
      <c r="A127" s="495"/>
      <c r="B127" s="407"/>
      <c r="C127" s="407"/>
      <c r="D127" s="485" t="s">
        <v>86</v>
      </c>
      <c r="E127" s="474"/>
      <c r="F127" s="486" t="s">
        <v>1147</v>
      </c>
      <c r="G127" s="380">
        <v>2022</v>
      </c>
      <c r="H127" s="474">
        <v>4</v>
      </c>
      <c r="I127" s="474"/>
      <c r="J127" s="475">
        <v>44676</v>
      </c>
      <c r="K127" s="474" t="s">
        <v>1917</v>
      </c>
      <c r="L127" s="474" t="s">
        <v>1912</v>
      </c>
      <c r="M127" s="475">
        <v>44487</v>
      </c>
      <c r="N127" s="475">
        <v>44621</v>
      </c>
      <c r="O127" s="475"/>
      <c r="P127" s="502">
        <v>44671</v>
      </c>
      <c r="Q127" s="475">
        <v>44676</v>
      </c>
      <c r="R127" s="475">
        <v>44680</v>
      </c>
      <c r="S127" s="474" t="s">
        <v>1688</v>
      </c>
      <c r="T127" s="474">
        <v>60</v>
      </c>
      <c r="U127" s="486">
        <v>49203132</v>
      </c>
      <c r="V127" s="474" t="s">
        <v>1755</v>
      </c>
      <c r="W127" s="474">
        <v>360</v>
      </c>
      <c r="X127" s="432">
        <v>2496</v>
      </c>
      <c r="Y127" s="389">
        <f t="shared" si="14"/>
        <v>898560</v>
      </c>
      <c r="Z127" s="348">
        <f>190.8/360</f>
        <v>0.53</v>
      </c>
      <c r="AA127" s="480">
        <f t="shared" si="27"/>
        <v>476236.80000000005</v>
      </c>
      <c r="AB127" s="480"/>
      <c r="AC127" s="481">
        <f>AB127*Y127</f>
        <v>0</v>
      </c>
      <c r="AD127" s="474"/>
      <c r="AE127" s="474"/>
      <c r="AF127" s="493">
        <f t="shared" si="28"/>
        <v>476236.80000000005</v>
      </c>
      <c r="AG127" s="474" t="s">
        <v>1071</v>
      </c>
      <c r="AH127" s="474"/>
      <c r="AI127" s="474">
        <v>60</v>
      </c>
      <c r="AJ127" s="475" t="s">
        <v>1913</v>
      </c>
      <c r="AK127" s="475" t="s">
        <v>50</v>
      </c>
      <c r="AL127" s="483">
        <v>92507</v>
      </c>
      <c r="AM127" s="474" t="s">
        <v>52</v>
      </c>
      <c r="AN127" s="474" t="s">
        <v>1695</v>
      </c>
      <c r="AO127" s="474" t="s">
        <v>1076</v>
      </c>
      <c r="AP127" s="482"/>
      <c r="AQ127" s="474" t="s">
        <v>37</v>
      </c>
      <c r="AR127" s="474"/>
      <c r="AS127" s="473"/>
      <c r="AT127" s="473"/>
      <c r="AU127" s="478"/>
      <c r="AV127" s="471">
        <f t="shared" si="24"/>
        <v>49203132</v>
      </c>
      <c r="AW127" s="471" cm="1">
        <f t="array" ref="AW127">SUM(MID(0&amp;AV127,LARGE(INDEX(ISNUMBER(--MID(AV127,ROW($1:$8),1))*ROW($1:$8),),ROW($1:$8))+1,1)*10^ROW($1:$8)/10)</f>
        <v>49203132</v>
      </c>
      <c r="AX127" s="471" t="str">
        <f>VLOOKUP($AW127,'Item Master Data'!$A:$F,3,FALSE)</f>
        <v>Q.PEAK DUO BLK G10+</v>
      </c>
      <c r="AY127" s="471">
        <f>VLOOKUP($AW127,'Item Master Data'!$A:$F,6,FALSE)</f>
        <v>360</v>
      </c>
      <c r="AZ127" s="471">
        <f t="shared" si="25"/>
        <v>78</v>
      </c>
      <c r="BA127" s="471">
        <f>VLOOKUP(AW127,'Item Master Data'!$A:$G,7,FALSE)</f>
        <v>32</v>
      </c>
      <c r="BB127" s="471"/>
      <c r="BC127" s="471">
        <f t="shared" si="26"/>
        <v>0</v>
      </c>
    </row>
    <row r="128" spans="1:55">
      <c r="A128" s="495"/>
      <c r="B128" s="407"/>
      <c r="C128" s="407"/>
      <c r="D128" s="485" t="s">
        <v>86</v>
      </c>
      <c r="E128" s="474"/>
      <c r="F128" s="486"/>
      <c r="G128" s="380">
        <v>2022</v>
      </c>
      <c r="H128" s="474">
        <v>4</v>
      </c>
      <c r="I128" s="474">
        <v>127981</v>
      </c>
      <c r="J128" s="475">
        <v>44664</v>
      </c>
      <c r="K128" s="474" t="s">
        <v>1964</v>
      </c>
      <c r="L128" s="474" t="s">
        <v>1912</v>
      </c>
      <c r="M128" s="475">
        <v>44488</v>
      </c>
      <c r="N128" s="475">
        <v>44599</v>
      </c>
      <c r="O128" s="475" t="s">
        <v>1763</v>
      </c>
      <c r="P128" s="475">
        <v>44656</v>
      </c>
      <c r="Q128" s="475">
        <v>44664</v>
      </c>
      <c r="R128" s="475">
        <v>44664</v>
      </c>
      <c r="S128" s="474" t="s">
        <v>1688</v>
      </c>
      <c r="T128" s="474">
        <v>60</v>
      </c>
      <c r="U128" s="486" t="s">
        <v>1760</v>
      </c>
      <c r="V128" s="474" t="s">
        <v>973</v>
      </c>
      <c r="W128" s="474">
        <v>400</v>
      </c>
      <c r="X128" s="432">
        <v>2496</v>
      </c>
      <c r="Y128" s="389">
        <f t="shared" si="14"/>
        <v>998400</v>
      </c>
      <c r="Z128" s="478">
        <f>220/400</f>
        <v>0.55000000000000004</v>
      </c>
      <c r="AA128" s="480">
        <f t="shared" si="27"/>
        <v>549120</v>
      </c>
      <c r="AB128" s="480"/>
      <c r="AC128" s="481">
        <f>AB128*Y128</f>
        <v>0</v>
      </c>
      <c r="AD128" s="474"/>
      <c r="AE128" s="474"/>
      <c r="AF128" s="493">
        <f t="shared" si="28"/>
        <v>549120</v>
      </c>
      <c r="AG128" s="474" t="s">
        <v>1071</v>
      </c>
      <c r="AH128" s="474"/>
      <c r="AI128" s="474">
        <v>60</v>
      </c>
      <c r="AJ128" s="475" t="s">
        <v>1965</v>
      </c>
      <c r="AK128" s="475" t="s">
        <v>50</v>
      </c>
      <c r="AL128" s="483" t="s">
        <v>1914</v>
      </c>
      <c r="AM128" s="474" t="s">
        <v>52</v>
      </c>
      <c r="AN128" s="384" t="s">
        <v>50</v>
      </c>
      <c r="AO128" s="474" t="s">
        <v>1076</v>
      </c>
      <c r="AP128" s="482" t="s">
        <v>38</v>
      </c>
      <c r="AQ128" s="474" t="s">
        <v>37</v>
      </c>
      <c r="AR128" s="474"/>
      <c r="AS128" s="473"/>
      <c r="AT128" s="473"/>
      <c r="AU128" s="478">
        <f>196/400</f>
        <v>0.49</v>
      </c>
      <c r="AV128" s="471" t="str">
        <f t="shared" si="24"/>
        <v>30390156H</v>
      </c>
      <c r="AW128" s="471" cm="1">
        <f t="array" ref="AW128">SUM(MID(0&amp;AV128,LARGE(INDEX(ISNUMBER(--MID(AV128,ROW($1:$8),1))*ROW($1:$8),),ROW($1:$8))+1,1)*10^ROW($1:$8)/10)</f>
        <v>30390156</v>
      </c>
      <c r="AX128" s="471" t="str">
        <f>VLOOKUP($AW128,'Item Master Data'!$A:$F,3,FALSE)</f>
        <v>Q.PEAK DUO BLK ML G10+</v>
      </c>
      <c r="AY128" s="471">
        <f>VLOOKUP($AW128,'Item Master Data'!$A:$F,6,FALSE)</f>
        <v>400</v>
      </c>
      <c r="AZ128" s="471">
        <f t="shared" si="25"/>
        <v>78</v>
      </c>
      <c r="BA128" s="471">
        <f>VLOOKUP(AW128,'Item Master Data'!$A:$G,7,FALSE)</f>
        <v>32</v>
      </c>
      <c r="BB128" s="471"/>
      <c r="BC128" s="471">
        <f t="shared" si="26"/>
        <v>0</v>
      </c>
    </row>
    <row r="129" spans="1:55">
      <c r="A129" s="495">
        <v>10</v>
      </c>
      <c r="B129" s="407">
        <v>44641</v>
      </c>
      <c r="C129" s="407">
        <v>44655</v>
      </c>
      <c r="D129" s="485" t="s">
        <v>86</v>
      </c>
      <c r="E129" s="474"/>
      <c r="F129" s="664"/>
      <c r="G129" s="380">
        <v>2022</v>
      </c>
      <c r="H129" s="474">
        <v>4</v>
      </c>
      <c r="I129" s="474">
        <v>127927</v>
      </c>
      <c r="J129" s="475">
        <v>44652</v>
      </c>
      <c r="K129" s="474" t="s">
        <v>1911</v>
      </c>
      <c r="L129" s="474" t="s">
        <v>1912</v>
      </c>
      <c r="M129" s="475">
        <v>44511</v>
      </c>
      <c r="N129" s="475">
        <v>44593</v>
      </c>
      <c r="O129" s="475"/>
      <c r="P129" s="475">
        <v>44641</v>
      </c>
      <c r="Q129" s="475">
        <v>44652</v>
      </c>
      <c r="R129" s="475">
        <v>44652</v>
      </c>
      <c r="S129" s="474" t="s">
        <v>1688</v>
      </c>
      <c r="T129" s="474">
        <v>60</v>
      </c>
      <c r="U129" s="486" t="s">
        <v>1760</v>
      </c>
      <c r="V129" s="474" t="s">
        <v>973</v>
      </c>
      <c r="W129" s="474">
        <v>400</v>
      </c>
      <c r="X129" s="432">
        <v>2304</v>
      </c>
      <c r="Y129" s="389">
        <f t="shared" si="14"/>
        <v>921600</v>
      </c>
      <c r="Z129" s="478">
        <f>220/400</f>
        <v>0.55000000000000004</v>
      </c>
      <c r="AA129" s="480">
        <f t="shared" si="27"/>
        <v>506880.00000000006</v>
      </c>
      <c r="AB129" s="480"/>
      <c r="AC129" s="481">
        <v>0</v>
      </c>
      <c r="AD129" s="474"/>
      <c r="AE129" s="474"/>
      <c r="AF129" s="493">
        <f t="shared" si="28"/>
        <v>506880.00000000006</v>
      </c>
      <c r="AG129" s="474" t="s">
        <v>1071</v>
      </c>
      <c r="AH129" s="474"/>
      <c r="AI129" s="474">
        <v>60</v>
      </c>
      <c r="AJ129" s="475" t="s">
        <v>1913</v>
      </c>
      <c r="AK129" s="475" t="s">
        <v>50</v>
      </c>
      <c r="AL129" s="483" t="s">
        <v>1914</v>
      </c>
      <c r="AM129" s="474" t="s">
        <v>52</v>
      </c>
      <c r="AN129" s="384" t="s">
        <v>50</v>
      </c>
      <c r="AO129" s="474" t="s">
        <v>1076</v>
      </c>
      <c r="AP129" s="482" t="s">
        <v>38</v>
      </c>
      <c r="AQ129" s="474" t="s">
        <v>37</v>
      </c>
      <c r="AR129" s="474" t="s">
        <v>1677</v>
      </c>
      <c r="AS129" s="473"/>
      <c r="AT129" s="473"/>
      <c r="AU129" s="478">
        <f>182/400</f>
        <v>0.45500000000000002</v>
      </c>
      <c r="AV129" s="471" t="str">
        <f t="shared" si="24"/>
        <v>30390156H</v>
      </c>
      <c r="AW129" s="471" cm="1">
        <f t="array" ref="AW129">SUM(MID(0&amp;AV129,LARGE(INDEX(ISNUMBER(--MID(AV129,ROW($1:$8),1))*ROW($1:$8),),ROW($1:$8))+1,1)*10^ROW($1:$8)/10)</f>
        <v>30390156</v>
      </c>
      <c r="AX129" s="471" t="str">
        <f>VLOOKUP($AW129,'Item Master Data'!$A:$F,3,FALSE)</f>
        <v>Q.PEAK DUO BLK ML G10+</v>
      </c>
      <c r="AY129" s="471">
        <f>VLOOKUP($AW129,'Item Master Data'!$A:$F,6,FALSE)</f>
        <v>400</v>
      </c>
      <c r="AZ129" s="471">
        <f t="shared" si="25"/>
        <v>72</v>
      </c>
      <c r="BA129" s="471">
        <f>VLOOKUP(AW129,'Item Master Data'!$A:$G,7,FALSE)</f>
        <v>32</v>
      </c>
      <c r="BB129" s="471"/>
      <c r="BC129" s="471">
        <f t="shared" si="26"/>
        <v>0</v>
      </c>
    </row>
    <row r="130" spans="1:55">
      <c r="A130" s="495"/>
      <c r="B130" s="407">
        <v>44642</v>
      </c>
      <c r="C130" s="407"/>
      <c r="D130" s="485" t="s">
        <v>86</v>
      </c>
      <c r="E130" s="474"/>
      <c r="F130" s="486"/>
      <c r="G130" s="380">
        <v>2022</v>
      </c>
      <c r="H130" s="474">
        <v>4</v>
      </c>
      <c r="I130" s="474">
        <v>127940</v>
      </c>
      <c r="J130" s="475">
        <v>44663</v>
      </c>
      <c r="K130" s="474" t="s">
        <v>1971</v>
      </c>
      <c r="L130" s="474" t="s">
        <v>1912</v>
      </c>
      <c r="M130" s="475">
        <v>44511</v>
      </c>
      <c r="N130" s="475">
        <v>44621</v>
      </c>
      <c r="O130" s="475"/>
      <c r="P130" s="475">
        <v>44656</v>
      </c>
      <c r="Q130" s="475">
        <v>44663</v>
      </c>
      <c r="R130" s="475">
        <v>44663</v>
      </c>
      <c r="S130" s="474" t="s">
        <v>1688</v>
      </c>
      <c r="T130" s="474">
        <v>60</v>
      </c>
      <c r="U130" s="486" t="s">
        <v>1760</v>
      </c>
      <c r="V130" s="474" t="s">
        <v>973</v>
      </c>
      <c r="W130" s="474">
        <v>400</v>
      </c>
      <c r="X130" s="432">
        <v>2304</v>
      </c>
      <c r="Y130" s="389">
        <f t="shared" si="14"/>
        <v>921600</v>
      </c>
      <c r="Z130" s="478">
        <f>220/400</f>
        <v>0.55000000000000004</v>
      </c>
      <c r="AA130" s="480">
        <f t="shared" si="27"/>
        <v>506880.00000000006</v>
      </c>
      <c r="AB130" s="480"/>
      <c r="AC130" s="481">
        <v>0</v>
      </c>
      <c r="AD130" s="474"/>
      <c r="AE130" s="474"/>
      <c r="AF130" s="493">
        <f t="shared" si="28"/>
        <v>506880.00000000006</v>
      </c>
      <c r="AG130" s="474" t="s">
        <v>1071</v>
      </c>
      <c r="AH130" s="474"/>
      <c r="AI130" s="474">
        <v>60</v>
      </c>
      <c r="AJ130" s="475" t="s">
        <v>1913</v>
      </c>
      <c r="AK130" s="475" t="s">
        <v>50</v>
      </c>
      <c r="AL130" s="483" t="s">
        <v>1914</v>
      </c>
      <c r="AM130" s="474" t="s">
        <v>52</v>
      </c>
      <c r="AN130" s="384" t="s">
        <v>50</v>
      </c>
      <c r="AO130" s="474" t="s">
        <v>1076</v>
      </c>
      <c r="AP130" s="482" t="s">
        <v>38</v>
      </c>
      <c r="AQ130" s="474" t="s">
        <v>37</v>
      </c>
      <c r="AR130" s="474" t="s">
        <v>1677</v>
      </c>
      <c r="AS130" s="473"/>
      <c r="AT130" s="473"/>
      <c r="AU130" s="478">
        <f>182/400</f>
        <v>0.45500000000000002</v>
      </c>
      <c r="AV130" s="471" t="str">
        <f t="shared" si="24"/>
        <v>30390156H</v>
      </c>
      <c r="AW130" s="471" cm="1">
        <f t="array" ref="AW130">SUM(MID(0&amp;AV130,LARGE(INDEX(ISNUMBER(--MID(AV130,ROW($1:$8),1))*ROW($1:$8),),ROW($1:$8))+1,1)*10^ROW($1:$8)/10)</f>
        <v>30390156</v>
      </c>
      <c r="AX130" s="471" t="str">
        <f>VLOOKUP($AW130,'Item Master Data'!$A:$F,3,FALSE)</f>
        <v>Q.PEAK DUO BLK ML G10+</v>
      </c>
      <c r="AY130" s="471">
        <f>VLOOKUP($AW130,'Item Master Data'!$A:$F,6,FALSE)</f>
        <v>400</v>
      </c>
      <c r="AZ130" s="471">
        <f t="shared" si="25"/>
        <v>72</v>
      </c>
      <c r="BA130" s="471">
        <f>VLOOKUP(AW130,'Item Master Data'!$A:$G,7,FALSE)</f>
        <v>32</v>
      </c>
      <c r="BB130" s="471"/>
      <c r="BC130" s="471">
        <f t="shared" si="26"/>
        <v>0</v>
      </c>
    </row>
    <row r="131" spans="1:55">
      <c r="A131" s="495"/>
      <c r="B131" s="495"/>
      <c r="C131" s="495"/>
      <c r="D131" s="474" t="s">
        <v>86</v>
      </c>
      <c r="E131" s="404"/>
      <c r="F131" s="474"/>
      <c r="G131" s="380">
        <v>2022</v>
      </c>
      <c r="H131" s="474">
        <v>4</v>
      </c>
      <c r="I131" s="474">
        <v>127930</v>
      </c>
      <c r="J131" s="475">
        <v>44659</v>
      </c>
      <c r="K131" s="474" t="s">
        <v>1915</v>
      </c>
      <c r="L131" s="474" t="s">
        <v>1912</v>
      </c>
      <c r="M131" s="475">
        <v>44516</v>
      </c>
      <c r="N131" s="475">
        <v>44653</v>
      </c>
      <c r="O131" s="475"/>
      <c r="P131" s="475">
        <v>44656</v>
      </c>
      <c r="Q131" s="475">
        <v>44659</v>
      </c>
      <c r="R131" s="475">
        <v>44659</v>
      </c>
      <c r="S131" s="474" t="s">
        <v>1688</v>
      </c>
      <c r="T131" s="474">
        <v>60</v>
      </c>
      <c r="U131" s="486" t="s">
        <v>1760</v>
      </c>
      <c r="V131" s="486" t="s">
        <v>973</v>
      </c>
      <c r="W131" s="474">
        <v>400</v>
      </c>
      <c r="X131" s="432">
        <v>1536</v>
      </c>
      <c r="Y131" s="389">
        <f t="shared" ref="Y131:Y157" si="29">W131*X131</f>
        <v>614400</v>
      </c>
      <c r="Z131" s="478">
        <f>220/400</f>
        <v>0.55000000000000004</v>
      </c>
      <c r="AA131" s="479">
        <f t="shared" si="27"/>
        <v>337920</v>
      </c>
      <c r="AB131" s="480"/>
      <c r="AC131" s="481">
        <v>0</v>
      </c>
      <c r="AD131" s="474"/>
      <c r="AE131" s="482"/>
      <c r="AF131" s="493">
        <f t="shared" si="28"/>
        <v>337920</v>
      </c>
      <c r="AG131" s="486" t="s">
        <v>1071</v>
      </c>
      <c r="AH131" s="486"/>
      <c r="AI131" s="486">
        <v>60</v>
      </c>
      <c r="AJ131" s="475" t="s">
        <v>1913</v>
      </c>
      <c r="AK131" s="486" t="s">
        <v>50</v>
      </c>
      <c r="AL131" s="483" t="s">
        <v>1914</v>
      </c>
      <c r="AM131" s="486" t="s">
        <v>52</v>
      </c>
      <c r="AN131" s="384" t="s">
        <v>50</v>
      </c>
      <c r="AO131" s="474" t="s">
        <v>1076</v>
      </c>
      <c r="AP131" s="482" t="s">
        <v>38</v>
      </c>
      <c r="AQ131" s="482" t="s">
        <v>37</v>
      </c>
      <c r="AR131" s="482" t="s">
        <v>1916</v>
      </c>
      <c r="AS131" s="472"/>
      <c r="AT131" s="472"/>
      <c r="AU131" s="478">
        <f>196/400</f>
        <v>0.49</v>
      </c>
      <c r="AV131" s="471" t="str">
        <f t="shared" si="24"/>
        <v>30390156H</v>
      </c>
      <c r="AW131" s="471" cm="1">
        <f t="array" ref="AW131">SUM(MID(0&amp;AV131,LARGE(INDEX(ISNUMBER(--MID(AV131,ROW($1:$8),1))*ROW($1:$8),),ROW($1:$8))+1,1)*10^ROW($1:$8)/10)</f>
        <v>30390156</v>
      </c>
      <c r="AX131" s="471" t="str">
        <f>VLOOKUP($AW131,'Item Master Data'!$A:$F,3,FALSE)</f>
        <v>Q.PEAK DUO BLK ML G10+</v>
      </c>
      <c r="AY131" s="471">
        <f>VLOOKUP($AW131,'Item Master Data'!$A:$F,6,FALSE)</f>
        <v>400</v>
      </c>
      <c r="AZ131" s="471">
        <f t="shared" si="25"/>
        <v>48</v>
      </c>
      <c r="BA131" s="471">
        <f>VLOOKUP(AW131,'Item Master Data'!$A:$G,7,FALSE)</f>
        <v>32</v>
      </c>
      <c r="BB131" s="471"/>
      <c r="BC131" s="471">
        <f t="shared" si="26"/>
        <v>0</v>
      </c>
    </row>
    <row r="132" spans="1:55">
      <c r="A132" s="495"/>
      <c r="B132" s="407"/>
      <c r="C132" s="407"/>
      <c r="D132" s="485" t="s">
        <v>86</v>
      </c>
      <c r="E132" s="474"/>
      <c r="F132" s="486"/>
      <c r="G132" s="380">
        <v>2022</v>
      </c>
      <c r="H132" s="474">
        <v>4</v>
      </c>
      <c r="I132" s="474">
        <v>127989</v>
      </c>
      <c r="J132" s="475">
        <v>44662</v>
      </c>
      <c r="K132" s="474" t="s">
        <v>1970</v>
      </c>
      <c r="L132" s="474" t="s">
        <v>1912</v>
      </c>
      <c r="M132" s="475">
        <v>44540</v>
      </c>
      <c r="N132" s="475">
        <v>44602</v>
      </c>
      <c r="O132" s="475" t="s">
        <v>1763</v>
      </c>
      <c r="P132" s="475">
        <v>44656</v>
      </c>
      <c r="Q132" s="475">
        <v>44662</v>
      </c>
      <c r="R132" s="475">
        <v>44662</v>
      </c>
      <c r="S132" s="474" t="s">
        <v>1688</v>
      </c>
      <c r="T132" s="474">
        <v>60</v>
      </c>
      <c r="U132" s="486" t="s">
        <v>1760</v>
      </c>
      <c r="V132" s="474" t="s">
        <v>973</v>
      </c>
      <c r="W132" s="474">
        <v>400</v>
      </c>
      <c r="X132" s="432">
        <v>1536</v>
      </c>
      <c r="Y132" s="389">
        <f t="shared" si="29"/>
        <v>614400</v>
      </c>
      <c r="Z132" s="478">
        <f>220/400</f>
        <v>0.55000000000000004</v>
      </c>
      <c r="AA132" s="480">
        <f t="shared" si="27"/>
        <v>337920</v>
      </c>
      <c r="AB132" s="480"/>
      <c r="AC132" s="481">
        <v>0</v>
      </c>
      <c r="AD132" s="474"/>
      <c r="AE132" s="474"/>
      <c r="AF132" s="493">
        <f t="shared" si="28"/>
        <v>337920</v>
      </c>
      <c r="AG132" s="474" t="s">
        <v>1071</v>
      </c>
      <c r="AH132" s="474"/>
      <c r="AI132" s="474">
        <v>60</v>
      </c>
      <c r="AJ132" s="475" t="s">
        <v>1913</v>
      </c>
      <c r="AK132" s="475" t="s">
        <v>50</v>
      </c>
      <c r="AL132" s="483" t="s">
        <v>1914</v>
      </c>
      <c r="AM132" s="474" t="s">
        <v>52</v>
      </c>
      <c r="AN132" s="384" t="s">
        <v>50</v>
      </c>
      <c r="AO132" s="474" t="s">
        <v>1076</v>
      </c>
      <c r="AP132" s="482" t="s">
        <v>38</v>
      </c>
      <c r="AQ132" s="474" t="s">
        <v>37</v>
      </c>
      <c r="AR132" s="474" t="s">
        <v>1677</v>
      </c>
      <c r="AS132" s="473"/>
      <c r="AT132" s="473"/>
      <c r="AU132" s="478">
        <f>182/400</f>
        <v>0.45500000000000002</v>
      </c>
      <c r="AV132" s="471" t="str">
        <f t="shared" si="24"/>
        <v>30390156H</v>
      </c>
      <c r="AW132" s="471" cm="1">
        <f t="array" ref="AW132">SUM(MID(0&amp;AV132,LARGE(INDEX(ISNUMBER(--MID(AV132,ROW($1:$8),1))*ROW($1:$8),),ROW($1:$8))+1,1)*10^ROW($1:$8)/10)</f>
        <v>30390156</v>
      </c>
      <c r="AX132" s="471" t="str">
        <f>VLOOKUP($AW132,'Item Master Data'!$A:$F,3,FALSE)</f>
        <v>Q.PEAK DUO BLK ML G10+</v>
      </c>
      <c r="AY132" s="471">
        <f>VLOOKUP($AW132,'Item Master Data'!$A:$F,6,FALSE)</f>
        <v>400</v>
      </c>
      <c r="AZ132" s="471">
        <f t="shared" si="25"/>
        <v>48</v>
      </c>
      <c r="BA132" s="471">
        <f>VLOOKUP(AW132,'Item Master Data'!$A:$G,7,FALSE)</f>
        <v>32</v>
      </c>
      <c r="BB132" s="471"/>
      <c r="BC132" s="471">
        <f t="shared" si="26"/>
        <v>0</v>
      </c>
    </row>
    <row r="133" spans="1:55">
      <c r="A133" s="495"/>
      <c r="B133" s="407">
        <v>44657</v>
      </c>
      <c r="C133" s="407">
        <v>44657</v>
      </c>
      <c r="D133" s="474" t="s">
        <v>86</v>
      </c>
      <c r="E133" s="404" t="s">
        <v>5715</v>
      </c>
      <c r="F133" s="474"/>
      <c r="G133" s="380">
        <v>2022</v>
      </c>
      <c r="H133" s="474">
        <v>4</v>
      </c>
      <c r="I133" s="474" t="s">
        <v>3023</v>
      </c>
      <c r="J133" s="475">
        <v>44676</v>
      </c>
      <c r="K133" s="474" t="s">
        <v>1972</v>
      </c>
      <c r="L133" s="474" t="s">
        <v>1912</v>
      </c>
      <c r="M133" s="475">
        <v>44656</v>
      </c>
      <c r="N133" s="475">
        <v>44656</v>
      </c>
      <c r="O133" s="475"/>
      <c r="P133" s="475">
        <v>44657</v>
      </c>
      <c r="Q133" s="475">
        <v>44676</v>
      </c>
      <c r="R133" s="475">
        <v>44680</v>
      </c>
      <c r="S133" s="474" t="s">
        <v>1688</v>
      </c>
      <c r="T133" s="474">
        <v>72</v>
      </c>
      <c r="U133" s="486">
        <v>49303156</v>
      </c>
      <c r="V133" s="486" t="s">
        <v>1070</v>
      </c>
      <c r="W133" s="474">
        <v>480</v>
      </c>
      <c r="X133" s="432">
        <v>812</v>
      </c>
      <c r="Y133" s="389">
        <f t="shared" si="29"/>
        <v>389760</v>
      </c>
      <c r="Z133" s="478">
        <f>235.2/480</f>
        <v>0.49</v>
      </c>
      <c r="AA133" s="479">
        <f t="shared" si="27"/>
        <v>190982.39999999999</v>
      </c>
      <c r="AB133" s="480"/>
      <c r="AC133" s="481">
        <v>0</v>
      </c>
      <c r="AD133" s="474"/>
      <c r="AE133" s="482"/>
      <c r="AF133" s="493">
        <f t="shared" si="28"/>
        <v>190982.39999999999</v>
      </c>
      <c r="AG133" s="486" t="s">
        <v>1071</v>
      </c>
      <c r="AH133" s="486"/>
      <c r="AI133" s="486">
        <v>60</v>
      </c>
      <c r="AJ133" s="475" t="s">
        <v>1973</v>
      </c>
      <c r="AK133" s="486" t="s">
        <v>50</v>
      </c>
      <c r="AL133" s="483" t="s">
        <v>1974</v>
      </c>
      <c r="AM133" s="486" t="s">
        <v>52</v>
      </c>
      <c r="AN133" s="384" t="s">
        <v>1695</v>
      </c>
      <c r="AO133" s="474" t="s">
        <v>1076</v>
      </c>
      <c r="AP133" s="482"/>
      <c r="AQ133" s="482" t="s">
        <v>37</v>
      </c>
      <c r="AR133" s="482"/>
      <c r="AS133" s="472"/>
      <c r="AT133" s="472"/>
      <c r="AU133" s="478">
        <f>196/400</f>
        <v>0.49</v>
      </c>
      <c r="AV133" s="471">
        <f t="shared" si="24"/>
        <v>49303156</v>
      </c>
      <c r="AW133" s="471" cm="1">
        <f t="array" ref="AW133">SUM(MID(0&amp;AV133,LARGE(INDEX(ISNUMBER(--MID(AV133,ROW($1:$8),1))*ROW($1:$8),),ROW($1:$8))+1,1)*10^ROW($1:$8)/10)</f>
        <v>49303156</v>
      </c>
      <c r="AX133" s="471" t="str">
        <f>VLOOKUP($AW133,'Item Master Data'!$A:$F,3,FALSE)</f>
        <v>Q.PEAK DUO XL G10 BFG</v>
      </c>
      <c r="AY133" s="471">
        <f>VLOOKUP($AW133,'Item Master Data'!$A:$F,6,FALSE)</f>
        <v>480</v>
      </c>
      <c r="AZ133" s="471">
        <f t="shared" si="25"/>
        <v>28</v>
      </c>
      <c r="BA133" s="471">
        <f>VLOOKUP(AW133,'Item Master Data'!$A:$G,7,FALSE)</f>
        <v>29</v>
      </c>
      <c r="BB133" s="471"/>
      <c r="BC133" s="471">
        <f t="shared" si="26"/>
        <v>0</v>
      </c>
    </row>
    <row r="134" spans="1:55">
      <c r="A134" s="495">
        <v>10</v>
      </c>
      <c r="B134" s="407">
        <v>44617</v>
      </c>
      <c r="C134" s="407">
        <v>44616</v>
      </c>
      <c r="D134" s="485" t="s">
        <v>86</v>
      </c>
      <c r="E134" s="474"/>
      <c r="F134" s="486"/>
      <c r="G134" s="380">
        <v>2022</v>
      </c>
      <c r="H134" s="474">
        <v>4</v>
      </c>
      <c r="I134" s="474">
        <v>127928</v>
      </c>
      <c r="J134" s="475">
        <v>44652</v>
      </c>
      <c r="K134" s="474" t="s">
        <v>1962</v>
      </c>
      <c r="L134" s="474" t="s">
        <v>1956</v>
      </c>
      <c r="M134" s="475">
        <v>44502</v>
      </c>
      <c r="N134" s="475">
        <v>44606</v>
      </c>
      <c r="O134" s="475">
        <v>44634</v>
      </c>
      <c r="P134" s="475">
        <v>44628</v>
      </c>
      <c r="Q134" s="475">
        <v>44652</v>
      </c>
      <c r="R134" s="475">
        <v>44655</v>
      </c>
      <c r="S134" s="474" t="s">
        <v>1957</v>
      </c>
      <c r="T134" s="474">
        <v>60</v>
      </c>
      <c r="U134" s="486" t="s">
        <v>1281</v>
      </c>
      <c r="V134" s="474" t="s">
        <v>973</v>
      </c>
      <c r="W134" s="474">
        <v>400</v>
      </c>
      <c r="X134" s="432">
        <v>3840</v>
      </c>
      <c r="Y134" s="389">
        <f t="shared" si="29"/>
        <v>1536000</v>
      </c>
      <c r="Z134" s="478">
        <f>220/400</f>
        <v>0.55000000000000004</v>
      </c>
      <c r="AA134" s="480">
        <f t="shared" si="27"/>
        <v>844800.00000000012</v>
      </c>
      <c r="AB134" s="480"/>
      <c r="AC134" s="481">
        <f>AB134*Y134</f>
        <v>0</v>
      </c>
      <c r="AD134" s="474"/>
      <c r="AE134" s="474"/>
      <c r="AF134" s="493">
        <f t="shared" si="28"/>
        <v>844800.00000000012</v>
      </c>
      <c r="AG134" s="474" t="s">
        <v>1071</v>
      </c>
      <c r="AH134" s="474"/>
      <c r="AI134" s="474">
        <v>60</v>
      </c>
      <c r="AJ134" s="475" t="s">
        <v>1958</v>
      </c>
      <c r="AK134" s="475" t="s">
        <v>50</v>
      </c>
      <c r="AL134" s="483" t="s">
        <v>1959</v>
      </c>
      <c r="AM134" s="474" t="s">
        <v>52</v>
      </c>
      <c r="AN134" s="384" t="s">
        <v>50</v>
      </c>
      <c r="AO134" s="474" t="s">
        <v>1076</v>
      </c>
      <c r="AP134" s="482" t="s">
        <v>38</v>
      </c>
      <c r="AQ134" s="474" t="s">
        <v>37</v>
      </c>
      <c r="AR134" s="474" t="s">
        <v>1960</v>
      </c>
      <c r="AS134" s="473"/>
      <c r="AT134" s="473"/>
      <c r="AU134" s="478">
        <f>196/400</f>
        <v>0.49</v>
      </c>
      <c r="AV134" s="471" t="str">
        <f t="shared" si="24"/>
        <v>30390456H</v>
      </c>
      <c r="AW134" s="471" cm="1">
        <f t="array" ref="AW134">SUM(MID(0&amp;AV134,LARGE(INDEX(ISNUMBER(--MID(AV134,ROW($1:$8),1))*ROW($1:$8),),ROW($1:$8))+1,1)*10^ROW($1:$8)/10)</f>
        <v>30390456</v>
      </c>
      <c r="AX134" s="471" t="str">
        <f>VLOOKUP($AW134,'Item Master Data'!$A:$F,3,FALSE)</f>
        <v>Q.PEAK DUO BLK ML G10+</v>
      </c>
      <c r="AY134" s="471">
        <f>VLOOKUP($AW134,'Item Master Data'!$A:$F,6,FALSE)</f>
        <v>400</v>
      </c>
      <c r="AZ134" s="471">
        <f t="shared" si="25"/>
        <v>120</v>
      </c>
      <c r="BA134" s="471">
        <f>VLOOKUP(AW134,'Item Master Data'!$A:$G,7,FALSE)</f>
        <v>32</v>
      </c>
      <c r="BB134" s="471"/>
      <c r="BC134" s="471">
        <f t="shared" si="26"/>
        <v>0</v>
      </c>
    </row>
    <row r="135" spans="1:55">
      <c r="A135" s="495"/>
      <c r="B135" s="407">
        <v>44617</v>
      </c>
      <c r="C135" s="407">
        <v>44616</v>
      </c>
      <c r="D135" s="485" t="s">
        <v>86</v>
      </c>
      <c r="E135" s="474"/>
      <c r="F135" s="486"/>
      <c r="G135" s="380">
        <v>2022</v>
      </c>
      <c r="H135" s="474">
        <v>4</v>
      </c>
      <c r="I135" s="474">
        <v>128075</v>
      </c>
      <c r="J135" s="475">
        <v>44669</v>
      </c>
      <c r="K135" s="474" t="s">
        <v>1998</v>
      </c>
      <c r="L135" s="474" t="s">
        <v>1956</v>
      </c>
      <c r="M135" s="475">
        <v>44502</v>
      </c>
      <c r="N135" s="475">
        <v>44635</v>
      </c>
      <c r="O135" s="475">
        <v>44666</v>
      </c>
      <c r="P135" s="475">
        <v>44657</v>
      </c>
      <c r="Q135" s="475">
        <v>44669</v>
      </c>
      <c r="R135" s="475">
        <v>44670</v>
      </c>
      <c r="S135" s="474" t="s">
        <v>1957</v>
      </c>
      <c r="T135" s="474">
        <v>60</v>
      </c>
      <c r="U135" s="486" t="s">
        <v>1760</v>
      </c>
      <c r="V135" s="474" t="s">
        <v>973</v>
      </c>
      <c r="W135" s="474">
        <v>400</v>
      </c>
      <c r="X135" s="432">
        <v>4608</v>
      </c>
      <c r="Y135" s="389">
        <f t="shared" si="29"/>
        <v>1843200</v>
      </c>
      <c r="Z135" s="478">
        <f>220/400</f>
        <v>0.55000000000000004</v>
      </c>
      <c r="AA135" s="480">
        <f t="shared" si="27"/>
        <v>1013760.0000000001</v>
      </c>
      <c r="AB135" s="480"/>
      <c r="AC135" s="481">
        <f>AB135*Y135</f>
        <v>0</v>
      </c>
      <c r="AD135" s="474"/>
      <c r="AE135" s="398"/>
      <c r="AF135" s="493">
        <f t="shared" si="28"/>
        <v>1013760.0000000001</v>
      </c>
      <c r="AG135" s="474" t="s">
        <v>1071</v>
      </c>
      <c r="AH135" s="474"/>
      <c r="AI135" s="474">
        <v>60</v>
      </c>
      <c r="AJ135" s="475" t="s">
        <v>1958</v>
      </c>
      <c r="AK135" s="475" t="s">
        <v>50</v>
      </c>
      <c r="AL135" s="483" t="s">
        <v>1959</v>
      </c>
      <c r="AM135" s="474" t="s">
        <v>52</v>
      </c>
      <c r="AN135" s="384" t="s">
        <v>50</v>
      </c>
      <c r="AO135" s="474" t="s">
        <v>1076</v>
      </c>
      <c r="AP135" s="482" t="s">
        <v>38</v>
      </c>
      <c r="AQ135" s="474" t="s">
        <v>37</v>
      </c>
      <c r="AR135" s="474" t="s">
        <v>1960</v>
      </c>
      <c r="AS135" s="473"/>
      <c r="AT135" s="473"/>
      <c r="AU135" s="478">
        <f>196/400</f>
        <v>0.49</v>
      </c>
      <c r="AV135" s="471" t="str">
        <f t="shared" si="24"/>
        <v>30390156H</v>
      </c>
      <c r="AW135" s="471" cm="1">
        <f t="array" ref="AW135">SUM(MID(0&amp;AV135,LARGE(INDEX(ISNUMBER(--MID(AV135,ROW($1:$8),1))*ROW($1:$8),),ROW($1:$8))+1,1)*10^ROW($1:$8)/10)</f>
        <v>30390156</v>
      </c>
      <c r="AX135" s="471" t="str">
        <f>VLOOKUP($AW135,'Item Master Data'!$A:$F,3,FALSE)</f>
        <v>Q.PEAK DUO BLK ML G10+</v>
      </c>
      <c r="AY135" s="471">
        <f>VLOOKUP($AW135,'Item Master Data'!$A:$F,6,FALSE)</f>
        <v>400</v>
      </c>
      <c r="AZ135" s="471">
        <f t="shared" si="25"/>
        <v>144</v>
      </c>
      <c r="BA135" s="471">
        <f>VLOOKUP(AW135,'Item Master Data'!$A:$G,7,FALSE)</f>
        <v>32</v>
      </c>
      <c r="BB135" s="471"/>
      <c r="BC135" s="471">
        <f t="shared" si="26"/>
        <v>0</v>
      </c>
    </row>
    <row r="136" spans="1:55">
      <c r="A136" s="495"/>
      <c r="B136" s="407">
        <v>44617</v>
      </c>
      <c r="C136" s="407">
        <v>44616</v>
      </c>
      <c r="D136" s="485" t="s">
        <v>86</v>
      </c>
      <c r="E136" s="474"/>
      <c r="F136" s="486"/>
      <c r="G136" s="380">
        <v>2022</v>
      </c>
      <c r="H136" s="474">
        <v>4</v>
      </c>
      <c r="I136" s="474" t="s">
        <v>2316</v>
      </c>
      <c r="J136" s="475">
        <v>44678</v>
      </c>
      <c r="K136" s="474" t="s">
        <v>1996</v>
      </c>
      <c r="L136" s="474" t="s">
        <v>1956</v>
      </c>
      <c r="M136" s="475">
        <v>44495</v>
      </c>
      <c r="N136" s="475">
        <v>44627</v>
      </c>
      <c r="O136" s="475"/>
      <c r="P136" s="502">
        <v>44664</v>
      </c>
      <c r="Q136" s="475">
        <v>44678</v>
      </c>
      <c r="R136" s="475">
        <v>44683</v>
      </c>
      <c r="S136" s="474" t="s">
        <v>1957</v>
      </c>
      <c r="T136" s="474">
        <v>60</v>
      </c>
      <c r="U136" s="486">
        <v>49203132</v>
      </c>
      <c r="V136" s="474" t="s">
        <v>986</v>
      </c>
      <c r="W136" s="474">
        <v>360</v>
      </c>
      <c r="X136" s="432">
        <v>1664</v>
      </c>
      <c r="Y136" s="389">
        <f t="shared" si="29"/>
        <v>599040</v>
      </c>
      <c r="Z136" s="478">
        <f>190.8/360</f>
        <v>0.53</v>
      </c>
      <c r="AA136" s="480">
        <f t="shared" si="27"/>
        <v>317491.20000000001</v>
      </c>
      <c r="AB136" s="480"/>
      <c r="AC136" s="481">
        <f>AB136*Y136</f>
        <v>0</v>
      </c>
      <c r="AD136" s="474"/>
      <c r="AE136" s="398"/>
      <c r="AF136" s="493">
        <f t="shared" si="28"/>
        <v>317491.20000000001</v>
      </c>
      <c r="AG136" s="474" t="s">
        <v>1071</v>
      </c>
      <c r="AH136" s="474"/>
      <c r="AI136" s="474">
        <v>60</v>
      </c>
      <c r="AJ136" s="475" t="s">
        <v>1790</v>
      </c>
      <c r="AK136" s="475" t="s">
        <v>50</v>
      </c>
      <c r="AL136" s="483">
        <v>95834</v>
      </c>
      <c r="AM136" s="474" t="s">
        <v>52</v>
      </c>
      <c r="AN136" s="474" t="s">
        <v>1695</v>
      </c>
      <c r="AO136" s="474" t="s">
        <v>1076</v>
      </c>
      <c r="AP136" s="482"/>
      <c r="AQ136" s="474" t="s">
        <v>37</v>
      </c>
      <c r="AR136" s="474"/>
      <c r="AS136" s="473" t="s">
        <v>1492</v>
      </c>
      <c r="AT136" s="473"/>
      <c r="AU136" s="478"/>
      <c r="AV136" s="471">
        <f t="shared" si="24"/>
        <v>49203132</v>
      </c>
      <c r="AW136" s="471" cm="1">
        <f t="array" ref="AW136">SUM(MID(0&amp;AV136,LARGE(INDEX(ISNUMBER(--MID(AV136,ROW($1:$8),1))*ROW($1:$8),),ROW($1:$8))+1,1)*10^ROW($1:$8)/10)</f>
        <v>49203132</v>
      </c>
      <c r="AX136" s="471" t="str">
        <f>VLOOKUP($AW136,'Item Master Data'!$A:$F,3,FALSE)</f>
        <v>Q.PEAK DUO BLK G10+</v>
      </c>
      <c r="AY136" s="471">
        <f>VLOOKUP($AW136,'Item Master Data'!$A:$F,6,FALSE)</f>
        <v>360</v>
      </c>
      <c r="AZ136" s="471">
        <f t="shared" si="25"/>
        <v>52</v>
      </c>
      <c r="BA136" s="471">
        <f>VLOOKUP(AW136,'Item Master Data'!$A:$G,7,FALSE)</f>
        <v>32</v>
      </c>
      <c r="BB136" s="471"/>
      <c r="BC136" s="471">
        <f t="shared" si="26"/>
        <v>0</v>
      </c>
    </row>
    <row r="137" spans="1:55">
      <c r="A137" s="495"/>
      <c r="B137" s="407">
        <v>44628</v>
      </c>
      <c r="C137" s="407"/>
      <c r="D137" s="485" t="s">
        <v>86</v>
      </c>
      <c r="E137" s="474"/>
      <c r="F137" s="486"/>
      <c r="G137" s="380">
        <v>2022</v>
      </c>
      <c r="H137" s="474">
        <v>4</v>
      </c>
      <c r="I137" s="474"/>
      <c r="J137" s="475"/>
      <c r="K137" s="474" t="s">
        <v>2003</v>
      </c>
      <c r="L137" s="474" t="s">
        <v>1699</v>
      </c>
      <c r="M137" s="475">
        <v>44512</v>
      </c>
      <c r="N137" s="475">
        <v>44621</v>
      </c>
      <c r="O137" s="475"/>
      <c r="P137" s="502">
        <v>44663</v>
      </c>
      <c r="Q137" s="475">
        <v>44678</v>
      </c>
      <c r="R137" s="475">
        <v>44684</v>
      </c>
      <c r="S137" s="474" t="s">
        <v>88</v>
      </c>
      <c r="T137" s="474">
        <v>60</v>
      </c>
      <c r="U137" s="486">
        <v>49203132</v>
      </c>
      <c r="V137" s="474" t="s">
        <v>986</v>
      </c>
      <c r="W137" s="474">
        <v>360</v>
      </c>
      <c r="X137" s="432">
        <v>2304</v>
      </c>
      <c r="Y137" s="389">
        <f t="shared" si="29"/>
        <v>829440</v>
      </c>
      <c r="Z137" s="478">
        <f>190.8/360</f>
        <v>0.53</v>
      </c>
      <c r="AA137" s="480">
        <f t="shared" si="27"/>
        <v>439603.20000000001</v>
      </c>
      <c r="AB137" s="480"/>
      <c r="AC137" s="481">
        <v>0</v>
      </c>
      <c r="AD137" s="474"/>
      <c r="AE137" s="398"/>
      <c r="AF137" s="493">
        <f t="shared" si="28"/>
        <v>439603.20000000001</v>
      </c>
      <c r="AG137" s="474" t="s">
        <v>1071</v>
      </c>
      <c r="AH137" s="474"/>
      <c r="AI137" s="474">
        <v>60</v>
      </c>
      <c r="AJ137" s="475" t="s">
        <v>1700</v>
      </c>
      <c r="AK137" s="475" t="s">
        <v>50</v>
      </c>
      <c r="AL137" s="483">
        <v>92126</v>
      </c>
      <c r="AM137" s="474" t="s">
        <v>52</v>
      </c>
      <c r="AN137" s="474" t="s">
        <v>1695</v>
      </c>
      <c r="AO137" s="474" t="s">
        <v>1076</v>
      </c>
      <c r="AP137" s="482"/>
      <c r="AQ137" s="474" t="s">
        <v>37</v>
      </c>
      <c r="AR137" s="474"/>
      <c r="AS137" s="473" t="s">
        <v>1492</v>
      </c>
      <c r="AT137" s="473"/>
      <c r="AU137" s="478"/>
      <c r="AV137" s="471">
        <f t="shared" si="24"/>
        <v>49203132</v>
      </c>
      <c r="AW137" s="471" cm="1">
        <f t="array" ref="AW137">SUM(MID(0&amp;AV137,LARGE(INDEX(ISNUMBER(--MID(AV137,ROW($1:$8),1))*ROW($1:$8),),ROW($1:$8))+1,1)*10^ROW($1:$8)/10)</f>
        <v>49203132</v>
      </c>
      <c r="AX137" s="471" t="str">
        <f>VLOOKUP($AW137,'Item Master Data'!$A:$F,3,FALSE)</f>
        <v>Q.PEAK DUO BLK G10+</v>
      </c>
      <c r="AY137" s="471">
        <f>VLOOKUP($AW137,'Item Master Data'!$A:$F,6,FALSE)</f>
        <v>360</v>
      </c>
      <c r="AZ137" s="471">
        <f t="shared" si="25"/>
        <v>72</v>
      </c>
      <c r="BA137" s="471">
        <f>VLOOKUP(AW137,'Item Master Data'!$A:$G,7,FALSE)</f>
        <v>32</v>
      </c>
      <c r="BB137" s="471"/>
      <c r="BC137" s="471">
        <f t="shared" si="26"/>
        <v>0</v>
      </c>
    </row>
    <row r="138" spans="1:55">
      <c r="A138" s="495"/>
      <c r="B138" s="407"/>
      <c r="C138" s="407"/>
      <c r="D138" s="485" t="s">
        <v>86</v>
      </c>
      <c r="E138" s="474"/>
      <c r="F138" s="486" t="s">
        <v>87</v>
      </c>
      <c r="G138" s="380">
        <v>2022</v>
      </c>
      <c r="H138" s="474">
        <v>4</v>
      </c>
      <c r="I138" s="474">
        <v>128246</v>
      </c>
      <c r="J138" s="475">
        <v>44673</v>
      </c>
      <c r="K138" s="474" t="s">
        <v>2164</v>
      </c>
      <c r="L138" s="474" t="s">
        <v>1699</v>
      </c>
      <c r="M138" s="475">
        <v>44550</v>
      </c>
      <c r="N138" s="475">
        <v>44691</v>
      </c>
      <c r="O138" s="475"/>
      <c r="P138" s="475">
        <v>44665</v>
      </c>
      <c r="Q138" s="475">
        <v>44673</v>
      </c>
      <c r="R138" s="475">
        <v>44678</v>
      </c>
      <c r="S138" s="474" t="s">
        <v>88</v>
      </c>
      <c r="T138" s="474">
        <v>72</v>
      </c>
      <c r="U138" s="486">
        <v>49303156</v>
      </c>
      <c r="V138" s="474" t="s">
        <v>1070</v>
      </c>
      <c r="W138" s="474">
        <v>480</v>
      </c>
      <c r="X138" s="432">
        <v>638</v>
      </c>
      <c r="Y138" s="389">
        <f t="shared" si="29"/>
        <v>306240</v>
      </c>
      <c r="Z138" s="478">
        <f>225.6/480</f>
        <v>0.47</v>
      </c>
      <c r="AA138" s="480">
        <f t="shared" si="27"/>
        <v>143932.79999999999</v>
      </c>
      <c r="AB138" s="480"/>
      <c r="AC138" s="481">
        <f>AB138*Y138</f>
        <v>0</v>
      </c>
      <c r="AD138" s="474"/>
      <c r="AE138" s="474"/>
      <c r="AF138" s="493">
        <f t="shared" si="28"/>
        <v>143932.79999999999</v>
      </c>
      <c r="AG138" s="474" t="s">
        <v>1071</v>
      </c>
      <c r="AH138" s="474"/>
      <c r="AI138" s="474">
        <v>60</v>
      </c>
      <c r="AJ138" s="475" t="s">
        <v>1700</v>
      </c>
      <c r="AK138" s="475" t="s">
        <v>50</v>
      </c>
      <c r="AL138" s="483">
        <v>92126</v>
      </c>
      <c r="AM138" s="474" t="s">
        <v>52</v>
      </c>
      <c r="AN138" s="384" t="s">
        <v>1695</v>
      </c>
      <c r="AO138" s="474" t="s">
        <v>1076</v>
      </c>
      <c r="AP138" s="482"/>
      <c r="AQ138" s="474" t="s">
        <v>37</v>
      </c>
      <c r="AR138" s="474"/>
      <c r="AS138" s="473" t="s">
        <v>1492</v>
      </c>
      <c r="AT138" s="473"/>
      <c r="AU138" s="478"/>
      <c r="AV138" s="471">
        <f t="shared" si="24"/>
        <v>49303156</v>
      </c>
      <c r="AW138" s="471" cm="1">
        <f t="array" ref="AW138">SUM(MID(0&amp;AV138,LARGE(INDEX(ISNUMBER(--MID(AV138,ROW($1:$8),1))*ROW($1:$8),),ROW($1:$8))+1,1)*10^ROW($1:$8)/10)</f>
        <v>49303156</v>
      </c>
      <c r="AX138" s="471" t="str">
        <f>VLOOKUP($AW138,'Item Master Data'!$A:$F,3,FALSE)</f>
        <v>Q.PEAK DUO XL G10 BFG</v>
      </c>
      <c r="AY138" s="471">
        <f>VLOOKUP($AW138,'Item Master Data'!$A:$F,6,FALSE)</f>
        <v>480</v>
      </c>
      <c r="AZ138" s="471">
        <f t="shared" si="25"/>
        <v>22</v>
      </c>
      <c r="BA138" s="471">
        <f>VLOOKUP(AW138,'Item Master Data'!$A:$G,7,FALSE)</f>
        <v>29</v>
      </c>
      <c r="BB138" s="471"/>
      <c r="BC138" s="471">
        <f t="shared" si="26"/>
        <v>0</v>
      </c>
    </row>
    <row r="139" spans="1:55">
      <c r="A139" s="495"/>
      <c r="B139" s="407">
        <v>44642</v>
      </c>
      <c r="C139" s="495"/>
      <c r="D139" s="474" t="s">
        <v>86</v>
      </c>
      <c r="E139" s="474"/>
      <c r="F139" s="474"/>
      <c r="G139" s="380">
        <v>2022</v>
      </c>
      <c r="H139" s="474">
        <v>4</v>
      </c>
      <c r="I139" s="474">
        <v>127982</v>
      </c>
      <c r="J139" s="475">
        <v>44664</v>
      </c>
      <c r="K139" s="474" t="s">
        <v>2008</v>
      </c>
      <c r="L139" s="474" t="s">
        <v>1699</v>
      </c>
      <c r="M139" s="475">
        <v>44565</v>
      </c>
      <c r="N139" s="475">
        <v>44655</v>
      </c>
      <c r="O139" s="475"/>
      <c r="P139" s="475">
        <v>44657</v>
      </c>
      <c r="Q139" s="475">
        <v>44664</v>
      </c>
      <c r="R139" s="475">
        <v>44665</v>
      </c>
      <c r="S139" s="474" t="s">
        <v>88</v>
      </c>
      <c r="T139" s="474">
        <v>60</v>
      </c>
      <c r="U139" s="486" t="s">
        <v>1760</v>
      </c>
      <c r="V139" s="474" t="s">
        <v>973</v>
      </c>
      <c r="W139" s="474">
        <v>400</v>
      </c>
      <c r="X139" s="432">
        <v>2304</v>
      </c>
      <c r="Y139" s="389">
        <f t="shared" si="29"/>
        <v>921600</v>
      </c>
      <c r="Z139" s="478">
        <v>0.55000000000000004</v>
      </c>
      <c r="AA139" s="479">
        <f t="shared" si="27"/>
        <v>506880.00000000006</v>
      </c>
      <c r="AB139" s="480"/>
      <c r="AC139" s="481">
        <v>0</v>
      </c>
      <c r="AD139" s="490"/>
      <c r="AE139" s="482"/>
      <c r="AF139" s="493">
        <f t="shared" si="28"/>
        <v>506880.00000000006</v>
      </c>
      <c r="AG139" s="474" t="s">
        <v>1071</v>
      </c>
      <c r="AH139" s="474"/>
      <c r="AI139" s="474">
        <v>60</v>
      </c>
      <c r="AJ139" s="474" t="s">
        <v>1700</v>
      </c>
      <c r="AK139" s="474" t="s">
        <v>50</v>
      </c>
      <c r="AL139" s="474">
        <v>92126</v>
      </c>
      <c r="AM139" s="474" t="s">
        <v>52</v>
      </c>
      <c r="AN139" s="384" t="s">
        <v>50</v>
      </c>
      <c r="AO139" s="474" t="s">
        <v>1076</v>
      </c>
      <c r="AP139" s="482" t="s">
        <v>38</v>
      </c>
      <c r="AQ139" s="482" t="s">
        <v>37</v>
      </c>
      <c r="AR139" s="482"/>
      <c r="AS139" s="473" t="s">
        <v>1492</v>
      </c>
      <c r="AT139" s="473"/>
      <c r="AU139" s="478">
        <f>208/400</f>
        <v>0.52</v>
      </c>
      <c r="AV139" s="471" t="str">
        <f t="shared" si="24"/>
        <v>30390156H</v>
      </c>
      <c r="AW139" s="471" cm="1">
        <f t="array" ref="AW139">SUM(MID(0&amp;AV139,LARGE(INDEX(ISNUMBER(--MID(AV139,ROW($1:$8),1))*ROW($1:$8),),ROW($1:$8))+1,1)*10^ROW($1:$8)/10)</f>
        <v>30390156</v>
      </c>
      <c r="AX139" s="471" t="str">
        <f>VLOOKUP($AW139,'Item Master Data'!$A:$F,3,FALSE)</f>
        <v>Q.PEAK DUO BLK ML G10+</v>
      </c>
      <c r="AY139" s="471">
        <f>VLOOKUP($AW139,'Item Master Data'!$A:$F,6,FALSE)</f>
        <v>400</v>
      </c>
      <c r="AZ139" s="471">
        <f t="shared" si="25"/>
        <v>72</v>
      </c>
      <c r="BA139" s="471">
        <f>VLOOKUP(AW139,'Item Master Data'!$A:$G,7,FALSE)</f>
        <v>32</v>
      </c>
      <c r="BB139" s="471"/>
      <c r="BC139" s="471">
        <f t="shared" si="26"/>
        <v>0</v>
      </c>
    </row>
    <row r="140" spans="1:55">
      <c r="A140" s="495"/>
      <c r="B140" s="407">
        <v>44627</v>
      </c>
      <c r="C140" s="407">
        <v>44628</v>
      </c>
      <c r="D140" s="474" t="s">
        <v>86</v>
      </c>
      <c r="E140" s="474" t="s">
        <v>2004</v>
      </c>
      <c r="F140" s="474"/>
      <c r="G140" s="380">
        <v>2022</v>
      </c>
      <c r="H140" s="474">
        <v>5</v>
      </c>
      <c r="I140" s="474"/>
      <c r="J140" s="475"/>
      <c r="K140" s="474" t="s">
        <v>2005</v>
      </c>
      <c r="L140" s="474" t="s">
        <v>1699</v>
      </c>
      <c r="M140" s="475">
        <v>44593</v>
      </c>
      <c r="N140" s="475">
        <v>44630</v>
      </c>
      <c r="O140" s="475" t="s">
        <v>1280</v>
      </c>
      <c r="P140" s="502">
        <v>44663</v>
      </c>
      <c r="Q140" s="475"/>
      <c r="R140" s="475"/>
      <c r="S140" s="474" t="s">
        <v>88</v>
      </c>
      <c r="T140" s="474">
        <v>60</v>
      </c>
      <c r="U140" s="486">
        <v>49203132</v>
      </c>
      <c r="V140" s="474" t="s">
        <v>986</v>
      </c>
      <c r="W140" s="474">
        <v>360</v>
      </c>
      <c r="X140" s="432">
        <v>1536</v>
      </c>
      <c r="Y140" s="389">
        <f t="shared" si="29"/>
        <v>552960</v>
      </c>
      <c r="Z140" s="478">
        <f>190.8/360</f>
        <v>0.53</v>
      </c>
      <c r="AA140" s="479">
        <f t="shared" si="27"/>
        <v>293068.79999999999</v>
      </c>
      <c r="AB140" s="480"/>
      <c r="AC140" s="481">
        <v>0</v>
      </c>
      <c r="AD140" s="490"/>
      <c r="AE140" s="398"/>
      <c r="AF140" s="493">
        <f t="shared" si="28"/>
        <v>293068.79999999999</v>
      </c>
      <c r="AG140" s="474" t="s">
        <v>1071</v>
      </c>
      <c r="AH140" s="474"/>
      <c r="AI140" s="474">
        <v>60</v>
      </c>
      <c r="AJ140" s="474" t="s">
        <v>1700</v>
      </c>
      <c r="AK140" s="474" t="s">
        <v>50</v>
      </c>
      <c r="AL140" s="474">
        <v>92126</v>
      </c>
      <c r="AM140" s="474" t="s">
        <v>52</v>
      </c>
      <c r="AN140" s="474" t="s">
        <v>1695</v>
      </c>
      <c r="AO140" s="474" t="s">
        <v>1076</v>
      </c>
      <c r="AP140" s="482"/>
      <c r="AQ140" s="482" t="s">
        <v>37</v>
      </c>
      <c r="AR140" s="482" t="s">
        <v>1216</v>
      </c>
      <c r="AS140" s="473" t="s">
        <v>1492</v>
      </c>
      <c r="AT140" s="473"/>
      <c r="AU140" s="478">
        <f>180/360</f>
        <v>0.5</v>
      </c>
      <c r="AV140" s="471">
        <f t="shared" si="24"/>
        <v>49203132</v>
      </c>
      <c r="AW140" s="471" cm="1">
        <f t="array" ref="AW140">SUM(MID(0&amp;AV140,LARGE(INDEX(ISNUMBER(--MID(AV140,ROW($1:$8),1))*ROW($1:$8),),ROW($1:$8))+1,1)*10^ROW($1:$8)/10)</f>
        <v>49203132</v>
      </c>
      <c r="AX140" s="471" t="str">
        <f>VLOOKUP($AW140,'Item Master Data'!$A:$F,3,FALSE)</f>
        <v>Q.PEAK DUO BLK G10+</v>
      </c>
      <c r="AY140" s="471">
        <f>VLOOKUP($AW140,'Item Master Data'!$A:$F,6,FALSE)</f>
        <v>360</v>
      </c>
      <c r="AZ140" s="471">
        <f t="shared" si="25"/>
        <v>48</v>
      </c>
      <c r="BA140" s="471">
        <f>VLOOKUP(AW140,'Item Master Data'!$A:$G,7,FALSE)</f>
        <v>32</v>
      </c>
      <c r="BB140" s="471"/>
      <c r="BC140" s="471">
        <f t="shared" si="26"/>
        <v>0</v>
      </c>
    </row>
    <row r="141" spans="1:55">
      <c r="A141" s="495"/>
      <c r="B141" s="407">
        <v>44662</v>
      </c>
      <c r="C141" s="407">
        <v>44662</v>
      </c>
      <c r="D141" s="485" t="s">
        <v>86</v>
      </c>
      <c r="E141" s="474"/>
      <c r="F141" s="486"/>
      <c r="G141" s="380">
        <v>2022</v>
      </c>
      <c r="H141" s="474">
        <v>4</v>
      </c>
      <c r="I141" s="474">
        <v>128073</v>
      </c>
      <c r="J141" s="475">
        <v>44665</v>
      </c>
      <c r="K141" s="474" t="s">
        <v>2009</v>
      </c>
      <c r="L141" s="474" t="s">
        <v>1699</v>
      </c>
      <c r="M141" s="475">
        <v>44655</v>
      </c>
      <c r="N141" s="475">
        <v>44655</v>
      </c>
      <c r="O141" s="475"/>
      <c r="P141" s="475">
        <v>44662</v>
      </c>
      <c r="Q141" s="475">
        <v>44665</v>
      </c>
      <c r="R141" s="475">
        <v>44666</v>
      </c>
      <c r="S141" s="474" t="s">
        <v>88</v>
      </c>
      <c r="T141" s="474">
        <v>60</v>
      </c>
      <c r="U141" s="486" t="s">
        <v>1879</v>
      </c>
      <c r="V141" s="474" t="s">
        <v>970</v>
      </c>
      <c r="W141" s="474">
        <v>405</v>
      </c>
      <c r="X141" s="432">
        <v>1664</v>
      </c>
      <c r="Y141" s="389">
        <f t="shared" si="29"/>
        <v>673920</v>
      </c>
      <c r="Z141" s="478">
        <f>222.75/405</f>
        <v>0.55000000000000004</v>
      </c>
      <c r="AA141" s="480">
        <f t="shared" si="27"/>
        <v>370656.00000000006</v>
      </c>
      <c r="AB141" s="480"/>
      <c r="AC141" s="481">
        <v>0</v>
      </c>
      <c r="AD141" s="474"/>
      <c r="AE141" s="474"/>
      <c r="AF141" s="493">
        <f t="shared" si="28"/>
        <v>370656.00000000006</v>
      </c>
      <c r="AG141" s="474" t="s">
        <v>1071</v>
      </c>
      <c r="AH141" s="474"/>
      <c r="AI141" s="474">
        <v>60</v>
      </c>
      <c r="AJ141" s="475" t="s">
        <v>1700</v>
      </c>
      <c r="AK141" s="475" t="s">
        <v>50</v>
      </c>
      <c r="AL141" s="483">
        <v>92126</v>
      </c>
      <c r="AM141" s="474" t="s">
        <v>52</v>
      </c>
      <c r="AN141" s="384" t="s">
        <v>50</v>
      </c>
      <c r="AO141" s="474" t="s">
        <v>1076</v>
      </c>
      <c r="AP141" s="482" t="s">
        <v>92</v>
      </c>
      <c r="AQ141" s="474" t="s">
        <v>37</v>
      </c>
      <c r="AR141" s="474"/>
      <c r="AS141" s="473" t="s">
        <v>1492</v>
      </c>
      <c r="AT141" s="473"/>
      <c r="AU141" s="478">
        <f>208/400</f>
        <v>0.52</v>
      </c>
      <c r="AV141" s="471" t="str">
        <f t="shared" si="24"/>
        <v>30372157H</v>
      </c>
      <c r="AW141" s="471" cm="1">
        <f t="array" ref="AW141">SUM(MID(0&amp;AV141,LARGE(INDEX(ISNUMBER(--MID(AV141,ROW($1:$8),1))*ROW($1:$8),),ROW($1:$8))+1,1)*10^ROW($1:$8)/10)</f>
        <v>30372157</v>
      </c>
      <c r="AX141" s="471" t="str">
        <f>VLOOKUP($AW141,'Item Master Data'!$A:$F,3,FALSE)</f>
        <v>Q.PEAK DUO ML G10.a+</v>
      </c>
      <c r="AY141" s="471">
        <f>VLOOKUP($AW141,'Item Master Data'!$A:$F,6,FALSE)</f>
        <v>405</v>
      </c>
      <c r="AZ141" s="471">
        <f t="shared" si="25"/>
        <v>52</v>
      </c>
      <c r="BA141" s="471">
        <f>VLOOKUP(AW141,'Item Master Data'!$A:$G,7,FALSE)</f>
        <v>32</v>
      </c>
      <c r="BB141" s="471"/>
      <c r="BC141" s="471">
        <f t="shared" si="26"/>
        <v>0</v>
      </c>
    </row>
    <row r="142" spans="1:55">
      <c r="A142" s="495"/>
      <c r="B142" s="407"/>
      <c r="C142" s="407"/>
      <c r="D142" s="485" t="s">
        <v>86</v>
      </c>
      <c r="E142" s="474"/>
      <c r="F142" s="486"/>
      <c r="G142" s="380">
        <v>2022</v>
      </c>
      <c r="H142" s="474">
        <v>4</v>
      </c>
      <c r="I142" s="474" t="s">
        <v>2316</v>
      </c>
      <c r="J142" s="475">
        <v>44678</v>
      </c>
      <c r="K142" s="474" t="s">
        <v>2006</v>
      </c>
      <c r="L142" s="474" t="s">
        <v>1699</v>
      </c>
      <c r="M142" s="475">
        <v>44610</v>
      </c>
      <c r="N142" s="475">
        <v>44610</v>
      </c>
      <c r="O142" s="475"/>
      <c r="P142" s="475">
        <v>44665</v>
      </c>
      <c r="Q142" s="475">
        <v>44678</v>
      </c>
      <c r="R142" s="475">
        <v>44683</v>
      </c>
      <c r="S142" s="474" t="s">
        <v>88</v>
      </c>
      <c r="T142" s="474">
        <v>72</v>
      </c>
      <c r="U142" s="486">
        <v>49303156</v>
      </c>
      <c r="V142" s="474" t="s">
        <v>1070</v>
      </c>
      <c r="W142" s="474">
        <v>480</v>
      </c>
      <c r="X142" s="432">
        <v>1276</v>
      </c>
      <c r="Y142" s="389">
        <f t="shared" si="29"/>
        <v>612480</v>
      </c>
      <c r="Z142" s="478">
        <f>235.2/480</f>
        <v>0.49</v>
      </c>
      <c r="AA142" s="480">
        <f t="shared" si="27"/>
        <v>300115.20000000001</v>
      </c>
      <c r="AB142" s="480"/>
      <c r="AC142" s="481">
        <f t="shared" ref="AC142:AC151" si="30">AB142*Y142</f>
        <v>0</v>
      </c>
      <c r="AD142" s="474"/>
      <c r="AE142" s="398"/>
      <c r="AF142" s="493">
        <f t="shared" si="28"/>
        <v>300115.20000000001</v>
      </c>
      <c r="AG142" s="474" t="s">
        <v>1071</v>
      </c>
      <c r="AH142" s="474"/>
      <c r="AI142" s="474">
        <v>60</v>
      </c>
      <c r="AJ142" s="475" t="s">
        <v>2007</v>
      </c>
      <c r="AK142" s="475" t="s">
        <v>1074</v>
      </c>
      <c r="AL142" s="483">
        <v>30071</v>
      </c>
      <c r="AM142" s="474" t="s">
        <v>52</v>
      </c>
      <c r="AN142" s="384" t="s">
        <v>1695</v>
      </c>
      <c r="AO142" s="474" t="s">
        <v>1076</v>
      </c>
      <c r="AP142" s="482"/>
      <c r="AQ142" s="474" t="s">
        <v>1086</v>
      </c>
      <c r="AR142" s="474"/>
      <c r="AS142" s="473" t="s">
        <v>1492</v>
      </c>
      <c r="AT142" s="473"/>
      <c r="AU142" s="478"/>
      <c r="AV142" s="471">
        <f t="shared" si="24"/>
        <v>49303156</v>
      </c>
      <c r="AW142" s="471" cm="1">
        <f t="array" ref="AW142">SUM(MID(0&amp;AV142,LARGE(INDEX(ISNUMBER(--MID(AV142,ROW($1:$8),1))*ROW($1:$8),),ROW($1:$8))+1,1)*10^ROW($1:$8)/10)</f>
        <v>49303156</v>
      </c>
      <c r="AX142" s="471" t="str">
        <f>VLOOKUP($AW142,'Item Master Data'!$A:$F,3,FALSE)</f>
        <v>Q.PEAK DUO XL G10 BFG</v>
      </c>
      <c r="AY142" s="471">
        <f>VLOOKUP($AW142,'Item Master Data'!$A:$F,6,FALSE)</f>
        <v>480</v>
      </c>
      <c r="AZ142" s="471">
        <f t="shared" si="25"/>
        <v>44</v>
      </c>
      <c r="BA142" s="471">
        <f>VLOOKUP(AW142,'Item Master Data'!$A:$G,7,FALSE)</f>
        <v>29</v>
      </c>
      <c r="BB142" s="471"/>
      <c r="BC142" s="471">
        <f t="shared" si="26"/>
        <v>0</v>
      </c>
    </row>
    <row r="143" spans="1:55">
      <c r="A143" s="495"/>
      <c r="B143" s="407">
        <v>44642</v>
      </c>
      <c r="C143" s="495"/>
      <c r="D143" s="474" t="s">
        <v>86</v>
      </c>
      <c r="E143" s="336"/>
      <c r="F143" s="474"/>
      <c r="G143" s="380">
        <v>2022</v>
      </c>
      <c r="H143" s="474">
        <v>4</v>
      </c>
      <c r="I143" s="474">
        <v>128158</v>
      </c>
      <c r="J143" s="475">
        <v>44673</v>
      </c>
      <c r="K143" s="474" t="s">
        <v>2019</v>
      </c>
      <c r="L143" s="474" t="s">
        <v>2011</v>
      </c>
      <c r="M143" s="475">
        <v>44557</v>
      </c>
      <c r="N143" s="475">
        <v>44606</v>
      </c>
      <c r="O143" s="475"/>
      <c r="P143" s="475">
        <v>44657</v>
      </c>
      <c r="Q143" s="475">
        <v>44673</v>
      </c>
      <c r="R143" s="475">
        <v>44676</v>
      </c>
      <c r="S143" s="474" t="s">
        <v>1688</v>
      </c>
      <c r="T143" s="474">
        <v>60</v>
      </c>
      <c r="U143" s="486" t="s">
        <v>1760</v>
      </c>
      <c r="V143" s="474" t="s">
        <v>973</v>
      </c>
      <c r="W143" s="474">
        <v>400</v>
      </c>
      <c r="X143" s="432">
        <v>832</v>
      </c>
      <c r="Y143" s="389">
        <f t="shared" si="29"/>
        <v>332800</v>
      </c>
      <c r="Z143" s="478">
        <f>220/400</f>
        <v>0.55000000000000004</v>
      </c>
      <c r="AA143" s="479">
        <f t="shared" si="27"/>
        <v>183040.00000000003</v>
      </c>
      <c r="AB143" s="480"/>
      <c r="AC143" s="481">
        <f t="shared" si="30"/>
        <v>0</v>
      </c>
      <c r="AD143" s="474"/>
      <c r="AE143" s="474"/>
      <c r="AF143" s="493">
        <f t="shared" si="28"/>
        <v>183040.00000000003</v>
      </c>
      <c r="AG143" s="474" t="s">
        <v>1071</v>
      </c>
      <c r="AH143" s="474"/>
      <c r="AI143" s="474">
        <v>60</v>
      </c>
      <c r="AJ143" s="475" t="s">
        <v>2012</v>
      </c>
      <c r="AK143" s="475" t="s">
        <v>50</v>
      </c>
      <c r="AL143" s="483" t="s">
        <v>2013</v>
      </c>
      <c r="AM143" s="474" t="s">
        <v>52</v>
      </c>
      <c r="AN143" s="384" t="s">
        <v>50</v>
      </c>
      <c r="AO143" s="474" t="s">
        <v>1076</v>
      </c>
      <c r="AP143" s="482" t="s">
        <v>38</v>
      </c>
      <c r="AQ143" s="482" t="s">
        <v>37</v>
      </c>
      <c r="AR143" s="482"/>
      <c r="AS143" s="473"/>
      <c r="AT143" s="473"/>
      <c r="AU143" s="478">
        <f>208/400</f>
        <v>0.52</v>
      </c>
      <c r="AV143" s="471" t="str">
        <f t="shared" si="24"/>
        <v>30390156H</v>
      </c>
      <c r="AW143" s="471" cm="1">
        <f t="array" ref="AW143">SUM(MID(0&amp;AV143,LARGE(INDEX(ISNUMBER(--MID(AV143,ROW($1:$8),1))*ROW($1:$8),),ROW($1:$8))+1,1)*10^ROW($1:$8)/10)</f>
        <v>30390156</v>
      </c>
      <c r="AX143" s="471" t="str">
        <f>VLOOKUP($AW143,'Item Master Data'!$A:$F,3,FALSE)</f>
        <v>Q.PEAK DUO BLK ML G10+</v>
      </c>
      <c r="AY143" s="471">
        <f>VLOOKUP($AW143,'Item Master Data'!$A:$F,6,FALSE)</f>
        <v>400</v>
      </c>
      <c r="AZ143" s="471">
        <f t="shared" si="25"/>
        <v>26</v>
      </c>
      <c r="BA143" s="471">
        <f>VLOOKUP(AW143,'Item Master Data'!$A:$G,7,FALSE)</f>
        <v>32</v>
      </c>
      <c r="BB143" s="471"/>
      <c r="BC143" s="471">
        <f t="shared" si="26"/>
        <v>0</v>
      </c>
    </row>
    <row r="144" spans="1:55">
      <c r="A144" s="495"/>
      <c r="B144" s="407"/>
      <c r="C144" s="407"/>
      <c r="D144" s="485" t="s">
        <v>86</v>
      </c>
      <c r="E144" s="474"/>
      <c r="F144" s="486"/>
      <c r="G144" s="380">
        <v>2022</v>
      </c>
      <c r="H144" s="474">
        <v>4</v>
      </c>
      <c r="I144" s="474">
        <v>127943</v>
      </c>
      <c r="J144" s="475">
        <v>44657</v>
      </c>
      <c r="K144" s="474" t="s">
        <v>2024</v>
      </c>
      <c r="L144" s="474" t="s">
        <v>2025</v>
      </c>
      <c r="M144" s="475">
        <v>44539</v>
      </c>
      <c r="N144" s="475">
        <v>44655</v>
      </c>
      <c r="O144" s="475"/>
      <c r="P144" s="475">
        <v>44655</v>
      </c>
      <c r="Q144" s="475">
        <v>44657</v>
      </c>
      <c r="R144" s="475">
        <v>44657</v>
      </c>
      <c r="S144" s="474" t="s">
        <v>1957</v>
      </c>
      <c r="T144" s="474">
        <v>60</v>
      </c>
      <c r="U144" s="486">
        <v>49203132</v>
      </c>
      <c r="V144" s="474" t="s">
        <v>986</v>
      </c>
      <c r="W144" s="474">
        <v>360</v>
      </c>
      <c r="X144" s="432">
        <v>768</v>
      </c>
      <c r="Y144" s="389">
        <f t="shared" si="29"/>
        <v>276480</v>
      </c>
      <c r="Z144" s="478">
        <f>190.8/360</f>
        <v>0.53</v>
      </c>
      <c r="AA144" s="480">
        <f t="shared" si="27"/>
        <v>146534.39999999999</v>
      </c>
      <c r="AB144" s="480"/>
      <c r="AC144" s="481">
        <f t="shared" si="30"/>
        <v>0</v>
      </c>
      <c r="AD144" s="474"/>
      <c r="AE144" s="398"/>
      <c r="AF144" s="493">
        <f t="shared" si="28"/>
        <v>146534.39999999999</v>
      </c>
      <c r="AG144" s="474" t="s">
        <v>1071</v>
      </c>
      <c r="AH144" s="474"/>
      <c r="AI144" s="474">
        <v>60</v>
      </c>
      <c r="AJ144" s="475" t="s">
        <v>2026</v>
      </c>
      <c r="AK144" s="475" t="s">
        <v>50</v>
      </c>
      <c r="AL144" s="483">
        <v>95403</v>
      </c>
      <c r="AM144" s="474" t="s">
        <v>52</v>
      </c>
      <c r="AN144" s="384" t="s">
        <v>1695</v>
      </c>
      <c r="AO144" s="474" t="s">
        <v>1076</v>
      </c>
      <c r="AP144" s="482"/>
      <c r="AQ144" s="474" t="s">
        <v>37</v>
      </c>
      <c r="AR144" s="474"/>
      <c r="AS144" s="473" t="s">
        <v>1492</v>
      </c>
      <c r="AT144" s="473"/>
      <c r="AU144" s="478"/>
      <c r="AV144" s="471">
        <f t="shared" si="24"/>
        <v>49203132</v>
      </c>
      <c r="AW144" s="471" cm="1">
        <f t="array" ref="AW144">SUM(MID(0&amp;AV144,LARGE(INDEX(ISNUMBER(--MID(AV144,ROW($1:$8),1))*ROW($1:$8),),ROW($1:$8))+1,1)*10^ROW($1:$8)/10)</f>
        <v>49203132</v>
      </c>
      <c r="AX144" s="471" t="str">
        <f>VLOOKUP($AW144,'Item Master Data'!$A:$F,3,FALSE)</f>
        <v>Q.PEAK DUO BLK G10+</v>
      </c>
      <c r="AY144" s="471">
        <f>VLOOKUP($AW144,'Item Master Data'!$A:$F,6,FALSE)</f>
        <v>360</v>
      </c>
      <c r="AZ144" s="471">
        <f t="shared" si="25"/>
        <v>24</v>
      </c>
      <c r="BA144" s="471">
        <f>VLOOKUP(AW144,'Item Master Data'!$A:$G,7,FALSE)</f>
        <v>32</v>
      </c>
      <c r="BB144" s="471"/>
      <c r="BC144" s="471">
        <f t="shared" si="26"/>
        <v>0</v>
      </c>
    </row>
    <row r="145" spans="1:55">
      <c r="A145" s="495"/>
      <c r="B145" s="407"/>
      <c r="C145" s="407"/>
      <c r="D145" s="485" t="s">
        <v>86</v>
      </c>
      <c r="E145" s="474"/>
      <c r="F145" s="486"/>
      <c r="G145" s="380">
        <v>2022</v>
      </c>
      <c r="H145" s="474">
        <v>4</v>
      </c>
      <c r="I145" s="474">
        <v>127942</v>
      </c>
      <c r="J145" s="475">
        <v>44663</v>
      </c>
      <c r="K145" s="474" t="s">
        <v>2042</v>
      </c>
      <c r="L145" s="474" t="s">
        <v>1703</v>
      </c>
      <c r="M145" s="475">
        <v>44501</v>
      </c>
      <c r="N145" s="475">
        <v>44636</v>
      </c>
      <c r="O145" s="475"/>
      <c r="P145" s="475">
        <v>44657</v>
      </c>
      <c r="Q145" s="475">
        <v>44663</v>
      </c>
      <c r="R145" s="475">
        <v>44665</v>
      </c>
      <c r="S145" s="474" t="s">
        <v>1957</v>
      </c>
      <c r="T145" s="474">
        <v>60</v>
      </c>
      <c r="U145" s="486" t="s">
        <v>1760</v>
      </c>
      <c r="V145" s="474" t="s">
        <v>973</v>
      </c>
      <c r="W145" s="474">
        <v>400</v>
      </c>
      <c r="X145" s="432">
        <v>768</v>
      </c>
      <c r="Y145" s="389">
        <f t="shared" si="29"/>
        <v>307200</v>
      </c>
      <c r="Z145" s="478">
        <f t="shared" ref="Z145:Z151" si="31">220/400</f>
        <v>0.55000000000000004</v>
      </c>
      <c r="AA145" s="480">
        <f t="shared" si="27"/>
        <v>168960</v>
      </c>
      <c r="AB145" s="480"/>
      <c r="AC145" s="481">
        <f t="shared" si="30"/>
        <v>0</v>
      </c>
      <c r="AD145" s="474"/>
      <c r="AE145" s="398"/>
      <c r="AF145" s="493">
        <f t="shared" si="28"/>
        <v>168960</v>
      </c>
      <c r="AG145" s="474" t="s">
        <v>1071</v>
      </c>
      <c r="AH145" s="474"/>
      <c r="AI145" s="474">
        <v>60</v>
      </c>
      <c r="AJ145" s="475" t="s">
        <v>1705</v>
      </c>
      <c r="AK145" s="475" t="s">
        <v>1706</v>
      </c>
      <c r="AL145" s="483" t="s">
        <v>1707</v>
      </c>
      <c r="AM145" s="474" t="s">
        <v>52</v>
      </c>
      <c r="AN145" s="384" t="s">
        <v>50</v>
      </c>
      <c r="AO145" s="474" t="s">
        <v>1076</v>
      </c>
      <c r="AP145" s="482" t="s">
        <v>38</v>
      </c>
      <c r="AQ145" s="474" t="s">
        <v>37</v>
      </c>
      <c r="AR145" s="474"/>
      <c r="AS145" s="473"/>
      <c r="AT145" s="473"/>
      <c r="AU145" s="478"/>
      <c r="AV145" s="471" t="str">
        <f t="shared" si="24"/>
        <v>30390156H</v>
      </c>
      <c r="AW145" s="471" cm="1">
        <f t="array" ref="AW145">SUM(MID(0&amp;AV145,LARGE(INDEX(ISNUMBER(--MID(AV145,ROW($1:$8),1))*ROW($1:$8),),ROW($1:$8))+1,1)*10^ROW($1:$8)/10)</f>
        <v>30390156</v>
      </c>
      <c r="AX145" s="471" t="str">
        <f>VLOOKUP($AW145,'Item Master Data'!$A:$F,3,FALSE)</f>
        <v>Q.PEAK DUO BLK ML G10+</v>
      </c>
      <c r="AY145" s="471">
        <f>VLOOKUP($AW145,'Item Master Data'!$A:$F,6,FALSE)</f>
        <v>400</v>
      </c>
      <c r="AZ145" s="471">
        <f t="shared" si="25"/>
        <v>24</v>
      </c>
      <c r="BA145" s="471">
        <f>VLOOKUP(AW145,'Item Master Data'!$A:$G,7,FALSE)</f>
        <v>32</v>
      </c>
      <c r="BB145" s="471"/>
      <c r="BC145" s="471">
        <f t="shared" si="26"/>
        <v>0</v>
      </c>
    </row>
    <row r="146" spans="1:55">
      <c r="A146" s="495"/>
      <c r="B146" s="407"/>
      <c r="C146" s="407"/>
      <c r="D146" s="485" t="s">
        <v>86</v>
      </c>
      <c r="E146" s="474"/>
      <c r="F146" s="486"/>
      <c r="G146" s="380">
        <v>2022</v>
      </c>
      <c r="H146" s="474">
        <v>4</v>
      </c>
      <c r="I146" s="474">
        <v>127941</v>
      </c>
      <c r="J146" s="475">
        <v>44663</v>
      </c>
      <c r="K146" s="474" t="s">
        <v>2043</v>
      </c>
      <c r="L146" s="474" t="s">
        <v>1703</v>
      </c>
      <c r="M146" s="475">
        <v>44501</v>
      </c>
      <c r="N146" s="475">
        <v>44650</v>
      </c>
      <c r="O146" s="475"/>
      <c r="P146" s="475">
        <v>44657</v>
      </c>
      <c r="Q146" s="475">
        <v>44663</v>
      </c>
      <c r="R146" s="475">
        <v>44665</v>
      </c>
      <c r="S146" s="474" t="s">
        <v>1957</v>
      </c>
      <c r="T146" s="474">
        <v>60</v>
      </c>
      <c r="U146" s="486" t="s">
        <v>1760</v>
      </c>
      <c r="V146" s="474" t="s">
        <v>973</v>
      </c>
      <c r="W146" s="474">
        <v>400</v>
      </c>
      <c r="X146" s="432">
        <v>768</v>
      </c>
      <c r="Y146" s="389">
        <f t="shared" si="29"/>
        <v>307200</v>
      </c>
      <c r="Z146" s="478">
        <f t="shared" si="31"/>
        <v>0.55000000000000004</v>
      </c>
      <c r="AA146" s="480">
        <f t="shared" si="27"/>
        <v>168960</v>
      </c>
      <c r="AB146" s="480"/>
      <c r="AC146" s="481">
        <f t="shared" si="30"/>
        <v>0</v>
      </c>
      <c r="AD146" s="474"/>
      <c r="AE146" s="398"/>
      <c r="AF146" s="493">
        <f t="shared" si="28"/>
        <v>168960</v>
      </c>
      <c r="AG146" s="474" t="s">
        <v>1071</v>
      </c>
      <c r="AH146" s="474"/>
      <c r="AI146" s="474">
        <v>60</v>
      </c>
      <c r="AJ146" s="475" t="s">
        <v>1705</v>
      </c>
      <c r="AK146" s="475" t="s">
        <v>1706</v>
      </c>
      <c r="AL146" s="483" t="s">
        <v>1707</v>
      </c>
      <c r="AM146" s="474" t="s">
        <v>52</v>
      </c>
      <c r="AN146" s="384" t="s">
        <v>50</v>
      </c>
      <c r="AO146" s="474" t="s">
        <v>1076</v>
      </c>
      <c r="AP146" s="482" t="s">
        <v>38</v>
      </c>
      <c r="AQ146" s="474" t="s">
        <v>37</v>
      </c>
      <c r="AR146" s="474"/>
      <c r="AS146" s="473"/>
      <c r="AT146" s="473"/>
      <c r="AU146" s="478"/>
      <c r="AV146" s="471" t="str">
        <f t="shared" si="24"/>
        <v>30390156H</v>
      </c>
      <c r="AW146" s="471" cm="1">
        <f t="array" ref="AW146">SUM(MID(0&amp;AV146,LARGE(INDEX(ISNUMBER(--MID(AV146,ROW($1:$8),1))*ROW($1:$8),),ROW($1:$8))+1,1)*10^ROW($1:$8)/10)</f>
        <v>30390156</v>
      </c>
      <c r="AX146" s="471" t="str">
        <f>VLOOKUP($AW146,'Item Master Data'!$A:$F,3,FALSE)</f>
        <v>Q.PEAK DUO BLK ML G10+</v>
      </c>
      <c r="AY146" s="471">
        <f>VLOOKUP($AW146,'Item Master Data'!$A:$F,6,FALSE)</f>
        <v>400</v>
      </c>
      <c r="AZ146" s="471">
        <f t="shared" si="25"/>
        <v>24</v>
      </c>
      <c r="BA146" s="471">
        <f>VLOOKUP(AW146,'Item Master Data'!$A:$G,7,FALSE)</f>
        <v>32</v>
      </c>
      <c r="BB146" s="471"/>
      <c r="BC146" s="471">
        <f t="shared" si="26"/>
        <v>0</v>
      </c>
    </row>
    <row r="147" spans="1:55">
      <c r="A147" s="495"/>
      <c r="B147" s="407"/>
      <c r="C147" s="407"/>
      <c r="D147" s="485" t="s">
        <v>86</v>
      </c>
      <c r="E147" s="474"/>
      <c r="F147" s="486"/>
      <c r="G147" s="380">
        <v>2022</v>
      </c>
      <c r="H147" s="474">
        <v>4</v>
      </c>
      <c r="I147" s="474">
        <v>127936</v>
      </c>
      <c r="J147" s="475">
        <v>44662</v>
      </c>
      <c r="K147" s="474" t="s">
        <v>2037</v>
      </c>
      <c r="L147" s="474" t="s">
        <v>1703</v>
      </c>
      <c r="M147" s="475">
        <v>44502</v>
      </c>
      <c r="N147" s="475">
        <v>44585</v>
      </c>
      <c r="O147" s="475">
        <v>44635</v>
      </c>
      <c r="P147" s="475">
        <v>44657</v>
      </c>
      <c r="Q147" s="475">
        <v>44662</v>
      </c>
      <c r="R147" s="475">
        <v>44664</v>
      </c>
      <c r="S147" s="474" t="s">
        <v>1957</v>
      </c>
      <c r="T147" s="474">
        <v>60</v>
      </c>
      <c r="U147" s="486" t="s">
        <v>1760</v>
      </c>
      <c r="V147" s="474" t="s">
        <v>973</v>
      </c>
      <c r="W147" s="474">
        <v>400</v>
      </c>
      <c r="X147" s="432">
        <v>768</v>
      </c>
      <c r="Y147" s="389">
        <f t="shared" si="29"/>
        <v>307200</v>
      </c>
      <c r="Z147" s="478">
        <f t="shared" si="31"/>
        <v>0.55000000000000004</v>
      </c>
      <c r="AA147" s="480">
        <f t="shared" si="27"/>
        <v>168960</v>
      </c>
      <c r="AB147" s="480"/>
      <c r="AC147" s="481">
        <f t="shared" si="30"/>
        <v>0</v>
      </c>
      <c r="AD147" s="474"/>
      <c r="AE147" s="398"/>
      <c r="AF147" s="493">
        <f t="shared" si="28"/>
        <v>168960</v>
      </c>
      <c r="AG147" s="474" t="s">
        <v>1071</v>
      </c>
      <c r="AH147" s="474"/>
      <c r="AI147" s="474">
        <v>60</v>
      </c>
      <c r="AJ147" s="475" t="s">
        <v>1705</v>
      </c>
      <c r="AK147" s="475" t="s">
        <v>1706</v>
      </c>
      <c r="AL147" s="483" t="s">
        <v>1707</v>
      </c>
      <c r="AM147" s="474" t="s">
        <v>52</v>
      </c>
      <c r="AN147" s="384" t="s">
        <v>50</v>
      </c>
      <c r="AO147" s="474" t="s">
        <v>1076</v>
      </c>
      <c r="AP147" s="482" t="s">
        <v>38</v>
      </c>
      <c r="AQ147" s="474" t="s">
        <v>37</v>
      </c>
      <c r="AR147" s="474" t="s">
        <v>1677</v>
      </c>
      <c r="AS147" s="473"/>
      <c r="AT147" s="473"/>
      <c r="AU147" s="478">
        <f>182/400</f>
        <v>0.45500000000000002</v>
      </c>
      <c r="AV147" s="471" t="str">
        <f t="shared" si="24"/>
        <v>30390156H</v>
      </c>
      <c r="AW147" s="471" cm="1">
        <f t="array" ref="AW147">SUM(MID(0&amp;AV147,LARGE(INDEX(ISNUMBER(--MID(AV147,ROW($1:$8),1))*ROW($1:$8),),ROW($1:$8))+1,1)*10^ROW($1:$8)/10)</f>
        <v>30390156</v>
      </c>
      <c r="AX147" s="471" t="str">
        <f>VLOOKUP($AW147,'Item Master Data'!$A:$F,3,FALSE)</f>
        <v>Q.PEAK DUO BLK ML G10+</v>
      </c>
      <c r="AY147" s="471">
        <f>VLOOKUP($AW147,'Item Master Data'!$A:$F,6,FALSE)</f>
        <v>400</v>
      </c>
      <c r="AZ147" s="471">
        <f t="shared" si="25"/>
        <v>24</v>
      </c>
      <c r="BA147" s="471">
        <f>VLOOKUP(AW147,'Item Master Data'!$A:$G,7,FALSE)</f>
        <v>32</v>
      </c>
      <c r="BB147" s="471"/>
      <c r="BC147" s="471">
        <f t="shared" si="26"/>
        <v>0</v>
      </c>
    </row>
    <row r="148" spans="1:55">
      <c r="A148" s="495"/>
      <c r="B148" s="407"/>
      <c r="C148" s="407"/>
      <c r="D148" s="485" t="s">
        <v>86</v>
      </c>
      <c r="E148" s="474"/>
      <c r="F148" s="486"/>
      <c r="G148" s="380">
        <v>2022</v>
      </c>
      <c r="H148" s="474">
        <v>4</v>
      </c>
      <c r="I148" s="474">
        <v>127937</v>
      </c>
      <c r="J148" s="475">
        <v>44662</v>
      </c>
      <c r="K148" s="474" t="s">
        <v>2038</v>
      </c>
      <c r="L148" s="474" t="s">
        <v>1703</v>
      </c>
      <c r="M148" s="475">
        <v>44502</v>
      </c>
      <c r="N148" s="475">
        <v>44592</v>
      </c>
      <c r="O148" s="475">
        <v>44642</v>
      </c>
      <c r="P148" s="475">
        <v>44657</v>
      </c>
      <c r="Q148" s="475">
        <v>44662</v>
      </c>
      <c r="R148" s="475">
        <v>44664</v>
      </c>
      <c r="S148" s="474" t="s">
        <v>1957</v>
      </c>
      <c r="T148" s="474">
        <v>60</v>
      </c>
      <c r="U148" s="486" t="s">
        <v>1760</v>
      </c>
      <c r="V148" s="474" t="s">
        <v>973</v>
      </c>
      <c r="W148" s="474">
        <v>400</v>
      </c>
      <c r="X148" s="432">
        <v>768</v>
      </c>
      <c r="Y148" s="389">
        <f t="shared" si="29"/>
        <v>307200</v>
      </c>
      <c r="Z148" s="478">
        <f t="shared" si="31"/>
        <v>0.55000000000000004</v>
      </c>
      <c r="AA148" s="480">
        <f t="shared" si="27"/>
        <v>168960</v>
      </c>
      <c r="AB148" s="480"/>
      <c r="AC148" s="481">
        <f t="shared" si="30"/>
        <v>0</v>
      </c>
      <c r="AD148" s="474"/>
      <c r="AE148" s="398"/>
      <c r="AF148" s="493">
        <f t="shared" si="28"/>
        <v>168960</v>
      </c>
      <c r="AG148" s="474" t="s">
        <v>1071</v>
      </c>
      <c r="AH148" s="474"/>
      <c r="AI148" s="474">
        <v>60</v>
      </c>
      <c r="AJ148" s="475" t="s">
        <v>1705</v>
      </c>
      <c r="AK148" s="475" t="s">
        <v>1706</v>
      </c>
      <c r="AL148" s="483" t="s">
        <v>1707</v>
      </c>
      <c r="AM148" s="474" t="s">
        <v>52</v>
      </c>
      <c r="AN148" s="384" t="s">
        <v>50</v>
      </c>
      <c r="AO148" s="474" t="s">
        <v>1076</v>
      </c>
      <c r="AP148" s="482" t="s">
        <v>38</v>
      </c>
      <c r="AQ148" s="474" t="s">
        <v>37</v>
      </c>
      <c r="AR148" s="474" t="s">
        <v>1677</v>
      </c>
      <c r="AS148" s="473"/>
      <c r="AT148" s="473"/>
      <c r="AU148" s="478">
        <f>182/400</f>
        <v>0.45500000000000002</v>
      </c>
      <c r="AV148" s="471" t="str">
        <f t="shared" si="24"/>
        <v>30390156H</v>
      </c>
      <c r="AW148" s="471" cm="1">
        <f t="array" ref="AW148">SUM(MID(0&amp;AV148,LARGE(INDEX(ISNUMBER(--MID(AV148,ROW($1:$8),1))*ROW($1:$8),),ROW($1:$8))+1,1)*10^ROW($1:$8)/10)</f>
        <v>30390156</v>
      </c>
      <c r="AX148" s="471" t="str">
        <f>VLOOKUP($AW148,'Item Master Data'!$A:$F,3,FALSE)</f>
        <v>Q.PEAK DUO BLK ML G10+</v>
      </c>
      <c r="AY148" s="471">
        <f>VLOOKUP($AW148,'Item Master Data'!$A:$F,6,FALSE)</f>
        <v>400</v>
      </c>
      <c r="AZ148" s="471">
        <f t="shared" si="25"/>
        <v>24</v>
      </c>
      <c r="BA148" s="471">
        <f>VLOOKUP(AW148,'Item Master Data'!$A:$G,7,FALSE)</f>
        <v>32</v>
      </c>
      <c r="BB148" s="471"/>
      <c r="BC148" s="471">
        <f t="shared" si="26"/>
        <v>0</v>
      </c>
    </row>
    <row r="149" spans="1:55">
      <c r="A149" s="495">
        <v>10</v>
      </c>
      <c r="B149" s="407">
        <v>44627</v>
      </c>
      <c r="C149" s="407">
        <v>44628</v>
      </c>
      <c r="D149" s="485" t="s">
        <v>86</v>
      </c>
      <c r="E149" s="474"/>
      <c r="F149" s="486"/>
      <c r="G149" s="380">
        <v>2022</v>
      </c>
      <c r="H149" s="474">
        <v>4</v>
      </c>
      <c r="I149" s="474">
        <v>127938</v>
      </c>
      <c r="J149" s="475">
        <v>44662</v>
      </c>
      <c r="K149" s="474" t="s">
        <v>2044</v>
      </c>
      <c r="L149" s="474" t="s">
        <v>2045</v>
      </c>
      <c r="M149" s="475">
        <v>44511</v>
      </c>
      <c r="N149" s="475">
        <v>44587</v>
      </c>
      <c r="O149" s="475">
        <v>44635</v>
      </c>
      <c r="P149" s="475">
        <v>44657</v>
      </c>
      <c r="Q149" s="475">
        <v>44662</v>
      </c>
      <c r="R149" s="475">
        <v>44664</v>
      </c>
      <c r="S149" s="474" t="s">
        <v>1957</v>
      </c>
      <c r="T149" s="474">
        <v>60</v>
      </c>
      <c r="U149" s="486" t="s">
        <v>1760</v>
      </c>
      <c r="V149" s="474" t="s">
        <v>973</v>
      </c>
      <c r="W149" s="474">
        <v>400</v>
      </c>
      <c r="X149" s="432">
        <v>768</v>
      </c>
      <c r="Y149" s="389">
        <f t="shared" si="29"/>
        <v>307200</v>
      </c>
      <c r="Z149" s="478">
        <f t="shared" si="31"/>
        <v>0.55000000000000004</v>
      </c>
      <c r="AA149" s="480">
        <f t="shared" si="27"/>
        <v>168960</v>
      </c>
      <c r="AB149" s="480"/>
      <c r="AC149" s="481">
        <f t="shared" si="30"/>
        <v>0</v>
      </c>
      <c r="AD149" s="474"/>
      <c r="AE149" s="398"/>
      <c r="AF149" s="493">
        <f t="shared" si="28"/>
        <v>168960</v>
      </c>
      <c r="AG149" s="474" t="s">
        <v>1071</v>
      </c>
      <c r="AH149" s="474"/>
      <c r="AI149" s="474">
        <v>60</v>
      </c>
      <c r="AJ149" s="475" t="s">
        <v>2046</v>
      </c>
      <c r="AK149" s="475" t="s">
        <v>1706</v>
      </c>
      <c r="AL149" s="483">
        <v>99217</v>
      </c>
      <c r="AM149" s="474" t="s">
        <v>52</v>
      </c>
      <c r="AN149" s="384" t="s">
        <v>50</v>
      </c>
      <c r="AO149" s="474" t="s">
        <v>1076</v>
      </c>
      <c r="AP149" s="482" t="s">
        <v>38</v>
      </c>
      <c r="AQ149" s="474" t="s">
        <v>37</v>
      </c>
      <c r="AR149" s="474" t="s">
        <v>1677</v>
      </c>
      <c r="AS149" s="473" t="s">
        <v>1492</v>
      </c>
      <c r="AT149" s="473"/>
      <c r="AU149" s="478">
        <f>182/400</f>
        <v>0.45500000000000002</v>
      </c>
      <c r="AV149" s="471" t="str">
        <f t="shared" si="24"/>
        <v>30390156H</v>
      </c>
      <c r="AW149" s="471" cm="1">
        <f t="array" ref="AW149">SUM(MID(0&amp;AV149,LARGE(INDEX(ISNUMBER(--MID(AV149,ROW($1:$8),1))*ROW($1:$8),),ROW($1:$8))+1,1)*10^ROW($1:$8)/10)</f>
        <v>30390156</v>
      </c>
      <c r="AX149" s="471" t="str">
        <f>VLOOKUP($AW149,'Item Master Data'!$A:$F,3,FALSE)</f>
        <v>Q.PEAK DUO BLK ML G10+</v>
      </c>
      <c r="AY149" s="471">
        <f>VLOOKUP($AW149,'Item Master Data'!$A:$F,6,FALSE)</f>
        <v>400</v>
      </c>
      <c r="AZ149" s="471">
        <f t="shared" si="25"/>
        <v>24</v>
      </c>
      <c r="BA149" s="471">
        <f>VLOOKUP(AW149,'Item Master Data'!$A:$G,7,FALSE)</f>
        <v>32</v>
      </c>
      <c r="BB149" s="471"/>
      <c r="BC149" s="471">
        <f t="shared" si="26"/>
        <v>0</v>
      </c>
    </row>
    <row r="150" spans="1:55">
      <c r="A150" s="495">
        <v>10</v>
      </c>
      <c r="B150" s="407">
        <v>44627</v>
      </c>
      <c r="C150" s="407">
        <v>44628</v>
      </c>
      <c r="D150" s="485" t="s">
        <v>86</v>
      </c>
      <c r="E150" s="474"/>
      <c r="F150" s="486"/>
      <c r="G150" s="380">
        <v>2022</v>
      </c>
      <c r="H150" s="474">
        <v>4</v>
      </c>
      <c r="I150" s="474">
        <v>127939</v>
      </c>
      <c r="J150" s="475">
        <v>44662</v>
      </c>
      <c r="K150" s="474" t="s">
        <v>2047</v>
      </c>
      <c r="L150" s="474" t="s">
        <v>2045</v>
      </c>
      <c r="M150" s="475">
        <v>44505</v>
      </c>
      <c r="N150" s="475">
        <v>44621</v>
      </c>
      <c r="O150" s="475">
        <v>44638</v>
      </c>
      <c r="P150" s="475">
        <v>44657</v>
      </c>
      <c r="Q150" s="475">
        <v>44662</v>
      </c>
      <c r="R150" s="475">
        <v>44664</v>
      </c>
      <c r="S150" s="474" t="s">
        <v>1957</v>
      </c>
      <c r="T150" s="474">
        <v>60</v>
      </c>
      <c r="U150" s="486" t="s">
        <v>1760</v>
      </c>
      <c r="V150" s="474" t="s">
        <v>973</v>
      </c>
      <c r="W150" s="474">
        <v>400</v>
      </c>
      <c r="X150" s="432">
        <v>768</v>
      </c>
      <c r="Y150" s="389">
        <f t="shared" si="29"/>
        <v>307200</v>
      </c>
      <c r="Z150" s="478">
        <f t="shared" si="31"/>
        <v>0.55000000000000004</v>
      </c>
      <c r="AA150" s="480">
        <f t="shared" si="27"/>
        <v>168960</v>
      </c>
      <c r="AB150" s="480"/>
      <c r="AC150" s="481">
        <f t="shared" si="30"/>
        <v>0</v>
      </c>
      <c r="AD150" s="474"/>
      <c r="AE150" s="398"/>
      <c r="AF150" s="493">
        <f t="shared" si="28"/>
        <v>168960</v>
      </c>
      <c r="AG150" s="474" t="s">
        <v>1071</v>
      </c>
      <c r="AH150" s="474"/>
      <c r="AI150" s="474">
        <v>60</v>
      </c>
      <c r="AJ150" s="475" t="s">
        <v>2046</v>
      </c>
      <c r="AK150" s="475" t="s">
        <v>1706</v>
      </c>
      <c r="AL150" s="483">
        <v>99217</v>
      </c>
      <c r="AM150" s="474" t="s">
        <v>52</v>
      </c>
      <c r="AN150" s="384" t="s">
        <v>50</v>
      </c>
      <c r="AO150" s="474" t="s">
        <v>1076</v>
      </c>
      <c r="AP150" s="482" t="s">
        <v>38</v>
      </c>
      <c r="AQ150" s="474" t="s">
        <v>37</v>
      </c>
      <c r="AR150" s="474" t="s">
        <v>1677</v>
      </c>
      <c r="AS150" s="473" t="s">
        <v>1492</v>
      </c>
      <c r="AT150" s="473"/>
      <c r="AU150" s="478">
        <f>182/400</f>
        <v>0.45500000000000002</v>
      </c>
      <c r="AV150" s="471" t="str">
        <f t="shared" si="24"/>
        <v>30390156H</v>
      </c>
      <c r="AW150" s="471" cm="1">
        <f t="array" ref="AW150">SUM(MID(0&amp;AV150,LARGE(INDEX(ISNUMBER(--MID(AV150,ROW($1:$8),1))*ROW($1:$8),),ROW($1:$8))+1,1)*10^ROW($1:$8)/10)</f>
        <v>30390156</v>
      </c>
      <c r="AX150" s="471" t="str">
        <f>VLOOKUP($AW150,'Item Master Data'!$A:$F,3,FALSE)</f>
        <v>Q.PEAK DUO BLK ML G10+</v>
      </c>
      <c r="AY150" s="471">
        <f>VLOOKUP($AW150,'Item Master Data'!$A:$F,6,FALSE)</f>
        <v>400</v>
      </c>
      <c r="AZ150" s="471">
        <f t="shared" si="25"/>
        <v>24</v>
      </c>
      <c r="BA150" s="471">
        <f>VLOOKUP(AW150,'Item Master Data'!$A:$G,7,FALSE)</f>
        <v>32</v>
      </c>
      <c r="BB150" s="471"/>
      <c r="BC150" s="471">
        <f t="shared" si="26"/>
        <v>0</v>
      </c>
    </row>
    <row r="151" spans="1:55">
      <c r="A151" s="495"/>
      <c r="B151" s="407"/>
      <c r="C151" s="407"/>
      <c r="D151" s="485" t="s">
        <v>86</v>
      </c>
      <c r="E151" s="474"/>
      <c r="F151" s="486"/>
      <c r="G151" s="380">
        <v>2022</v>
      </c>
      <c r="H151" s="474">
        <v>4</v>
      </c>
      <c r="I151" s="474">
        <v>127983</v>
      </c>
      <c r="J151" s="475">
        <v>44665</v>
      </c>
      <c r="K151" s="474" t="s">
        <v>2048</v>
      </c>
      <c r="L151" s="474" t="s">
        <v>2049</v>
      </c>
      <c r="M151" s="475">
        <v>44488</v>
      </c>
      <c r="N151" s="475">
        <v>44662</v>
      </c>
      <c r="O151" s="475"/>
      <c r="P151" s="475">
        <v>44657</v>
      </c>
      <c r="Q151" s="475">
        <v>44665</v>
      </c>
      <c r="R151" s="475">
        <v>44666</v>
      </c>
      <c r="S151" s="474" t="s">
        <v>1688</v>
      </c>
      <c r="T151" s="474">
        <v>60</v>
      </c>
      <c r="U151" s="486" t="s">
        <v>1760</v>
      </c>
      <c r="V151" s="474" t="s">
        <v>973</v>
      </c>
      <c r="W151" s="474">
        <v>400</v>
      </c>
      <c r="X151" s="432">
        <v>832</v>
      </c>
      <c r="Y151" s="389">
        <f t="shared" si="29"/>
        <v>332800</v>
      </c>
      <c r="Z151" s="478">
        <f t="shared" si="31"/>
        <v>0.55000000000000004</v>
      </c>
      <c r="AA151" s="480">
        <f t="shared" si="27"/>
        <v>183040.00000000003</v>
      </c>
      <c r="AB151" s="480"/>
      <c r="AC151" s="481">
        <f t="shared" si="30"/>
        <v>0</v>
      </c>
      <c r="AD151" s="474"/>
      <c r="AE151" s="398"/>
      <c r="AF151" s="493">
        <f t="shared" si="28"/>
        <v>183040.00000000003</v>
      </c>
      <c r="AG151" s="474" t="s">
        <v>1071</v>
      </c>
      <c r="AH151" s="474"/>
      <c r="AI151" s="474">
        <v>60</v>
      </c>
      <c r="AJ151" s="475" t="s">
        <v>2050</v>
      </c>
      <c r="AK151" s="475" t="s">
        <v>50</v>
      </c>
      <c r="AL151" s="483" t="s">
        <v>2051</v>
      </c>
      <c r="AM151" s="474" t="s">
        <v>52</v>
      </c>
      <c r="AN151" s="384" t="s">
        <v>50</v>
      </c>
      <c r="AO151" s="474" t="s">
        <v>1076</v>
      </c>
      <c r="AP151" s="482" t="s">
        <v>38</v>
      </c>
      <c r="AQ151" s="474" t="s">
        <v>37</v>
      </c>
      <c r="AR151" s="474" t="s">
        <v>1248</v>
      </c>
      <c r="AS151" s="473"/>
      <c r="AT151" s="473"/>
      <c r="AU151" s="478">
        <f>186/400</f>
        <v>0.46500000000000002</v>
      </c>
      <c r="AV151" s="471" t="str">
        <f t="shared" si="24"/>
        <v>30390156H</v>
      </c>
      <c r="AW151" s="471" cm="1">
        <f t="array" ref="AW151">SUM(MID(0&amp;AV151,LARGE(INDEX(ISNUMBER(--MID(AV151,ROW($1:$8),1))*ROW($1:$8),),ROW($1:$8))+1,1)*10^ROW($1:$8)/10)</f>
        <v>30390156</v>
      </c>
      <c r="AX151" s="471" t="str">
        <f>VLOOKUP($AW151,'Item Master Data'!$A:$F,3,FALSE)</f>
        <v>Q.PEAK DUO BLK ML G10+</v>
      </c>
      <c r="AY151" s="471">
        <f>VLOOKUP($AW151,'Item Master Data'!$A:$F,6,FALSE)</f>
        <v>400</v>
      </c>
      <c r="AZ151" s="471">
        <f t="shared" si="25"/>
        <v>26</v>
      </c>
      <c r="BA151" s="471">
        <f>VLOOKUP(AW151,'Item Master Data'!$A:$G,7,FALSE)</f>
        <v>32</v>
      </c>
      <c r="BB151" s="471"/>
      <c r="BC151" s="471">
        <f t="shared" si="26"/>
        <v>0</v>
      </c>
    </row>
    <row r="152" spans="1:55">
      <c r="A152" s="495"/>
      <c r="B152" s="495"/>
      <c r="C152" s="495"/>
      <c r="D152" s="474" t="s">
        <v>86</v>
      </c>
      <c r="E152" s="665"/>
      <c r="F152" s="474"/>
      <c r="G152" s="380">
        <v>2022</v>
      </c>
      <c r="H152" s="474">
        <v>5</v>
      </c>
      <c r="I152" s="486"/>
      <c r="J152" s="475"/>
      <c r="K152" s="474" t="s">
        <v>2076</v>
      </c>
      <c r="L152" s="474" t="s">
        <v>2049</v>
      </c>
      <c r="M152" s="475">
        <v>44573</v>
      </c>
      <c r="N152" s="475">
        <v>44636</v>
      </c>
      <c r="O152" s="475"/>
      <c r="P152" s="475">
        <v>44663</v>
      </c>
      <c r="Q152" s="475"/>
      <c r="R152" s="475"/>
      <c r="S152" s="474" t="s">
        <v>88</v>
      </c>
      <c r="T152" s="474">
        <v>60</v>
      </c>
      <c r="U152" s="474">
        <v>49204132</v>
      </c>
      <c r="V152" s="486" t="s">
        <v>1223</v>
      </c>
      <c r="W152" s="474">
        <v>360</v>
      </c>
      <c r="X152" s="432">
        <v>364</v>
      </c>
      <c r="Y152" s="389">
        <v>131040</v>
      </c>
      <c r="Z152" s="478">
        <v>0.83000000000000007</v>
      </c>
      <c r="AA152" s="479">
        <v>108763.20000000001</v>
      </c>
      <c r="AB152" s="480"/>
      <c r="AC152" s="481">
        <v>0</v>
      </c>
      <c r="AD152" s="474"/>
      <c r="AE152" s="482"/>
      <c r="AF152" s="493">
        <v>108763.20000000001</v>
      </c>
      <c r="AG152" s="486" t="s">
        <v>1071</v>
      </c>
      <c r="AH152" s="486"/>
      <c r="AI152" s="486">
        <v>60</v>
      </c>
      <c r="AJ152" s="475" t="s">
        <v>2077</v>
      </c>
      <c r="AK152" s="486" t="s">
        <v>50</v>
      </c>
      <c r="AL152" s="483" t="s">
        <v>2051</v>
      </c>
      <c r="AM152" s="486" t="s">
        <v>52</v>
      </c>
      <c r="AN152" s="384" t="s">
        <v>1695</v>
      </c>
      <c r="AO152" s="474" t="s">
        <v>1076</v>
      </c>
      <c r="AP152" s="482"/>
      <c r="AQ152" s="482" t="s">
        <v>37</v>
      </c>
      <c r="AR152" s="482" t="s">
        <v>1216</v>
      </c>
      <c r="AS152" s="472" t="s">
        <v>1492</v>
      </c>
      <c r="AT152" s="472"/>
      <c r="AU152" s="478">
        <v>0.78999999999999992</v>
      </c>
      <c r="AV152" s="471">
        <f t="shared" si="24"/>
        <v>49204132</v>
      </c>
      <c r="AW152" s="471" cm="1">
        <f t="array" ref="AW152">SUM(MID(0&amp;AV152,LARGE(INDEX(ISNUMBER(--MID(AV152,ROW($1:$8),1))*ROW($1:$8),),ROW($1:$8))+1,1)*10^ROW($1:$8)/10)</f>
        <v>49204132</v>
      </c>
      <c r="AX152" s="471" t="str">
        <f>VLOOKUP($AW152,'Item Master Data'!$A:$F,3,FALSE)</f>
        <v>Q.PEAK DUO BLK G10+/AC</v>
      </c>
      <c r="AY152" s="471">
        <f>VLOOKUP($AW152,'Item Master Data'!$A:$F,6,FALSE)</f>
        <v>360</v>
      </c>
      <c r="AZ152" s="471">
        <f t="shared" si="25"/>
        <v>14</v>
      </c>
      <c r="BA152" s="471">
        <f>VLOOKUP(AW152,'Item Master Data'!$A:$G,7,FALSE)</f>
        <v>26</v>
      </c>
      <c r="BB152" s="471"/>
      <c r="BC152" s="471">
        <f t="shared" si="26"/>
        <v>0</v>
      </c>
    </row>
    <row r="153" spans="1:55">
      <c r="A153" s="495"/>
      <c r="B153" s="495"/>
      <c r="C153" s="495"/>
      <c r="D153" s="474" t="s">
        <v>86</v>
      </c>
      <c r="E153" s="336"/>
      <c r="F153" s="474"/>
      <c r="G153" s="380">
        <v>2022</v>
      </c>
      <c r="H153" s="474">
        <v>5</v>
      </c>
      <c r="I153" s="486"/>
      <c r="J153" s="475"/>
      <c r="K153" s="474" t="s">
        <v>2082</v>
      </c>
      <c r="L153" s="474" t="s">
        <v>2049</v>
      </c>
      <c r="M153" s="475">
        <v>44573</v>
      </c>
      <c r="N153" s="475">
        <v>44666</v>
      </c>
      <c r="O153" s="475"/>
      <c r="P153" s="502">
        <v>44663</v>
      </c>
      <c r="Q153" s="475"/>
      <c r="R153" s="475"/>
      <c r="S153" s="474" t="s">
        <v>88</v>
      </c>
      <c r="T153" s="474">
        <v>60</v>
      </c>
      <c r="U153" s="474">
        <v>49204132</v>
      </c>
      <c r="V153" s="486" t="s">
        <v>1223</v>
      </c>
      <c r="W153" s="474">
        <v>360</v>
      </c>
      <c r="X153" s="432">
        <v>364</v>
      </c>
      <c r="Y153" s="389">
        <v>131040</v>
      </c>
      <c r="Z153" s="478">
        <v>0.83000000000000007</v>
      </c>
      <c r="AA153" s="479">
        <v>108763.20000000001</v>
      </c>
      <c r="AB153" s="480"/>
      <c r="AC153" s="481">
        <v>0</v>
      </c>
      <c r="AD153" s="474"/>
      <c r="AE153" s="482"/>
      <c r="AF153" s="493">
        <v>108763.20000000001</v>
      </c>
      <c r="AG153" s="486" t="s">
        <v>1071</v>
      </c>
      <c r="AH153" s="486"/>
      <c r="AI153" s="486">
        <v>60</v>
      </c>
      <c r="AJ153" s="475" t="s">
        <v>2077</v>
      </c>
      <c r="AK153" s="486" t="s">
        <v>50</v>
      </c>
      <c r="AL153" s="483" t="s">
        <v>2051</v>
      </c>
      <c r="AM153" s="486" t="s">
        <v>52</v>
      </c>
      <c r="AN153" s="384" t="s">
        <v>1695</v>
      </c>
      <c r="AO153" s="474" t="s">
        <v>1076</v>
      </c>
      <c r="AP153" s="482"/>
      <c r="AQ153" s="482" t="s">
        <v>37</v>
      </c>
      <c r="AR153" s="482" t="s">
        <v>1216</v>
      </c>
      <c r="AS153" s="472" t="s">
        <v>1492</v>
      </c>
      <c r="AT153" s="472"/>
      <c r="AU153" s="478">
        <v>0.78999999999999992</v>
      </c>
      <c r="AV153" s="471">
        <f t="shared" si="24"/>
        <v>49204132</v>
      </c>
      <c r="AW153" s="471" cm="1">
        <f t="array" ref="AW153">SUM(MID(0&amp;AV153,LARGE(INDEX(ISNUMBER(--MID(AV153,ROW($1:$8),1))*ROW($1:$8),),ROW($1:$8))+1,1)*10^ROW($1:$8)/10)</f>
        <v>49204132</v>
      </c>
      <c r="AX153" s="471" t="str">
        <f>VLOOKUP($AW153,'Item Master Data'!$A:$F,3,FALSE)</f>
        <v>Q.PEAK DUO BLK G10+/AC</v>
      </c>
      <c r="AY153" s="471">
        <f>VLOOKUP($AW153,'Item Master Data'!$A:$F,6,FALSE)</f>
        <v>360</v>
      </c>
      <c r="AZ153" s="471">
        <f t="shared" si="25"/>
        <v>14</v>
      </c>
      <c r="BA153" s="471">
        <f>VLOOKUP(AW153,'Item Master Data'!$A:$G,7,FALSE)</f>
        <v>26</v>
      </c>
      <c r="BB153" s="471"/>
      <c r="BC153" s="471">
        <f t="shared" si="26"/>
        <v>0</v>
      </c>
    </row>
    <row r="154" spans="1:55">
      <c r="A154" s="495"/>
      <c r="B154" s="407"/>
      <c r="C154" s="407"/>
      <c r="D154" s="485" t="s">
        <v>86</v>
      </c>
      <c r="E154" s="474"/>
      <c r="F154" s="486"/>
      <c r="G154" s="380">
        <v>2022</v>
      </c>
      <c r="H154" s="474">
        <v>5</v>
      </c>
      <c r="I154" s="474"/>
      <c r="J154" s="475"/>
      <c r="K154" s="474" t="s">
        <v>2069</v>
      </c>
      <c r="L154" s="474" t="s">
        <v>2049</v>
      </c>
      <c r="M154" s="475">
        <v>44505</v>
      </c>
      <c r="N154" s="475">
        <v>44621</v>
      </c>
      <c r="O154" s="475">
        <v>44682</v>
      </c>
      <c r="P154" s="502">
        <v>44663</v>
      </c>
      <c r="Q154" s="475"/>
      <c r="R154" s="475"/>
      <c r="S154" s="474" t="s">
        <v>1688</v>
      </c>
      <c r="T154" s="474">
        <v>60</v>
      </c>
      <c r="U154" s="486">
        <v>49203132</v>
      </c>
      <c r="V154" s="474" t="s">
        <v>986</v>
      </c>
      <c r="W154" s="474">
        <v>360</v>
      </c>
      <c r="X154" s="432">
        <v>832</v>
      </c>
      <c r="Y154" s="389">
        <f t="shared" ref="Y154:Y217" si="32">W154*X154</f>
        <v>299520</v>
      </c>
      <c r="Z154" s="478">
        <f>190.8/360</f>
        <v>0.53</v>
      </c>
      <c r="AA154" s="480">
        <f t="shared" ref="AA154:AA217" si="33">Z154*Y154</f>
        <v>158745.60000000001</v>
      </c>
      <c r="AB154" s="480"/>
      <c r="AC154" s="481">
        <f t="shared" ref="AC154:AC181" si="34">AB154*Y154</f>
        <v>0</v>
      </c>
      <c r="AD154" s="474"/>
      <c r="AE154" s="474"/>
      <c r="AF154" s="493">
        <f t="shared" ref="AF154:AF181" si="35">AE154+AD154+AA154</f>
        <v>158745.60000000001</v>
      </c>
      <c r="AG154" s="474" t="s">
        <v>1071</v>
      </c>
      <c r="AH154" s="474"/>
      <c r="AI154" s="474">
        <v>60</v>
      </c>
      <c r="AJ154" s="475" t="s">
        <v>2050</v>
      </c>
      <c r="AK154" s="475" t="s">
        <v>50</v>
      </c>
      <c r="AL154" s="483" t="s">
        <v>2051</v>
      </c>
      <c r="AM154" s="474" t="s">
        <v>52</v>
      </c>
      <c r="AN154" s="474" t="s">
        <v>1695</v>
      </c>
      <c r="AO154" s="474" t="s">
        <v>1076</v>
      </c>
      <c r="AP154" s="482"/>
      <c r="AQ154" s="474" t="s">
        <v>37</v>
      </c>
      <c r="AR154" s="474"/>
      <c r="AS154" s="473"/>
      <c r="AT154" s="473"/>
      <c r="AU154" s="478"/>
      <c r="AV154" s="471">
        <f t="shared" si="24"/>
        <v>49203132</v>
      </c>
      <c r="AW154" s="471" cm="1">
        <f t="array" ref="AW154">SUM(MID(0&amp;AV154,LARGE(INDEX(ISNUMBER(--MID(AV154,ROW($1:$8),1))*ROW($1:$8),),ROW($1:$8))+1,1)*10^ROW($1:$8)/10)</f>
        <v>49203132</v>
      </c>
      <c r="AX154" s="471" t="str">
        <f>VLOOKUP($AW154,'Item Master Data'!$A:$F,3,FALSE)</f>
        <v>Q.PEAK DUO BLK G10+</v>
      </c>
      <c r="AY154" s="471">
        <f>VLOOKUP($AW154,'Item Master Data'!$A:$F,6,FALSE)</f>
        <v>360</v>
      </c>
      <c r="AZ154" s="471">
        <f t="shared" si="25"/>
        <v>26</v>
      </c>
      <c r="BA154" s="471">
        <f>VLOOKUP(AW154,'Item Master Data'!$A:$G,7,FALSE)</f>
        <v>32</v>
      </c>
      <c r="BB154" s="471"/>
      <c r="BC154" s="471">
        <f t="shared" si="26"/>
        <v>0</v>
      </c>
    </row>
    <row r="155" spans="1:55">
      <c r="A155" s="495"/>
      <c r="B155" s="407"/>
      <c r="C155" s="407"/>
      <c r="D155" s="485" t="s">
        <v>86</v>
      </c>
      <c r="E155" s="385"/>
      <c r="F155" s="474">
        <v>1</v>
      </c>
      <c r="G155" s="380">
        <v>2022</v>
      </c>
      <c r="H155" s="474">
        <v>4</v>
      </c>
      <c r="I155" s="474">
        <v>128080</v>
      </c>
      <c r="J155" s="475">
        <v>44656</v>
      </c>
      <c r="K155" s="474" t="s">
        <v>2089</v>
      </c>
      <c r="L155" s="474" t="s">
        <v>1714</v>
      </c>
      <c r="M155" s="475">
        <v>44510</v>
      </c>
      <c r="N155" s="475">
        <v>44593</v>
      </c>
      <c r="O155" s="475">
        <v>44652</v>
      </c>
      <c r="P155" s="475">
        <v>44645</v>
      </c>
      <c r="Q155" s="475">
        <v>44656</v>
      </c>
      <c r="R155" s="475">
        <v>44659</v>
      </c>
      <c r="S155" s="474" t="s">
        <v>88</v>
      </c>
      <c r="T155" s="474">
        <v>60</v>
      </c>
      <c r="U155" s="474">
        <v>49203132</v>
      </c>
      <c r="V155" s="474" t="s">
        <v>986</v>
      </c>
      <c r="W155" s="474">
        <v>360</v>
      </c>
      <c r="X155" s="432">
        <v>768</v>
      </c>
      <c r="Y155" s="389">
        <f t="shared" si="32"/>
        <v>276480</v>
      </c>
      <c r="Z155" s="478">
        <f>190.8/360</f>
        <v>0.53</v>
      </c>
      <c r="AA155" s="480">
        <f t="shared" si="33"/>
        <v>146534.39999999999</v>
      </c>
      <c r="AB155" s="480"/>
      <c r="AC155" s="481">
        <f t="shared" si="34"/>
        <v>0</v>
      </c>
      <c r="AD155" s="474"/>
      <c r="AE155" s="398"/>
      <c r="AF155" s="493">
        <f t="shared" si="35"/>
        <v>146534.39999999999</v>
      </c>
      <c r="AG155" s="474" t="s">
        <v>1071</v>
      </c>
      <c r="AH155" s="474"/>
      <c r="AI155" s="474">
        <v>60</v>
      </c>
      <c r="AJ155" s="475" t="s">
        <v>1715</v>
      </c>
      <c r="AK155" s="475" t="s">
        <v>50</v>
      </c>
      <c r="AL155" s="483" t="s">
        <v>1716</v>
      </c>
      <c r="AM155" s="474" t="s">
        <v>52</v>
      </c>
      <c r="AN155" s="384" t="s">
        <v>1074</v>
      </c>
      <c r="AO155" s="474" t="s">
        <v>1076</v>
      </c>
      <c r="AP155" s="482"/>
      <c r="AQ155" s="474" t="s">
        <v>37</v>
      </c>
      <c r="AR155" s="474" t="s">
        <v>1216</v>
      </c>
      <c r="AS155" s="473" t="s">
        <v>1492</v>
      </c>
      <c r="AT155" s="473"/>
      <c r="AU155" s="478">
        <f>180/360</f>
        <v>0.5</v>
      </c>
      <c r="AV155" s="471">
        <f t="shared" si="24"/>
        <v>49203132</v>
      </c>
      <c r="AW155" s="471" cm="1">
        <f t="array" ref="AW155">SUM(MID(0&amp;AV155,LARGE(INDEX(ISNUMBER(--MID(AV155,ROW($1:$8),1))*ROW($1:$8),),ROW($1:$8))+1,1)*10^ROW($1:$8)/10)</f>
        <v>49203132</v>
      </c>
      <c r="AX155" s="471" t="str">
        <f>VLOOKUP($AW155,'Item Master Data'!$A:$F,3,FALSE)</f>
        <v>Q.PEAK DUO BLK G10+</v>
      </c>
      <c r="AY155" s="471">
        <f>VLOOKUP($AW155,'Item Master Data'!$A:$F,6,FALSE)</f>
        <v>360</v>
      </c>
      <c r="AZ155" s="471">
        <f t="shared" si="25"/>
        <v>24</v>
      </c>
      <c r="BA155" s="471">
        <f>VLOOKUP(AW155,'Item Master Data'!$A:$G,7,FALSE)</f>
        <v>32</v>
      </c>
      <c r="BB155" s="471"/>
      <c r="BC155" s="471">
        <f t="shared" si="26"/>
        <v>0</v>
      </c>
    </row>
    <row r="156" spans="1:55">
      <c r="A156" s="495"/>
      <c r="B156" s="407">
        <v>44522</v>
      </c>
      <c r="C156" s="407">
        <v>44522</v>
      </c>
      <c r="D156" s="485" t="s">
        <v>86</v>
      </c>
      <c r="E156" s="474" t="s">
        <v>2102</v>
      </c>
      <c r="F156" s="664" t="s">
        <v>87</v>
      </c>
      <c r="G156" s="380">
        <v>2022</v>
      </c>
      <c r="H156" s="474">
        <v>4</v>
      </c>
      <c r="I156" s="474"/>
      <c r="J156" s="475"/>
      <c r="K156" s="519" t="s">
        <v>1835</v>
      </c>
      <c r="L156" s="519" t="s">
        <v>1836</v>
      </c>
      <c r="M156" s="521">
        <v>44461</v>
      </c>
      <c r="N156" s="521">
        <v>44616</v>
      </c>
      <c r="O156" s="521"/>
      <c r="P156" s="521" t="s">
        <v>1922</v>
      </c>
      <c r="Q156" s="521"/>
      <c r="R156" s="521"/>
      <c r="S156" s="519" t="s">
        <v>1688</v>
      </c>
      <c r="T156" s="519">
        <v>72</v>
      </c>
      <c r="U156" s="390" t="s">
        <v>1760</v>
      </c>
      <c r="V156" s="519" t="s">
        <v>1838</v>
      </c>
      <c r="W156" s="519">
        <v>410</v>
      </c>
      <c r="X156" s="391">
        <v>58</v>
      </c>
      <c r="Y156" s="396">
        <f t="shared" si="32"/>
        <v>23780</v>
      </c>
      <c r="Z156" s="478">
        <f>172.2/410</f>
        <v>0.42</v>
      </c>
      <c r="AA156" s="480">
        <f t="shared" si="33"/>
        <v>9987.6</v>
      </c>
      <c r="AB156" s="480"/>
      <c r="AC156" s="481">
        <f t="shared" si="34"/>
        <v>0</v>
      </c>
      <c r="AD156" s="474"/>
      <c r="AE156" s="474"/>
      <c r="AF156" s="493">
        <f t="shared" si="35"/>
        <v>9987.6</v>
      </c>
      <c r="AG156" s="474" t="s">
        <v>47</v>
      </c>
      <c r="AH156" s="474">
        <v>100</v>
      </c>
      <c r="AI156" s="474"/>
      <c r="AJ156" s="475" t="s">
        <v>1839</v>
      </c>
      <c r="AK156" s="475" t="s">
        <v>50</v>
      </c>
      <c r="AL156" s="483">
        <v>91311</v>
      </c>
      <c r="AM156" s="474" t="s">
        <v>52</v>
      </c>
      <c r="AN156" s="384" t="s">
        <v>1085</v>
      </c>
      <c r="AO156" s="474" t="s">
        <v>1076</v>
      </c>
      <c r="AP156" s="482" t="s">
        <v>38</v>
      </c>
      <c r="AQ156" s="474" t="s">
        <v>1086</v>
      </c>
      <c r="AR156" s="474"/>
      <c r="AS156" s="473"/>
      <c r="AT156" s="473"/>
      <c r="AU156" s="478"/>
      <c r="AV156" s="471" t="str">
        <f t="shared" si="24"/>
        <v>30390156H</v>
      </c>
      <c r="AW156" s="471" cm="1">
        <f t="array" ref="AW156">SUM(MID(0&amp;AV156,LARGE(INDEX(ISNUMBER(--MID(AV156,ROW($1:$8),1))*ROW($1:$8),),ROW($1:$8))+1,1)*10^ROW($1:$8)/10)</f>
        <v>30390156</v>
      </c>
      <c r="AX156" s="471" t="str">
        <f>VLOOKUP($AW156,'Item Master Data'!$A:$F,3,FALSE)</f>
        <v>Q.PEAK DUO BLK ML G10+</v>
      </c>
      <c r="AY156" s="471">
        <f>VLOOKUP($AW156,'Item Master Data'!$A:$F,6,FALSE)</f>
        <v>400</v>
      </c>
      <c r="AZ156" s="471">
        <f t="shared" si="25"/>
        <v>1.8125</v>
      </c>
      <c r="BA156" s="471">
        <f>VLOOKUP(AW156,'Item Master Data'!$A:$G,7,FALSE)</f>
        <v>32</v>
      </c>
      <c r="BB156" s="471"/>
      <c r="BC156" s="471">
        <f t="shared" si="26"/>
        <v>10</v>
      </c>
    </row>
    <row r="157" spans="1:55">
      <c r="A157" s="495"/>
      <c r="B157" s="407"/>
      <c r="C157" s="407"/>
      <c r="D157" s="485" t="s">
        <v>86</v>
      </c>
      <c r="E157" s="474"/>
      <c r="F157" s="486"/>
      <c r="G157" s="380">
        <v>2022</v>
      </c>
      <c r="H157" s="474">
        <v>4</v>
      </c>
      <c r="I157" s="474">
        <v>127984</v>
      </c>
      <c r="J157" s="475">
        <v>44664</v>
      </c>
      <c r="K157" s="474" t="s">
        <v>2100</v>
      </c>
      <c r="L157" s="474" t="s">
        <v>1714</v>
      </c>
      <c r="M157" s="475">
        <v>44558</v>
      </c>
      <c r="N157" s="475">
        <v>44662</v>
      </c>
      <c r="O157" s="475"/>
      <c r="P157" s="475">
        <v>44657</v>
      </c>
      <c r="Q157" s="475">
        <v>44664</v>
      </c>
      <c r="R157" s="475">
        <v>44665</v>
      </c>
      <c r="S157" s="474" t="s">
        <v>1688</v>
      </c>
      <c r="T157" s="474">
        <v>60</v>
      </c>
      <c r="U157" s="486" t="s">
        <v>1760</v>
      </c>
      <c r="V157" s="474" t="s">
        <v>973</v>
      </c>
      <c r="W157" s="474">
        <v>400</v>
      </c>
      <c r="X157" s="432">
        <v>768</v>
      </c>
      <c r="Y157" s="389">
        <f t="shared" si="32"/>
        <v>307200</v>
      </c>
      <c r="Z157" s="478">
        <f>220/400</f>
        <v>0.55000000000000004</v>
      </c>
      <c r="AA157" s="480">
        <f t="shared" si="33"/>
        <v>168960</v>
      </c>
      <c r="AB157" s="480"/>
      <c r="AC157" s="481">
        <f t="shared" si="34"/>
        <v>0</v>
      </c>
      <c r="AD157" s="474"/>
      <c r="AE157" s="398"/>
      <c r="AF157" s="493">
        <f t="shared" si="35"/>
        <v>168960</v>
      </c>
      <c r="AG157" s="474" t="s">
        <v>1071</v>
      </c>
      <c r="AH157" s="474"/>
      <c r="AI157" s="474">
        <v>60</v>
      </c>
      <c r="AJ157" s="475" t="s">
        <v>2101</v>
      </c>
      <c r="AK157" s="475" t="s">
        <v>50</v>
      </c>
      <c r="AL157" s="483">
        <v>93003</v>
      </c>
      <c r="AM157" s="474" t="s">
        <v>52</v>
      </c>
      <c r="AN157" s="384" t="s">
        <v>50</v>
      </c>
      <c r="AO157" s="474" t="s">
        <v>1076</v>
      </c>
      <c r="AP157" s="482" t="s">
        <v>38</v>
      </c>
      <c r="AQ157" s="474" t="s">
        <v>37</v>
      </c>
      <c r="AR157" s="474"/>
      <c r="AS157" s="473"/>
      <c r="AT157" s="473"/>
      <c r="AU157" s="478"/>
      <c r="AV157" s="471" t="str">
        <f t="shared" si="24"/>
        <v>30390156H</v>
      </c>
      <c r="AW157" s="471" cm="1">
        <f t="array" ref="AW157">SUM(MID(0&amp;AV157,LARGE(INDEX(ISNUMBER(--MID(AV157,ROW($1:$8),1))*ROW($1:$8),),ROW($1:$8))+1,1)*10^ROW($1:$8)/10)</f>
        <v>30390156</v>
      </c>
      <c r="AX157" s="471" t="str">
        <f>VLOOKUP($AW157,'Item Master Data'!$A:$F,3,FALSE)</f>
        <v>Q.PEAK DUO BLK ML G10+</v>
      </c>
      <c r="AY157" s="471">
        <f>VLOOKUP($AW157,'Item Master Data'!$A:$F,6,FALSE)</f>
        <v>400</v>
      </c>
      <c r="AZ157" s="471">
        <f t="shared" si="25"/>
        <v>24</v>
      </c>
      <c r="BA157" s="471">
        <f>VLOOKUP(AW157,'Item Master Data'!$A:$G,7,FALSE)</f>
        <v>32</v>
      </c>
      <c r="BB157" s="471"/>
      <c r="BC157" s="471">
        <f t="shared" si="26"/>
        <v>0</v>
      </c>
    </row>
    <row r="158" spans="1:55">
      <c r="A158" s="495"/>
      <c r="B158" s="407">
        <v>44670</v>
      </c>
      <c r="C158" s="407">
        <v>44670</v>
      </c>
      <c r="D158" s="485" t="s">
        <v>86</v>
      </c>
      <c r="E158" s="666"/>
      <c r="F158" s="474"/>
      <c r="G158" s="380">
        <v>2022</v>
      </c>
      <c r="H158" s="474">
        <v>4</v>
      </c>
      <c r="I158" s="474"/>
      <c r="J158" s="475"/>
      <c r="K158" s="474" t="s">
        <v>4286</v>
      </c>
      <c r="L158" s="474" t="s">
        <v>4287</v>
      </c>
      <c r="M158" s="475">
        <v>44645</v>
      </c>
      <c r="N158" s="475">
        <v>44645</v>
      </c>
      <c r="O158" s="475"/>
      <c r="P158" s="345">
        <v>44677</v>
      </c>
      <c r="Q158" s="475"/>
      <c r="R158" s="475"/>
      <c r="S158" s="474" t="s">
        <v>88</v>
      </c>
      <c r="T158" s="474">
        <v>60</v>
      </c>
      <c r="U158" s="486" t="s">
        <v>1879</v>
      </c>
      <c r="V158" s="486" t="s">
        <v>970</v>
      </c>
      <c r="W158" s="474">
        <v>405</v>
      </c>
      <c r="X158" s="432">
        <v>64</v>
      </c>
      <c r="Y158" s="389">
        <f t="shared" si="32"/>
        <v>25920</v>
      </c>
      <c r="Z158" s="478">
        <f>222.75/405</f>
        <v>0.55000000000000004</v>
      </c>
      <c r="AA158" s="479">
        <f t="shared" si="33"/>
        <v>14256.000000000002</v>
      </c>
      <c r="AB158" s="480"/>
      <c r="AC158" s="481">
        <f t="shared" si="34"/>
        <v>0</v>
      </c>
      <c r="AD158" s="474"/>
      <c r="AE158" s="474"/>
      <c r="AF158" s="493">
        <f t="shared" si="35"/>
        <v>14256.000000000002</v>
      </c>
      <c r="AG158" s="474" t="s">
        <v>1071</v>
      </c>
      <c r="AH158" s="474">
        <v>100</v>
      </c>
      <c r="AI158" s="474">
        <v>0</v>
      </c>
      <c r="AJ158" s="475" t="s">
        <v>4288</v>
      </c>
      <c r="AK158" s="475" t="s">
        <v>50</v>
      </c>
      <c r="AL158" s="483" t="s">
        <v>4289</v>
      </c>
      <c r="AM158" s="474" t="s">
        <v>52</v>
      </c>
      <c r="AN158" s="384" t="s">
        <v>50</v>
      </c>
      <c r="AO158" s="474" t="s">
        <v>1076</v>
      </c>
      <c r="AP158" s="482" t="s">
        <v>92</v>
      </c>
      <c r="AQ158" s="482" t="s">
        <v>37</v>
      </c>
      <c r="AR158" s="474" t="s">
        <v>1216</v>
      </c>
      <c r="AS158" s="473" t="s">
        <v>1492</v>
      </c>
      <c r="AT158" s="473"/>
      <c r="AU158" s="478">
        <f>208/400</f>
        <v>0.52</v>
      </c>
      <c r="AV158" s="471" t="str">
        <f t="shared" si="24"/>
        <v>30372157H</v>
      </c>
      <c r="AW158" s="471" cm="1">
        <f t="array" ref="AW158">SUM(MID(0&amp;AV158,LARGE(INDEX(ISNUMBER(--MID(AV158,ROW($1:$8),1))*ROW($1:$8),),ROW($1:$8))+1,1)*10^ROW($1:$8)/10)</f>
        <v>30372157</v>
      </c>
      <c r="AX158" s="471" t="str">
        <f>VLOOKUP($AW158,'Item Master Data'!$A:$F,3,FALSE)</f>
        <v>Q.PEAK DUO ML G10.a+</v>
      </c>
      <c r="AY158" s="471">
        <f>VLOOKUP($AW158,'Item Master Data'!$A:$F,6,FALSE)</f>
        <v>405</v>
      </c>
      <c r="AZ158" s="471">
        <f t="shared" si="25"/>
        <v>2</v>
      </c>
      <c r="BA158" s="471">
        <f>VLOOKUP(AW158,'Item Master Data'!$A:$G,7,FALSE)</f>
        <v>32</v>
      </c>
      <c r="BB158" s="471"/>
      <c r="BC158" s="471">
        <f t="shared" si="26"/>
        <v>0</v>
      </c>
    </row>
    <row r="159" spans="1:55">
      <c r="A159" s="495"/>
      <c r="B159" s="407">
        <v>44558</v>
      </c>
      <c r="C159" s="407">
        <v>44558</v>
      </c>
      <c r="D159" s="485" t="s">
        <v>86</v>
      </c>
      <c r="E159" s="474"/>
      <c r="F159" s="486"/>
      <c r="G159" s="380">
        <v>2022</v>
      </c>
      <c r="H159" s="474">
        <v>4</v>
      </c>
      <c r="I159" s="474">
        <v>127987</v>
      </c>
      <c r="J159" s="475">
        <v>44663</v>
      </c>
      <c r="K159" s="474" t="s">
        <v>2246</v>
      </c>
      <c r="L159" s="474" t="s">
        <v>1953</v>
      </c>
      <c r="M159" s="475">
        <v>44498</v>
      </c>
      <c r="N159" s="475">
        <v>44593</v>
      </c>
      <c r="O159" s="475" t="s">
        <v>1978</v>
      </c>
      <c r="P159" s="475">
        <v>44658</v>
      </c>
      <c r="Q159" s="475">
        <v>44663</v>
      </c>
      <c r="R159" s="475">
        <v>44663</v>
      </c>
      <c r="S159" s="474" t="s">
        <v>1704</v>
      </c>
      <c r="T159" s="474">
        <v>60</v>
      </c>
      <c r="U159" s="486" t="s">
        <v>1281</v>
      </c>
      <c r="V159" s="474" t="s">
        <v>973</v>
      </c>
      <c r="W159" s="474">
        <v>400</v>
      </c>
      <c r="X159" s="432">
        <v>768</v>
      </c>
      <c r="Y159" s="389">
        <f t="shared" si="32"/>
        <v>307200</v>
      </c>
      <c r="Z159" s="478">
        <f t="shared" ref="Z159:Z178" si="36">188/400</f>
        <v>0.47</v>
      </c>
      <c r="AA159" s="480">
        <f t="shared" si="33"/>
        <v>144384</v>
      </c>
      <c r="AB159" s="480"/>
      <c r="AC159" s="481">
        <f t="shared" si="34"/>
        <v>0</v>
      </c>
      <c r="AD159" s="474"/>
      <c r="AE159" s="474">
        <f>AA159*0.0725</f>
        <v>10467.84</v>
      </c>
      <c r="AF159" s="493">
        <f t="shared" si="35"/>
        <v>154851.84</v>
      </c>
      <c r="AG159" s="474" t="s">
        <v>47</v>
      </c>
      <c r="AH159" s="474"/>
      <c r="AI159" s="474">
        <v>60</v>
      </c>
      <c r="AJ159" s="475" t="s">
        <v>1984</v>
      </c>
      <c r="AK159" s="475" t="s">
        <v>50</v>
      </c>
      <c r="AL159" s="483">
        <v>95765</v>
      </c>
      <c r="AM159" s="474" t="s">
        <v>52</v>
      </c>
      <c r="AN159" s="384" t="s">
        <v>1963</v>
      </c>
      <c r="AO159" s="474" t="s">
        <v>1076</v>
      </c>
      <c r="AP159" s="482" t="s">
        <v>38</v>
      </c>
      <c r="AQ159" s="474" t="s">
        <v>37</v>
      </c>
      <c r="AR159" s="474"/>
      <c r="AS159" s="473" t="s">
        <v>1152</v>
      </c>
      <c r="AT159" s="473" t="s">
        <v>1076</v>
      </c>
      <c r="AU159" s="478"/>
      <c r="AV159" s="471" t="str">
        <f t="shared" si="24"/>
        <v>30390456H</v>
      </c>
      <c r="AW159" s="471" cm="1">
        <f t="array" ref="AW159">SUM(MID(0&amp;AV159,LARGE(INDEX(ISNUMBER(--MID(AV159,ROW($1:$8),1))*ROW($1:$8),),ROW($1:$8))+1,1)*10^ROW($1:$8)/10)</f>
        <v>30390456</v>
      </c>
      <c r="AX159" s="471" t="str">
        <f>VLOOKUP($AW159,'Item Master Data'!$A:$F,3,FALSE)</f>
        <v>Q.PEAK DUO BLK ML G10+</v>
      </c>
      <c r="AY159" s="471">
        <f>VLOOKUP($AW159,'Item Master Data'!$A:$F,6,FALSE)</f>
        <v>400</v>
      </c>
      <c r="AZ159" s="471">
        <f t="shared" si="25"/>
        <v>24</v>
      </c>
      <c r="BA159" s="471">
        <f>VLOOKUP(AW159,'Item Master Data'!$A:$G,7,FALSE)</f>
        <v>32</v>
      </c>
      <c r="BB159" s="471"/>
      <c r="BC159" s="471">
        <f t="shared" si="26"/>
        <v>0</v>
      </c>
    </row>
    <row r="160" spans="1:55">
      <c r="A160" s="495"/>
      <c r="B160" s="407"/>
      <c r="C160" s="407"/>
      <c r="D160" s="485" t="s">
        <v>86</v>
      </c>
      <c r="E160" s="385"/>
      <c r="F160" s="486"/>
      <c r="G160" s="380">
        <v>2022</v>
      </c>
      <c r="H160" s="474">
        <v>4</v>
      </c>
      <c r="I160" s="474"/>
      <c r="J160" s="475"/>
      <c r="K160" s="501" t="s">
        <v>2201</v>
      </c>
      <c r="L160" s="474" t="s">
        <v>1953</v>
      </c>
      <c r="M160" s="475">
        <v>44498</v>
      </c>
      <c r="N160" s="475">
        <v>44621</v>
      </c>
      <c r="O160" s="475"/>
      <c r="P160" s="475">
        <v>44673</v>
      </c>
      <c r="Q160" s="475">
        <v>44679</v>
      </c>
      <c r="R160" s="475">
        <v>44680</v>
      </c>
      <c r="S160" s="474" t="s">
        <v>1704</v>
      </c>
      <c r="T160" s="474">
        <v>60</v>
      </c>
      <c r="U160" s="486" t="s">
        <v>1281</v>
      </c>
      <c r="V160" s="474" t="s">
        <v>973</v>
      </c>
      <c r="W160" s="474">
        <v>400</v>
      </c>
      <c r="X160" s="432">
        <v>768</v>
      </c>
      <c r="Y160" s="389">
        <f t="shared" si="32"/>
        <v>307200</v>
      </c>
      <c r="Z160" s="478">
        <f t="shared" si="36"/>
        <v>0.47</v>
      </c>
      <c r="AA160" s="480">
        <f t="shared" si="33"/>
        <v>144384</v>
      </c>
      <c r="AB160" s="480"/>
      <c r="AC160" s="481">
        <f t="shared" si="34"/>
        <v>0</v>
      </c>
      <c r="AD160" s="474"/>
      <c r="AE160" s="398">
        <f>AA160*0.0725</f>
        <v>10467.84</v>
      </c>
      <c r="AF160" s="493">
        <f t="shared" si="35"/>
        <v>154851.84</v>
      </c>
      <c r="AG160" s="474" t="s">
        <v>47</v>
      </c>
      <c r="AH160" s="474"/>
      <c r="AI160" s="474">
        <v>60</v>
      </c>
      <c r="AJ160" s="475" t="s">
        <v>1984</v>
      </c>
      <c r="AK160" s="475" t="s">
        <v>50</v>
      </c>
      <c r="AL160" s="483">
        <v>95765</v>
      </c>
      <c r="AM160" s="474" t="s">
        <v>52</v>
      </c>
      <c r="AN160" s="384" t="s">
        <v>50</v>
      </c>
      <c r="AO160" s="474" t="s">
        <v>1076</v>
      </c>
      <c r="AP160" s="482" t="s">
        <v>38</v>
      </c>
      <c r="AQ160" s="474" t="s">
        <v>37</v>
      </c>
      <c r="AR160" s="474"/>
      <c r="AS160" s="473" t="s">
        <v>1152</v>
      </c>
      <c r="AT160" s="473" t="s">
        <v>1076</v>
      </c>
      <c r="AU160" s="478"/>
      <c r="AV160" s="471" t="str">
        <f t="shared" si="24"/>
        <v>30390456H</v>
      </c>
      <c r="AW160" s="471" cm="1">
        <f t="array" ref="AW160">SUM(MID(0&amp;AV160,LARGE(INDEX(ISNUMBER(--MID(AV160,ROW($1:$8),1))*ROW($1:$8),),ROW($1:$8))+1,1)*10^ROW($1:$8)/10)</f>
        <v>30390456</v>
      </c>
      <c r="AX160" s="471" t="str">
        <f>VLOOKUP($AW160,'Item Master Data'!$A:$F,3,FALSE)</f>
        <v>Q.PEAK DUO BLK ML G10+</v>
      </c>
      <c r="AY160" s="471">
        <f>VLOOKUP($AW160,'Item Master Data'!$A:$F,6,FALSE)</f>
        <v>400</v>
      </c>
      <c r="AZ160" s="471">
        <f t="shared" si="25"/>
        <v>24</v>
      </c>
      <c r="BA160" s="471">
        <f>VLOOKUP(AW160,'Item Master Data'!$A:$G,7,FALSE)</f>
        <v>32</v>
      </c>
      <c r="BB160" s="471"/>
      <c r="BC160" s="471">
        <f t="shared" si="26"/>
        <v>0</v>
      </c>
    </row>
    <row r="161" spans="1:55">
      <c r="A161" s="495">
        <v>10</v>
      </c>
      <c r="B161" s="407">
        <v>44558</v>
      </c>
      <c r="C161" s="407">
        <v>44558</v>
      </c>
      <c r="D161" s="485" t="s">
        <v>86</v>
      </c>
      <c r="E161" s="474"/>
      <c r="F161" s="486"/>
      <c r="G161" s="380">
        <v>2022</v>
      </c>
      <c r="H161" s="474">
        <v>4</v>
      </c>
      <c r="I161" s="474">
        <v>127985</v>
      </c>
      <c r="J161" s="475">
        <v>44666</v>
      </c>
      <c r="K161" s="474" t="s">
        <v>2159</v>
      </c>
      <c r="L161" s="474" t="s">
        <v>1953</v>
      </c>
      <c r="M161" s="475">
        <v>44498</v>
      </c>
      <c r="N161" s="475">
        <v>44621</v>
      </c>
      <c r="O161" s="475"/>
      <c r="P161" s="475">
        <v>44658</v>
      </c>
      <c r="Q161" s="475">
        <v>44665</v>
      </c>
      <c r="R161" s="475">
        <v>44666</v>
      </c>
      <c r="S161" s="474" t="s">
        <v>1704</v>
      </c>
      <c r="T161" s="474">
        <v>60</v>
      </c>
      <c r="U161" s="486" t="s">
        <v>1281</v>
      </c>
      <c r="V161" s="474" t="s">
        <v>973</v>
      </c>
      <c r="W161" s="474">
        <v>400</v>
      </c>
      <c r="X161" s="432">
        <v>768</v>
      </c>
      <c r="Y161" s="389">
        <f t="shared" si="32"/>
        <v>307200</v>
      </c>
      <c r="Z161" s="478">
        <f t="shared" si="36"/>
        <v>0.47</v>
      </c>
      <c r="AA161" s="480">
        <f t="shared" si="33"/>
        <v>144384</v>
      </c>
      <c r="AB161" s="480"/>
      <c r="AC161" s="481">
        <f t="shared" si="34"/>
        <v>0</v>
      </c>
      <c r="AD161" s="474"/>
      <c r="AE161" s="474">
        <f>AA161*0.0775</f>
        <v>11189.76</v>
      </c>
      <c r="AF161" s="493">
        <f t="shared" si="35"/>
        <v>155573.76000000001</v>
      </c>
      <c r="AG161" s="474" t="s">
        <v>47</v>
      </c>
      <c r="AH161" s="474"/>
      <c r="AI161" s="474">
        <v>60</v>
      </c>
      <c r="AJ161" s="475" t="s">
        <v>1954</v>
      </c>
      <c r="AK161" s="475" t="s">
        <v>50</v>
      </c>
      <c r="AL161" s="483">
        <v>92123</v>
      </c>
      <c r="AM161" s="474" t="s">
        <v>52</v>
      </c>
      <c r="AN161" s="384" t="s">
        <v>50</v>
      </c>
      <c r="AO161" s="474" t="s">
        <v>1076</v>
      </c>
      <c r="AP161" s="482" t="s">
        <v>38</v>
      </c>
      <c r="AQ161" s="474" t="s">
        <v>37</v>
      </c>
      <c r="AR161" s="474"/>
      <c r="AS161" s="473" t="s">
        <v>1152</v>
      </c>
      <c r="AT161" s="473" t="s">
        <v>1076</v>
      </c>
      <c r="AU161" s="478"/>
      <c r="AV161" s="471" t="str">
        <f t="shared" si="24"/>
        <v>30390456H</v>
      </c>
      <c r="AW161" s="471" cm="1">
        <f t="array" ref="AW161">SUM(MID(0&amp;AV161,LARGE(INDEX(ISNUMBER(--MID(AV161,ROW($1:$8),1))*ROW($1:$8),),ROW($1:$8))+1,1)*10^ROW($1:$8)/10)</f>
        <v>30390456</v>
      </c>
      <c r="AX161" s="471" t="str">
        <f>VLOOKUP($AW161,'Item Master Data'!$A:$F,3,FALSE)</f>
        <v>Q.PEAK DUO BLK ML G10+</v>
      </c>
      <c r="AY161" s="471">
        <f>VLOOKUP($AW161,'Item Master Data'!$A:$F,6,FALSE)</f>
        <v>400</v>
      </c>
      <c r="AZ161" s="471">
        <f t="shared" si="25"/>
        <v>24</v>
      </c>
      <c r="BA161" s="471">
        <f>VLOOKUP(AW161,'Item Master Data'!$A:$G,7,FALSE)</f>
        <v>32</v>
      </c>
      <c r="BB161" s="471"/>
      <c r="BC161" s="471">
        <f t="shared" si="26"/>
        <v>0</v>
      </c>
    </row>
    <row r="162" spans="1:55">
      <c r="A162" s="495">
        <v>10</v>
      </c>
      <c r="B162" s="407">
        <v>44558</v>
      </c>
      <c r="C162" s="407">
        <v>44558</v>
      </c>
      <c r="D162" s="485" t="s">
        <v>86</v>
      </c>
      <c r="E162" s="474"/>
      <c r="F162" s="486" t="s">
        <v>1147</v>
      </c>
      <c r="G162" s="380">
        <v>2022</v>
      </c>
      <c r="H162" s="474">
        <v>4</v>
      </c>
      <c r="I162" s="474"/>
      <c r="J162" s="475"/>
      <c r="K162" s="501" t="s">
        <v>1952</v>
      </c>
      <c r="L162" s="474" t="s">
        <v>1953</v>
      </c>
      <c r="M162" s="475">
        <v>44498</v>
      </c>
      <c r="N162" s="475">
        <v>44621</v>
      </c>
      <c r="O162" s="475"/>
      <c r="P162" s="475">
        <v>44673</v>
      </c>
      <c r="Q162" s="475">
        <v>44680</v>
      </c>
      <c r="R162" s="475">
        <v>44680</v>
      </c>
      <c r="S162" s="474" t="s">
        <v>1704</v>
      </c>
      <c r="T162" s="474">
        <v>60</v>
      </c>
      <c r="U162" s="486" t="s">
        <v>1281</v>
      </c>
      <c r="V162" s="474" t="s">
        <v>973</v>
      </c>
      <c r="W162" s="474">
        <v>400</v>
      </c>
      <c r="X162" s="432">
        <v>768</v>
      </c>
      <c r="Y162" s="389">
        <f t="shared" si="32"/>
        <v>307200</v>
      </c>
      <c r="Z162" s="478">
        <f t="shared" si="36"/>
        <v>0.47</v>
      </c>
      <c r="AA162" s="480">
        <f t="shared" si="33"/>
        <v>144384</v>
      </c>
      <c r="AB162" s="480"/>
      <c r="AC162" s="481">
        <f t="shared" si="34"/>
        <v>0</v>
      </c>
      <c r="AD162" s="474"/>
      <c r="AE162" s="474">
        <f>AA162*0.0775</f>
        <v>11189.76</v>
      </c>
      <c r="AF162" s="493">
        <f t="shared" si="35"/>
        <v>155573.76000000001</v>
      </c>
      <c r="AG162" s="474" t="s">
        <v>47</v>
      </c>
      <c r="AH162" s="474"/>
      <c r="AI162" s="474">
        <v>60</v>
      </c>
      <c r="AJ162" s="475" t="s">
        <v>1954</v>
      </c>
      <c r="AK162" s="475" t="s">
        <v>50</v>
      </c>
      <c r="AL162" s="483">
        <v>92123</v>
      </c>
      <c r="AM162" s="474" t="s">
        <v>52</v>
      </c>
      <c r="AN162" s="384" t="s">
        <v>50</v>
      </c>
      <c r="AO162" s="474" t="s">
        <v>1076</v>
      </c>
      <c r="AP162" s="482" t="s">
        <v>38</v>
      </c>
      <c r="AQ162" s="474" t="s">
        <v>37</v>
      </c>
      <c r="AR162" s="474"/>
      <c r="AS162" s="473" t="s">
        <v>1152</v>
      </c>
      <c r="AT162" s="473" t="s">
        <v>1076</v>
      </c>
      <c r="AU162" s="478"/>
      <c r="AV162" s="471" t="str">
        <f t="shared" si="24"/>
        <v>30390456H</v>
      </c>
      <c r="AW162" s="471" cm="1">
        <f t="array" ref="AW162">SUM(MID(0&amp;AV162,LARGE(INDEX(ISNUMBER(--MID(AV162,ROW($1:$8),1))*ROW($1:$8),),ROW($1:$8))+1,1)*10^ROW($1:$8)/10)</f>
        <v>30390456</v>
      </c>
      <c r="AX162" s="471" t="str">
        <f>VLOOKUP($AW162,'Item Master Data'!$A:$F,3,FALSE)</f>
        <v>Q.PEAK DUO BLK ML G10+</v>
      </c>
      <c r="AY162" s="471">
        <f>VLOOKUP($AW162,'Item Master Data'!$A:$F,6,FALSE)</f>
        <v>400</v>
      </c>
      <c r="AZ162" s="471">
        <f t="shared" si="25"/>
        <v>24</v>
      </c>
      <c r="BA162" s="471">
        <f>VLOOKUP(AW162,'Item Master Data'!$A:$G,7,FALSE)</f>
        <v>32</v>
      </c>
      <c r="BB162" s="471"/>
      <c r="BC162" s="471">
        <f t="shared" si="26"/>
        <v>0</v>
      </c>
    </row>
    <row r="163" spans="1:55">
      <c r="A163" s="495">
        <v>10</v>
      </c>
      <c r="B163" s="407">
        <v>44558</v>
      </c>
      <c r="C163" s="407">
        <v>44558</v>
      </c>
      <c r="D163" s="485" t="s">
        <v>86</v>
      </c>
      <c r="E163" s="385"/>
      <c r="F163" s="486"/>
      <c r="G163" s="380">
        <v>2022</v>
      </c>
      <c r="H163" s="474">
        <v>4</v>
      </c>
      <c r="I163" s="474"/>
      <c r="J163" s="475"/>
      <c r="K163" s="501" t="s">
        <v>2199</v>
      </c>
      <c r="L163" s="474" t="s">
        <v>1953</v>
      </c>
      <c r="M163" s="475">
        <v>44498</v>
      </c>
      <c r="N163" s="475">
        <v>44621</v>
      </c>
      <c r="O163" s="475"/>
      <c r="P163" s="475">
        <v>44673</v>
      </c>
      <c r="Q163" s="475">
        <v>44680</v>
      </c>
      <c r="R163" s="475">
        <v>44680</v>
      </c>
      <c r="S163" s="474" t="s">
        <v>1704</v>
      </c>
      <c r="T163" s="474">
        <v>60</v>
      </c>
      <c r="U163" s="486" t="s">
        <v>1281</v>
      </c>
      <c r="V163" s="474" t="s">
        <v>973</v>
      </c>
      <c r="W163" s="474">
        <v>400</v>
      </c>
      <c r="X163" s="432">
        <v>768</v>
      </c>
      <c r="Y163" s="389">
        <f t="shared" si="32"/>
        <v>307200</v>
      </c>
      <c r="Z163" s="478">
        <f t="shared" si="36"/>
        <v>0.47</v>
      </c>
      <c r="AA163" s="480">
        <f t="shared" si="33"/>
        <v>144384</v>
      </c>
      <c r="AB163" s="480"/>
      <c r="AC163" s="481">
        <f t="shared" si="34"/>
        <v>0</v>
      </c>
      <c r="AD163" s="474"/>
      <c r="AE163" s="474">
        <f>AA163*0.0875</f>
        <v>12633.599999999999</v>
      </c>
      <c r="AF163" s="493">
        <f t="shared" si="35"/>
        <v>157017.60000000001</v>
      </c>
      <c r="AG163" s="474" t="s">
        <v>47</v>
      </c>
      <c r="AH163" s="474"/>
      <c r="AI163" s="474">
        <v>60</v>
      </c>
      <c r="AJ163" s="475" t="s">
        <v>1913</v>
      </c>
      <c r="AK163" s="475" t="s">
        <v>50</v>
      </c>
      <c r="AL163" s="483">
        <v>92507</v>
      </c>
      <c r="AM163" s="474" t="s">
        <v>52</v>
      </c>
      <c r="AN163" s="384" t="s">
        <v>50</v>
      </c>
      <c r="AO163" s="474" t="s">
        <v>1076</v>
      </c>
      <c r="AP163" s="482" t="s">
        <v>38</v>
      </c>
      <c r="AQ163" s="474" t="s">
        <v>37</v>
      </c>
      <c r="AR163" s="474"/>
      <c r="AS163" s="473" t="s">
        <v>1152</v>
      </c>
      <c r="AT163" s="473" t="s">
        <v>1076</v>
      </c>
      <c r="AU163" s="478"/>
      <c r="AV163" s="471" t="str">
        <f t="shared" si="24"/>
        <v>30390456H</v>
      </c>
      <c r="AW163" s="471" cm="1">
        <f t="array" ref="AW163">SUM(MID(0&amp;AV163,LARGE(INDEX(ISNUMBER(--MID(AV163,ROW($1:$8),1))*ROW($1:$8),),ROW($1:$8))+1,1)*10^ROW($1:$8)/10)</f>
        <v>30390456</v>
      </c>
      <c r="AX163" s="471" t="str">
        <f>VLOOKUP($AW163,'Item Master Data'!$A:$F,3,FALSE)</f>
        <v>Q.PEAK DUO BLK ML G10+</v>
      </c>
      <c r="AY163" s="471">
        <f>VLOOKUP($AW163,'Item Master Data'!$A:$F,6,FALSE)</f>
        <v>400</v>
      </c>
      <c r="AZ163" s="471">
        <f t="shared" si="25"/>
        <v>24</v>
      </c>
      <c r="BA163" s="471">
        <f>VLOOKUP(AW163,'Item Master Data'!$A:$G,7,FALSE)</f>
        <v>32</v>
      </c>
      <c r="BB163" s="471"/>
      <c r="BC163" s="471">
        <f t="shared" si="26"/>
        <v>0</v>
      </c>
    </row>
    <row r="164" spans="1:55">
      <c r="A164" s="495">
        <v>10</v>
      </c>
      <c r="B164" s="407">
        <v>44558</v>
      </c>
      <c r="C164" s="407">
        <v>44558</v>
      </c>
      <c r="D164" s="485" t="s">
        <v>86</v>
      </c>
      <c r="E164" s="385"/>
      <c r="F164" s="486"/>
      <c r="G164" s="380">
        <v>2022</v>
      </c>
      <c r="H164" s="474">
        <v>7</v>
      </c>
      <c r="I164" s="474"/>
      <c r="J164" s="475"/>
      <c r="K164" s="474" t="s">
        <v>5451</v>
      </c>
      <c r="L164" s="474" t="s">
        <v>1953</v>
      </c>
      <c r="M164" s="475">
        <v>44498</v>
      </c>
      <c r="N164" s="475">
        <v>44621</v>
      </c>
      <c r="O164" s="475"/>
      <c r="P164" s="475" t="s">
        <v>5168</v>
      </c>
      <c r="Q164" s="475"/>
      <c r="R164" s="475"/>
      <c r="S164" s="474" t="s">
        <v>1704</v>
      </c>
      <c r="T164" s="474">
        <v>60</v>
      </c>
      <c r="U164" s="486" t="s">
        <v>1281</v>
      </c>
      <c r="V164" s="474" t="s">
        <v>973</v>
      </c>
      <c r="W164" s="474">
        <v>400</v>
      </c>
      <c r="X164" s="432">
        <v>768</v>
      </c>
      <c r="Y164" s="389">
        <f t="shared" si="32"/>
        <v>307200</v>
      </c>
      <c r="Z164" s="478">
        <f t="shared" si="36"/>
        <v>0.47</v>
      </c>
      <c r="AA164" s="480">
        <f t="shared" si="33"/>
        <v>144384</v>
      </c>
      <c r="AB164" s="480"/>
      <c r="AC164" s="481">
        <f t="shared" si="34"/>
        <v>0</v>
      </c>
      <c r="AD164" s="474"/>
      <c r="AE164" s="474">
        <f>AA164*0.0875</f>
        <v>12633.599999999999</v>
      </c>
      <c r="AF164" s="493">
        <f t="shared" si="35"/>
        <v>157017.60000000001</v>
      </c>
      <c r="AG164" s="474" t="s">
        <v>47</v>
      </c>
      <c r="AH164" s="474"/>
      <c r="AI164" s="474">
        <v>60</v>
      </c>
      <c r="AJ164" s="475" t="s">
        <v>1913</v>
      </c>
      <c r="AK164" s="475" t="s">
        <v>50</v>
      </c>
      <c r="AL164" s="483">
        <v>92507</v>
      </c>
      <c r="AM164" s="474" t="s">
        <v>52</v>
      </c>
      <c r="AN164" s="384" t="s">
        <v>50</v>
      </c>
      <c r="AO164" s="474" t="s">
        <v>1076</v>
      </c>
      <c r="AP164" s="482"/>
      <c r="AQ164" s="474" t="s">
        <v>37</v>
      </c>
      <c r="AR164" s="474"/>
      <c r="AS164" s="473" t="s">
        <v>1152</v>
      </c>
      <c r="AT164" s="473" t="s">
        <v>1076</v>
      </c>
      <c r="AU164" s="478"/>
      <c r="AV164" s="471" t="str">
        <f t="shared" si="24"/>
        <v>30390456H</v>
      </c>
      <c r="AW164" s="471" cm="1">
        <f t="array" ref="AW164">SUM(MID(0&amp;AV164,LARGE(INDEX(ISNUMBER(--MID(AV164,ROW($1:$8),1))*ROW($1:$8),),ROW($1:$8))+1,1)*10^ROW($1:$8)/10)</f>
        <v>30390456</v>
      </c>
      <c r="AX164" s="471" t="str">
        <f>VLOOKUP($AW164,'Item Master Data'!$A:$F,3,FALSE)</f>
        <v>Q.PEAK DUO BLK ML G10+</v>
      </c>
      <c r="AY164" s="471">
        <f>VLOOKUP($AW164,'Item Master Data'!$A:$F,6,FALSE)</f>
        <v>400</v>
      </c>
      <c r="AZ164" s="471">
        <f t="shared" si="25"/>
        <v>24</v>
      </c>
      <c r="BA164" s="471">
        <f>VLOOKUP(AW164,'Item Master Data'!$A:$G,7,FALSE)</f>
        <v>32</v>
      </c>
      <c r="BB164" s="471"/>
      <c r="BC164" s="471">
        <f t="shared" si="26"/>
        <v>0</v>
      </c>
    </row>
    <row r="165" spans="1:55">
      <c r="A165" s="495">
        <v>10</v>
      </c>
      <c r="B165" s="407">
        <v>44558</v>
      </c>
      <c r="C165" s="407">
        <v>44558</v>
      </c>
      <c r="D165" s="485" t="s">
        <v>86</v>
      </c>
      <c r="E165" s="385"/>
      <c r="F165" s="664"/>
      <c r="G165" s="380">
        <v>2022</v>
      </c>
      <c r="H165" s="474">
        <v>4</v>
      </c>
      <c r="I165" s="474">
        <v>127986</v>
      </c>
      <c r="J165" s="475">
        <v>44666</v>
      </c>
      <c r="K165" s="474" t="s">
        <v>2165</v>
      </c>
      <c r="L165" s="474" t="s">
        <v>1953</v>
      </c>
      <c r="M165" s="475">
        <v>44498</v>
      </c>
      <c r="N165" s="475">
        <v>44621</v>
      </c>
      <c r="O165" s="475"/>
      <c r="P165" s="475">
        <v>44658</v>
      </c>
      <c r="Q165" s="475">
        <v>44666</v>
      </c>
      <c r="R165" s="475">
        <v>44666</v>
      </c>
      <c r="S165" s="474" t="s">
        <v>1704</v>
      </c>
      <c r="T165" s="474">
        <v>60</v>
      </c>
      <c r="U165" s="486" t="s">
        <v>1281</v>
      </c>
      <c r="V165" s="474" t="s">
        <v>973</v>
      </c>
      <c r="W165" s="474">
        <v>400</v>
      </c>
      <c r="X165" s="432">
        <v>768</v>
      </c>
      <c r="Y165" s="389">
        <f t="shared" si="32"/>
        <v>307200</v>
      </c>
      <c r="Z165" s="478">
        <f t="shared" si="36"/>
        <v>0.47</v>
      </c>
      <c r="AA165" s="480">
        <f t="shared" si="33"/>
        <v>144384</v>
      </c>
      <c r="AB165" s="480"/>
      <c r="AC165" s="481">
        <f t="shared" si="34"/>
        <v>0</v>
      </c>
      <c r="AD165" s="474"/>
      <c r="AE165" s="474">
        <f>AA165*0.0725</f>
        <v>10467.84</v>
      </c>
      <c r="AF165" s="493">
        <f t="shared" si="35"/>
        <v>154851.84</v>
      </c>
      <c r="AG165" s="474" t="s">
        <v>47</v>
      </c>
      <c r="AH165" s="474"/>
      <c r="AI165" s="474">
        <v>60</v>
      </c>
      <c r="AJ165" s="475" t="s">
        <v>1764</v>
      </c>
      <c r="AK165" s="475" t="s">
        <v>50</v>
      </c>
      <c r="AL165" s="483">
        <v>93308</v>
      </c>
      <c r="AM165" s="474" t="s">
        <v>52</v>
      </c>
      <c r="AN165" s="384" t="s">
        <v>50</v>
      </c>
      <c r="AO165" s="474" t="s">
        <v>1076</v>
      </c>
      <c r="AP165" s="482" t="s">
        <v>38</v>
      </c>
      <c r="AQ165" s="474" t="s">
        <v>37</v>
      </c>
      <c r="AR165" s="474"/>
      <c r="AS165" s="473" t="s">
        <v>1152</v>
      </c>
      <c r="AT165" s="346" t="s">
        <v>1076</v>
      </c>
      <c r="AU165" s="478"/>
      <c r="AV165" s="471" t="str">
        <f t="shared" si="24"/>
        <v>30390456H</v>
      </c>
      <c r="AW165" s="471" cm="1">
        <f t="array" ref="AW165">SUM(MID(0&amp;AV165,LARGE(INDEX(ISNUMBER(--MID(AV165,ROW($1:$8),1))*ROW($1:$8),),ROW($1:$8))+1,1)*10^ROW($1:$8)/10)</f>
        <v>30390456</v>
      </c>
      <c r="AX165" s="471" t="str">
        <f>VLOOKUP($AW165,'Item Master Data'!$A:$F,3,FALSE)</f>
        <v>Q.PEAK DUO BLK ML G10+</v>
      </c>
      <c r="AY165" s="471">
        <f>VLOOKUP($AW165,'Item Master Data'!$A:$F,6,FALSE)</f>
        <v>400</v>
      </c>
      <c r="AZ165" s="471">
        <f t="shared" si="25"/>
        <v>24</v>
      </c>
      <c r="BA165" s="471">
        <f>VLOOKUP(AW165,'Item Master Data'!$A:$G,7,FALSE)</f>
        <v>32</v>
      </c>
      <c r="BB165" s="471"/>
      <c r="BC165" s="471">
        <f t="shared" si="26"/>
        <v>0</v>
      </c>
    </row>
    <row r="166" spans="1:55">
      <c r="A166" s="495">
        <v>10</v>
      </c>
      <c r="B166" s="407">
        <v>44558</v>
      </c>
      <c r="C166" s="407">
        <v>44558</v>
      </c>
      <c r="D166" s="485" t="s">
        <v>86</v>
      </c>
      <c r="E166" s="474"/>
      <c r="F166" s="486" t="s">
        <v>1147</v>
      </c>
      <c r="G166" s="380">
        <v>2022</v>
      </c>
      <c r="H166" s="474">
        <v>7</v>
      </c>
      <c r="I166" s="474"/>
      <c r="J166" s="475"/>
      <c r="K166" s="474" t="s">
        <v>1967</v>
      </c>
      <c r="L166" s="474" t="s">
        <v>1953</v>
      </c>
      <c r="M166" s="475">
        <v>44498</v>
      </c>
      <c r="N166" s="475">
        <v>44621</v>
      </c>
      <c r="O166" s="475"/>
      <c r="P166" s="475" t="s">
        <v>5168</v>
      </c>
      <c r="Q166" s="475"/>
      <c r="R166" s="475"/>
      <c r="S166" s="474" t="s">
        <v>1704</v>
      </c>
      <c r="T166" s="474">
        <v>60</v>
      </c>
      <c r="U166" s="486" t="s">
        <v>1281</v>
      </c>
      <c r="V166" s="474" t="s">
        <v>973</v>
      </c>
      <c r="W166" s="474">
        <v>400</v>
      </c>
      <c r="X166" s="432">
        <v>768</v>
      </c>
      <c r="Y166" s="389">
        <f t="shared" si="32"/>
        <v>307200</v>
      </c>
      <c r="Z166" s="478">
        <f t="shared" si="36"/>
        <v>0.47</v>
      </c>
      <c r="AA166" s="480">
        <f t="shared" si="33"/>
        <v>144384</v>
      </c>
      <c r="AB166" s="480"/>
      <c r="AC166" s="481">
        <f t="shared" si="34"/>
        <v>0</v>
      </c>
      <c r="AD166" s="474"/>
      <c r="AE166" s="474">
        <f>AA166*0.0725</f>
        <v>10467.84</v>
      </c>
      <c r="AF166" s="493">
        <f t="shared" si="35"/>
        <v>154851.84</v>
      </c>
      <c r="AG166" s="474" t="s">
        <v>47</v>
      </c>
      <c r="AH166" s="474"/>
      <c r="AI166" s="474">
        <v>60</v>
      </c>
      <c r="AJ166" s="475" t="s">
        <v>1764</v>
      </c>
      <c r="AK166" s="475" t="s">
        <v>50</v>
      </c>
      <c r="AL166" s="483">
        <v>93308</v>
      </c>
      <c r="AM166" s="474" t="s">
        <v>52</v>
      </c>
      <c r="AN166" s="384" t="s">
        <v>50</v>
      </c>
      <c r="AO166" s="474" t="s">
        <v>1076</v>
      </c>
      <c r="AP166" s="482"/>
      <c r="AQ166" s="474" t="s">
        <v>37</v>
      </c>
      <c r="AR166" s="474"/>
      <c r="AS166" s="473" t="s">
        <v>1152</v>
      </c>
      <c r="AT166" s="473" t="s">
        <v>1076</v>
      </c>
      <c r="AU166" s="478"/>
      <c r="AV166" s="471" t="str">
        <f t="shared" si="24"/>
        <v>30390456H</v>
      </c>
      <c r="AW166" s="471" cm="1">
        <f t="array" ref="AW166">SUM(MID(0&amp;AV166,LARGE(INDEX(ISNUMBER(--MID(AV166,ROW($1:$8),1))*ROW($1:$8),),ROW($1:$8))+1,1)*10^ROW($1:$8)/10)</f>
        <v>30390456</v>
      </c>
      <c r="AX166" s="471" t="str">
        <f>VLOOKUP($AW166,'Item Master Data'!$A:$F,3,FALSE)</f>
        <v>Q.PEAK DUO BLK ML G10+</v>
      </c>
      <c r="AY166" s="471">
        <f>VLOOKUP($AW166,'Item Master Data'!$A:$F,6,FALSE)</f>
        <v>400</v>
      </c>
      <c r="AZ166" s="471">
        <f t="shared" si="25"/>
        <v>24</v>
      </c>
      <c r="BA166" s="471">
        <f>VLOOKUP(AW166,'Item Master Data'!$A:$G,7,FALSE)</f>
        <v>32</v>
      </c>
      <c r="BB166" s="471"/>
      <c r="BC166" s="471">
        <f t="shared" si="26"/>
        <v>0</v>
      </c>
    </row>
    <row r="167" spans="1:55">
      <c r="A167" s="495"/>
      <c r="B167" s="407"/>
      <c r="C167" s="407"/>
      <c r="D167" s="485" t="s">
        <v>86</v>
      </c>
      <c r="E167" s="385"/>
      <c r="F167" s="486"/>
      <c r="G167" s="380">
        <v>2022</v>
      </c>
      <c r="H167" s="474">
        <v>4</v>
      </c>
      <c r="I167" s="474">
        <v>127944</v>
      </c>
      <c r="J167" s="475">
        <v>44656</v>
      </c>
      <c r="K167" s="474" t="s">
        <v>2104</v>
      </c>
      <c r="L167" s="474" t="s">
        <v>1953</v>
      </c>
      <c r="M167" s="475">
        <v>44498</v>
      </c>
      <c r="N167" s="475">
        <v>44593</v>
      </c>
      <c r="O167" s="475" t="s">
        <v>1978</v>
      </c>
      <c r="P167" s="475">
        <v>44649</v>
      </c>
      <c r="Q167" s="475">
        <v>44655</v>
      </c>
      <c r="R167" s="475">
        <v>44656</v>
      </c>
      <c r="S167" s="474" t="s">
        <v>1704</v>
      </c>
      <c r="T167" s="474">
        <v>60</v>
      </c>
      <c r="U167" s="486" t="s">
        <v>1281</v>
      </c>
      <c r="V167" s="474" t="s">
        <v>973</v>
      </c>
      <c r="W167" s="474">
        <v>400</v>
      </c>
      <c r="X167" s="432">
        <v>1536</v>
      </c>
      <c r="Y167" s="389">
        <f t="shared" si="32"/>
        <v>614400</v>
      </c>
      <c r="Z167" s="478">
        <f t="shared" si="36"/>
        <v>0.47</v>
      </c>
      <c r="AA167" s="480">
        <f t="shared" si="33"/>
        <v>288768</v>
      </c>
      <c r="AB167" s="480"/>
      <c r="AC167" s="481">
        <f t="shared" si="34"/>
        <v>0</v>
      </c>
      <c r="AD167" s="474"/>
      <c r="AE167" s="398">
        <f>AA167*0.0835</f>
        <v>24112.128000000001</v>
      </c>
      <c r="AF167" s="493">
        <f t="shared" si="35"/>
        <v>312880.12800000003</v>
      </c>
      <c r="AG167" s="474" t="s">
        <v>47</v>
      </c>
      <c r="AH167" s="474"/>
      <c r="AI167" s="474">
        <v>60</v>
      </c>
      <c r="AJ167" s="475" t="s">
        <v>1860</v>
      </c>
      <c r="AK167" s="475" t="s">
        <v>50</v>
      </c>
      <c r="AL167" s="483">
        <v>93722</v>
      </c>
      <c r="AM167" s="474" t="s">
        <v>52</v>
      </c>
      <c r="AN167" s="384" t="s">
        <v>50</v>
      </c>
      <c r="AO167" s="474" t="s">
        <v>1076</v>
      </c>
      <c r="AP167" s="482" t="s">
        <v>38</v>
      </c>
      <c r="AQ167" s="474" t="s">
        <v>37</v>
      </c>
      <c r="AR167" s="474"/>
      <c r="AS167" s="473" t="s">
        <v>1152</v>
      </c>
      <c r="AT167" s="473" t="s">
        <v>1076</v>
      </c>
      <c r="AU167" s="478"/>
      <c r="AV167" s="471" t="str">
        <f t="shared" si="24"/>
        <v>30390456H</v>
      </c>
      <c r="AW167" s="471" cm="1">
        <f t="array" ref="AW167">SUM(MID(0&amp;AV167,LARGE(INDEX(ISNUMBER(--MID(AV167,ROW($1:$8),1))*ROW($1:$8),),ROW($1:$8))+1,1)*10^ROW($1:$8)/10)</f>
        <v>30390456</v>
      </c>
      <c r="AX167" s="471" t="str">
        <f>VLOOKUP($AW167,'Item Master Data'!$A:$F,3,FALSE)</f>
        <v>Q.PEAK DUO BLK ML G10+</v>
      </c>
      <c r="AY167" s="471">
        <f>VLOOKUP($AW167,'Item Master Data'!$A:$F,6,FALSE)</f>
        <v>400</v>
      </c>
      <c r="AZ167" s="471">
        <f t="shared" si="25"/>
        <v>48</v>
      </c>
      <c r="BA167" s="471">
        <f>VLOOKUP(AW167,'Item Master Data'!$A:$G,7,FALSE)</f>
        <v>32</v>
      </c>
      <c r="BB167" s="471"/>
      <c r="BC167" s="471">
        <f t="shared" si="26"/>
        <v>0</v>
      </c>
    </row>
    <row r="168" spans="1:55">
      <c r="A168" s="495"/>
      <c r="B168" s="407"/>
      <c r="C168" s="407"/>
      <c r="D168" s="485" t="s">
        <v>86</v>
      </c>
      <c r="E168" s="385"/>
      <c r="F168" s="486"/>
      <c r="G168" s="380">
        <v>2022</v>
      </c>
      <c r="H168" s="474">
        <v>4</v>
      </c>
      <c r="I168" s="474"/>
      <c r="J168" s="475"/>
      <c r="K168" s="501" t="s">
        <v>2207</v>
      </c>
      <c r="L168" s="474" t="s">
        <v>1953</v>
      </c>
      <c r="M168" s="475">
        <v>44498</v>
      </c>
      <c r="N168" s="475">
        <v>44621</v>
      </c>
      <c r="O168" s="475"/>
      <c r="P168" s="475">
        <v>44673</v>
      </c>
      <c r="Q168" s="475">
        <v>44679</v>
      </c>
      <c r="R168" s="475">
        <v>44680</v>
      </c>
      <c r="S168" s="474" t="s">
        <v>1704</v>
      </c>
      <c r="T168" s="474">
        <v>60</v>
      </c>
      <c r="U168" s="486" t="s">
        <v>1281</v>
      </c>
      <c r="V168" s="474" t="s">
        <v>973</v>
      </c>
      <c r="W168" s="474">
        <v>400</v>
      </c>
      <c r="X168" s="432">
        <v>768</v>
      </c>
      <c r="Y168" s="389">
        <f t="shared" si="32"/>
        <v>307200</v>
      </c>
      <c r="Z168" s="478">
        <f t="shared" si="36"/>
        <v>0.47</v>
      </c>
      <c r="AA168" s="480">
        <f t="shared" si="33"/>
        <v>144384</v>
      </c>
      <c r="AB168" s="480"/>
      <c r="AC168" s="481">
        <f t="shared" si="34"/>
        <v>0</v>
      </c>
      <c r="AD168" s="474"/>
      <c r="AE168" s="398">
        <f>AA168*0.0835</f>
        <v>12056.064</v>
      </c>
      <c r="AF168" s="493">
        <f t="shared" si="35"/>
        <v>156440.06400000001</v>
      </c>
      <c r="AG168" s="474" t="s">
        <v>47</v>
      </c>
      <c r="AH168" s="474"/>
      <c r="AI168" s="474">
        <v>60</v>
      </c>
      <c r="AJ168" s="475" t="s">
        <v>1860</v>
      </c>
      <c r="AK168" s="475" t="s">
        <v>50</v>
      </c>
      <c r="AL168" s="483">
        <v>93722</v>
      </c>
      <c r="AM168" s="474" t="s">
        <v>52</v>
      </c>
      <c r="AN168" s="384" t="s">
        <v>50</v>
      </c>
      <c r="AO168" s="474" t="s">
        <v>1076</v>
      </c>
      <c r="AP168" s="482" t="s">
        <v>38</v>
      </c>
      <c r="AQ168" s="474" t="s">
        <v>37</v>
      </c>
      <c r="AR168" s="474"/>
      <c r="AS168" s="473" t="s">
        <v>1152</v>
      </c>
      <c r="AT168" s="473" t="s">
        <v>1076</v>
      </c>
      <c r="AU168" s="478"/>
      <c r="AV168" s="471" t="str">
        <f t="shared" si="24"/>
        <v>30390456H</v>
      </c>
      <c r="AW168" s="471" cm="1">
        <f t="array" ref="AW168">SUM(MID(0&amp;AV168,LARGE(INDEX(ISNUMBER(--MID(AV168,ROW($1:$8),1))*ROW($1:$8),),ROW($1:$8))+1,1)*10^ROW($1:$8)/10)</f>
        <v>30390456</v>
      </c>
      <c r="AX168" s="471" t="str">
        <f>VLOOKUP($AW168,'Item Master Data'!$A:$F,3,FALSE)</f>
        <v>Q.PEAK DUO BLK ML G10+</v>
      </c>
      <c r="AY168" s="471">
        <f>VLOOKUP($AW168,'Item Master Data'!$A:$F,6,FALSE)</f>
        <v>400</v>
      </c>
      <c r="AZ168" s="471">
        <f t="shared" si="25"/>
        <v>24</v>
      </c>
      <c r="BA168" s="471">
        <f>VLOOKUP(AW168,'Item Master Data'!$A:$G,7,FALSE)</f>
        <v>32</v>
      </c>
      <c r="BB168" s="471"/>
      <c r="BC168" s="471">
        <f t="shared" si="26"/>
        <v>0</v>
      </c>
    </row>
    <row r="169" spans="1:55">
      <c r="A169" s="495"/>
      <c r="B169" s="407"/>
      <c r="C169" s="407"/>
      <c r="D169" s="485" t="s">
        <v>86</v>
      </c>
      <c r="E169" s="385"/>
      <c r="F169" s="486"/>
      <c r="G169" s="380">
        <v>2022</v>
      </c>
      <c r="H169" s="474">
        <v>4</v>
      </c>
      <c r="I169" s="474">
        <v>128165</v>
      </c>
      <c r="J169" s="475">
        <v>44673</v>
      </c>
      <c r="K169" s="501" t="s">
        <v>2218</v>
      </c>
      <c r="L169" s="474" t="s">
        <v>1953</v>
      </c>
      <c r="M169" s="475">
        <v>44498</v>
      </c>
      <c r="N169" s="475">
        <v>44621</v>
      </c>
      <c r="O169" s="475"/>
      <c r="P169" s="475">
        <v>44665</v>
      </c>
      <c r="Q169" s="475">
        <v>44672</v>
      </c>
      <c r="R169" s="475">
        <v>44673</v>
      </c>
      <c r="S169" s="474" t="s">
        <v>1704</v>
      </c>
      <c r="T169" s="474">
        <v>60</v>
      </c>
      <c r="U169" s="486" t="s">
        <v>1760</v>
      </c>
      <c r="V169" s="474" t="s">
        <v>973</v>
      </c>
      <c r="W169" s="474">
        <v>400</v>
      </c>
      <c r="X169" s="432">
        <v>768</v>
      </c>
      <c r="Y169" s="389">
        <f t="shared" si="32"/>
        <v>307200</v>
      </c>
      <c r="Z169" s="478">
        <f t="shared" si="36"/>
        <v>0.47</v>
      </c>
      <c r="AA169" s="480">
        <f t="shared" si="33"/>
        <v>144384</v>
      </c>
      <c r="AB169" s="480"/>
      <c r="AC169" s="481">
        <f t="shared" si="34"/>
        <v>0</v>
      </c>
      <c r="AD169" s="474"/>
      <c r="AE169" s="398">
        <f>AA169*0.0725</f>
        <v>10467.84</v>
      </c>
      <c r="AF169" s="493">
        <f t="shared" si="35"/>
        <v>154851.84</v>
      </c>
      <c r="AG169" s="474" t="s">
        <v>47</v>
      </c>
      <c r="AH169" s="474"/>
      <c r="AI169" s="474">
        <v>60</v>
      </c>
      <c r="AJ169" s="475" t="s">
        <v>1853</v>
      </c>
      <c r="AK169" s="475" t="s">
        <v>50</v>
      </c>
      <c r="AL169" s="483">
        <v>95928</v>
      </c>
      <c r="AM169" s="474" t="s">
        <v>52</v>
      </c>
      <c r="AN169" s="384" t="s">
        <v>50</v>
      </c>
      <c r="AO169" s="474" t="s">
        <v>1076</v>
      </c>
      <c r="AP169" s="482" t="s">
        <v>38</v>
      </c>
      <c r="AQ169" s="474" t="s">
        <v>37</v>
      </c>
      <c r="AR169" s="474"/>
      <c r="AS169" s="473" t="s">
        <v>1152</v>
      </c>
      <c r="AT169" s="473" t="s">
        <v>1076</v>
      </c>
      <c r="AU169" s="478"/>
      <c r="AV169" s="471" t="str">
        <f t="shared" si="24"/>
        <v>30390156H</v>
      </c>
      <c r="AW169" s="471" cm="1">
        <f t="array" ref="AW169">SUM(MID(0&amp;AV169,LARGE(INDEX(ISNUMBER(--MID(AV169,ROW($1:$8),1))*ROW($1:$8),),ROW($1:$8))+1,1)*10^ROW($1:$8)/10)</f>
        <v>30390156</v>
      </c>
      <c r="AX169" s="471" t="str">
        <f>VLOOKUP($AW169,'Item Master Data'!$A:$F,3,FALSE)</f>
        <v>Q.PEAK DUO BLK ML G10+</v>
      </c>
      <c r="AY169" s="471">
        <f>VLOOKUP($AW169,'Item Master Data'!$A:$F,6,FALSE)</f>
        <v>400</v>
      </c>
      <c r="AZ169" s="471">
        <f t="shared" si="25"/>
        <v>24</v>
      </c>
      <c r="BA169" s="471">
        <f>VLOOKUP(AW169,'Item Master Data'!$A:$G,7,FALSE)</f>
        <v>32</v>
      </c>
      <c r="BB169" s="471"/>
      <c r="BC169" s="471">
        <f t="shared" si="26"/>
        <v>0</v>
      </c>
    </row>
    <row r="170" spans="1:55">
      <c r="A170" s="495"/>
      <c r="B170" s="407"/>
      <c r="C170" s="407"/>
      <c r="D170" s="485" t="s">
        <v>86</v>
      </c>
      <c r="E170" s="474"/>
      <c r="F170" s="486" t="s">
        <v>1147</v>
      </c>
      <c r="G170" s="380">
        <v>2022</v>
      </c>
      <c r="H170" s="474">
        <v>7</v>
      </c>
      <c r="I170" s="474"/>
      <c r="J170" s="475"/>
      <c r="K170" s="474" t="s">
        <v>1979</v>
      </c>
      <c r="L170" s="474" t="s">
        <v>1953</v>
      </c>
      <c r="M170" s="475">
        <v>44498</v>
      </c>
      <c r="N170" s="475">
        <v>44621</v>
      </c>
      <c r="O170" s="475"/>
      <c r="P170" s="475" t="s">
        <v>5168</v>
      </c>
      <c r="Q170" s="475"/>
      <c r="R170" s="475"/>
      <c r="S170" s="474" t="s">
        <v>1704</v>
      </c>
      <c r="T170" s="474">
        <v>60</v>
      </c>
      <c r="U170" s="486"/>
      <c r="V170" s="474" t="s">
        <v>973</v>
      </c>
      <c r="W170" s="474">
        <v>400</v>
      </c>
      <c r="X170" s="432">
        <v>768</v>
      </c>
      <c r="Y170" s="389">
        <f t="shared" si="32"/>
        <v>307200</v>
      </c>
      <c r="Z170" s="478">
        <f t="shared" si="36"/>
        <v>0.47</v>
      </c>
      <c r="AA170" s="480">
        <f t="shared" si="33"/>
        <v>144384</v>
      </c>
      <c r="AB170" s="480"/>
      <c r="AC170" s="481">
        <f t="shared" si="34"/>
        <v>0</v>
      </c>
      <c r="AD170" s="474"/>
      <c r="AE170" s="398">
        <f>AA170*0.0725</f>
        <v>10467.84</v>
      </c>
      <c r="AF170" s="493">
        <f t="shared" si="35"/>
        <v>154851.84</v>
      </c>
      <c r="AG170" s="474" t="s">
        <v>47</v>
      </c>
      <c r="AH170" s="474"/>
      <c r="AI170" s="474">
        <v>60</v>
      </c>
      <c r="AJ170" s="475" t="s">
        <v>1853</v>
      </c>
      <c r="AK170" s="475" t="s">
        <v>50</v>
      </c>
      <c r="AL170" s="483">
        <v>95928</v>
      </c>
      <c r="AM170" s="474" t="s">
        <v>52</v>
      </c>
      <c r="AN170" s="384" t="s">
        <v>1074</v>
      </c>
      <c r="AO170" s="474" t="s">
        <v>1076</v>
      </c>
      <c r="AP170" s="482"/>
      <c r="AQ170" s="474" t="s">
        <v>37</v>
      </c>
      <c r="AR170" s="474"/>
      <c r="AS170" s="473" t="s">
        <v>1152</v>
      </c>
      <c r="AT170" s="473" t="s">
        <v>1076</v>
      </c>
      <c r="AU170" s="478"/>
      <c r="AV170" s="471">
        <f t="shared" si="24"/>
        <v>0</v>
      </c>
      <c r="AW170" s="471" cm="1">
        <f t="array" ref="AW170">SUM(MID(0&amp;AV170,LARGE(INDEX(ISNUMBER(--MID(AV170,ROW($1:$8),1))*ROW($1:$8),),ROW($1:$8))+1,1)*10^ROW($1:$8)/10)</f>
        <v>0</v>
      </c>
      <c r="AX170" s="471" t="e">
        <f>VLOOKUP($AW170,'Item Master Data'!$A:$F,3,FALSE)</f>
        <v>#N/A</v>
      </c>
      <c r="AY170" s="471" t="e">
        <f>VLOOKUP($AW170,'Item Master Data'!$A:$F,6,FALSE)</f>
        <v>#N/A</v>
      </c>
      <c r="AZ170" s="471" t="e">
        <f t="shared" si="25"/>
        <v>#N/A</v>
      </c>
      <c r="BA170" s="471" t="e">
        <f>VLOOKUP(AW170,'Item Master Data'!$A:$G,7,FALSE)</f>
        <v>#N/A</v>
      </c>
      <c r="BB170" s="471"/>
      <c r="BC170" s="471" t="e">
        <f t="shared" si="26"/>
        <v>#N/A</v>
      </c>
    </row>
    <row r="171" spans="1:55">
      <c r="A171" s="495"/>
      <c r="B171" s="407"/>
      <c r="C171" s="407"/>
      <c r="D171" s="485" t="s">
        <v>86</v>
      </c>
      <c r="E171" s="474"/>
      <c r="F171" s="486"/>
      <c r="G171" s="380">
        <v>2022</v>
      </c>
      <c r="H171" s="474">
        <v>4</v>
      </c>
      <c r="I171" s="474">
        <v>128072</v>
      </c>
      <c r="J171" s="475">
        <v>44663</v>
      </c>
      <c r="K171" s="474" t="s">
        <v>2198</v>
      </c>
      <c r="L171" s="474" t="s">
        <v>1953</v>
      </c>
      <c r="M171" s="475">
        <v>44498</v>
      </c>
      <c r="N171" s="475">
        <v>44621</v>
      </c>
      <c r="O171" s="475">
        <v>44627</v>
      </c>
      <c r="P171" s="475">
        <v>44658</v>
      </c>
      <c r="Q171" s="475">
        <v>44663</v>
      </c>
      <c r="R171" s="475">
        <v>44663</v>
      </c>
      <c r="S171" s="474" t="s">
        <v>1704</v>
      </c>
      <c r="T171" s="474">
        <v>60</v>
      </c>
      <c r="U171" s="486" t="s">
        <v>1281</v>
      </c>
      <c r="V171" s="474" t="s">
        <v>973</v>
      </c>
      <c r="W171" s="474">
        <v>400</v>
      </c>
      <c r="X171" s="432">
        <v>768</v>
      </c>
      <c r="Y171" s="389">
        <f t="shared" si="32"/>
        <v>307200</v>
      </c>
      <c r="Z171" s="478">
        <f t="shared" si="36"/>
        <v>0.47</v>
      </c>
      <c r="AA171" s="480">
        <f t="shared" si="33"/>
        <v>144384</v>
      </c>
      <c r="AB171" s="480"/>
      <c r="AC171" s="481">
        <f t="shared" si="34"/>
        <v>0</v>
      </c>
      <c r="AD171" s="474"/>
      <c r="AE171" s="398">
        <f>AA171*0.1025</f>
        <v>14799.359999999999</v>
      </c>
      <c r="AF171" s="493">
        <f t="shared" si="35"/>
        <v>159183.35999999999</v>
      </c>
      <c r="AG171" s="474" t="s">
        <v>47</v>
      </c>
      <c r="AH171" s="474"/>
      <c r="AI171" s="474">
        <v>60</v>
      </c>
      <c r="AJ171" s="475" t="s">
        <v>1981</v>
      </c>
      <c r="AK171" s="475" t="s">
        <v>50</v>
      </c>
      <c r="AL171" s="483">
        <v>95928</v>
      </c>
      <c r="AM171" s="474" t="s">
        <v>52</v>
      </c>
      <c r="AN171" s="384" t="s">
        <v>1963</v>
      </c>
      <c r="AO171" s="474" t="s">
        <v>1076</v>
      </c>
      <c r="AP171" s="482" t="s">
        <v>38</v>
      </c>
      <c r="AQ171" s="474" t="s">
        <v>37</v>
      </c>
      <c r="AR171" s="474"/>
      <c r="AS171" s="473" t="s">
        <v>1152</v>
      </c>
      <c r="AT171" s="473" t="s">
        <v>1076</v>
      </c>
      <c r="AU171" s="478"/>
      <c r="AV171" s="471" t="str">
        <f t="shared" si="24"/>
        <v>30390456H</v>
      </c>
      <c r="AW171" s="471" cm="1">
        <f t="array" ref="AW171">SUM(MID(0&amp;AV171,LARGE(INDEX(ISNUMBER(--MID(AV171,ROW($1:$8),1))*ROW($1:$8),),ROW($1:$8))+1,1)*10^ROW($1:$8)/10)</f>
        <v>30390456</v>
      </c>
      <c r="AX171" s="471" t="str">
        <f>VLOOKUP($AW171,'Item Master Data'!$A:$F,3,FALSE)</f>
        <v>Q.PEAK DUO BLK ML G10+</v>
      </c>
      <c r="AY171" s="471">
        <f>VLOOKUP($AW171,'Item Master Data'!$A:$F,6,FALSE)</f>
        <v>400</v>
      </c>
      <c r="AZ171" s="471">
        <f t="shared" si="25"/>
        <v>24</v>
      </c>
      <c r="BA171" s="471">
        <f>VLOOKUP(AW171,'Item Master Data'!$A:$G,7,FALSE)</f>
        <v>32</v>
      </c>
      <c r="BB171" s="471"/>
      <c r="BC171" s="471">
        <f t="shared" si="26"/>
        <v>0</v>
      </c>
    </row>
    <row r="172" spans="1:55">
      <c r="A172" s="495"/>
      <c r="B172" s="407">
        <v>44627</v>
      </c>
      <c r="C172" s="407">
        <v>44627</v>
      </c>
      <c r="D172" s="485" t="s">
        <v>86</v>
      </c>
      <c r="E172" s="383"/>
      <c r="F172" s="474"/>
      <c r="G172" s="380">
        <v>2022</v>
      </c>
      <c r="H172" s="474">
        <v>4</v>
      </c>
      <c r="I172" s="474">
        <v>128166</v>
      </c>
      <c r="J172" s="475">
        <v>44673</v>
      </c>
      <c r="K172" s="501" t="s">
        <v>2219</v>
      </c>
      <c r="L172" s="474" t="s">
        <v>1953</v>
      </c>
      <c r="M172" s="475">
        <v>44602</v>
      </c>
      <c r="N172" s="475">
        <v>44655</v>
      </c>
      <c r="O172" s="475"/>
      <c r="P172" s="475">
        <v>44666</v>
      </c>
      <c r="Q172" s="475">
        <v>44672</v>
      </c>
      <c r="R172" s="475">
        <v>44673</v>
      </c>
      <c r="S172" s="474" t="s">
        <v>1704</v>
      </c>
      <c r="T172" s="474">
        <v>60</v>
      </c>
      <c r="U172" s="486" t="s">
        <v>1760</v>
      </c>
      <c r="V172" s="486" t="s">
        <v>973</v>
      </c>
      <c r="W172" s="474">
        <v>400</v>
      </c>
      <c r="X172" s="432">
        <v>768</v>
      </c>
      <c r="Y172" s="389">
        <f t="shared" si="32"/>
        <v>307200</v>
      </c>
      <c r="Z172" s="478">
        <f t="shared" si="36"/>
        <v>0.47</v>
      </c>
      <c r="AA172" s="479">
        <f t="shared" si="33"/>
        <v>144384</v>
      </c>
      <c r="AB172" s="480"/>
      <c r="AC172" s="481">
        <f t="shared" si="34"/>
        <v>0</v>
      </c>
      <c r="AD172" s="474"/>
      <c r="AE172" s="398">
        <f>AA172*0.1025</f>
        <v>14799.359999999999</v>
      </c>
      <c r="AF172" s="493">
        <f t="shared" si="35"/>
        <v>159183.35999999999</v>
      </c>
      <c r="AG172" s="474" t="s">
        <v>47</v>
      </c>
      <c r="AH172" s="474"/>
      <c r="AI172" s="474">
        <v>60</v>
      </c>
      <c r="AJ172" s="475" t="s">
        <v>1981</v>
      </c>
      <c r="AK172" s="475" t="s">
        <v>50</v>
      </c>
      <c r="AL172" s="483" t="s">
        <v>2062</v>
      </c>
      <c r="AM172" s="474" t="s">
        <v>52</v>
      </c>
      <c r="AN172" s="384" t="s">
        <v>50</v>
      </c>
      <c r="AO172" s="474" t="s">
        <v>1076</v>
      </c>
      <c r="AP172" s="482" t="s">
        <v>38</v>
      </c>
      <c r="AQ172" s="482" t="s">
        <v>37</v>
      </c>
      <c r="AR172" s="474"/>
      <c r="AS172" s="473"/>
      <c r="AT172" s="473"/>
      <c r="AU172" s="478"/>
      <c r="AV172" s="471" t="str">
        <f t="shared" si="24"/>
        <v>30390156H</v>
      </c>
      <c r="AW172" s="471" cm="1">
        <f t="array" ref="AW172">SUM(MID(0&amp;AV172,LARGE(INDEX(ISNUMBER(--MID(AV172,ROW($1:$8),1))*ROW($1:$8),),ROW($1:$8))+1,1)*10^ROW($1:$8)/10)</f>
        <v>30390156</v>
      </c>
      <c r="AX172" s="471" t="str">
        <f>VLOOKUP($AW172,'Item Master Data'!$A:$F,3,FALSE)</f>
        <v>Q.PEAK DUO BLK ML G10+</v>
      </c>
      <c r="AY172" s="471">
        <f>VLOOKUP($AW172,'Item Master Data'!$A:$F,6,FALSE)</f>
        <v>400</v>
      </c>
      <c r="AZ172" s="471">
        <f t="shared" si="25"/>
        <v>24</v>
      </c>
      <c r="BA172" s="471">
        <f>VLOOKUP(AW172,'Item Master Data'!$A:$G,7,FALSE)</f>
        <v>32</v>
      </c>
      <c r="BB172" s="471"/>
      <c r="BC172" s="471">
        <f t="shared" si="26"/>
        <v>0</v>
      </c>
    </row>
    <row r="173" spans="1:55">
      <c r="A173" s="495"/>
      <c r="B173" s="407">
        <v>44627</v>
      </c>
      <c r="C173" s="407">
        <v>44627</v>
      </c>
      <c r="D173" s="485" t="s">
        <v>86</v>
      </c>
      <c r="E173" s="383"/>
      <c r="F173" s="474"/>
      <c r="G173" s="380">
        <v>2022</v>
      </c>
      <c r="H173" s="474">
        <v>4</v>
      </c>
      <c r="I173" s="474">
        <v>127929</v>
      </c>
      <c r="J173" s="475">
        <v>44656</v>
      </c>
      <c r="K173" s="474" t="s">
        <v>2147</v>
      </c>
      <c r="L173" s="474" t="s">
        <v>1953</v>
      </c>
      <c r="M173" s="475">
        <v>44602</v>
      </c>
      <c r="N173" s="475">
        <v>44655</v>
      </c>
      <c r="O173" s="475"/>
      <c r="P173" s="475">
        <v>44649</v>
      </c>
      <c r="Q173" s="475">
        <v>44652</v>
      </c>
      <c r="R173" s="475">
        <v>44656</v>
      </c>
      <c r="S173" s="474" t="s">
        <v>1704</v>
      </c>
      <c r="T173" s="474">
        <v>60</v>
      </c>
      <c r="U173" s="474" t="s">
        <v>1281</v>
      </c>
      <c r="V173" s="486" t="s">
        <v>973</v>
      </c>
      <c r="W173" s="474">
        <v>400</v>
      </c>
      <c r="X173" s="432">
        <v>768</v>
      </c>
      <c r="Y173" s="389">
        <f t="shared" si="32"/>
        <v>307200</v>
      </c>
      <c r="Z173" s="478">
        <f t="shared" si="36"/>
        <v>0.47</v>
      </c>
      <c r="AA173" s="479">
        <f t="shared" si="33"/>
        <v>144384</v>
      </c>
      <c r="AB173" s="480"/>
      <c r="AC173" s="481">
        <f t="shared" si="34"/>
        <v>0</v>
      </c>
      <c r="AD173" s="474"/>
      <c r="AE173" s="398">
        <f t="shared" ref="AE173:AE178" si="37">AA173*0.0825</f>
        <v>11911.68</v>
      </c>
      <c r="AF173" s="493">
        <f t="shared" si="35"/>
        <v>156295.67999999999</v>
      </c>
      <c r="AG173" s="474" t="s">
        <v>47</v>
      </c>
      <c r="AH173" s="474"/>
      <c r="AI173" s="474">
        <v>60</v>
      </c>
      <c r="AJ173" s="475" t="s">
        <v>2066</v>
      </c>
      <c r="AK173" s="475" t="s">
        <v>1144</v>
      </c>
      <c r="AL173" s="483" t="s">
        <v>2067</v>
      </c>
      <c r="AM173" s="474" t="s">
        <v>52</v>
      </c>
      <c r="AN173" s="384" t="s">
        <v>50</v>
      </c>
      <c r="AO173" s="474" t="s">
        <v>1076</v>
      </c>
      <c r="AP173" s="482" t="s">
        <v>38</v>
      </c>
      <c r="AQ173" s="482" t="s">
        <v>37</v>
      </c>
      <c r="AR173" s="474"/>
      <c r="AS173" s="473"/>
      <c r="AT173" s="473"/>
      <c r="AU173" s="478"/>
      <c r="AV173" s="471" t="str">
        <f t="shared" si="24"/>
        <v>30390456H</v>
      </c>
      <c r="AW173" s="471" cm="1">
        <f t="array" ref="AW173">SUM(MID(0&amp;AV173,LARGE(INDEX(ISNUMBER(--MID(AV173,ROW($1:$8),1))*ROW($1:$8),),ROW($1:$8))+1,1)*10^ROW($1:$8)/10)</f>
        <v>30390456</v>
      </c>
      <c r="AX173" s="471" t="str">
        <f>VLOOKUP($AW173,'Item Master Data'!$A:$F,3,FALSE)</f>
        <v>Q.PEAK DUO BLK ML G10+</v>
      </c>
      <c r="AY173" s="471">
        <f>VLOOKUP($AW173,'Item Master Data'!$A:$F,6,FALSE)</f>
        <v>400</v>
      </c>
      <c r="AZ173" s="471">
        <f t="shared" si="25"/>
        <v>24</v>
      </c>
      <c r="BA173" s="471">
        <f>VLOOKUP(AW173,'Item Master Data'!$A:$G,7,FALSE)</f>
        <v>32</v>
      </c>
      <c r="BB173" s="471"/>
      <c r="BC173" s="471">
        <f t="shared" si="26"/>
        <v>0</v>
      </c>
    </row>
    <row r="174" spans="1:55">
      <c r="A174" s="495"/>
      <c r="B174" s="407">
        <v>44627</v>
      </c>
      <c r="C174" s="407">
        <v>44627</v>
      </c>
      <c r="D174" s="485" t="s">
        <v>86</v>
      </c>
      <c r="E174" s="383"/>
      <c r="F174" s="474"/>
      <c r="G174" s="380">
        <v>2022</v>
      </c>
      <c r="H174" s="474">
        <v>4</v>
      </c>
      <c r="I174" s="474"/>
      <c r="J174" s="475">
        <v>44679</v>
      </c>
      <c r="K174" s="501" t="s">
        <v>2065</v>
      </c>
      <c r="L174" s="474" t="s">
        <v>1953</v>
      </c>
      <c r="M174" s="475">
        <v>44602</v>
      </c>
      <c r="N174" s="475">
        <v>44683</v>
      </c>
      <c r="O174" s="475"/>
      <c r="P174" s="345">
        <v>44666</v>
      </c>
      <c r="Q174" s="475">
        <v>44677</v>
      </c>
      <c r="R174" s="475">
        <v>44679</v>
      </c>
      <c r="S174" s="474" t="s">
        <v>1704</v>
      </c>
      <c r="T174" s="474">
        <v>60</v>
      </c>
      <c r="U174" s="474" t="s">
        <v>1281</v>
      </c>
      <c r="V174" s="486" t="s">
        <v>973</v>
      </c>
      <c r="W174" s="474">
        <v>400</v>
      </c>
      <c r="X174" s="432">
        <v>768</v>
      </c>
      <c r="Y174" s="389">
        <f t="shared" si="32"/>
        <v>307200</v>
      </c>
      <c r="Z174" s="478">
        <f t="shared" si="36"/>
        <v>0.47</v>
      </c>
      <c r="AA174" s="479">
        <f t="shared" si="33"/>
        <v>144384</v>
      </c>
      <c r="AB174" s="480"/>
      <c r="AC174" s="481">
        <f t="shared" si="34"/>
        <v>0</v>
      </c>
      <c r="AD174" s="474"/>
      <c r="AE174" s="398">
        <f t="shared" si="37"/>
        <v>11911.68</v>
      </c>
      <c r="AF174" s="493">
        <f t="shared" si="35"/>
        <v>156295.67999999999</v>
      </c>
      <c r="AG174" s="474" t="s">
        <v>47</v>
      </c>
      <c r="AH174" s="474"/>
      <c r="AI174" s="474">
        <v>60</v>
      </c>
      <c r="AJ174" s="475" t="s">
        <v>2066</v>
      </c>
      <c r="AK174" s="475" t="s">
        <v>1144</v>
      </c>
      <c r="AL174" s="483" t="s">
        <v>2067</v>
      </c>
      <c r="AM174" s="474" t="s">
        <v>52</v>
      </c>
      <c r="AN174" s="384" t="s">
        <v>50</v>
      </c>
      <c r="AO174" s="474" t="s">
        <v>1076</v>
      </c>
      <c r="AP174" s="474"/>
      <c r="AQ174" s="482" t="s">
        <v>37</v>
      </c>
      <c r="AR174" s="474"/>
      <c r="AS174" s="473"/>
      <c r="AT174" s="473"/>
      <c r="AU174" s="478"/>
      <c r="AV174" s="471" t="str">
        <f t="shared" si="24"/>
        <v>30390456H</v>
      </c>
      <c r="AW174" s="471" cm="1">
        <f t="array" ref="AW174">SUM(MID(0&amp;AV174,LARGE(INDEX(ISNUMBER(--MID(AV174,ROW($1:$8),1))*ROW($1:$8),),ROW($1:$8))+1,1)*10^ROW($1:$8)/10)</f>
        <v>30390456</v>
      </c>
      <c r="AX174" s="471" t="str">
        <f>VLOOKUP($AW174,'Item Master Data'!$A:$F,3,FALSE)</f>
        <v>Q.PEAK DUO BLK ML G10+</v>
      </c>
      <c r="AY174" s="471">
        <f>VLOOKUP($AW174,'Item Master Data'!$A:$F,6,FALSE)</f>
        <v>400</v>
      </c>
      <c r="AZ174" s="471">
        <f t="shared" si="25"/>
        <v>24</v>
      </c>
      <c r="BA174" s="471">
        <f>VLOOKUP(AW174,'Item Master Data'!$A:$G,7,FALSE)</f>
        <v>32</v>
      </c>
      <c r="BB174" s="471"/>
      <c r="BC174" s="471">
        <f t="shared" si="26"/>
        <v>0</v>
      </c>
    </row>
    <row r="175" spans="1:55">
      <c r="A175" s="495"/>
      <c r="B175" s="407">
        <v>44627</v>
      </c>
      <c r="C175" s="407">
        <v>44627</v>
      </c>
      <c r="D175" s="485" t="s">
        <v>86</v>
      </c>
      <c r="E175" s="383"/>
      <c r="F175" s="474"/>
      <c r="G175" s="380">
        <v>2022</v>
      </c>
      <c r="H175" s="474">
        <v>4</v>
      </c>
      <c r="I175" s="474"/>
      <c r="J175" s="475"/>
      <c r="K175" s="501" t="s">
        <v>2243</v>
      </c>
      <c r="L175" s="474" t="s">
        <v>1953</v>
      </c>
      <c r="M175" s="475">
        <v>44602</v>
      </c>
      <c r="N175" s="475">
        <v>44683</v>
      </c>
      <c r="O175" s="475"/>
      <c r="P175" s="475">
        <v>44666</v>
      </c>
      <c r="Q175" s="475">
        <v>44673</v>
      </c>
      <c r="R175" s="475">
        <v>44676</v>
      </c>
      <c r="S175" s="474" t="s">
        <v>1704</v>
      </c>
      <c r="T175" s="474">
        <v>60</v>
      </c>
      <c r="U175" s="486" t="s">
        <v>1760</v>
      </c>
      <c r="V175" s="486" t="s">
        <v>973</v>
      </c>
      <c r="W175" s="474">
        <v>400</v>
      </c>
      <c r="X175" s="432">
        <v>768</v>
      </c>
      <c r="Y175" s="389">
        <f t="shared" si="32"/>
        <v>307200</v>
      </c>
      <c r="Z175" s="478">
        <f t="shared" si="36"/>
        <v>0.47</v>
      </c>
      <c r="AA175" s="479">
        <f t="shared" si="33"/>
        <v>144384</v>
      </c>
      <c r="AB175" s="480"/>
      <c r="AC175" s="481">
        <f t="shared" si="34"/>
        <v>0</v>
      </c>
      <c r="AD175" s="474"/>
      <c r="AE175" s="398">
        <f t="shared" si="37"/>
        <v>11911.68</v>
      </c>
      <c r="AF175" s="493">
        <f t="shared" si="35"/>
        <v>156295.67999999999</v>
      </c>
      <c r="AG175" s="474" t="s">
        <v>47</v>
      </c>
      <c r="AH175" s="474"/>
      <c r="AI175" s="474">
        <v>60</v>
      </c>
      <c r="AJ175" s="475" t="s">
        <v>1384</v>
      </c>
      <c r="AK175" s="475" t="s">
        <v>1144</v>
      </c>
      <c r="AL175" s="483" t="s">
        <v>2120</v>
      </c>
      <c r="AM175" s="474" t="s">
        <v>52</v>
      </c>
      <c r="AN175" s="384" t="s">
        <v>50</v>
      </c>
      <c r="AO175" s="474" t="s">
        <v>1076</v>
      </c>
      <c r="AP175" s="482" t="s">
        <v>38</v>
      </c>
      <c r="AQ175" s="482" t="s">
        <v>37</v>
      </c>
      <c r="AR175" s="474"/>
      <c r="AS175" s="473"/>
      <c r="AT175" s="473"/>
      <c r="AU175" s="478"/>
      <c r="AV175" s="471" t="str">
        <f t="shared" si="24"/>
        <v>30390156H</v>
      </c>
      <c r="AW175" s="471" cm="1">
        <f t="array" ref="AW175">SUM(MID(0&amp;AV175,LARGE(INDEX(ISNUMBER(--MID(AV175,ROW($1:$8),1))*ROW($1:$8),),ROW($1:$8))+1,1)*10^ROW($1:$8)/10)</f>
        <v>30390156</v>
      </c>
      <c r="AX175" s="471" t="str">
        <f>VLOOKUP($AW175,'Item Master Data'!$A:$F,3,FALSE)</f>
        <v>Q.PEAK DUO BLK ML G10+</v>
      </c>
      <c r="AY175" s="471">
        <f>VLOOKUP($AW175,'Item Master Data'!$A:$F,6,FALSE)</f>
        <v>400</v>
      </c>
      <c r="AZ175" s="471">
        <f t="shared" si="25"/>
        <v>24</v>
      </c>
      <c r="BA175" s="471">
        <f>VLOOKUP(AW175,'Item Master Data'!$A:$G,7,FALSE)</f>
        <v>32</v>
      </c>
      <c r="BB175" s="471"/>
      <c r="BC175" s="471">
        <f t="shared" si="26"/>
        <v>0</v>
      </c>
    </row>
    <row r="176" spans="1:55">
      <c r="A176" s="495"/>
      <c r="B176" s="407">
        <v>44627</v>
      </c>
      <c r="C176" s="407">
        <v>44627</v>
      </c>
      <c r="D176" s="485" t="s">
        <v>86</v>
      </c>
      <c r="E176" s="383"/>
      <c r="F176" s="474"/>
      <c r="G176" s="380">
        <v>2022</v>
      </c>
      <c r="H176" s="474">
        <v>4</v>
      </c>
      <c r="I176" s="474">
        <v>128244</v>
      </c>
      <c r="J176" s="475">
        <v>44676</v>
      </c>
      <c r="K176" s="501" t="s">
        <v>2220</v>
      </c>
      <c r="L176" s="474" t="s">
        <v>1953</v>
      </c>
      <c r="M176" s="475">
        <v>44602</v>
      </c>
      <c r="N176" s="475">
        <v>44655</v>
      </c>
      <c r="O176" s="475"/>
      <c r="P176" s="475">
        <v>44666</v>
      </c>
      <c r="Q176" s="475">
        <v>44673</v>
      </c>
      <c r="R176" s="475">
        <v>44676</v>
      </c>
      <c r="S176" s="474" t="s">
        <v>1704</v>
      </c>
      <c r="T176" s="474">
        <v>60</v>
      </c>
      <c r="U176" s="486" t="s">
        <v>1760</v>
      </c>
      <c r="V176" s="486" t="s">
        <v>973</v>
      </c>
      <c r="W176" s="474">
        <v>400</v>
      </c>
      <c r="X176" s="432">
        <v>768</v>
      </c>
      <c r="Y176" s="389">
        <f t="shared" si="32"/>
        <v>307200</v>
      </c>
      <c r="Z176" s="478">
        <f t="shared" si="36"/>
        <v>0.47</v>
      </c>
      <c r="AA176" s="479">
        <f t="shared" si="33"/>
        <v>144384</v>
      </c>
      <c r="AB176" s="480"/>
      <c r="AC176" s="481">
        <f t="shared" si="34"/>
        <v>0</v>
      </c>
      <c r="AD176" s="474"/>
      <c r="AE176" s="398">
        <f t="shared" si="37"/>
        <v>11911.68</v>
      </c>
      <c r="AF176" s="493">
        <f t="shared" si="35"/>
        <v>156295.67999999999</v>
      </c>
      <c r="AG176" s="474" t="s">
        <v>47</v>
      </c>
      <c r="AH176" s="474"/>
      <c r="AI176" s="474">
        <v>60</v>
      </c>
      <c r="AJ176" s="475" t="s">
        <v>2053</v>
      </c>
      <c r="AK176" s="475" t="s">
        <v>1144</v>
      </c>
      <c r="AL176" s="483" t="s">
        <v>2054</v>
      </c>
      <c r="AM176" s="474" t="s">
        <v>52</v>
      </c>
      <c r="AN176" s="384" t="s">
        <v>50</v>
      </c>
      <c r="AO176" s="474" t="s">
        <v>1076</v>
      </c>
      <c r="AP176" s="482" t="s">
        <v>38</v>
      </c>
      <c r="AQ176" s="482" t="s">
        <v>37</v>
      </c>
      <c r="AR176" s="474"/>
      <c r="AS176" s="473"/>
      <c r="AT176" s="473"/>
      <c r="AU176" s="478"/>
      <c r="AV176" s="471" t="str">
        <f t="shared" si="24"/>
        <v>30390156H</v>
      </c>
      <c r="AW176" s="471" cm="1">
        <f t="array" ref="AW176">SUM(MID(0&amp;AV176,LARGE(INDEX(ISNUMBER(--MID(AV176,ROW($1:$8),1))*ROW($1:$8),),ROW($1:$8))+1,1)*10^ROW($1:$8)/10)</f>
        <v>30390156</v>
      </c>
      <c r="AX176" s="471" t="str">
        <f>VLOOKUP($AW176,'Item Master Data'!$A:$F,3,FALSE)</f>
        <v>Q.PEAK DUO BLK ML G10+</v>
      </c>
      <c r="AY176" s="471">
        <f>VLOOKUP($AW176,'Item Master Data'!$A:$F,6,FALSE)</f>
        <v>400</v>
      </c>
      <c r="AZ176" s="471">
        <f t="shared" si="25"/>
        <v>24</v>
      </c>
      <c r="BA176" s="471">
        <f>VLOOKUP(AW176,'Item Master Data'!$A:$G,7,FALSE)</f>
        <v>32</v>
      </c>
      <c r="BB176" s="471"/>
      <c r="BC176" s="471">
        <f t="shared" si="26"/>
        <v>0</v>
      </c>
    </row>
    <row r="177" spans="1:55">
      <c r="A177" s="495"/>
      <c r="B177" s="407"/>
      <c r="C177" s="495"/>
      <c r="D177" s="474" t="s">
        <v>86</v>
      </c>
      <c r="E177" s="383"/>
      <c r="F177" s="474"/>
      <c r="G177" s="380">
        <v>2022</v>
      </c>
      <c r="H177" s="474">
        <v>4</v>
      </c>
      <c r="I177" s="474">
        <v>127945</v>
      </c>
      <c r="J177" s="394">
        <v>44658</v>
      </c>
      <c r="K177" s="474" t="s">
        <v>2148</v>
      </c>
      <c r="L177" s="474" t="s">
        <v>1953</v>
      </c>
      <c r="M177" s="394">
        <v>44636</v>
      </c>
      <c r="N177" s="394">
        <v>44641</v>
      </c>
      <c r="O177" s="394"/>
      <c r="P177" s="475">
        <v>44649</v>
      </c>
      <c r="Q177" s="394">
        <v>44655</v>
      </c>
      <c r="R177" s="394">
        <v>44658</v>
      </c>
      <c r="S177" s="474" t="s">
        <v>1704</v>
      </c>
      <c r="T177" s="445">
        <v>60</v>
      </c>
      <c r="U177" s="474" t="s">
        <v>1281</v>
      </c>
      <c r="V177" s="486" t="s">
        <v>973</v>
      </c>
      <c r="W177" s="474">
        <v>400</v>
      </c>
      <c r="X177" s="395">
        <v>768</v>
      </c>
      <c r="Y177" s="389">
        <f t="shared" si="32"/>
        <v>307200</v>
      </c>
      <c r="Z177" s="478">
        <f t="shared" si="36"/>
        <v>0.47</v>
      </c>
      <c r="AA177" s="479">
        <f t="shared" si="33"/>
        <v>144384</v>
      </c>
      <c r="AB177" s="386"/>
      <c r="AC177" s="481">
        <f t="shared" si="34"/>
        <v>0</v>
      </c>
      <c r="AD177" s="474"/>
      <c r="AE177" s="482">
        <f t="shared" si="37"/>
        <v>11911.68</v>
      </c>
      <c r="AF177" s="481">
        <f t="shared" si="35"/>
        <v>156295.67999999999</v>
      </c>
      <c r="AG177" s="474" t="s">
        <v>47</v>
      </c>
      <c r="AH177" s="447"/>
      <c r="AI177" s="474">
        <v>60</v>
      </c>
      <c r="AJ177" s="474" t="s">
        <v>1850</v>
      </c>
      <c r="AK177" s="474" t="s">
        <v>1144</v>
      </c>
      <c r="AL177" s="494">
        <v>76118</v>
      </c>
      <c r="AM177" s="474" t="s">
        <v>52</v>
      </c>
      <c r="AN177" s="384" t="s">
        <v>50</v>
      </c>
      <c r="AO177" s="474" t="s">
        <v>1076</v>
      </c>
      <c r="AP177" s="482" t="s">
        <v>38</v>
      </c>
      <c r="AQ177" s="474" t="s">
        <v>37</v>
      </c>
      <c r="AR177" s="474" t="s">
        <v>1216</v>
      </c>
      <c r="AS177" s="387"/>
      <c r="AT177" s="387"/>
      <c r="AU177" s="478">
        <f>212/400</f>
        <v>0.53</v>
      </c>
      <c r="AV177" s="471" t="str">
        <f t="shared" ref="AV177:AV240" si="38">U177</f>
        <v>30390456H</v>
      </c>
      <c r="AW177" s="471" cm="1">
        <f t="array" ref="AW177">SUM(MID(0&amp;AV177,LARGE(INDEX(ISNUMBER(--MID(AV177,ROW($1:$8),1))*ROW($1:$8),),ROW($1:$8))+1,1)*10^ROW($1:$8)/10)</f>
        <v>30390456</v>
      </c>
      <c r="AX177" s="471" t="str">
        <f>VLOOKUP($AW177,'Item Master Data'!$A:$F,3,FALSE)</f>
        <v>Q.PEAK DUO BLK ML G10+</v>
      </c>
      <c r="AY177" s="471">
        <f>VLOOKUP($AW177,'Item Master Data'!$A:$F,6,FALSE)</f>
        <v>400</v>
      </c>
      <c r="AZ177" s="471">
        <f t="shared" ref="AZ177:AZ240" si="39">X177/BA177</f>
        <v>24</v>
      </c>
      <c r="BA177" s="471">
        <f>VLOOKUP(AW177,'Item Master Data'!$A:$G,7,FALSE)</f>
        <v>32</v>
      </c>
      <c r="BB177" s="471"/>
      <c r="BC177" s="471">
        <f t="shared" ref="BC177:BC240" si="40">W177-AY177</f>
        <v>0</v>
      </c>
    </row>
    <row r="178" spans="1:55">
      <c r="A178" s="495"/>
      <c r="B178" s="407">
        <v>44657</v>
      </c>
      <c r="C178" s="407">
        <v>44657</v>
      </c>
      <c r="D178" s="474" t="s">
        <v>86</v>
      </c>
      <c r="E178" s="474"/>
      <c r="F178" s="474"/>
      <c r="G178" s="380">
        <v>2022</v>
      </c>
      <c r="H178" s="474">
        <v>4</v>
      </c>
      <c r="I178" s="474">
        <v>128076</v>
      </c>
      <c r="J178" s="394">
        <v>44669</v>
      </c>
      <c r="K178" s="474" t="s">
        <v>2158</v>
      </c>
      <c r="L178" s="474" t="s">
        <v>1953</v>
      </c>
      <c r="M178" s="394">
        <v>44652</v>
      </c>
      <c r="N178" s="394">
        <v>44659</v>
      </c>
      <c r="O178" s="394"/>
      <c r="P178" s="475">
        <v>44657</v>
      </c>
      <c r="Q178" s="394">
        <v>44664</v>
      </c>
      <c r="R178" s="394">
        <v>44669</v>
      </c>
      <c r="S178" s="474" t="s">
        <v>1704</v>
      </c>
      <c r="T178" s="445">
        <v>60</v>
      </c>
      <c r="U178" s="474" t="s">
        <v>1281</v>
      </c>
      <c r="V178" s="486" t="s">
        <v>973</v>
      </c>
      <c r="W178" s="474">
        <v>400</v>
      </c>
      <c r="X178" s="395">
        <v>768</v>
      </c>
      <c r="Y178" s="389">
        <f t="shared" si="32"/>
        <v>307200</v>
      </c>
      <c r="Z178" s="478">
        <f t="shared" si="36"/>
        <v>0.47</v>
      </c>
      <c r="AA178" s="479">
        <f t="shared" si="33"/>
        <v>144384</v>
      </c>
      <c r="AB178" s="386"/>
      <c r="AC178" s="481">
        <f t="shared" si="34"/>
        <v>0</v>
      </c>
      <c r="AD178" s="474"/>
      <c r="AE178" s="482">
        <f t="shared" si="37"/>
        <v>11911.68</v>
      </c>
      <c r="AF178" s="481">
        <f t="shared" si="35"/>
        <v>156295.67999999999</v>
      </c>
      <c r="AG178" s="474" t="s">
        <v>47</v>
      </c>
      <c r="AH178" s="447"/>
      <c r="AI178" s="474">
        <v>60</v>
      </c>
      <c r="AJ178" s="474" t="s">
        <v>1194</v>
      </c>
      <c r="AK178" s="474" t="s">
        <v>1073</v>
      </c>
      <c r="AL178" s="494">
        <v>21046</v>
      </c>
      <c r="AM178" s="474" t="s">
        <v>52</v>
      </c>
      <c r="AN178" s="384" t="s">
        <v>50</v>
      </c>
      <c r="AO178" s="474" t="s">
        <v>1076</v>
      </c>
      <c r="AP178" s="482" t="s">
        <v>38</v>
      </c>
      <c r="AQ178" s="474" t="s">
        <v>37</v>
      </c>
      <c r="AR178" s="474" t="s">
        <v>1216</v>
      </c>
      <c r="AS178" s="387"/>
      <c r="AT178" s="387"/>
      <c r="AU178" s="478">
        <f>212/400</f>
        <v>0.53</v>
      </c>
      <c r="AV178" s="471" t="str">
        <f t="shared" si="38"/>
        <v>30390456H</v>
      </c>
      <c r="AW178" s="471" cm="1">
        <f t="array" ref="AW178">SUM(MID(0&amp;AV178,LARGE(INDEX(ISNUMBER(--MID(AV178,ROW($1:$8),1))*ROW($1:$8),),ROW($1:$8))+1,1)*10^ROW($1:$8)/10)</f>
        <v>30390456</v>
      </c>
      <c r="AX178" s="471" t="str">
        <f>VLOOKUP($AW178,'Item Master Data'!$A:$F,3,FALSE)</f>
        <v>Q.PEAK DUO BLK ML G10+</v>
      </c>
      <c r="AY178" s="471">
        <f>VLOOKUP($AW178,'Item Master Data'!$A:$F,6,FALSE)</f>
        <v>400</v>
      </c>
      <c r="AZ178" s="471">
        <f t="shared" si="39"/>
        <v>24</v>
      </c>
      <c r="BA178" s="471">
        <f>VLOOKUP(AW178,'Item Master Data'!$A:$G,7,FALSE)</f>
        <v>32</v>
      </c>
      <c r="BB178" s="471"/>
      <c r="BC178" s="471">
        <f t="shared" si="40"/>
        <v>0</v>
      </c>
    </row>
    <row r="179" spans="1:55">
      <c r="A179" s="495"/>
      <c r="B179" s="407">
        <v>44657</v>
      </c>
      <c r="C179" s="407">
        <v>44657</v>
      </c>
      <c r="D179" s="485" t="s">
        <v>86</v>
      </c>
      <c r="E179" s="474" t="s">
        <v>5716</v>
      </c>
      <c r="F179" s="486"/>
      <c r="G179" s="380">
        <v>2022</v>
      </c>
      <c r="H179" s="474">
        <v>4</v>
      </c>
      <c r="I179" s="474" t="s">
        <v>3023</v>
      </c>
      <c r="J179" s="475">
        <v>44669</v>
      </c>
      <c r="K179" s="474" t="s">
        <v>2192</v>
      </c>
      <c r="L179" s="474" t="s">
        <v>1953</v>
      </c>
      <c r="M179" s="475">
        <v>44652</v>
      </c>
      <c r="N179" s="475">
        <v>44652</v>
      </c>
      <c r="O179" s="475"/>
      <c r="P179" s="475">
        <v>44657</v>
      </c>
      <c r="Q179" s="475">
        <v>44669</v>
      </c>
      <c r="R179" s="475">
        <v>44677</v>
      </c>
      <c r="S179" s="474" t="s">
        <v>1704</v>
      </c>
      <c r="T179" s="474">
        <v>72</v>
      </c>
      <c r="U179" s="486">
        <v>49303156</v>
      </c>
      <c r="V179" s="474" t="s">
        <v>1070</v>
      </c>
      <c r="W179" s="474">
        <v>480</v>
      </c>
      <c r="X179" s="432">
        <v>1914</v>
      </c>
      <c r="Y179" s="389">
        <f t="shared" si="32"/>
        <v>918720</v>
      </c>
      <c r="Z179" s="478">
        <f>249.6/480</f>
        <v>0.52</v>
      </c>
      <c r="AA179" s="480">
        <f t="shared" si="33"/>
        <v>477734.40000000002</v>
      </c>
      <c r="AB179" s="480"/>
      <c r="AC179" s="481">
        <f t="shared" si="34"/>
        <v>0</v>
      </c>
      <c r="AD179" s="474"/>
      <c r="AE179" s="398">
        <v>41801.760000000002</v>
      </c>
      <c r="AF179" s="493">
        <f t="shared" si="35"/>
        <v>519536.16000000003</v>
      </c>
      <c r="AG179" s="474" t="s">
        <v>1071</v>
      </c>
      <c r="AH179" s="474"/>
      <c r="AI179" s="474">
        <v>60</v>
      </c>
      <c r="AJ179" s="475" t="s">
        <v>2193</v>
      </c>
      <c r="AK179" s="475" t="s">
        <v>50</v>
      </c>
      <c r="AL179" s="483" t="s">
        <v>2194</v>
      </c>
      <c r="AM179" s="474" t="s">
        <v>52</v>
      </c>
      <c r="AN179" s="384" t="s">
        <v>1695</v>
      </c>
      <c r="AO179" s="474" t="s">
        <v>1076</v>
      </c>
      <c r="AP179" s="482"/>
      <c r="AQ179" s="474" t="s">
        <v>37</v>
      </c>
      <c r="AR179" s="474"/>
      <c r="AS179" s="473" t="s">
        <v>1152</v>
      </c>
      <c r="AT179" s="346" t="s">
        <v>1076</v>
      </c>
      <c r="AU179" s="478"/>
      <c r="AV179" s="471">
        <f t="shared" si="38"/>
        <v>49303156</v>
      </c>
      <c r="AW179" s="471" cm="1">
        <f t="array" ref="AW179">SUM(MID(0&amp;AV179,LARGE(INDEX(ISNUMBER(--MID(AV179,ROW($1:$8),1))*ROW($1:$8),),ROW($1:$8))+1,1)*10^ROW($1:$8)/10)</f>
        <v>49303156</v>
      </c>
      <c r="AX179" s="471" t="str">
        <f>VLOOKUP($AW179,'Item Master Data'!$A:$F,3,FALSE)</f>
        <v>Q.PEAK DUO XL G10 BFG</v>
      </c>
      <c r="AY179" s="471">
        <f>VLOOKUP($AW179,'Item Master Data'!$A:$F,6,FALSE)</f>
        <v>480</v>
      </c>
      <c r="AZ179" s="471">
        <f t="shared" si="39"/>
        <v>66</v>
      </c>
      <c r="BA179" s="471">
        <f>VLOOKUP(AW179,'Item Master Data'!$A:$G,7,FALSE)</f>
        <v>29</v>
      </c>
      <c r="BB179" s="471"/>
      <c r="BC179" s="471">
        <f t="shared" si="40"/>
        <v>0</v>
      </c>
    </row>
    <row r="180" spans="1:55">
      <c r="A180" s="495"/>
      <c r="B180" s="407">
        <v>44662</v>
      </c>
      <c r="C180" s="407">
        <v>44662</v>
      </c>
      <c r="D180" s="485" t="s">
        <v>86</v>
      </c>
      <c r="E180" s="663"/>
      <c r="F180" s="486"/>
      <c r="G180" s="380">
        <v>2022</v>
      </c>
      <c r="H180" s="474">
        <v>4</v>
      </c>
      <c r="I180" s="474">
        <v>128245</v>
      </c>
      <c r="J180" s="475">
        <v>44676</v>
      </c>
      <c r="K180" s="474" t="s">
        <v>2247</v>
      </c>
      <c r="L180" s="474" t="s">
        <v>1953</v>
      </c>
      <c r="M180" s="475">
        <v>44652</v>
      </c>
      <c r="N180" s="475">
        <v>44659</v>
      </c>
      <c r="O180" s="475">
        <v>44671</v>
      </c>
      <c r="P180" s="475">
        <v>44664</v>
      </c>
      <c r="Q180" s="475">
        <v>44673</v>
      </c>
      <c r="R180" s="475">
        <v>44676</v>
      </c>
      <c r="S180" s="474" t="s">
        <v>1704</v>
      </c>
      <c r="T180" s="474">
        <v>60</v>
      </c>
      <c r="U180" s="486" t="s">
        <v>1760</v>
      </c>
      <c r="V180" s="474" t="s">
        <v>973</v>
      </c>
      <c r="W180" s="474">
        <v>400</v>
      </c>
      <c r="X180" s="432">
        <v>768</v>
      </c>
      <c r="Y180" s="389">
        <f t="shared" si="32"/>
        <v>307200</v>
      </c>
      <c r="Z180" s="478">
        <f>188/400</f>
        <v>0.47</v>
      </c>
      <c r="AA180" s="480">
        <f t="shared" si="33"/>
        <v>144384</v>
      </c>
      <c r="AB180" s="480"/>
      <c r="AC180" s="481">
        <f t="shared" si="34"/>
        <v>0</v>
      </c>
      <c r="AD180" s="474"/>
      <c r="AE180" s="474">
        <f>AA180*0.0825</f>
        <v>11911.68</v>
      </c>
      <c r="AF180" s="493">
        <f t="shared" si="35"/>
        <v>156295.67999999999</v>
      </c>
      <c r="AG180" s="474" t="s">
        <v>47</v>
      </c>
      <c r="AH180" s="474"/>
      <c r="AI180" s="474">
        <v>60</v>
      </c>
      <c r="AJ180" s="475" t="s">
        <v>1850</v>
      </c>
      <c r="AK180" s="475" t="s">
        <v>1144</v>
      </c>
      <c r="AL180" s="483">
        <v>76118</v>
      </c>
      <c r="AM180" s="474" t="s">
        <v>52</v>
      </c>
      <c r="AN180" s="384" t="s">
        <v>50</v>
      </c>
      <c r="AO180" s="474" t="s">
        <v>1076</v>
      </c>
      <c r="AP180" s="482" t="s">
        <v>38</v>
      </c>
      <c r="AQ180" s="474" t="s">
        <v>37</v>
      </c>
      <c r="AR180" s="474" t="s">
        <v>1216</v>
      </c>
      <c r="AS180" s="473"/>
      <c r="AT180" s="346"/>
      <c r="AU180" s="478">
        <f>212/400</f>
        <v>0.53</v>
      </c>
      <c r="AV180" s="471" t="str">
        <f t="shared" si="38"/>
        <v>30390156H</v>
      </c>
      <c r="AW180" s="471" cm="1">
        <f t="array" ref="AW180">SUM(MID(0&amp;AV180,LARGE(INDEX(ISNUMBER(--MID(AV180,ROW($1:$8),1))*ROW($1:$8),),ROW($1:$8))+1,1)*10^ROW($1:$8)/10)</f>
        <v>30390156</v>
      </c>
      <c r="AX180" s="471" t="str">
        <f>VLOOKUP($AW180,'Item Master Data'!$A:$F,3,FALSE)</f>
        <v>Q.PEAK DUO BLK ML G10+</v>
      </c>
      <c r="AY180" s="471">
        <f>VLOOKUP($AW180,'Item Master Data'!$A:$F,6,FALSE)</f>
        <v>400</v>
      </c>
      <c r="AZ180" s="471">
        <f t="shared" si="39"/>
        <v>24</v>
      </c>
      <c r="BA180" s="471">
        <f>VLOOKUP(AW180,'Item Master Data'!$A:$G,7,FALSE)</f>
        <v>32</v>
      </c>
      <c r="BB180" s="471"/>
      <c r="BC180" s="471">
        <f t="shared" si="40"/>
        <v>0</v>
      </c>
    </row>
    <row r="181" spans="1:55">
      <c r="A181" s="495"/>
      <c r="B181" s="407">
        <v>44615</v>
      </c>
      <c r="C181" s="407">
        <v>44665</v>
      </c>
      <c r="D181" s="485" t="s">
        <v>86</v>
      </c>
      <c r="E181" s="474"/>
      <c r="F181" s="486"/>
      <c r="G181" s="380">
        <v>2022</v>
      </c>
      <c r="H181" s="474">
        <v>4</v>
      </c>
      <c r="I181" s="474">
        <v>128210</v>
      </c>
      <c r="J181" s="475">
        <v>44672</v>
      </c>
      <c r="K181" s="474" t="s">
        <v>2304</v>
      </c>
      <c r="L181" s="474" t="s">
        <v>1723</v>
      </c>
      <c r="M181" s="475">
        <v>44593</v>
      </c>
      <c r="N181" s="475">
        <v>44636</v>
      </c>
      <c r="O181" s="475"/>
      <c r="P181" s="475">
        <v>44665</v>
      </c>
      <c r="Q181" s="475">
        <v>44672</v>
      </c>
      <c r="R181" s="475">
        <v>44673</v>
      </c>
      <c r="S181" s="474" t="s">
        <v>88</v>
      </c>
      <c r="T181" s="474">
        <v>60</v>
      </c>
      <c r="U181" s="486">
        <v>49203132</v>
      </c>
      <c r="V181" s="474" t="s">
        <v>986</v>
      </c>
      <c r="W181" s="474">
        <v>360</v>
      </c>
      <c r="X181" s="432">
        <v>768</v>
      </c>
      <c r="Y181" s="389">
        <f t="shared" si="32"/>
        <v>276480</v>
      </c>
      <c r="Z181" s="478">
        <f>192.6/360</f>
        <v>0.53500000000000003</v>
      </c>
      <c r="AA181" s="480">
        <f t="shared" si="33"/>
        <v>147916.80000000002</v>
      </c>
      <c r="AB181" s="480"/>
      <c r="AC181" s="481">
        <f t="shared" si="34"/>
        <v>0</v>
      </c>
      <c r="AD181" s="474"/>
      <c r="AE181" s="474"/>
      <c r="AF181" s="493">
        <f t="shared" si="35"/>
        <v>147916.80000000002</v>
      </c>
      <c r="AG181" s="474" t="s">
        <v>1071</v>
      </c>
      <c r="AH181" s="474"/>
      <c r="AI181" s="474">
        <v>60</v>
      </c>
      <c r="AJ181" s="475" t="s">
        <v>1342</v>
      </c>
      <c r="AK181" s="475" t="s">
        <v>1085</v>
      </c>
      <c r="AL181" s="483" t="s">
        <v>2305</v>
      </c>
      <c r="AM181" s="474" t="s">
        <v>52</v>
      </c>
      <c r="AN181" s="384" t="s">
        <v>1695</v>
      </c>
      <c r="AO181" s="474" t="s">
        <v>1076</v>
      </c>
      <c r="AP181" s="482"/>
      <c r="AQ181" s="474" t="s">
        <v>37</v>
      </c>
      <c r="AR181" s="474" t="s">
        <v>1216</v>
      </c>
      <c r="AS181" s="473"/>
      <c r="AT181" s="473"/>
      <c r="AU181" s="478">
        <f>181.8/360</f>
        <v>0.505</v>
      </c>
      <c r="AV181" s="471">
        <f t="shared" si="38"/>
        <v>49203132</v>
      </c>
      <c r="AW181" s="471" cm="1">
        <f t="array" ref="AW181">SUM(MID(0&amp;AV181,LARGE(INDEX(ISNUMBER(--MID(AV181,ROW($1:$8),1))*ROW($1:$8),),ROW($1:$8))+1,1)*10^ROW($1:$8)/10)</f>
        <v>49203132</v>
      </c>
      <c r="AX181" s="471" t="str">
        <f>VLOOKUP($AW181,'Item Master Data'!$A:$F,3,FALSE)</f>
        <v>Q.PEAK DUO BLK G10+</v>
      </c>
      <c r="AY181" s="471">
        <f>VLOOKUP($AW181,'Item Master Data'!$A:$F,6,FALSE)</f>
        <v>360</v>
      </c>
      <c r="AZ181" s="471">
        <f t="shared" si="39"/>
        <v>24</v>
      </c>
      <c r="BA181" s="471">
        <f>VLOOKUP(AW181,'Item Master Data'!$A:$G,7,FALSE)</f>
        <v>32</v>
      </c>
      <c r="BB181" s="471"/>
      <c r="BC181" s="471">
        <f t="shared" si="40"/>
        <v>0</v>
      </c>
    </row>
    <row r="182" spans="1:55">
      <c r="A182" s="495"/>
      <c r="B182" s="495"/>
      <c r="C182" s="407">
        <v>44634</v>
      </c>
      <c r="D182" s="485" t="s">
        <v>86</v>
      </c>
      <c r="E182" s="383" t="s">
        <v>5397</v>
      </c>
      <c r="F182" s="474"/>
      <c r="G182" s="380">
        <v>2022</v>
      </c>
      <c r="H182" s="474">
        <v>4</v>
      </c>
      <c r="I182" s="474"/>
      <c r="J182" s="475">
        <v>44671</v>
      </c>
      <c r="K182" s="474" t="s">
        <v>2274</v>
      </c>
      <c r="L182" s="474" t="s">
        <v>2079</v>
      </c>
      <c r="M182" s="475">
        <v>44593</v>
      </c>
      <c r="N182" s="475">
        <v>44713</v>
      </c>
      <c r="O182" s="475"/>
      <c r="P182" s="345">
        <v>44665</v>
      </c>
      <c r="Q182" s="475">
        <v>44671</v>
      </c>
      <c r="R182" s="475">
        <v>44676</v>
      </c>
      <c r="S182" s="474" t="s">
        <v>88</v>
      </c>
      <c r="T182" s="474">
        <v>60</v>
      </c>
      <c r="U182" s="474">
        <v>49203132</v>
      </c>
      <c r="V182" s="486" t="s">
        <v>986</v>
      </c>
      <c r="W182" s="474">
        <v>360</v>
      </c>
      <c r="X182" s="432">
        <v>832</v>
      </c>
      <c r="Y182" s="389">
        <f t="shared" si="32"/>
        <v>299520</v>
      </c>
      <c r="Z182" s="478">
        <f>181.8/360</f>
        <v>0.505</v>
      </c>
      <c r="AA182" s="479">
        <f t="shared" si="33"/>
        <v>151257.60000000001</v>
      </c>
      <c r="AB182" s="480"/>
      <c r="AC182" s="481">
        <f>AB182*Y182</f>
        <v>0</v>
      </c>
      <c r="AD182" s="474"/>
      <c r="AE182" s="474"/>
      <c r="AF182" s="493">
        <f>AE182+AD182+AA182</f>
        <v>151257.60000000001</v>
      </c>
      <c r="AG182" s="474" t="s">
        <v>1071</v>
      </c>
      <c r="AH182" s="474"/>
      <c r="AI182" s="474">
        <v>60</v>
      </c>
      <c r="AJ182" s="475" t="s">
        <v>2075</v>
      </c>
      <c r="AK182" s="475" t="s">
        <v>50</v>
      </c>
      <c r="AL182" s="483" t="s">
        <v>2128</v>
      </c>
      <c r="AM182" s="474" t="s">
        <v>52</v>
      </c>
      <c r="AN182" s="384" t="s">
        <v>1695</v>
      </c>
      <c r="AO182" s="474" t="s">
        <v>1076</v>
      </c>
      <c r="AP182" s="474"/>
      <c r="AQ182" s="482" t="s">
        <v>37</v>
      </c>
      <c r="AR182" s="474" t="s">
        <v>2126</v>
      </c>
      <c r="AS182" s="473"/>
      <c r="AT182" s="473"/>
      <c r="AU182" s="478"/>
      <c r="AV182" s="471">
        <f t="shared" si="38"/>
        <v>49203132</v>
      </c>
      <c r="AW182" s="471" cm="1">
        <f t="array" ref="AW182">SUM(MID(0&amp;AV182,LARGE(INDEX(ISNUMBER(--MID(AV182,ROW($1:$8),1))*ROW($1:$8),),ROW($1:$8))+1,1)*10^ROW($1:$8)/10)</f>
        <v>49203132</v>
      </c>
      <c r="AX182" s="471" t="str">
        <f>VLOOKUP($AW182,'Item Master Data'!$A:$F,3,FALSE)</f>
        <v>Q.PEAK DUO BLK G10+</v>
      </c>
      <c r="AY182" s="471">
        <f>VLOOKUP($AW182,'Item Master Data'!$A:$F,6,FALSE)</f>
        <v>360</v>
      </c>
      <c r="AZ182" s="471">
        <f t="shared" si="39"/>
        <v>26</v>
      </c>
      <c r="BA182" s="471">
        <f>VLOOKUP(AW182,'Item Master Data'!$A:$G,7,FALSE)</f>
        <v>32</v>
      </c>
      <c r="BB182" s="471"/>
      <c r="BC182" s="471">
        <f t="shared" si="40"/>
        <v>0</v>
      </c>
    </row>
    <row r="183" spans="1:55">
      <c r="A183" s="495">
        <v>10</v>
      </c>
      <c r="B183" s="407"/>
      <c r="C183" s="407"/>
      <c r="D183" s="485" t="s">
        <v>86</v>
      </c>
      <c r="E183" s="663"/>
      <c r="F183" s="486"/>
      <c r="G183" s="380">
        <v>2022</v>
      </c>
      <c r="H183" s="474">
        <v>4</v>
      </c>
      <c r="I183" s="474">
        <v>128081</v>
      </c>
      <c r="J183" s="475">
        <v>44659</v>
      </c>
      <c r="K183" s="474" t="s">
        <v>1722</v>
      </c>
      <c r="L183" s="474" t="s">
        <v>1723</v>
      </c>
      <c r="M183" s="475">
        <v>44481</v>
      </c>
      <c r="N183" s="475">
        <v>44636</v>
      </c>
      <c r="O183" s="475">
        <v>44667</v>
      </c>
      <c r="P183" s="475">
        <v>44628</v>
      </c>
      <c r="Q183" s="475">
        <v>44659</v>
      </c>
      <c r="R183" s="475">
        <v>44662</v>
      </c>
      <c r="S183" s="474" t="s">
        <v>88</v>
      </c>
      <c r="T183" s="474">
        <v>60</v>
      </c>
      <c r="U183" s="486">
        <v>49405140</v>
      </c>
      <c r="V183" s="474" t="s">
        <v>973</v>
      </c>
      <c r="W183" s="474">
        <v>400</v>
      </c>
      <c r="X183" s="432">
        <v>768</v>
      </c>
      <c r="Y183" s="389">
        <f t="shared" si="32"/>
        <v>307200</v>
      </c>
      <c r="Z183" s="478">
        <f>222/400</f>
        <v>0.55500000000000005</v>
      </c>
      <c r="AA183" s="480">
        <f t="shared" si="33"/>
        <v>170496.00000000003</v>
      </c>
      <c r="AB183" s="480"/>
      <c r="AC183" s="481">
        <f>AB183*Y183</f>
        <v>0</v>
      </c>
      <c r="AD183" s="474"/>
      <c r="AE183" s="398"/>
      <c r="AF183" s="493">
        <f>AE183+AD183+AA183</f>
        <v>170496.00000000003</v>
      </c>
      <c r="AG183" s="474" t="s">
        <v>1071</v>
      </c>
      <c r="AH183" s="474"/>
      <c r="AI183" s="474">
        <v>60</v>
      </c>
      <c r="AJ183" s="475" t="s">
        <v>1342</v>
      </c>
      <c r="AK183" s="475" t="s">
        <v>1085</v>
      </c>
      <c r="AL183" s="483">
        <v>8110</v>
      </c>
      <c r="AM183" s="474" t="s">
        <v>52</v>
      </c>
      <c r="AN183" s="384" t="s">
        <v>1074</v>
      </c>
      <c r="AO183" s="474" t="s">
        <v>1076</v>
      </c>
      <c r="AP183" s="482"/>
      <c r="AQ183" s="474" t="s">
        <v>37</v>
      </c>
      <c r="AR183" s="474"/>
      <c r="AS183" s="473" t="s">
        <v>1152</v>
      </c>
      <c r="AT183" s="473" t="s">
        <v>1076</v>
      </c>
      <c r="AU183" s="478"/>
      <c r="AV183" s="471">
        <f t="shared" si="38"/>
        <v>49405140</v>
      </c>
      <c r="AW183" s="471" cm="1">
        <f t="array" ref="AW183">SUM(MID(0&amp;AV183,LARGE(INDEX(ISNUMBER(--MID(AV183,ROW($1:$8),1))*ROW($1:$8),),ROW($1:$8))+1,1)*10^ROW($1:$8)/10)</f>
        <v>49405140</v>
      </c>
      <c r="AX183" s="471" t="str">
        <f>VLOOKUP($AW183,'Item Master Data'!$A:$F,3,FALSE)</f>
        <v>Q.PEAK DUO BLK ML G10+</v>
      </c>
      <c r="AY183" s="471">
        <f>VLOOKUP($AW183,'Item Master Data'!$A:$F,6,FALSE)</f>
        <v>400</v>
      </c>
      <c r="AZ183" s="471">
        <f t="shared" si="39"/>
        <v>24</v>
      </c>
      <c r="BA183" s="471">
        <f>VLOOKUP(AW183,'Item Master Data'!$A:$G,7,FALSE)</f>
        <v>32</v>
      </c>
      <c r="BB183" s="471"/>
      <c r="BC183" s="471">
        <f t="shared" si="40"/>
        <v>0</v>
      </c>
    </row>
    <row r="184" spans="1:55">
      <c r="A184" s="495"/>
      <c r="B184" s="495"/>
      <c r="C184" s="407">
        <v>44634</v>
      </c>
      <c r="D184" s="485" t="s">
        <v>86</v>
      </c>
      <c r="E184" s="667" t="s">
        <v>5243</v>
      </c>
      <c r="F184" s="474"/>
      <c r="G184" s="380">
        <v>2022</v>
      </c>
      <c r="H184" s="474">
        <v>4</v>
      </c>
      <c r="I184" s="474"/>
      <c r="J184" s="475">
        <v>44671</v>
      </c>
      <c r="K184" s="474" t="s">
        <v>2273</v>
      </c>
      <c r="L184" s="474" t="s">
        <v>2079</v>
      </c>
      <c r="M184" s="475">
        <v>44593</v>
      </c>
      <c r="N184" s="475">
        <v>44666</v>
      </c>
      <c r="O184" s="475"/>
      <c r="P184" s="502">
        <v>44663</v>
      </c>
      <c r="Q184" s="475">
        <v>44671</v>
      </c>
      <c r="R184" s="475">
        <v>44671</v>
      </c>
      <c r="S184" s="474" t="s">
        <v>88</v>
      </c>
      <c r="T184" s="474">
        <v>60</v>
      </c>
      <c r="U184" s="474" t="s">
        <v>1760</v>
      </c>
      <c r="V184" s="486" t="s">
        <v>973</v>
      </c>
      <c r="W184" s="474">
        <v>400</v>
      </c>
      <c r="X184" s="432">
        <v>768</v>
      </c>
      <c r="Y184" s="389">
        <f t="shared" si="32"/>
        <v>307200</v>
      </c>
      <c r="Z184" s="478">
        <f>210/400</f>
        <v>0.52500000000000002</v>
      </c>
      <c r="AA184" s="479">
        <f t="shared" si="33"/>
        <v>161280</v>
      </c>
      <c r="AB184" s="480"/>
      <c r="AC184" s="481">
        <f>AB184*Y184</f>
        <v>0</v>
      </c>
      <c r="AD184" s="474"/>
      <c r="AE184" s="474"/>
      <c r="AF184" s="493">
        <f>AE184+AD184+AA184</f>
        <v>161280</v>
      </c>
      <c r="AG184" s="474" t="s">
        <v>1071</v>
      </c>
      <c r="AH184" s="474"/>
      <c r="AI184" s="474">
        <v>60</v>
      </c>
      <c r="AJ184" s="475" t="s">
        <v>2075</v>
      </c>
      <c r="AK184" s="475" t="s">
        <v>50</v>
      </c>
      <c r="AL184" s="483" t="s">
        <v>2128</v>
      </c>
      <c r="AM184" s="474" t="s">
        <v>52</v>
      </c>
      <c r="AN184" s="384" t="s">
        <v>50</v>
      </c>
      <c r="AO184" s="474" t="s">
        <v>1076</v>
      </c>
      <c r="AP184" s="474" t="s">
        <v>38</v>
      </c>
      <c r="AQ184" s="482" t="s">
        <v>37</v>
      </c>
      <c r="AR184" s="474" t="s">
        <v>2126</v>
      </c>
      <c r="AS184" s="473"/>
      <c r="AT184" s="473"/>
      <c r="AU184" s="478"/>
      <c r="AV184" s="471" t="str">
        <f t="shared" si="38"/>
        <v>30390156H</v>
      </c>
      <c r="AW184" s="471" cm="1">
        <f t="array" ref="AW184">SUM(MID(0&amp;AV184,LARGE(INDEX(ISNUMBER(--MID(AV184,ROW($1:$8),1))*ROW($1:$8),),ROW($1:$8))+1,1)*10^ROW($1:$8)/10)</f>
        <v>30390156</v>
      </c>
      <c r="AX184" s="471" t="str">
        <f>VLOOKUP($AW184,'Item Master Data'!$A:$F,3,FALSE)</f>
        <v>Q.PEAK DUO BLK ML G10+</v>
      </c>
      <c r="AY184" s="471">
        <f>VLOOKUP($AW184,'Item Master Data'!$A:$F,6,FALSE)</f>
        <v>400</v>
      </c>
      <c r="AZ184" s="471">
        <f t="shared" si="39"/>
        <v>24</v>
      </c>
      <c r="BA184" s="471">
        <f>VLOOKUP(AW184,'Item Master Data'!$A:$G,7,FALSE)</f>
        <v>32</v>
      </c>
      <c r="BB184" s="471"/>
      <c r="BC184" s="471">
        <f t="shared" si="40"/>
        <v>0</v>
      </c>
    </row>
    <row r="185" spans="1:55">
      <c r="A185" s="495">
        <v>14</v>
      </c>
      <c r="B185" s="407">
        <v>44676</v>
      </c>
      <c r="C185" s="407">
        <v>44676</v>
      </c>
      <c r="D185" s="485" t="s">
        <v>86</v>
      </c>
      <c r="E185" s="474" t="s">
        <v>4328</v>
      </c>
      <c r="F185" s="486"/>
      <c r="G185" s="380">
        <v>2022</v>
      </c>
      <c r="H185" s="474">
        <v>4</v>
      </c>
      <c r="I185" s="474"/>
      <c r="J185" s="475"/>
      <c r="K185" s="474" t="s">
        <v>2124</v>
      </c>
      <c r="L185" s="474" t="s">
        <v>2079</v>
      </c>
      <c r="M185" s="475">
        <v>44490</v>
      </c>
      <c r="N185" s="475">
        <v>44651</v>
      </c>
      <c r="O185" s="475" t="s">
        <v>2125</v>
      </c>
      <c r="P185" s="475">
        <v>44666</v>
      </c>
      <c r="Q185" s="475">
        <v>44679</v>
      </c>
      <c r="R185" s="475">
        <v>44680</v>
      </c>
      <c r="S185" s="474" t="s">
        <v>88</v>
      </c>
      <c r="T185" s="474">
        <v>60</v>
      </c>
      <c r="U185" s="486" t="s">
        <v>1760</v>
      </c>
      <c r="V185" s="474" t="s">
        <v>973</v>
      </c>
      <c r="W185" s="474">
        <v>400</v>
      </c>
      <c r="X185" s="432">
        <v>1536</v>
      </c>
      <c r="Y185" s="389">
        <f t="shared" si="32"/>
        <v>614400</v>
      </c>
      <c r="Z185" s="348">
        <v>0.55500000000000005</v>
      </c>
      <c r="AA185" s="480">
        <f t="shared" si="33"/>
        <v>340992.00000000006</v>
      </c>
      <c r="AB185" s="480"/>
      <c r="AC185" s="481">
        <v>0</v>
      </c>
      <c r="AD185" s="474"/>
      <c r="AE185" s="474"/>
      <c r="AF185" s="493">
        <v>483840</v>
      </c>
      <c r="AG185" s="474" t="s">
        <v>1071</v>
      </c>
      <c r="AH185" s="474"/>
      <c r="AI185" s="474">
        <v>60</v>
      </c>
      <c r="AJ185" s="475" t="s">
        <v>1790</v>
      </c>
      <c r="AK185" s="475" t="s">
        <v>50</v>
      </c>
      <c r="AL185" s="483" t="s">
        <v>1791</v>
      </c>
      <c r="AM185" s="474" t="s">
        <v>52</v>
      </c>
      <c r="AN185" s="384" t="s">
        <v>50</v>
      </c>
      <c r="AO185" s="474" t="s">
        <v>1076</v>
      </c>
      <c r="AP185" s="482" t="s">
        <v>38</v>
      </c>
      <c r="AQ185" s="474" t="s">
        <v>37</v>
      </c>
      <c r="AR185" s="474"/>
      <c r="AS185" s="473" t="s">
        <v>1152</v>
      </c>
      <c r="AT185" s="473" t="s">
        <v>1076</v>
      </c>
      <c r="AU185" s="478"/>
      <c r="AV185" s="471" t="str">
        <f t="shared" si="38"/>
        <v>30390156H</v>
      </c>
      <c r="AW185" s="471" cm="1">
        <f t="array" ref="AW185">SUM(MID(0&amp;AV185,LARGE(INDEX(ISNUMBER(--MID(AV185,ROW($1:$8),1))*ROW($1:$8),),ROW($1:$8))+1,1)*10^ROW($1:$8)/10)</f>
        <v>30390156</v>
      </c>
      <c r="AX185" s="471" t="str">
        <f>VLOOKUP($AW185,'Item Master Data'!$A:$F,3,FALSE)</f>
        <v>Q.PEAK DUO BLK ML G10+</v>
      </c>
      <c r="AY185" s="471">
        <f>VLOOKUP($AW185,'Item Master Data'!$A:$F,6,FALSE)</f>
        <v>400</v>
      </c>
      <c r="AZ185" s="471">
        <f t="shared" si="39"/>
        <v>48</v>
      </c>
      <c r="BA185" s="471">
        <f>VLOOKUP(AW185,'Item Master Data'!$A:$G,7,FALSE)</f>
        <v>32</v>
      </c>
      <c r="BB185" s="471"/>
      <c r="BC185" s="471">
        <f t="shared" si="40"/>
        <v>0</v>
      </c>
    </row>
    <row r="186" spans="1:55">
      <c r="A186" s="495">
        <v>14</v>
      </c>
      <c r="B186" s="407">
        <v>44676</v>
      </c>
      <c r="C186" s="407">
        <v>44676</v>
      </c>
      <c r="D186" s="485" t="s">
        <v>86</v>
      </c>
      <c r="E186" s="474" t="s">
        <v>2075</v>
      </c>
      <c r="F186" s="486"/>
      <c r="G186" s="380">
        <v>2022</v>
      </c>
      <c r="H186" s="474">
        <v>4</v>
      </c>
      <c r="I186" s="474"/>
      <c r="J186" s="475"/>
      <c r="K186" s="474" t="s">
        <v>2124</v>
      </c>
      <c r="L186" s="474" t="s">
        <v>2079</v>
      </c>
      <c r="M186" s="475">
        <v>44490</v>
      </c>
      <c r="N186" s="475">
        <v>44651</v>
      </c>
      <c r="O186" s="475" t="s">
        <v>2125</v>
      </c>
      <c r="P186" s="475">
        <v>44666</v>
      </c>
      <c r="Q186" s="475">
        <v>44678</v>
      </c>
      <c r="R186" s="475">
        <v>44678</v>
      </c>
      <c r="S186" s="474" t="s">
        <v>88</v>
      </c>
      <c r="T186" s="474">
        <v>60</v>
      </c>
      <c r="U186" s="486" t="s">
        <v>1760</v>
      </c>
      <c r="V186" s="474" t="s">
        <v>973</v>
      </c>
      <c r="W186" s="474">
        <v>400</v>
      </c>
      <c r="X186" s="432">
        <v>768</v>
      </c>
      <c r="Y186" s="389">
        <f t="shared" si="32"/>
        <v>307200</v>
      </c>
      <c r="Z186" s="348">
        <v>0.55500000000000005</v>
      </c>
      <c r="AA186" s="480">
        <f t="shared" si="33"/>
        <v>170496.00000000003</v>
      </c>
      <c r="AB186" s="480"/>
      <c r="AC186" s="481">
        <v>0</v>
      </c>
      <c r="AD186" s="474"/>
      <c r="AE186" s="474"/>
      <c r="AF186" s="493">
        <v>483840</v>
      </c>
      <c r="AG186" s="474" t="s">
        <v>1071</v>
      </c>
      <c r="AH186" s="474"/>
      <c r="AI186" s="474">
        <v>60</v>
      </c>
      <c r="AJ186" s="475" t="s">
        <v>2075</v>
      </c>
      <c r="AK186" s="475" t="s">
        <v>50</v>
      </c>
      <c r="AL186" s="483" t="s">
        <v>1791</v>
      </c>
      <c r="AM186" s="474" t="s">
        <v>52</v>
      </c>
      <c r="AN186" s="384" t="s">
        <v>50</v>
      </c>
      <c r="AO186" s="474" t="s">
        <v>1076</v>
      </c>
      <c r="AP186" s="482" t="s">
        <v>38</v>
      </c>
      <c r="AQ186" s="474" t="s">
        <v>37</v>
      </c>
      <c r="AR186" s="474"/>
      <c r="AS186" s="473" t="s">
        <v>1152</v>
      </c>
      <c r="AT186" s="473" t="s">
        <v>1076</v>
      </c>
      <c r="AU186" s="478"/>
      <c r="AV186" s="471" t="str">
        <f t="shared" si="38"/>
        <v>30390156H</v>
      </c>
      <c r="AW186" s="471" cm="1">
        <f t="array" ref="AW186">SUM(MID(0&amp;AV186,LARGE(INDEX(ISNUMBER(--MID(AV186,ROW($1:$8),1))*ROW($1:$8),),ROW($1:$8))+1,1)*10^ROW($1:$8)/10)</f>
        <v>30390156</v>
      </c>
      <c r="AX186" s="471" t="str">
        <f>VLOOKUP($AW186,'Item Master Data'!$A:$F,3,FALSE)</f>
        <v>Q.PEAK DUO BLK ML G10+</v>
      </c>
      <c r="AY186" s="471">
        <f>VLOOKUP($AW186,'Item Master Data'!$A:$F,6,FALSE)</f>
        <v>400</v>
      </c>
      <c r="AZ186" s="471">
        <f t="shared" si="39"/>
        <v>24</v>
      </c>
      <c r="BA186" s="471">
        <f>VLOOKUP(AW186,'Item Master Data'!$A:$G,7,FALSE)</f>
        <v>32</v>
      </c>
      <c r="BB186" s="471"/>
      <c r="BC186" s="471">
        <f t="shared" si="40"/>
        <v>0</v>
      </c>
    </row>
    <row r="187" spans="1:55">
      <c r="A187" s="495"/>
      <c r="B187" s="407">
        <v>44676</v>
      </c>
      <c r="C187" s="407">
        <v>44676</v>
      </c>
      <c r="D187" s="485" t="s">
        <v>86</v>
      </c>
      <c r="E187" s="474"/>
      <c r="F187" s="486"/>
      <c r="G187" s="380">
        <v>2022</v>
      </c>
      <c r="H187" s="474">
        <v>4</v>
      </c>
      <c r="I187" s="474">
        <v>128247</v>
      </c>
      <c r="J187" s="475">
        <v>44676</v>
      </c>
      <c r="K187" s="474" t="s">
        <v>2249</v>
      </c>
      <c r="L187" s="474" t="s">
        <v>2079</v>
      </c>
      <c r="M187" s="475">
        <v>44575</v>
      </c>
      <c r="N187" s="475">
        <v>44669</v>
      </c>
      <c r="O187" s="475"/>
      <c r="P187" s="475">
        <v>44669</v>
      </c>
      <c r="Q187" s="475">
        <v>44676</v>
      </c>
      <c r="R187" s="475">
        <v>44678</v>
      </c>
      <c r="S187" s="474" t="s">
        <v>88</v>
      </c>
      <c r="T187" s="474">
        <v>72</v>
      </c>
      <c r="U187" s="486">
        <v>49303156</v>
      </c>
      <c r="V187" s="474" t="s">
        <v>995</v>
      </c>
      <c r="W187" s="474">
        <v>480</v>
      </c>
      <c r="X187" s="432">
        <v>1276</v>
      </c>
      <c r="Y187" s="389">
        <f t="shared" si="32"/>
        <v>612480</v>
      </c>
      <c r="Z187" s="478">
        <f>228/480</f>
        <v>0.47499999999999998</v>
      </c>
      <c r="AA187" s="480">
        <f t="shared" si="33"/>
        <v>290928</v>
      </c>
      <c r="AB187" s="480"/>
      <c r="AC187" s="481">
        <f>AB187*Y187</f>
        <v>0</v>
      </c>
      <c r="AD187" s="474"/>
      <c r="AE187" s="474"/>
      <c r="AF187" s="493">
        <f>AE187+AD187+AA187</f>
        <v>290928</v>
      </c>
      <c r="AG187" s="474" t="s">
        <v>1071</v>
      </c>
      <c r="AH187" s="474"/>
      <c r="AI187" s="474">
        <v>60</v>
      </c>
      <c r="AJ187" s="475" t="s">
        <v>2075</v>
      </c>
      <c r="AK187" s="475" t="s">
        <v>50</v>
      </c>
      <c r="AL187" s="483">
        <v>92056</v>
      </c>
      <c r="AM187" s="474" t="s">
        <v>52</v>
      </c>
      <c r="AN187" s="384" t="s">
        <v>1695</v>
      </c>
      <c r="AO187" s="474" t="s">
        <v>1076</v>
      </c>
      <c r="AP187" s="482"/>
      <c r="AQ187" s="474" t="s">
        <v>37</v>
      </c>
      <c r="AR187" s="474"/>
      <c r="AS187" s="473" t="s">
        <v>1152</v>
      </c>
      <c r="AT187" s="473" t="s">
        <v>1076</v>
      </c>
      <c r="AU187" s="478"/>
      <c r="AV187" s="471">
        <f t="shared" si="38"/>
        <v>49303156</v>
      </c>
      <c r="AW187" s="471" cm="1">
        <f t="array" ref="AW187">SUM(MID(0&amp;AV187,LARGE(INDEX(ISNUMBER(--MID(AV187,ROW($1:$8),1))*ROW($1:$8),),ROW($1:$8))+1,1)*10^ROW($1:$8)/10)</f>
        <v>49303156</v>
      </c>
      <c r="AX187" s="471" t="str">
        <f>VLOOKUP($AW187,'Item Master Data'!$A:$F,3,FALSE)</f>
        <v>Q.PEAK DUO XL G10 BFG</v>
      </c>
      <c r="AY187" s="471">
        <f>VLOOKUP($AW187,'Item Master Data'!$A:$F,6,FALSE)</f>
        <v>480</v>
      </c>
      <c r="AZ187" s="471">
        <f t="shared" si="39"/>
        <v>44</v>
      </c>
      <c r="BA187" s="471">
        <f>VLOOKUP(AW187,'Item Master Data'!$A:$G,7,FALSE)</f>
        <v>29</v>
      </c>
      <c r="BB187" s="471"/>
      <c r="BC187" s="471">
        <f t="shared" si="40"/>
        <v>0</v>
      </c>
    </row>
    <row r="188" spans="1:55">
      <c r="A188" s="495">
        <v>10</v>
      </c>
      <c r="B188" s="407">
        <v>44665</v>
      </c>
      <c r="C188" s="407">
        <v>44665</v>
      </c>
      <c r="D188" s="485" t="s">
        <v>86</v>
      </c>
      <c r="E188" s="474"/>
      <c r="F188" s="486"/>
      <c r="G188" s="380">
        <v>2022</v>
      </c>
      <c r="H188" s="474">
        <v>5</v>
      </c>
      <c r="I188" s="474"/>
      <c r="J188" s="475"/>
      <c r="K188" s="519" t="s">
        <v>2073</v>
      </c>
      <c r="L188" s="519" t="s">
        <v>2074</v>
      </c>
      <c r="M188" s="521">
        <v>44490</v>
      </c>
      <c r="N188" s="521">
        <v>44620</v>
      </c>
      <c r="O188" s="521">
        <v>44679</v>
      </c>
      <c r="P188" s="521" t="s">
        <v>5168</v>
      </c>
      <c r="Q188" s="521"/>
      <c r="R188" s="521"/>
      <c r="S188" s="519" t="s">
        <v>88</v>
      </c>
      <c r="T188" s="519">
        <v>60</v>
      </c>
      <c r="U188" s="390"/>
      <c r="V188" s="519" t="s">
        <v>986</v>
      </c>
      <c r="W188" s="519">
        <v>360</v>
      </c>
      <c r="X188" s="391">
        <v>3072</v>
      </c>
      <c r="Y188" s="396">
        <f t="shared" si="32"/>
        <v>1105920</v>
      </c>
      <c r="Z188" s="348">
        <f>192.6/360</f>
        <v>0.53500000000000003</v>
      </c>
      <c r="AA188" s="480">
        <f t="shared" si="33"/>
        <v>591667.20000000007</v>
      </c>
      <c r="AB188" s="480"/>
      <c r="AC188" s="481">
        <v>0</v>
      </c>
      <c r="AD188" s="474"/>
      <c r="AE188" s="474"/>
      <c r="AF188" s="493">
        <v>566261.76000000013</v>
      </c>
      <c r="AG188" s="474" t="s">
        <v>1071</v>
      </c>
      <c r="AH188" s="474"/>
      <c r="AI188" s="474">
        <v>60</v>
      </c>
      <c r="AJ188" s="475" t="s">
        <v>2075</v>
      </c>
      <c r="AK188" s="475" t="s">
        <v>50</v>
      </c>
      <c r="AL188" s="483">
        <v>92056</v>
      </c>
      <c r="AM188" s="474" t="s">
        <v>52</v>
      </c>
      <c r="AN188" s="384" t="s">
        <v>50</v>
      </c>
      <c r="AO188" s="474" t="s">
        <v>1076</v>
      </c>
      <c r="AP188" s="482" t="s">
        <v>38</v>
      </c>
      <c r="AQ188" s="474" t="s">
        <v>37</v>
      </c>
      <c r="AR188" s="474"/>
      <c r="AS188" s="473" t="s">
        <v>1152</v>
      </c>
      <c r="AT188" s="473" t="s">
        <v>1076</v>
      </c>
      <c r="AU188" s="478"/>
      <c r="AV188" s="471">
        <f t="shared" si="38"/>
        <v>0</v>
      </c>
      <c r="AW188" s="471" cm="1">
        <f t="array" ref="AW188">SUM(MID(0&amp;AV188,LARGE(INDEX(ISNUMBER(--MID(AV188,ROW($1:$8),1))*ROW($1:$8),),ROW($1:$8))+1,1)*10^ROW($1:$8)/10)</f>
        <v>0</v>
      </c>
      <c r="AX188" s="471" t="e">
        <f>VLOOKUP($AW188,'Item Master Data'!$A:$F,3,FALSE)</f>
        <v>#N/A</v>
      </c>
      <c r="AY188" s="471" t="e">
        <f>VLOOKUP($AW188,'Item Master Data'!$A:$F,6,FALSE)</f>
        <v>#N/A</v>
      </c>
      <c r="AZ188" s="471" t="e">
        <f t="shared" si="39"/>
        <v>#N/A</v>
      </c>
      <c r="BA188" s="471" t="e">
        <f>VLOOKUP(AW188,'Item Master Data'!$A:$G,7,FALSE)</f>
        <v>#N/A</v>
      </c>
      <c r="BB188" s="471"/>
      <c r="BC188" s="471" t="e">
        <f t="shared" si="40"/>
        <v>#N/A</v>
      </c>
    </row>
    <row r="189" spans="1:55">
      <c r="A189" s="495"/>
      <c r="B189" s="495"/>
      <c r="C189" s="407">
        <v>44634</v>
      </c>
      <c r="D189" s="485" t="s">
        <v>86</v>
      </c>
      <c r="E189" s="383" t="s">
        <v>5243</v>
      </c>
      <c r="F189" s="474"/>
      <c r="G189" s="380">
        <v>2022</v>
      </c>
      <c r="H189" s="474">
        <v>5</v>
      </c>
      <c r="I189" s="474"/>
      <c r="J189" s="475"/>
      <c r="K189" s="474" t="s">
        <v>2274</v>
      </c>
      <c r="L189" s="474" t="s">
        <v>2079</v>
      </c>
      <c r="M189" s="475">
        <v>44593</v>
      </c>
      <c r="N189" s="475">
        <v>44713</v>
      </c>
      <c r="O189" s="475"/>
      <c r="P189" s="345">
        <v>44665</v>
      </c>
      <c r="Q189" s="475"/>
      <c r="R189" s="475"/>
      <c r="S189" s="474" t="s">
        <v>88</v>
      </c>
      <c r="T189" s="474">
        <v>60</v>
      </c>
      <c r="U189" s="474">
        <v>49203132</v>
      </c>
      <c r="V189" s="486" t="s">
        <v>986</v>
      </c>
      <c r="W189" s="474">
        <v>360</v>
      </c>
      <c r="X189" s="432">
        <v>832</v>
      </c>
      <c r="Y189" s="389">
        <f t="shared" si="32"/>
        <v>299520</v>
      </c>
      <c r="Z189" s="478">
        <f>181.8/360</f>
        <v>0.505</v>
      </c>
      <c r="AA189" s="479">
        <f t="shared" si="33"/>
        <v>151257.60000000001</v>
      </c>
      <c r="AB189" s="480"/>
      <c r="AC189" s="481">
        <f>AB189*Y189</f>
        <v>0</v>
      </c>
      <c r="AD189" s="474"/>
      <c r="AE189" s="474"/>
      <c r="AF189" s="493">
        <f t="shared" ref="AF189:AF200" si="41">AE189+AD189+AA189</f>
        <v>151257.60000000001</v>
      </c>
      <c r="AG189" s="474" t="s">
        <v>1071</v>
      </c>
      <c r="AH189" s="474"/>
      <c r="AI189" s="474">
        <v>60</v>
      </c>
      <c r="AJ189" s="475" t="s">
        <v>2075</v>
      </c>
      <c r="AK189" s="475" t="s">
        <v>50</v>
      </c>
      <c r="AL189" s="483" t="s">
        <v>2128</v>
      </c>
      <c r="AM189" s="474" t="s">
        <v>52</v>
      </c>
      <c r="AN189" s="384" t="s">
        <v>1695</v>
      </c>
      <c r="AO189" s="474" t="s">
        <v>1076</v>
      </c>
      <c r="AP189" s="474"/>
      <c r="AQ189" s="482" t="s">
        <v>37</v>
      </c>
      <c r="AR189" s="474" t="s">
        <v>2126</v>
      </c>
      <c r="AS189" s="473"/>
      <c r="AT189" s="473"/>
      <c r="AU189" s="478"/>
      <c r="AV189" s="471">
        <f t="shared" si="38"/>
        <v>49203132</v>
      </c>
      <c r="AW189" s="471" cm="1">
        <f t="array" ref="AW189">SUM(MID(0&amp;AV189,LARGE(INDEX(ISNUMBER(--MID(AV189,ROW($1:$8),1))*ROW($1:$8),),ROW($1:$8))+1,1)*10^ROW($1:$8)/10)</f>
        <v>49203132</v>
      </c>
      <c r="AX189" s="471" t="str">
        <f>VLOOKUP($AW189,'Item Master Data'!$A:$F,3,FALSE)</f>
        <v>Q.PEAK DUO BLK G10+</v>
      </c>
      <c r="AY189" s="471">
        <f>VLOOKUP($AW189,'Item Master Data'!$A:$F,6,FALSE)</f>
        <v>360</v>
      </c>
      <c r="AZ189" s="471">
        <f t="shared" si="39"/>
        <v>26</v>
      </c>
      <c r="BA189" s="471">
        <f>VLOOKUP(AW189,'Item Master Data'!$A:$G,7,FALSE)</f>
        <v>32</v>
      </c>
      <c r="BB189" s="471"/>
      <c r="BC189" s="471">
        <f t="shared" si="40"/>
        <v>0</v>
      </c>
    </row>
    <row r="190" spans="1:55">
      <c r="A190" s="495"/>
      <c r="B190" s="495"/>
      <c r="C190" s="407">
        <v>44634</v>
      </c>
      <c r="D190" s="485" t="s">
        <v>86</v>
      </c>
      <c r="E190" s="383" t="s">
        <v>5397</v>
      </c>
      <c r="F190" s="474"/>
      <c r="G190" s="380">
        <v>2022</v>
      </c>
      <c r="H190" s="474">
        <v>5</v>
      </c>
      <c r="I190" s="474"/>
      <c r="J190" s="475"/>
      <c r="K190" s="474" t="s">
        <v>2274</v>
      </c>
      <c r="L190" s="474" t="s">
        <v>2079</v>
      </c>
      <c r="M190" s="475">
        <v>44593</v>
      </c>
      <c r="N190" s="475">
        <v>44713</v>
      </c>
      <c r="O190" s="475"/>
      <c r="P190" s="345">
        <v>44665</v>
      </c>
      <c r="Q190" s="475"/>
      <c r="R190" s="475"/>
      <c r="S190" s="474" t="s">
        <v>88</v>
      </c>
      <c r="T190" s="474">
        <v>60</v>
      </c>
      <c r="U190" s="474">
        <v>49203132</v>
      </c>
      <c r="V190" s="486" t="s">
        <v>986</v>
      </c>
      <c r="W190" s="474">
        <v>360</v>
      </c>
      <c r="X190" s="432">
        <v>1408</v>
      </c>
      <c r="Y190" s="389">
        <f t="shared" si="32"/>
        <v>506880</v>
      </c>
      <c r="Z190" s="478">
        <f>181.8/360</f>
        <v>0.505</v>
      </c>
      <c r="AA190" s="479">
        <f t="shared" si="33"/>
        <v>255974.39999999999</v>
      </c>
      <c r="AB190" s="480"/>
      <c r="AC190" s="481">
        <f>AB190*Y190</f>
        <v>0</v>
      </c>
      <c r="AD190" s="474"/>
      <c r="AE190" s="474"/>
      <c r="AF190" s="493">
        <f t="shared" si="41"/>
        <v>255974.39999999999</v>
      </c>
      <c r="AG190" s="474" t="s">
        <v>1071</v>
      </c>
      <c r="AH190" s="474"/>
      <c r="AI190" s="474">
        <v>60</v>
      </c>
      <c r="AJ190" s="475" t="s">
        <v>2075</v>
      </c>
      <c r="AK190" s="475" t="s">
        <v>50</v>
      </c>
      <c r="AL190" s="483" t="s">
        <v>2128</v>
      </c>
      <c r="AM190" s="474" t="s">
        <v>52</v>
      </c>
      <c r="AN190" s="384" t="s">
        <v>1695</v>
      </c>
      <c r="AO190" s="474" t="s">
        <v>1076</v>
      </c>
      <c r="AP190" s="474"/>
      <c r="AQ190" s="482" t="s">
        <v>37</v>
      </c>
      <c r="AR190" s="474" t="s">
        <v>2126</v>
      </c>
      <c r="AS190" s="473"/>
      <c r="AT190" s="473"/>
      <c r="AU190" s="478"/>
      <c r="AV190" s="471">
        <f t="shared" si="38"/>
        <v>49203132</v>
      </c>
      <c r="AW190" s="471" cm="1">
        <f t="array" ref="AW190">SUM(MID(0&amp;AV190,LARGE(INDEX(ISNUMBER(--MID(AV190,ROW($1:$8),1))*ROW($1:$8),),ROW($1:$8))+1,1)*10^ROW($1:$8)/10)</f>
        <v>49203132</v>
      </c>
      <c r="AX190" s="471" t="str">
        <f>VLOOKUP($AW190,'Item Master Data'!$A:$F,3,FALSE)</f>
        <v>Q.PEAK DUO BLK G10+</v>
      </c>
      <c r="AY190" s="471">
        <f>VLOOKUP($AW190,'Item Master Data'!$A:$F,6,FALSE)</f>
        <v>360</v>
      </c>
      <c r="AZ190" s="471">
        <f t="shared" si="39"/>
        <v>44</v>
      </c>
      <c r="BA190" s="471">
        <f>VLOOKUP(AW190,'Item Master Data'!$A:$G,7,FALSE)</f>
        <v>32</v>
      </c>
      <c r="BB190" s="471"/>
      <c r="BC190" s="471">
        <f t="shared" si="40"/>
        <v>0</v>
      </c>
    </row>
    <row r="191" spans="1:55">
      <c r="A191" s="495"/>
      <c r="B191" s="495"/>
      <c r="C191" s="407">
        <v>44634</v>
      </c>
      <c r="D191" s="485" t="s">
        <v>86</v>
      </c>
      <c r="E191" s="383" t="s">
        <v>5243</v>
      </c>
      <c r="F191" s="474"/>
      <c r="G191" s="380">
        <v>2022</v>
      </c>
      <c r="H191" s="474">
        <v>4</v>
      </c>
      <c r="I191" s="474">
        <v>127991</v>
      </c>
      <c r="J191" s="475">
        <v>44659</v>
      </c>
      <c r="K191" s="474" t="s">
        <v>2248</v>
      </c>
      <c r="L191" s="474" t="s">
        <v>2079</v>
      </c>
      <c r="M191" s="475">
        <v>44593</v>
      </c>
      <c r="N191" s="475">
        <v>44666</v>
      </c>
      <c r="O191" s="475"/>
      <c r="P191" s="345">
        <v>44658</v>
      </c>
      <c r="Q191" s="475">
        <v>44659</v>
      </c>
      <c r="R191" s="475">
        <v>44662</v>
      </c>
      <c r="S191" s="474" t="s">
        <v>88</v>
      </c>
      <c r="T191" s="474">
        <v>60</v>
      </c>
      <c r="U191" s="474" t="s">
        <v>1760</v>
      </c>
      <c r="V191" s="486" t="s">
        <v>973</v>
      </c>
      <c r="W191" s="474">
        <v>400</v>
      </c>
      <c r="X191" s="432">
        <v>1536</v>
      </c>
      <c r="Y191" s="389">
        <f t="shared" si="32"/>
        <v>614400</v>
      </c>
      <c r="Z191" s="478">
        <f>210/400</f>
        <v>0.52500000000000002</v>
      </c>
      <c r="AA191" s="479">
        <f t="shared" si="33"/>
        <v>322560</v>
      </c>
      <c r="AB191" s="480"/>
      <c r="AC191" s="481">
        <f>AB191*Y191</f>
        <v>0</v>
      </c>
      <c r="AD191" s="474"/>
      <c r="AE191" s="474"/>
      <c r="AF191" s="493">
        <f t="shared" si="41"/>
        <v>322560</v>
      </c>
      <c r="AG191" s="474" t="s">
        <v>1071</v>
      </c>
      <c r="AH191" s="474"/>
      <c r="AI191" s="474">
        <v>60</v>
      </c>
      <c r="AJ191" s="475" t="s">
        <v>2075</v>
      </c>
      <c r="AK191" s="475" t="s">
        <v>50</v>
      </c>
      <c r="AL191" s="483" t="s">
        <v>2128</v>
      </c>
      <c r="AM191" s="474" t="s">
        <v>52</v>
      </c>
      <c r="AN191" s="384" t="s">
        <v>50</v>
      </c>
      <c r="AO191" s="474" t="s">
        <v>1076</v>
      </c>
      <c r="AP191" s="474" t="s">
        <v>38</v>
      </c>
      <c r="AQ191" s="482" t="s">
        <v>37</v>
      </c>
      <c r="AR191" s="474" t="s">
        <v>2126</v>
      </c>
      <c r="AS191" s="473"/>
      <c r="AT191" s="473"/>
      <c r="AU191" s="478"/>
      <c r="AV191" s="471" t="str">
        <f t="shared" si="38"/>
        <v>30390156H</v>
      </c>
      <c r="AW191" s="471" cm="1">
        <f t="array" ref="AW191">SUM(MID(0&amp;AV191,LARGE(INDEX(ISNUMBER(--MID(AV191,ROW($1:$8),1))*ROW($1:$8),),ROW($1:$8))+1,1)*10^ROW($1:$8)/10)</f>
        <v>30390156</v>
      </c>
      <c r="AX191" s="471" t="str">
        <f>VLOOKUP($AW191,'Item Master Data'!$A:$F,3,FALSE)</f>
        <v>Q.PEAK DUO BLK ML G10+</v>
      </c>
      <c r="AY191" s="471">
        <f>VLOOKUP($AW191,'Item Master Data'!$A:$F,6,FALSE)</f>
        <v>400</v>
      </c>
      <c r="AZ191" s="471">
        <f t="shared" si="39"/>
        <v>48</v>
      </c>
      <c r="BA191" s="471">
        <f>VLOOKUP(AW191,'Item Master Data'!$A:$G,7,FALSE)</f>
        <v>32</v>
      </c>
      <c r="BB191" s="471"/>
      <c r="BC191" s="471">
        <f t="shared" si="40"/>
        <v>0</v>
      </c>
    </row>
    <row r="192" spans="1:55">
      <c r="A192" s="495" t="s">
        <v>2269</v>
      </c>
      <c r="B192" s="407">
        <v>44545</v>
      </c>
      <c r="C192" s="407">
        <v>44575</v>
      </c>
      <c r="D192" s="485" t="s">
        <v>86</v>
      </c>
      <c r="E192" s="474"/>
      <c r="F192" s="486"/>
      <c r="G192" s="380">
        <v>2022</v>
      </c>
      <c r="H192" s="474">
        <v>5</v>
      </c>
      <c r="I192" s="474"/>
      <c r="J192" s="475"/>
      <c r="K192" s="474" t="s">
        <v>2283</v>
      </c>
      <c r="L192" s="474" t="s">
        <v>2074</v>
      </c>
      <c r="M192" s="475">
        <v>44490</v>
      </c>
      <c r="N192" s="475">
        <v>44589</v>
      </c>
      <c r="O192" s="475">
        <v>44651</v>
      </c>
      <c r="P192" s="502">
        <v>44663</v>
      </c>
      <c r="Q192" s="475"/>
      <c r="R192" s="475"/>
      <c r="S192" s="474" t="s">
        <v>88</v>
      </c>
      <c r="T192" s="474">
        <v>60</v>
      </c>
      <c r="U192" s="486">
        <v>49203132</v>
      </c>
      <c r="V192" s="474" t="s">
        <v>986</v>
      </c>
      <c r="W192" s="474">
        <v>360</v>
      </c>
      <c r="X192" s="432">
        <v>768</v>
      </c>
      <c r="Y192" s="389">
        <f t="shared" si="32"/>
        <v>276480</v>
      </c>
      <c r="Z192" s="348">
        <f>192.6/360</f>
        <v>0.53500000000000003</v>
      </c>
      <c r="AA192" s="480">
        <f t="shared" si="33"/>
        <v>147916.80000000002</v>
      </c>
      <c r="AB192" s="480"/>
      <c r="AC192" s="481">
        <v>0</v>
      </c>
      <c r="AD192" s="474"/>
      <c r="AE192" s="398"/>
      <c r="AF192" s="493">
        <f t="shared" si="41"/>
        <v>147916.80000000002</v>
      </c>
      <c r="AG192" s="474" t="s">
        <v>1071</v>
      </c>
      <c r="AH192" s="474"/>
      <c r="AI192" s="474">
        <v>60</v>
      </c>
      <c r="AJ192" s="475" t="s">
        <v>2075</v>
      </c>
      <c r="AK192" s="475" t="s">
        <v>50</v>
      </c>
      <c r="AL192" s="483">
        <v>92056</v>
      </c>
      <c r="AM192" s="474" t="s">
        <v>52</v>
      </c>
      <c r="AN192" s="384" t="s">
        <v>1695</v>
      </c>
      <c r="AO192" s="474" t="s">
        <v>1076</v>
      </c>
      <c r="AP192" s="482"/>
      <c r="AQ192" s="474" t="s">
        <v>37</v>
      </c>
      <c r="AR192" s="474"/>
      <c r="AS192" s="473" t="s">
        <v>1152</v>
      </c>
      <c r="AT192" s="473" t="s">
        <v>1076</v>
      </c>
      <c r="AU192" s="478"/>
      <c r="AV192" s="471">
        <f t="shared" si="38"/>
        <v>49203132</v>
      </c>
      <c r="AW192" s="471" cm="1">
        <f t="array" ref="AW192">SUM(MID(0&amp;AV192,LARGE(INDEX(ISNUMBER(--MID(AV192,ROW($1:$8),1))*ROW($1:$8),),ROW($1:$8))+1,1)*10^ROW($1:$8)/10)</f>
        <v>49203132</v>
      </c>
      <c r="AX192" s="471" t="str">
        <f>VLOOKUP($AW192,'Item Master Data'!$A:$F,3,FALSE)</f>
        <v>Q.PEAK DUO BLK G10+</v>
      </c>
      <c r="AY192" s="471">
        <f>VLOOKUP($AW192,'Item Master Data'!$A:$F,6,FALSE)</f>
        <v>360</v>
      </c>
      <c r="AZ192" s="471">
        <f t="shared" si="39"/>
        <v>24</v>
      </c>
      <c r="BA192" s="471">
        <f>VLOOKUP(AW192,'Item Master Data'!$A:$G,7,FALSE)</f>
        <v>32</v>
      </c>
      <c r="BB192" s="471"/>
      <c r="BC192" s="471">
        <f t="shared" si="40"/>
        <v>0</v>
      </c>
    </row>
    <row r="193" spans="1:55">
      <c r="A193" s="495"/>
      <c r="B193" s="407">
        <v>44676</v>
      </c>
      <c r="C193" s="407">
        <v>44676</v>
      </c>
      <c r="D193" s="485" t="s">
        <v>86</v>
      </c>
      <c r="E193" s="474"/>
      <c r="F193" s="486"/>
      <c r="G193" s="380">
        <v>2022</v>
      </c>
      <c r="H193" s="474">
        <v>5</v>
      </c>
      <c r="I193" s="474"/>
      <c r="J193" s="475"/>
      <c r="K193" s="474" t="s">
        <v>2249</v>
      </c>
      <c r="L193" s="474" t="s">
        <v>2079</v>
      </c>
      <c r="M193" s="475">
        <v>44575</v>
      </c>
      <c r="N193" s="475">
        <v>44669</v>
      </c>
      <c r="O193" s="475"/>
      <c r="P193" s="475">
        <v>44669</v>
      </c>
      <c r="Q193" s="475"/>
      <c r="R193" s="475"/>
      <c r="S193" s="474" t="s">
        <v>88</v>
      </c>
      <c r="T193" s="474">
        <v>72</v>
      </c>
      <c r="U193" s="486">
        <v>49303156</v>
      </c>
      <c r="V193" s="474" t="s">
        <v>995</v>
      </c>
      <c r="W193" s="474">
        <v>480</v>
      </c>
      <c r="X193" s="432">
        <v>638</v>
      </c>
      <c r="Y193" s="389">
        <f t="shared" si="32"/>
        <v>306240</v>
      </c>
      <c r="Z193" s="478">
        <f>228/480</f>
        <v>0.47499999999999998</v>
      </c>
      <c r="AA193" s="480">
        <f t="shared" si="33"/>
        <v>145464</v>
      </c>
      <c r="AB193" s="480"/>
      <c r="AC193" s="481">
        <f>AB193*Y193</f>
        <v>0</v>
      </c>
      <c r="AD193" s="474"/>
      <c r="AE193" s="474"/>
      <c r="AF193" s="493">
        <f t="shared" si="41"/>
        <v>145464</v>
      </c>
      <c r="AG193" s="474" t="s">
        <v>1071</v>
      </c>
      <c r="AH193" s="474"/>
      <c r="AI193" s="474">
        <v>60</v>
      </c>
      <c r="AJ193" s="475" t="s">
        <v>2075</v>
      </c>
      <c r="AK193" s="475" t="s">
        <v>50</v>
      </c>
      <c r="AL193" s="483">
        <v>92056</v>
      </c>
      <c r="AM193" s="474" t="s">
        <v>52</v>
      </c>
      <c r="AN193" s="384" t="s">
        <v>1695</v>
      </c>
      <c r="AO193" s="474" t="s">
        <v>1076</v>
      </c>
      <c r="AP193" s="482"/>
      <c r="AQ193" s="474" t="s">
        <v>37</v>
      </c>
      <c r="AR193" s="474"/>
      <c r="AS193" s="473" t="s">
        <v>1152</v>
      </c>
      <c r="AT193" s="473" t="s">
        <v>1076</v>
      </c>
      <c r="AU193" s="478"/>
      <c r="AV193" s="471">
        <f t="shared" si="38"/>
        <v>49303156</v>
      </c>
      <c r="AW193" s="471" cm="1">
        <f t="array" ref="AW193">SUM(MID(0&amp;AV193,LARGE(INDEX(ISNUMBER(--MID(AV193,ROW($1:$8),1))*ROW($1:$8),),ROW($1:$8))+1,1)*10^ROW($1:$8)/10)</f>
        <v>49303156</v>
      </c>
      <c r="AX193" s="471" t="str">
        <f>VLOOKUP($AW193,'Item Master Data'!$A:$F,3,FALSE)</f>
        <v>Q.PEAK DUO XL G10 BFG</v>
      </c>
      <c r="AY193" s="471">
        <f>VLOOKUP($AW193,'Item Master Data'!$A:$F,6,FALSE)</f>
        <v>480</v>
      </c>
      <c r="AZ193" s="471">
        <f t="shared" si="39"/>
        <v>22</v>
      </c>
      <c r="BA193" s="471">
        <f>VLOOKUP(AW193,'Item Master Data'!$A:$G,7,FALSE)</f>
        <v>29</v>
      </c>
      <c r="BB193" s="471"/>
      <c r="BC193" s="471">
        <f t="shared" si="40"/>
        <v>0</v>
      </c>
    </row>
    <row r="194" spans="1:55">
      <c r="A194" s="495"/>
      <c r="B194" s="407">
        <v>44657</v>
      </c>
      <c r="C194" s="407">
        <v>44657</v>
      </c>
      <c r="D194" s="474" t="s">
        <v>86</v>
      </c>
      <c r="E194" s="474"/>
      <c r="F194" s="474"/>
      <c r="G194" s="380">
        <v>2022</v>
      </c>
      <c r="H194" s="474">
        <v>4</v>
      </c>
      <c r="I194" s="474">
        <v>128248</v>
      </c>
      <c r="J194" s="475">
        <v>44676</v>
      </c>
      <c r="K194" s="483" t="s">
        <v>2290</v>
      </c>
      <c r="L194" s="474" t="s">
        <v>2287</v>
      </c>
      <c r="M194" s="475">
        <v>44644</v>
      </c>
      <c r="N194" s="475">
        <v>44675</v>
      </c>
      <c r="O194" s="475"/>
      <c r="P194" s="475">
        <v>44672</v>
      </c>
      <c r="Q194" s="475">
        <v>44676</v>
      </c>
      <c r="R194" s="475">
        <v>44678</v>
      </c>
      <c r="S194" s="474" t="s">
        <v>88</v>
      </c>
      <c r="T194" s="474">
        <v>72</v>
      </c>
      <c r="U194" s="474">
        <v>49303155</v>
      </c>
      <c r="V194" s="474" t="s">
        <v>1070</v>
      </c>
      <c r="W194" s="474">
        <v>475</v>
      </c>
      <c r="X194" s="432">
        <v>1160</v>
      </c>
      <c r="Y194" s="389">
        <f t="shared" si="32"/>
        <v>551000</v>
      </c>
      <c r="Z194" s="478">
        <f>256.5/475</f>
        <v>0.54</v>
      </c>
      <c r="AA194" s="479">
        <f t="shared" si="33"/>
        <v>297540</v>
      </c>
      <c r="AB194" s="480"/>
      <c r="AC194" s="481">
        <v>0</v>
      </c>
      <c r="AD194" s="490"/>
      <c r="AE194" s="482"/>
      <c r="AF194" s="493">
        <f t="shared" si="41"/>
        <v>297540</v>
      </c>
      <c r="AG194" s="474" t="s">
        <v>1071</v>
      </c>
      <c r="AH194" s="474">
        <v>30</v>
      </c>
      <c r="AI194" s="474">
        <v>30</v>
      </c>
      <c r="AJ194" s="474" t="s">
        <v>2291</v>
      </c>
      <c r="AK194" s="474" t="s">
        <v>50</v>
      </c>
      <c r="AL194" s="474">
        <v>92394</v>
      </c>
      <c r="AM194" s="474" t="s">
        <v>52</v>
      </c>
      <c r="AN194" s="474" t="s">
        <v>1695</v>
      </c>
      <c r="AO194" s="474" t="s">
        <v>1076</v>
      </c>
      <c r="AP194" s="482" t="s">
        <v>92</v>
      </c>
      <c r="AQ194" s="482" t="s">
        <v>37</v>
      </c>
      <c r="AR194" s="482" t="s">
        <v>1216</v>
      </c>
      <c r="AS194" s="473" t="s">
        <v>1492</v>
      </c>
      <c r="AT194" s="473"/>
      <c r="AU194" s="478">
        <f>180/360</f>
        <v>0.5</v>
      </c>
      <c r="AV194" s="471">
        <f t="shared" si="38"/>
        <v>49303155</v>
      </c>
      <c r="AW194" s="471" cm="1">
        <f t="array" ref="AW194">SUM(MID(0&amp;AV194,LARGE(INDEX(ISNUMBER(--MID(AV194,ROW($1:$8),1))*ROW($1:$8),),ROW($1:$8))+1,1)*10^ROW($1:$8)/10)</f>
        <v>49303155</v>
      </c>
      <c r="AX194" s="471" t="str">
        <f>VLOOKUP($AW194,'Item Master Data'!$A:$F,3,FALSE)</f>
        <v>Q.PEAK DUO XL G10 BFG</v>
      </c>
      <c r="AY194" s="471">
        <f>VLOOKUP($AW194,'Item Master Data'!$A:$F,6,FALSE)</f>
        <v>475</v>
      </c>
      <c r="AZ194" s="471">
        <f t="shared" si="39"/>
        <v>40</v>
      </c>
      <c r="BA194" s="471">
        <f>VLOOKUP(AW194,'Item Master Data'!$A:$G,7,FALSE)</f>
        <v>29</v>
      </c>
      <c r="BB194" s="471"/>
      <c r="BC194" s="471">
        <f t="shared" si="40"/>
        <v>0</v>
      </c>
    </row>
    <row r="195" spans="1:55">
      <c r="A195" s="495"/>
      <c r="B195" s="407">
        <v>44657</v>
      </c>
      <c r="C195" s="407">
        <v>44657</v>
      </c>
      <c r="D195" s="474" t="s">
        <v>86</v>
      </c>
      <c r="E195" s="474" t="s">
        <v>5717</v>
      </c>
      <c r="F195" s="474"/>
      <c r="G195" s="380">
        <v>2022</v>
      </c>
      <c r="H195" s="474">
        <v>4</v>
      </c>
      <c r="I195" s="474"/>
      <c r="J195" s="475">
        <v>44677</v>
      </c>
      <c r="K195" s="483" t="s">
        <v>2286</v>
      </c>
      <c r="L195" s="474" t="s">
        <v>2287</v>
      </c>
      <c r="M195" s="475">
        <v>44644</v>
      </c>
      <c r="N195" s="475">
        <v>44675</v>
      </c>
      <c r="O195" s="475"/>
      <c r="P195" s="475">
        <v>44666</v>
      </c>
      <c r="Q195" s="475">
        <v>44677</v>
      </c>
      <c r="R195" s="475">
        <v>44677</v>
      </c>
      <c r="S195" s="474" t="s">
        <v>88</v>
      </c>
      <c r="T195" s="474">
        <v>72</v>
      </c>
      <c r="U195" s="474" t="s">
        <v>2288</v>
      </c>
      <c r="V195" s="474" t="s">
        <v>1150</v>
      </c>
      <c r="W195" s="474">
        <v>420</v>
      </c>
      <c r="X195" s="432">
        <v>58</v>
      </c>
      <c r="Y195" s="389">
        <f t="shared" si="32"/>
        <v>24360</v>
      </c>
      <c r="Z195" s="478">
        <f>189/420</f>
        <v>0.45</v>
      </c>
      <c r="AA195" s="479">
        <f t="shared" si="33"/>
        <v>10962</v>
      </c>
      <c r="AB195" s="480"/>
      <c r="AC195" s="481">
        <v>0</v>
      </c>
      <c r="AD195" s="490"/>
      <c r="AE195" s="482"/>
      <c r="AF195" s="493">
        <f t="shared" si="41"/>
        <v>10962</v>
      </c>
      <c r="AG195" s="474" t="s">
        <v>1949</v>
      </c>
      <c r="AH195" s="474">
        <v>100</v>
      </c>
      <c r="AI195" s="474">
        <v>0</v>
      </c>
      <c r="AJ195" s="474" t="s">
        <v>2289</v>
      </c>
      <c r="AK195" s="474" t="s">
        <v>50</v>
      </c>
      <c r="AL195" s="474">
        <v>90248</v>
      </c>
      <c r="AM195" s="474" t="s">
        <v>52</v>
      </c>
      <c r="AN195" s="474" t="s">
        <v>50</v>
      </c>
      <c r="AO195" s="474" t="s">
        <v>1076</v>
      </c>
      <c r="AP195" s="482" t="s">
        <v>92</v>
      </c>
      <c r="AQ195" s="482" t="s">
        <v>37</v>
      </c>
      <c r="AR195" s="482" t="s">
        <v>1216</v>
      </c>
      <c r="AS195" s="473" t="s">
        <v>1492</v>
      </c>
      <c r="AT195" s="473"/>
      <c r="AU195" s="478">
        <f>180/360</f>
        <v>0.5</v>
      </c>
      <c r="AV195" s="471" t="str">
        <f t="shared" si="38"/>
        <v>30383260R</v>
      </c>
      <c r="AW195" s="471" cm="1">
        <f t="array" ref="AW195">SUM(MID(0&amp;AV195,LARGE(INDEX(ISNUMBER(--MID(AV195,ROW($1:$8),1))*ROW($1:$8),),ROW($1:$8))+1,1)*10^ROW($1:$8)/10)</f>
        <v>30383260</v>
      </c>
      <c r="AX195" s="471" t="str">
        <f>VLOOKUP($AW195,'Item Master Data'!$A:$F,3,FALSE)</f>
        <v>Q.PEAK DUO L G8</v>
      </c>
      <c r="AY195" s="471">
        <f>VLOOKUP($AW195,'Item Master Data'!$A:$F,6,FALSE)</f>
        <v>420</v>
      </c>
      <c r="AZ195" s="471">
        <f t="shared" si="39"/>
        <v>2</v>
      </c>
      <c r="BA195" s="471">
        <f>VLOOKUP(AW195,'Item Master Data'!$A:$G,7,FALSE)</f>
        <v>29</v>
      </c>
      <c r="BB195" s="471"/>
      <c r="BC195" s="471">
        <f t="shared" si="40"/>
        <v>0</v>
      </c>
    </row>
    <row r="196" spans="1:55">
      <c r="A196" s="495"/>
      <c r="B196" s="407">
        <v>44575</v>
      </c>
      <c r="C196" s="407">
        <v>44575</v>
      </c>
      <c r="D196" s="485" t="s">
        <v>86</v>
      </c>
      <c r="E196" s="474" t="s">
        <v>5167</v>
      </c>
      <c r="F196" s="486"/>
      <c r="G196" s="380">
        <v>2022</v>
      </c>
      <c r="H196" s="474">
        <v>5</v>
      </c>
      <c r="I196" s="474"/>
      <c r="J196" s="475"/>
      <c r="K196" s="474">
        <v>4953</v>
      </c>
      <c r="L196" s="474" t="s">
        <v>1686</v>
      </c>
      <c r="M196" s="475">
        <v>44572</v>
      </c>
      <c r="N196" s="475">
        <v>44572</v>
      </c>
      <c r="O196" s="475"/>
      <c r="P196" s="475" t="s">
        <v>5548</v>
      </c>
      <c r="Q196" s="475"/>
      <c r="R196" s="475"/>
      <c r="S196" s="474" t="s">
        <v>1688</v>
      </c>
      <c r="T196" s="474">
        <v>72</v>
      </c>
      <c r="U196" s="486">
        <v>49303156</v>
      </c>
      <c r="V196" s="474" t="s">
        <v>1070</v>
      </c>
      <c r="W196" s="474">
        <v>480</v>
      </c>
      <c r="X196" s="432">
        <v>406</v>
      </c>
      <c r="Y196" s="389">
        <f t="shared" si="32"/>
        <v>194880</v>
      </c>
      <c r="Z196" s="478">
        <f>230.4/480</f>
        <v>0.48000000000000004</v>
      </c>
      <c r="AA196" s="480">
        <f t="shared" si="33"/>
        <v>93542.400000000009</v>
      </c>
      <c r="AB196" s="480"/>
      <c r="AC196" s="481">
        <f>AB196*Y196</f>
        <v>0</v>
      </c>
      <c r="AD196" s="474"/>
      <c r="AE196" s="398"/>
      <c r="AF196" s="493">
        <f t="shared" si="41"/>
        <v>93542.400000000009</v>
      </c>
      <c r="AG196" s="474" t="s">
        <v>47</v>
      </c>
      <c r="AH196" s="474">
        <v>100</v>
      </c>
      <c r="AI196" s="474"/>
      <c r="AJ196" s="475" t="s">
        <v>1690</v>
      </c>
      <c r="AK196" s="475" t="s">
        <v>50</v>
      </c>
      <c r="AL196" s="483" t="s">
        <v>1691</v>
      </c>
      <c r="AM196" s="474" t="s">
        <v>52</v>
      </c>
      <c r="AN196" s="384" t="s">
        <v>1074</v>
      </c>
      <c r="AO196" s="474" t="s">
        <v>1076</v>
      </c>
      <c r="AP196" s="482"/>
      <c r="AQ196" s="474" t="s">
        <v>37</v>
      </c>
      <c r="AR196" s="474"/>
      <c r="AS196" s="473" t="s">
        <v>1492</v>
      </c>
      <c r="AT196" s="473"/>
      <c r="AU196" s="478"/>
      <c r="AV196" s="471">
        <f t="shared" si="38"/>
        <v>49303156</v>
      </c>
      <c r="AW196" s="471" cm="1">
        <f t="array" ref="AW196">SUM(MID(0&amp;AV196,LARGE(INDEX(ISNUMBER(--MID(AV196,ROW($1:$8),1))*ROW($1:$8),),ROW($1:$8))+1,1)*10^ROW($1:$8)/10)</f>
        <v>49303156</v>
      </c>
      <c r="AX196" s="471" t="str">
        <f>VLOOKUP($AW196,'Item Master Data'!$A:$F,3,FALSE)</f>
        <v>Q.PEAK DUO XL G10 BFG</v>
      </c>
      <c r="AY196" s="471">
        <f>VLOOKUP($AW196,'Item Master Data'!$A:$F,6,FALSE)</f>
        <v>480</v>
      </c>
      <c r="AZ196" s="471">
        <f t="shared" si="39"/>
        <v>14</v>
      </c>
      <c r="BA196" s="471">
        <f>VLOOKUP(AW196,'Item Master Data'!$A:$G,7,FALSE)</f>
        <v>29</v>
      </c>
      <c r="BB196" s="471"/>
      <c r="BC196" s="471">
        <f t="shared" si="40"/>
        <v>0</v>
      </c>
    </row>
    <row r="197" spans="1:55">
      <c r="A197" s="495"/>
      <c r="B197" s="407"/>
      <c r="C197" s="407"/>
      <c r="D197" s="485" t="s">
        <v>86</v>
      </c>
      <c r="E197" s="474" t="s">
        <v>5469</v>
      </c>
      <c r="F197" s="486"/>
      <c r="G197" s="380">
        <v>2022</v>
      </c>
      <c r="H197" s="474">
        <v>5</v>
      </c>
      <c r="I197" s="474"/>
      <c r="J197" s="475"/>
      <c r="K197" s="474">
        <v>249435</v>
      </c>
      <c r="L197" s="474" t="s">
        <v>2015</v>
      </c>
      <c r="M197" s="475">
        <v>44595</v>
      </c>
      <c r="N197" s="475">
        <v>44682</v>
      </c>
      <c r="O197" s="475"/>
      <c r="P197" s="475"/>
      <c r="Q197" s="475"/>
      <c r="R197" s="475"/>
      <c r="S197" s="474" t="s">
        <v>88</v>
      </c>
      <c r="T197" s="474">
        <v>72</v>
      </c>
      <c r="U197" s="486" t="s">
        <v>1856</v>
      </c>
      <c r="V197" s="474" t="s">
        <v>1004</v>
      </c>
      <c r="W197" s="474">
        <v>475</v>
      </c>
      <c r="X197" s="432">
        <v>870</v>
      </c>
      <c r="Y197" s="389">
        <f t="shared" si="32"/>
        <v>413250</v>
      </c>
      <c r="Z197" s="478">
        <f>237.5/475</f>
        <v>0.5</v>
      </c>
      <c r="AA197" s="480">
        <f t="shared" si="33"/>
        <v>206625</v>
      </c>
      <c r="AB197" s="480"/>
      <c r="AC197" s="481">
        <f>AB197*Y197</f>
        <v>0</v>
      </c>
      <c r="AD197" s="474"/>
      <c r="AE197" s="474"/>
      <c r="AF197" s="493">
        <f t="shared" si="41"/>
        <v>206625</v>
      </c>
      <c r="AG197" s="474" t="s">
        <v>1071</v>
      </c>
      <c r="AH197" s="474">
        <v>5</v>
      </c>
      <c r="AI197" s="474">
        <v>60</v>
      </c>
      <c r="AJ197" s="475" t="s">
        <v>2016</v>
      </c>
      <c r="AK197" s="475" t="s">
        <v>50</v>
      </c>
      <c r="AL197" s="483" t="s">
        <v>2017</v>
      </c>
      <c r="AM197" s="474" t="s">
        <v>52</v>
      </c>
      <c r="AN197" s="384" t="s">
        <v>50</v>
      </c>
      <c r="AO197" s="474" t="s">
        <v>1076</v>
      </c>
      <c r="AP197" s="482"/>
      <c r="AQ197" s="474" t="s">
        <v>37</v>
      </c>
      <c r="AR197" s="474" t="s">
        <v>1216</v>
      </c>
      <c r="AS197" s="473" t="s">
        <v>1492</v>
      </c>
      <c r="AT197" s="473"/>
      <c r="AU197" s="478">
        <f>284.4/360</f>
        <v>0.78999999999999992</v>
      </c>
      <c r="AV197" s="471" t="str">
        <f t="shared" si="38"/>
        <v>30397471C</v>
      </c>
      <c r="AW197" s="471" cm="1">
        <f t="array" ref="AW197">SUM(MID(0&amp;AV197,LARGE(INDEX(ISNUMBER(--MID(AV197,ROW($1:$8),1))*ROW($1:$8),),ROW($1:$8))+1,1)*10^ROW($1:$8)/10)</f>
        <v>30397471</v>
      </c>
      <c r="AX197" s="471" t="str">
        <f>VLOOKUP($AW197,'Item Master Data'!$A:$F,3,FALSE)</f>
        <v>Q.PEAK DUO XL G10</v>
      </c>
      <c r="AY197" s="471">
        <f>VLOOKUP($AW197,'Item Master Data'!$A:$F,6,FALSE)</f>
        <v>475</v>
      </c>
      <c r="AZ197" s="471">
        <f t="shared" si="39"/>
        <v>30</v>
      </c>
      <c r="BA197" s="471">
        <f>VLOOKUP(AW197,'Item Master Data'!$A:$G,7,FALSE)</f>
        <v>29</v>
      </c>
      <c r="BB197" s="471"/>
      <c r="BC197" s="471">
        <f t="shared" si="40"/>
        <v>0</v>
      </c>
    </row>
    <row r="198" spans="1:55">
      <c r="A198" s="495"/>
      <c r="B198" s="407">
        <v>44629</v>
      </c>
      <c r="C198" s="407">
        <v>44629</v>
      </c>
      <c r="D198" s="485" t="s">
        <v>86</v>
      </c>
      <c r="E198" s="474"/>
      <c r="F198" s="486"/>
      <c r="G198" s="380">
        <v>2022</v>
      </c>
      <c r="H198" s="474">
        <v>5</v>
      </c>
      <c r="I198" s="474"/>
      <c r="J198" s="475"/>
      <c r="K198" s="474" t="s">
        <v>1728</v>
      </c>
      <c r="L198" s="474" t="s">
        <v>1693</v>
      </c>
      <c r="M198" s="475">
        <v>44480</v>
      </c>
      <c r="N198" s="475">
        <v>44684</v>
      </c>
      <c r="O198" s="475"/>
      <c r="P198" s="475"/>
      <c r="Q198" s="475"/>
      <c r="R198" s="475"/>
      <c r="S198" s="474" t="s">
        <v>88</v>
      </c>
      <c r="T198" s="474">
        <v>60</v>
      </c>
      <c r="U198" s="486"/>
      <c r="V198" s="474" t="s">
        <v>986</v>
      </c>
      <c r="W198" s="474">
        <v>360</v>
      </c>
      <c r="X198" s="432">
        <v>832</v>
      </c>
      <c r="Y198" s="389">
        <f t="shared" si="32"/>
        <v>299520</v>
      </c>
      <c r="Z198" s="348">
        <f>190.8/360</f>
        <v>0.53</v>
      </c>
      <c r="AA198" s="480">
        <f t="shared" si="33"/>
        <v>158745.60000000001</v>
      </c>
      <c r="AB198" s="480"/>
      <c r="AC198" s="481">
        <v>0</v>
      </c>
      <c r="AD198" s="474"/>
      <c r="AE198" s="474"/>
      <c r="AF198" s="493">
        <f t="shared" si="41"/>
        <v>158745.60000000001</v>
      </c>
      <c r="AG198" s="474" t="s">
        <v>1071</v>
      </c>
      <c r="AH198" s="474"/>
      <c r="AI198" s="474">
        <v>60</v>
      </c>
      <c r="AJ198" s="475" t="s">
        <v>1694</v>
      </c>
      <c r="AK198" s="475" t="s">
        <v>50</v>
      </c>
      <c r="AL198" s="483" t="s">
        <v>1725</v>
      </c>
      <c r="AM198" s="474" t="s">
        <v>52</v>
      </c>
      <c r="AN198" s="384" t="s">
        <v>50</v>
      </c>
      <c r="AO198" s="474" t="s">
        <v>1076</v>
      </c>
      <c r="AP198" s="482" t="s">
        <v>38</v>
      </c>
      <c r="AQ198" s="474" t="s">
        <v>37</v>
      </c>
      <c r="AR198" s="474"/>
      <c r="AS198" s="473" t="s">
        <v>1075</v>
      </c>
      <c r="AT198" s="473"/>
      <c r="AU198" s="478"/>
      <c r="AV198" s="471">
        <f t="shared" si="38"/>
        <v>0</v>
      </c>
      <c r="AW198" s="471" cm="1">
        <f t="array" ref="AW198">SUM(MID(0&amp;AV198,LARGE(INDEX(ISNUMBER(--MID(AV198,ROW($1:$8),1))*ROW($1:$8),),ROW($1:$8))+1,1)*10^ROW($1:$8)/10)</f>
        <v>0</v>
      </c>
      <c r="AX198" s="471" t="e">
        <f>VLOOKUP($AW198,'Item Master Data'!$A:$F,3,FALSE)</f>
        <v>#N/A</v>
      </c>
      <c r="AY198" s="471" t="e">
        <f>VLOOKUP($AW198,'Item Master Data'!$A:$F,6,FALSE)</f>
        <v>#N/A</v>
      </c>
      <c r="AZ198" s="471" t="e">
        <f t="shared" si="39"/>
        <v>#N/A</v>
      </c>
      <c r="BA198" s="471" t="e">
        <f>VLOOKUP(AW198,'Item Master Data'!$A:$G,7,FALSE)</f>
        <v>#N/A</v>
      </c>
      <c r="BB198" s="471"/>
      <c r="BC198" s="471" t="e">
        <f t="shared" si="40"/>
        <v>#N/A</v>
      </c>
    </row>
    <row r="199" spans="1:55">
      <c r="A199" s="495"/>
      <c r="B199" s="495"/>
      <c r="C199" s="495"/>
      <c r="D199" s="474" t="s">
        <v>86</v>
      </c>
      <c r="E199" s="474"/>
      <c r="F199" s="474"/>
      <c r="G199" s="380">
        <v>2022</v>
      </c>
      <c r="H199" s="474">
        <v>5</v>
      </c>
      <c r="I199" s="474"/>
      <c r="J199" s="475"/>
      <c r="K199" s="474" t="s">
        <v>1734</v>
      </c>
      <c r="L199" s="474" t="s">
        <v>1693</v>
      </c>
      <c r="M199" s="475">
        <v>44595</v>
      </c>
      <c r="N199" s="475">
        <v>44683</v>
      </c>
      <c r="O199" s="475"/>
      <c r="P199" s="502">
        <v>44678</v>
      </c>
      <c r="Q199" s="475"/>
      <c r="R199" s="475"/>
      <c r="S199" s="474" t="s">
        <v>88</v>
      </c>
      <c r="T199" s="474">
        <v>60</v>
      </c>
      <c r="U199" s="486" t="s">
        <v>1281</v>
      </c>
      <c r="V199" s="474" t="s">
        <v>973</v>
      </c>
      <c r="W199" s="474">
        <v>400</v>
      </c>
      <c r="X199" s="432">
        <v>768</v>
      </c>
      <c r="Y199" s="389">
        <f t="shared" si="32"/>
        <v>307200</v>
      </c>
      <c r="Z199" s="478">
        <f>220/400</f>
        <v>0.55000000000000004</v>
      </c>
      <c r="AA199" s="479">
        <f t="shared" si="33"/>
        <v>168960</v>
      </c>
      <c r="AB199" s="480"/>
      <c r="AC199" s="481">
        <v>0</v>
      </c>
      <c r="AD199" s="490"/>
      <c r="AE199" s="482"/>
      <c r="AF199" s="493">
        <f t="shared" si="41"/>
        <v>168960</v>
      </c>
      <c r="AG199" s="474" t="s">
        <v>1071</v>
      </c>
      <c r="AH199" s="474"/>
      <c r="AI199" s="474">
        <v>60</v>
      </c>
      <c r="AJ199" s="474" t="s">
        <v>1694</v>
      </c>
      <c r="AK199" s="474" t="s">
        <v>50</v>
      </c>
      <c r="AL199" s="474">
        <v>92806</v>
      </c>
      <c r="AM199" s="474" t="s">
        <v>52</v>
      </c>
      <c r="AN199" s="474" t="s">
        <v>50</v>
      </c>
      <c r="AO199" s="474" t="s">
        <v>1076</v>
      </c>
      <c r="AP199" s="482" t="s">
        <v>92</v>
      </c>
      <c r="AQ199" s="482" t="s">
        <v>37</v>
      </c>
      <c r="AR199" s="482" t="s">
        <v>1216</v>
      </c>
      <c r="AS199" s="473" t="s">
        <v>1492</v>
      </c>
      <c r="AT199" s="473"/>
      <c r="AU199" s="478">
        <f>180/360</f>
        <v>0.5</v>
      </c>
      <c r="AV199" s="471" t="str">
        <f t="shared" si="38"/>
        <v>30390456H</v>
      </c>
      <c r="AW199" s="471" cm="1">
        <f t="array" ref="AW199">SUM(MID(0&amp;AV199,LARGE(INDEX(ISNUMBER(--MID(AV199,ROW($1:$8),1))*ROW($1:$8),),ROW($1:$8))+1,1)*10^ROW($1:$8)/10)</f>
        <v>30390456</v>
      </c>
      <c r="AX199" s="471" t="str">
        <f>VLOOKUP($AW199,'Item Master Data'!$A:$F,3,FALSE)</f>
        <v>Q.PEAK DUO BLK ML G10+</v>
      </c>
      <c r="AY199" s="471">
        <f>VLOOKUP($AW199,'Item Master Data'!$A:$F,6,FALSE)</f>
        <v>400</v>
      </c>
      <c r="AZ199" s="471">
        <f t="shared" si="39"/>
        <v>24</v>
      </c>
      <c r="BA199" s="471">
        <f>VLOOKUP(AW199,'Item Master Data'!$A:$G,7,FALSE)</f>
        <v>32</v>
      </c>
      <c r="BB199" s="471"/>
      <c r="BC199" s="471">
        <f t="shared" si="40"/>
        <v>0</v>
      </c>
    </row>
    <row r="200" spans="1:55">
      <c r="A200" s="495"/>
      <c r="B200" s="495"/>
      <c r="C200" s="495"/>
      <c r="D200" s="474" t="s">
        <v>86</v>
      </c>
      <c r="E200" s="474"/>
      <c r="F200" s="474"/>
      <c r="G200" s="380">
        <v>2022</v>
      </c>
      <c r="H200" s="474">
        <v>5</v>
      </c>
      <c r="I200" s="474"/>
      <c r="J200" s="475"/>
      <c r="K200" s="474" t="s">
        <v>1733</v>
      </c>
      <c r="L200" s="474" t="s">
        <v>1693</v>
      </c>
      <c r="M200" s="475">
        <v>44595</v>
      </c>
      <c r="N200" s="475">
        <v>44655</v>
      </c>
      <c r="O200" s="475">
        <v>44685</v>
      </c>
      <c r="P200" s="475"/>
      <c r="Q200" s="475"/>
      <c r="R200" s="475"/>
      <c r="S200" s="474" t="s">
        <v>88</v>
      </c>
      <c r="T200" s="474">
        <v>60</v>
      </c>
      <c r="U200" s="474"/>
      <c r="V200" s="474" t="s">
        <v>1223</v>
      </c>
      <c r="W200" s="474">
        <v>360</v>
      </c>
      <c r="X200" s="432">
        <v>832</v>
      </c>
      <c r="Y200" s="389">
        <f t="shared" si="32"/>
        <v>299520</v>
      </c>
      <c r="Z200" s="478">
        <f>298.8/360</f>
        <v>0.83000000000000007</v>
      </c>
      <c r="AA200" s="479">
        <f t="shared" si="33"/>
        <v>248601.60000000003</v>
      </c>
      <c r="AB200" s="480"/>
      <c r="AC200" s="481">
        <v>0</v>
      </c>
      <c r="AD200" s="490"/>
      <c r="AE200" s="482"/>
      <c r="AF200" s="493">
        <f t="shared" si="41"/>
        <v>248601.60000000003</v>
      </c>
      <c r="AG200" s="474" t="s">
        <v>1071</v>
      </c>
      <c r="AH200" s="474"/>
      <c r="AI200" s="474">
        <v>60</v>
      </c>
      <c r="AJ200" s="474" t="s">
        <v>1694</v>
      </c>
      <c r="AK200" s="474" t="s">
        <v>1144</v>
      </c>
      <c r="AL200" s="474">
        <v>92806</v>
      </c>
      <c r="AM200" s="474" t="s">
        <v>52</v>
      </c>
      <c r="AN200" s="474"/>
      <c r="AO200" s="474" t="s">
        <v>1076</v>
      </c>
      <c r="AP200" s="482" t="s">
        <v>92</v>
      </c>
      <c r="AQ200" s="482" t="s">
        <v>37</v>
      </c>
      <c r="AR200" s="482" t="s">
        <v>1216</v>
      </c>
      <c r="AS200" s="473" t="s">
        <v>1492</v>
      </c>
      <c r="AT200" s="473"/>
      <c r="AU200" s="478">
        <f>180/360</f>
        <v>0.5</v>
      </c>
      <c r="AV200" s="471">
        <f t="shared" si="38"/>
        <v>0</v>
      </c>
      <c r="AW200" s="471" cm="1">
        <f t="array" ref="AW200">SUM(MID(0&amp;AV200,LARGE(INDEX(ISNUMBER(--MID(AV200,ROW($1:$8),1))*ROW($1:$8),),ROW($1:$8))+1,1)*10^ROW($1:$8)/10)</f>
        <v>0</v>
      </c>
      <c r="AX200" s="471" t="e">
        <f>VLOOKUP($AW200,'Item Master Data'!$A:$F,3,FALSE)</f>
        <v>#N/A</v>
      </c>
      <c r="AY200" s="471" t="e">
        <f>VLOOKUP($AW200,'Item Master Data'!$A:$F,6,FALSE)</f>
        <v>#N/A</v>
      </c>
      <c r="AZ200" s="471" t="e">
        <f t="shared" si="39"/>
        <v>#N/A</v>
      </c>
      <c r="BA200" s="471" t="e">
        <f>VLOOKUP(AW200,'Item Master Data'!$A:$G,7,FALSE)</f>
        <v>#N/A</v>
      </c>
      <c r="BB200" s="471"/>
      <c r="BC200" s="471" t="e">
        <f t="shared" si="40"/>
        <v>#N/A</v>
      </c>
    </row>
    <row r="201" spans="1:55">
      <c r="A201" s="495">
        <v>10</v>
      </c>
      <c r="B201" s="407"/>
      <c r="C201" s="407"/>
      <c r="D201" s="485" t="s">
        <v>86</v>
      </c>
      <c r="E201" s="474"/>
      <c r="F201" s="486"/>
      <c r="G201" s="380">
        <v>2022</v>
      </c>
      <c r="H201" s="474">
        <v>5</v>
      </c>
      <c r="I201" s="474"/>
      <c r="J201" s="475"/>
      <c r="K201" s="474" t="s">
        <v>1761</v>
      </c>
      <c r="L201" s="474" t="s">
        <v>1762</v>
      </c>
      <c r="M201" s="475">
        <v>44546</v>
      </c>
      <c r="N201" s="475">
        <v>44614</v>
      </c>
      <c r="O201" s="475" t="s">
        <v>1763</v>
      </c>
      <c r="P201" s="502">
        <v>44678</v>
      </c>
      <c r="Q201" s="475"/>
      <c r="R201" s="475"/>
      <c r="S201" s="474" t="s">
        <v>88</v>
      </c>
      <c r="T201" s="474">
        <v>60</v>
      </c>
      <c r="U201" s="486" t="s">
        <v>1281</v>
      </c>
      <c r="V201" s="474" t="s">
        <v>973</v>
      </c>
      <c r="W201" s="474">
        <v>400</v>
      </c>
      <c r="X201" s="432">
        <v>2944</v>
      </c>
      <c r="Y201" s="389">
        <f t="shared" si="32"/>
        <v>1177600</v>
      </c>
      <c r="Z201" s="478">
        <f>220/400</f>
        <v>0.55000000000000004</v>
      </c>
      <c r="AA201" s="480">
        <f t="shared" si="33"/>
        <v>647680</v>
      </c>
      <c r="AB201" s="480"/>
      <c r="AC201" s="481"/>
      <c r="AD201" s="474"/>
      <c r="AE201" s="474"/>
      <c r="AF201" s="493">
        <v>1368640</v>
      </c>
      <c r="AG201" s="474" t="s">
        <v>1071</v>
      </c>
      <c r="AH201" s="474"/>
      <c r="AI201" s="474">
        <v>60</v>
      </c>
      <c r="AJ201" s="475" t="s">
        <v>1764</v>
      </c>
      <c r="AK201" s="475" t="s">
        <v>50</v>
      </c>
      <c r="AL201" s="483">
        <v>93305</v>
      </c>
      <c r="AM201" s="474" t="s">
        <v>52</v>
      </c>
      <c r="AN201" s="474" t="s">
        <v>50</v>
      </c>
      <c r="AO201" s="474" t="s">
        <v>1076</v>
      </c>
      <c r="AP201" s="482" t="s">
        <v>92</v>
      </c>
      <c r="AQ201" s="474" t="s">
        <v>37</v>
      </c>
      <c r="AR201" s="474" t="s">
        <v>1677</v>
      </c>
      <c r="AS201" s="473"/>
      <c r="AT201" s="473"/>
      <c r="AU201" s="478">
        <v>0.45500000000000002</v>
      </c>
      <c r="AV201" s="471" t="str">
        <f t="shared" si="38"/>
        <v>30390456H</v>
      </c>
      <c r="AW201" s="471" cm="1">
        <f t="array" ref="AW201">SUM(MID(0&amp;AV201,LARGE(INDEX(ISNUMBER(--MID(AV201,ROW($1:$8),1))*ROW($1:$8),),ROW($1:$8))+1,1)*10^ROW($1:$8)/10)</f>
        <v>30390456</v>
      </c>
      <c r="AX201" s="471" t="str">
        <f>VLOOKUP($AW201,'Item Master Data'!$A:$F,3,FALSE)</f>
        <v>Q.PEAK DUO BLK ML G10+</v>
      </c>
      <c r="AY201" s="471">
        <f>VLOOKUP($AW201,'Item Master Data'!$A:$F,6,FALSE)</f>
        <v>400</v>
      </c>
      <c r="AZ201" s="471">
        <f t="shared" si="39"/>
        <v>92</v>
      </c>
      <c r="BA201" s="471">
        <f>VLOOKUP(AW201,'Item Master Data'!$A:$G,7,FALSE)</f>
        <v>32</v>
      </c>
      <c r="BB201" s="471"/>
      <c r="BC201" s="471">
        <f t="shared" si="40"/>
        <v>0</v>
      </c>
    </row>
    <row r="202" spans="1:55">
      <c r="A202" s="495"/>
      <c r="B202" s="407"/>
      <c r="C202" s="407"/>
      <c r="D202" s="485" t="s">
        <v>86</v>
      </c>
      <c r="E202" s="383" t="s">
        <v>5619</v>
      </c>
      <c r="F202" s="486"/>
      <c r="G202" s="380">
        <v>2022</v>
      </c>
      <c r="H202" s="474">
        <v>5</v>
      </c>
      <c r="I202" s="474"/>
      <c r="J202" s="475"/>
      <c r="K202" s="474" t="s">
        <v>1766</v>
      </c>
      <c r="L202" s="474" t="s">
        <v>1762</v>
      </c>
      <c r="M202" s="475">
        <v>44546</v>
      </c>
      <c r="N202" s="475">
        <v>44620</v>
      </c>
      <c r="O202" s="475">
        <v>44648</v>
      </c>
      <c r="P202" s="475" t="s">
        <v>1903</v>
      </c>
      <c r="Q202" s="475"/>
      <c r="R202" s="475"/>
      <c r="S202" s="474" t="s">
        <v>88</v>
      </c>
      <c r="T202" s="474">
        <v>60</v>
      </c>
      <c r="U202" s="486" t="s">
        <v>1281</v>
      </c>
      <c r="V202" s="474" t="s">
        <v>973</v>
      </c>
      <c r="W202" s="474">
        <v>400</v>
      </c>
      <c r="X202" s="432">
        <v>768</v>
      </c>
      <c r="Y202" s="389">
        <f t="shared" si="32"/>
        <v>307200</v>
      </c>
      <c r="Z202" s="478">
        <f>220/400</f>
        <v>0.55000000000000004</v>
      </c>
      <c r="AA202" s="480">
        <f t="shared" si="33"/>
        <v>168960</v>
      </c>
      <c r="AB202" s="480"/>
      <c r="AC202" s="481"/>
      <c r="AD202" s="474"/>
      <c r="AE202" s="398"/>
      <c r="AF202" s="493">
        <f t="shared" ref="AF202:AF210" si="42">AE202+AD202+AA202</f>
        <v>168960</v>
      </c>
      <c r="AG202" s="474" t="s">
        <v>1071</v>
      </c>
      <c r="AH202" s="474"/>
      <c r="AI202" s="474">
        <v>60</v>
      </c>
      <c r="AJ202" s="475" t="s">
        <v>1764</v>
      </c>
      <c r="AK202" s="475" t="s">
        <v>50</v>
      </c>
      <c r="AL202" s="483">
        <v>93305</v>
      </c>
      <c r="AM202" s="474" t="s">
        <v>52</v>
      </c>
      <c r="AN202" s="474" t="s">
        <v>50</v>
      </c>
      <c r="AO202" s="474" t="s">
        <v>1076</v>
      </c>
      <c r="AP202" s="482" t="s">
        <v>92</v>
      </c>
      <c r="AQ202" s="474" t="s">
        <v>37</v>
      </c>
      <c r="AR202" s="474" t="s">
        <v>1677</v>
      </c>
      <c r="AS202" s="473"/>
      <c r="AT202" s="473"/>
      <c r="AU202" s="478">
        <v>0.45500000000000002</v>
      </c>
      <c r="AV202" s="471" t="str">
        <f t="shared" si="38"/>
        <v>30390456H</v>
      </c>
      <c r="AW202" s="471" cm="1">
        <f t="array" ref="AW202">SUM(MID(0&amp;AV202,LARGE(INDEX(ISNUMBER(--MID(AV202,ROW($1:$8),1))*ROW($1:$8),),ROW($1:$8))+1,1)*10^ROW($1:$8)/10)</f>
        <v>30390456</v>
      </c>
      <c r="AX202" s="471" t="str">
        <f>VLOOKUP($AW202,'Item Master Data'!$A:$F,3,FALSE)</f>
        <v>Q.PEAK DUO BLK ML G10+</v>
      </c>
      <c r="AY202" s="471">
        <f>VLOOKUP($AW202,'Item Master Data'!$A:$F,6,FALSE)</f>
        <v>400</v>
      </c>
      <c r="AZ202" s="471">
        <f t="shared" si="39"/>
        <v>24</v>
      </c>
      <c r="BA202" s="471">
        <f>VLOOKUP(AW202,'Item Master Data'!$A:$G,7,FALSE)</f>
        <v>32</v>
      </c>
      <c r="BB202" s="471"/>
      <c r="BC202" s="471">
        <f t="shared" si="40"/>
        <v>0</v>
      </c>
    </row>
    <row r="203" spans="1:55">
      <c r="A203" s="495"/>
      <c r="B203" s="407">
        <v>44600</v>
      </c>
      <c r="C203" s="495"/>
      <c r="D203" s="474" t="s">
        <v>86</v>
      </c>
      <c r="E203" s="651" t="s">
        <v>5619</v>
      </c>
      <c r="F203" s="474"/>
      <c r="G203" s="380">
        <v>2022</v>
      </c>
      <c r="H203" s="474">
        <v>5</v>
      </c>
      <c r="I203" s="474"/>
      <c r="J203" s="475"/>
      <c r="K203" s="474" t="s">
        <v>1767</v>
      </c>
      <c r="L203" s="474" t="s">
        <v>1768</v>
      </c>
      <c r="M203" s="475">
        <v>44595</v>
      </c>
      <c r="N203" s="475">
        <v>44595</v>
      </c>
      <c r="O203" s="475"/>
      <c r="P203" s="502">
        <v>44678</v>
      </c>
      <c r="Q203" s="475"/>
      <c r="R203" s="475"/>
      <c r="S203" s="474" t="s">
        <v>1704</v>
      </c>
      <c r="T203" s="474">
        <v>60</v>
      </c>
      <c r="U203" s="486" t="s">
        <v>1281</v>
      </c>
      <c r="V203" s="486" t="s">
        <v>973</v>
      </c>
      <c r="W203" s="474">
        <v>400</v>
      </c>
      <c r="X203" s="432">
        <v>768</v>
      </c>
      <c r="Y203" s="389">
        <f t="shared" si="32"/>
        <v>307200</v>
      </c>
      <c r="Z203" s="478">
        <f>220/400</f>
        <v>0.55000000000000004</v>
      </c>
      <c r="AA203" s="479">
        <f t="shared" si="33"/>
        <v>168960</v>
      </c>
      <c r="AB203" s="480"/>
      <c r="AC203" s="481">
        <f>AB203*Y203</f>
        <v>0</v>
      </c>
      <c r="AD203" s="474"/>
      <c r="AE203" s="482"/>
      <c r="AF203" s="493">
        <f t="shared" si="42"/>
        <v>168960</v>
      </c>
      <c r="AG203" s="474" t="s">
        <v>1071</v>
      </c>
      <c r="AH203" s="474"/>
      <c r="AI203" s="474">
        <v>60</v>
      </c>
      <c r="AJ203" s="475" t="s">
        <v>1709</v>
      </c>
      <c r="AK203" s="483" t="s">
        <v>1706</v>
      </c>
      <c r="AL203" s="483" t="s">
        <v>1769</v>
      </c>
      <c r="AM203" s="474" t="s">
        <v>52</v>
      </c>
      <c r="AN203" s="474" t="s">
        <v>50</v>
      </c>
      <c r="AO203" s="474" t="s">
        <v>1076</v>
      </c>
      <c r="AP203" s="482" t="s">
        <v>92</v>
      </c>
      <c r="AQ203" s="482" t="s">
        <v>37</v>
      </c>
      <c r="AR203" s="482"/>
      <c r="AS203" s="472"/>
      <c r="AT203" s="472"/>
      <c r="AU203" s="478">
        <f>180/360</f>
        <v>0.5</v>
      </c>
      <c r="AV203" s="471" t="str">
        <f t="shared" si="38"/>
        <v>30390456H</v>
      </c>
      <c r="AW203" s="471" cm="1">
        <f t="array" ref="AW203">SUM(MID(0&amp;AV203,LARGE(INDEX(ISNUMBER(--MID(AV203,ROW($1:$8),1))*ROW($1:$8),),ROW($1:$8))+1,1)*10^ROW($1:$8)/10)</f>
        <v>30390456</v>
      </c>
      <c r="AX203" s="471" t="str">
        <f>VLOOKUP($AW203,'Item Master Data'!$A:$F,3,FALSE)</f>
        <v>Q.PEAK DUO BLK ML G10+</v>
      </c>
      <c r="AY203" s="471">
        <f>VLOOKUP($AW203,'Item Master Data'!$A:$F,6,FALSE)</f>
        <v>400</v>
      </c>
      <c r="AZ203" s="471">
        <f t="shared" si="39"/>
        <v>24</v>
      </c>
      <c r="BA203" s="471">
        <f>VLOOKUP(AW203,'Item Master Data'!$A:$G,7,FALSE)</f>
        <v>32</v>
      </c>
      <c r="BB203" s="471"/>
      <c r="BC203" s="471">
        <f t="shared" si="40"/>
        <v>0</v>
      </c>
    </row>
    <row r="204" spans="1:55">
      <c r="A204" s="495"/>
      <c r="B204" s="407">
        <v>44623</v>
      </c>
      <c r="C204" s="407">
        <v>44623</v>
      </c>
      <c r="D204" s="485" t="s">
        <v>86</v>
      </c>
      <c r="E204" s="474"/>
      <c r="F204" s="486"/>
      <c r="G204" s="380">
        <v>2022</v>
      </c>
      <c r="H204" s="474">
        <v>5</v>
      </c>
      <c r="I204" s="474"/>
      <c r="J204" s="475"/>
      <c r="K204" s="474" t="s">
        <v>1779</v>
      </c>
      <c r="L204" s="474" t="s">
        <v>1780</v>
      </c>
      <c r="M204" s="475">
        <v>44524</v>
      </c>
      <c r="N204" s="475">
        <v>44620</v>
      </c>
      <c r="O204" s="475"/>
      <c r="P204" s="502">
        <v>44678</v>
      </c>
      <c r="Q204" s="475"/>
      <c r="R204" s="475"/>
      <c r="S204" s="474" t="s">
        <v>1704</v>
      </c>
      <c r="T204" s="474">
        <v>60</v>
      </c>
      <c r="U204" s="486" t="s">
        <v>1281</v>
      </c>
      <c r="V204" s="474" t="s">
        <v>973</v>
      </c>
      <c r="W204" s="474">
        <v>400</v>
      </c>
      <c r="X204" s="432">
        <v>768</v>
      </c>
      <c r="Y204" s="389">
        <f t="shared" si="32"/>
        <v>307200</v>
      </c>
      <c r="Z204" s="478">
        <f>220/400</f>
        <v>0.55000000000000004</v>
      </c>
      <c r="AA204" s="480">
        <f t="shared" si="33"/>
        <v>168960</v>
      </c>
      <c r="AB204" s="480"/>
      <c r="AC204" s="481"/>
      <c r="AD204" s="474"/>
      <c r="AE204" s="474"/>
      <c r="AF204" s="493">
        <f t="shared" si="42"/>
        <v>168960</v>
      </c>
      <c r="AG204" s="474" t="s">
        <v>1071</v>
      </c>
      <c r="AH204" s="474"/>
      <c r="AI204" s="474">
        <v>60</v>
      </c>
      <c r="AJ204" s="475" t="s">
        <v>1781</v>
      </c>
      <c r="AK204" s="475" t="s">
        <v>1417</v>
      </c>
      <c r="AL204" s="483">
        <v>83642</v>
      </c>
      <c r="AM204" s="474" t="s">
        <v>52</v>
      </c>
      <c r="AN204" s="474" t="s">
        <v>50</v>
      </c>
      <c r="AO204" s="474" t="s">
        <v>1076</v>
      </c>
      <c r="AP204" s="482" t="s">
        <v>92</v>
      </c>
      <c r="AQ204" s="474" t="s">
        <v>37</v>
      </c>
      <c r="AR204" s="474" t="s">
        <v>1288</v>
      </c>
      <c r="AS204" s="473"/>
      <c r="AT204" s="473"/>
      <c r="AU204" s="478">
        <f>196/400</f>
        <v>0.49</v>
      </c>
      <c r="AV204" s="471" t="str">
        <f t="shared" si="38"/>
        <v>30390456H</v>
      </c>
      <c r="AW204" s="471" cm="1">
        <f t="array" ref="AW204">SUM(MID(0&amp;AV204,LARGE(INDEX(ISNUMBER(--MID(AV204,ROW($1:$8),1))*ROW($1:$8),),ROW($1:$8))+1,1)*10^ROW($1:$8)/10)</f>
        <v>30390456</v>
      </c>
      <c r="AX204" s="471" t="str">
        <f>VLOOKUP($AW204,'Item Master Data'!$A:$F,3,FALSE)</f>
        <v>Q.PEAK DUO BLK ML G10+</v>
      </c>
      <c r="AY204" s="471">
        <f>VLOOKUP($AW204,'Item Master Data'!$A:$F,6,FALSE)</f>
        <v>400</v>
      </c>
      <c r="AZ204" s="471">
        <f t="shared" si="39"/>
        <v>24</v>
      </c>
      <c r="BA204" s="471">
        <f>VLOOKUP(AW204,'Item Master Data'!$A:$G,7,FALSE)</f>
        <v>32</v>
      </c>
      <c r="BB204" s="471"/>
      <c r="BC204" s="471">
        <f t="shared" si="40"/>
        <v>0</v>
      </c>
    </row>
    <row r="205" spans="1:55">
      <c r="A205" s="495"/>
      <c r="B205" s="407">
        <v>44628</v>
      </c>
      <c r="C205" s="407">
        <v>44628</v>
      </c>
      <c r="D205" s="485" t="s">
        <v>86</v>
      </c>
      <c r="E205" s="474"/>
      <c r="F205" s="486"/>
      <c r="G205" s="380">
        <v>2022</v>
      </c>
      <c r="H205" s="474">
        <v>5</v>
      </c>
      <c r="I205" s="474"/>
      <c r="J205" s="475"/>
      <c r="K205" s="474" t="s">
        <v>1800</v>
      </c>
      <c r="L205" s="474" t="s">
        <v>1798</v>
      </c>
      <c r="M205" s="475">
        <v>44568</v>
      </c>
      <c r="N205" s="475">
        <v>44682</v>
      </c>
      <c r="O205" s="475"/>
      <c r="P205" s="475"/>
      <c r="Q205" s="475"/>
      <c r="R205" s="475"/>
      <c r="S205" s="474" t="s">
        <v>1688</v>
      </c>
      <c r="T205" s="474">
        <v>60</v>
      </c>
      <c r="U205" s="486">
        <v>49401139</v>
      </c>
      <c r="V205" s="474" t="s">
        <v>1223</v>
      </c>
      <c r="W205" s="474">
        <v>360</v>
      </c>
      <c r="X205" s="432">
        <v>676</v>
      </c>
      <c r="Y205" s="389">
        <f t="shared" si="32"/>
        <v>243360</v>
      </c>
      <c r="Z205" s="478">
        <f>298.8/360</f>
        <v>0.83000000000000007</v>
      </c>
      <c r="AA205" s="480">
        <f t="shared" si="33"/>
        <v>201988.80000000002</v>
      </c>
      <c r="AB205" s="480"/>
      <c r="AC205" s="481">
        <v>0</v>
      </c>
      <c r="AD205" s="474"/>
      <c r="AE205" s="474"/>
      <c r="AF205" s="493">
        <f t="shared" si="42"/>
        <v>201988.80000000002</v>
      </c>
      <c r="AG205" s="474" t="s">
        <v>1071</v>
      </c>
      <c r="AH205" s="474"/>
      <c r="AI205" s="474">
        <v>60</v>
      </c>
      <c r="AJ205" s="475" t="s">
        <v>1799</v>
      </c>
      <c r="AK205" s="475" t="s">
        <v>50</v>
      </c>
      <c r="AL205" s="483">
        <v>91311</v>
      </c>
      <c r="AM205" s="474" t="s">
        <v>52</v>
      </c>
      <c r="AN205" s="384" t="s">
        <v>1074</v>
      </c>
      <c r="AO205" s="474" t="s">
        <v>1076</v>
      </c>
      <c r="AP205" s="482"/>
      <c r="AQ205" s="474" t="s">
        <v>37</v>
      </c>
      <c r="AR205" s="474"/>
      <c r="AS205" s="473"/>
      <c r="AT205" s="473"/>
      <c r="AU205" s="478">
        <v>0.72</v>
      </c>
      <c r="AV205" s="471">
        <f t="shared" si="38"/>
        <v>49401139</v>
      </c>
      <c r="AW205" s="471" cm="1">
        <f t="array" ref="AW205">SUM(MID(0&amp;AV205,LARGE(INDEX(ISNUMBER(--MID(AV205,ROW($1:$8),1))*ROW($1:$8),),ROW($1:$8))+1,1)*10^ROW($1:$8)/10)</f>
        <v>49401139</v>
      </c>
      <c r="AX205" s="471" t="str">
        <f>VLOOKUP($AW205,'Item Master Data'!$A:$F,3,FALSE)</f>
        <v>Q.PEAK DUO BLK ML G10.a+</v>
      </c>
      <c r="AY205" s="471">
        <f>VLOOKUP($AW205,'Item Master Data'!$A:$F,6,FALSE)</f>
        <v>395</v>
      </c>
      <c r="AZ205" s="471">
        <f t="shared" si="39"/>
        <v>21.125</v>
      </c>
      <c r="BA205" s="471">
        <f>VLOOKUP(AW205,'Item Master Data'!$A:$G,7,FALSE)</f>
        <v>32</v>
      </c>
      <c r="BB205" s="471"/>
      <c r="BC205" s="471">
        <f t="shared" si="40"/>
        <v>-35</v>
      </c>
    </row>
    <row r="206" spans="1:55">
      <c r="A206" s="495"/>
      <c r="B206" s="407">
        <v>44628</v>
      </c>
      <c r="C206" s="407">
        <v>44628</v>
      </c>
      <c r="D206" s="485" t="s">
        <v>86</v>
      </c>
      <c r="E206" s="663"/>
      <c r="F206" s="486"/>
      <c r="G206" s="380">
        <v>2022</v>
      </c>
      <c r="H206" s="474">
        <v>5</v>
      </c>
      <c r="I206" s="474"/>
      <c r="J206" s="475"/>
      <c r="K206" s="474" t="s">
        <v>1801</v>
      </c>
      <c r="L206" s="474" t="s">
        <v>1798</v>
      </c>
      <c r="M206" s="475">
        <v>44505</v>
      </c>
      <c r="N206" s="475">
        <v>44623</v>
      </c>
      <c r="O206" s="475">
        <v>44684</v>
      </c>
      <c r="P206" s="475">
        <v>44678</v>
      </c>
      <c r="Q206" s="475"/>
      <c r="R206" s="475"/>
      <c r="S206" s="474" t="s">
        <v>1688</v>
      </c>
      <c r="T206" s="474">
        <v>60</v>
      </c>
      <c r="U206" s="486" t="s">
        <v>1281</v>
      </c>
      <c r="V206" s="474" t="s">
        <v>973</v>
      </c>
      <c r="W206" s="474">
        <v>400</v>
      </c>
      <c r="X206" s="432">
        <v>768</v>
      </c>
      <c r="Y206" s="389">
        <f t="shared" si="32"/>
        <v>307200</v>
      </c>
      <c r="Z206" s="478">
        <f>220/400</f>
        <v>0.55000000000000004</v>
      </c>
      <c r="AA206" s="480">
        <f t="shared" si="33"/>
        <v>168960</v>
      </c>
      <c r="AB206" s="480"/>
      <c r="AC206" s="481">
        <f>AB206*Y206</f>
        <v>0</v>
      </c>
      <c r="AD206" s="474"/>
      <c r="AE206" s="474"/>
      <c r="AF206" s="493">
        <f t="shared" si="42"/>
        <v>168960</v>
      </c>
      <c r="AG206" s="474" t="s">
        <v>1071</v>
      </c>
      <c r="AH206" s="474"/>
      <c r="AI206" s="474">
        <v>60</v>
      </c>
      <c r="AJ206" s="475" t="s">
        <v>1799</v>
      </c>
      <c r="AK206" s="475" t="s">
        <v>50</v>
      </c>
      <c r="AL206" s="483">
        <v>91311</v>
      </c>
      <c r="AM206" s="474" t="s">
        <v>52</v>
      </c>
      <c r="AN206" s="474" t="s">
        <v>50</v>
      </c>
      <c r="AO206" s="474" t="s">
        <v>1076</v>
      </c>
      <c r="AP206" s="482" t="s">
        <v>92</v>
      </c>
      <c r="AQ206" s="474" t="s">
        <v>37</v>
      </c>
      <c r="AR206" s="474"/>
      <c r="AS206" s="473"/>
      <c r="AT206" s="473"/>
      <c r="AU206" s="478"/>
      <c r="AV206" s="471" t="str">
        <f t="shared" si="38"/>
        <v>30390456H</v>
      </c>
      <c r="AW206" s="471" cm="1">
        <f t="array" ref="AW206">SUM(MID(0&amp;AV206,LARGE(INDEX(ISNUMBER(--MID(AV206,ROW($1:$8),1))*ROW($1:$8),),ROW($1:$8))+1,1)*10^ROW($1:$8)/10)</f>
        <v>30390456</v>
      </c>
      <c r="AX206" s="471" t="str">
        <f>VLOOKUP($AW206,'Item Master Data'!$A:$F,3,FALSE)</f>
        <v>Q.PEAK DUO BLK ML G10+</v>
      </c>
      <c r="AY206" s="471">
        <f>VLOOKUP($AW206,'Item Master Data'!$A:$F,6,FALSE)</f>
        <v>400</v>
      </c>
      <c r="AZ206" s="471">
        <f t="shared" si="39"/>
        <v>24</v>
      </c>
      <c r="BA206" s="471">
        <f>VLOOKUP(AW206,'Item Master Data'!$A:$G,7,FALSE)</f>
        <v>32</v>
      </c>
      <c r="BB206" s="471"/>
      <c r="BC206" s="471">
        <f t="shared" si="40"/>
        <v>0</v>
      </c>
    </row>
    <row r="207" spans="1:55">
      <c r="A207" s="495"/>
      <c r="B207" s="407">
        <v>44628</v>
      </c>
      <c r="C207" s="407">
        <v>44628</v>
      </c>
      <c r="D207" s="485" t="s">
        <v>86</v>
      </c>
      <c r="E207" s="474"/>
      <c r="F207" s="486"/>
      <c r="G207" s="380">
        <v>2022</v>
      </c>
      <c r="H207" s="474">
        <v>5</v>
      </c>
      <c r="I207" s="474"/>
      <c r="J207" s="475"/>
      <c r="K207" s="474" t="s">
        <v>1802</v>
      </c>
      <c r="L207" s="474" t="s">
        <v>1798</v>
      </c>
      <c r="M207" s="475">
        <v>44505</v>
      </c>
      <c r="N207" s="475">
        <v>44623</v>
      </c>
      <c r="O207" s="475">
        <v>44684</v>
      </c>
      <c r="P207" s="475"/>
      <c r="Q207" s="475"/>
      <c r="R207" s="475"/>
      <c r="S207" s="474" t="s">
        <v>1688</v>
      </c>
      <c r="T207" s="474">
        <v>60</v>
      </c>
      <c r="U207" s="486">
        <v>49401139</v>
      </c>
      <c r="V207" s="474" t="s">
        <v>986</v>
      </c>
      <c r="W207" s="474">
        <v>360</v>
      </c>
      <c r="X207" s="432">
        <v>768</v>
      </c>
      <c r="Y207" s="389">
        <f t="shared" si="32"/>
        <v>276480</v>
      </c>
      <c r="Z207" s="478">
        <f>190.8/360</f>
        <v>0.53</v>
      </c>
      <c r="AA207" s="480">
        <f t="shared" si="33"/>
        <v>146534.39999999999</v>
      </c>
      <c r="AB207" s="480"/>
      <c r="AC207" s="481">
        <f>AB207*Y207</f>
        <v>0</v>
      </c>
      <c r="AD207" s="474"/>
      <c r="AE207" s="474"/>
      <c r="AF207" s="493">
        <f t="shared" si="42"/>
        <v>146534.39999999999</v>
      </c>
      <c r="AG207" s="474" t="s">
        <v>1071</v>
      </c>
      <c r="AH207" s="474"/>
      <c r="AI207" s="474">
        <v>60</v>
      </c>
      <c r="AJ207" s="475" t="s">
        <v>1799</v>
      </c>
      <c r="AK207" s="475" t="s">
        <v>50</v>
      </c>
      <c r="AL207" s="483">
        <v>91311</v>
      </c>
      <c r="AM207" s="474" t="s">
        <v>52</v>
      </c>
      <c r="AN207" s="384" t="s">
        <v>1074</v>
      </c>
      <c r="AO207" s="474" t="s">
        <v>1076</v>
      </c>
      <c r="AP207" s="482"/>
      <c r="AQ207" s="474" t="s">
        <v>37</v>
      </c>
      <c r="AR207" s="474"/>
      <c r="AS207" s="473"/>
      <c r="AT207" s="473"/>
      <c r="AU207" s="478"/>
      <c r="AV207" s="471">
        <f t="shared" si="38"/>
        <v>49401139</v>
      </c>
      <c r="AW207" s="471" cm="1">
        <f t="array" ref="AW207">SUM(MID(0&amp;AV207,LARGE(INDEX(ISNUMBER(--MID(AV207,ROW($1:$8),1))*ROW($1:$8),),ROW($1:$8))+1,1)*10^ROW($1:$8)/10)</f>
        <v>49401139</v>
      </c>
      <c r="AX207" s="471" t="str">
        <f>VLOOKUP($AW207,'Item Master Data'!$A:$F,3,FALSE)</f>
        <v>Q.PEAK DUO BLK ML G10.a+</v>
      </c>
      <c r="AY207" s="471">
        <f>VLOOKUP($AW207,'Item Master Data'!$A:$F,6,FALSE)</f>
        <v>395</v>
      </c>
      <c r="AZ207" s="471">
        <f t="shared" si="39"/>
        <v>24</v>
      </c>
      <c r="BA207" s="471">
        <f>VLOOKUP(AW207,'Item Master Data'!$A:$G,7,FALSE)</f>
        <v>32</v>
      </c>
      <c r="BB207" s="471"/>
      <c r="BC207" s="471">
        <f t="shared" si="40"/>
        <v>-35</v>
      </c>
    </row>
    <row r="208" spans="1:55">
      <c r="A208" s="495"/>
      <c r="B208" s="407"/>
      <c r="C208" s="407"/>
      <c r="D208" s="485" t="s">
        <v>86</v>
      </c>
      <c r="E208" s="474"/>
      <c r="F208" s="486"/>
      <c r="G208" s="380">
        <v>2022</v>
      </c>
      <c r="H208" s="474">
        <v>5</v>
      </c>
      <c r="I208" s="474"/>
      <c r="J208" s="475"/>
      <c r="K208" s="474" t="s">
        <v>1883</v>
      </c>
      <c r="L208" s="474" t="s">
        <v>1832</v>
      </c>
      <c r="M208" s="475">
        <v>44574</v>
      </c>
      <c r="N208" s="475">
        <v>44682</v>
      </c>
      <c r="O208" s="475">
        <v>44713</v>
      </c>
      <c r="P208" s="475"/>
      <c r="Q208" s="475"/>
      <c r="R208" s="475"/>
      <c r="S208" s="474" t="s">
        <v>1704</v>
      </c>
      <c r="T208" s="474">
        <v>60</v>
      </c>
      <c r="U208" s="486"/>
      <c r="V208" s="474" t="s">
        <v>986</v>
      </c>
      <c r="W208" s="474">
        <v>360</v>
      </c>
      <c r="X208" s="432">
        <v>768</v>
      </c>
      <c r="Y208" s="389">
        <f t="shared" si="32"/>
        <v>276480</v>
      </c>
      <c r="Z208" s="478">
        <f>180/360</f>
        <v>0.5</v>
      </c>
      <c r="AA208" s="480">
        <f t="shared" si="33"/>
        <v>138240</v>
      </c>
      <c r="AB208" s="480"/>
      <c r="AC208" s="481">
        <f>AB208*Y208</f>
        <v>0</v>
      </c>
      <c r="AD208" s="474"/>
      <c r="AE208" s="474"/>
      <c r="AF208" s="493">
        <f t="shared" si="42"/>
        <v>138240</v>
      </c>
      <c r="AG208" s="474" t="s">
        <v>1071</v>
      </c>
      <c r="AH208" s="474"/>
      <c r="AI208" s="474">
        <v>60</v>
      </c>
      <c r="AJ208" s="475" t="s">
        <v>1853</v>
      </c>
      <c r="AK208" s="475" t="s">
        <v>50</v>
      </c>
      <c r="AL208" s="483" t="s">
        <v>1854</v>
      </c>
      <c r="AM208" s="474" t="s">
        <v>52</v>
      </c>
      <c r="AN208" s="384" t="s">
        <v>1074</v>
      </c>
      <c r="AO208" s="474" t="s">
        <v>1076</v>
      </c>
      <c r="AP208" s="482"/>
      <c r="AQ208" s="474" t="s">
        <v>37</v>
      </c>
      <c r="AR208" s="474" t="s">
        <v>1216</v>
      </c>
      <c r="AS208" s="473" t="s">
        <v>1492</v>
      </c>
      <c r="AT208" s="473"/>
      <c r="AU208" s="478">
        <f>180/360</f>
        <v>0.5</v>
      </c>
      <c r="AV208" s="471">
        <f t="shared" si="38"/>
        <v>0</v>
      </c>
      <c r="AW208" s="471" cm="1">
        <f t="array" ref="AW208">SUM(MID(0&amp;AV208,LARGE(INDEX(ISNUMBER(--MID(AV208,ROW($1:$8),1))*ROW($1:$8),),ROW($1:$8))+1,1)*10^ROW($1:$8)/10)</f>
        <v>0</v>
      </c>
      <c r="AX208" s="471" t="e">
        <f>VLOOKUP($AW208,'Item Master Data'!$A:$F,3,FALSE)</f>
        <v>#N/A</v>
      </c>
      <c r="AY208" s="471" t="e">
        <f>VLOOKUP($AW208,'Item Master Data'!$A:$F,6,FALSE)</f>
        <v>#N/A</v>
      </c>
      <c r="AZ208" s="471" t="e">
        <f t="shared" si="39"/>
        <v>#N/A</v>
      </c>
      <c r="BA208" s="471" t="e">
        <f>VLOOKUP(AW208,'Item Master Data'!$A:$G,7,FALSE)</f>
        <v>#N/A</v>
      </c>
      <c r="BB208" s="471"/>
      <c r="BC208" s="471" t="e">
        <f t="shared" si="40"/>
        <v>#N/A</v>
      </c>
    </row>
    <row r="209" spans="1:55">
      <c r="A209" s="495"/>
      <c r="B209" s="407"/>
      <c r="C209" s="407"/>
      <c r="D209" s="485" t="s">
        <v>86</v>
      </c>
      <c r="E209" s="474"/>
      <c r="F209" s="486"/>
      <c r="G209" s="380">
        <v>2022</v>
      </c>
      <c r="H209" s="474">
        <v>5</v>
      </c>
      <c r="I209" s="474"/>
      <c r="J209" s="475"/>
      <c r="K209" s="474" t="s">
        <v>1876</v>
      </c>
      <c r="L209" s="474" t="s">
        <v>1832</v>
      </c>
      <c r="M209" s="475">
        <v>44574</v>
      </c>
      <c r="N209" s="475">
        <v>44682</v>
      </c>
      <c r="O209" s="475"/>
      <c r="P209" s="475"/>
      <c r="Q209" s="475"/>
      <c r="R209" s="475"/>
      <c r="S209" s="474" t="s">
        <v>1704</v>
      </c>
      <c r="T209" s="474">
        <v>60</v>
      </c>
      <c r="U209" s="486"/>
      <c r="V209" s="474" t="s">
        <v>1223</v>
      </c>
      <c r="W209" s="474">
        <v>360</v>
      </c>
      <c r="X209" s="432">
        <v>1456</v>
      </c>
      <c r="Y209" s="389">
        <f t="shared" si="32"/>
        <v>524160</v>
      </c>
      <c r="Z209" s="478">
        <f>284.4/360</f>
        <v>0.78999999999999992</v>
      </c>
      <c r="AA209" s="480">
        <f t="shared" si="33"/>
        <v>414086.39999999997</v>
      </c>
      <c r="AB209" s="480"/>
      <c r="AC209" s="481">
        <f>AB209*Y209</f>
        <v>0</v>
      </c>
      <c r="AD209" s="474"/>
      <c r="AE209" s="474"/>
      <c r="AF209" s="493">
        <f t="shared" si="42"/>
        <v>414086.39999999997</v>
      </c>
      <c r="AG209" s="474" t="s">
        <v>1071</v>
      </c>
      <c r="AH209" s="474"/>
      <c r="AI209" s="474">
        <v>60</v>
      </c>
      <c r="AJ209" s="475" t="s">
        <v>1853</v>
      </c>
      <c r="AK209" s="475" t="s">
        <v>50</v>
      </c>
      <c r="AL209" s="483" t="s">
        <v>1854</v>
      </c>
      <c r="AM209" s="474" t="s">
        <v>52</v>
      </c>
      <c r="AN209" s="384" t="s">
        <v>1074</v>
      </c>
      <c r="AO209" s="474" t="s">
        <v>1076</v>
      </c>
      <c r="AP209" s="482"/>
      <c r="AQ209" s="474" t="s">
        <v>37</v>
      </c>
      <c r="AR209" s="474" t="s">
        <v>1216</v>
      </c>
      <c r="AS209" s="473" t="s">
        <v>1492</v>
      </c>
      <c r="AT209" s="473"/>
      <c r="AU209" s="478">
        <f>284.4/360</f>
        <v>0.78999999999999992</v>
      </c>
      <c r="AV209" s="471">
        <f t="shared" si="38"/>
        <v>0</v>
      </c>
      <c r="AW209" s="471" cm="1">
        <f t="array" ref="AW209">SUM(MID(0&amp;AV209,LARGE(INDEX(ISNUMBER(--MID(AV209,ROW($1:$8),1))*ROW($1:$8),),ROW($1:$8))+1,1)*10^ROW($1:$8)/10)</f>
        <v>0</v>
      </c>
      <c r="AX209" s="471" t="e">
        <f>VLOOKUP($AW209,'Item Master Data'!$A:$F,3,FALSE)</f>
        <v>#N/A</v>
      </c>
      <c r="AY209" s="471" t="e">
        <f>VLOOKUP($AW209,'Item Master Data'!$A:$F,6,FALSE)</f>
        <v>#N/A</v>
      </c>
      <c r="AZ209" s="471" t="e">
        <f t="shared" si="39"/>
        <v>#N/A</v>
      </c>
      <c r="BA209" s="471" t="e">
        <f>VLOOKUP(AW209,'Item Master Data'!$A:$G,7,FALSE)</f>
        <v>#N/A</v>
      </c>
      <c r="BB209" s="471"/>
      <c r="BC209" s="471" t="e">
        <f t="shared" si="40"/>
        <v>#N/A</v>
      </c>
    </row>
    <row r="210" spans="1:55">
      <c r="A210" s="495"/>
      <c r="B210" s="495"/>
      <c r="C210" s="495"/>
      <c r="D210" s="474" t="s">
        <v>86</v>
      </c>
      <c r="E210" s="336"/>
      <c r="F210" s="474"/>
      <c r="G210" s="380">
        <v>2022</v>
      </c>
      <c r="H210" s="474">
        <v>5</v>
      </c>
      <c r="I210" s="474"/>
      <c r="J210" s="475"/>
      <c r="K210" s="474" t="s">
        <v>1942</v>
      </c>
      <c r="L210" s="474" t="s">
        <v>1842</v>
      </c>
      <c r="M210" s="475">
        <v>44558</v>
      </c>
      <c r="N210" s="475">
        <v>44648</v>
      </c>
      <c r="O210" s="475"/>
      <c r="P210" s="475"/>
      <c r="Q210" s="475"/>
      <c r="R210" s="474"/>
      <c r="S210" s="380" t="s">
        <v>1688</v>
      </c>
      <c r="T210" s="474">
        <v>60</v>
      </c>
      <c r="U210" s="474"/>
      <c r="V210" s="474" t="s">
        <v>1223</v>
      </c>
      <c r="W210" s="474">
        <v>360</v>
      </c>
      <c r="X210" s="432">
        <v>676</v>
      </c>
      <c r="Y210" s="389">
        <f t="shared" si="32"/>
        <v>243360</v>
      </c>
      <c r="Z210" s="478">
        <f>298.8/360</f>
        <v>0.83000000000000007</v>
      </c>
      <c r="AA210" s="479">
        <f t="shared" si="33"/>
        <v>201988.80000000002</v>
      </c>
      <c r="AB210" s="480"/>
      <c r="AC210" s="481">
        <f>AB210*Y210</f>
        <v>0</v>
      </c>
      <c r="AD210" s="474"/>
      <c r="AE210" s="474"/>
      <c r="AF210" s="493">
        <f t="shared" si="42"/>
        <v>201988.80000000002</v>
      </c>
      <c r="AG210" s="474" t="s">
        <v>1071</v>
      </c>
      <c r="AH210" s="474"/>
      <c r="AI210" s="474">
        <v>60</v>
      </c>
      <c r="AJ210" s="475" t="s">
        <v>1860</v>
      </c>
      <c r="AK210" s="475" t="s">
        <v>50</v>
      </c>
      <c r="AL210" s="483" t="s">
        <v>1870</v>
      </c>
      <c r="AM210" s="474" t="s">
        <v>52</v>
      </c>
      <c r="AN210" s="486"/>
      <c r="AO210" s="474" t="s">
        <v>1076</v>
      </c>
      <c r="AP210" s="474"/>
      <c r="AQ210" s="482" t="s">
        <v>37</v>
      </c>
      <c r="AR210" s="482" t="s">
        <v>1864</v>
      </c>
      <c r="AS210" s="473"/>
      <c r="AT210" s="346"/>
      <c r="AU210" s="478">
        <f>273.6/360</f>
        <v>0.76</v>
      </c>
      <c r="AV210" s="471">
        <f t="shared" si="38"/>
        <v>0</v>
      </c>
      <c r="AW210" s="471" cm="1">
        <f t="array" ref="AW210">SUM(MID(0&amp;AV210,LARGE(INDEX(ISNUMBER(--MID(AV210,ROW($1:$8),1))*ROW($1:$8),),ROW($1:$8))+1,1)*10^ROW($1:$8)/10)</f>
        <v>0</v>
      </c>
      <c r="AX210" s="471" t="e">
        <f>VLOOKUP($AW210,'Item Master Data'!$A:$F,3,FALSE)</f>
        <v>#N/A</v>
      </c>
      <c r="AY210" s="471" t="e">
        <f>VLOOKUP($AW210,'Item Master Data'!$A:$F,6,FALSE)</f>
        <v>#N/A</v>
      </c>
      <c r="AZ210" s="471" t="e">
        <f t="shared" si="39"/>
        <v>#N/A</v>
      </c>
      <c r="BA210" s="471" t="e">
        <f>VLOOKUP(AW210,'Item Master Data'!$A:$G,7,FALSE)</f>
        <v>#N/A</v>
      </c>
      <c r="BB210" s="471"/>
      <c r="BC210" s="471" t="e">
        <f t="shared" si="40"/>
        <v>#N/A</v>
      </c>
    </row>
    <row r="211" spans="1:55">
      <c r="A211" s="495"/>
      <c r="B211" s="407">
        <v>44589</v>
      </c>
      <c r="C211" s="407">
        <v>44589</v>
      </c>
      <c r="D211" s="485" t="s">
        <v>86</v>
      </c>
      <c r="E211" s="474"/>
      <c r="F211" s="486" t="s">
        <v>87</v>
      </c>
      <c r="G211" s="380">
        <v>2022</v>
      </c>
      <c r="H211" s="474">
        <v>5</v>
      </c>
      <c r="I211" s="474"/>
      <c r="J211" s="475"/>
      <c r="K211" s="474" t="s">
        <v>1919</v>
      </c>
      <c r="L211" s="474" t="s">
        <v>1842</v>
      </c>
      <c r="M211" s="475">
        <v>44924</v>
      </c>
      <c r="N211" s="475">
        <v>44710</v>
      </c>
      <c r="O211" s="475"/>
      <c r="P211" s="475"/>
      <c r="Q211" s="475"/>
      <c r="R211" s="475"/>
      <c r="S211" s="380" t="s">
        <v>88</v>
      </c>
      <c r="T211" s="474">
        <v>72</v>
      </c>
      <c r="U211" s="486">
        <v>49303156</v>
      </c>
      <c r="V211" s="474" t="s">
        <v>1070</v>
      </c>
      <c r="W211" s="474">
        <v>480</v>
      </c>
      <c r="X211" s="432">
        <v>638</v>
      </c>
      <c r="Y211" s="389">
        <f t="shared" si="32"/>
        <v>306240</v>
      </c>
      <c r="Z211" s="478">
        <f>225.6/480</f>
        <v>0.47</v>
      </c>
      <c r="AA211" s="480">
        <f t="shared" si="33"/>
        <v>143932.79999999999</v>
      </c>
      <c r="AB211" s="480"/>
      <c r="AC211" s="481">
        <v>0</v>
      </c>
      <c r="AD211" s="474"/>
      <c r="AE211" s="474"/>
      <c r="AF211" s="493">
        <v>157017.59999999998</v>
      </c>
      <c r="AG211" s="474" t="s">
        <v>1071</v>
      </c>
      <c r="AH211" s="474"/>
      <c r="AI211" s="474">
        <v>60</v>
      </c>
      <c r="AJ211" s="475" t="s">
        <v>1860</v>
      </c>
      <c r="AK211" s="475" t="s">
        <v>50</v>
      </c>
      <c r="AL211" s="483">
        <v>93703</v>
      </c>
      <c r="AM211" s="474" t="s">
        <v>52</v>
      </c>
      <c r="AN211" s="384" t="s">
        <v>1695</v>
      </c>
      <c r="AO211" s="474" t="s">
        <v>1076</v>
      </c>
      <c r="AP211" s="482"/>
      <c r="AQ211" s="474" t="s">
        <v>1086</v>
      </c>
      <c r="AR211" s="474"/>
      <c r="AS211" s="473" t="s">
        <v>1492</v>
      </c>
      <c r="AT211" s="346"/>
      <c r="AU211" s="478"/>
      <c r="AV211" s="471">
        <f t="shared" si="38"/>
        <v>49303156</v>
      </c>
      <c r="AW211" s="471" cm="1">
        <f t="array" ref="AW211">SUM(MID(0&amp;AV211,LARGE(INDEX(ISNUMBER(--MID(AV211,ROW($1:$8),1))*ROW($1:$8),),ROW($1:$8))+1,1)*10^ROW($1:$8)/10)</f>
        <v>49303156</v>
      </c>
      <c r="AX211" s="471" t="str">
        <f>VLOOKUP($AW211,'Item Master Data'!$A:$F,3,FALSE)</f>
        <v>Q.PEAK DUO XL G10 BFG</v>
      </c>
      <c r="AY211" s="471">
        <f>VLOOKUP($AW211,'Item Master Data'!$A:$F,6,FALSE)</f>
        <v>480</v>
      </c>
      <c r="AZ211" s="471">
        <f t="shared" si="39"/>
        <v>22</v>
      </c>
      <c r="BA211" s="471">
        <f>VLOOKUP(AW211,'Item Master Data'!$A:$G,7,FALSE)</f>
        <v>29</v>
      </c>
      <c r="BB211" s="471"/>
      <c r="BC211" s="471">
        <f t="shared" si="40"/>
        <v>0</v>
      </c>
    </row>
    <row r="212" spans="1:55">
      <c r="A212" s="495"/>
      <c r="B212" s="407">
        <v>44628</v>
      </c>
      <c r="C212" s="407">
        <v>44628</v>
      </c>
      <c r="D212" s="485" t="s">
        <v>86</v>
      </c>
      <c r="E212" s="474"/>
      <c r="F212" s="486"/>
      <c r="G212" s="380">
        <v>2022</v>
      </c>
      <c r="H212" s="474">
        <v>5</v>
      </c>
      <c r="I212" s="474"/>
      <c r="J212" s="475"/>
      <c r="K212" s="474" t="s">
        <v>1918</v>
      </c>
      <c r="L212" s="474" t="s">
        <v>1842</v>
      </c>
      <c r="M212" s="475">
        <v>44572</v>
      </c>
      <c r="N212" s="475">
        <v>44696</v>
      </c>
      <c r="O212" s="475"/>
      <c r="P212" s="475"/>
      <c r="Q212" s="475"/>
      <c r="R212" s="475"/>
      <c r="S212" s="474" t="s">
        <v>1688</v>
      </c>
      <c r="T212" s="474">
        <v>60</v>
      </c>
      <c r="U212" s="486"/>
      <c r="V212" s="474" t="s">
        <v>986</v>
      </c>
      <c r="W212" s="474">
        <v>360</v>
      </c>
      <c r="X212" s="432">
        <v>1664</v>
      </c>
      <c r="Y212" s="389">
        <f t="shared" si="32"/>
        <v>599040</v>
      </c>
      <c r="Z212" s="478">
        <f>190.8/360</f>
        <v>0.53</v>
      </c>
      <c r="AA212" s="480">
        <f t="shared" si="33"/>
        <v>317491.20000000001</v>
      </c>
      <c r="AB212" s="480"/>
      <c r="AC212" s="481">
        <v>0</v>
      </c>
      <c r="AD212" s="474"/>
      <c r="AE212" s="474"/>
      <c r="AF212" s="493">
        <f>AE212+AD212+AA212</f>
        <v>317491.20000000001</v>
      </c>
      <c r="AG212" s="474" t="s">
        <v>1071</v>
      </c>
      <c r="AH212" s="474"/>
      <c r="AI212" s="474">
        <v>60</v>
      </c>
      <c r="AJ212" s="475" t="s">
        <v>1860</v>
      </c>
      <c r="AK212" s="475" t="s">
        <v>50</v>
      </c>
      <c r="AL212" s="483" t="s">
        <v>1861</v>
      </c>
      <c r="AM212" s="474" t="s">
        <v>52</v>
      </c>
      <c r="AN212" s="384"/>
      <c r="AO212" s="474" t="s">
        <v>1076</v>
      </c>
      <c r="AP212" s="482"/>
      <c r="AQ212" s="474" t="s">
        <v>37</v>
      </c>
      <c r="AR212" s="474" t="s">
        <v>1216</v>
      </c>
      <c r="AS212" s="473" t="s">
        <v>1492</v>
      </c>
      <c r="AT212" s="473"/>
      <c r="AU212" s="478">
        <v>0.5</v>
      </c>
      <c r="AV212" s="471">
        <f t="shared" si="38"/>
        <v>0</v>
      </c>
      <c r="AW212" s="471" cm="1">
        <f t="array" ref="AW212">SUM(MID(0&amp;AV212,LARGE(INDEX(ISNUMBER(--MID(AV212,ROW($1:$8),1))*ROW($1:$8),),ROW($1:$8))+1,1)*10^ROW($1:$8)/10)</f>
        <v>0</v>
      </c>
      <c r="AX212" s="471" t="e">
        <f>VLOOKUP($AW212,'Item Master Data'!$A:$F,3,FALSE)</f>
        <v>#N/A</v>
      </c>
      <c r="AY212" s="471" t="e">
        <f>VLOOKUP($AW212,'Item Master Data'!$A:$F,6,FALSE)</f>
        <v>#N/A</v>
      </c>
      <c r="AZ212" s="471" t="e">
        <f t="shared" si="39"/>
        <v>#N/A</v>
      </c>
      <c r="BA212" s="471" t="e">
        <f>VLOOKUP(AW212,'Item Master Data'!$A:$G,7,FALSE)</f>
        <v>#N/A</v>
      </c>
      <c r="BB212" s="471"/>
      <c r="BC212" s="471" t="e">
        <f t="shared" si="40"/>
        <v>#N/A</v>
      </c>
    </row>
    <row r="213" spans="1:55">
      <c r="A213" s="495"/>
      <c r="B213" s="407">
        <v>44589</v>
      </c>
      <c r="C213" s="407">
        <v>44589</v>
      </c>
      <c r="D213" s="485" t="s">
        <v>86</v>
      </c>
      <c r="E213" s="474"/>
      <c r="F213" s="486" t="s">
        <v>87</v>
      </c>
      <c r="G213" s="380">
        <v>2022</v>
      </c>
      <c r="H213" s="474">
        <v>5</v>
      </c>
      <c r="I213" s="474"/>
      <c r="J213" s="475"/>
      <c r="K213" s="474" t="s">
        <v>1920</v>
      </c>
      <c r="L213" s="474" t="s">
        <v>1842</v>
      </c>
      <c r="M213" s="475">
        <v>44592</v>
      </c>
      <c r="N213" s="475">
        <v>44696</v>
      </c>
      <c r="O213" s="475"/>
      <c r="P213" s="475"/>
      <c r="Q213" s="475"/>
      <c r="R213" s="475"/>
      <c r="S213" s="474" t="s">
        <v>88</v>
      </c>
      <c r="T213" s="474">
        <v>72</v>
      </c>
      <c r="U213" s="486">
        <v>49303156</v>
      </c>
      <c r="V213" s="474" t="s">
        <v>995</v>
      </c>
      <c r="W213" s="474">
        <v>480</v>
      </c>
      <c r="X213" s="432">
        <v>638</v>
      </c>
      <c r="Y213" s="389">
        <f t="shared" si="32"/>
        <v>306240</v>
      </c>
      <c r="Z213" s="478">
        <f>235.2/480</f>
        <v>0.49</v>
      </c>
      <c r="AA213" s="480">
        <f t="shared" si="33"/>
        <v>150057.60000000001</v>
      </c>
      <c r="AB213" s="480"/>
      <c r="AC213" s="481">
        <v>0</v>
      </c>
      <c r="AD213" s="474"/>
      <c r="AE213" s="474"/>
      <c r="AF213" s="493">
        <v>157017.59999999998</v>
      </c>
      <c r="AG213" s="474" t="s">
        <v>1071</v>
      </c>
      <c r="AH213" s="474"/>
      <c r="AI213" s="474">
        <v>60</v>
      </c>
      <c r="AJ213" s="475" t="s">
        <v>1860</v>
      </c>
      <c r="AK213" s="475" t="s">
        <v>50</v>
      </c>
      <c r="AL213" s="483">
        <v>93703</v>
      </c>
      <c r="AM213" s="474" t="s">
        <v>52</v>
      </c>
      <c r="AN213" s="384" t="s">
        <v>1695</v>
      </c>
      <c r="AO213" s="474" t="s">
        <v>1076</v>
      </c>
      <c r="AP213" s="482"/>
      <c r="AQ213" s="474" t="s">
        <v>37</v>
      </c>
      <c r="AR213" s="474"/>
      <c r="AS213" s="473" t="s">
        <v>1492</v>
      </c>
      <c r="AT213" s="473"/>
      <c r="AU213" s="478"/>
      <c r="AV213" s="471">
        <f t="shared" si="38"/>
        <v>49303156</v>
      </c>
      <c r="AW213" s="471" cm="1">
        <f t="array" ref="AW213">SUM(MID(0&amp;AV213,LARGE(INDEX(ISNUMBER(--MID(AV213,ROW($1:$8),1))*ROW($1:$8),),ROW($1:$8))+1,1)*10^ROW($1:$8)/10)</f>
        <v>49303156</v>
      </c>
      <c r="AX213" s="471" t="str">
        <f>VLOOKUP($AW213,'Item Master Data'!$A:$F,3,FALSE)</f>
        <v>Q.PEAK DUO XL G10 BFG</v>
      </c>
      <c r="AY213" s="471">
        <f>VLOOKUP($AW213,'Item Master Data'!$A:$F,6,FALSE)</f>
        <v>480</v>
      </c>
      <c r="AZ213" s="471">
        <f t="shared" si="39"/>
        <v>22</v>
      </c>
      <c r="BA213" s="471">
        <f>VLOOKUP(AW213,'Item Master Data'!$A:$G,7,FALSE)</f>
        <v>29</v>
      </c>
      <c r="BB213" s="471"/>
      <c r="BC213" s="471">
        <f t="shared" si="40"/>
        <v>0</v>
      </c>
    </row>
    <row r="214" spans="1:55">
      <c r="A214" s="495"/>
      <c r="B214" s="495"/>
      <c r="C214" s="495"/>
      <c r="D214" s="474" t="s">
        <v>86</v>
      </c>
      <c r="E214" s="651" t="s">
        <v>5619</v>
      </c>
      <c r="F214" s="474"/>
      <c r="G214" s="380">
        <v>2022</v>
      </c>
      <c r="H214" s="474">
        <v>5</v>
      </c>
      <c r="I214" s="486"/>
      <c r="J214" s="475"/>
      <c r="K214" s="474" t="s">
        <v>1926</v>
      </c>
      <c r="L214" s="474" t="s">
        <v>1842</v>
      </c>
      <c r="M214" s="475">
        <v>44595</v>
      </c>
      <c r="N214" s="475">
        <v>44595</v>
      </c>
      <c r="O214" s="475"/>
      <c r="P214" s="475" t="s">
        <v>1445</v>
      </c>
      <c r="Q214" s="475"/>
      <c r="R214" s="475"/>
      <c r="S214" s="474" t="s">
        <v>1688</v>
      </c>
      <c r="T214" s="474">
        <v>60</v>
      </c>
      <c r="U214" s="486" t="s">
        <v>1281</v>
      </c>
      <c r="V214" s="486" t="s">
        <v>973</v>
      </c>
      <c r="W214" s="474">
        <v>400</v>
      </c>
      <c r="X214" s="432">
        <v>832</v>
      </c>
      <c r="Y214" s="389">
        <f t="shared" si="32"/>
        <v>332800</v>
      </c>
      <c r="Z214" s="478">
        <f>220/400</f>
        <v>0.55000000000000004</v>
      </c>
      <c r="AA214" s="479">
        <f t="shared" si="33"/>
        <v>183040.00000000003</v>
      </c>
      <c r="AB214" s="480"/>
      <c r="AC214" s="481">
        <f>AB214*Y214</f>
        <v>0</v>
      </c>
      <c r="AD214" s="474"/>
      <c r="AE214" s="482"/>
      <c r="AF214" s="493">
        <f>AE214+AD214+AA214</f>
        <v>183040.00000000003</v>
      </c>
      <c r="AG214" s="486" t="s">
        <v>1071</v>
      </c>
      <c r="AH214" s="486"/>
      <c r="AI214" s="486">
        <v>60</v>
      </c>
      <c r="AJ214" s="475" t="s">
        <v>1860</v>
      </c>
      <c r="AK214" s="486" t="s">
        <v>50</v>
      </c>
      <c r="AL214" s="483" t="s">
        <v>1861</v>
      </c>
      <c r="AM214" s="486" t="s">
        <v>52</v>
      </c>
      <c r="AN214" s="474" t="s">
        <v>50</v>
      </c>
      <c r="AO214" s="474" t="s">
        <v>1076</v>
      </c>
      <c r="AP214" s="482" t="s">
        <v>92</v>
      </c>
      <c r="AQ214" s="482" t="s">
        <v>37</v>
      </c>
      <c r="AR214" s="482" t="s">
        <v>1216</v>
      </c>
      <c r="AS214" s="472" t="s">
        <v>1492</v>
      </c>
      <c r="AT214" s="472"/>
      <c r="AU214" s="478">
        <f>180/360</f>
        <v>0.5</v>
      </c>
      <c r="AV214" s="471" t="str">
        <f t="shared" si="38"/>
        <v>30390456H</v>
      </c>
      <c r="AW214" s="471" cm="1">
        <f t="array" ref="AW214">SUM(MID(0&amp;AV214,LARGE(INDEX(ISNUMBER(--MID(AV214,ROW($1:$8),1))*ROW($1:$8),),ROW($1:$8))+1,1)*10^ROW($1:$8)/10)</f>
        <v>30390456</v>
      </c>
      <c r="AX214" s="471" t="str">
        <f>VLOOKUP($AW214,'Item Master Data'!$A:$F,3,FALSE)</f>
        <v>Q.PEAK DUO BLK ML G10+</v>
      </c>
      <c r="AY214" s="471">
        <f>VLOOKUP($AW214,'Item Master Data'!$A:$F,6,FALSE)</f>
        <v>400</v>
      </c>
      <c r="AZ214" s="471">
        <f t="shared" si="39"/>
        <v>26</v>
      </c>
      <c r="BA214" s="471">
        <f>VLOOKUP(AW214,'Item Master Data'!$A:$G,7,FALSE)</f>
        <v>32</v>
      </c>
      <c r="BB214" s="471"/>
      <c r="BC214" s="471">
        <f t="shared" si="40"/>
        <v>0</v>
      </c>
    </row>
    <row r="215" spans="1:55">
      <c r="A215" s="495"/>
      <c r="B215" s="407">
        <v>44677</v>
      </c>
      <c r="C215" s="407">
        <v>44677</v>
      </c>
      <c r="D215" s="485" t="s">
        <v>86</v>
      </c>
      <c r="E215" s="383" t="s">
        <v>5620</v>
      </c>
      <c r="F215" s="486"/>
      <c r="G215" s="380">
        <v>2022</v>
      </c>
      <c r="H215" s="474">
        <v>5</v>
      </c>
      <c r="I215" s="474"/>
      <c r="J215" s="475"/>
      <c r="K215" s="474" t="s">
        <v>2027</v>
      </c>
      <c r="L215" s="474" t="s">
        <v>1878</v>
      </c>
      <c r="M215" s="475">
        <v>44567</v>
      </c>
      <c r="N215" s="475">
        <v>44708</v>
      </c>
      <c r="O215" s="475"/>
      <c r="P215" s="475">
        <v>44678</v>
      </c>
      <c r="Q215" s="475"/>
      <c r="R215" s="475"/>
      <c r="S215" s="474" t="s">
        <v>1688</v>
      </c>
      <c r="T215" s="474">
        <v>60</v>
      </c>
      <c r="U215" s="486" t="s">
        <v>1281</v>
      </c>
      <c r="V215" s="474" t="s">
        <v>973</v>
      </c>
      <c r="W215" s="474">
        <v>400</v>
      </c>
      <c r="X215" s="432">
        <v>768</v>
      </c>
      <c r="Y215" s="389">
        <f t="shared" si="32"/>
        <v>307200</v>
      </c>
      <c r="Z215" s="478">
        <f>228/400</f>
        <v>0.56999999999999995</v>
      </c>
      <c r="AA215" s="480">
        <f t="shared" si="33"/>
        <v>175103.99999999997</v>
      </c>
      <c r="AB215" s="480"/>
      <c r="AC215" s="481">
        <f>AB215*Y215</f>
        <v>0</v>
      </c>
      <c r="AD215" s="474"/>
      <c r="AE215" s="474"/>
      <c r="AF215" s="493">
        <f>AE215+AD215+AA215</f>
        <v>175103.99999999997</v>
      </c>
      <c r="AG215" s="474" t="s">
        <v>1071</v>
      </c>
      <c r="AH215" s="474"/>
      <c r="AI215" s="474">
        <v>60</v>
      </c>
      <c r="AJ215" s="475" t="s">
        <v>1880</v>
      </c>
      <c r="AK215" s="475" t="s">
        <v>1679</v>
      </c>
      <c r="AL215" s="483" t="s">
        <v>1881</v>
      </c>
      <c r="AM215" s="474" t="s">
        <v>52</v>
      </c>
      <c r="AN215" s="474" t="s">
        <v>50</v>
      </c>
      <c r="AO215" s="474" t="s">
        <v>1076</v>
      </c>
      <c r="AP215" s="482" t="s">
        <v>92</v>
      </c>
      <c r="AQ215" s="474" t="s">
        <v>37</v>
      </c>
      <c r="AR215" s="474" t="s">
        <v>1890</v>
      </c>
      <c r="AS215" s="473" t="s">
        <v>1075</v>
      </c>
      <c r="AT215" s="473"/>
      <c r="AU215" s="478">
        <f>216/400</f>
        <v>0.54</v>
      </c>
      <c r="AV215" s="471" t="str">
        <f t="shared" si="38"/>
        <v>30390456H</v>
      </c>
      <c r="AW215" s="471" cm="1">
        <f t="array" ref="AW215">SUM(MID(0&amp;AV215,LARGE(INDEX(ISNUMBER(--MID(AV215,ROW($1:$8),1))*ROW($1:$8),),ROW($1:$8))+1,1)*10^ROW($1:$8)/10)</f>
        <v>30390456</v>
      </c>
      <c r="AX215" s="471" t="str">
        <f>VLOOKUP($AW215,'Item Master Data'!$A:$F,3,FALSE)</f>
        <v>Q.PEAK DUO BLK ML G10+</v>
      </c>
      <c r="AY215" s="471">
        <f>VLOOKUP($AW215,'Item Master Data'!$A:$F,6,FALSE)</f>
        <v>400</v>
      </c>
      <c r="AZ215" s="471">
        <f t="shared" si="39"/>
        <v>24</v>
      </c>
      <c r="BA215" s="471">
        <f>VLOOKUP(AW215,'Item Master Data'!$A:$G,7,FALSE)</f>
        <v>32</v>
      </c>
      <c r="BB215" s="471"/>
      <c r="BC215" s="471">
        <f t="shared" si="40"/>
        <v>0</v>
      </c>
    </row>
    <row r="216" spans="1:55">
      <c r="A216" s="495"/>
      <c r="B216" s="407">
        <v>44662</v>
      </c>
      <c r="C216" s="407">
        <v>44662</v>
      </c>
      <c r="D216" s="485" t="s">
        <v>86</v>
      </c>
      <c r="E216" s="474" t="s">
        <v>1901</v>
      </c>
      <c r="F216" s="486"/>
      <c r="G216" s="380">
        <v>2022</v>
      </c>
      <c r="H216" s="474">
        <v>5</v>
      </c>
      <c r="I216" s="474"/>
      <c r="J216" s="475"/>
      <c r="K216" s="474" t="s">
        <v>1902</v>
      </c>
      <c r="L216" s="474" t="s">
        <v>1878</v>
      </c>
      <c r="M216" s="475">
        <v>44657</v>
      </c>
      <c r="N216" s="475">
        <v>44657</v>
      </c>
      <c r="O216" s="475"/>
      <c r="P216" s="475" t="s">
        <v>1903</v>
      </c>
      <c r="Q216" s="475"/>
      <c r="R216" s="475"/>
      <c r="S216" s="474" t="s">
        <v>1688</v>
      </c>
      <c r="T216" s="474">
        <v>72</v>
      </c>
      <c r="U216" s="486"/>
      <c r="V216" s="519" t="s">
        <v>1070</v>
      </c>
      <c r="W216" s="474">
        <v>480</v>
      </c>
      <c r="X216" s="432">
        <v>638</v>
      </c>
      <c r="Y216" s="389">
        <f t="shared" si="32"/>
        <v>306240</v>
      </c>
      <c r="Z216" s="478">
        <f>252/480</f>
        <v>0.52500000000000002</v>
      </c>
      <c r="AA216" s="480">
        <f t="shared" si="33"/>
        <v>160776</v>
      </c>
      <c r="AB216" s="480"/>
      <c r="AC216" s="481">
        <f>AB216*Y216</f>
        <v>0</v>
      </c>
      <c r="AD216" s="474"/>
      <c r="AE216" s="474"/>
      <c r="AF216" s="493">
        <f>AE216+AD216+AA216</f>
        <v>160776</v>
      </c>
      <c r="AG216" s="474" t="s">
        <v>1071</v>
      </c>
      <c r="AH216" s="474"/>
      <c r="AI216" s="474">
        <v>60</v>
      </c>
      <c r="AJ216" s="475" t="s">
        <v>1880</v>
      </c>
      <c r="AK216" s="475" t="s">
        <v>1679</v>
      </c>
      <c r="AL216" s="483" t="s">
        <v>1881</v>
      </c>
      <c r="AM216" s="474" t="s">
        <v>52</v>
      </c>
      <c r="AN216" s="384" t="s">
        <v>1074</v>
      </c>
      <c r="AO216" s="474" t="s">
        <v>1076</v>
      </c>
      <c r="AP216" s="482"/>
      <c r="AQ216" s="474" t="s">
        <v>37</v>
      </c>
      <c r="AR216" s="474" t="s">
        <v>1890</v>
      </c>
      <c r="AS216" s="473" t="s">
        <v>1075</v>
      </c>
      <c r="AT216" s="473"/>
      <c r="AU216" s="478">
        <f>187.2/360</f>
        <v>0.52</v>
      </c>
      <c r="AV216" s="471">
        <f t="shared" si="38"/>
        <v>0</v>
      </c>
      <c r="AW216" s="471" cm="1">
        <f t="array" ref="AW216">SUM(MID(0&amp;AV216,LARGE(INDEX(ISNUMBER(--MID(AV216,ROW($1:$8),1))*ROW($1:$8),),ROW($1:$8))+1,1)*10^ROW($1:$8)/10)</f>
        <v>0</v>
      </c>
      <c r="AX216" s="471" t="e">
        <f>VLOOKUP($AW216,'Item Master Data'!$A:$F,3,FALSE)</f>
        <v>#N/A</v>
      </c>
      <c r="AY216" s="471" t="e">
        <f>VLOOKUP($AW216,'Item Master Data'!$A:$F,6,FALSE)</f>
        <v>#N/A</v>
      </c>
      <c r="AZ216" s="471" t="e">
        <f t="shared" si="39"/>
        <v>#N/A</v>
      </c>
      <c r="BA216" s="471" t="e">
        <f>VLOOKUP(AW216,'Item Master Data'!$A:$G,7,FALSE)</f>
        <v>#N/A</v>
      </c>
      <c r="BB216" s="471"/>
      <c r="BC216" s="471" t="e">
        <f t="shared" si="40"/>
        <v>#N/A</v>
      </c>
    </row>
    <row r="217" spans="1:55">
      <c r="A217" s="495"/>
      <c r="B217" s="407">
        <v>44677</v>
      </c>
      <c r="C217" s="407">
        <v>44656</v>
      </c>
      <c r="D217" s="485" t="s">
        <v>86</v>
      </c>
      <c r="E217" s="474"/>
      <c r="F217" s="486"/>
      <c r="G217" s="380">
        <v>2022</v>
      </c>
      <c r="H217" s="474">
        <v>5</v>
      </c>
      <c r="I217" s="474"/>
      <c r="J217" s="475"/>
      <c r="K217" s="474" t="s">
        <v>2033</v>
      </c>
      <c r="L217" s="474" t="s">
        <v>1905</v>
      </c>
      <c r="M217" s="475">
        <v>44538</v>
      </c>
      <c r="N217" s="475">
        <v>44634</v>
      </c>
      <c r="O217" s="475"/>
      <c r="P217" s="475">
        <v>44678</v>
      </c>
      <c r="Q217" s="475"/>
      <c r="R217" s="475"/>
      <c r="S217" s="474" t="s">
        <v>1704</v>
      </c>
      <c r="T217" s="474">
        <v>60</v>
      </c>
      <c r="U217" s="486" t="s">
        <v>1281</v>
      </c>
      <c r="V217" s="474" t="s">
        <v>973</v>
      </c>
      <c r="W217" s="474">
        <v>400</v>
      </c>
      <c r="X217" s="432">
        <v>768</v>
      </c>
      <c r="Y217" s="389">
        <f t="shared" si="32"/>
        <v>307200</v>
      </c>
      <c r="Z217" s="478">
        <f>220/400</f>
        <v>0.55000000000000004</v>
      </c>
      <c r="AA217" s="480">
        <f t="shared" si="33"/>
        <v>168960</v>
      </c>
      <c r="AB217" s="480"/>
      <c r="AC217" s="481"/>
      <c r="AD217" s="474"/>
      <c r="AE217" s="474"/>
      <c r="AF217" s="493">
        <f>AE217+AD217+AA217</f>
        <v>168960</v>
      </c>
      <c r="AG217" s="474" t="s">
        <v>1071</v>
      </c>
      <c r="AH217" s="474"/>
      <c r="AI217" s="474">
        <v>60</v>
      </c>
      <c r="AJ217" s="475" t="s">
        <v>1906</v>
      </c>
      <c r="AK217" s="475" t="s">
        <v>1417</v>
      </c>
      <c r="AL217" s="483">
        <v>83202</v>
      </c>
      <c r="AM217" s="474" t="s">
        <v>52</v>
      </c>
      <c r="AN217" s="474" t="s">
        <v>50</v>
      </c>
      <c r="AO217" s="474" t="s">
        <v>1076</v>
      </c>
      <c r="AP217" s="482" t="s">
        <v>92</v>
      </c>
      <c r="AQ217" s="474" t="s">
        <v>37</v>
      </c>
      <c r="AR217" s="474" t="s">
        <v>1288</v>
      </c>
      <c r="AS217" s="473"/>
      <c r="AT217" s="473"/>
      <c r="AU217" s="478">
        <f>196/400</f>
        <v>0.49</v>
      </c>
      <c r="AV217" s="471" t="str">
        <f t="shared" si="38"/>
        <v>30390456H</v>
      </c>
      <c r="AW217" s="471" cm="1">
        <f t="array" ref="AW217">SUM(MID(0&amp;AV217,LARGE(INDEX(ISNUMBER(--MID(AV217,ROW($1:$8),1))*ROW($1:$8),),ROW($1:$8))+1,1)*10^ROW($1:$8)/10)</f>
        <v>30390456</v>
      </c>
      <c r="AX217" s="471" t="str">
        <f>VLOOKUP($AW217,'Item Master Data'!$A:$F,3,FALSE)</f>
        <v>Q.PEAK DUO BLK ML G10+</v>
      </c>
      <c r="AY217" s="471">
        <f>VLOOKUP($AW217,'Item Master Data'!$A:$F,6,FALSE)</f>
        <v>400</v>
      </c>
      <c r="AZ217" s="471">
        <f t="shared" si="39"/>
        <v>24</v>
      </c>
      <c r="BA217" s="471">
        <f>VLOOKUP(AW217,'Item Master Data'!$A:$G,7,FALSE)</f>
        <v>32</v>
      </c>
      <c r="BB217" s="471"/>
      <c r="BC217" s="471">
        <f t="shared" si="40"/>
        <v>0</v>
      </c>
    </row>
    <row r="218" spans="1:55">
      <c r="A218" s="495"/>
      <c r="B218" s="407">
        <v>44628</v>
      </c>
      <c r="C218" s="495"/>
      <c r="D218" s="474" t="s">
        <v>86</v>
      </c>
      <c r="E218" s="336"/>
      <c r="F218" s="474"/>
      <c r="G218" s="380">
        <v>2022</v>
      </c>
      <c r="H218" s="474">
        <v>5</v>
      </c>
      <c r="I218" s="486"/>
      <c r="J218" s="475"/>
      <c r="K218" s="474" t="s">
        <v>1909</v>
      </c>
      <c r="L218" s="474" t="s">
        <v>1895</v>
      </c>
      <c r="M218" s="475">
        <v>44588</v>
      </c>
      <c r="N218" s="475">
        <v>44647</v>
      </c>
      <c r="O218" s="475"/>
      <c r="P218" s="475"/>
      <c r="Q218" s="475"/>
      <c r="R218" s="475"/>
      <c r="S218" s="474" t="s">
        <v>1704</v>
      </c>
      <c r="T218" s="474">
        <v>60</v>
      </c>
      <c r="U218" s="474"/>
      <c r="V218" s="486" t="s">
        <v>1223</v>
      </c>
      <c r="W218" s="474">
        <v>360</v>
      </c>
      <c r="X218" s="432">
        <v>676</v>
      </c>
      <c r="Y218" s="389">
        <f t="shared" ref="Y218:Y281" si="43">W218*X218</f>
        <v>243360</v>
      </c>
      <c r="Z218" s="478">
        <v>0.83000000000000007</v>
      </c>
      <c r="AA218" s="479">
        <v>403977.60000000003</v>
      </c>
      <c r="AB218" s="480"/>
      <c r="AC218" s="481">
        <v>0</v>
      </c>
      <c r="AD218" s="474"/>
      <c r="AE218" s="482"/>
      <c r="AF218" s="493">
        <v>403977.60000000003</v>
      </c>
      <c r="AG218" s="486" t="s">
        <v>1071</v>
      </c>
      <c r="AH218" s="486"/>
      <c r="AI218" s="486">
        <v>60</v>
      </c>
      <c r="AJ218" s="475" t="s">
        <v>1899</v>
      </c>
      <c r="AK218" s="486" t="s">
        <v>1823</v>
      </c>
      <c r="AL218" s="483" t="s">
        <v>1900</v>
      </c>
      <c r="AM218" s="486" t="s">
        <v>52</v>
      </c>
      <c r="AN218" s="384" t="s">
        <v>1074</v>
      </c>
      <c r="AO218" s="474" t="s">
        <v>1076</v>
      </c>
      <c r="AP218" s="482"/>
      <c r="AQ218" s="482" t="s">
        <v>37</v>
      </c>
      <c r="AR218" s="482" t="s">
        <v>1216</v>
      </c>
      <c r="AS218" s="472" t="s">
        <v>1492</v>
      </c>
      <c r="AT218" s="472"/>
      <c r="AU218" s="478">
        <v>0.52</v>
      </c>
      <c r="AV218" s="471">
        <f t="shared" si="38"/>
        <v>0</v>
      </c>
      <c r="AW218" s="471" cm="1">
        <f t="array" ref="AW218">SUM(MID(0&amp;AV218,LARGE(INDEX(ISNUMBER(--MID(AV218,ROW($1:$8),1))*ROW($1:$8),),ROW($1:$8))+1,1)*10^ROW($1:$8)/10)</f>
        <v>0</v>
      </c>
      <c r="AX218" s="471" t="e">
        <f>VLOOKUP($AW218,'Item Master Data'!$A:$F,3,FALSE)</f>
        <v>#N/A</v>
      </c>
      <c r="AY218" s="471" t="e">
        <f>VLOOKUP($AW218,'Item Master Data'!$A:$F,6,FALSE)</f>
        <v>#N/A</v>
      </c>
      <c r="AZ218" s="471" t="e">
        <f t="shared" si="39"/>
        <v>#N/A</v>
      </c>
      <c r="BA218" s="471" t="e">
        <f>VLOOKUP(AW218,'Item Master Data'!$A:$G,7,FALSE)</f>
        <v>#N/A</v>
      </c>
      <c r="BB218" s="471"/>
      <c r="BC218" s="471" t="e">
        <f t="shared" si="40"/>
        <v>#N/A</v>
      </c>
    </row>
    <row r="219" spans="1:55">
      <c r="A219" s="495"/>
      <c r="B219" s="407">
        <v>44628</v>
      </c>
      <c r="C219" s="495"/>
      <c r="D219" s="474" t="s">
        <v>86</v>
      </c>
      <c r="E219" s="336" t="s">
        <v>5619</v>
      </c>
      <c r="F219" s="474"/>
      <c r="G219" s="380">
        <v>2022</v>
      </c>
      <c r="H219" s="474">
        <v>5</v>
      </c>
      <c r="I219" s="486"/>
      <c r="J219" s="475"/>
      <c r="K219" s="474" t="s">
        <v>2039</v>
      </c>
      <c r="L219" s="474" t="s">
        <v>1895</v>
      </c>
      <c r="M219" s="475">
        <v>44588</v>
      </c>
      <c r="N219" s="475">
        <v>44678</v>
      </c>
      <c r="O219" s="475"/>
      <c r="P219" s="475">
        <v>44678</v>
      </c>
      <c r="Q219" s="475"/>
      <c r="R219" s="475"/>
      <c r="S219" s="474" t="s">
        <v>1704</v>
      </c>
      <c r="T219" s="474">
        <v>60</v>
      </c>
      <c r="U219" s="486" t="s">
        <v>1281</v>
      </c>
      <c r="V219" s="486" t="s">
        <v>973</v>
      </c>
      <c r="W219" s="474">
        <v>400</v>
      </c>
      <c r="X219" s="432">
        <v>768</v>
      </c>
      <c r="Y219" s="389">
        <f t="shared" si="43"/>
        <v>307200</v>
      </c>
      <c r="Z219" s="478">
        <v>0.55000000000000004</v>
      </c>
      <c r="AA219" s="479">
        <v>168960</v>
      </c>
      <c r="AB219" s="480"/>
      <c r="AC219" s="481">
        <v>0</v>
      </c>
      <c r="AD219" s="474"/>
      <c r="AE219" s="482"/>
      <c r="AF219" s="493">
        <v>168960</v>
      </c>
      <c r="AG219" s="486" t="s">
        <v>1071</v>
      </c>
      <c r="AH219" s="486"/>
      <c r="AI219" s="486">
        <v>60</v>
      </c>
      <c r="AJ219" s="475" t="s">
        <v>1896</v>
      </c>
      <c r="AK219" s="486" t="s">
        <v>1823</v>
      </c>
      <c r="AL219" s="483" t="s">
        <v>1897</v>
      </c>
      <c r="AM219" s="486" t="s">
        <v>52</v>
      </c>
      <c r="AN219" s="474" t="s">
        <v>50</v>
      </c>
      <c r="AO219" s="474" t="s">
        <v>1076</v>
      </c>
      <c r="AP219" s="482" t="s">
        <v>92</v>
      </c>
      <c r="AQ219" s="482" t="s">
        <v>37</v>
      </c>
      <c r="AR219" s="482" t="s">
        <v>1216</v>
      </c>
      <c r="AS219" s="472" t="s">
        <v>1492</v>
      </c>
      <c r="AT219" s="472"/>
      <c r="AU219" s="478">
        <v>0.52</v>
      </c>
      <c r="AV219" s="471" t="str">
        <f t="shared" si="38"/>
        <v>30390456H</v>
      </c>
      <c r="AW219" s="471" cm="1">
        <f t="array" ref="AW219">SUM(MID(0&amp;AV219,LARGE(INDEX(ISNUMBER(--MID(AV219,ROW($1:$8),1))*ROW($1:$8),),ROW($1:$8))+1,1)*10^ROW($1:$8)/10)</f>
        <v>30390456</v>
      </c>
      <c r="AX219" s="471" t="str">
        <f>VLOOKUP($AW219,'Item Master Data'!$A:$F,3,FALSE)</f>
        <v>Q.PEAK DUO BLK ML G10+</v>
      </c>
      <c r="AY219" s="471">
        <f>VLOOKUP($AW219,'Item Master Data'!$A:$F,6,FALSE)</f>
        <v>400</v>
      </c>
      <c r="AZ219" s="471">
        <f t="shared" si="39"/>
        <v>24</v>
      </c>
      <c r="BA219" s="471">
        <f>VLOOKUP(AW219,'Item Master Data'!$A:$G,7,FALSE)</f>
        <v>32</v>
      </c>
      <c r="BB219" s="471"/>
      <c r="BC219" s="471">
        <f t="shared" si="40"/>
        <v>0</v>
      </c>
    </row>
    <row r="220" spans="1:55">
      <c r="A220" s="495"/>
      <c r="B220" s="407">
        <v>44628</v>
      </c>
      <c r="C220" s="495"/>
      <c r="D220" s="474" t="s">
        <v>86</v>
      </c>
      <c r="E220" s="336"/>
      <c r="F220" s="474"/>
      <c r="G220" s="380">
        <v>2022</v>
      </c>
      <c r="H220" s="474">
        <v>5</v>
      </c>
      <c r="I220" s="486"/>
      <c r="J220" s="475"/>
      <c r="K220" s="474" t="s">
        <v>2039</v>
      </c>
      <c r="L220" s="474" t="s">
        <v>1895</v>
      </c>
      <c r="M220" s="475">
        <v>44588</v>
      </c>
      <c r="N220" s="475">
        <v>44678</v>
      </c>
      <c r="O220" s="475"/>
      <c r="P220" s="475"/>
      <c r="Q220" s="475"/>
      <c r="R220" s="475"/>
      <c r="S220" s="474" t="s">
        <v>1704</v>
      </c>
      <c r="T220" s="474">
        <v>60</v>
      </c>
      <c r="U220" s="474"/>
      <c r="V220" s="486" t="s">
        <v>1223</v>
      </c>
      <c r="W220" s="474">
        <v>360</v>
      </c>
      <c r="X220" s="432">
        <v>676</v>
      </c>
      <c r="Y220" s="389">
        <f t="shared" si="43"/>
        <v>243360</v>
      </c>
      <c r="Z220" s="478">
        <v>0.83000000000000007</v>
      </c>
      <c r="AA220" s="479">
        <v>403977.60000000003</v>
      </c>
      <c r="AB220" s="480"/>
      <c r="AC220" s="481">
        <v>0</v>
      </c>
      <c r="AD220" s="474"/>
      <c r="AE220" s="482"/>
      <c r="AF220" s="493">
        <v>403977.60000000003</v>
      </c>
      <c r="AG220" s="486" t="s">
        <v>1071</v>
      </c>
      <c r="AH220" s="486"/>
      <c r="AI220" s="486">
        <v>60</v>
      </c>
      <c r="AJ220" s="475" t="s">
        <v>1899</v>
      </c>
      <c r="AK220" s="486" t="s">
        <v>1823</v>
      </c>
      <c r="AL220" s="483" t="s">
        <v>1900</v>
      </c>
      <c r="AM220" s="486" t="s">
        <v>52</v>
      </c>
      <c r="AN220" s="384" t="s">
        <v>1074</v>
      </c>
      <c r="AO220" s="474" t="s">
        <v>1076</v>
      </c>
      <c r="AP220" s="482"/>
      <c r="AQ220" s="482" t="s">
        <v>37</v>
      </c>
      <c r="AR220" s="482" t="s">
        <v>1216</v>
      </c>
      <c r="AS220" s="472" t="s">
        <v>1492</v>
      </c>
      <c r="AT220" s="472"/>
      <c r="AU220" s="478">
        <v>0.52</v>
      </c>
      <c r="AV220" s="471">
        <f t="shared" si="38"/>
        <v>0</v>
      </c>
      <c r="AW220" s="471" cm="1">
        <f t="array" ref="AW220">SUM(MID(0&amp;AV220,LARGE(INDEX(ISNUMBER(--MID(AV220,ROW($1:$8),1))*ROW($1:$8),),ROW($1:$8))+1,1)*10^ROW($1:$8)/10)</f>
        <v>0</v>
      </c>
      <c r="AX220" s="471" t="e">
        <f>VLOOKUP($AW220,'Item Master Data'!$A:$F,3,FALSE)</f>
        <v>#N/A</v>
      </c>
      <c r="AY220" s="471" t="e">
        <f>VLOOKUP($AW220,'Item Master Data'!$A:$F,6,FALSE)</f>
        <v>#N/A</v>
      </c>
      <c r="AZ220" s="471" t="e">
        <f t="shared" si="39"/>
        <v>#N/A</v>
      </c>
      <c r="BA220" s="471" t="e">
        <f>VLOOKUP(AW220,'Item Master Data'!$A:$G,7,FALSE)</f>
        <v>#N/A</v>
      </c>
      <c r="BB220" s="471"/>
      <c r="BC220" s="471" t="e">
        <f t="shared" si="40"/>
        <v>#N/A</v>
      </c>
    </row>
    <row r="221" spans="1:55">
      <c r="A221" s="495"/>
      <c r="B221" s="407"/>
      <c r="C221" s="495"/>
      <c r="D221" s="474" t="s">
        <v>86</v>
      </c>
      <c r="E221" s="404"/>
      <c r="F221" s="474"/>
      <c r="G221" s="380">
        <v>2022</v>
      </c>
      <c r="H221" s="474">
        <v>5</v>
      </c>
      <c r="I221" s="474"/>
      <c r="J221" s="475"/>
      <c r="K221" s="474" t="s">
        <v>2091</v>
      </c>
      <c r="L221" s="474" t="s">
        <v>1912</v>
      </c>
      <c r="M221" s="475">
        <v>44510</v>
      </c>
      <c r="N221" s="475">
        <v>44655</v>
      </c>
      <c r="O221" s="475"/>
      <c r="P221" s="475">
        <v>44678</v>
      </c>
      <c r="Q221" s="475"/>
      <c r="R221" s="475"/>
      <c r="S221" s="474" t="s">
        <v>1688</v>
      </c>
      <c r="T221" s="474">
        <v>60</v>
      </c>
      <c r="U221" s="486" t="s">
        <v>1281</v>
      </c>
      <c r="V221" s="486" t="s">
        <v>973</v>
      </c>
      <c r="W221" s="474">
        <v>400</v>
      </c>
      <c r="X221" s="432">
        <v>6656</v>
      </c>
      <c r="Y221" s="389">
        <f t="shared" si="43"/>
        <v>2662400</v>
      </c>
      <c r="Z221" s="478">
        <f>220/400</f>
        <v>0.55000000000000004</v>
      </c>
      <c r="AA221" s="479">
        <f t="shared" ref="AA221:AA284" si="44">Z221*Y221</f>
        <v>1464320.0000000002</v>
      </c>
      <c r="AB221" s="480"/>
      <c r="AC221" s="481">
        <v>0</v>
      </c>
      <c r="AD221" s="474"/>
      <c r="AE221" s="482"/>
      <c r="AF221" s="493">
        <f t="shared" ref="AF221:AF269" si="45">AE221+AD221+AA221</f>
        <v>1464320.0000000002</v>
      </c>
      <c r="AG221" s="486" t="s">
        <v>1071</v>
      </c>
      <c r="AH221" s="486"/>
      <c r="AI221" s="486">
        <v>60</v>
      </c>
      <c r="AJ221" s="475" t="s">
        <v>1913</v>
      </c>
      <c r="AK221" s="486" t="s">
        <v>50</v>
      </c>
      <c r="AL221" s="483" t="s">
        <v>1914</v>
      </c>
      <c r="AM221" s="486" t="s">
        <v>52</v>
      </c>
      <c r="AN221" s="474" t="s">
        <v>50</v>
      </c>
      <c r="AO221" s="474" t="s">
        <v>1076</v>
      </c>
      <c r="AP221" s="482" t="s">
        <v>92</v>
      </c>
      <c r="AQ221" s="482" t="s">
        <v>37</v>
      </c>
      <c r="AR221" s="482" t="s">
        <v>2092</v>
      </c>
      <c r="AS221" s="472"/>
      <c r="AT221" s="472"/>
      <c r="AU221" s="478">
        <f>196/400</f>
        <v>0.49</v>
      </c>
      <c r="AV221" s="471" t="str">
        <f t="shared" si="38"/>
        <v>30390456H</v>
      </c>
      <c r="AW221" s="471" cm="1">
        <f t="array" ref="AW221">SUM(MID(0&amp;AV221,LARGE(INDEX(ISNUMBER(--MID(AV221,ROW($1:$8),1))*ROW($1:$8),),ROW($1:$8))+1,1)*10^ROW($1:$8)/10)</f>
        <v>30390456</v>
      </c>
      <c r="AX221" s="471" t="str">
        <f>VLOOKUP($AW221,'Item Master Data'!$A:$F,3,FALSE)</f>
        <v>Q.PEAK DUO BLK ML G10+</v>
      </c>
      <c r="AY221" s="471">
        <f>VLOOKUP($AW221,'Item Master Data'!$A:$F,6,FALSE)</f>
        <v>400</v>
      </c>
      <c r="AZ221" s="471">
        <f t="shared" si="39"/>
        <v>208</v>
      </c>
      <c r="BA221" s="471">
        <f>VLOOKUP(AW221,'Item Master Data'!$A:$G,7,FALSE)</f>
        <v>32</v>
      </c>
      <c r="BB221" s="471"/>
      <c r="BC221" s="471">
        <f t="shared" si="40"/>
        <v>0</v>
      </c>
    </row>
    <row r="222" spans="1:55">
      <c r="A222" s="495"/>
      <c r="B222" s="407"/>
      <c r="C222" s="495"/>
      <c r="D222" s="474" t="s">
        <v>86</v>
      </c>
      <c r="E222" s="404"/>
      <c r="F222" s="474"/>
      <c r="G222" s="380">
        <v>2022</v>
      </c>
      <c r="H222" s="474">
        <v>5</v>
      </c>
      <c r="I222" s="474"/>
      <c r="J222" s="475"/>
      <c r="K222" s="474" t="s">
        <v>2093</v>
      </c>
      <c r="L222" s="474" t="s">
        <v>1912</v>
      </c>
      <c r="M222" s="475">
        <v>44510</v>
      </c>
      <c r="N222" s="475">
        <v>44683</v>
      </c>
      <c r="O222" s="475"/>
      <c r="P222" s="475">
        <v>44678</v>
      </c>
      <c r="Q222" s="475"/>
      <c r="R222" s="475"/>
      <c r="S222" s="474" t="s">
        <v>1688</v>
      </c>
      <c r="T222" s="474">
        <v>60</v>
      </c>
      <c r="U222" s="486" t="s">
        <v>1281</v>
      </c>
      <c r="V222" s="486" t="s">
        <v>973</v>
      </c>
      <c r="W222" s="474">
        <v>400</v>
      </c>
      <c r="X222" s="432">
        <v>1920</v>
      </c>
      <c r="Y222" s="389">
        <f t="shared" si="43"/>
        <v>768000</v>
      </c>
      <c r="Z222" s="478">
        <f>220/400</f>
        <v>0.55000000000000004</v>
      </c>
      <c r="AA222" s="479">
        <f t="shared" si="44"/>
        <v>422400.00000000006</v>
      </c>
      <c r="AB222" s="480"/>
      <c r="AC222" s="481">
        <v>0</v>
      </c>
      <c r="AD222" s="474"/>
      <c r="AE222" s="482"/>
      <c r="AF222" s="493">
        <f t="shared" si="45"/>
        <v>422400.00000000006</v>
      </c>
      <c r="AG222" s="486" t="s">
        <v>1071</v>
      </c>
      <c r="AH222" s="486"/>
      <c r="AI222" s="486">
        <v>60</v>
      </c>
      <c r="AJ222" s="475" t="s">
        <v>1913</v>
      </c>
      <c r="AK222" s="486" t="s">
        <v>50</v>
      </c>
      <c r="AL222" s="483" t="s">
        <v>1914</v>
      </c>
      <c r="AM222" s="486" t="s">
        <v>52</v>
      </c>
      <c r="AN222" s="474" t="s">
        <v>50</v>
      </c>
      <c r="AO222" s="474" t="s">
        <v>1076</v>
      </c>
      <c r="AP222" s="482" t="s">
        <v>92</v>
      </c>
      <c r="AQ222" s="482" t="s">
        <v>37</v>
      </c>
      <c r="AR222" s="482" t="s">
        <v>2092</v>
      </c>
      <c r="AS222" s="472"/>
      <c r="AT222" s="472"/>
      <c r="AU222" s="478">
        <f>196/400</f>
        <v>0.49</v>
      </c>
      <c r="AV222" s="471" t="str">
        <f t="shared" si="38"/>
        <v>30390456H</v>
      </c>
      <c r="AW222" s="471" cm="1">
        <f t="array" ref="AW222">SUM(MID(0&amp;AV222,LARGE(INDEX(ISNUMBER(--MID(AV222,ROW($1:$8),1))*ROW($1:$8),),ROW($1:$8))+1,1)*10^ROW($1:$8)/10)</f>
        <v>30390456</v>
      </c>
      <c r="AX222" s="471" t="str">
        <f>VLOOKUP($AW222,'Item Master Data'!$A:$F,3,FALSE)</f>
        <v>Q.PEAK DUO BLK ML G10+</v>
      </c>
      <c r="AY222" s="471">
        <f>VLOOKUP($AW222,'Item Master Data'!$A:$F,6,FALSE)</f>
        <v>400</v>
      </c>
      <c r="AZ222" s="471">
        <f t="shared" si="39"/>
        <v>60</v>
      </c>
      <c r="BA222" s="471">
        <f>VLOOKUP(AW222,'Item Master Data'!$A:$G,7,FALSE)</f>
        <v>32</v>
      </c>
      <c r="BB222" s="471"/>
      <c r="BC222" s="471">
        <f t="shared" si="40"/>
        <v>0</v>
      </c>
    </row>
    <row r="223" spans="1:55">
      <c r="A223" s="495"/>
      <c r="B223" s="495"/>
      <c r="C223" s="495"/>
      <c r="D223" s="474" t="s">
        <v>86</v>
      </c>
      <c r="E223" s="404"/>
      <c r="F223" s="474"/>
      <c r="G223" s="380">
        <v>2022</v>
      </c>
      <c r="H223" s="474">
        <v>5</v>
      </c>
      <c r="I223" s="474"/>
      <c r="J223" s="475"/>
      <c r="K223" s="474" t="s">
        <v>2090</v>
      </c>
      <c r="L223" s="474" t="s">
        <v>1912</v>
      </c>
      <c r="M223" s="475">
        <v>44516</v>
      </c>
      <c r="N223" s="475">
        <v>44653</v>
      </c>
      <c r="O223" s="475"/>
      <c r="P223" s="475">
        <v>44678</v>
      </c>
      <c r="Q223" s="475"/>
      <c r="R223" s="475"/>
      <c r="S223" s="474" t="s">
        <v>1688</v>
      </c>
      <c r="T223" s="474">
        <v>60</v>
      </c>
      <c r="U223" s="486" t="s">
        <v>1281</v>
      </c>
      <c r="V223" s="486" t="s">
        <v>973</v>
      </c>
      <c r="W223" s="474">
        <v>400</v>
      </c>
      <c r="X223" s="432">
        <v>2304</v>
      </c>
      <c r="Y223" s="389">
        <f t="shared" si="43"/>
        <v>921600</v>
      </c>
      <c r="Z223" s="478">
        <f>220/400</f>
        <v>0.55000000000000004</v>
      </c>
      <c r="AA223" s="479">
        <f t="shared" si="44"/>
        <v>506880.00000000006</v>
      </c>
      <c r="AB223" s="480"/>
      <c r="AC223" s="481">
        <v>0</v>
      </c>
      <c r="AD223" s="474"/>
      <c r="AE223" s="482"/>
      <c r="AF223" s="493">
        <f t="shared" si="45"/>
        <v>506880.00000000006</v>
      </c>
      <c r="AG223" s="486" t="s">
        <v>1071</v>
      </c>
      <c r="AH223" s="486"/>
      <c r="AI223" s="486">
        <v>60</v>
      </c>
      <c r="AJ223" s="475" t="s">
        <v>1913</v>
      </c>
      <c r="AK223" s="486" t="s">
        <v>50</v>
      </c>
      <c r="AL223" s="483" t="s">
        <v>1914</v>
      </c>
      <c r="AM223" s="486" t="s">
        <v>52</v>
      </c>
      <c r="AN223" s="474" t="s">
        <v>50</v>
      </c>
      <c r="AO223" s="474" t="s">
        <v>1076</v>
      </c>
      <c r="AP223" s="482" t="s">
        <v>92</v>
      </c>
      <c r="AQ223" s="482" t="s">
        <v>37</v>
      </c>
      <c r="AR223" s="482" t="s">
        <v>1916</v>
      </c>
      <c r="AS223" s="472"/>
      <c r="AT223" s="472"/>
      <c r="AU223" s="478">
        <f>196/400</f>
        <v>0.49</v>
      </c>
      <c r="AV223" s="471" t="str">
        <f t="shared" si="38"/>
        <v>30390456H</v>
      </c>
      <c r="AW223" s="471" cm="1">
        <f t="array" ref="AW223">SUM(MID(0&amp;AV223,LARGE(INDEX(ISNUMBER(--MID(AV223,ROW($1:$8),1))*ROW($1:$8),),ROW($1:$8))+1,1)*10^ROW($1:$8)/10)</f>
        <v>30390456</v>
      </c>
      <c r="AX223" s="471" t="str">
        <f>VLOOKUP($AW223,'Item Master Data'!$A:$F,3,FALSE)</f>
        <v>Q.PEAK DUO BLK ML G10+</v>
      </c>
      <c r="AY223" s="471">
        <f>VLOOKUP($AW223,'Item Master Data'!$A:$F,6,FALSE)</f>
        <v>400</v>
      </c>
      <c r="AZ223" s="471">
        <f t="shared" si="39"/>
        <v>72</v>
      </c>
      <c r="BA223" s="471">
        <f>VLOOKUP(AW223,'Item Master Data'!$A:$G,7,FALSE)</f>
        <v>32</v>
      </c>
      <c r="BB223" s="471"/>
      <c r="BC223" s="471">
        <f t="shared" si="40"/>
        <v>0</v>
      </c>
    </row>
    <row r="224" spans="1:55">
      <c r="A224" s="495"/>
      <c r="B224" s="407">
        <v>44617</v>
      </c>
      <c r="C224" s="407">
        <v>44616</v>
      </c>
      <c r="D224" s="485" t="s">
        <v>86</v>
      </c>
      <c r="E224" s="474"/>
      <c r="F224" s="486"/>
      <c r="G224" s="380">
        <v>2022</v>
      </c>
      <c r="H224" s="474">
        <v>5</v>
      </c>
      <c r="I224" s="474"/>
      <c r="J224" s="475"/>
      <c r="K224" s="474" t="s">
        <v>2105</v>
      </c>
      <c r="L224" s="474" t="s">
        <v>1956</v>
      </c>
      <c r="M224" s="475">
        <v>44522</v>
      </c>
      <c r="N224" s="475">
        <v>44272</v>
      </c>
      <c r="O224" s="475">
        <v>44698</v>
      </c>
      <c r="P224" s="475"/>
      <c r="Q224" s="475"/>
      <c r="R224" s="475"/>
      <c r="S224" s="474" t="s">
        <v>1704</v>
      </c>
      <c r="T224" s="474">
        <v>60</v>
      </c>
      <c r="U224" s="486"/>
      <c r="V224" s="474" t="s">
        <v>986</v>
      </c>
      <c r="W224" s="474">
        <v>360</v>
      </c>
      <c r="X224" s="432">
        <v>1664</v>
      </c>
      <c r="Y224" s="389">
        <f t="shared" si="43"/>
        <v>599040</v>
      </c>
      <c r="Z224" s="478">
        <f>190.8/360</f>
        <v>0.53</v>
      </c>
      <c r="AA224" s="480">
        <f t="shared" si="44"/>
        <v>317491.20000000001</v>
      </c>
      <c r="AB224" s="480"/>
      <c r="AC224" s="481">
        <f>AB224*Y224</f>
        <v>0</v>
      </c>
      <c r="AD224" s="474"/>
      <c r="AE224" s="474"/>
      <c r="AF224" s="493">
        <f t="shared" si="45"/>
        <v>317491.20000000001</v>
      </c>
      <c r="AG224" s="474" t="s">
        <v>1071</v>
      </c>
      <c r="AH224" s="474"/>
      <c r="AI224" s="474">
        <v>60</v>
      </c>
      <c r="AJ224" s="475" t="s">
        <v>1790</v>
      </c>
      <c r="AK224" s="475" t="s">
        <v>50</v>
      </c>
      <c r="AL224" s="483">
        <v>95834</v>
      </c>
      <c r="AM224" s="474" t="s">
        <v>52</v>
      </c>
      <c r="AN224" s="384" t="s">
        <v>1074</v>
      </c>
      <c r="AO224" s="474" t="s">
        <v>1076</v>
      </c>
      <c r="AP224" s="482"/>
      <c r="AQ224" s="474" t="s">
        <v>37</v>
      </c>
      <c r="AR224" s="474"/>
      <c r="AS224" s="473"/>
      <c r="AT224" s="473"/>
      <c r="AU224" s="478">
        <f>180/360</f>
        <v>0.5</v>
      </c>
      <c r="AV224" s="471">
        <f t="shared" si="38"/>
        <v>0</v>
      </c>
      <c r="AW224" s="471" cm="1">
        <f t="array" ref="AW224">SUM(MID(0&amp;AV224,LARGE(INDEX(ISNUMBER(--MID(AV224,ROW($1:$8),1))*ROW($1:$8),),ROW($1:$8))+1,1)*10^ROW($1:$8)/10)</f>
        <v>0</v>
      </c>
      <c r="AX224" s="471" t="e">
        <f>VLOOKUP($AW224,'Item Master Data'!$A:$F,3,FALSE)</f>
        <v>#N/A</v>
      </c>
      <c r="AY224" s="471" t="e">
        <f>VLOOKUP($AW224,'Item Master Data'!$A:$F,6,FALSE)</f>
        <v>#N/A</v>
      </c>
      <c r="AZ224" s="471" t="e">
        <f t="shared" si="39"/>
        <v>#N/A</v>
      </c>
      <c r="BA224" s="471" t="e">
        <f>VLOOKUP(AW224,'Item Master Data'!$A:$G,7,FALSE)</f>
        <v>#N/A</v>
      </c>
      <c r="BB224" s="471"/>
      <c r="BC224" s="471" t="e">
        <f t="shared" si="40"/>
        <v>#N/A</v>
      </c>
    </row>
    <row r="225" spans="1:55">
      <c r="A225" s="495"/>
      <c r="B225" s="407">
        <v>44617</v>
      </c>
      <c r="C225" s="407">
        <v>44616</v>
      </c>
      <c r="D225" s="485" t="s">
        <v>86</v>
      </c>
      <c r="E225" s="474"/>
      <c r="F225" s="486"/>
      <c r="G225" s="380">
        <v>2022</v>
      </c>
      <c r="H225" s="474">
        <v>5</v>
      </c>
      <c r="I225" s="474"/>
      <c r="J225" s="475"/>
      <c r="K225" s="474" t="s">
        <v>2106</v>
      </c>
      <c r="L225" s="474" t="s">
        <v>1956</v>
      </c>
      <c r="M225" s="475">
        <v>44624</v>
      </c>
      <c r="N225" s="475">
        <v>44697</v>
      </c>
      <c r="O225" s="475"/>
      <c r="P225" s="475"/>
      <c r="Q225" s="475"/>
      <c r="R225" s="475"/>
      <c r="S225" s="474" t="s">
        <v>1704</v>
      </c>
      <c r="T225" s="474">
        <v>72</v>
      </c>
      <c r="U225" s="486" t="s">
        <v>1082</v>
      </c>
      <c r="V225" s="474" t="s">
        <v>2107</v>
      </c>
      <c r="W225" s="474">
        <v>475</v>
      </c>
      <c r="X225" s="432">
        <v>600</v>
      </c>
      <c r="Y225" s="389">
        <f t="shared" si="43"/>
        <v>285000</v>
      </c>
      <c r="Z225" s="478">
        <f>237.5/475</f>
        <v>0.5</v>
      </c>
      <c r="AA225" s="480">
        <f t="shared" si="44"/>
        <v>142500</v>
      </c>
      <c r="AB225" s="480"/>
      <c r="AC225" s="481">
        <f>AB225*Y225</f>
        <v>0</v>
      </c>
      <c r="AD225" s="474"/>
      <c r="AE225" s="474"/>
      <c r="AF225" s="493">
        <f t="shared" si="45"/>
        <v>142500</v>
      </c>
      <c r="AG225" s="474" t="s">
        <v>1071</v>
      </c>
      <c r="AH225" s="474"/>
      <c r="AI225" s="474">
        <v>60</v>
      </c>
      <c r="AJ225" s="475" t="s">
        <v>1790</v>
      </c>
      <c r="AK225" s="475" t="s">
        <v>50</v>
      </c>
      <c r="AL225" s="483">
        <v>95834</v>
      </c>
      <c r="AM225" s="474" t="s">
        <v>52</v>
      </c>
      <c r="AN225" s="384" t="s">
        <v>1074</v>
      </c>
      <c r="AO225" s="474" t="s">
        <v>1076</v>
      </c>
      <c r="AP225" s="482"/>
      <c r="AQ225" s="474" t="s">
        <v>37</v>
      </c>
      <c r="AR225" s="474"/>
      <c r="AS225" s="473"/>
      <c r="AT225" s="473"/>
      <c r="AU225" s="478">
        <f>180/360</f>
        <v>0.5</v>
      </c>
      <c r="AV225" s="471" t="str">
        <f t="shared" si="38"/>
        <v>12005833C</v>
      </c>
      <c r="AW225" s="471" cm="1">
        <f t="array" ref="AW225">SUM(MID(0&amp;AV225,LARGE(INDEX(ISNUMBER(--MID(AV225,ROW($1:$8),1))*ROW($1:$8),),ROW($1:$8))+1,1)*10^ROW($1:$8)/10)</f>
        <v>12005833</v>
      </c>
      <c r="AX225" s="471" t="str">
        <f>VLOOKUP($AW225,'Item Master Data'!$A:$F,3,FALSE)</f>
        <v>Q.PEAK DUO XL G10 BFG</v>
      </c>
      <c r="AY225" s="471">
        <f>VLOOKUP($AW225,'Item Master Data'!$A:$F,6,FALSE)</f>
        <v>475</v>
      </c>
      <c r="AZ225" s="471">
        <f t="shared" si="39"/>
        <v>20</v>
      </c>
      <c r="BA225" s="471">
        <f>VLOOKUP(AW225,'Item Master Data'!$A:$G,7,FALSE)</f>
        <v>30</v>
      </c>
      <c r="BB225" s="471"/>
      <c r="BC225" s="471">
        <f t="shared" si="40"/>
        <v>0</v>
      </c>
    </row>
    <row r="226" spans="1:55">
      <c r="A226" s="495"/>
      <c r="B226" s="407">
        <v>44642</v>
      </c>
      <c r="C226" s="495"/>
      <c r="D226" s="474" t="s">
        <v>86</v>
      </c>
      <c r="E226" s="474"/>
      <c r="F226" s="474"/>
      <c r="G226" s="380">
        <v>2022</v>
      </c>
      <c r="H226" s="474">
        <v>5</v>
      </c>
      <c r="I226" s="474"/>
      <c r="J226" s="475"/>
      <c r="K226" s="474" t="s">
        <v>2166</v>
      </c>
      <c r="L226" s="474" t="s">
        <v>1699</v>
      </c>
      <c r="M226" s="475">
        <v>44565</v>
      </c>
      <c r="N226" s="475">
        <v>44655</v>
      </c>
      <c r="O226" s="475"/>
      <c r="P226" s="475">
        <v>44678</v>
      </c>
      <c r="Q226" s="475"/>
      <c r="R226" s="475"/>
      <c r="S226" s="474" t="s">
        <v>88</v>
      </c>
      <c r="T226" s="474">
        <v>60</v>
      </c>
      <c r="U226" s="486" t="s">
        <v>1281</v>
      </c>
      <c r="V226" s="474" t="s">
        <v>973</v>
      </c>
      <c r="W226" s="474">
        <v>400</v>
      </c>
      <c r="X226" s="432">
        <v>1536</v>
      </c>
      <c r="Y226" s="389">
        <f t="shared" si="43"/>
        <v>614400</v>
      </c>
      <c r="Z226" s="478">
        <v>0.55000000000000004</v>
      </c>
      <c r="AA226" s="479">
        <f t="shared" si="44"/>
        <v>337920</v>
      </c>
      <c r="AB226" s="480"/>
      <c r="AC226" s="481">
        <v>0</v>
      </c>
      <c r="AD226" s="490"/>
      <c r="AE226" s="482"/>
      <c r="AF226" s="493">
        <f t="shared" si="45"/>
        <v>337920</v>
      </c>
      <c r="AG226" s="474" t="s">
        <v>1071</v>
      </c>
      <c r="AH226" s="474"/>
      <c r="AI226" s="474">
        <v>60</v>
      </c>
      <c r="AJ226" s="474" t="s">
        <v>1700</v>
      </c>
      <c r="AK226" s="474" t="s">
        <v>50</v>
      </c>
      <c r="AL226" s="474">
        <v>92126</v>
      </c>
      <c r="AM226" s="474" t="s">
        <v>52</v>
      </c>
      <c r="AN226" s="474" t="s">
        <v>50</v>
      </c>
      <c r="AO226" s="474" t="s">
        <v>1076</v>
      </c>
      <c r="AP226" s="482" t="s">
        <v>92</v>
      </c>
      <c r="AQ226" s="482" t="s">
        <v>37</v>
      </c>
      <c r="AR226" s="482"/>
      <c r="AS226" s="473" t="s">
        <v>1492</v>
      </c>
      <c r="AT226" s="473"/>
      <c r="AU226" s="478">
        <f>208/400</f>
        <v>0.52</v>
      </c>
      <c r="AV226" s="471" t="str">
        <f t="shared" si="38"/>
        <v>30390456H</v>
      </c>
      <c r="AW226" s="471" cm="1">
        <f t="array" ref="AW226">SUM(MID(0&amp;AV226,LARGE(INDEX(ISNUMBER(--MID(AV226,ROW($1:$8),1))*ROW($1:$8),),ROW($1:$8))+1,1)*10^ROW($1:$8)/10)</f>
        <v>30390456</v>
      </c>
      <c r="AX226" s="471" t="str">
        <f>VLOOKUP($AW226,'Item Master Data'!$A:$F,3,FALSE)</f>
        <v>Q.PEAK DUO BLK ML G10+</v>
      </c>
      <c r="AY226" s="471">
        <f>VLOOKUP($AW226,'Item Master Data'!$A:$F,6,FALSE)</f>
        <v>400</v>
      </c>
      <c r="AZ226" s="471">
        <f t="shared" si="39"/>
        <v>48</v>
      </c>
      <c r="BA226" s="471">
        <f>VLOOKUP(AW226,'Item Master Data'!$A:$G,7,FALSE)</f>
        <v>32</v>
      </c>
      <c r="BB226" s="471"/>
      <c r="BC226" s="471">
        <f t="shared" si="40"/>
        <v>0</v>
      </c>
    </row>
    <row r="227" spans="1:55">
      <c r="A227" s="495"/>
      <c r="B227" s="407">
        <v>44665</v>
      </c>
      <c r="C227" s="407">
        <v>44665</v>
      </c>
      <c r="D227" s="485" t="s">
        <v>86</v>
      </c>
      <c r="E227" s="474"/>
      <c r="F227" s="486" t="s">
        <v>87</v>
      </c>
      <c r="G227" s="380">
        <v>2022</v>
      </c>
      <c r="H227" s="474">
        <v>5</v>
      </c>
      <c r="I227" s="474"/>
      <c r="J227" s="475"/>
      <c r="K227" s="474" t="s">
        <v>2169</v>
      </c>
      <c r="L227" s="474" t="s">
        <v>1699</v>
      </c>
      <c r="M227" s="475">
        <v>44567</v>
      </c>
      <c r="N227" s="475">
        <v>44734</v>
      </c>
      <c r="O227" s="475"/>
      <c r="P227" s="475"/>
      <c r="Q227" s="475"/>
      <c r="R227" s="475"/>
      <c r="S227" s="474" t="s">
        <v>88</v>
      </c>
      <c r="T227" s="474">
        <v>72</v>
      </c>
      <c r="U227" s="486">
        <v>49303156</v>
      </c>
      <c r="V227" s="474" t="s">
        <v>1070</v>
      </c>
      <c r="W227" s="474">
        <v>480</v>
      </c>
      <c r="X227" s="432">
        <v>2552</v>
      </c>
      <c r="Y227" s="389">
        <f t="shared" si="43"/>
        <v>1224960</v>
      </c>
      <c r="Z227" s="478">
        <f>225.6/480</f>
        <v>0.47</v>
      </c>
      <c r="AA227" s="480">
        <f t="shared" si="44"/>
        <v>575731.19999999995</v>
      </c>
      <c r="AB227" s="480"/>
      <c r="AC227" s="481">
        <f>AB227*Y227</f>
        <v>0</v>
      </c>
      <c r="AD227" s="474"/>
      <c r="AE227" s="474"/>
      <c r="AF227" s="493">
        <f t="shared" si="45"/>
        <v>575731.19999999995</v>
      </c>
      <c r="AG227" s="474" t="s">
        <v>1071</v>
      </c>
      <c r="AH227" s="474"/>
      <c r="AI227" s="474">
        <v>60</v>
      </c>
      <c r="AJ227" s="475" t="s">
        <v>1700</v>
      </c>
      <c r="AK227" s="475" t="s">
        <v>50</v>
      </c>
      <c r="AL227" s="483">
        <v>92126</v>
      </c>
      <c r="AM227" s="474" t="s">
        <v>52</v>
      </c>
      <c r="AN227" s="384" t="s">
        <v>1695</v>
      </c>
      <c r="AO227" s="474" t="s">
        <v>1076</v>
      </c>
      <c r="AP227" s="482"/>
      <c r="AQ227" s="474" t="s">
        <v>37</v>
      </c>
      <c r="AR227" s="474"/>
      <c r="AS227" s="473" t="s">
        <v>1492</v>
      </c>
      <c r="AT227" s="473"/>
      <c r="AU227" s="478"/>
      <c r="AV227" s="471">
        <f t="shared" si="38"/>
        <v>49303156</v>
      </c>
      <c r="AW227" s="471" cm="1">
        <f t="array" ref="AW227">SUM(MID(0&amp;AV227,LARGE(INDEX(ISNUMBER(--MID(AV227,ROW($1:$8),1))*ROW($1:$8),),ROW($1:$8))+1,1)*10^ROW($1:$8)/10)</f>
        <v>49303156</v>
      </c>
      <c r="AX227" s="471" t="str">
        <f>VLOOKUP($AW227,'Item Master Data'!$A:$F,3,FALSE)</f>
        <v>Q.PEAK DUO XL G10 BFG</v>
      </c>
      <c r="AY227" s="471">
        <f>VLOOKUP($AW227,'Item Master Data'!$A:$F,6,FALSE)</f>
        <v>480</v>
      </c>
      <c r="AZ227" s="471">
        <f t="shared" si="39"/>
        <v>88</v>
      </c>
      <c r="BA227" s="471">
        <f>VLOOKUP(AW227,'Item Master Data'!$A:$G,7,FALSE)</f>
        <v>29</v>
      </c>
      <c r="BB227" s="471"/>
      <c r="BC227" s="471">
        <f t="shared" si="40"/>
        <v>0</v>
      </c>
    </row>
    <row r="228" spans="1:55">
      <c r="A228" s="495"/>
      <c r="B228" s="407">
        <v>44642</v>
      </c>
      <c r="C228" s="495"/>
      <c r="D228" s="474" t="s">
        <v>86</v>
      </c>
      <c r="E228" s="474"/>
      <c r="F228" s="474"/>
      <c r="G228" s="380">
        <v>2022</v>
      </c>
      <c r="H228" s="474">
        <v>5</v>
      </c>
      <c r="I228" s="474"/>
      <c r="J228" s="475"/>
      <c r="K228" s="474" t="s">
        <v>2179</v>
      </c>
      <c r="L228" s="474" t="s">
        <v>1699</v>
      </c>
      <c r="M228" s="475">
        <v>44571</v>
      </c>
      <c r="N228" s="475">
        <v>44712</v>
      </c>
      <c r="O228" s="475"/>
      <c r="P228" s="475">
        <v>44678</v>
      </c>
      <c r="Q228" s="475"/>
      <c r="R228" s="475"/>
      <c r="S228" s="474" t="s">
        <v>88</v>
      </c>
      <c r="T228" s="474">
        <v>60</v>
      </c>
      <c r="U228" s="486" t="s">
        <v>1281</v>
      </c>
      <c r="V228" s="486" t="s">
        <v>973</v>
      </c>
      <c r="W228" s="474">
        <v>400</v>
      </c>
      <c r="X228" s="432">
        <v>2368</v>
      </c>
      <c r="Y228" s="389">
        <f t="shared" si="43"/>
        <v>947200</v>
      </c>
      <c r="Z228" s="478">
        <f>220/400</f>
        <v>0.55000000000000004</v>
      </c>
      <c r="AA228" s="479">
        <f t="shared" si="44"/>
        <v>520960.00000000006</v>
      </c>
      <c r="AB228" s="480"/>
      <c r="AC228" s="481">
        <v>0</v>
      </c>
      <c r="AD228" s="490"/>
      <c r="AE228" s="482"/>
      <c r="AF228" s="493">
        <f t="shared" si="45"/>
        <v>520960.00000000006</v>
      </c>
      <c r="AG228" s="474" t="s">
        <v>1071</v>
      </c>
      <c r="AH228" s="474"/>
      <c r="AI228" s="474">
        <v>60</v>
      </c>
      <c r="AJ228" s="474" t="s">
        <v>1700</v>
      </c>
      <c r="AK228" s="474" t="s">
        <v>50</v>
      </c>
      <c r="AL228" s="474">
        <v>92126</v>
      </c>
      <c r="AM228" s="474" t="s">
        <v>52</v>
      </c>
      <c r="AN228" s="474" t="s">
        <v>50</v>
      </c>
      <c r="AO228" s="474" t="s">
        <v>1076</v>
      </c>
      <c r="AP228" s="482" t="s">
        <v>92</v>
      </c>
      <c r="AQ228" s="482" t="s">
        <v>37</v>
      </c>
      <c r="AR228" s="482"/>
      <c r="AS228" s="473" t="s">
        <v>1492</v>
      </c>
      <c r="AT228" s="473"/>
      <c r="AU228" s="478">
        <f>208/400</f>
        <v>0.52</v>
      </c>
      <c r="AV228" s="471" t="str">
        <f t="shared" si="38"/>
        <v>30390456H</v>
      </c>
      <c r="AW228" s="471" cm="1">
        <f t="array" ref="AW228">SUM(MID(0&amp;AV228,LARGE(INDEX(ISNUMBER(--MID(AV228,ROW($1:$8),1))*ROW($1:$8),),ROW($1:$8))+1,1)*10^ROW($1:$8)/10)</f>
        <v>30390456</v>
      </c>
      <c r="AX228" s="471" t="str">
        <f>VLOOKUP($AW228,'Item Master Data'!$A:$F,3,FALSE)</f>
        <v>Q.PEAK DUO BLK ML G10+</v>
      </c>
      <c r="AY228" s="471">
        <f>VLOOKUP($AW228,'Item Master Data'!$A:$F,6,FALSE)</f>
        <v>400</v>
      </c>
      <c r="AZ228" s="471">
        <f t="shared" si="39"/>
        <v>74</v>
      </c>
      <c r="BA228" s="471">
        <f>VLOOKUP(AW228,'Item Master Data'!$A:$G,7,FALSE)</f>
        <v>32</v>
      </c>
      <c r="BB228" s="471"/>
      <c r="BC228" s="471">
        <f t="shared" si="40"/>
        <v>0</v>
      </c>
    </row>
    <row r="229" spans="1:55">
      <c r="A229" s="495"/>
      <c r="B229" s="407">
        <v>44621</v>
      </c>
      <c r="C229" s="407">
        <v>44620</v>
      </c>
      <c r="D229" s="485" t="s">
        <v>86</v>
      </c>
      <c r="E229" s="474" t="s">
        <v>2004</v>
      </c>
      <c r="F229" s="486"/>
      <c r="G229" s="380">
        <v>2022</v>
      </c>
      <c r="H229" s="474">
        <v>5</v>
      </c>
      <c r="I229" s="474"/>
      <c r="J229" s="475"/>
      <c r="K229" s="474" t="s">
        <v>2167</v>
      </c>
      <c r="L229" s="474" t="s">
        <v>1699</v>
      </c>
      <c r="M229" s="475">
        <v>44578</v>
      </c>
      <c r="N229" s="475">
        <v>44635</v>
      </c>
      <c r="O229" s="475" t="s">
        <v>1280</v>
      </c>
      <c r="P229" s="475" t="s">
        <v>5621</v>
      </c>
      <c r="Q229" s="475"/>
      <c r="R229" s="475"/>
      <c r="S229" s="474" t="s">
        <v>88</v>
      </c>
      <c r="T229" s="474">
        <v>60</v>
      </c>
      <c r="U229" s="486"/>
      <c r="V229" s="474" t="s">
        <v>973</v>
      </c>
      <c r="W229" s="474">
        <v>400</v>
      </c>
      <c r="X229" s="432">
        <v>768</v>
      </c>
      <c r="Y229" s="389">
        <f t="shared" si="43"/>
        <v>307200</v>
      </c>
      <c r="Z229" s="478">
        <f>220/400</f>
        <v>0.55000000000000004</v>
      </c>
      <c r="AA229" s="480">
        <f t="shared" si="44"/>
        <v>168960</v>
      </c>
      <c r="AB229" s="480"/>
      <c r="AC229" s="481">
        <v>0</v>
      </c>
      <c r="AD229" s="474"/>
      <c r="AE229" s="474"/>
      <c r="AF229" s="493">
        <f t="shared" si="45"/>
        <v>168960</v>
      </c>
      <c r="AG229" s="474" t="s">
        <v>1071</v>
      </c>
      <c r="AH229" s="474"/>
      <c r="AI229" s="474">
        <v>60</v>
      </c>
      <c r="AJ229" s="475" t="s">
        <v>1700</v>
      </c>
      <c r="AK229" s="475" t="s">
        <v>50</v>
      </c>
      <c r="AL229" s="483">
        <v>92126</v>
      </c>
      <c r="AM229" s="474" t="s">
        <v>52</v>
      </c>
      <c r="AN229" s="474" t="s">
        <v>1074</v>
      </c>
      <c r="AO229" s="474" t="s">
        <v>1076</v>
      </c>
      <c r="AP229" s="482"/>
      <c r="AQ229" s="474" t="s">
        <v>37</v>
      </c>
      <c r="AR229" s="474" t="s">
        <v>1216</v>
      </c>
      <c r="AS229" s="473" t="s">
        <v>1492</v>
      </c>
      <c r="AT229" s="473"/>
      <c r="AU229" s="478">
        <v>0.52</v>
      </c>
      <c r="AV229" s="471">
        <f t="shared" si="38"/>
        <v>0</v>
      </c>
      <c r="AW229" s="471" cm="1">
        <f t="array" ref="AW229">SUM(MID(0&amp;AV229,LARGE(INDEX(ISNUMBER(--MID(AV229,ROW($1:$8),1))*ROW($1:$8),),ROW($1:$8))+1,1)*10^ROW($1:$8)/10)</f>
        <v>0</v>
      </c>
      <c r="AX229" s="471" t="e">
        <f>VLOOKUP($AW229,'Item Master Data'!$A:$F,3,FALSE)</f>
        <v>#N/A</v>
      </c>
      <c r="AY229" s="471" t="e">
        <f>VLOOKUP($AW229,'Item Master Data'!$A:$F,6,FALSE)</f>
        <v>#N/A</v>
      </c>
      <c r="AZ229" s="471" t="e">
        <f t="shared" si="39"/>
        <v>#N/A</v>
      </c>
      <c r="BA229" s="471" t="e">
        <f>VLOOKUP(AW229,'Item Master Data'!$A:$G,7,FALSE)</f>
        <v>#N/A</v>
      </c>
      <c r="BB229" s="471"/>
      <c r="BC229" s="471" t="e">
        <f t="shared" si="40"/>
        <v>#N/A</v>
      </c>
    </row>
    <row r="230" spans="1:55">
      <c r="A230" s="495"/>
      <c r="B230" s="407">
        <v>44627</v>
      </c>
      <c r="C230" s="407">
        <v>44628</v>
      </c>
      <c r="D230" s="474" t="s">
        <v>86</v>
      </c>
      <c r="E230" s="474" t="s">
        <v>2004</v>
      </c>
      <c r="F230" s="474"/>
      <c r="G230" s="380">
        <v>2022</v>
      </c>
      <c r="H230" s="474">
        <v>5</v>
      </c>
      <c r="I230" s="474"/>
      <c r="J230" s="475"/>
      <c r="K230" s="474" t="s">
        <v>2168</v>
      </c>
      <c r="L230" s="474" t="s">
        <v>1699</v>
      </c>
      <c r="M230" s="475">
        <v>44593</v>
      </c>
      <c r="N230" s="475">
        <v>44696</v>
      </c>
      <c r="O230" s="475" t="s">
        <v>1280</v>
      </c>
      <c r="P230" s="475"/>
      <c r="Q230" s="475"/>
      <c r="R230" s="475"/>
      <c r="S230" s="474" t="s">
        <v>88</v>
      </c>
      <c r="T230" s="474">
        <v>60</v>
      </c>
      <c r="U230" s="474">
        <v>49201132</v>
      </c>
      <c r="V230" s="474" t="s">
        <v>986</v>
      </c>
      <c r="W230" s="474">
        <v>360</v>
      </c>
      <c r="X230" s="432">
        <v>1536</v>
      </c>
      <c r="Y230" s="389">
        <f t="shared" si="43"/>
        <v>552960</v>
      </c>
      <c r="Z230" s="478">
        <f>190.8/360</f>
        <v>0.53</v>
      </c>
      <c r="AA230" s="479">
        <f t="shared" si="44"/>
        <v>293068.79999999999</v>
      </c>
      <c r="AB230" s="480"/>
      <c r="AC230" s="481">
        <v>0</v>
      </c>
      <c r="AD230" s="490"/>
      <c r="AE230" s="482"/>
      <c r="AF230" s="493">
        <f t="shared" si="45"/>
        <v>293068.79999999999</v>
      </c>
      <c r="AG230" s="474" t="s">
        <v>1071</v>
      </c>
      <c r="AH230" s="474"/>
      <c r="AI230" s="474">
        <v>60</v>
      </c>
      <c r="AJ230" s="474" t="s">
        <v>1700</v>
      </c>
      <c r="AK230" s="474" t="s">
        <v>50</v>
      </c>
      <c r="AL230" s="474">
        <v>92126</v>
      </c>
      <c r="AM230" s="474" t="s">
        <v>52</v>
      </c>
      <c r="AN230" s="474" t="s">
        <v>1074</v>
      </c>
      <c r="AO230" s="474" t="s">
        <v>1076</v>
      </c>
      <c r="AP230" s="482"/>
      <c r="AQ230" s="482" t="s">
        <v>37</v>
      </c>
      <c r="AR230" s="482" t="s">
        <v>1216</v>
      </c>
      <c r="AS230" s="473" t="s">
        <v>1492</v>
      </c>
      <c r="AT230" s="473"/>
      <c r="AU230" s="478">
        <f>180/360</f>
        <v>0.5</v>
      </c>
      <c r="AV230" s="471">
        <f t="shared" si="38"/>
        <v>49201132</v>
      </c>
      <c r="AW230" s="471" cm="1">
        <f t="array" ref="AW230">SUM(MID(0&amp;AV230,LARGE(INDEX(ISNUMBER(--MID(AV230,ROW($1:$8),1))*ROW($1:$8),),ROW($1:$8))+1,1)*10^ROW($1:$8)/10)</f>
        <v>49201132</v>
      </c>
      <c r="AX230" s="471" t="str">
        <f>VLOOKUP($AW230,'Item Master Data'!$A:$F,3,FALSE)</f>
        <v>Q.PEAK DUO BLK G10+</v>
      </c>
      <c r="AY230" s="471">
        <f>VLOOKUP($AW230,'Item Master Data'!$A:$F,6,FALSE)</f>
        <v>360</v>
      </c>
      <c r="AZ230" s="471">
        <f t="shared" si="39"/>
        <v>48</v>
      </c>
      <c r="BA230" s="471">
        <f>VLOOKUP(AW230,'Item Master Data'!$A:$G,7,FALSE)</f>
        <v>32</v>
      </c>
      <c r="BB230" s="471"/>
      <c r="BC230" s="471">
        <f t="shared" si="40"/>
        <v>0</v>
      </c>
    </row>
    <row r="231" spans="1:55">
      <c r="A231" s="495"/>
      <c r="B231" s="407">
        <v>44648</v>
      </c>
      <c r="C231" s="407">
        <v>44648</v>
      </c>
      <c r="D231" s="485" t="s">
        <v>86</v>
      </c>
      <c r="E231" s="474" t="s">
        <v>1999</v>
      </c>
      <c r="F231" s="486" t="s">
        <v>87</v>
      </c>
      <c r="G231" s="380">
        <v>2022</v>
      </c>
      <c r="H231" s="474">
        <v>5</v>
      </c>
      <c r="I231" s="474"/>
      <c r="J231" s="475"/>
      <c r="K231" s="474" t="s">
        <v>2000</v>
      </c>
      <c r="L231" s="474" t="s">
        <v>1699</v>
      </c>
      <c r="M231" s="475">
        <v>44579</v>
      </c>
      <c r="N231" s="475">
        <v>44623</v>
      </c>
      <c r="O231" s="475">
        <v>44671</v>
      </c>
      <c r="P231" s="475"/>
      <c r="Q231" s="475"/>
      <c r="R231" s="475"/>
      <c r="S231" s="474" t="s">
        <v>88</v>
      </c>
      <c r="T231" s="474">
        <v>72</v>
      </c>
      <c r="U231" s="486" t="s">
        <v>1082</v>
      </c>
      <c r="V231" s="474" t="s">
        <v>1070</v>
      </c>
      <c r="W231" s="474">
        <v>475</v>
      </c>
      <c r="X231" s="432">
        <v>1140</v>
      </c>
      <c r="Y231" s="389">
        <f t="shared" si="43"/>
        <v>541500</v>
      </c>
      <c r="Z231" s="478">
        <f>228/475</f>
        <v>0.48</v>
      </c>
      <c r="AA231" s="480">
        <f t="shared" si="44"/>
        <v>259920</v>
      </c>
      <c r="AB231" s="480"/>
      <c r="AC231" s="481">
        <f>AB231*Y231</f>
        <v>0</v>
      </c>
      <c r="AD231" s="474"/>
      <c r="AE231" s="474"/>
      <c r="AF231" s="493">
        <f t="shared" si="45"/>
        <v>259920</v>
      </c>
      <c r="AG231" s="474" t="s">
        <v>1071</v>
      </c>
      <c r="AH231" s="474"/>
      <c r="AI231" s="474">
        <v>60</v>
      </c>
      <c r="AJ231" s="475" t="s">
        <v>2001</v>
      </c>
      <c r="AK231" s="475" t="s">
        <v>50</v>
      </c>
      <c r="AL231" s="483" t="s">
        <v>2002</v>
      </c>
      <c r="AM231" s="474" t="s">
        <v>52</v>
      </c>
      <c r="AN231" s="384" t="s">
        <v>50</v>
      </c>
      <c r="AO231" s="474" t="s">
        <v>1076</v>
      </c>
      <c r="AP231" s="482" t="s">
        <v>92</v>
      </c>
      <c r="AQ231" s="474" t="s">
        <v>37</v>
      </c>
      <c r="AR231" s="474"/>
      <c r="AS231" s="473" t="s">
        <v>1492</v>
      </c>
      <c r="AT231" s="473"/>
      <c r="AU231" s="478"/>
      <c r="AV231" s="471" t="str">
        <f t="shared" si="38"/>
        <v>12005833C</v>
      </c>
      <c r="AW231" s="471" cm="1">
        <f t="array" ref="AW231">SUM(MID(0&amp;AV231,LARGE(INDEX(ISNUMBER(--MID(AV231,ROW($1:$8),1))*ROW($1:$8),),ROW($1:$8))+1,1)*10^ROW($1:$8)/10)</f>
        <v>12005833</v>
      </c>
      <c r="AX231" s="471" t="str">
        <f>VLOOKUP($AW231,'Item Master Data'!$A:$F,3,FALSE)</f>
        <v>Q.PEAK DUO XL G10 BFG</v>
      </c>
      <c r="AY231" s="471">
        <f>VLOOKUP($AW231,'Item Master Data'!$A:$F,6,FALSE)</f>
        <v>475</v>
      </c>
      <c r="AZ231" s="471">
        <f t="shared" si="39"/>
        <v>38</v>
      </c>
      <c r="BA231" s="471">
        <f>VLOOKUP(AW231,'Item Master Data'!$A:$G,7,FALSE)</f>
        <v>30</v>
      </c>
      <c r="BB231" s="471"/>
      <c r="BC231" s="471">
        <f t="shared" si="40"/>
        <v>0</v>
      </c>
    </row>
    <row r="232" spans="1:55">
      <c r="A232" s="495"/>
      <c r="B232" s="407">
        <v>44648</v>
      </c>
      <c r="C232" s="407">
        <v>44648</v>
      </c>
      <c r="D232" s="485" t="s">
        <v>86</v>
      </c>
      <c r="E232" s="474" t="s">
        <v>2160</v>
      </c>
      <c r="F232" s="486" t="s">
        <v>87</v>
      </c>
      <c r="G232" s="380">
        <v>2022</v>
      </c>
      <c r="H232" s="474">
        <v>5</v>
      </c>
      <c r="I232" s="474"/>
      <c r="J232" s="475"/>
      <c r="K232" s="474" t="s">
        <v>2000</v>
      </c>
      <c r="L232" s="474" t="s">
        <v>1699</v>
      </c>
      <c r="M232" s="475">
        <v>44579</v>
      </c>
      <c r="N232" s="475">
        <v>44623</v>
      </c>
      <c r="O232" s="475">
        <v>44696</v>
      </c>
      <c r="P232" s="475" t="s">
        <v>2161</v>
      </c>
      <c r="Q232" s="475"/>
      <c r="R232" s="475"/>
      <c r="S232" s="474" t="s">
        <v>88</v>
      </c>
      <c r="T232" s="474">
        <v>72</v>
      </c>
      <c r="U232" s="486" t="s">
        <v>1082</v>
      </c>
      <c r="V232" s="474" t="s">
        <v>1070</v>
      </c>
      <c r="W232" s="474">
        <v>475</v>
      </c>
      <c r="X232" s="432">
        <v>1140</v>
      </c>
      <c r="Y232" s="389">
        <f t="shared" si="43"/>
        <v>541500</v>
      </c>
      <c r="Z232" s="478">
        <f>228/475</f>
        <v>0.48</v>
      </c>
      <c r="AA232" s="480">
        <f t="shared" si="44"/>
        <v>259920</v>
      </c>
      <c r="AB232" s="480"/>
      <c r="AC232" s="481">
        <f>AB232*Y232</f>
        <v>0</v>
      </c>
      <c r="AD232" s="474"/>
      <c r="AE232" s="474"/>
      <c r="AF232" s="493">
        <f t="shared" si="45"/>
        <v>259920</v>
      </c>
      <c r="AG232" s="474" t="s">
        <v>1071</v>
      </c>
      <c r="AH232" s="474"/>
      <c r="AI232" s="474">
        <v>60</v>
      </c>
      <c r="AJ232" s="475" t="s">
        <v>2001</v>
      </c>
      <c r="AK232" s="475" t="s">
        <v>50</v>
      </c>
      <c r="AL232" s="483" t="s">
        <v>2002</v>
      </c>
      <c r="AM232" s="474" t="s">
        <v>52</v>
      </c>
      <c r="AN232" s="384" t="s">
        <v>50</v>
      </c>
      <c r="AO232" s="474" t="s">
        <v>1076</v>
      </c>
      <c r="AP232" s="482" t="s">
        <v>92</v>
      </c>
      <c r="AQ232" s="474" t="s">
        <v>37</v>
      </c>
      <c r="AR232" s="474"/>
      <c r="AS232" s="473" t="s">
        <v>1492</v>
      </c>
      <c r="AT232" s="473"/>
      <c r="AU232" s="478"/>
      <c r="AV232" s="471" t="str">
        <f t="shared" si="38"/>
        <v>12005833C</v>
      </c>
      <c r="AW232" s="471" cm="1">
        <f t="array" ref="AW232">SUM(MID(0&amp;AV232,LARGE(INDEX(ISNUMBER(--MID(AV232,ROW($1:$8),1))*ROW($1:$8),),ROW($1:$8))+1,1)*10^ROW($1:$8)/10)</f>
        <v>12005833</v>
      </c>
      <c r="AX232" s="471" t="str">
        <f>VLOOKUP($AW232,'Item Master Data'!$A:$F,3,FALSE)</f>
        <v>Q.PEAK DUO XL G10 BFG</v>
      </c>
      <c r="AY232" s="471">
        <f>VLOOKUP($AW232,'Item Master Data'!$A:$F,6,FALSE)</f>
        <v>475</v>
      </c>
      <c r="AZ232" s="471">
        <f t="shared" si="39"/>
        <v>38</v>
      </c>
      <c r="BA232" s="471">
        <f>VLOOKUP(AW232,'Item Master Data'!$A:$G,7,FALSE)</f>
        <v>30</v>
      </c>
      <c r="BB232" s="471"/>
      <c r="BC232" s="471">
        <f t="shared" si="40"/>
        <v>0</v>
      </c>
    </row>
    <row r="233" spans="1:55">
      <c r="A233" s="495"/>
      <c r="B233" s="407">
        <v>44648</v>
      </c>
      <c r="C233" s="407">
        <v>44648</v>
      </c>
      <c r="D233" s="485" t="s">
        <v>86</v>
      </c>
      <c r="E233" s="474" t="s">
        <v>2162</v>
      </c>
      <c r="F233" s="486" t="s">
        <v>87</v>
      </c>
      <c r="G233" s="380">
        <v>2022</v>
      </c>
      <c r="H233" s="474">
        <v>5</v>
      </c>
      <c r="I233" s="474"/>
      <c r="J233" s="597"/>
      <c r="K233" s="474" t="s">
        <v>2000</v>
      </c>
      <c r="L233" s="474" t="s">
        <v>1699</v>
      </c>
      <c r="M233" s="475">
        <v>44579</v>
      </c>
      <c r="N233" s="475">
        <v>44623</v>
      </c>
      <c r="O233" s="475">
        <v>44696</v>
      </c>
      <c r="P233" s="475" t="s">
        <v>2161</v>
      </c>
      <c r="Q233" s="475"/>
      <c r="R233" s="475"/>
      <c r="S233" s="474" t="s">
        <v>88</v>
      </c>
      <c r="T233" s="474">
        <v>72</v>
      </c>
      <c r="U233" s="486" t="s">
        <v>1082</v>
      </c>
      <c r="V233" s="474" t="s">
        <v>1070</v>
      </c>
      <c r="W233" s="474">
        <v>475</v>
      </c>
      <c r="X233" s="432">
        <v>720</v>
      </c>
      <c r="Y233" s="389">
        <f t="shared" si="43"/>
        <v>342000</v>
      </c>
      <c r="Z233" s="478">
        <f>228/475</f>
        <v>0.48</v>
      </c>
      <c r="AA233" s="480">
        <f t="shared" si="44"/>
        <v>164160</v>
      </c>
      <c r="AB233" s="480"/>
      <c r="AC233" s="481">
        <f>AB233*Y233</f>
        <v>0</v>
      </c>
      <c r="AD233" s="474"/>
      <c r="AE233" s="474"/>
      <c r="AF233" s="493">
        <f t="shared" si="45"/>
        <v>164160</v>
      </c>
      <c r="AG233" s="474" t="s">
        <v>1071</v>
      </c>
      <c r="AH233" s="474"/>
      <c r="AI233" s="474">
        <v>60</v>
      </c>
      <c r="AJ233" s="475" t="s">
        <v>1913</v>
      </c>
      <c r="AK233" s="475" t="s">
        <v>50</v>
      </c>
      <c r="AL233" s="483" t="s">
        <v>2163</v>
      </c>
      <c r="AM233" s="474" t="s">
        <v>52</v>
      </c>
      <c r="AN233" s="384" t="s">
        <v>50</v>
      </c>
      <c r="AO233" s="474" t="s">
        <v>1076</v>
      </c>
      <c r="AP233" s="482" t="s">
        <v>92</v>
      </c>
      <c r="AQ233" s="474" t="s">
        <v>37</v>
      </c>
      <c r="AR233" s="474"/>
      <c r="AS233" s="473" t="s">
        <v>1492</v>
      </c>
      <c r="AT233" s="473"/>
      <c r="AU233" s="478"/>
      <c r="AV233" s="471" t="str">
        <f t="shared" si="38"/>
        <v>12005833C</v>
      </c>
      <c r="AW233" s="471" cm="1">
        <f t="array" ref="AW233">SUM(MID(0&amp;AV233,LARGE(INDEX(ISNUMBER(--MID(AV233,ROW($1:$8),1))*ROW($1:$8),),ROW($1:$8))+1,1)*10^ROW($1:$8)/10)</f>
        <v>12005833</v>
      </c>
      <c r="AX233" s="471" t="str">
        <f>VLOOKUP($AW233,'Item Master Data'!$A:$F,3,FALSE)</f>
        <v>Q.PEAK DUO XL G10 BFG</v>
      </c>
      <c r="AY233" s="471">
        <f>VLOOKUP($AW233,'Item Master Data'!$A:$F,6,FALSE)</f>
        <v>475</v>
      </c>
      <c r="AZ233" s="471">
        <f t="shared" si="39"/>
        <v>24</v>
      </c>
      <c r="BA233" s="471">
        <f>VLOOKUP(AW233,'Item Master Data'!$A:$G,7,FALSE)</f>
        <v>30</v>
      </c>
      <c r="BB233" s="471"/>
      <c r="BC233" s="471">
        <f t="shared" si="40"/>
        <v>0</v>
      </c>
    </row>
    <row r="234" spans="1:55">
      <c r="A234" s="495"/>
      <c r="B234" s="407"/>
      <c r="C234" s="407"/>
      <c r="D234" s="485" t="s">
        <v>86</v>
      </c>
      <c r="E234" s="474" t="s">
        <v>5469</v>
      </c>
      <c r="F234" s="486" t="s">
        <v>87</v>
      </c>
      <c r="G234" s="380">
        <v>2022</v>
      </c>
      <c r="H234" s="474">
        <v>5</v>
      </c>
      <c r="I234" s="474"/>
      <c r="J234" s="475"/>
      <c r="K234" s="474" t="s">
        <v>2203</v>
      </c>
      <c r="L234" s="474" t="s">
        <v>2011</v>
      </c>
      <c r="M234" s="475">
        <v>44463</v>
      </c>
      <c r="N234" s="475">
        <v>44564</v>
      </c>
      <c r="O234" s="475">
        <v>44536</v>
      </c>
      <c r="P234" s="475"/>
      <c r="Q234" s="475"/>
      <c r="R234" s="475"/>
      <c r="S234" s="474" t="s">
        <v>1688</v>
      </c>
      <c r="T234" s="474">
        <v>72</v>
      </c>
      <c r="U234" s="486"/>
      <c r="V234" s="474" t="s">
        <v>1002</v>
      </c>
      <c r="W234" s="474">
        <v>480</v>
      </c>
      <c r="X234" s="432">
        <v>638</v>
      </c>
      <c r="Y234" s="389">
        <f t="shared" si="43"/>
        <v>306240</v>
      </c>
      <c r="Z234" s="478">
        <f>225.6/480</f>
        <v>0.47</v>
      </c>
      <c r="AA234" s="480">
        <f t="shared" si="44"/>
        <v>143932.79999999999</v>
      </c>
      <c r="AB234" s="480"/>
      <c r="AC234" s="481">
        <v>0</v>
      </c>
      <c r="AD234" s="474"/>
      <c r="AE234" s="474"/>
      <c r="AF234" s="493">
        <f t="shared" si="45"/>
        <v>143932.79999999999</v>
      </c>
      <c r="AG234" s="474" t="s">
        <v>1071</v>
      </c>
      <c r="AH234" s="474"/>
      <c r="AI234" s="474">
        <v>60</v>
      </c>
      <c r="AJ234" s="475" t="s">
        <v>2204</v>
      </c>
      <c r="AK234" s="475" t="s">
        <v>50</v>
      </c>
      <c r="AL234" s="483" t="s">
        <v>2205</v>
      </c>
      <c r="AM234" s="474" t="s">
        <v>52</v>
      </c>
      <c r="AN234" s="384"/>
      <c r="AO234" s="474" t="s">
        <v>1076</v>
      </c>
      <c r="AP234" s="482"/>
      <c r="AQ234" s="474" t="s">
        <v>1086</v>
      </c>
      <c r="AR234" s="474"/>
      <c r="AS234" s="473"/>
      <c r="AT234" s="473"/>
      <c r="AU234" s="478"/>
      <c r="AV234" s="471">
        <f t="shared" si="38"/>
        <v>0</v>
      </c>
      <c r="AW234" s="471" cm="1">
        <f t="array" ref="AW234">SUM(MID(0&amp;AV234,LARGE(INDEX(ISNUMBER(--MID(AV234,ROW($1:$8),1))*ROW($1:$8),),ROW($1:$8))+1,1)*10^ROW($1:$8)/10)</f>
        <v>0</v>
      </c>
      <c r="AX234" s="471" t="e">
        <f>VLOOKUP($AW234,'Item Master Data'!$A:$F,3,FALSE)</f>
        <v>#N/A</v>
      </c>
      <c r="AY234" s="471" t="e">
        <f>VLOOKUP($AW234,'Item Master Data'!$A:$F,6,FALSE)</f>
        <v>#N/A</v>
      </c>
      <c r="AZ234" s="471" t="e">
        <f t="shared" si="39"/>
        <v>#N/A</v>
      </c>
      <c r="BA234" s="471" t="e">
        <f>VLOOKUP(AW234,'Item Master Data'!$A:$G,7,FALSE)</f>
        <v>#N/A</v>
      </c>
      <c r="BB234" s="471"/>
      <c r="BC234" s="471" t="e">
        <f t="shared" si="40"/>
        <v>#N/A</v>
      </c>
    </row>
    <row r="235" spans="1:55">
      <c r="A235" s="495"/>
      <c r="B235" s="407">
        <v>44924</v>
      </c>
      <c r="C235" s="407">
        <v>44924</v>
      </c>
      <c r="D235" s="485" t="s">
        <v>86</v>
      </c>
      <c r="E235" s="474"/>
      <c r="F235" s="486" t="s">
        <v>87</v>
      </c>
      <c r="G235" s="380">
        <v>2022</v>
      </c>
      <c r="H235" s="474">
        <v>5</v>
      </c>
      <c r="I235" s="474"/>
      <c r="J235" s="475"/>
      <c r="K235" s="474" t="s">
        <v>2010</v>
      </c>
      <c r="L235" s="474" t="s">
        <v>2011</v>
      </c>
      <c r="M235" s="475">
        <v>44488</v>
      </c>
      <c r="N235" s="475">
        <v>44578</v>
      </c>
      <c r="O235" s="475">
        <v>44634</v>
      </c>
      <c r="P235" s="475"/>
      <c r="Q235" s="475"/>
      <c r="R235" s="475"/>
      <c r="S235" s="474" t="s">
        <v>1688</v>
      </c>
      <c r="T235" s="474">
        <v>72</v>
      </c>
      <c r="U235" s="486"/>
      <c r="V235" s="474" t="s">
        <v>1070</v>
      </c>
      <c r="W235" s="474">
        <v>480</v>
      </c>
      <c r="X235" s="432">
        <v>1276</v>
      </c>
      <c r="Y235" s="389">
        <f t="shared" si="43"/>
        <v>612480</v>
      </c>
      <c r="Z235" s="478">
        <f>240/480</f>
        <v>0.5</v>
      </c>
      <c r="AA235" s="480">
        <f t="shared" si="44"/>
        <v>306240</v>
      </c>
      <c r="AB235" s="480"/>
      <c r="AC235" s="481">
        <f t="shared" ref="AC235:AC269" si="46">AB235*Y235</f>
        <v>0</v>
      </c>
      <c r="AD235" s="474"/>
      <c r="AE235" s="398"/>
      <c r="AF235" s="493">
        <f t="shared" si="45"/>
        <v>306240</v>
      </c>
      <c r="AG235" s="474" t="s">
        <v>1071</v>
      </c>
      <c r="AH235" s="474"/>
      <c r="AI235" s="474">
        <v>60</v>
      </c>
      <c r="AJ235" s="475" t="s">
        <v>2012</v>
      </c>
      <c r="AK235" s="475" t="s">
        <v>50</v>
      </c>
      <c r="AL235" s="483" t="s">
        <v>2013</v>
      </c>
      <c r="AM235" s="474" t="s">
        <v>52</v>
      </c>
      <c r="AN235" s="384" t="s">
        <v>50</v>
      </c>
      <c r="AO235" s="474" t="s">
        <v>1076</v>
      </c>
      <c r="AP235" s="482" t="s">
        <v>92</v>
      </c>
      <c r="AQ235" s="474" t="s">
        <v>37</v>
      </c>
      <c r="AR235" s="474"/>
      <c r="AS235" s="473"/>
      <c r="AT235" s="473"/>
      <c r="AU235" s="478"/>
      <c r="AV235" s="471">
        <f t="shared" si="38"/>
        <v>0</v>
      </c>
      <c r="AW235" s="471" cm="1">
        <f t="array" ref="AW235">SUM(MID(0&amp;AV235,LARGE(INDEX(ISNUMBER(--MID(AV235,ROW($1:$8),1))*ROW($1:$8),),ROW($1:$8))+1,1)*10^ROW($1:$8)/10)</f>
        <v>0</v>
      </c>
      <c r="AX235" s="471" t="e">
        <f>VLOOKUP($AW235,'Item Master Data'!$A:$F,3,FALSE)</f>
        <v>#N/A</v>
      </c>
      <c r="AY235" s="471" t="e">
        <f>VLOOKUP($AW235,'Item Master Data'!$A:$F,6,FALSE)</f>
        <v>#N/A</v>
      </c>
      <c r="AZ235" s="471" t="e">
        <f t="shared" si="39"/>
        <v>#N/A</v>
      </c>
      <c r="BA235" s="471" t="e">
        <f>VLOOKUP(AW235,'Item Master Data'!$A:$G,7,FALSE)</f>
        <v>#N/A</v>
      </c>
      <c r="BB235" s="471"/>
      <c r="BC235" s="471" t="e">
        <f t="shared" si="40"/>
        <v>#N/A</v>
      </c>
    </row>
    <row r="236" spans="1:55">
      <c r="A236" s="495"/>
      <c r="B236" s="407">
        <v>44581</v>
      </c>
      <c r="C236" s="407">
        <v>44581</v>
      </c>
      <c r="D236" s="485" t="s">
        <v>86</v>
      </c>
      <c r="E236" s="474"/>
      <c r="F236" s="486" t="s">
        <v>87</v>
      </c>
      <c r="G236" s="380">
        <v>2022</v>
      </c>
      <c r="H236" s="474">
        <v>5</v>
      </c>
      <c r="I236" s="474"/>
      <c r="J236" s="475"/>
      <c r="K236" s="474" t="s">
        <v>2014</v>
      </c>
      <c r="L236" s="474" t="s">
        <v>2011</v>
      </c>
      <c r="M236" s="475">
        <v>44488</v>
      </c>
      <c r="N236" s="475">
        <v>44613</v>
      </c>
      <c r="O236" s="475">
        <v>44648</v>
      </c>
      <c r="P236" s="475"/>
      <c r="Q236" s="475"/>
      <c r="R236" s="475"/>
      <c r="S236" s="474" t="s">
        <v>1688</v>
      </c>
      <c r="T236" s="474">
        <v>72</v>
      </c>
      <c r="U236" s="486"/>
      <c r="V236" s="474" t="s">
        <v>1070</v>
      </c>
      <c r="W236" s="474">
        <v>480</v>
      </c>
      <c r="X236" s="432">
        <v>638</v>
      </c>
      <c r="Y236" s="389">
        <f t="shared" si="43"/>
        <v>306240</v>
      </c>
      <c r="Z236" s="478">
        <f>240/480</f>
        <v>0.5</v>
      </c>
      <c r="AA236" s="480">
        <f t="shared" si="44"/>
        <v>153120</v>
      </c>
      <c r="AB236" s="480"/>
      <c r="AC236" s="481">
        <f t="shared" si="46"/>
        <v>0</v>
      </c>
      <c r="AD236" s="474"/>
      <c r="AE236" s="398"/>
      <c r="AF236" s="493">
        <f t="shared" si="45"/>
        <v>153120</v>
      </c>
      <c r="AG236" s="474" t="s">
        <v>1071</v>
      </c>
      <c r="AH236" s="474"/>
      <c r="AI236" s="474">
        <v>60</v>
      </c>
      <c r="AJ236" s="475" t="s">
        <v>2012</v>
      </c>
      <c r="AK236" s="475" t="s">
        <v>50</v>
      </c>
      <c r="AL236" s="483" t="s">
        <v>2013</v>
      </c>
      <c r="AM236" s="474" t="s">
        <v>52</v>
      </c>
      <c r="AN236" s="384" t="s">
        <v>50</v>
      </c>
      <c r="AO236" s="474" t="s">
        <v>1076</v>
      </c>
      <c r="AP236" s="482" t="s">
        <v>92</v>
      </c>
      <c r="AQ236" s="474" t="s">
        <v>37</v>
      </c>
      <c r="AR236" s="474"/>
      <c r="AS236" s="473"/>
      <c r="AT236" s="473"/>
      <c r="AU236" s="478"/>
      <c r="AV236" s="471">
        <f t="shared" si="38"/>
        <v>0</v>
      </c>
      <c r="AW236" s="471" cm="1">
        <f t="array" ref="AW236">SUM(MID(0&amp;AV236,LARGE(INDEX(ISNUMBER(--MID(AV236,ROW($1:$8),1))*ROW($1:$8),),ROW($1:$8))+1,1)*10^ROW($1:$8)/10)</f>
        <v>0</v>
      </c>
      <c r="AX236" s="471" t="e">
        <f>VLOOKUP($AW236,'Item Master Data'!$A:$F,3,FALSE)</f>
        <v>#N/A</v>
      </c>
      <c r="AY236" s="471" t="e">
        <f>VLOOKUP($AW236,'Item Master Data'!$A:$F,6,FALSE)</f>
        <v>#N/A</v>
      </c>
      <c r="AZ236" s="471" t="e">
        <f t="shared" si="39"/>
        <v>#N/A</v>
      </c>
      <c r="BA236" s="471" t="e">
        <f>VLOOKUP(AW236,'Item Master Data'!$A:$G,7,FALSE)</f>
        <v>#N/A</v>
      </c>
      <c r="BB236" s="471"/>
      <c r="BC236" s="471" t="e">
        <f t="shared" si="40"/>
        <v>#N/A</v>
      </c>
    </row>
    <row r="237" spans="1:55">
      <c r="A237" s="495"/>
      <c r="B237" s="407">
        <v>44642</v>
      </c>
      <c r="C237" s="495"/>
      <c r="D237" s="474" t="s">
        <v>86</v>
      </c>
      <c r="E237" s="336"/>
      <c r="F237" s="474"/>
      <c r="G237" s="380">
        <v>2022</v>
      </c>
      <c r="H237" s="474">
        <v>5</v>
      </c>
      <c r="I237" s="474"/>
      <c r="J237" s="475"/>
      <c r="K237" s="474" t="s">
        <v>2213</v>
      </c>
      <c r="L237" s="474" t="s">
        <v>2011</v>
      </c>
      <c r="M237" s="475">
        <v>44557</v>
      </c>
      <c r="N237" s="475">
        <v>44606</v>
      </c>
      <c r="O237" s="475">
        <v>44687</v>
      </c>
      <c r="P237" s="475">
        <v>44678</v>
      </c>
      <c r="Q237" s="475"/>
      <c r="R237" s="474"/>
      <c r="S237" s="474" t="s">
        <v>1688</v>
      </c>
      <c r="T237" s="474">
        <v>60</v>
      </c>
      <c r="U237" s="486" t="s">
        <v>1281</v>
      </c>
      <c r="V237" s="474" t="s">
        <v>973</v>
      </c>
      <c r="W237" s="474">
        <v>400</v>
      </c>
      <c r="X237" s="432">
        <v>832</v>
      </c>
      <c r="Y237" s="389">
        <f t="shared" si="43"/>
        <v>332800</v>
      </c>
      <c r="Z237" s="478">
        <f>220/400</f>
        <v>0.55000000000000004</v>
      </c>
      <c r="AA237" s="479">
        <f t="shared" si="44"/>
        <v>183040.00000000003</v>
      </c>
      <c r="AB237" s="480"/>
      <c r="AC237" s="481">
        <f t="shared" si="46"/>
        <v>0</v>
      </c>
      <c r="AD237" s="474"/>
      <c r="AE237" s="474"/>
      <c r="AF237" s="493">
        <f t="shared" si="45"/>
        <v>183040.00000000003</v>
      </c>
      <c r="AG237" s="474" t="s">
        <v>1071</v>
      </c>
      <c r="AH237" s="474"/>
      <c r="AI237" s="474">
        <v>60</v>
      </c>
      <c r="AJ237" s="475" t="s">
        <v>2012</v>
      </c>
      <c r="AK237" s="475" t="s">
        <v>50</v>
      </c>
      <c r="AL237" s="483" t="s">
        <v>2013</v>
      </c>
      <c r="AM237" s="474" t="s">
        <v>52</v>
      </c>
      <c r="AN237" s="474" t="s">
        <v>50</v>
      </c>
      <c r="AO237" s="474" t="s">
        <v>1076</v>
      </c>
      <c r="AP237" s="482" t="s">
        <v>92</v>
      </c>
      <c r="AQ237" s="482" t="s">
        <v>37</v>
      </c>
      <c r="AR237" s="482"/>
      <c r="AS237" s="473"/>
      <c r="AT237" s="473"/>
      <c r="AU237" s="478">
        <f>208/400</f>
        <v>0.52</v>
      </c>
      <c r="AV237" s="471" t="str">
        <f t="shared" si="38"/>
        <v>30390456H</v>
      </c>
      <c r="AW237" s="471" cm="1">
        <f t="array" ref="AW237">SUM(MID(0&amp;AV237,LARGE(INDEX(ISNUMBER(--MID(AV237,ROW($1:$8),1))*ROW($1:$8),),ROW($1:$8))+1,1)*10^ROW($1:$8)/10)</f>
        <v>30390456</v>
      </c>
      <c r="AX237" s="471" t="str">
        <f>VLOOKUP($AW237,'Item Master Data'!$A:$F,3,FALSE)</f>
        <v>Q.PEAK DUO BLK ML G10+</v>
      </c>
      <c r="AY237" s="471">
        <f>VLOOKUP($AW237,'Item Master Data'!$A:$F,6,FALSE)</f>
        <v>400</v>
      </c>
      <c r="AZ237" s="471">
        <f t="shared" si="39"/>
        <v>26</v>
      </c>
      <c r="BA237" s="471">
        <f>VLOOKUP(AW237,'Item Master Data'!$A:$G,7,FALSE)</f>
        <v>32</v>
      </c>
      <c r="BB237" s="471"/>
      <c r="BC237" s="471">
        <f t="shared" si="40"/>
        <v>0</v>
      </c>
    </row>
    <row r="238" spans="1:55">
      <c r="A238" s="495"/>
      <c r="B238" s="407">
        <v>44642</v>
      </c>
      <c r="C238" s="495"/>
      <c r="D238" s="474" t="s">
        <v>86</v>
      </c>
      <c r="E238" s="336"/>
      <c r="F238" s="474"/>
      <c r="G238" s="380">
        <v>2022</v>
      </c>
      <c r="H238" s="474">
        <v>5</v>
      </c>
      <c r="I238" s="474"/>
      <c r="J238" s="475"/>
      <c r="K238" s="474" t="s">
        <v>2214</v>
      </c>
      <c r="L238" s="474" t="s">
        <v>2011</v>
      </c>
      <c r="M238" s="475">
        <v>44557</v>
      </c>
      <c r="N238" s="475">
        <v>44676</v>
      </c>
      <c r="O238" s="475">
        <v>44690</v>
      </c>
      <c r="P238" s="475">
        <v>44678</v>
      </c>
      <c r="Q238" s="475"/>
      <c r="R238" s="474"/>
      <c r="S238" s="474" t="s">
        <v>1688</v>
      </c>
      <c r="T238" s="474">
        <v>60</v>
      </c>
      <c r="U238" s="486" t="s">
        <v>1281</v>
      </c>
      <c r="V238" s="474" t="s">
        <v>973</v>
      </c>
      <c r="W238" s="474">
        <v>400</v>
      </c>
      <c r="X238" s="432">
        <v>1664</v>
      </c>
      <c r="Y238" s="389">
        <f t="shared" si="43"/>
        <v>665600</v>
      </c>
      <c r="Z238" s="478">
        <f>220/400</f>
        <v>0.55000000000000004</v>
      </c>
      <c r="AA238" s="479">
        <f t="shared" si="44"/>
        <v>366080.00000000006</v>
      </c>
      <c r="AB238" s="480"/>
      <c r="AC238" s="481">
        <f t="shared" si="46"/>
        <v>0</v>
      </c>
      <c r="AD238" s="474"/>
      <c r="AE238" s="474"/>
      <c r="AF238" s="493">
        <f t="shared" si="45"/>
        <v>366080.00000000006</v>
      </c>
      <c r="AG238" s="474" t="s">
        <v>1071</v>
      </c>
      <c r="AH238" s="474"/>
      <c r="AI238" s="474">
        <v>60</v>
      </c>
      <c r="AJ238" s="475" t="s">
        <v>2012</v>
      </c>
      <c r="AK238" s="475" t="s">
        <v>50</v>
      </c>
      <c r="AL238" s="483" t="s">
        <v>2013</v>
      </c>
      <c r="AM238" s="474" t="s">
        <v>52</v>
      </c>
      <c r="AN238" s="474" t="s">
        <v>50</v>
      </c>
      <c r="AO238" s="474" t="s">
        <v>1076</v>
      </c>
      <c r="AP238" s="482" t="s">
        <v>92</v>
      </c>
      <c r="AQ238" s="482" t="s">
        <v>37</v>
      </c>
      <c r="AR238" s="482"/>
      <c r="AS238" s="473"/>
      <c r="AT238" s="473"/>
      <c r="AU238" s="478">
        <f>208/400</f>
        <v>0.52</v>
      </c>
      <c r="AV238" s="471" t="str">
        <f t="shared" si="38"/>
        <v>30390456H</v>
      </c>
      <c r="AW238" s="471" cm="1">
        <f t="array" ref="AW238">SUM(MID(0&amp;AV238,LARGE(INDEX(ISNUMBER(--MID(AV238,ROW($1:$8),1))*ROW($1:$8),),ROW($1:$8))+1,1)*10^ROW($1:$8)/10)</f>
        <v>30390456</v>
      </c>
      <c r="AX238" s="471" t="str">
        <f>VLOOKUP($AW238,'Item Master Data'!$A:$F,3,FALSE)</f>
        <v>Q.PEAK DUO BLK ML G10+</v>
      </c>
      <c r="AY238" s="471">
        <f>VLOOKUP($AW238,'Item Master Data'!$A:$F,6,FALSE)</f>
        <v>400</v>
      </c>
      <c r="AZ238" s="471">
        <f t="shared" si="39"/>
        <v>52</v>
      </c>
      <c r="BA238" s="471">
        <f>VLOOKUP(AW238,'Item Master Data'!$A:$G,7,FALSE)</f>
        <v>32</v>
      </c>
      <c r="BB238" s="471"/>
      <c r="BC238" s="471">
        <f t="shared" si="40"/>
        <v>0</v>
      </c>
    </row>
    <row r="239" spans="1:55">
      <c r="A239" s="495"/>
      <c r="B239" s="407"/>
      <c r="C239" s="407"/>
      <c r="D239" s="485" t="s">
        <v>86</v>
      </c>
      <c r="E239" s="474"/>
      <c r="F239" s="486" t="s">
        <v>87</v>
      </c>
      <c r="G239" s="380">
        <v>2022</v>
      </c>
      <c r="H239" s="474">
        <v>5</v>
      </c>
      <c r="I239" s="474"/>
      <c r="J239" s="475"/>
      <c r="K239" s="474" t="s">
        <v>2018</v>
      </c>
      <c r="L239" s="474" t="s">
        <v>2011</v>
      </c>
      <c r="M239" s="475">
        <v>44567</v>
      </c>
      <c r="N239" s="475">
        <v>44662</v>
      </c>
      <c r="O239" s="475">
        <v>44662</v>
      </c>
      <c r="P239" s="475"/>
      <c r="Q239" s="475"/>
      <c r="R239" s="475"/>
      <c r="S239" s="474" t="s">
        <v>1688</v>
      </c>
      <c r="T239" s="474">
        <v>72</v>
      </c>
      <c r="U239" s="486"/>
      <c r="V239" s="474" t="s">
        <v>1070</v>
      </c>
      <c r="W239" s="474">
        <v>480</v>
      </c>
      <c r="X239" s="432">
        <v>1276</v>
      </c>
      <c r="Y239" s="389">
        <f t="shared" si="43"/>
        <v>612480</v>
      </c>
      <c r="Z239" s="478">
        <f>240/480</f>
        <v>0.5</v>
      </c>
      <c r="AA239" s="480">
        <f t="shared" si="44"/>
        <v>306240</v>
      </c>
      <c r="AB239" s="480"/>
      <c r="AC239" s="481">
        <f t="shared" si="46"/>
        <v>0</v>
      </c>
      <c r="AD239" s="474"/>
      <c r="AE239" s="398"/>
      <c r="AF239" s="493">
        <f t="shared" si="45"/>
        <v>306240</v>
      </c>
      <c r="AG239" s="474" t="s">
        <v>1071</v>
      </c>
      <c r="AH239" s="474"/>
      <c r="AI239" s="474">
        <v>60</v>
      </c>
      <c r="AJ239" s="475" t="s">
        <v>2012</v>
      </c>
      <c r="AK239" s="475" t="s">
        <v>50</v>
      </c>
      <c r="AL239" s="483" t="s">
        <v>2013</v>
      </c>
      <c r="AM239" s="474" t="s">
        <v>52</v>
      </c>
      <c r="AN239" s="384" t="s">
        <v>50</v>
      </c>
      <c r="AO239" s="474" t="s">
        <v>1076</v>
      </c>
      <c r="AP239" s="482"/>
      <c r="AQ239" s="474" t="s">
        <v>37</v>
      </c>
      <c r="AR239" s="474"/>
      <c r="AS239" s="473"/>
      <c r="AT239" s="473"/>
      <c r="AU239" s="478"/>
      <c r="AV239" s="471">
        <f t="shared" si="38"/>
        <v>0</v>
      </c>
      <c r="AW239" s="471" cm="1">
        <f t="array" ref="AW239">SUM(MID(0&amp;AV239,LARGE(INDEX(ISNUMBER(--MID(AV239,ROW($1:$8),1))*ROW($1:$8),),ROW($1:$8))+1,1)*10^ROW($1:$8)/10)</f>
        <v>0</v>
      </c>
      <c r="AX239" s="471" t="e">
        <f>VLOOKUP($AW239,'Item Master Data'!$A:$F,3,FALSE)</f>
        <v>#N/A</v>
      </c>
      <c r="AY239" s="471" t="e">
        <f>VLOOKUP($AW239,'Item Master Data'!$A:$F,6,FALSE)</f>
        <v>#N/A</v>
      </c>
      <c r="AZ239" s="471" t="e">
        <f t="shared" si="39"/>
        <v>#N/A</v>
      </c>
      <c r="BA239" s="471" t="e">
        <f>VLOOKUP(AW239,'Item Master Data'!$A:$G,7,FALSE)</f>
        <v>#N/A</v>
      </c>
      <c r="BB239" s="471"/>
      <c r="BC239" s="471" t="e">
        <f t="shared" si="40"/>
        <v>#N/A</v>
      </c>
    </row>
    <row r="240" spans="1:55">
      <c r="A240" s="472"/>
      <c r="B240" s="514">
        <v>44669</v>
      </c>
      <c r="C240" s="514">
        <v>44669</v>
      </c>
      <c r="D240" s="474" t="s">
        <v>86</v>
      </c>
      <c r="E240" s="474"/>
      <c r="F240" s="474" t="s">
        <v>1376</v>
      </c>
      <c r="G240" s="380">
        <v>2022</v>
      </c>
      <c r="H240" s="474">
        <v>5</v>
      </c>
      <c r="I240" s="474"/>
      <c r="J240" s="475"/>
      <c r="K240" s="344" t="s">
        <v>5173</v>
      </c>
      <c r="L240" s="474" t="s">
        <v>5174</v>
      </c>
      <c r="M240" s="475">
        <v>44659</v>
      </c>
      <c r="N240" s="475">
        <v>44659</v>
      </c>
      <c r="O240" s="475"/>
      <c r="P240" s="475"/>
      <c r="Q240" s="475"/>
      <c r="R240" s="475"/>
      <c r="S240" s="474" t="s">
        <v>88</v>
      </c>
      <c r="T240" s="474">
        <v>72</v>
      </c>
      <c r="U240" s="486"/>
      <c r="V240" s="474" t="s">
        <v>995</v>
      </c>
      <c r="W240" s="474">
        <v>475</v>
      </c>
      <c r="X240" s="432">
        <v>780</v>
      </c>
      <c r="Y240" s="389">
        <f t="shared" si="43"/>
        <v>370500</v>
      </c>
      <c r="Z240" s="478">
        <f>261.25/475</f>
        <v>0.55000000000000004</v>
      </c>
      <c r="AA240" s="480">
        <f t="shared" si="44"/>
        <v>203775.00000000003</v>
      </c>
      <c r="AB240" s="386"/>
      <c r="AC240" s="481">
        <f t="shared" si="46"/>
        <v>0</v>
      </c>
      <c r="AD240" s="474"/>
      <c r="AE240" s="482"/>
      <c r="AF240" s="493">
        <f t="shared" si="45"/>
        <v>203775.00000000003</v>
      </c>
      <c r="AG240" s="474" t="s">
        <v>1071</v>
      </c>
      <c r="AH240" s="447"/>
      <c r="AI240" s="474">
        <v>60</v>
      </c>
      <c r="AJ240" s="474" t="s">
        <v>5175</v>
      </c>
      <c r="AK240" s="474" t="s">
        <v>2321</v>
      </c>
      <c r="AL240" s="494">
        <v>93401</v>
      </c>
      <c r="AM240" s="474" t="s">
        <v>52</v>
      </c>
      <c r="AN240" s="474" t="s">
        <v>1695</v>
      </c>
      <c r="AO240" s="474" t="s">
        <v>1076</v>
      </c>
      <c r="AP240" s="482"/>
      <c r="AQ240" s="474" t="s">
        <v>37</v>
      </c>
      <c r="AR240" s="474"/>
      <c r="AS240" s="387" t="s">
        <v>1152</v>
      </c>
      <c r="AT240" s="387" t="s">
        <v>1076</v>
      </c>
      <c r="AU240" s="478"/>
      <c r="AV240" s="471">
        <f t="shared" si="38"/>
        <v>0</v>
      </c>
      <c r="AW240" s="471" cm="1">
        <f t="array" ref="AW240">SUM(MID(0&amp;AV240,LARGE(INDEX(ISNUMBER(--MID(AV240,ROW($1:$8),1))*ROW($1:$8),),ROW($1:$8))+1,1)*10^ROW($1:$8)/10)</f>
        <v>0</v>
      </c>
      <c r="AX240" s="471" t="e">
        <f>VLOOKUP($AW240,'Item Master Data'!$A:$F,3,FALSE)</f>
        <v>#N/A</v>
      </c>
      <c r="AY240" s="471" t="e">
        <f>VLOOKUP($AW240,'Item Master Data'!$A:$F,6,FALSE)</f>
        <v>#N/A</v>
      </c>
      <c r="AZ240" s="471" t="e">
        <f t="shared" si="39"/>
        <v>#N/A</v>
      </c>
      <c r="BA240" s="471" t="e">
        <f>VLOOKUP(AW240,'Item Master Data'!$A:$G,7,FALSE)</f>
        <v>#N/A</v>
      </c>
      <c r="BB240" s="471"/>
      <c r="BC240" s="471" t="e">
        <f t="shared" si="40"/>
        <v>#N/A</v>
      </c>
    </row>
    <row r="241" spans="1:55">
      <c r="A241" s="495"/>
      <c r="B241" s="407"/>
      <c r="C241" s="407"/>
      <c r="D241" s="485" t="s">
        <v>86</v>
      </c>
      <c r="E241" s="474" t="s">
        <v>2030</v>
      </c>
      <c r="F241" s="486" t="s">
        <v>87</v>
      </c>
      <c r="G241" s="380">
        <v>2022</v>
      </c>
      <c r="H241" s="474">
        <v>5</v>
      </c>
      <c r="I241" s="474"/>
      <c r="J241" s="475"/>
      <c r="K241" s="474" t="s">
        <v>2031</v>
      </c>
      <c r="L241" s="474" t="s">
        <v>2025</v>
      </c>
      <c r="M241" s="475">
        <v>44533</v>
      </c>
      <c r="N241" s="475">
        <v>44630</v>
      </c>
      <c r="O241" s="475">
        <v>44661</v>
      </c>
      <c r="P241" s="475" t="s">
        <v>1903</v>
      </c>
      <c r="Q241" s="475"/>
      <c r="R241" s="475"/>
      <c r="S241" s="474" t="s">
        <v>1957</v>
      </c>
      <c r="T241" s="474">
        <v>72</v>
      </c>
      <c r="U241" s="486">
        <v>49303156</v>
      </c>
      <c r="V241" s="474" t="s">
        <v>2032</v>
      </c>
      <c r="W241" s="474">
        <v>480</v>
      </c>
      <c r="X241" s="432">
        <v>580</v>
      </c>
      <c r="Y241" s="389">
        <f t="shared" si="43"/>
        <v>278400</v>
      </c>
      <c r="Z241" s="478">
        <f>232.75/480</f>
        <v>0.48489583333333336</v>
      </c>
      <c r="AA241" s="480">
        <f t="shared" si="44"/>
        <v>134995</v>
      </c>
      <c r="AB241" s="480"/>
      <c r="AC241" s="481">
        <f t="shared" si="46"/>
        <v>0</v>
      </c>
      <c r="AD241" s="474"/>
      <c r="AE241" s="398"/>
      <c r="AF241" s="493">
        <f t="shared" si="45"/>
        <v>134995</v>
      </c>
      <c r="AG241" s="474" t="s">
        <v>1071</v>
      </c>
      <c r="AH241" s="474"/>
      <c r="AI241" s="474">
        <v>60</v>
      </c>
      <c r="AJ241" s="475" t="s">
        <v>2026</v>
      </c>
      <c r="AK241" s="475" t="s">
        <v>50</v>
      </c>
      <c r="AL241" s="483">
        <v>95403</v>
      </c>
      <c r="AM241" s="474" t="s">
        <v>52</v>
      </c>
      <c r="AN241" s="384" t="s">
        <v>1695</v>
      </c>
      <c r="AO241" s="474" t="s">
        <v>1076</v>
      </c>
      <c r="AP241" s="482"/>
      <c r="AQ241" s="474" t="s">
        <v>37</v>
      </c>
      <c r="AR241" s="474"/>
      <c r="AS241" s="473" t="s">
        <v>1492</v>
      </c>
      <c r="AT241" s="473"/>
      <c r="AU241" s="478"/>
      <c r="AV241" s="471">
        <f t="shared" ref="AV241:AV304" si="47">U241</f>
        <v>49303156</v>
      </c>
      <c r="AW241" s="471" cm="1">
        <f t="array" ref="AW241">SUM(MID(0&amp;AV241,LARGE(INDEX(ISNUMBER(--MID(AV241,ROW($1:$8),1))*ROW($1:$8),),ROW($1:$8))+1,1)*10^ROW($1:$8)/10)</f>
        <v>49303156</v>
      </c>
      <c r="AX241" s="471" t="str">
        <f>VLOOKUP($AW241,'Item Master Data'!$A:$F,3,FALSE)</f>
        <v>Q.PEAK DUO XL G10 BFG</v>
      </c>
      <c r="AY241" s="471">
        <f>VLOOKUP($AW241,'Item Master Data'!$A:$F,6,FALSE)</f>
        <v>480</v>
      </c>
      <c r="AZ241" s="471">
        <f t="shared" ref="AZ241:AZ304" si="48">X241/BA241</f>
        <v>20</v>
      </c>
      <c r="BA241" s="471">
        <f>VLOOKUP(AW241,'Item Master Data'!$A:$G,7,FALSE)</f>
        <v>29</v>
      </c>
      <c r="BB241" s="471"/>
      <c r="BC241" s="471">
        <f t="shared" ref="BC241:BC304" si="49">W241-AY241</f>
        <v>0</v>
      </c>
    </row>
    <row r="242" spans="1:55">
      <c r="A242" s="495"/>
      <c r="B242" s="407"/>
      <c r="C242" s="407"/>
      <c r="D242" s="485" t="s">
        <v>86</v>
      </c>
      <c r="E242" s="474"/>
      <c r="F242" s="486" t="s">
        <v>1147</v>
      </c>
      <c r="G242" s="380">
        <v>2022</v>
      </c>
      <c r="H242" s="474">
        <v>5</v>
      </c>
      <c r="I242" s="474"/>
      <c r="J242" s="475"/>
      <c r="K242" s="474" t="s">
        <v>2221</v>
      </c>
      <c r="L242" s="474" t="s">
        <v>2025</v>
      </c>
      <c r="M242" s="475">
        <v>44533</v>
      </c>
      <c r="N242" s="475">
        <v>44630</v>
      </c>
      <c r="O242" s="475">
        <v>44691</v>
      </c>
      <c r="P242" s="475"/>
      <c r="Q242" s="475"/>
      <c r="R242" s="475"/>
      <c r="S242" s="474" t="s">
        <v>1957</v>
      </c>
      <c r="T242" s="474">
        <v>60</v>
      </c>
      <c r="U242" s="486"/>
      <c r="V242" s="474" t="s">
        <v>986</v>
      </c>
      <c r="W242" s="474">
        <v>360</v>
      </c>
      <c r="X242" s="432">
        <v>768</v>
      </c>
      <c r="Y242" s="389">
        <f t="shared" si="43"/>
        <v>276480</v>
      </c>
      <c r="Z242" s="478">
        <f>190.8/360</f>
        <v>0.53</v>
      </c>
      <c r="AA242" s="480">
        <f t="shared" si="44"/>
        <v>146534.39999999999</v>
      </c>
      <c r="AB242" s="480"/>
      <c r="AC242" s="481">
        <f t="shared" si="46"/>
        <v>0</v>
      </c>
      <c r="AD242" s="474"/>
      <c r="AE242" s="474"/>
      <c r="AF242" s="493">
        <f t="shared" si="45"/>
        <v>146534.39999999999</v>
      </c>
      <c r="AG242" s="474" t="s">
        <v>1071</v>
      </c>
      <c r="AH242" s="474"/>
      <c r="AI242" s="474">
        <v>60</v>
      </c>
      <c r="AJ242" s="475" t="s">
        <v>2026</v>
      </c>
      <c r="AK242" s="475" t="s">
        <v>50</v>
      </c>
      <c r="AL242" s="483">
        <v>95403</v>
      </c>
      <c r="AM242" s="474" t="s">
        <v>52</v>
      </c>
      <c r="AN242" s="384" t="s">
        <v>50</v>
      </c>
      <c r="AO242" s="474" t="s">
        <v>1076</v>
      </c>
      <c r="AP242" s="482" t="s">
        <v>92</v>
      </c>
      <c r="AQ242" s="474" t="s">
        <v>37</v>
      </c>
      <c r="AR242" s="474"/>
      <c r="AS242" s="473" t="s">
        <v>1492</v>
      </c>
      <c r="AT242" s="473"/>
      <c r="AU242" s="478"/>
      <c r="AV242" s="471">
        <f t="shared" si="47"/>
        <v>0</v>
      </c>
      <c r="AW242" s="471" cm="1">
        <f t="array" ref="AW242">SUM(MID(0&amp;AV242,LARGE(INDEX(ISNUMBER(--MID(AV242,ROW($1:$8),1))*ROW($1:$8),),ROW($1:$8))+1,1)*10^ROW($1:$8)/10)</f>
        <v>0</v>
      </c>
      <c r="AX242" s="471" t="e">
        <f>VLOOKUP($AW242,'Item Master Data'!$A:$F,3,FALSE)</f>
        <v>#N/A</v>
      </c>
      <c r="AY242" s="471" t="e">
        <f>VLOOKUP($AW242,'Item Master Data'!$A:$F,6,FALSE)</f>
        <v>#N/A</v>
      </c>
      <c r="AZ242" s="471" t="e">
        <f t="shared" si="48"/>
        <v>#N/A</v>
      </c>
      <c r="BA242" s="471" t="e">
        <f>VLOOKUP(AW242,'Item Master Data'!$A:$G,7,FALSE)</f>
        <v>#N/A</v>
      </c>
      <c r="BB242" s="471"/>
      <c r="BC242" s="471" t="e">
        <f t="shared" si="49"/>
        <v>#N/A</v>
      </c>
    </row>
    <row r="243" spans="1:55">
      <c r="A243" s="495"/>
      <c r="B243" s="407"/>
      <c r="C243" s="407"/>
      <c r="D243" s="485" t="s">
        <v>86</v>
      </c>
      <c r="E243" s="474" t="s">
        <v>2030</v>
      </c>
      <c r="F243" s="486" t="s">
        <v>87</v>
      </c>
      <c r="G243" s="380">
        <v>2022</v>
      </c>
      <c r="H243" s="474">
        <v>5</v>
      </c>
      <c r="I243" s="474"/>
      <c r="J243" s="475"/>
      <c r="K243" s="474" t="s">
        <v>2036</v>
      </c>
      <c r="L243" s="474" t="s">
        <v>2025</v>
      </c>
      <c r="M243" s="475">
        <v>44539</v>
      </c>
      <c r="N243" s="475">
        <v>44655</v>
      </c>
      <c r="O243" s="475"/>
      <c r="P243" s="475" t="s">
        <v>1903</v>
      </c>
      <c r="Q243" s="475"/>
      <c r="R243" s="475"/>
      <c r="S243" s="474" t="s">
        <v>1957</v>
      </c>
      <c r="T243" s="474">
        <v>72</v>
      </c>
      <c r="U243" s="486">
        <v>49303156</v>
      </c>
      <c r="V243" s="474" t="s">
        <v>2032</v>
      </c>
      <c r="W243" s="474">
        <v>480</v>
      </c>
      <c r="X243" s="432">
        <v>580</v>
      </c>
      <c r="Y243" s="389">
        <f t="shared" si="43"/>
        <v>278400</v>
      </c>
      <c r="Z243" s="478">
        <f>232.75/480</f>
        <v>0.48489583333333336</v>
      </c>
      <c r="AA243" s="480">
        <f t="shared" si="44"/>
        <v>134995</v>
      </c>
      <c r="AB243" s="480"/>
      <c r="AC243" s="481">
        <f t="shared" si="46"/>
        <v>0</v>
      </c>
      <c r="AD243" s="474"/>
      <c r="AE243" s="398"/>
      <c r="AF243" s="493">
        <f t="shared" si="45"/>
        <v>134995</v>
      </c>
      <c r="AG243" s="474" t="s">
        <v>1071</v>
      </c>
      <c r="AH243" s="474"/>
      <c r="AI243" s="474">
        <v>60</v>
      </c>
      <c r="AJ243" s="475" t="s">
        <v>2026</v>
      </c>
      <c r="AK243" s="475" t="s">
        <v>50</v>
      </c>
      <c r="AL243" s="483">
        <v>95403</v>
      </c>
      <c r="AM243" s="474" t="s">
        <v>52</v>
      </c>
      <c r="AN243" s="384" t="s">
        <v>1695</v>
      </c>
      <c r="AO243" s="474" t="s">
        <v>1076</v>
      </c>
      <c r="AP243" s="482"/>
      <c r="AQ243" s="474" t="s">
        <v>37</v>
      </c>
      <c r="AR243" s="474"/>
      <c r="AS243" s="473" t="s">
        <v>1492</v>
      </c>
      <c r="AT243" s="473"/>
      <c r="AU243" s="478"/>
      <c r="AV243" s="471">
        <f t="shared" si="47"/>
        <v>49303156</v>
      </c>
      <c r="AW243" s="471" cm="1">
        <f t="array" ref="AW243">SUM(MID(0&amp;AV243,LARGE(INDEX(ISNUMBER(--MID(AV243,ROW($1:$8),1))*ROW($1:$8),),ROW($1:$8))+1,1)*10^ROW($1:$8)/10)</f>
        <v>49303156</v>
      </c>
      <c r="AX243" s="471" t="str">
        <f>VLOOKUP($AW243,'Item Master Data'!$A:$F,3,FALSE)</f>
        <v>Q.PEAK DUO XL G10 BFG</v>
      </c>
      <c r="AY243" s="471">
        <f>VLOOKUP($AW243,'Item Master Data'!$A:$F,6,FALSE)</f>
        <v>480</v>
      </c>
      <c r="AZ243" s="471">
        <f t="shared" si="48"/>
        <v>20</v>
      </c>
      <c r="BA243" s="471">
        <f>VLOOKUP(AW243,'Item Master Data'!$A:$G,7,FALSE)</f>
        <v>29</v>
      </c>
      <c r="BB243" s="471"/>
      <c r="BC243" s="471">
        <f t="shared" si="49"/>
        <v>0</v>
      </c>
    </row>
    <row r="244" spans="1:55">
      <c r="A244" s="495"/>
      <c r="B244" s="407"/>
      <c r="C244" s="407"/>
      <c r="D244" s="485" t="s">
        <v>86</v>
      </c>
      <c r="E244" s="474"/>
      <c r="F244" s="486"/>
      <c r="G244" s="380">
        <v>2022</v>
      </c>
      <c r="H244" s="474">
        <v>5</v>
      </c>
      <c r="I244" s="474"/>
      <c r="J244" s="475"/>
      <c r="K244" s="474" t="s">
        <v>2222</v>
      </c>
      <c r="L244" s="474" t="s">
        <v>2025</v>
      </c>
      <c r="M244" s="475">
        <v>44539</v>
      </c>
      <c r="N244" s="475">
        <v>44655</v>
      </c>
      <c r="O244" s="475">
        <v>44685</v>
      </c>
      <c r="P244" s="475">
        <v>44678</v>
      </c>
      <c r="Q244" s="475"/>
      <c r="R244" s="475"/>
      <c r="S244" s="474" t="s">
        <v>1957</v>
      </c>
      <c r="T244" s="474">
        <v>60</v>
      </c>
      <c r="U244" s="486" t="s">
        <v>1281</v>
      </c>
      <c r="V244" s="474" t="s">
        <v>973</v>
      </c>
      <c r="W244" s="474">
        <v>400</v>
      </c>
      <c r="X244" s="432">
        <v>768</v>
      </c>
      <c r="Y244" s="389">
        <f t="shared" si="43"/>
        <v>307200</v>
      </c>
      <c r="Z244" s="478">
        <f>220/400</f>
        <v>0.55000000000000004</v>
      </c>
      <c r="AA244" s="480">
        <f t="shared" si="44"/>
        <v>168960</v>
      </c>
      <c r="AB244" s="480"/>
      <c r="AC244" s="481">
        <f t="shared" si="46"/>
        <v>0</v>
      </c>
      <c r="AD244" s="474"/>
      <c r="AE244" s="474"/>
      <c r="AF244" s="493">
        <f t="shared" si="45"/>
        <v>168960</v>
      </c>
      <c r="AG244" s="474" t="s">
        <v>1071</v>
      </c>
      <c r="AH244" s="474"/>
      <c r="AI244" s="474">
        <v>60</v>
      </c>
      <c r="AJ244" s="475" t="s">
        <v>2026</v>
      </c>
      <c r="AK244" s="475" t="s">
        <v>50</v>
      </c>
      <c r="AL244" s="483">
        <v>95403</v>
      </c>
      <c r="AM244" s="474" t="s">
        <v>52</v>
      </c>
      <c r="AN244" s="474" t="s">
        <v>50</v>
      </c>
      <c r="AO244" s="474" t="s">
        <v>1076</v>
      </c>
      <c r="AP244" s="482" t="s">
        <v>92</v>
      </c>
      <c r="AQ244" s="474" t="s">
        <v>37</v>
      </c>
      <c r="AR244" s="474"/>
      <c r="AS244" s="473" t="s">
        <v>1492</v>
      </c>
      <c r="AT244" s="473"/>
      <c r="AU244" s="478"/>
      <c r="AV244" s="471" t="str">
        <f t="shared" si="47"/>
        <v>30390456H</v>
      </c>
      <c r="AW244" s="471" cm="1">
        <f t="array" ref="AW244">SUM(MID(0&amp;AV244,LARGE(INDEX(ISNUMBER(--MID(AV244,ROW($1:$8),1))*ROW($1:$8),),ROW($1:$8))+1,1)*10^ROW($1:$8)/10)</f>
        <v>30390456</v>
      </c>
      <c r="AX244" s="471" t="str">
        <f>VLOOKUP($AW244,'Item Master Data'!$A:$F,3,FALSE)</f>
        <v>Q.PEAK DUO BLK ML G10+</v>
      </c>
      <c r="AY244" s="471">
        <f>VLOOKUP($AW244,'Item Master Data'!$A:$F,6,FALSE)</f>
        <v>400</v>
      </c>
      <c r="AZ244" s="471">
        <f t="shared" si="48"/>
        <v>24</v>
      </c>
      <c r="BA244" s="471">
        <f>VLOOKUP(AW244,'Item Master Data'!$A:$G,7,FALSE)</f>
        <v>32</v>
      </c>
      <c r="BB244" s="471"/>
      <c r="BC244" s="471">
        <f t="shared" si="49"/>
        <v>0</v>
      </c>
    </row>
    <row r="245" spans="1:55">
      <c r="A245" s="495"/>
      <c r="B245" s="407"/>
      <c r="C245" s="407"/>
      <c r="D245" s="485" t="s">
        <v>86</v>
      </c>
      <c r="E245" s="474" t="s">
        <v>2030</v>
      </c>
      <c r="F245" s="486" t="s">
        <v>87</v>
      </c>
      <c r="G245" s="380">
        <v>2022</v>
      </c>
      <c r="H245" s="474">
        <v>5</v>
      </c>
      <c r="I245" s="474"/>
      <c r="J245" s="475"/>
      <c r="K245" s="474" t="s">
        <v>2223</v>
      </c>
      <c r="L245" s="474" t="s">
        <v>2025</v>
      </c>
      <c r="M245" s="475">
        <v>44566</v>
      </c>
      <c r="N245" s="475">
        <v>44683</v>
      </c>
      <c r="O245" s="475"/>
      <c r="P245" s="475"/>
      <c r="Q245" s="475"/>
      <c r="R245" s="475"/>
      <c r="S245" s="474" t="s">
        <v>1957</v>
      </c>
      <c r="T245" s="474">
        <v>72</v>
      </c>
      <c r="U245" s="486">
        <v>49303156</v>
      </c>
      <c r="V245" s="474" t="s">
        <v>2032</v>
      </c>
      <c r="W245" s="474">
        <v>480</v>
      </c>
      <c r="X245" s="432">
        <v>580</v>
      </c>
      <c r="Y245" s="389">
        <f t="shared" si="43"/>
        <v>278400</v>
      </c>
      <c r="Z245" s="478">
        <f>232.75/480</f>
        <v>0.48489583333333336</v>
      </c>
      <c r="AA245" s="480">
        <f t="shared" si="44"/>
        <v>134995</v>
      </c>
      <c r="AB245" s="480"/>
      <c r="AC245" s="481">
        <f t="shared" si="46"/>
        <v>0</v>
      </c>
      <c r="AD245" s="474"/>
      <c r="AE245" s="474"/>
      <c r="AF245" s="493">
        <f t="shared" si="45"/>
        <v>134995</v>
      </c>
      <c r="AG245" s="474" t="s">
        <v>1071</v>
      </c>
      <c r="AH245" s="474"/>
      <c r="AI245" s="474">
        <v>60</v>
      </c>
      <c r="AJ245" s="475" t="s">
        <v>2026</v>
      </c>
      <c r="AK245" s="475" t="s">
        <v>50</v>
      </c>
      <c r="AL245" s="483">
        <v>95403</v>
      </c>
      <c r="AM245" s="474" t="s">
        <v>52</v>
      </c>
      <c r="AN245" s="384" t="s">
        <v>1695</v>
      </c>
      <c r="AO245" s="474" t="s">
        <v>1076</v>
      </c>
      <c r="AP245" s="482"/>
      <c r="AQ245" s="474" t="s">
        <v>37</v>
      </c>
      <c r="AR245" s="474"/>
      <c r="AS245" s="473" t="s">
        <v>1492</v>
      </c>
      <c r="AT245" s="473"/>
      <c r="AU245" s="478"/>
      <c r="AV245" s="471">
        <f t="shared" si="47"/>
        <v>49303156</v>
      </c>
      <c r="AW245" s="471" cm="1">
        <f t="array" ref="AW245">SUM(MID(0&amp;AV245,LARGE(INDEX(ISNUMBER(--MID(AV245,ROW($1:$8),1))*ROW($1:$8),),ROW($1:$8))+1,1)*10^ROW($1:$8)/10)</f>
        <v>49303156</v>
      </c>
      <c r="AX245" s="471" t="str">
        <f>VLOOKUP($AW245,'Item Master Data'!$A:$F,3,FALSE)</f>
        <v>Q.PEAK DUO XL G10 BFG</v>
      </c>
      <c r="AY245" s="471">
        <f>VLOOKUP($AW245,'Item Master Data'!$A:$F,6,FALSE)</f>
        <v>480</v>
      </c>
      <c r="AZ245" s="471">
        <f t="shared" si="48"/>
        <v>20</v>
      </c>
      <c r="BA245" s="471">
        <f>VLOOKUP(AW245,'Item Master Data'!$A:$G,7,FALSE)</f>
        <v>29</v>
      </c>
      <c r="BB245" s="471"/>
      <c r="BC245" s="471">
        <f t="shared" si="49"/>
        <v>0</v>
      </c>
    </row>
    <row r="246" spans="1:55">
      <c r="A246" s="495"/>
      <c r="B246" s="407"/>
      <c r="C246" s="407"/>
      <c r="D246" s="485" t="s">
        <v>86</v>
      </c>
      <c r="E246" s="474"/>
      <c r="F246" s="486"/>
      <c r="G246" s="380">
        <v>2022</v>
      </c>
      <c r="H246" s="474">
        <v>5</v>
      </c>
      <c r="I246" s="474"/>
      <c r="J246" s="475"/>
      <c r="K246" s="474" t="s">
        <v>2255</v>
      </c>
      <c r="L246" s="474" t="s">
        <v>1703</v>
      </c>
      <c r="M246" s="475">
        <v>44502</v>
      </c>
      <c r="N246" s="475">
        <v>44599</v>
      </c>
      <c r="O246" s="475">
        <v>44688</v>
      </c>
      <c r="P246" s="475">
        <v>44678</v>
      </c>
      <c r="Q246" s="475"/>
      <c r="R246" s="475"/>
      <c r="S246" s="474" t="s">
        <v>1957</v>
      </c>
      <c r="T246" s="474">
        <v>60</v>
      </c>
      <c r="U246" s="486" t="s">
        <v>1281</v>
      </c>
      <c r="V246" s="474" t="s">
        <v>973</v>
      </c>
      <c r="W246" s="474">
        <v>400</v>
      </c>
      <c r="X246" s="432">
        <v>768</v>
      </c>
      <c r="Y246" s="389">
        <f t="shared" si="43"/>
        <v>307200</v>
      </c>
      <c r="Z246" s="478">
        <f>220/400</f>
        <v>0.55000000000000004</v>
      </c>
      <c r="AA246" s="480">
        <f t="shared" si="44"/>
        <v>168960</v>
      </c>
      <c r="AB246" s="480"/>
      <c r="AC246" s="481">
        <f t="shared" si="46"/>
        <v>0</v>
      </c>
      <c r="AD246" s="474"/>
      <c r="AE246" s="398"/>
      <c r="AF246" s="493">
        <f t="shared" si="45"/>
        <v>168960</v>
      </c>
      <c r="AG246" s="474" t="s">
        <v>1071</v>
      </c>
      <c r="AH246" s="474"/>
      <c r="AI246" s="474">
        <v>60</v>
      </c>
      <c r="AJ246" s="475" t="s">
        <v>1705</v>
      </c>
      <c r="AK246" s="475" t="s">
        <v>1706</v>
      </c>
      <c r="AL246" s="483" t="s">
        <v>1707</v>
      </c>
      <c r="AM246" s="474" t="s">
        <v>52</v>
      </c>
      <c r="AN246" s="474" t="s">
        <v>50</v>
      </c>
      <c r="AO246" s="474" t="s">
        <v>1076</v>
      </c>
      <c r="AP246" s="482" t="s">
        <v>92</v>
      </c>
      <c r="AQ246" s="474" t="s">
        <v>37</v>
      </c>
      <c r="AR246" s="474" t="s">
        <v>1677</v>
      </c>
      <c r="AS246" s="473"/>
      <c r="AT246" s="346"/>
      <c r="AU246" s="478">
        <f>182/400</f>
        <v>0.45500000000000002</v>
      </c>
      <c r="AV246" s="471" t="str">
        <f t="shared" si="47"/>
        <v>30390456H</v>
      </c>
      <c r="AW246" s="471" cm="1">
        <f t="array" ref="AW246">SUM(MID(0&amp;AV246,LARGE(INDEX(ISNUMBER(--MID(AV246,ROW($1:$8),1))*ROW($1:$8),),ROW($1:$8))+1,1)*10^ROW($1:$8)/10)</f>
        <v>30390456</v>
      </c>
      <c r="AX246" s="471" t="str">
        <f>VLOOKUP($AW246,'Item Master Data'!$A:$F,3,FALSE)</f>
        <v>Q.PEAK DUO BLK ML G10+</v>
      </c>
      <c r="AY246" s="471">
        <f>VLOOKUP($AW246,'Item Master Data'!$A:$F,6,FALSE)</f>
        <v>400</v>
      </c>
      <c r="AZ246" s="471">
        <f t="shared" si="48"/>
        <v>24</v>
      </c>
      <c r="BA246" s="471">
        <f>VLOOKUP(AW246,'Item Master Data'!$A:$G,7,FALSE)</f>
        <v>32</v>
      </c>
      <c r="BB246" s="471"/>
      <c r="BC246" s="471">
        <f t="shared" si="49"/>
        <v>0</v>
      </c>
    </row>
    <row r="247" spans="1:55">
      <c r="A247" s="495"/>
      <c r="B247" s="407"/>
      <c r="C247" s="407"/>
      <c r="D247" s="485" t="s">
        <v>86</v>
      </c>
      <c r="E247" s="474"/>
      <c r="F247" s="486"/>
      <c r="G247" s="380">
        <v>2022</v>
      </c>
      <c r="H247" s="474">
        <v>5</v>
      </c>
      <c r="I247" s="474"/>
      <c r="J247" s="475"/>
      <c r="K247" s="474" t="s">
        <v>2256</v>
      </c>
      <c r="L247" s="474" t="s">
        <v>1703</v>
      </c>
      <c r="M247" s="475">
        <v>44502</v>
      </c>
      <c r="N247" s="475">
        <v>44606</v>
      </c>
      <c r="O247" s="475">
        <v>44695</v>
      </c>
      <c r="P247" s="475">
        <v>44678</v>
      </c>
      <c r="Q247" s="475"/>
      <c r="R247" s="475"/>
      <c r="S247" s="474" t="s">
        <v>1957</v>
      </c>
      <c r="T247" s="474">
        <v>60</v>
      </c>
      <c r="U247" s="486" t="s">
        <v>1281</v>
      </c>
      <c r="V247" s="474" t="s">
        <v>973</v>
      </c>
      <c r="W247" s="474">
        <v>400</v>
      </c>
      <c r="X247" s="432">
        <v>768</v>
      </c>
      <c r="Y247" s="389">
        <f t="shared" si="43"/>
        <v>307200</v>
      </c>
      <c r="Z247" s="478">
        <f>220/400</f>
        <v>0.55000000000000004</v>
      </c>
      <c r="AA247" s="480">
        <f t="shared" si="44"/>
        <v>168960</v>
      </c>
      <c r="AB247" s="480"/>
      <c r="AC247" s="481">
        <f t="shared" si="46"/>
        <v>0</v>
      </c>
      <c r="AD247" s="474"/>
      <c r="AE247" s="398"/>
      <c r="AF247" s="493">
        <f t="shared" si="45"/>
        <v>168960</v>
      </c>
      <c r="AG247" s="474" t="s">
        <v>1071</v>
      </c>
      <c r="AH247" s="474"/>
      <c r="AI247" s="474">
        <v>60</v>
      </c>
      <c r="AJ247" s="475" t="s">
        <v>1705</v>
      </c>
      <c r="AK247" s="475" t="s">
        <v>1706</v>
      </c>
      <c r="AL247" s="483" t="s">
        <v>1707</v>
      </c>
      <c r="AM247" s="474" t="s">
        <v>52</v>
      </c>
      <c r="AN247" s="474" t="s">
        <v>50</v>
      </c>
      <c r="AO247" s="474" t="s">
        <v>1076</v>
      </c>
      <c r="AP247" s="482" t="s">
        <v>92</v>
      </c>
      <c r="AQ247" s="474" t="s">
        <v>37</v>
      </c>
      <c r="AR247" s="474" t="s">
        <v>1677</v>
      </c>
      <c r="AS247" s="473"/>
      <c r="AT247" s="473"/>
      <c r="AU247" s="478">
        <f>182/400</f>
        <v>0.45500000000000002</v>
      </c>
      <c r="AV247" s="471" t="str">
        <f t="shared" si="47"/>
        <v>30390456H</v>
      </c>
      <c r="AW247" s="471" cm="1">
        <f t="array" ref="AW247">SUM(MID(0&amp;AV247,LARGE(INDEX(ISNUMBER(--MID(AV247,ROW($1:$8),1))*ROW($1:$8),),ROW($1:$8))+1,1)*10^ROW($1:$8)/10)</f>
        <v>30390456</v>
      </c>
      <c r="AX247" s="471" t="str">
        <f>VLOOKUP($AW247,'Item Master Data'!$A:$F,3,FALSE)</f>
        <v>Q.PEAK DUO BLK ML G10+</v>
      </c>
      <c r="AY247" s="471">
        <f>VLOOKUP($AW247,'Item Master Data'!$A:$F,6,FALSE)</f>
        <v>400</v>
      </c>
      <c r="AZ247" s="471">
        <f t="shared" si="48"/>
        <v>24</v>
      </c>
      <c r="BA247" s="471">
        <f>VLOOKUP(AW247,'Item Master Data'!$A:$G,7,FALSE)</f>
        <v>32</v>
      </c>
      <c r="BB247" s="471"/>
      <c r="BC247" s="471">
        <f t="shared" si="49"/>
        <v>0</v>
      </c>
    </row>
    <row r="248" spans="1:55">
      <c r="A248" s="495"/>
      <c r="B248" s="407"/>
      <c r="C248" s="407"/>
      <c r="D248" s="485" t="s">
        <v>86</v>
      </c>
      <c r="E248" s="474"/>
      <c r="F248" s="486"/>
      <c r="G248" s="380">
        <v>2022</v>
      </c>
      <c r="H248" s="474">
        <v>5</v>
      </c>
      <c r="I248" s="474"/>
      <c r="J248" s="475"/>
      <c r="K248" s="474" t="s">
        <v>2257</v>
      </c>
      <c r="L248" s="474" t="s">
        <v>1703</v>
      </c>
      <c r="M248" s="475">
        <v>44502</v>
      </c>
      <c r="N248" s="475">
        <v>44613</v>
      </c>
      <c r="O248" s="475">
        <v>44702</v>
      </c>
      <c r="P248" s="475">
        <v>44678</v>
      </c>
      <c r="Q248" s="475"/>
      <c r="R248" s="475"/>
      <c r="S248" s="474" t="s">
        <v>1957</v>
      </c>
      <c r="T248" s="474">
        <v>60</v>
      </c>
      <c r="U248" s="486" t="s">
        <v>1281</v>
      </c>
      <c r="V248" s="474" t="s">
        <v>973</v>
      </c>
      <c r="W248" s="474">
        <v>400</v>
      </c>
      <c r="X248" s="432">
        <v>768</v>
      </c>
      <c r="Y248" s="389">
        <f t="shared" si="43"/>
        <v>307200</v>
      </c>
      <c r="Z248" s="478">
        <f>220/400</f>
        <v>0.55000000000000004</v>
      </c>
      <c r="AA248" s="480">
        <f t="shared" si="44"/>
        <v>168960</v>
      </c>
      <c r="AB248" s="480"/>
      <c r="AC248" s="481">
        <f t="shared" si="46"/>
        <v>0</v>
      </c>
      <c r="AD248" s="474"/>
      <c r="AE248" s="398"/>
      <c r="AF248" s="493">
        <f t="shared" si="45"/>
        <v>168960</v>
      </c>
      <c r="AG248" s="474" t="s">
        <v>1071</v>
      </c>
      <c r="AH248" s="474"/>
      <c r="AI248" s="474">
        <v>60</v>
      </c>
      <c r="AJ248" s="475" t="s">
        <v>1705</v>
      </c>
      <c r="AK248" s="475" t="s">
        <v>1706</v>
      </c>
      <c r="AL248" s="483" t="s">
        <v>1707</v>
      </c>
      <c r="AM248" s="474" t="s">
        <v>52</v>
      </c>
      <c r="AN248" s="474" t="s">
        <v>50</v>
      </c>
      <c r="AO248" s="474" t="s">
        <v>1076</v>
      </c>
      <c r="AP248" s="482" t="s">
        <v>92</v>
      </c>
      <c r="AQ248" s="474" t="s">
        <v>37</v>
      </c>
      <c r="AR248" s="474" t="s">
        <v>1677</v>
      </c>
      <c r="AS248" s="473"/>
      <c r="AT248" s="473"/>
      <c r="AU248" s="478">
        <f>182/400</f>
        <v>0.45500000000000002</v>
      </c>
      <c r="AV248" s="471" t="str">
        <f t="shared" si="47"/>
        <v>30390456H</v>
      </c>
      <c r="AW248" s="471" cm="1">
        <f t="array" ref="AW248">SUM(MID(0&amp;AV248,LARGE(INDEX(ISNUMBER(--MID(AV248,ROW($1:$8),1))*ROW($1:$8),),ROW($1:$8))+1,1)*10^ROW($1:$8)/10)</f>
        <v>30390456</v>
      </c>
      <c r="AX248" s="471" t="str">
        <f>VLOOKUP($AW248,'Item Master Data'!$A:$F,3,FALSE)</f>
        <v>Q.PEAK DUO BLK ML G10+</v>
      </c>
      <c r="AY248" s="471">
        <f>VLOOKUP($AW248,'Item Master Data'!$A:$F,6,FALSE)</f>
        <v>400</v>
      </c>
      <c r="AZ248" s="471">
        <f t="shared" si="48"/>
        <v>24</v>
      </c>
      <c r="BA248" s="471">
        <f>VLOOKUP(AW248,'Item Master Data'!$A:$G,7,FALSE)</f>
        <v>32</v>
      </c>
      <c r="BB248" s="471"/>
      <c r="BC248" s="471">
        <f t="shared" si="49"/>
        <v>0</v>
      </c>
    </row>
    <row r="249" spans="1:55">
      <c r="A249" s="495"/>
      <c r="B249" s="407"/>
      <c r="C249" s="407"/>
      <c r="D249" s="485" t="s">
        <v>86</v>
      </c>
      <c r="E249" s="474"/>
      <c r="F249" s="486"/>
      <c r="G249" s="380">
        <v>2022</v>
      </c>
      <c r="H249" s="474">
        <v>5</v>
      </c>
      <c r="I249" s="474"/>
      <c r="J249" s="475"/>
      <c r="K249" s="474" t="s">
        <v>2258</v>
      </c>
      <c r="L249" s="474" t="s">
        <v>1703</v>
      </c>
      <c r="M249" s="475">
        <v>44502</v>
      </c>
      <c r="N249" s="475">
        <v>44620</v>
      </c>
      <c r="O249" s="475">
        <v>44682</v>
      </c>
      <c r="P249" s="475">
        <v>44678</v>
      </c>
      <c r="Q249" s="475"/>
      <c r="R249" s="475"/>
      <c r="S249" s="474" t="s">
        <v>1957</v>
      </c>
      <c r="T249" s="474">
        <v>60</v>
      </c>
      <c r="U249" s="486" t="s">
        <v>1281</v>
      </c>
      <c r="V249" s="474" t="s">
        <v>973</v>
      </c>
      <c r="W249" s="474">
        <v>400</v>
      </c>
      <c r="X249" s="432">
        <v>768</v>
      </c>
      <c r="Y249" s="389">
        <f t="shared" si="43"/>
        <v>307200</v>
      </c>
      <c r="Z249" s="478">
        <f>220/400</f>
        <v>0.55000000000000004</v>
      </c>
      <c r="AA249" s="480">
        <f t="shared" si="44"/>
        <v>168960</v>
      </c>
      <c r="AB249" s="480"/>
      <c r="AC249" s="481">
        <f t="shared" si="46"/>
        <v>0</v>
      </c>
      <c r="AD249" s="474"/>
      <c r="AE249" s="398"/>
      <c r="AF249" s="493">
        <f t="shared" si="45"/>
        <v>168960</v>
      </c>
      <c r="AG249" s="474" t="s">
        <v>1071</v>
      </c>
      <c r="AH249" s="474"/>
      <c r="AI249" s="474">
        <v>60</v>
      </c>
      <c r="AJ249" s="475" t="s">
        <v>1705</v>
      </c>
      <c r="AK249" s="475" t="s">
        <v>1706</v>
      </c>
      <c r="AL249" s="483" t="s">
        <v>1707</v>
      </c>
      <c r="AM249" s="474" t="s">
        <v>52</v>
      </c>
      <c r="AN249" s="474" t="s">
        <v>50</v>
      </c>
      <c r="AO249" s="474" t="s">
        <v>1076</v>
      </c>
      <c r="AP249" s="482" t="s">
        <v>92</v>
      </c>
      <c r="AQ249" s="474" t="s">
        <v>37</v>
      </c>
      <c r="AR249" s="474" t="s">
        <v>1677</v>
      </c>
      <c r="AS249" s="473"/>
      <c r="AT249" s="473"/>
      <c r="AU249" s="478">
        <f>182/400</f>
        <v>0.45500000000000002</v>
      </c>
      <c r="AV249" s="471" t="str">
        <f t="shared" si="47"/>
        <v>30390456H</v>
      </c>
      <c r="AW249" s="471" cm="1">
        <f t="array" ref="AW249">SUM(MID(0&amp;AV249,LARGE(INDEX(ISNUMBER(--MID(AV249,ROW($1:$8),1))*ROW($1:$8),),ROW($1:$8))+1,1)*10^ROW($1:$8)/10)</f>
        <v>30390456</v>
      </c>
      <c r="AX249" s="471" t="str">
        <f>VLOOKUP($AW249,'Item Master Data'!$A:$F,3,FALSE)</f>
        <v>Q.PEAK DUO BLK ML G10+</v>
      </c>
      <c r="AY249" s="471">
        <f>VLOOKUP($AW249,'Item Master Data'!$A:$F,6,FALSE)</f>
        <v>400</v>
      </c>
      <c r="AZ249" s="471">
        <f t="shared" si="48"/>
        <v>24</v>
      </c>
      <c r="BA249" s="471">
        <f>VLOOKUP(AW249,'Item Master Data'!$A:$G,7,FALSE)</f>
        <v>32</v>
      </c>
      <c r="BB249" s="471"/>
      <c r="BC249" s="471">
        <f t="shared" si="49"/>
        <v>0</v>
      </c>
    </row>
    <row r="250" spans="1:55">
      <c r="A250" s="495"/>
      <c r="B250" s="407"/>
      <c r="C250" s="407"/>
      <c r="D250" s="485" t="s">
        <v>86</v>
      </c>
      <c r="E250" s="474"/>
      <c r="F250" s="486"/>
      <c r="G250" s="380">
        <v>2022</v>
      </c>
      <c r="H250" s="474">
        <v>5</v>
      </c>
      <c r="I250" s="474"/>
      <c r="J250" s="475"/>
      <c r="K250" s="474" t="s">
        <v>2260</v>
      </c>
      <c r="L250" s="474" t="s">
        <v>1703</v>
      </c>
      <c r="M250" s="475">
        <v>44502</v>
      </c>
      <c r="N250" s="475">
        <v>44627</v>
      </c>
      <c r="O250" s="475">
        <v>44686</v>
      </c>
      <c r="P250" s="475">
        <v>44678</v>
      </c>
      <c r="Q250" s="475"/>
      <c r="R250" s="475"/>
      <c r="S250" s="474" t="s">
        <v>1957</v>
      </c>
      <c r="T250" s="474">
        <v>60</v>
      </c>
      <c r="U250" s="486" t="s">
        <v>1281</v>
      </c>
      <c r="V250" s="474" t="s">
        <v>973</v>
      </c>
      <c r="W250" s="474">
        <v>400</v>
      </c>
      <c r="X250" s="432">
        <v>768</v>
      </c>
      <c r="Y250" s="389">
        <f t="shared" si="43"/>
        <v>307200</v>
      </c>
      <c r="Z250" s="478">
        <f>220/400</f>
        <v>0.55000000000000004</v>
      </c>
      <c r="AA250" s="480">
        <f t="shared" si="44"/>
        <v>168960</v>
      </c>
      <c r="AB250" s="480"/>
      <c r="AC250" s="481">
        <f t="shared" si="46"/>
        <v>0</v>
      </c>
      <c r="AD250" s="474"/>
      <c r="AE250" s="398"/>
      <c r="AF250" s="493">
        <f t="shared" si="45"/>
        <v>168960</v>
      </c>
      <c r="AG250" s="474" t="s">
        <v>1071</v>
      </c>
      <c r="AH250" s="474"/>
      <c r="AI250" s="474">
        <v>60</v>
      </c>
      <c r="AJ250" s="475" t="s">
        <v>1705</v>
      </c>
      <c r="AK250" s="475" t="s">
        <v>1706</v>
      </c>
      <c r="AL250" s="483" t="s">
        <v>1707</v>
      </c>
      <c r="AM250" s="474" t="s">
        <v>52</v>
      </c>
      <c r="AN250" s="474" t="s">
        <v>50</v>
      </c>
      <c r="AO250" s="474" t="s">
        <v>1076</v>
      </c>
      <c r="AP250" s="482" t="s">
        <v>92</v>
      </c>
      <c r="AQ250" s="474" t="s">
        <v>37</v>
      </c>
      <c r="AR250" s="474" t="s">
        <v>1677</v>
      </c>
      <c r="AS250" s="473"/>
      <c r="AT250" s="473"/>
      <c r="AU250" s="478">
        <f>182/400</f>
        <v>0.45500000000000002</v>
      </c>
      <c r="AV250" s="471" t="str">
        <f t="shared" si="47"/>
        <v>30390456H</v>
      </c>
      <c r="AW250" s="471" cm="1">
        <f t="array" ref="AW250">SUM(MID(0&amp;AV250,LARGE(INDEX(ISNUMBER(--MID(AV250,ROW($1:$8),1))*ROW($1:$8),),ROW($1:$8))+1,1)*10^ROW($1:$8)/10)</f>
        <v>30390456</v>
      </c>
      <c r="AX250" s="471" t="str">
        <f>VLOOKUP($AW250,'Item Master Data'!$A:$F,3,FALSE)</f>
        <v>Q.PEAK DUO BLK ML G10+</v>
      </c>
      <c r="AY250" s="471">
        <f>VLOOKUP($AW250,'Item Master Data'!$A:$F,6,FALSE)</f>
        <v>400</v>
      </c>
      <c r="AZ250" s="471">
        <f t="shared" si="48"/>
        <v>24</v>
      </c>
      <c r="BA250" s="471">
        <f>VLOOKUP(AW250,'Item Master Data'!$A:$G,7,FALSE)</f>
        <v>32</v>
      </c>
      <c r="BB250" s="471"/>
      <c r="BC250" s="471">
        <f t="shared" si="49"/>
        <v>0</v>
      </c>
    </row>
    <row r="251" spans="1:55">
      <c r="A251" s="495"/>
      <c r="B251" s="407"/>
      <c r="C251" s="407"/>
      <c r="D251" s="485" t="s">
        <v>86</v>
      </c>
      <c r="E251" s="474"/>
      <c r="F251" s="486"/>
      <c r="G251" s="380">
        <v>2022</v>
      </c>
      <c r="H251" s="474">
        <v>5</v>
      </c>
      <c r="I251" s="474" t="s">
        <v>1676</v>
      </c>
      <c r="J251" s="475"/>
      <c r="K251" s="474" t="s">
        <v>2317</v>
      </c>
      <c r="L251" s="474" t="s">
        <v>2049</v>
      </c>
      <c r="M251" s="475">
        <v>44573</v>
      </c>
      <c r="N251" s="475">
        <v>44713</v>
      </c>
      <c r="O251" s="475"/>
      <c r="P251" s="475"/>
      <c r="Q251" s="475"/>
      <c r="R251" s="475"/>
      <c r="S251" s="474" t="s">
        <v>88</v>
      </c>
      <c r="T251" s="474">
        <v>60</v>
      </c>
      <c r="U251" s="486"/>
      <c r="V251" s="474" t="s">
        <v>1223</v>
      </c>
      <c r="W251" s="474">
        <v>360</v>
      </c>
      <c r="X251" s="432">
        <v>364</v>
      </c>
      <c r="Y251" s="389">
        <f t="shared" si="43"/>
        <v>131040</v>
      </c>
      <c r="Z251" s="478">
        <f>298.8/360</f>
        <v>0.83000000000000007</v>
      </c>
      <c r="AA251" s="480">
        <f t="shared" si="44"/>
        <v>108763.20000000001</v>
      </c>
      <c r="AB251" s="480"/>
      <c r="AC251" s="481">
        <f t="shared" si="46"/>
        <v>0</v>
      </c>
      <c r="AD251" s="474"/>
      <c r="AE251" s="474"/>
      <c r="AF251" s="493">
        <f t="shared" si="45"/>
        <v>108763.20000000001</v>
      </c>
      <c r="AG251" s="474" t="s">
        <v>1071</v>
      </c>
      <c r="AH251" s="474"/>
      <c r="AI251" s="474">
        <v>60</v>
      </c>
      <c r="AJ251" s="475" t="s">
        <v>2077</v>
      </c>
      <c r="AK251" s="475" t="s">
        <v>50</v>
      </c>
      <c r="AL251" s="483" t="s">
        <v>2051</v>
      </c>
      <c r="AM251" s="474" t="s">
        <v>52</v>
      </c>
      <c r="AN251" s="384" t="s">
        <v>1074</v>
      </c>
      <c r="AO251" s="474" t="s">
        <v>1076</v>
      </c>
      <c r="AP251" s="482"/>
      <c r="AQ251" s="474" t="s">
        <v>37</v>
      </c>
      <c r="AR251" s="474" t="s">
        <v>1216</v>
      </c>
      <c r="AS251" s="473" t="s">
        <v>1492</v>
      </c>
      <c r="AT251" s="473"/>
      <c r="AU251" s="478">
        <f>284.4/360</f>
        <v>0.78999999999999992</v>
      </c>
      <c r="AV251" s="471">
        <f t="shared" si="47"/>
        <v>0</v>
      </c>
      <c r="AW251" s="471" cm="1">
        <f t="array" ref="AW251">SUM(MID(0&amp;AV251,LARGE(INDEX(ISNUMBER(--MID(AV251,ROW($1:$8),1))*ROW($1:$8),),ROW($1:$8))+1,1)*10^ROW($1:$8)/10)</f>
        <v>0</v>
      </c>
      <c r="AX251" s="471" t="e">
        <f>VLOOKUP($AW251,'Item Master Data'!$A:$F,3,FALSE)</f>
        <v>#N/A</v>
      </c>
      <c r="AY251" s="471" t="e">
        <f>VLOOKUP($AW251,'Item Master Data'!$A:$F,6,FALSE)</f>
        <v>#N/A</v>
      </c>
      <c r="AZ251" s="471" t="e">
        <f t="shared" si="48"/>
        <v>#N/A</v>
      </c>
      <c r="BA251" s="471" t="e">
        <f>VLOOKUP(AW251,'Item Master Data'!$A:$G,7,FALSE)</f>
        <v>#N/A</v>
      </c>
      <c r="BB251" s="471"/>
      <c r="BC251" s="471" t="e">
        <f t="shared" si="49"/>
        <v>#N/A</v>
      </c>
    </row>
    <row r="252" spans="1:55">
      <c r="A252" s="495"/>
      <c r="B252" s="407">
        <v>44607</v>
      </c>
      <c r="C252" s="407">
        <v>44607</v>
      </c>
      <c r="D252" s="485" t="s">
        <v>86</v>
      </c>
      <c r="E252" s="474"/>
      <c r="F252" s="486"/>
      <c r="G252" s="380">
        <v>2022</v>
      </c>
      <c r="H252" s="474">
        <v>5</v>
      </c>
      <c r="I252" s="474"/>
      <c r="J252" s="475"/>
      <c r="K252" s="474" t="s">
        <v>2296</v>
      </c>
      <c r="L252" s="474" t="s">
        <v>1714</v>
      </c>
      <c r="M252" s="475">
        <v>44530</v>
      </c>
      <c r="N252" s="475">
        <v>44685</v>
      </c>
      <c r="O252" s="475"/>
      <c r="P252" s="475"/>
      <c r="Q252" s="475"/>
      <c r="R252" s="475"/>
      <c r="S252" s="474" t="s">
        <v>1688</v>
      </c>
      <c r="T252" s="474">
        <v>60</v>
      </c>
      <c r="U252" s="486"/>
      <c r="V252" s="474" t="s">
        <v>986</v>
      </c>
      <c r="W252" s="474">
        <v>360</v>
      </c>
      <c r="X252" s="432">
        <v>768</v>
      </c>
      <c r="Y252" s="389">
        <f t="shared" si="43"/>
        <v>276480</v>
      </c>
      <c r="Z252" s="478">
        <f>190.8/360</f>
        <v>0.53</v>
      </c>
      <c r="AA252" s="480">
        <f t="shared" si="44"/>
        <v>146534.39999999999</v>
      </c>
      <c r="AB252" s="480"/>
      <c r="AC252" s="481">
        <f t="shared" si="46"/>
        <v>0</v>
      </c>
      <c r="AD252" s="474"/>
      <c r="AE252" s="474"/>
      <c r="AF252" s="493">
        <f t="shared" si="45"/>
        <v>146534.39999999999</v>
      </c>
      <c r="AG252" s="474" t="s">
        <v>1071</v>
      </c>
      <c r="AH252" s="474"/>
      <c r="AI252" s="474">
        <v>60</v>
      </c>
      <c r="AJ252" s="475" t="s">
        <v>2101</v>
      </c>
      <c r="AK252" s="475" t="s">
        <v>50</v>
      </c>
      <c r="AL252" s="483">
        <v>93003</v>
      </c>
      <c r="AM252" s="474" t="s">
        <v>52</v>
      </c>
      <c r="AN252" s="384"/>
      <c r="AO252" s="474" t="s">
        <v>1076</v>
      </c>
      <c r="AP252" s="482" t="s">
        <v>38</v>
      </c>
      <c r="AQ252" s="474" t="s">
        <v>37</v>
      </c>
      <c r="AR252" s="474"/>
      <c r="AS252" s="473"/>
      <c r="AT252" s="473"/>
      <c r="AU252" s="478"/>
      <c r="AV252" s="471">
        <f t="shared" si="47"/>
        <v>0</v>
      </c>
      <c r="AW252" s="471" cm="1">
        <f t="array" ref="AW252">SUM(MID(0&amp;AV252,LARGE(INDEX(ISNUMBER(--MID(AV252,ROW($1:$8),1))*ROW($1:$8),),ROW($1:$8))+1,1)*10^ROW($1:$8)/10)</f>
        <v>0</v>
      </c>
      <c r="AX252" s="471" t="e">
        <f>VLOOKUP($AW252,'Item Master Data'!$A:$F,3,FALSE)</f>
        <v>#N/A</v>
      </c>
      <c r="AY252" s="471" t="e">
        <f>VLOOKUP($AW252,'Item Master Data'!$A:$F,6,FALSE)</f>
        <v>#N/A</v>
      </c>
      <c r="AZ252" s="471" t="e">
        <f t="shared" si="48"/>
        <v>#N/A</v>
      </c>
      <c r="BA252" s="471" t="e">
        <f>VLOOKUP(AW252,'Item Master Data'!$A:$G,7,FALSE)</f>
        <v>#N/A</v>
      </c>
      <c r="BB252" s="471"/>
      <c r="BC252" s="471" t="e">
        <f t="shared" si="49"/>
        <v>#N/A</v>
      </c>
    </row>
    <row r="253" spans="1:55">
      <c r="A253" s="495"/>
      <c r="B253" s="407">
        <v>44642</v>
      </c>
      <c r="C253" s="407">
        <v>44642</v>
      </c>
      <c r="D253" s="485" t="s">
        <v>86</v>
      </c>
      <c r="E253" s="474" t="s">
        <v>2084</v>
      </c>
      <c r="F253" s="486"/>
      <c r="G253" s="380">
        <v>2022</v>
      </c>
      <c r="H253" s="474">
        <v>4</v>
      </c>
      <c r="I253" s="474">
        <v>128040</v>
      </c>
      <c r="J253" s="475">
        <v>44665</v>
      </c>
      <c r="K253" s="474" t="s">
        <v>2292</v>
      </c>
      <c r="L253" s="474" t="s">
        <v>1754</v>
      </c>
      <c r="M253" s="475">
        <v>44566</v>
      </c>
      <c r="N253" s="475">
        <v>44603</v>
      </c>
      <c r="O253" s="475"/>
      <c r="P253" s="475">
        <v>44657</v>
      </c>
      <c r="Q253" s="475">
        <v>44665</v>
      </c>
      <c r="R253" s="475">
        <v>44665</v>
      </c>
      <c r="S253" s="474" t="s">
        <v>1688</v>
      </c>
      <c r="T253" s="474">
        <v>60</v>
      </c>
      <c r="U253" s="486" t="s">
        <v>1843</v>
      </c>
      <c r="V253" s="474" t="s">
        <v>691</v>
      </c>
      <c r="W253" s="474">
        <v>340</v>
      </c>
      <c r="X253" s="432">
        <v>832</v>
      </c>
      <c r="Y253" s="389">
        <f t="shared" si="43"/>
        <v>282880</v>
      </c>
      <c r="Z253" s="478">
        <f>158.1/340</f>
        <v>0.46499999999999997</v>
      </c>
      <c r="AA253" s="480">
        <f t="shared" si="44"/>
        <v>131539.19999999998</v>
      </c>
      <c r="AB253" s="480"/>
      <c r="AC253" s="481">
        <f t="shared" si="46"/>
        <v>0</v>
      </c>
      <c r="AD253" s="474"/>
      <c r="AE253" s="398"/>
      <c r="AF253" s="493">
        <f t="shared" si="45"/>
        <v>131539.19999999998</v>
      </c>
      <c r="AG253" s="474" t="s">
        <v>1071</v>
      </c>
      <c r="AH253" s="474">
        <v>100</v>
      </c>
      <c r="AI253" s="474">
        <v>0</v>
      </c>
      <c r="AJ253" s="475" t="s">
        <v>1847</v>
      </c>
      <c r="AK253" s="475" t="s">
        <v>50</v>
      </c>
      <c r="AL253" s="483" t="s">
        <v>1848</v>
      </c>
      <c r="AM253" s="474" t="s">
        <v>52</v>
      </c>
      <c r="AN253" s="384" t="s">
        <v>50</v>
      </c>
      <c r="AO253" s="474" t="s">
        <v>1076</v>
      </c>
      <c r="AP253" s="482" t="s">
        <v>38</v>
      </c>
      <c r="AQ253" s="474" t="s">
        <v>37</v>
      </c>
      <c r="AR253" s="474" t="s">
        <v>1216</v>
      </c>
      <c r="AS253" s="473"/>
      <c r="AT253" s="473"/>
      <c r="AU253" s="478">
        <f>158.1/340</f>
        <v>0.46499999999999997</v>
      </c>
      <c r="AV253" s="471" t="str">
        <f t="shared" si="47"/>
        <v>30376609C+</v>
      </c>
      <c r="AW253" s="471" cm="1">
        <f t="array" ref="AW253">SUM(MID(0&amp;AV253,LARGE(INDEX(ISNUMBER(--MID(AV253,ROW($1:$8),1))*ROW($1:$8),),ROW($1:$8))+1,1)*10^ROW($1:$8)/10)</f>
        <v>30376609</v>
      </c>
      <c r="AX253" s="471" t="str">
        <f>VLOOKUP($AW253,'Item Master Data'!$A:$F,3,FALSE)</f>
        <v>Q.PEAK DUO BLK G6+</v>
      </c>
      <c r="AY253" s="471">
        <f>VLOOKUP($AW253,'Item Master Data'!$A:$F,6,FALSE)</f>
        <v>340</v>
      </c>
      <c r="AZ253" s="471">
        <f t="shared" si="48"/>
        <v>26</v>
      </c>
      <c r="BA253" s="471">
        <f>VLOOKUP(AW253,'Item Master Data'!$A:$G,7,FALSE)</f>
        <v>32</v>
      </c>
      <c r="BB253" s="471"/>
      <c r="BC253" s="471">
        <f t="shared" si="49"/>
        <v>0</v>
      </c>
    </row>
    <row r="254" spans="1:55">
      <c r="A254" s="495"/>
      <c r="B254" s="407">
        <v>44642</v>
      </c>
      <c r="C254" s="407">
        <v>44642</v>
      </c>
      <c r="D254" s="485" t="s">
        <v>86</v>
      </c>
      <c r="E254" s="474"/>
      <c r="F254" s="486"/>
      <c r="G254" s="380">
        <v>2022</v>
      </c>
      <c r="H254" s="474">
        <v>5</v>
      </c>
      <c r="I254" s="474"/>
      <c r="J254" s="475"/>
      <c r="K254" s="474" t="s">
        <v>2294</v>
      </c>
      <c r="L254" s="474" t="s">
        <v>1754</v>
      </c>
      <c r="M254" s="475">
        <v>44566</v>
      </c>
      <c r="N254" s="475">
        <v>44603</v>
      </c>
      <c r="O254" s="475"/>
      <c r="P254" s="475">
        <v>44677</v>
      </c>
      <c r="Q254" s="475"/>
      <c r="R254" s="475"/>
      <c r="S254" s="474" t="s">
        <v>1688</v>
      </c>
      <c r="T254" s="474">
        <v>60</v>
      </c>
      <c r="U254" s="486" t="s">
        <v>2087</v>
      </c>
      <c r="V254" s="474" t="s">
        <v>691</v>
      </c>
      <c r="W254" s="474">
        <v>340</v>
      </c>
      <c r="X254" s="432">
        <v>832</v>
      </c>
      <c r="Y254" s="389">
        <f t="shared" si="43"/>
        <v>282880</v>
      </c>
      <c r="Z254" s="478">
        <f>158.1/340</f>
        <v>0.46499999999999997</v>
      </c>
      <c r="AA254" s="480">
        <f t="shared" si="44"/>
        <v>131539.19999999998</v>
      </c>
      <c r="AB254" s="480"/>
      <c r="AC254" s="481">
        <f t="shared" si="46"/>
        <v>0</v>
      </c>
      <c r="AD254" s="474"/>
      <c r="AE254" s="398"/>
      <c r="AF254" s="493">
        <f t="shared" si="45"/>
        <v>131539.19999999998</v>
      </c>
      <c r="AG254" s="474" t="s">
        <v>1071</v>
      </c>
      <c r="AH254" s="474">
        <v>100</v>
      </c>
      <c r="AI254" s="474">
        <v>0</v>
      </c>
      <c r="AJ254" s="475" t="s">
        <v>1847</v>
      </c>
      <c r="AK254" s="475" t="s">
        <v>50</v>
      </c>
      <c r="AL254" s="483" t="s">
        <v>1848</v>
      </c>
      <c r="AM254" s="474" t="s">
        <v>52</v>
      </c>
      <c r="AN254" s="384" t="s">
        <v>50</v>
      </c>
      <c r="AO254" s="474" t="s">
        <v>1076</v>
      </c>
      <c r="AP254" s="482" t="s">
        <v>38</v>
      </c>
      <c r="AQ254" s="474" t="s">
        <v>37</v>
      </c>
      <c r="AR254" s="474" t="s">
        <v>1216</v>
      </c>
      <c r="AS254" s="473"/>
      <c r="AT254" s="473"/>
      <c r="AU254" s="478">
        <f>158.1/340</f>
        <v>0.46499999999999997</v>
      </c>
      <c r="AV254" s="471" t="str">
        <f t="shared" si="47"/>
        <v>30376609C</v>
      </c>
      <c r="AW254" s="471" cm="1">
        <f t="array" ref="AW254">SUM(MID(0&amp;AV254,LARGE(INDEX(ISNUMBER(--MID(AV254,ROW($1:$8),1))*ROW($1:$8),),ROW($1:$8))+1,1)*10^ROW($1:$8)/10)</f>
        <v>30376609</v>
      </c>
      <c r="AX254" s="471" t="str">
        <f>VLOOKUP($AW254,'Item Master Data'!$A:$F,3,FALSE)</f>
        <v>Q.PEAK DUO BLK G6+</v>
      </c>
      <c r="AY254" s="471">
        <f>VLOOKUP($AW254,'Item Master Data'!$A:$F,6,FALSE)</f>
        <v>340</v>
      </c>
      <c r="AZ254" s="471">
        <f t="shared" si="48"/>
        <v>26</v>
      </c>
      <c r="BA254" s="471">
        <f>VLOOKUP(AW254,'Item Master Data'!$A:$G,7,FALSE)</f>
        <v>32</v>
      </c>
      <c r="BB254" s="471"/>
      <c r="BC254" s="471">
        <f t="shared" si="49"/>
        <v>0</v>
      </c>
    </row>
    <row r="255" spans="1:55">
      <c r="A255" s="495"/>
      <c r="B255" s="407"/>
      <c r="C255" s="407"/>
      <c r="D255" s="485" t="s">
        <v>86</v>
      </c>
      <c r="E255" s="474"/>
      <c r="F255" s="486" t="s">
        <v>1147</v>
      </c>
      <c r="G255" s="380">
        <v>2022</v>
      </c>
      <c r="H255" s="474">
        <v>5</v>
      </c>
      <c r="I255" s="474"/>
      <c r="J255" s="475"/>
      <c r="K255" s="474" t="s">
        <v>1980</v>
      </c>
      <c r="L255" s="474" t="s">
        <v>1953</v>
      </c>
      <c r="M255" s="475">
        <v>44498</v>
      </c>
      <c r="N255" s="475">
        <v>44621</v>
      </c>
      <c r="O255" s="475">
        <v>44627</v>
      </c>
      <c r="P255" s="475" t="s">
        <v>5168</v>
      </c>
      <c r="Q255" s="475"/>
      <c r="R255" s="475"/>
      <c r="S255" s="474" t="s">
        <v>1704</v>
      </c>
      <c r="T255" s="474">
        <v>60</v>
      </c>
      <c r="U255" s="486"/>
      <c r="V255" s="474" t="s">
        <v>973</v>
      </c>
      <c r="W255" s="474">
        <v>400</v>
      </c>
      <c r="X255" s="432">
        <v>768</v>
      </c>
      <c r="Y255" s="389">
        <f t="shared" si="43"/>
        <v>307200</v>
      </c>
      <c r="Z255" s="478">
        <f t="shared" ref="Z255:Z266" si="50">188/400</f>
        <v>0.47</v>
      </c>
      <c r="AA255" s="480">
        <f t="shared" si="44"/>
        <v>144384</v>
      </c>
      <c r="AB255" s="480"/>
      <c r="AC255" s="481">
        <f t="shared" si="46"/>
        <v>0</v>
      </c>
      <c r="AD255" s="474"/>
      <c r="AE255" s="398">
        <f>AA255*0.1025</f>
        <v>14799.359999999999</v>
      </c>
      <c r="AF255" s="493">
        <f t="shared" si="45"/>
        <v>159183.35999999999</v>
      </c>
      <c r="AG255" s="474" t="s">
        <v>47</v>
      </c>
      <c r="AH255" s="474"/>
      <c r="AI255" s="474">
        <v>60</v>
      </c>
      <c r="AJ255" s="475" t="s">
        <v>1981</v>
      </c>
      <c r="AK255" s="475" t="s">
        <v>50</v>
      </c>
      <c r="AL255" s="483">
        <v>95928</v>
      </c>
      <c r="AM255" s="474" t="s">
        <v>52</v>
      </c>
      <c r="AN255" s="384" t="s">
        <v>1074</v>
      </c>
      <c r="AO255" s="474" t="s">
        <v>1076</v>
      </c>
      <c r="AP255" s="482"/>
      <c r="AQ255" s="474" t="s">
        <v>37</v>
      </c>
      <c r="AR255" s="474"/>
      <c r="AS255" s="473" t="s">
        <v>1152</v>
      </c>
      <c r="AT255" s="473" t="s">
        <v>1076</v>
      </c>
      <c r="AU255" s="478"/>
      <c r="AV255" s="471">
        <f t="shared" si="47"/>
        <v>0</v>
      </c>
      <c r="AW255" s="471" cm="1">
        <f t="array" ref="AW255">SUM(MID(0&amp;AV255,LARGE(INDEX(ISNUMBER(--MID(AV255,ROW($1:$8),1))*ROW($1:$8),),ROW($1:$8))+1,1)*10^ROW($1:$8)/10)</f>
        <v>0</v>
      </c>
      <c r="AX255" s="471" t="e">
        <f>VLOOKUP($AW255,'Item Master Data'!$A:$F,3,FALSE)</f>
        <v>#N/A</v>
      </c>
      <c r="AY255" s="471" t="e">
        <f>VLOOKUP($AW255,'Item Master Data'!$A:$F,6,FALSE)</f>
        <v>#N/A</v>
      </c>
      <c r="AZ255" s="471" t="e">
        <f t="shared" si="48"/>
        <v>#N/A</v>
      </c>
      <c r="BA255" s="471" t="e">
        <f>VLOOKUP(AW255,'Item Master Data'!$A:$G,7,FALSE)</f>
        <v>#N/A</v>
      </c>
      <c r="BB255" s="471"/>
      <c r="BC255" s="471" t="e">
        <f t="shared" si="49"/>
        <v>#N/A</v>
      </c>
    </row>
    <row r="256" spans="1:55">
      <c r="A256" s="495"/>
      <c r="B256" s="407">
        <v>44627</v>
      </c>
      <c r="C256" s="407">
        <v>44627</v>
      </c>
      <c r="D256" s="485" t="s">
        <v>86</v>
      </c>
      <c r="E256" s="383" t="s">
        <v>1982</v>
      </c>
      <c r="F256" s="474"/>
      <c r="G256" s="380">
        <v>2022</v>
      </c>
      <c r="H256" s="474">
        <v>5</v>
      </c>
      <c r="I256" s="474"/>
      <c r="J256" s="475"/>
      <c r="K256" s="474" t="s">
        <v>1983</v>
      </c>
      <c r="L256" s="474" t="s">
        <v>1953</v>
      </c>
      <c r="M256" s="475">
        <v>44602</v>
      </c>
      <c r="N256" s="475">
        <v>44655</v>
      </c>
      <c r="O256" s="475"/>
      <c r="P256" s="475" t="s">
        <v>5168</v>
      </c>
      <c r="Q256" s="475"/>
      <c r="R256" s="475"/>
      <c r="S256" s="474" t="s">
        <v>1704</v>
      </c>
      <c r="T256" s="474">
        <v>60</v>
      </c>
      <c r="U256" s="474"/>
      <c r="V256" s="486" t="s">
        <v>973</v>
      </c>
      <c r="W256" s="474">
        <v>400</v>
      </c>
      <c r="X256" s="432">
        <v>1536</v>
      </c>
      <c r="Y256" s="389">
        <f t="shared" si="43"/>
        <v>614400</v>
      </c>
      <c r="Z256" s="478">
        <f t="shared" si="50"/>
        <v>0.47</v>
      </c>
      <c r="AA256" s="479">
        <f t="shared" si="44"/>
        <v>288768</v>
      </c>
      <c r="AB256" s="480"/>
      <c r="AC256" s="481">
        <f t="shared" si="46"/>
        <v>0</v>
      </c>
      <c r="AD256" s="474"/>
      <c r="AE256" s="398">
        <f>AA256*0.0725</f>
        <v>20935.68</v>
      </c>
      <c r="AF256" s="493">
        <f t="shared" si="45"/>
        <v>309703.67999999999</v>
      </c>
      <c r="AG256" s="474" t="s">
        <v>47</v>
      </c>
      <c r="AH256" s="474"/>
      <c r="AI256" s="474">
        <v>60</v>
      </c>
      <c r="AJ256" s="475" t="s">
        <v>1984</v>
      </c>
      <c r="AK256" s="475" t="s">
        <v>50</v>
      </c>
      <c r="AL256" s="483" t="s">
        <v>1985</v>
      </c>
      <c r="AM256" s="474" t="s">
        <v>52</v>
      </c>
      <c r="AN256" s="384"/>
      <c r="AO256" s="474" t="s">
        <v>1076</v>
      </c>
      <c r="AP256" s="474"/>
      <c r="AQ256" s="482" t="s">
        <v>37</v>
      </c>
      <c r="AR256" s="474"/>
      <c r="AS256" s="473"/>
      <c r="AT256" s="473"/>
      <c r="AU256" s="478"/>
      <c r="AV256" s="471">
        <f t="shared" si="47"/>
        <v>0</v>
      </c>
      <c r="AW256" s="471" cm="1">
        <f t="array" ref="AW256">SUM(MID(0&amp;AV256,LARGE(INDEX(ISNUMBER(--MID(AV256,ROW($1:$8),1))*ROW($1:$8),),ROW($1:$8))+1,1)*10^ROW($1:$8)/10)</f>
        <v>0</v>
      </c>
      <c r="AX256" s="471" t="e">
        <f>VLOOKUP($AW256,'Item Master Data'!$A:$F,3,FALSE)</f>
        <v>#N/A</v>
      </c>
      <c r="AY256" s="471" t="e">
        <f>VLOOKUP($AW256,'Item Master Data'!$A:$F,6,FALSE)</f>
        <v>#N/A</v>
      </c>
      <c r="AZ256" s="471" t="e">
        <f t="shared" si="48"/>
        <v>#N/A</v>
      </c>
      <c r="BA256" s="471" t="e">
        <f>VLOOKUP(AW256,'Item Master Data'!$A:$G,7,FALSE)</f>
        <v>#N/A</v>
      </c>
      <c r="BB256" s="471"/>
      <c r="BC256" s="471" t="e">
        <f t="shared" si="49"/>
        <v>#N/A</v>
      </c>
    </row>
    <row r="257" spans="1:55">
      <c r="A257" s="495"/>
      <c r="B257" s="407">
        <v>44627</v>
      </c>
      <c r="C257" s="407">
        <v>44627</v>
      </c>
      <c r="D257" s="485" t="s">
        <v>86</v>
      </c>
      <c r="E257" s="383" t="s">
        <v>2055</v>
      </c>
      <c r="F257" s="474"/>
      <c r="G257" s="380">
        <v>2022</v>
      </c>
      <c r="H257" s="474">
        <v>5</v>
      </c>
      <c r="I257" s="474"/>
      <c r="J257" s="475"/>
      <c r="K257" s="474" t="s">
        <v>2056</v>
      </c>
      <c r="L257" s="474" t="s">
        <v>1953</v>
      </c>
      <c r="M257" s="475">
        <v>44602</v>
      </c>
      <c r="N257" s="475">
        <v>44683</v>
      </c>
      <c r="O257" s="475"/>
      <c r="P257" s="475" t="s">
        <v>5168</v>
      </c>
      <c r="Q257" s="475"/>
      <c r="R257" s="475"/>
      <c r="S257" s="474" t="s">
        <v>1704</v>
      </c>
      <c r="T257" s="474">
        <v>60</v>
      </c>
      <c r="U257" s="474"/>
      <c r="V257" s="486" t="s">
        <v>973</v>
      </c>
      <c r="W257" s="474">
        <v>400</v>
      </c>
      <c r="X257" s="432">
        <v>1536</v>
      </c>
      <c r="Y257" s="389">
        <f t="shared" si="43"/>
        <v>614400</v>
      </c>
      <c r="Z257" s="478">
        <f t="shared" si="50"/>
        <v>0.47</v>
      </c>
      <c r="AA257" s="479">
        <f t="shared" si="44"/>
        <v>288768</v>
      </c>
      <c r="AB257" s="480"/>
      <c r="AC257" s="481">
        <f t="shared" si="46"/>
        <v>0</v>
      </c>
      <c r="AD257" s="474"/>
      <c r="AE257" s="398">
        <f>AA257*0.0725</f>
        <v>20935.68</v>
      </c>
      <c r="AF257" s="493">
        <f t="shared" si="45"/>
        <v>309703.67999999999</v>
      </c>
      <c r="AG257" s="474" t="s">
        <v>47</v>
      </c>
      <c r="AH257" s="474"/>
      <c r="AI257" s="474">
        <v>60</v>
      </c>
      <c r="AJ257" s="475" t="s">
        <v>1984</v>
      </c>
      <c r="AK257" s="475" t="s">
        <v>50</v>
      </c>
      <c r="AL257" s="483" t="s">
        <v>1985</v>
      </c>
      <c r="AM257" s="474" t="s">
        <v>52</v>
      </c>
      <c r="AN257" s="384"/>
      <c r="AO257" s="474" t="s">
        <v>1076</v>
      </c>
      <c r="AP257" s="474"/>
      <c r="AQ257" s="482" t="s">
        <v>37</v>
      </c>
      <c r="AR257" s="474"/>
      <c r="AS257" s="473"/>
      <c r="AT257" s="473"/>
      <c r="AU257" s="478"/>
      <c r="AV257" s="471">
        <f t="shared" si="47"/>
        <v>0</v>
      </c>
      <c r="AW257" s="471" cm="1">
        <f t="array" ref="AW257">SUM(MID(0&amp;AV257,LARGE(INDEX(ISNUMBER(--MID(AV257,ROW($1:$8),1))*ROW($1:$8),),ROW($1:$8))+1,1)*10^ROW($1:$8)/10)</f>
        <v>0</v>
      </c>
      <c r="AX257" s="471" t="e">
        <f>VLOOKUP($AW257,'Item Master Data'!$A:$F,3,FALSE)</f>
        <v>#N/A</v>
      </c>
      <c r="AY257" s="471" t="e">
        <f>VLOOKUP($AW257,'Item Master Data'!$A:$F,6,FALSE)</f>
        <v>#N/A</v>
      </c>
      <c r="AZ257" s="471" t="e">
        <f t="shared" si="48"/>
        <v>#N/A</v>
      </c>
      <c r="BA257" s="471" t="e">
        <f>VLOOKUP(AW257,'Item Master Data'!$A:$G,7,FALSE)</f>
        <v>#N/A</v>
      </c>
      <c r="BB257" s="471"/>
      <c r="BC257" s="471" t="e">
        <f t="shared" si="49"/>
        <v>#N/A</v>
      </c>
    </row>
    <row r="258" spans="1:55">
      <c r="A258" s="495"/>
      <c r="B258" s="407">
        <v>44627</v>
      </c>
      <c r="C258" s="407">
        <v>44627</v>
      </c>
      <c r="D258" s="485" t="s">
        <v>86</v>
      </c>
      <c r="E258" s="383" t="s">
        <v>1982</v>
      </c>
      <c r="F258" s="474"/>
      <c r="G258" s="380">
        <v>2022</v>
      </c>
      <c r="H258" s="474">
        <v>5</v>
      </c>
      <c r="I258" s="474"/>
      <c r="J258" s="475"/>
      <c r="K258" s="474" t="s">
        <v>1986</v>
      </c>
      <c r="L258" s="474" t="s">
        <v>1953</v>
      </c>
      <c r="M258" s="475">
        <v>44602</v>
      </c>
      <c r="N258" s="475">
        <v>44655</v>
      </c>
      <c r="O258" s="475"/>
      <c r="P258" s="475" t="s">
        <v>5168</v>
      </c>
      <c r="Q258" s="475"/>
      <c r="R258" s="475"/>
      <c r="S258" s="474" t="s">
        <v>1704</v>
      </c>
      <c r="T258" s="474">
        <v>60</v>
      </c>
      <c r="U258" s="474"/>
      <c r="V258" s="486" t="s">
        <v>973</v>
      </c>
      <c r="W258" s="474">
        <v>400</v>
      </c>
      <c r="X258" s="432">
        <v>1536</v>
      </c>
      <c r="Y258" s="389">
        <f t="shared" si="43"/>
        <v>614400</v>
      </c>
      <c r="Z258" s="478">
        <f t="shared" si="50"/>
        <v>0.47</v>
      </c>
      <c r="AA258" s="479">
        <f t="shared" si="44"/>
        <v>288768</v>
      </c>
      <c r="AB258" s="480"/>
      <c r="AC258" s="481">
        <f t="shared" si="46"/>
        <v>0</v>
      </c>
      <c r="AD258" s="474"/>
      <c r="AE258" s="398">
        <f>AA258*0.0775</f>
        <v>22379.52</v>
      </c>
      <c r="AF258" s="493">
        <f t="shared" si="45"/>
        <v>311147.52000000002</v>
      </c>
      <c r="AG258" s="474" t="s">
        <v>47</v>
      </c>
      <c r="AH258" s="474"/>
      <c r="AI258" s="474">
        <v>60</v>
      </c>
      <c r="AJ258" s="475" t="s">
        <v>1954</v>
      </c>
      <c r="AK258" s="475" t="s">
        <v>50</v>
      </c>
      <c r="AL258" s="483" t="s">
        <v>1987</v>
      </c>
      <c r="AM258" s="474" t="s">
        <v>52</v>
      </c>
      <c r="AN258" s="384"/>
      <c r="AO258" s="474" t="s">
        <v>1076</v>
      </c>
      <c r="AP258" s="474"/>
      <c r="AQ258" s="482" t="s">
        <v>37</v>
      </c>
      <c r="AR258" s="474"/>
      <c r="AS258" s="473"/>
      <c r="AT258" s="346"/>
      <c r="AU258" s="478"/>
      <c r="AV258" s="471">
        <f t="shared" si="47"/>
        <v>0</v>
      </c>
      <c r="AW258" s="471" cm="1">
        <f t="array" ref="AW258">SUM(MID(0&amp;AV258,LARGE(INDEX(ISNUMBER(--MID(AV258,ROW($1:$8),1))*ROW($1:$8),),ROW($1:$8))+1,1)*10^ROW($1:$8)/10)</f>
        <v>0</v>
      </c>
      <c r="AX258" s="471" t="e">
        <f>VLOOKUP($AW258,'Item Master Data'!$A:$F,3,FALSE)</f>
        <v>#N/A</v>
      </c>
      <c r="AY258" s="471" t="e">
        <f>VLOOKUP($AW258,'Item Master Data'!$A:$F,6,FALSE)</f>
        <v>#N/A</v>
      </c>
      <c r="AZ258" s="471" t="e">
        <f t="shared" si="48"/>
        <v>#N/A</v>
      </c>
      <c r="BA258" s="471" t="e">
        <f>VLOOKUP(AW258,'Item Master Data'!$A:$G,7,FALSE)</f>
        <v>#N/A</v>
      </c>
      <c r="BB258" s="471"/>
      <c r="BC258" s="471" t="e">
        <f t="shared" si="49"/>
        <v>#N/A</v>
      </c>
    </row>
    <row r="259" spans="1:55">
      <c r="A259" s="495"/>
      <c r="B259" s="407">
        <v>44627</v>
      </c>
      <c r="C259" s="407">
        <v>44627</v>
      </c>
      <c r="D259" s="485" t="s">
        <v>86</v>
      </c>
      <c r="E259" s="383" t="s">
        <v>2055</v>
      </c>
      <c r="F259" s="474"/>
      <c r="G259" s="380">
        <v>2022</v>
      </c>
      <c r="H259" s="474">
        <v>5</v>
      </c>
      <c r="I259" s="474"/>
      <c r="J259" s="475"/>
      <c r="K259" s="474" t="s">
        <v>2057</v>
      </c>
      <c r="L259" s="474" t="s">
        <v>1953</v>
      </c>
      <c r="M259" s="475">
        <v>44602</v>
      </c>
      <c r="N259" s="475">
        <v>44683</v>
      </c>
      <c r="O259" s="475"/>
      <c r="P259" s="475" t="s">
        <v>5168</v>
      </c>
      <c r="Q259" s="475"/>
      <c r="R259" s="475"/>
      <c r="S259" s="474" t="s">
        <v>1704</v>
      </c>
      <c r="T259" s="474">
        <v>60</v>
      </c>
      <c r="U259" s="474"/>
      <c r="V259" s="486" t="s">
        <v>973</v>
      </c>
      <c r="W259" s="474">
        <v>400</v>
      </c>
      <c r="X259" s="432">
        <v>1536</v>
      </c>
      <c r="Y259" s="389">
        <f t="shared" si="43"/>
        <v>614400</v>
      </c>
      <c r="Z259" s="478">
        <f t="shared" si="50"/>
        <v>0.47</v>
      </c>
      <c r="AA259" s="479">
        <f t="shared" si="44"/>
        <v>288768</v>
      </c>
      <c r="AB259" s="480"/>
      <c r="AC259" s="481">
        <f t="shared" si="46"/>
        <v>0</v>
      </c>
      <c r="AD259" s="474"/>
      <c r="AE259" s="398">
        <f>AA259*0.0775</f>
        <v>22379.52</v>
      </c>
      <c r="AF259" s="493">
        <f t="shared" si="45"/>
        <v>311147.52000000002</v>
      </c>
      <c r="AG259" s="474" t="s">
        <v>47</v>
      </c>
      <c r="AH259" s="474"/>
      <c r="AI259" s="474">
        <v>60</v>
      </c>
      <c r="AJ259" s="475" t="s">
        <v>1954</v>
      </c>
      <c r="AK259" s="475" t="s">
        <v>50</v>
      </c>
      <c r="AL259" s="483" t="s">
        <v>1987</v>
      </c>
      <c r="AM259" s="474" t="s">
        <v>52</v>
      </c>
      <c r="AN259" s="384"/>
      <c r="AO259" s="474" t="s">
        <v>1076</v>
      </c>
      <c r="AP259" s="474"/>
      <c r="AQ259" s="482" t="s">
        <v>37</v>
      </c>
      <c r="AR259" s="474"/>
      <c r="AS259" s="473"/>
      <c r="AT259" s="473"/>
      <c r="AU259" s="478"/>
      <c r="AV259" s="471">
        <f t="shared" si="47"/>
        <v>0</v>
      </c>
      <c r="AW259" s="471" cm="1">
        <f t="array" ref="AW259">SUM(MID(0&amp;AV259,LARGE(INDEX(ISNUMBER(--MID(AV259,ROW($1:$8),1))*ROW($1:$8),),ROW($1:$8))+1,1)*10^ROW($1:$8)/10)</f>
        <v>0</v>
      </c>
      <c r="AX259" s="471" t="e">
        <f>VLOOKUP($AW259,'Item Master Data'!$A:$F,3,FALSE)</f>
        <v>#N/A</v>
      </c>
      <c r="AY259" s="471" t="e">
        <f>VLOOKUP($AW259,'Item Master Data'!$A:$F,6,FALSE)</f>
        <v>#N/A</v>
      </c>
      <c r="AZ259" s="471" t="e">
        <f t="shared" si="48"/>
        <v>#N/A</v>
      </c>
      <c r="BA259" s="471" t="e">
        <f>VLOOKUP(AW259,'Item Master Data'!$A:$G,7,FALSE)</f>
        <v>#N/A</v>
      </c>
      <c r="BB259" s="471"/>
      <c r="BC259" s="471" t="e">
        <f t="shared" si="49"/>
        <v>#N/A</v>
      </c>
    </row>
    <row r="260" spans="1:55">
      <c r="A260" s="495"/>
      <c r="B260" s="407">
        <v>44627</v>
      </c>
      <c r="C260" s="407">
        <v>44627</v>
      </c>
      <c r="D260" s="485" t="s">
        <v>86</v>
      </c>
      <c r="E260" s="383" t="s">
        <v>1982</v>
      </c>
      <c r="F260" s="474"/>
      <c r="G260" s="380">
        <v>2022</v>
      </c>
      <c r="H260" s="474">
        <v>5</v>
      </c>
      <c r="I260" s="474"/>
      <c r="J260" s="475"/>
      <c r="K260" s="474" t="s">
        <v>1988</v>
      </c>
      <c r="L260" s="474" t="s">
        <v>1953</v>
      </c>
      <c r="M260" s="475">
        <v>44602</v>
      </c>
      <c r="N260" s="475">
        <v>44655</v>
      </c>
      <c r="O260" s="475"/>
      <c r="P260" s="475" t="s">
        <v>5168</v>
      </c>
      <c r="Q260" s="475"/>
      <c r="R260" s="475"/>
      <c r="S260" s="474" t="s">
        <v>1704</v>
      </c>
      <c r="T260" s="474">
        <v>60</v>
      </c>
      <c r="U260" s="474"/>
      <c r="V260" s="486" t="s">
        <v>973</v>
      </c>
      <c r="W260" s="474">
        <v>400</v>
      </c>
      <c r="X260" s="432">
        <v>1536</v>
      </c>
      <c r="Y260" s="389">
        <f t="shared" si="43"/>
        <v>614400</v>
      </c>
      <c r="Z260" s="478">
        <f t="shared" si="50"/>
        <v>0.47</v>
      </c>
      <c r="AA260" s="479">
        <f t="shared" si="44"/>
        <v>288768</v>
      </c>
      <c r="AB260" s="480"/>
      <c r="AC260" s="481">
        <f t="shared" si="46"/>
        <v>0</v>
      </c>
      <c r="AD260" s="474"/>
      <c r="AE260" s="398">
        <f>AA260*0.0875</f>
        <v>25267.199999999997</v>
      </c>
      <c r="AF260" s="493">
        <f t="shared" si="45"/>
        <v>314035.20000000001</v>
      </c>
      <c r="AG260" s="474" t="s">
        <v>47</v>
      </c>
      <c r="AH260" s="474"/>
      <c r="AI260" s="474">
        <v>60</v>
      </c>
      <c r="AJ260" s="475" t="s">
        <v>1913</v>
      </c>
      <c r="AK260" s="475" t="s">
        <v>50</v>
      </c>
      <c r="AL260" s="483" t="s">
        <v>1914</v>
      </c>
      <c r="AM260" s="474" t="s">
        <v>52</v>
      </c>
      <c r="AN260" s="384"/>
      <c r="AO260" s="474" t="s">
        <v>1076</v>
      </c>
      <c r="AP260" s="474"/>
      <c r="AQ260" s="482" t="s">
        <v>37</v>
      </c>
      <c r="AR260" s="474"/>
      <c r="AS260" s="473"/>
      <c r="AT260" s="473"/>
      <c r="AU260" s="478"/>
      <c r="AV260" s="471">
        <f t="shared" si="47"/>
        <v>0</v>
      </c>
      <c r="AW260" s="471" cm="1">
        <f t="array" ref="AW260">SUM(MID(0&amp;AV260,LARGE(INDEX(ISNUMBER(--MID(AV260,ROW($1:$8),1))*ROW($1:$8),),ROW($1:$8))+1,1)*10^ROW($1:$8)/10)</f>
        <v>0</v>
      </c>
      <c r="AX260" s="471" t="e">
        <f>VLOOKUP($AW260,'Item Master Data'!$A:$F,3,FALSE)</f>
        <v>#N/A</v>
      </c>
      <c r="AY260" s="471" t="e">
        <f>VLOOKUP($AW260,'Item Master Data'!$A:$F,6,FALSE)</f>
        <v>#N/A</v>
      </c>
      <c r="AZ260" s="471" t="e">
        <f t="shared" si="48"/>
        <v>#N/A</v>
      </c>
      <c r="BA260" s="471" t="e">
        <f>VLOOKUP(AW260,'Item Master Data'!$A:$G,7,FALSE)</f>
        <v>#N/A</v>
      </c>
      <c r="BB260" s="471"/>
      <c r="BC260" s="471" t="e">
        <f t="shared" si="49"/>
        <v>#N/A</v>
      </c>
    </row>
    <row r="261" spans="1:55">
      <c r="A261" s="495"/>
      <c r="B261" s="407">
        <v>44627</v>
      </c>
      <c r="C261" s="407">
        <v>44627</v>
      </c>
      <c r="D261" s="485" t="s">
        <v>86</v>
      </c>
      <c r="E261" s="383" t="s">
        <v>2055</v>
      </c>
      <c r="F261" s="474"/>
      <c r="G261" s="380">
        <v>2022</v>
      </c>
      <c r="H261" s="474">
        <v>5</v>
      </c>
      <c r="I261" s="474"/>
      <c r="J261" s="475"/>
      <c r="K261" s="474" t="s">
        <v>2058</v>
      </c>
      <c r="L261" s="474" t="s">
        <v>1953</v>
      </c>
      <c r="M261" s="475">
        <v>44602</v>
      </c>
      <c r="N261" s="475">
        <v>44683</v>
      </c>
      <c r="O261" s="475"/>
      <c r="P261" s="475" t="s">
        <v>5168</v>
      </c>
      <c r="Q261" s="475"/>
      <c r="R261" s="475"/>
      <c r="S261" s="474" t="s">
        <v>1704</v>
      </c>
      <c r="T261" s="474">
        <v>60</v>
      </c>
      <c r="U261" s="474"/>
      <c r="V261" s="486" t="s">
        <v>973</v>
      </c>
      <c r="W261" s="474">
        <v>400</v>
      </c>
      <c r="X261" s="432">
        <v>1536</v>
      </c>
      <c r="Y261" s="389">
        <f t="shared" si="43"/>
        <v>614400</v>
      </c>
      <c r="Z261" s="478">
        <f t="shared" si="50"/>
        <v>0.47</v>
      </c>
      <c r="AA261" s="479">
        <f t="shared" si="44"/>
        <v>288768</v>
      </c>
      <c r="AB261" s="480"/>
      <c r="AC261" s="481">
        <f t="shared" si="46"/>
        <v>0</v>
      </c>
      <c r="AD261" s="474"/>
      <c r="AE261" s="398">
        <f>AA261*0.0875</f>
        <v>25267.199999999997</v>
      </c>
      <c r="AF261" s="493">
        <f t="shared" si="45"/>
        <v>314035.20000000001</v>
      </c>
      <c r="AG261" s="474" t="s">
        <v>47</v>
      </c>
      <c r="AH261" s="474"/>
      <c r="AI261" s="474">
        <v>60</v>
      </c>
      <c r="AJ261" s="475" t="s">
        <v>1913</v>
      </c>
      <c r="AK261" s="475" t="s">
        <v>50</v>
      </c>
      <c r="AL261" s="483" t="s">
        <v>1914</v>
      </c>
      <c r="AM261" s="474" t="s">
        <v>52</v>
      </c>
      <c r="AN261" s="384"/>
      <c r="AO261" s="474" t="s">
        <v>1076</v>
      </c>
      <c r="AP261" s="474"/>
      <c r="AQ261" s="482" t="s">
        <v>37</v>
      </c>
      <c r="AR261" s="474"/>
      <c r="AS261" s="473"/>
      <c r="AT261" s="473"/>
      <c r="AU261" s="478"/>
      <c r="AV261" s="471">
        <f t="shared" si="47"/>
        <v>0</v>
      </c>
      <c r="AW261" s="471" cm="1">
        <f t="array" ref="AW261">SUM(MID(0&amp;AV261,LARGE(INDEX(ISNUMBER(--MID(AV261,ROW($1:$8),1))*ROW($1:$8),),ROW($1:$8))+1,1)*10^ROW($1:$8)/10)</f>
        <v>0</v>
      </c>
      <c r="AX261" s="471" t="e">
        <f>VLOOKUP($AW261,'Item Master Data'!$A:$F,3,FALSE)</f>
        <v>#N/A</v>
      </c>
      <c r="AY261" s="471" t="e">
        <f>VLOOKUP($AW261,'Item Master Data'!$A:$F,6,FALSE)</f>
        <v>#N/A</v>
      </c>
      <c r="AZ261" s="471" t="e">
        <f t="shared" si="48"/>
        <v>#N/A</v>
      </c>
      <c r="BA261" s="471" t="e">
        <f>VLOOKUP(AW261,'Item Master Data'!$A:$G,7,FALSE)</f>
        <v>#N/A</v>
      </c>
      <c r="BB261" s="471"/>
      <c r="BC261" s="471" t="e">
        <f t="shared" si="49"/>
        <v>#N/A</v>
      </c>
    </row>
    <row r="262" spans="1:55">
      <c r="A262" s="495"/>
      <c r="B262" s="407">
        <v>44627</v>
      </c>
      <c r="C262" s="407">
        <v>44627</v>
      </c>
      <c r="D262" s="485" t="s">
        <v>86</v>
      </c>
      <c r="E262" s="383" t="s">
        <v>1982</v>
      </c>
      <c r="F262" s="474"/>
      <c r="G262" s="380">
        <v>2022</v>
      </c>
      <c r="H262" s="474">
        <v>5</v>
      </c>
      <c r="I262" s="474"/>
      <c r="J262" s="475"/>
      <c r="K262" s="474" t="s">
        <v>1989</v>
      </c>
      <c r="L262" s="474" t="s">
        <v>1953</v>
      </c>
      <c r="M262" s="475">
        <v>44602</v>
      </c>
      <c r="N262" s="475">
        <v>44655</v>
      </c>
      <c r="O262" s="475"/>
      <c r="P262" s="475" t="s">
        <v>5168</v>
      </c>
      <c r="Q262" s="475"/>
      <c r="R262" s="475"/>
      <c r="S262" s="474" t="s">
        <v>1704</v>
      </c>
      <c r="T262" s="474">
        <v>60</v>
      </c>
      <c r="U262" s="474"/>
      <c r="V262" s="486" t="s">
        <v>973</v>
      </c>
      <c r="W262" s="474">
        <v>400</v>
      </c>
      <c r="X262" s="432">
        <v>1536</v>
      </c>
      <c r="Y262" s="389">
        <f t="shared" si="43"/>
        <v>614400</v>
      </c>
      <c r="Z262" s="478">
        <f t="shared" si="50"/>
        <v>0.47</v>
      </c>
      <c r="AA262" s="479">
        <f t="shared" si="44"/>
        <v>288768</v>
      </c>
      <c r="AB262" s="480"/>
      <c r="AC262" s="481">
        <f t="shared" si="46"/>
        <v>0</v>
      </c>
      <c r="AD262" s="474"/>
      <c r="AE262" s="398">
        <f>AA262*0.0725</f>
        <v>20935.68</v>
      </c>
      <c r="AF262" s="493">
        <f t="shared" si="45"/>
        <v>309703.67999999999</v>
      </c>
      <c r="AG262" s="474" t="s">
        <v>47</v>
      </c>
      <c r="AH262" s="474"/>
      <c r="AI262" s="474">
        <v>60</v>
      </c>
      <c r="AJ262" s="475" t="s">
        <v>1777</v>
      </c>
      <c r="AK262" s="475" t="s">
        <v>50</v>
      </c>
      <c r="AL262" s="483" t="s">
        <v>1990</v>
      </c>
      <c r="AM262" s="474" t="s">
        <v>52</v>
      </c>
      <c r="AN262" s="384"/>
      <c r="AO262" s="474" t="s">
        <v>1076</v>
      </c>
      <c r="AP262" s="474"/>
      <c r="AQ262" s="482" t="s">
        <v>37</v>
      </c>
      <c r="AR262" s="474"/>
      <c r="AS262" s="473"/>
      <c r="AT262" s="473"/>
      <c r="AU262" s="478"/>
      <c r="AV262" s="471">
        <f t="shared" si="47"/>
        <v>0</v>
      </c>
      <c r="AW262" s="471" cm="1">
        <f t="array" ref="AW262">SUM(MID(0&amp;AV262,LARGE(INDEX(ISNUMBER(--MID(AV262,ROW($1:$8),1))*ROW($1:$8),),ROW($1:$8))+1,1)*10^ROW($1:$8)/10)</f>
        <v>0</v>
      </c>
      <c r="AX262" s="471" t="e">
        <f>VLOOKUP($AW262,'Item Master Data'!$A:$F,3,FALSE)</f>
        <v>#N/A</v>
      </c>
      <c r="AY262" s="471" t="e">
        <f>VLOOKUP($AW262,'Item Master Data'!$A:$F,6,FALSE)</f>
        <v>#N/A</v>
      </c>
      <c r="AZ262" s="471" t="e">
        <f t="shared" si="48"/>
        <v>#N/A</v>
      </c>
      <c r="BA262" s="471" t="e">
        <f>VLOOKUP(AW262,'Item Master Data'!$A:$G,7,FALSE)</f>
        <v>#N/A</v>
      </c>
      <c r="BB262" s="471"/>
      <c r="BC262" s="471" t="e">
        <f t="shared" si="49"/>
        <v>#N/A</v>
      </c>
    </row>
    <row r="263" spans="1:55">
      <c r="A263" s="495"/>
      <c r="B263" s="407">
        <v>44627</v>
      </c>
      <c r="C263" s="407">
        <v>44627</v>
      </c>
      <c r="D263" s="485" t="s">
        <v>86</v>
      </c>
      <c r="E263" s="383" t="s">
        <v>1982</v>
      </c>
      <c r="F263" s="474"/>
      <c r="G263" s="380">
        <v>2022</v>
      </c>
      <c r="H263" s="474">
        <v>5</v>
      </c>
      <c r="I263" s="474"/>
      <c r="J263" s="475"/>
      <c r="K263" s="474" t="s">
        <v>1991</v>
      </c>
      <c r="L263" s="474" t="s">
        <v>1953</v>
      </c>
      <c r="M263" s="475">
        <v>44602</v>
      </c>
      <c r="N263" s="475">
        <v>44655</v>
      </c>
      <c r="O263" s="475"/>
      <c r="P263" s="475" t="s">
        <v>5168</v>
      </c>
      <c r="Q263" s="475"/>
      <c r="R263" s="475"/>
      <c r="S263" s="474" t="s">
        <v>1704</v>
      </c>
      <c r="T263" s="474">
        <v>60</v>
      </c>
      <c r="U263" s="474"/>
      <c r="V263" s="486" t="s">
        <v>973</v>
      </c>
      <c r="W263" s="474">
        <v>400</v>
      </c>
      <c r="X263" s="432">
        <v>1536</v>
      </c>
      <c r="Y263" s="389">
        <f t="shared" si="43"/>
        <v>614400</v>
      </c>
      <c r="Z263" s="478">
        <f t="shared" si="50"/>
        <v>0.47</v>
      </c>
      <c r="AA263" s="479">
        <f t="shared" si="44"/>
        <v>288768</v>
      </c>
      <c r="AB263" s="480"/>
      <c r="AC263" s="481">
        <f t="shared" si="46"/>
        <v>0</v>
      </c>
      <c r="AD263" s="474"/>
      <c r="AE263" s="398">
        <f>AA263*0.0835</f>
        <v>24112.128000000001</v>
      </c>
      <c r="AF263" s="493">
        <f t="shared" si="45"/>
        <v>312880.12800000003</v>
      </c>
      <c r="AG263" s="474" t="s">
        <v>47</v>
      </c>
      <c r="AH263" s="474"/>
      <c r="AI263" s="474">
        <v>60</v>
      </c>
      <c r="AJ263" s="475" t="s">
        <v>1860</v>
      </c>
      <c r="AK263" s="475" t="s">
        <v>50</v>
      </c>
      <c r="AL263" s="483" t="s">
        <v>1992</v>
      </c>
      <c r="AM263" s="474" t="s">
        <v>52</v>
      </c>
      <c r="AN263" s="384"/>
      <c r="AO263" s="474" t="s">
        <v>1076</v>
      </c>
      <c r="AP263" s="474"/>
      <c r="AQ263" s="482" t="s">
        <v>37</v>
      </c>
      <c r="AR263" s="474"/>
      <c r="AS263" s="473"/>
      <c r="AT263" s="473"/>
      <c r="AU263" s="478"/>
      <c r="AV263" s="471">
        <f t="shared" si="47"/>
        <v>0</v>
      </c>
      <c r="AW263" s="471" cm="1">
        <f t="array" ref="AW263">SUM(MID(0&amp;AV263,LARGE(INDEX(ISNUMBER(--MID(AV263,ROW($1:$8),1))*ROW($1:$8),),ROW($1:$8))+1,1)*10^ROW($1:$8)/10)</f>
        <v>0</v>
      </c>
      <c r="AX263" s="471" t="e">
        <f>VLOOKUP($AW263,'Item Master Data'!$A:$F,3,FALSE)</f>
        <v>#N/A</v>
      </c>
      <c r="AY263" s="471" t="e">
        <f>VLOOKUP($AW263,'Item Master Data'!$A:$F,6,FALSE)</f>
        <v>#N/A</v>
      </c>
      <c r="AZ263" s="471" t="e">
        <f t="shared" si="48"/>
        <v>#N/A</v>
      </c>
      <c r="BA263" s="471" t="e">
        <f>VLOOKUP(AW263,'Item Master Data'!$A:$G,7,FALSE)</f>
        <v>#N/A</v>
      </c>
      <c r="BB263" s="471"/>
      <c r="BC263" s="471" t="e">
        <f t="shared" si="49"/>
        <v>#N/A</v>
      </c>
    </row>
    <row r="264" spans="1:55">
      <c r="A264" s="495"/>
      <c r="B264" s="407">
        <v>44627</v>
      </c>
      <c r="C264" s="407">
        <v>44627</v>
      </c>
      <c r="D264" s="485" t="s">
        <v>86</v>
      </c>
      <c r="E264" s="383" t="s">
        <v>1982</v>
      </c>
      <c r="F264" s="474"/>
      <c r="G264" s="380">
        <v>2022</v>
      </c>
      <c r="H264" s="474">
        <v>5</v>
      </c>
      <c r="I264" s="474"/>
      <c r="J264" s="475"/>
      <c r="K264" s="474" t="s">
        <v>1993</v>
      </c>
      <c r="L264" s="474" t="s">
        <v>1953</v>
      </c>
      <c r="M264" s="475">
        <v>44602</v>
      </c>
      <c r="N264" s="475">
        <v>44655</v>
      </c>
      <c r="O264" s="475"/>
      <c r="P264" s="475" t="s">
        <v>5168</v>
      </c>
      <c r="Q264" s="475"/>
      <c r="R264" s="475"/>
      <c r="S264" s="474" t="s">
        <v>1704</v>
      </c>
      <c r="T264" s="474">
        <v>60</v>
      </c>
      <c r="U264" s="474"/>
      <c r="V264" s="486" t="s">
        <v>973</v>
      </c>
      <c r="W264" s="474">
        <v>400</v>
      </c>
      <c r="X264" s="432">
        <v>1536</v>
      </c>
      <c r="Y264" s="389">
        <f t="shared" si="43"/>
        <v>614400</v>
      </c>
      <c r="Z264" s="478">
        <f t="shared" si="50"/>
        <v>0.47</v>
      </c>
      <c r="AA264" s="479">
        <f t="shared" si="44"/>
        <v>288768</v>
      </c>
      <c r="AB264" s="480"/>
      <c r="AC264" s="481">
        <f t="shared" si="46"/>
        <v>0</v>
      </c>
      <c r="AD264" s="474"/>
      <c r="AE264" s="398">
        <f>AA264*0.0725</f>
        <v>20935.68</v>
      </c>
      <c r="AF264" s="493">
        <f t="shared" si="45"/>
        <v>309703.67999999999</v>
      </c>
      <c r="AG264" s="474" t="s">
        <v>47</v>
      </c>
      <c r="AH264" s="474"/>
      <c r="AI264" s="474">
        <v>60</v>
      </c>
      <c r="AJ264" s="475" t="s">
        <v>1853</v>
      </c>
      <c r="AK264" s="475" t="s">
        <v>50</v>
      </c>
      <c r="AL264" s="483" t="s">
        <v>1854</v>
      </c>
      <c r="AM264" s="474" t="s">
        <v>52</v>
      </c>
      <c r="AN264" s="384"/>
      <c r="AO264" s="474" t="s">
        <v>1076</v>
      </c>
      <c r="AP264" s="474"/>
      <c r="AQ264" s="482" t="s">
        <v>37</v>
      </c>
      <c r="AR264" s="474"/>
      <c r="AS264" s="473"/>
      <c r="AT264" s="473"/>
      <c r="AU264" s="478"/>
      <c r="AV264" s="471">
        <f t="shared" si="47"/>
        <v>0</v>
      </c>
      <c r="AW264" s="471" cm="1">
        <f t="array" ref="AW264">SUM(MID(0&amp;AV264,LARGE(INDEX(ISNUMBER(--MID(AV264,ROW($1:$8),1))*ROW($1:$8),),ROW($1:$8))+1,1)*10^ROW($1:$8)/10)</f>
        <v>0</v>
      </c>
      <c r="AX264" s="471" t="e">
        <f>VLOOKUP($AW264,'Item Master Data'!$A:$F,3,FALSE)</f>
        <v>#N/A</v>
      </c>
      <c r="AY264" s="471" t="e">
        <f>VLOOKUP($AW264,'Item Master Data'!$A:$F,6,FALSE)</f>
        <v>#N/A</v>
      </c>
      <c r="AZ264" s="471" t="e">
        <f t="shared" si="48"/>
        <v>#N/A</v>
      </c>
      <c r="BA264" s="471" t="e">
        <f>VLOOKUP(AW264,'Item Master Data'!$A:$G,7,FALSE)</f>
        <v>#N/A</v>
      </c>
      <c r="BB264" s="471"/>
      <c r="BC264" s="471" t="e">
        <f t="shared" si="49"/>
        <v>#N/A</v>
      </c>
    </row>
    <row r="265" spans="1:55">
      <c r="A265" s="495"/>
      <c r="B265" s="407">
        <v>44627</v>
      </c>
      <c r="C265" s="407">
        <v>44627</v>
      </c>
      <c r="D265" s="485" t="s">
        <v>86</v>
      </c>
      <c r="E265" s="383" t="s">
        <v>1982</v>
      </c>
      <c r="F265" s="474"/>
      <c r="G265" s="380">
        <v>2022</v>
      </c>
      <c r="H265" s="474">
        <v>5</v>
      </c>
      <c r="I265" s="474"/>
      <c r="J265" s="475"/>
      <c r="K265" s="474" t="s">
        <v>2061</v>
      </c>
      <c r="L265" s="474" t="s">
        <v>1953</v>
      </c>
      <c r="M265" s="475">
        <v>44602</v>
      </c>
      <c r="N265" s="475">
        <v>44655</v>
      </c>
      <c r="O265" s="475"/>
      <c r="P265" s="475" t="s">
        <v>5168</v>
      </c>
      <c r="Q265" s="475"/>
      <c r="R265" s="475"/>
      <c r="S265" s="474" t="s">
        <v>1704</v>
      </c>
      <c r="T265" s="474">
        <v>60</v>
      </c>
      <c r="U265" s="474"/>
      <c r="V265" s="486" t="s">
        <v>973</v>
      </c>
      <c r="W265" s="474">
        <v>400</v>
      </c>
      <c r="X265" s="432">
        <v>768</v>
      </c>
      <c r="Y265" s="389">
        <f t="shared" si="43"/>
        <v>307200</v>
      </c>
      <c r="Z265" s="478">
        <f t="shared" si="50"/>
        <v>0.47</v>
      </c>
      <c r="AA265" s="479">
        <f t="shared" si="44"/>
        <v>144384</v>
      </c>
      <c r="AB265" s="480"/>
      <c r="AC265" s="481">
        <f t="shared" si="46"/>
        <v>0</v>
      </c>
      <c r="AD265" s="474"/>
      <c r="AE265" s="398">
        <f>AA265*0.1025</f>
        <v>14799.359999999999</v>
      </c>
      <c r="AF265" s="493">
        <f t="shared" si="45"/>
        <v>159183.35999999999</v>
      </c>
      <c r="AG265" s="474" t="s">
        <v>47</v>
      </c>
      <c r="AH265" s="474"/>
      <c r="AI265" s="474">
        <v>60</v>
      </c>
      <c r="AJ265" s="475" t="s">
        <v>1981</v>
      </c>
      <c r="AK265" s="475" t="s">
        <v>50</v>
      </c>
      <c r="AL265" s="483" t="s">
        <v>2062</v>
      </c>
      <c r="AM265" s="474" t="s">
        <v>52</v>
      </c>
      <c r="AN265" s="384"/>
      <c r="AO265" s="474" t="s">
        <v>1076</v>
      </c>
      <c r="AP265" s="474"/>
      <c r="AQ265" s="482" t="s">
        <v>37</v>
      </c>
      <c r="AR265" s="474"/>
      <c r="AS265" s="473"/>
      <c r="AT265" s="473"/>
      <c r="AU265" s="478"/>
      <c r="AV265" s="471">
        <f t="shared" si="47"/>
        <v>0</v>
      </c>
      <c r="AW265" s="471" cm="1">
        <f t="array" ref="AW265">SUM(MID(0&amp;AV265,LARGE(INDEX(ISNUMBER(--MID(AV265,ROW($1:$8),1))*ROW($1:$8),),ROW($1:$8))+1,1)*10^ROW($1:$8)/10)</f>
        <v>0</v>
      </c>
      <c r="AX265" s="471" t="e">
        <f>VLOOKUP($AW265,'Item Master Data'!$A:$F,3,FALSE)</f>
        <v>#N/A</v>
      </c>
      <c r="AY265" s="471" t="e">
        <f>VLOOKUP($AW265,'Item Master Data'!$A:$F,6,FALSE)</f>
        <v>#N/A</v>
      </c>
      <c r="AZ265" s="471" t="e">
        <f t="shared" si="48"/>
        <v>#N/A</v>
      </c>
      <c r="BA265" s="471" t="e">
        <f>VLOOKUP(AW265,'Item Master Data'!$A:$G,7,FALSE)</f>
        <v>#N/A</v>
      </c>
      <c r="BB265" s="471"/>
      <c r="BC265" s="471" t="e">
        <f t="shared" si="49"/>
        <v>#N/A</v>
      </c>
    </row>
    <row r="266" spans="1:55">
      <c r="A266" s="495"/>
      <c r="B266" s="407">
        <v>44627</v>
      </c>
      <c r="C266" s="407">
        <v>44627</v>
      </c>
      <c r="D266" s="485" t="s">
        <v>86</v>
      </c>
      <c r="E266" s="383" t="s">
        <v>1982</v>
      </c>
      <c r="F266" s="474"/>
      <c r="G266" s="380">
        <v>2022</v>
      </c>
      <c r="H266" s="474">
        <v>5</v>
      </c>
      <c r="I266" s="474"/>
      <c r="J266" s="475"/>
      <c r="K266" s="474" t="s">
        <v>2052</v>
      </c>
      <c r="L266" s="474" t="s">
        <v>1953</v>
      </c>
      <c r="M266" s="475">
        <v>44602</v>
      </c>
      <c r="N266" s="475">
        <v>44655</v>
      </c>
      <c r="O266" s="475"/>
      <c r="P266" s="475" t="s">
        <v>5168</v>
      </c>
      <c r="Q266" s="475"/>
      <c r="R266" s="475"/>
      <c r="S266" s="474" t="s">
        <v>1704</v>
      </c>
      <c r="T266" s="474">
        <v>60</v>
      </c>
      <c r="U266" s="474"/>
      <c r="V266" s="486" t="s">
        <v>973</v>
      </c>
      <c r="W266" s="474">
        <v>400</v>
      </c>
      <c r="X266" s="432">
        <v>768</v>
      </c>
      <c r="Y266" s="389">
        <f t="shared" si="43"/>
        <v>307200</v>
      </c>
      <c r="Z266" s="478">
        <f t="shared" si="50"/>
        <v>0.47</v>
      </c>
      <c r="AA266" s="479">
        <f t="shared" si="44"/>
        <v>144384</v>
      </c>
      <c r="AB266" s="480"/>
      <c r="AC266" s="481">
        <f t="shared" si="46"/>
        <v>0</v>
      </c>
      <c r="AD266" s="474"/>
      <c r="AE266" s="398">
        <f>AA266*0.0825</f>
        <v>11911.68</v>
      </c>
      <c r="AF266" s="493">
        <f t="shared" si="45"/>
        <v>156295.67999999999</v>
      </c>
      <c r="AG266" s="474" t="s">
        <v>47</v>
      </c>
      <c r="AH266" s="474"/>
      <c r="AI266" s="474">
        <v>60</v>
      </c>
      <c r="AJ266" s="475" t="s">
        <v>2053</v>
      </c>
      <c r="AK266" s="475" t="s">
        <v>1144</v>
      </c>
      <c r="AL266" s="483" t="s">
        <v>2054</v>
      </c>
      <c r="AM266" s="474" t="s">
        <v>52</v>
      </c>
      <c r="AN266" s="384"/>
      <c r="AO266" s="474" t="s">
        <v>1076</v>
      </c>
      <c r="AP266" s="474"/>
      <c r="AQ266" s="482" t="s">
        <v>37</v>
      </c>
      <c r="AR266" s="474"/>
      <c r="AS266" s="473"/>
      <c r="AT266" s="473"/>
      <c r="AU266" s="478"/>
      <c r="AV266" s="471">
        <f t="shared" si="47"/>
        <v>0</v>
      </c>
      <c r="AW266" s="471" cm="1">
        <f t="array" ref="AW266">SUM(MID(0&amp;AV266,LARGE(INDEX(ISNUMBER(--MID(AV266,ROW($1:$8),1))*ROW($1:$8),),ROW($1:$8))+1,1)*10^ROW($1:$8)/10)</f>
        <v>0</v>
      </c>
      <c r="AX266" s="471" t="e">
        <f>VLOOKUP($AW266,'Item Master Data'!$A:$F,3,FALSE)</f>
        <v>#N/A</v>
      </c>
      <c r="AY266" s="471" t="e">
        <f>VLOOKUP($AW266,'Item Master Data'!$A:$F,6,FALSE)</f>
        <v>#N/A</v>
      </c>
      <c r="AZ266" s="471" t="e">
        <f t="shared" si="48"/>
        <v>#N/A</v>
      </c>
      <c r="BA266" s="471" t="e">
        <f>VLOOKUP(AW266,'Item Master Data'!$A:$G,7,FALSE)</f>
        <v>#N/A</v>
      </c>
      <c r="BB266" s="471"/>
      <c r="BC266" s="471" t="e">
        <f t="shared" si="49"/>
        <v>#N/A</v>
      </c>
    </row>
    <row r="267" spans="1:55">
      <c r="A267" s="495"/>
      <c r="B267" s="407">
        <v>44676</v>
      </c>
      <c r="C267" s="407">
        <v>44676</v>
      </c>
      <c r="D267" s="485" t="s">
        <v>86</v>
      </c>
      <c r="E267" s="474"/>
      <c r="F267" s="486"/>
      <c r="G267" s="380">
        <v>2022</v>
      </c>
      <c r="H267" s="474">
        <v>5</v>
      </c>
      <c r="I267" s="474"/>
      <c r="J267" s="475"/>
      <c r="K267" s="474" t="s">
        <v>2078</v>
      </c>
      <c r="L267" s="474" t="s">
        <v>2079</v>
      </c>
      <c r="M267" s="475">
        <v>44575</v>
      </c>
      <c r="N267" s="475">
        <v>44703</v>
      </c>
      <c r="O267" s="475"/>
      <c r="P267" s="475"/>
      <c r="Q267" s="475"/>
      <c r="R267" s="475"/>
      <c r="S267" s="474" t="s">
        <v>88</v>
      </c>
      <c r="T267" s="474">
        <v>72</v>
      </c>
      <c r="U267" s="486"/>
      <c r="V267" s="474" t="s">
        <v>995</v>
      </c>
      <c r="W267" s="474">
        <v>480</v>
      </c>
      <c r="X267" s="432">
        <v>1914</v>
      </c>
      <c r="Y267" s="389">
        <f t="shared" si="43"/>
        <v>918720</v>
      </c>
      <c r="Z267" s="478">
        <f>228/480</f>
        <v>0.47499999999999998</v>
      </c>
      <c r="AA267" s="480">
        <f t="shared" si="44"/>
        <v>436392</v>
      </c>
      <c r="AB267" s="480"/>
      <c r="AC267" s="481">
        <f t="shared" si="46"/>
        <v>0</v>
      </c>
      <c r="AD267" s="474"/>
      <c r="AE267" s="474"/>
      <c r="AF267" s="493">
        <f t="shared" si="45"/>
        <v>436392</v>
      </c>
      <c r="AG267" s="474" t="s">
        <v>1071</v>
      </c>
      <c r="AH267" s="474"/>
      <c r="AI267" s="474">
        <v>60</v>
      </c>
      <c r="AJ267" s="475" t="s">
        <v>2075</v>
      </c>
      <c r="AK267" s="475" t="s">
        <v>50</v>
      </c>
      <c r="AL267" s="483">
        <v>92056</v>
      </c>
      <c r="AM267" s="474" t="s">
        <v>52</v>
      </c>
      <c r="AN267" s="384" t="s">
        <v>50</v>
      </c>
      <c r="AO267" s="474" t="s">
        <v>1076</v>
      </c>
      <c r="AP267" s="482" t="s">
        <v>38</v>
      </c>
      <c r="AQ267" s="474" t="s">
        <v>37</v>
      </c>
      <c r="AR267" s="474"/>
      <c r="AS267" s="473" t="s">
        <v>1152</v>
      </c>
      <c r="AT267" s="473" t="s">
        <v>1076</v>
      </c>
      <c r="AU267" s="478"/>
      <c r="AV267" s="471">
        <f t="shared" si="47"/>
        <v>0</v>
      </c>
      <c r="AW267" s="471" cm="1">
        <f t="array" ref="AW267">SUM(MID(0&amp;AV267,LARGE(INDEX(ISNUMBER(--MID(AV267,ROW($1:$8),1))*ROW($1:$8),),ROW($1:$8))+1,1)*10^ROW($1:$8)/10)</f>
        <v>0</v>
      </c>
      <c r="AX267" s="471" t="e">
        <f>VLOOKUP($AW267,'Item Master Data'!$A:$F,3,FALSE)</f>
        <v>#N/A</v>
      </c>
      <c r="AY267" s="471" t="e">
        <f>VLOOKUP($AW267,'Item Master Data'!$A:$F,6,FALSE)</f>
        <v>#N/A</v>
      </c>
      <c r="AZ267" s="471" t="e">
        <f t="shared" si="48"/>
        <v>#N/A</v>
      </c>
      <c r="BA267" s="471" t="e">
        <f>VLOOKUP(AW267,'Item Master Data'!$A:$G,7,FALSE)</f>
        <v>#N/A</v>
      </c>
      <c r="BB267" s="471"/>
      <c r="BC267" s="471" t="e">
        <f t="shared" si="49"/>
        <v>#N/A</v>
      </c>
    </row>
    <row r="268" spans="1:55">
      <c r="A268" s="495"/>
      <c r="B268" s="495"/>
      <c r="C268" s="407">
        <v>44634</v>
      </c>
      <c r="D268" s="485" t="s">
        <v>86</v>
      </c>
      <c r="E268" s="383" t="s">
        <v>5549</v>
      </c>
      <c r="F268" s="474"/>
      <c r="G268" s="380">
        <v>2022</v>
      </c>
      <c r="H268" s="474">
        <v>5</v>
      </c>
      <c r="I268" s="474"/>
      <c r="J268" s="475"/>
      <c r="K268" s="474" t="s">
        <v>2127</v>
      </c>
      <c r="L268" s="474" t="s">
        <v>2079</v>
      </c>
      <c r="M268" s="475">
        <v>44593</v>
      </c>
      <c r="N268" s="475">
        <v>44682</v>
      </c>
      <c r="O268" s="475"/>
      <c r="P268" s="345" t="s">
        <v>5622</v>
      </c>
      <c r="Q268" s="475"/>
      <c r="R268" s="475"/>
      <c r="S268" s="474" t="s">
        <v>88</v>
      </c>
      <c r="T268" s="474">
        <v>60</v>
      </c>
      <c r="U268" s="486" t="s">
        <v>1281</v>
      </c>
      <c r="V268" s="486" t="s">
        <v>973</v>
      </c>
      <c r="W268" s="474">
        <v>400</v>
      </c>
      <c r="X268" s="432">
        <v>1536</v>
      </c>
      <c r="Y268" s="389">
        <f t="shared" si="43"/>
        <v>614400</v>
      </c>
      <c r="Z268" s="478">
        <f>210/400</f>
        <v>0.52500000000000002</v>
      </c>
      <c r="AA268" s="479">
        <f t="shared" si="44"/>
        <v>322560</v>
      </c>
      <c r="AB268" s="480"/>
      <c r="AC268" s="481">
        <f t="shared" si="46"/>
        <v>0</v>
      </c>
      <c r="AD268" s="474"/>
      <c r="AE268" s="474"/>
      <c r="AF268" s="493">
        <f t="shared" si="45"/>
        <v>322560</v>
      </c>
      <c r="AG268" s="474" t="s">
        <v>1071</v>
      </c>
      <c r="AH268" s="474"/>
      <c r="AI268" s="474">
        <v>60</v>
      </c>
      <c r="AJ268" s="475" t="s">
        <v>2075</v>
      </c>
      <c r="AK268" s="475" t="s">
        <v>50</v>
      </c>
      <c r="AL268" s="483" t="s">
        <v>2128</v>
      </c>
      <c r="AM268" s="474" t="s">
        <v>52</v>
      </c>
      <c r="AN268" s="474" t="s">
        <v>50</v>
      </c>
      <c r="AO268" s="474" t="s">
        <v>1076</v>
      </c>
      <c r="AP268" s="482" t="s">
        <v>92</v>
      </c>
      <c r="AQ268" s="482" t="s">
        <v>37</v>
      </c>
      <c r="AR268" s="474" t="s">
        <v>2126</v>
      </c>
      <c r="AS268" s="473"/>
      <c r="AT268" s="473"/>
      <c r="AU268" s="478"/>
      <c r="AV268" s="471" t="str">
        <f t="shared" si="47"/>
        <v>30390456H</v>
      </c>
      <c r="AW268" s="471" cm="1">
        <f t="array" ref="AW268">SUM(MID(0&amp;AV268,LARGE(INDEX(ISNUMBER(--MID(AV268,ROW($1:$8),1))*ROW($1:$8),),ROW($1:$8))+1,1)*10^ROW($1:$8)/10)</f>
        <v>30390456</v>
      </c>
      <c r="AX268" s="471" t="str">
        <f>VLOOKUP($AW268,'Item Master Data'!$A:$F,3,FALSE)</f>
        <v>Q.PEAK DUO BLK ML G10+</v>
      </c>
      <c r="AY268" s="471">
        <f>VLOOKUP($AW268,'Item Master Data'!$A:$F,6,FALSE)</f>
        <v>400</v>
      </c>
      <c r="AZ268" s="471">
        <f t="shared" si="48"/>
        <v>48</v>
      </c>
      <c r="BA268" s="471">
        <f>VLOOKUP(AW268,'Item Master Data'!$A:$G,7,FALSE)</f>
        <v>32</v>
      </c>
      <c r="BB268" s="471"/>
      <c r="BC268" s="471">
        <f t="shared" si="49"/>
        <v>0</v>
      </c>
    </row>
    <row r="269" spans="1:55">
      <c r="A269" s="495"/>
      <c r="B269" s="495"/>
      <c r="C269" s="407">
        <v>44634</v>
      </c>
      <c r="D269" s="485" t="s">
        <v>86</v>
      </c>
      <c r="E269" s="383" t="s">
        <v>2126</v>
      </c>
      <c r="F269" s="474"/>
      <c r="G269" s="380">
        <v>2022</v>
      </c>
      <c r="H269" s="474">
        <v>5</v>
      </c>
      <c r="I269" s="474"/>
      <c r="J269" s="475"/>
      <c r="K269" s="474" t="s">
        <v>2127</v>
      </c>
      <c r="L269" s="474" t="s">
        <v>2079</v>
      </c>
      <c r="M269" s="475">
        <v>44593</v>
      </c>
      <c r="N269" s="475">
        <v>44696</v>
      </c>
      <c r="O269" s="475"/>
      <c r="P269" s="345" t="s">
        <v>5622</v>
      </c>
      <c r="Q269" s="475"/>
      <c r="R269" s="475"/>
      <c r="S269" s="474" t="s">
        <v>88</v>
      </c>
      <c r="T269" s="474">
        <v>60</v>
      </c>
      <c r="U269" s="474"/>
      <c r="V269" s="486" t="s">
        <v>986</v>
      </c>
      <c r="W269" s="474">
        <v>360</v>
      </c>
      <c r="X269" s="432">
        <v>2304</v>
      </c>
      <c r="Y269" s="389">
        <f t="shared" si="43"/>
        <v>829440</v>
      </c>
      <c r="Z269" s="478">
        <f>181.8/360</f>
        <v>0.505</v>
      </c>
      <c r="AA269" s="479">
        <f t="shared" si="44"/>
        <v>418867.20000000001</v>
      </c>
      <c r="AB269" s="480"/>
      <c r="AC269" s="481">
        <f t="shared" si="46"/>
        <v>0</v>
      </c>
      <c r="AD269" s="474"/>
      <c r="AE269" s="474"/>
      <c r="AF269" s="493">
        <f t="shared" si="45"/>
        <v>418867.20000000001</v>
      </c>
      <c r="AG269" s="474" t="s">
        <v>1071</v>
      </c>
      <c r="AH269" s="474"/>
      <c r="AI269" s="474">
        <v>60</v>
      </c>
      <c r="AJ269" s="475" t="s">
        <v>2075</v>
      </c>
      <c r="AK269" s="475" t="s">
        <v>50</v>
      </c>
      <c r="AL269" s="483" t="s">
        <v>2128</v>
      </c>
      <c r="AM269" s="474" t="s">
        <v>52</v>
      </c>
      <c r="AN269" s="384"/>
      <c r="AO269" s="474" t="s">
        <v>1076</v>
      </c>
      <c r="AP269" s="474"/>
      <c r="AQ269" s="482" t="s">
        <v>37</v>
      </c>
      <c r="AR269" s="474" t="s">
        <v>2126</v>
      </c>
      <c r="AS269" s="473"/>
      <c r="AT269" s="473"/>
      <c r="AU269" s="478"/>
      <c r="AV269" s="471">
        <f t="shared" si="47"/>
        <v>0</v>
      </c>
      <c r="AW269" s="471" cm="1">
        <f t="array" ref="AW269">SUM(MID(0&amp;AV269,LARGE(INDEX(ISNUMBER(--MID(AV269,ROW($1:$8),1))*ROW($1:$8),),ROW($1:$8))+1,1)*10^ROW($1:$8)/10)</f>
        <v>0</v>
      </c>
      <c r="AX269" s="471" t="e">
        <f>VLOOKUP($AW269,'Item Master Data'!$A:$F,3,FALSE)</f>
        <v>#N/A</v>
      </c>
      <c r="AY269" s="471" t="e">
        <f>VLOOKUP($AW269,'Item Master Data'!$A:$F,6,FALSE)</f>
        <v>#N/A</v>
      </c>
      <c r="AZ269" s="471" t="e">
        <f t="shared" si="48"/>
        <v>#N/A</v>
      </c>
      <c r="BA269" s="471" t="e">
        <f>VLOOKUP(AW269,'Item Master Data'!$A:$G,7,FALSE)</f>
        <v>#N/A</v>
      </c>
      <c r="BB269" s="471"/>
      <c r="BC269" s="471" t="e">
        <f t="shared" si="49"/>
        <v>#N/A</v>
      </c>
    </row>
    <row r="270" spans="1:55">
      <c r="A270" s="495">
        <v>19</v>
      </c>
      <c r="B270" s="407">
        <v>44665</v>
      </c>
      <c r="C270" s="407">
        <v>44665</v>
      </c>
      <c r="D270" s="485" t="s">
        <v>86</v>
      </c>
      <c r="E270" s="474"/>
      <c r="F270" s="486"/>
      <c r="G270" s="380">
        <v>2022</v>
      </c>
      <c r="H270" s="474">
        <v>5</v>
      </c>
      <c r="I270" s="474"/>
      <c r="J270" s="475"/>
      <c r="K270" s="474" t="s">
        <v>2139</v>
      </c>
      <c r="L270" s="474" t="s">
        <v>2074</v>
      </c>
      <c r="M270" s="475">
        <v>44561</v>
      </c>
      <c r="N270" s="475">
        <v>44673</v>
      </c>
      <c r="O270" s="475">
        <v>44703</v>
      </c>
      <c r="P270" s="475"/>
      <c r="Q270" s="475"/>
      <c r="R270" s="475"/>
      <c r="S270" s="474" t="s">
        <v>88</v>
      </c>
      <c r="T270" s="474">
        <v>60</v>
      </c>
      <c r="U270" s="486"/>
      <c r="V270" s="474" t="s">
        <v>986</v>
      </c>
      <c r="W270" s="474">
        <v>360</v>
      </c>
      <c r="X270" s="432">
        <v>3072</v>
      </c>
      <c r="Y270" s="389">
        <f t="shared" si="43"/>
        <v>1105920</v>
      </c>
      <c r="Z270" s="348">
        <f>192.6/360</f>
        <v>0.53500000000000003</v>
      </c>
      <c r="AA270" s="480">
        <f t="shared" si="44"/>
        <v>591667.20000000007</v>
      </c>
      <c r="AB270" s="480"/>
      <c r="AC270" s="481">
        <v>0</v>
      </c>
      <c r="AD270" s="474"/>
      <c r="AE270" s="474"/>
      <c r="AF270" s="493">
        <v>566261.76000000013</v>
      </c>
      <c r="AG270" s="474" t="s">
        <v>1071</v>
      </c>
      <c r="AH270" s="474"/>
      <c r="AI270" s="474">
        <v>60</v>
      </c>
      <c r="AJ270" s="475" t="s">
        <v>2075</v>
      </c>
      <c r="AK270" s="475" t="s">
        <v>50</v>
      </c>
      <c r="AL270" s="483">
        <v>92056</v>
      </c>
      <c r="AM270" s="474" t="s">
        <v>52</v>
      </c>
      <c r="AN270" s="384" t="s">
        <v>50</v>
      </c>
      <c r="AO270" s="474" t="s">
        <v>1076</v>
      </c>
      <c r="AP270" s="482" t="s">
        <v>38</v>
      </c>
      <c r="AQ270" s="474" t="s">
        <v>37</v>
      </c>
      <c r="AR270" s="474"/>
      <c r="AS270" s="473" t="s">
        <v>1152</v>
      </c>
      <c r="AT270" s="473" t="s">
        <v>1076</v>
      </c>
      <c r="AU270" s="478"/>
      <c r="AV270" s="471">
        <f t="shared" si="47"/>
        <v>0</v>
      </c>
      <c r="AW270" s="471" cm="1">
        <f t="array" ref="AW270">SUM(MID(0&amp;AV270,LARGE(INDEX(ISNUMBER(--MID(AV270,ROW($1:$8),1))*ROW($1:$8),),ROW($1:$8))+1,1)*10^ROW($1:$8)/10)</f>
        <v>0</v>
      </c>
      <c r="AX270" s="471" t="e">
        <f>VLOOKUP($AW270,'Item Master Data'!$A:$F,3,FALSE)</f>
        <v>#N/A</v>
      </c>
      <c r="AY270" s="471" t="e">
        <f>VLOOKUP($AW270,'Item Master Data'!$A:$F,6,FALSE)</f>
        <v>#N/A</v>
      </c>
      <c r="AZ270" s="471" t="e">
        <f t="shared" si="48"/>
        <v>#N/A</v>
      </c>
      <c r="BA270" s="471" t="e">
        <f>VLOOKUP(AW270,'Item Master Data'!$A:$G,7,FALSE)</f>
        <v>#N/A</v>
      </c>
      <c r="BB270" s="471"/>
      <c r="BC270" s="471" t="e">
        <f t="shared" si="49"/>
        <v>#N/A</v>
      </c>
    </row>
    <row r="271" spans="1:55">
      <c r="A271" s="495">
        <v>18</v>
      </c>
      <c r="B271" s="407">
        <v>44665</v>
      </c>
      <c r="C271" s="407">
        <v>44665</v>
      </c>
      <c r="D271" s="485" t="s">
        <v>86</v>
      </c>
      <c r="E271" s="474"/>
      <c r="F271" s="486"/>
      <c r="G271" s="380">
        <v>2022</v>
      </c>
      <c r="H271" s="474">
        <v>5</v>
      </c>
      <c r="I271" s="474"/>
      <c r="J271" s="475"/>
      <c r="K271" s="474" t="s">
        <v>2140</v>
      </c>
      <c r="L271" s="474" t="s">
        <v>2074</v>
      </c>
      <c r="M271" s="475">
        <v>44561</v>
      </c>
      <c r="N271" s="475">
        <v>44673</v>
      </c>
      <c r="O271" s="475">
        <v>44703</v>
      </c>
      <c r="P271" s="475" t="s">
        <v>5168</v>
      </c>
      <c r="Q271" s="475"/>
      <c r="R271" s="475"/>
      <c r="S271" s="474" t="s">
        <v>88</v>
      </c>
      <c r="T271" s="474">
        <v>60</v>
      </c>
      <c r="U271" s="486" t="s">
        <v>1281</v>
      </c>
      <c r="V271" s="474" t="s">
        <v>973</v>
      </c>
      <c r="W271" s="474">
        <v>400</v>
      </c>
      <c r="X271" s="432">
        <v>1536</v>
      </c>
      <c r="Y271" s="389">
        <f t="shared" si="43"/>
        <v>614400</v>
      </c>
      <c r="Z271" s="348">
        <v>0.55500000000000005</v>
      </c>
      <c r="AA271" s="480">
        <f t="shared" si="44"/>
        <v>340992.00000000006</v>
      </c>
      <c r="AB271" s="480"/>
      <c r="AC271" s="481">
        <v>0</v>
      </c>
      <c r="AD271" s="474"/>
      <c r="AE271" s="474"/>
      <c r="AF271" s="493">
        <v>322560</v>
      </c>
      <c r="AG271" s="474" t="s">
        <v>1071</v>
      </c>
      <c r="AH271" s="474"/>
      <c r="AI271" s="474">
        <v>60</v>
      </c>
      <c r="AJ271" s="475" t="s">
        <v>2075</v>
      </c>
      <c r="AK271" s="475" t="s">
        <v>50</v>
      </c>
      <c r="AL271" s="483">
        <v>92056</v>
      </c>
      <c r="AM271" s="474" t="s">
        <v>52</v>
      </c>
      <c r="AN271" s="474" t="s">
        <v>50</v>
      </c>
      <c r="AO271" s="474" t="s">
        <v>1076</v>
      </c>
      <c r="AP271" s="482" t="s">
        <v>92</v>
      </c>
      <c r="AQ271" s="474" t="s">
        <v>37</v>
      </c>
      <c r="AR271" s="474"/>
      <c r="AS271" s="473" t="s">
        <v>1152</v>
      </c>
      <c r="AT271" s="473" t="s">
        <v>1076</v>
      </c>
      <c r="AU271" s="478"/>
      <c r="AV271" s="471" t="str">
        <f t="shared" si="47"/>
        <v>30390456H</v>
      </c>
      <c r="AW271" s="471" cm="1">
        <f t="array" ref="AW271">SUM(MID(0&amp;AV271,LARGE(INDEX(ISNUMBER(--MID(AV271,ROW($1:$8),1))*ROW($1:$8),),ROW($1:$8))+1,1)*10^ROW($1:$8)/10)</f>
        <v>30390456</v>
      </c>
      <c r="AX271" s="471" t="str">
        <f>VLOOKUP($AW271,'Item Master Data'!$A:$F,3,FALSE)</f>
        <v>Q.PEAK DUO BLK ML G10+</v>
      </c>
      <c r="AY271" s="471">
        <f>VLOOKUP($AW271,'Item Master Data'!$A:$F,6,FALSE)</f>
        <v>400</v>
      </c>
      <c r="AZ271" s="471">
        <f t="shared" si="48"/>
        <v>48</v>
      </c>
      <c r="BA271" s="471">
        <f>VLOOKUP(AW271,'Item Master Data'!$A:$G,7,FALSE)</f>
        <v>32</v>
      </c>
      <c r="BB271" s="471"/>
      <c r="BC271" s="471">
        <f t="shared" si="49"/>
        <v>0</v>
      </c>
    </row>
    <row r="272" spans="1:55">
      <c r="A272" s="495"/>
      <c r="B272" s="407">
        <v>44648</v>
      </c>
      <c r="C272" s="407">
        <v>44648</v>
      </c>
      <c r="D272" s="485" t="s">
        <v>86</v>
      </c>
      <c r="E272" s="383"/>
      <c r="F272" s="474"/>
      <c r="G272" s="380">
        <v>2022</v>
      </c>
      <c r="H272" s="474">
        <v>4</v>
      </c>
      <c r="I272" s="474">
        <v>128212</v>
      </c>
      <c r="J272" s="475">
        <v>44673</v>
      </c>
      <c r="K272" s="474">
        <v>220021673</v>
      </c>
      <c r="L272" s="474" t="s">
        <v>2308</v>
      </c>
      <c r="M272" s="475">
        <v>44630</v>
      </c>
      <c r="N272" s="475">
        <v>44630</v>
      </c>
      <c r="O272" s="475"/>
      <c r="P272" s="345">
        <v>44669</v>
      </c>
      <c r="Q272" s="475">
        <v>44673</v>
      </c>
      <c r="R272" s="475">
        <v>44678</v>
      </c>
      <c r="S272" s="474" t="s">
        <v>1704</v>
      </c>
      <c r="T272" s="474">
        <v>72</v>
      </c>
      <c r="U272" s="486">
        <v>49303156</v>
      </c>
      <c r="V272" s="486" t="s">
        <v>1070</v>
      </c>
      <c r="W272" s="474">
        <v>480</v>
      </c>
      <c r="X272" s="432">
        <v>435</v>
      </c>
      <c r="Y272" s="389">
        <f t="shared" si="43"/>
        <v>208800</v>
      </c>
      <c r="Z272" s="478">
        <f>240/480</f>
        <v>0.5</v>
      </c>
      <c r="AA272" s="480">
        <f t="shared" si="44"/>
        <v>104400</v>
      </c>
      <c r="AB272" s="480"/>
      <c r="AC272" s="481">
        <v>0</v>
      </c>
      <c r="AD272" s="474"/>
      <c r="AE272" s="474"/>
      <c r="AF272" s="493">
        <f t="shared" ref="AF272:AF278" si="51">AE272+AD272+AA272</f>
        <v>104400</v>
      </c>
      <c r="AG272" s="474" t="s">
        <v>1071</v>
      </c>
      <c r="AH272" s="474">
        <v>100</v>
      </c>
      <c r="AI272" s="474"/>
      <c r="AJ272" s="475" t="s">
        <v>2309</v>
      </c>
      <c r="AK272" s="475" t="s">
        <v>50</v>
      </c>
      <c r="AL272" s="483" t="s">
        <v>2310</v>
      </c>
      <c r="AM272" s="474" t="s">
        <v>52</v>
      </c>
      <c r="AN272" s="384" t="s">
        <v>1695</v>
      </c>
      <c r="AO272" s="474" t="s">
        <v>1076</v>
      </c>
      <c r="AP272" s="482"/>
      <c r="AQ272" s="482" t="s">
        <v>37</v>
      </c>
      <c r="AR272" s="474"/>
      <c r="AS272" s="473"/>
      <c r="AT272" s="473"/>
      <c r="AU272" s="478"/>
      <c r="AV272" s="471">
        <f t="shared" si="47"/>
        <v>49303156</v>
      </c>
      <c r="AW272" s="471" cm="1">
        <f t="array" ref="AW272">SUM(MID(0&amp;AV272,LARGE(INDEX(ISNUMBER(--MID(AV272,ROW($1:$8),1))*ROW($1:$8),),ROW($1:$8))+1,1)*10^ROW($1:$8)/10)</f>
        <v>49303156</v>
      </c>
      <c r="AX272" s="471" t="str">
        <f>VLOOKUP($AW272,'Item Master Data'!$A:$F,3,FALSE)</f>
        <v>Q.PEAK DUO XL G10 BFG</v>
      </c>
      <c r="AY272" s="471">
        <f>VLOOKUP($AW272,'Item Master Data'!$A:$F,6,FALSE)</f>
        <v>480</v>
      </c>
      <c r="AZ272" s="471">
        <f t="shared" si="48"/>
        <v>15</v>
      </c>
      <c r="BA272" s="471">
        <f>VLOOKUP(AW272,'Item Master Data'!$A:$G,7,FALSE)</f>
        <v>29</v>
      </c>
      <c r="BB272" s="471"/>
      <c r="BC272" s="471">
        <f t="shared" si="49"/>
        <v>0</v>
      </c>
    </row>
    <row r="273" spans="1:55">
      <c r="A273" s="495"/>
      <c r="B273" s="407"/>
      <c r="C273" s="407"/>
      <c r="D273" s="485" t="s">
        <v>86</v>
      </c>
      <c r="E273" s="474" t="s">
        <v>2081</v>
      </c>
      <c r="F273" s="486"/>
      <c r="G273" s="380">
        <v>2022</v>
      </c>
      <c r="H273" s="474">
        <v>5</v>
      </c>
      <c r="I273" s="474"/>
      <c r="J273" s="475"/>
      <c r="K273" s="474">
        <v>1198</v>
      </c>
      <c r="L273" s="474" t="s">
        <v>1754</v>
      </c>
      <c r="M273" s="475">
        <v>44585</v>
      </c>
      <c r="N273" s="475">
        <v>44653</v>
      </c>
      <c r="O273" s="475"/>
      <c r="P273" s="475" t="s">
        <v>1687</v>
      </c>
      <c r="Q273" s="475"/>
      <c r="R273" s="475"/>
      <c r="S273" s="474" t="s">
        <v>1688</v>
      </c>
      <c r="T273" s="474">
        <v>72</v>
      </c>
      <c r="U273" s="486"/>
      <c r="V273" s="519" t="s">
        <v>1070</v>
      </c>
      <c r="W273" s="474">
        <v>480</v>
      </c>
      <c r="X273" s="432">
        <v>638</v>
      </c>
      <c r="Y273" s="389">
        <f t="shared" si="43"/>
        <v>306240</v>
      </c>
      <c r="Z273" s="478">
        <f>237.6/480</f>
        <v>0.495</v>
      </c>
      <c r="AA273" s="480">
        <f t="shared" si="44"/>
        <v>151588.79999999999</v>
      </c>
      <c r="AB273" s="480"/>
      <c r="AC273" s="481">
        <f t="shared" ref="AC273:AC278" si="52">AB273*Y273</f>
        <v>0</v>
      </c>
      <c r="AD273" s="474"/>
      <c r="AE273" s="474"/>
      <c r="AF273" s="493">
        <f t="shared" si="51"/>
        <v>151588.79999999999</v>
      </c>
      <c r="AG273" s="474" t="s">
        <v>1071</v>
      </c>
      <c r="AH273" s="474">
        <v>100</v>
      </c>
      <c r="AI273" s="474">
        <v>0</v>
      </c>
      <c r="AJ273" s="475" t="s">
        <v>1756</v>
      </c>
      <c r="AK273" s="475" t="s">
        <v>50</v>
      </c>
      <c r="AL273" s="483">
        <v>92010</v>
      </c>
      <c r="AM273" s="474" t="s">
        <v>52</v>
      </c>
      <c r="AN273" s="384"/>
      <c r="AO273" s="474" t="s">
        <v>1076</v>
      </c>
      <c r="AP273" s="482"/>
      <c r="AQ273" s="474" t="s">
        <v>37</v>
      </c>
      <c r="AR273" s="474"/>
      <c r="AS273" s="473"/>
      <c r="AT273" s="473"/>
      <c r="AU273" s="478"/>
      <c r="AV273" s="471">
        <f t="shared" si="47"/>
        <v>0</v>
      </c>
      <c r="AW273" s="471" cm="1">
        <f t="array" ref="AW273">SUM(MID(0&amp;AV273,LARGE(INDEX(ISNUMBER(--MID(AV273,ROW($1:$8),1))*ROW($1:$8),),ROW($1:$8))+1,1)*10^ROW($1:$8)/10)</f>
        <v>0</v>
      </c>
      <c r="AX273" s="471" t="e">
        <f>VLOOKUP($AW273,'Item Master Data'!$A:$F,3,FALSE)</f>
        <v>#N/A</v>
      </c>
      <c r="AY273" s="471" t="e">
        <f>VLOOKUP($AW273,'Item Master Data'!$A:$F,6,FALSE)</f>
        <v>#N/A</v>
      </c>
      <c r="AZ273" s="471" t="e">
        <f t="shared" si="48"/>
        <v>#N/A</v>
      </c>
      <c r="BA273" s="471" t="e">
        <f>VLOOKUP(AW273,'Item Master Data'!$A:$G,7,FALSE)</f>
        <v>#N/A</v>
      </c>
      <c r="BB273" s="471"/>
      <c r="BC273" s="471" t="e">
        <f t="shared" si="49"/>
        <v>#N/A</v>
      </c>
    </row>
    <row r="274" spans="1:55">
      <c r="A274" s="495"/>
      <c r="B274" s="407"/>
      <c r="C274" s="407"/>
      <c r="D274" s="485" t="s">
        <v>86</v>
      </c>
      <c r="E274" s="474" t="s">
        <v>5469</v>
      </c>
      <c r="F274" s="486"/>
      <c r="G274" s="380">
        <v>2022</v>
      </c>
      <c r="H274" s="474">
        <v>5</v>
      </c>
      <c r="I274" s="474"/>
      <c r="J274" s="475"/>
      <c r="K274" s="474">
        <v>1199</v>
      </c>
      <c r="L274" s="474" t="s">
        <v>1754</v>
      </c>
      <c r="M274" s="475">
        <v>44585</v>
      </c>
      <c r="N274" s="475">
        <v>44683</v>
      </c>
      <c r="O274" s="475"/>
      <c r="P274" s="475"/>
      <c r="Q274" s="475"/>
      <c r="R274" s="475"/>
      <c r="S274" s="474" t="s">
        <v>1688</v>
      </c>
      <c r="T274" s="474">
        <v>72</v>
      </c>
      <c r="U274" s="486"/>
      <c r="V274" s="474" t="s">
        <v>1002</v>
      </c>
      <c r="W274" s="474">
        <v>480</v>
      </c>
      <c r="X274" s="432">
        <v>638</v>
      </c>
      <c r="Y274" s="389">
        <f t="shared" si="43"/>
        <v>306240</v>
      </c>
      <c r="Z274" s="478">
        <f>237.6/480</f>
        <v>0.495</v>
      </c>
      <c r="AA274" s="480">
        <f t="shared" si="44"/>
        <v>151588.79999999999</v>
      </c>
      <c r="AB274" s="480"/>
      <c r="AC274" s="481">
        <f t="shared" si="52"/>
        <v>0</v>
      </c>
      <c r="AD274" s="474"/>
      <c r="AE274" s="474"/>
      <c r="AF274" s="493">
        <f t="shared" si="51"/>
        <v>151588.79999999999</v>
      </c>
      <c r="AG274" s="474" t="s">
        <v>1071</v>
      </c>
      <c r="AH274" s="474">
        <v>100</v>
      </c>
      <c r="AI274" s="474">
        <v>0</v>
      </c>
      <c r="AJ274" s="475" t="s">
        <v>1756</v>
      </c>
      <c r="AK274" s="475" t="s">
        <v>50</v>
      </c>
      <c r="AL274" s="483">
        <v>92010</v>
      </c>
      <c r="AM274" s="474" t="s">
        <v>52</v>
      </c>
      <c r="AN274" s="384"/>
      <c r="AO274" s="474" t="s">
        <v>1076</v>
      </c>
      <c r="AP274" s="482"/>
      <c r="AQ274" s="474" t="s">
        <v>37</v>
      </c>
      <c r="AR274" s="474"/>
      <c r="AS274" s="473"/>
      <c r="AT274" s="473"/>
      <c r="AU274" s="478"/>
      <c r="AV274" s="471">
        <f t="shared" si="47"/>
        <v>0</v>
      </c>
      <c r="AW274" s="471" cm="1">
        <f t="array" ref="AW274">SUM(MID(0&amp;AV274,LARGE(INDEX(ISNUMBER(--MID(AV274,ROW($1:$8),1))*ROW($1:$8),),ROW($1:$8))+1,1)*10^ROW($1:$8)/10)</f>
        <v>0</v>
      </c>
      <c r="AX274" s="471" t="e">
        <f>VLOOKUP($AW274,'Item Master Data'!$A:$F,3,FALSE)</f>
        <v>#N/A</v>
      </c>
      <c r="AY274" s="471" t="e">
        <f>VLOOKUP($AW274,'Item Master Data'!$A:$F,6,FALSE)</f>
        <v>#N/A</v>
      </c>
      <c r="AZ274" s="471" t="e">
        <f t="shared" si="48"/>
        <v>#N/A</v>
      </c>
      <c r="BA274" s="471" t="e">
        <f>VLOOKUP(AW274,'Item Master Data'!$A:$G,7,FALSE)</f>
        <v>#N/A</v>
      </c>
      <c r="BB274" s="471"/>
      <c r="BC274" s="471" t="e">
        <f t="shared" si="49"/>
        <v>#N/A</v>
      </c>
    </row>
    <row r="275" spans="1:55">
      <c r="A275" s="495"/>
      <c r="B275" s="407">
        <v>44642</v>
      </c>
      <c r="C275" s="407">
        <v>44642</v>
      </c>
      <c r="D275" s="485" t="s">
        <v>86</v>
      </c>
      <c r="E275" s="474"/>
      <c r="F275" s="486"/>
      <c r="G275" s="380">
        <v>2022</v>
      </c>
      <c r="H275" s="474">
        <v>5</v>
      </c>
      <c r="I275" s="474">
        <v>2005142</v>
      </c>
      <c r="J275" s="475"/>
      <c r="K275" s="474" t="s">
        <v>5550</v>
      </c>
      <c r="L275" s="474" t="s">
        <v>1754</v>
      </c>
      <c r="M275" s="475">
        <v>44566</v>
      </c>
      <c r="N275" s="475">
        <v>44603</v>
      </c>
      <c r="O275" s="475"/>
      <c r="P275" s="475" t="s">
        <v>2295</v>
      </c>
      <c r="Q275" s="475"/>
      <c r="R275" s="475"/>
      <c r="S275" s="474" t="s">
        <v>1688</v>
      </c>
      <c r="T275" s="474">
        <v>60</v>
      </c>
      <c r="U275" s="486" t="s">
        <v>2087</v>
      </c>
      <c r="V275" s="474" t="s">
        <v>691</v>
      </c>
      <c r="W275" s="474">
        <v>340</v>
      </c>
      <c r="X275" s="432">
        <v>1722</v>
      </c>
      <c r="Y275" s="389">
        <f t="shared" si="43"/>
        <v>585480</v>
      </c>
      <c r="Z275" s="478">
        <f>158.1/340</f>
        <v>0.46499999999999997</v>
      </c>
      <c r="AA275" s="480">
        <f t="shared" si="44"/>
        <v>272248.19999999995</v>
      </c>
      <c r="AB275" s="480"/>
      <c r="AC275" s="481">
        <f t="shared" si="52"/>
        <v>0</v>
      </c>
      <c r="AD275" s="474"/>
      <c r="AE275" s="398"/>
      <c r="AF275" s="493">
        <f t="shared" si="51"/>
        <v>272248.19999999995</v>
      </c>
      <c r="AG275" s="474" t="s">
        <v>1071</v>
      </c>
      <c r="AH275" s="474">
        <v>100</v>
      </c>
      <c r="AI275" s="474">
        <v>0</v>
      </c>
      <c r="AJ275" s="475" t="s">
        <v>1844</v>
      </c>
      <c r="AK275" s="475" t="s">
        <v>50</v>
      </c>
      <c r="AL275" s="483">
        <v>93291</v>
      </c>
      <c r="AM275" s="474" t="s">
        <v>52</v>
      </c>
      <c r="AN275" s="384" t="s">
        <v>50</v>
      </c>
      <c r="AO275" s="474" t="s">
        <v>1076</v>
      </c>
      <c r="AP275" s="482" t="s">
        <v>38</v>
      </c>
      <c r="AQ275" s="474" t="s">
        <v>37</v>
      </c>
      <c r="AR275" s="474" t="s">
        <v>1216</v>
      </c>
      <c r="AS275" s="473"/>
      <c r="AT275" s="473"/>
      <c r="AU275" s="478">
        <f>158.1/340</f>
        <v>0.46499999999999997</v>
      </c>
      <c r="AV275" s="471" t="str">
        <f t="shared" si="47"/>
        <v>30376609C</v>
      </c>
      <c r="AW275" s="471" cm="1">
        <f t="array" ref="AW275">SUM(MID(0&amp;AV275,LARGE(INDEX(ISNUMBER(--MID(AV275,ROW($1:$8),1))*ROW($1:$8),),ROW($1:$8))+1,1)*10^ROW($1:$8)/10)</f>
        <v>30376609</v>
      </c>
      <c r="AX275" s="471" t="str">
        <f>VLOOKUP($AW275,'Item Master Data'!$A:$F,3,FALSE)</f>
        <v>Q.PEAK DUO BLK G6+</v>
      </c>
      <c r="AY275" s="471">
        <f>VLOOKUP($AW275,'Item Master Data'!$A:$F,6,FALSE)</f>
        <v>340</v>
      </c>
      <c r="AZ275" s="471">
        <f t="shared" si="48"/>
        <v>53.8125</v>
      </c>
      <c r="BA275" s="471">
        <f>VLOOKUP(AW275,'Item Master Data'!$A:$G,7,FALSE)</f>
        <v>32</v>
      </c>
      <c r="BB275" s="471"/>
      <c r="BC275" s="471">
        <f t="shared" si="49"/>
        <v>0</v>
      </c>
    </row>
    <row r="276" spans="1:55">
      <c r="A276" s="495"/>
      <c r="B276" s="407">
        <v>44581</v>
      </c>
      <c r="C276" s="407"/>
      <c r="D276" s="485" t="s">
        <v>86</v>
      </c>
      <c r="E276" s="474" t="s">
        <v>1323</v>
      </c>
      <c r="F276" s="486"/>
      <c r="G276" s="380">
        <v>2022</v>
      </c>
      <c r="H276" s="474">
        <v>5</v>
      </c>
      <c r="I276" s="474">
        <v>2005217</v>
      </c>
      <c r="J276" s="475"/>
      <c r="K276" s="519" t="s">
        <v>2311</v>
      </c>
      <c r="L276" s="519" t="s">
        <v>2312</v>
      </c>
      <c r="M276" s="521">
        <v>44491</v>
      </c>
      <c r="N276" s="521">
        <v>44630</v>
      </c>
      <c r="O276" s="521"/>
      <c r="P276" s="521" t="s">
        <v>1687</v>
      </c>
      <c r="Q276" s="521"/>
      <c r="R276" s="521"/>
      <c r="S276" s="519" t="s">
        <v>1688</v>
      </c>
      <c r="T276" s="519">
        <v>72</v>
      </c>
      <c r="U276" s="390"/>
      <c r="V276" s="519" t="s">
        <v>1070</v>
      </c>
      <c r="W276" s="519">
        <v>475</v>
      </c>
      <c r="X276" s="391">
        <v>1073</v>
      </c>
      <c r="Y276" s="396">
        <f t="shared" si="43"/>
        <v>509675</v>
      </c>
      <c r="Z276" s="478">
        <f>223.25/475</f>
        <v>0.47</v>
      </c>
      <c r="AA276" s="480">
        <f t="shared" si="44"/>
        <v>239547.25</v>
      </c>
      <c r="AB276" s="480"/>
      <c r="AC276" s="481">
        <f t="shared" si="52"/>
        <v>0</v>
      </c>
      <c r="AD276" s="474"/>
      <c r="AE276" s="474"/>
      <c r="AF276" s="493">
        <f t="shared" si="51"/>
        <v>239547.25</v>
      </c>
      <c r="AG276" s="474" t="s">
        <v>1071</v>
      </c>
      <c r="AH276" s="474">
        <v>100</v>
      </c>
      <c r="AI276" s="474"/>
      <c r="AJ276" s="475" t="s">
        <v>2313</v>
      </c>
      <c r="AK276" s="475" t="s">
        <v>50</v>
      </c>
      <c r="AL276" s="483" t="s">
        <v>2314</v>
      </c>
      <c r="AM276" s="474" t="s">
        <v>52</v>
      </c>
      <c r="AN276" s="384" t="s">
        <v>1074</v>
      </c>
      <c r="AO276" s="474" t="s">
        <v>1076</v>
      </c>
      <c r="AP276" s="482"/>
      <c r="AQ276" s="474" t="s">
        <v>1086</v>
      </c>
      <c r="AR276" s="474"/>
      <c r="AS276" s="473"/>
      <c r="AT276" s="473"/>
      <c r="AU276" s="478"/>
      <c r="AV276" s="471">
        <f t="shared" si="47"/>
        <v>0</v>
      </c>
      <c r="AW276" s="471" cm="1">
        <f t="array" ref="AW276">SUM(MID(0&amp;AV276,LARGE(INDEX(ISNUMBER(--MID(AV276,ROW($1:$8),1))*ROW($1:$8),),ROW($1:$8))+1,1)*10^ROW($1:$8)/10)</f>
        <v>0</v>
      </c>
      <c r="AX276" s="471" t="e">
        <f>VLOOKUP($AW276,'Item Master Data'!$A:$F,3,FALSE)</f>
        <v>#N/A</v>
      </c>
      <c r="AY276" s="471" t="e">
        <f>VLOOKUP($AW276,'Item Master Data'!$A:$F,6,FALSE)</f>
        <v>#N/A</v>
      </c>
      <c r="AZ276" s="471" t="e">
        <f t="shared" si="48"/>
        <v>#N/A</v>
      </c>
      <c r="BA276" s="471" t="e">
        <f>VLOOKUP(AW276,'Item Master Data'!$A:$G,7,FALSE)</f>
        <v>#N/A</v>
      </c>
      <c r="BB276" s="471"/>
      <c r="BC276" s="471" t="e">
        <f t="shared" si="49"/>
        <v>#N/A</v>
      </c>
    </row>
    <row r="277" spans="1:55">
      <c r="A277" s="495"/>
      <c r="B277" s="407">
        <v>44635</v>
      </c>
      <c r="C277" s="407">
        <v>44636</v>
      </c>
      <c r="D277" s="485" t="s">
        <v>86</v>
      </c>
      <c r="E277" s="474" t="s">
        <v>5551</v>
      </c>
      <c r="F277" s="486" t="s">
        <v>1147</v>
      </c>
      <c r="G277" s="380">
        <v>2022</v>
      </c>
      <c r="H277" s="474">
        <v>5</v>
      </c>
      <c r="I277" s="474"/>
      <c r="J277" s="475"/>
      <c r="K277" s="474">
        <v>101492</v>
      </c>
      <c r="L277" s="474" t="s">
        <v>2293</v>
      </c>
      <c r="M277" s="475">
        <v>44481</v>
      </c>
      <c r="N277" s="475">
        <v>44652</v>
      </c>
      <c r="O277" s="475"/>
      <c r="P277" s="475">
        <v>44678</v>
      </c>
      <c r="Q277" s="475"/>
      <c r="R277" s="475"/>
      <c r="S277" s="474" t="s">
        <v>1688</v>
      </c>
      <c r="T277" s="474">
        <v>60</v>
      </c>
      <c r="U277" s="486" t="s">
        <v>1281</v>
      </c>
      <c r="V277" s="474" t="s">
        <v>973</v>
      </c>
      <c r="W277" s="474">
        <v>400</v>
      </c>
      <c r="X277" s="432">
        <v>768</v>
      </c>
      <c r="Y277" s="389">
        <f t="shared" si="43"/>
        <v>307200</v>
      </c>
      <c r="Z277" s="348">
        <f>230/400</f>
        <v>0.57499999999999996</v>
      </c>
      <c r="AA277" s="480">
        <f t="shared" si="44"/>
        <v>176640</v>
      </c>
      <c r="AB277" s="480"/>
      <c r="AC277" s="481">
        <f t="shared" si="52"/>
        <v>0</v>
      </c>
      <c r="AD277" s="474"/>
      <c r="AE277" s="398">
        <f>AA277*0.0825</f>
        <v>14572.800000000001</v>
      </c>
      <c r="AF277" s="493">
        <f t="shared" si="51"/>
        <v>191212.79999999999</v>
      </c>
      <c r="AG277" s="474" t="s">
        <v>1071</v>
      </c>
      <c r="AH277" s="474">
        <v>100</v>
      </c>
      <c r="AI277" s="474">
        <v>0</v>
      </c>
      <c r="AJ277" s="475" t="s">
        <v>2075</v>
      </c>
      <c r="AK277" s="475" t="s">
        <v>50</v>
      </c>
      <c r="AL277" s="483">
        <v>92058</v>
      </c>
      <c r="AM277" s="474" t="s">
        <v>52</v>
      </c>
      <c r="AN277" s="474" t="s">
        <v>50</v>
      </c>
      <c r="AO277" s="474" t="s">
        <v>1076</v>
      </c>
      <c r="AP277" s="482" t="s">
        <v>92</v>
      </c>
      <c r="AQ277" s="474" t="s">
        <v>37</v>
      </c>
      <c r="AR277" s="474"/>
      <c r="AS277" s="473" t="s">
        <v>1152</v>
      </c>
      <c r="AT277" s="473" t="s">
        <v>1076</v>
      </c>
      <c r="AU277" s="478"/>
      <c r="AV277" s="471" t="str">
        <f t="shared" si="47"/>
        <v>30390456H</v>
      </c>
      <c r="AW277" s="471" cm="1">
        <f t="array" ref="AW277">SUM(MID(0&amp;AV277,LARGE(INDEX(ISNUMBER(--MID(AV277,ROW($1:$8),1))*ROW($1:$8),),ROW($1:$8))+1,1)*10^ROW($1:$8)/10)</f>
        <v>30390456</v>
      </c>
      <c r="AX277" s="471" t="str">
        <f>VLOOKUP($AW277,'Item Master Data'!$A:$F,3,FALSE)</f>
        <v>Q.PEAK DUO BLK ML G10+</v>
      </c>
      <c r="AY277" s="471">
        <f>VLOOKUP($AW277,'Item Master Data'!$A:$F,6,FALSE)</f>
        <v>400</v>
      </c>
      <c r="AZ277" s="471">
        <f t="shared" si="48"/>
        <v>24</v>
      </c>
      <c r="BA277" s="471">
        <f>VLOOKUP(AW277,'Item Master Data'!$A:$G,7,FALSE)</f>
        <v>32</v>
      </c>
      <c r="BB277" s="471"/>
      <c r="BC277" s="471">
        <f t="shared" si="49"/>
        <v>0</v>
      </c>
    </row>
    <row r="278" spans="1:55">
      <c r="A278" s="472"/>
      <c r="B278" s="472"/>
      <c r="C278" s="472"/>
      <c r="D278" s="474" t="s">
        <v>86</v>
      </c>
      <c r="E278" s="474" t="s">
        <v>2318</v>
      </c>
      <c r="F278" s="474" t="s">
        <v>1376</v>
      </c>
      <c r="G278" s="380">
        <v>2022</v>
      </c>
      <c r="H278" s="474">
        <v>5</v>
      </c>
      <c r="I278" s="474">
        <v>2004044</v>
      </c>
      <c r="J278" s="475"/>
      <c r="K278" s="344" t="s">
        <v>2319</v>
      </c>
      <c r="L278" s="474" t="s">
        <v>2320</v>
      </c>
      <c r="M278" s="475">
        <v>44483</v>
      </c>
      <c r="N278" s="475">
        <v>44531</v>
      </c>
      <c r="O278" s="475"/>
      <c r="P278" s="475" t="s">
        <v>1323</v>
      </c>
      <c r="Q278" s="475"/>
      <c r="R278" s="475"/>
      <c r="S278" s="474" t="s">
        <v>88</v>
      </c>
      <c r="T278" s="474">
        <v>72</v>
      </c>
      <c r="U278" s="486"/>
      <c r="V278" s="519" t="s">
        <v>1070</v>
      </c>
      <c r="W278" s="474">
        <v>480</v>
      </c>
      <c r="X278" s="432">
        <v>232</v>
      </c>
      <c r="Y278" s="389">
        <f t="shared" si="43"/>
        <v>111360</v>
      </c>
      <c r="Z278" s="478">
        <f>218.4/480</f>
        <v>0.45500000000000002</v>
      </c>
      <c r="AA278" s="480">
        <f t="shared" si="44"/>
        <v>50668.800000000003</v>
      </c>
      <c r="AB278" s="386"/>
      <c r="AC278" s="481">
        <f t="shared" si="52"/>
        <v>0</v>
      </c>
      <c r="AD278" s="474"/>
      <c r="AE278" s="482"/>
      <c r="AF278" s="493">
        <f t="shared" si="51"/>
        <v>50668.800000000003</v>
      </c>
      <c r="AG278" s="474" t="s">
        <v>1949</v>
      </c>
      <c r="AH278" s="447">
        <v>100</v>
      </c>
      <c r="AI278" s="474">
        <v>0</v>
      </c>
      <c r="AJ278" s="474" t="s">
        <v>2289</v>
      </c>
      <c r="AK278" s="474" t="s">
        <v>2321</v>
      </c>
      <c r="AL278" s="494">
        <v>90248</v>
      </c>
      <c r="AM278" s="474" t="s">
        <v>52</v>
      </c>
      <c r="AN278" s="474" t="s">
        <v>50</v>
      </c>
      <c r="AO278" s="474" t="s">
        <v>1076</v>
      </c>
      <c r="AP278" s="482" t="s">
        <v>38</v>
      </c>
      <c r="AQ278" s="474" t="s">
        <v>37</v>
      </c>
      <c r="AR278" s="474"/>
      <c r="AS278" s="387" t="s">
        <v>1152</v>
      </c>
      <c r="AT278" s="387" t="s">
        <v>1076</v>
      </c>
      <c r="AU278" s="478"/>
      <c r="AV278" s="471">
        <f t="shared" si="47"/>
        <v>0</v>
      </c>
      <c r="AW278" s="471" cm="1">
        <f t="array" ref="AW278">SUM(MID(0&amp;AV278,LARGE(INDEX(ISNUMBER(--MID(AV278,ROW($1:$8),1))*ROW($1:$8),),ROW($1:$8))+1,1)*10^ROW($1:$8)/10)</f>
        <v>0</v>
      </c>
      <c r="AX278" s="471" t="e">
        <f>VLOOKUP($AW278,'Item Master Data'!$A:$F,3,FALSE)</f>
        <v>#N/A</v>
      </c>
      <c r="AY278" s="471" t="e">
        <f>VLOOKUP($AW278,'Item Master Data'!$A:$F,6,FALSE)</f>
        <v>#N/A</v>
      </c>
      <c r="AZ278" s="471" t="e">
        <f t="shared" si="48"/>
        <v>#N/A</v>
      </c>
      <c r="BA278" s="471" t="e">
        <f>VLOOKUP(AW278,'Item Master Data'!$A:$G,7,FALSE)</f>
        <v>#N/A</v>
      </c>
      <c r="BB278" s="471"/>
      <c r="BC278" s="471" t="e">
        <f t="shared" si="49"/>
        <v>#N/A</v>
      </c>
    </row>
    <row r="279" spans="1:55">
      <c r="A279" s="495"/>
      <c r="B279" s="407">
        <v>44579</v>
      </c>
      <c r="C279" s="407">
        <v>44579</v>
      </c>
      <c r="D279" s="485" t="s">
        <v>86</v>
      </c>
      <c r="E279" s="474" t="s">
        <v>1685</v>
      </c>
      <c r="F279" s="486"/>
      <c r="G279" s="380">
        <v>2022</v>
      </c>
      <c r="H279" s="474">
        <v>6</v>
      </c>
      <c r="I279" s="474">
        <v>2005120</v>
      </c>
      <c r="J279" s="475"/>
      <c r="K279" s="474">
        <v>4952</v>
      </c>
      <c r="L279" s="474" t="s">
        <v>1686</v>
      </c>
      <c r="M279" s="475">
        <v>44572</v>
      </c>
      <c r="N279" s="475">
        <v>44572</v>
      </c>
      <c r="O279" s="475"/>
      <c r="P279" s="475" t="s">
        <v>1687</v>
      </c>
      <c r="Q279" s="475"/>
      <c r="R279" s="475"/>
      <c r="S279" s="474" t="s">
        <v>1688</v>
      </c>
      <c r="T279" s="474">
        <v>60</v>
      </c>
      <c r="U279" s="486" t="s">
        <v>1689</v>
      </c>
      <c r="V279" s="474" t="s">
        <v>973</v>
      </c>
      <c r="W279" s="474">
        <v>400</v>
      </c>
      <c r="X279" s="432">
        <v>320</v>
      </c>
      <c r="Y279" s="389">
        <f t="shared" si="43"/>
        <v>128000</v>
      </c>
      <c r="Z279" s="478">
        <v>0.53999999999999992</v>
      </c>
      <c r="AA279" s="480">
        <f t="shared" si="44"/>
        <v>69119.999999999985</v>
      </c>
      <c r="AB279" s="480"/>
      <c r="AC279" s="481">
        <v>0</v>
      </c>
      <c r="AD279" s="474"/>
      <c r="AE279" s="474"/>
      <c r="AF279" s="493">
        <v>65663.999999999985</v>
      </c>
      <c r="AG279" s="474" t="s">
        <v>1071</v>
      </c>
      <c r="AH279" s="474">
        <v>100</v>
      </c>
      <c r="AI279" s="474"/>
      <c r="AJ279" s="475" t="s">
        <v>1690</v>
      </c>
      <c r="AK279" s="475" t="s">
        <v>50</v>
      </c>
      <c r="AL279" s="483" t="s">
        <v>1691</v>
      </c>
      <c r="AM279" s="474" t="s">
        <v>52</v>
      </c>
      <c r="AN279" s="384" t="s">
        <v>50</v>
      </c>
      <c r="AO279" s="474" t="s">
        <v>1076</v>
      </c>
      <c r="AP279" s="482" t="s">
        <v>38</v>
      </c>
      <c r="AQ279" s="474" t="s">
        <v>37</v>
      </c>
      <c r="AR279" s="474"/>
      <c r="AS279" s="473" t="s">
        <v>1492</v>
      </c>
      <c r="AT279" s="473"/>
      <c r="AU279" s="478"/>
      <c r="AV279" s="471" t="str">
        <f t="shared" si="47"/>
        <v>30368817F</v>
      </c>
      <c r="AW279" s="471" cm="1">
        <f t="array" ref="AW279">SUM(MID(0&amp;AV279,LARGE(INDEX(ISNUMBER(--MID(AV279,ROW($1:$8),1))*ROW($1:$8),),ROW($1:$8))+1,1)*10^ROW($1:$8)/10)</f>
        <v>30368817</v>
      </c>
      <c r="AX279" s="471" t="str">
        <f>VLOOKUP($AW279,'Item Master Data'!$A:$F,3,FALSE)</f>
        <v>Q.PEAK DUO BLK ML G9+</v>
      </c>
      <c r="AY279" s="471">
        <f>VLOOKUP($AW279,'Item Master Data'!$A:$F,6,FALSE)</f>
        <v>380</v>
      </c>
      <c r="AZ279" s="471">
        <f t="shared" si="48"/>
        <v>10</v>
      </c>
      <c r="BA279" s="471">
        <f>VLOOKUP(AW279,'Item Master Data'!$A:$G,7,FALSE)</f>
        <v>32</v>
      </c>
      <c r="BB279" s="471"/>
      <c r="BC279" s="471">
        <f t="shared" si="49"/>
        <v>20</v>
      </c>
    </row>
    <row r="280" spans="1:55">
      <c r="A280" s="495"/>
      <c r="B280" s="407">
        <v>44629</v>
      </c>
      <c r="C280" s="407">
        <v>44629</v>
      </c>
      <c r="D280" s="485" t="s">
        <v>86</v>
      </c>
      <c r="E280" s="474"/>
      <c r="F280" s="486"/>
      <c r="G280" s="380">
        <v>2022</v>
      </c>
      <c r="H280" s="474">
        <v>6</v>
      </c>
      <c r="I280" s="474"/>
      <c r="J280" s="475"/>
      <c r="K280" s="474" t="s">
        <v>1735</v>
      </c>
      <c r="L280" s="474" t="s">
        <v>1693</v>
      </c>
      <c r="M280" s="475">
        <v>44480</v>
      </c>
      <c r="N280" s="475">
        <v>44715</v>
      </c>
      <c r="O280" s="475"/>
      <c r="P280" s="475"/>
      <c r="Q280" s="475"/>
      <c r="R280" s="475"/>
      <c r="S280" s="474" t="s">
        <v>88</v>
      </c>
      <c r="T280" s="474">
        <v>60</v>
      </c>
      <c r="U280" s="486"/>
      <c r="V280" s="474" t="s">
        <v>986</v>
      </c>
      <c r="W280" s="474">
        <v>360</v>
      </c>
      <c r="X280" s="432">
        <v>1664</v>
      </c>
      <c r="Y280" s="389">
        <f t="shared" si="43"/>
        <v>599040</v>
      </c>
      <c r="Z280" s="348">
        <f>190.8/360</f>
        <v>0.53</v>
      </c>
      <c r="AA280" s="480">
        <f t="shared" si="44"/>
        <v>317491.20000000001</v>
      </c>
      <c r="AB280" s="480"/>
      <c r="AC280" s="481">
        <v>0</v>
      </c>
      <c r="AD280" s="474"/>
      <c r="AE280" s="474"/>
      <c r="AF280" s="493">
        <f t="shared" ref="AF280:AF298" si="53">AE280+AD280+AA280</f>
        <v>317491.20000000001</v>
      </c>
      <c r="AG280" s="474" t="s">
        <v>1071</v>
      </c>
      <c r="AH280" s="474"/>
      <c r="AI280" s="474">
        <v>60</v>
      </c>
      <c r="AJ280" s="475" t="s">
        <v>1694</v>
      </c>
      <c r="AK280" s="475" t="s">
        <v>50</v>
      </c>
      <c r="AL280" s="483" t="s">
        <v>1725</v>
      </c>
      <c r="AM280" s="474" t="s">
        <v>52</v>
      </c>
      <c r="AN280" s="384" t="s">
        <v>50</v>
      </c>
      <c r="AO280" s="474" t="s">
        <v>1076</v>
      </c>
      <c r="AP280" s="482" t="s">
        <v>38</v>
      </c>
      <c r="AQ280" s="474" t="s">
        <v>37</v>
      </c>
      <c r="AR280" s="474"/>
      <c r="AS280" s="473" t="s">
        <v>1075</v>
      </c>
      <c r="AT280" s="473"/>
      <c r="AU280" s="478"/>
      <c r="AV280" s="471">
        <f t="shared" si="47"/>
        <v>0</v>
      </c>
      <c r="AW280" s="471" cm="1">
        <f t="array" ref="AW280">SUM(MID(0&amp;AV280,LARGE(INDEX(ISNUMBER(--MID(AV280,ROW($1:$8),1))*ROW($1:$8),),ROW($1:$8))+1,1)*10^ROW($1:$8)/10)</f>
        <v>0</v>
      </c>
      <c r="AX280" s="471" t="e">
        <f>VLOOKUP($AW280,'Item Master Data'!$A:$F,3,FALSE)</f>
        <v>#N/A</v>
      </c>
      <c r="AY280" s="471" t="e">
        <f>VLOOKUP($AW280,'Item Master Data'!$A:$F,6,FALSE)</f>
        <v>#N/A</v>
      </c>
      <c r="AZ280" s="471" t="e">
        <f t="shared" si="48"/>
        <v>#N/A</v>
      </c>
      <c r="BA280" s="471" t="e">
        <f>VLOOKUP(AW280,'Item Master Data'!$A:$G,7,FALSE)</f>
        <v>#N/A</v>
      </c>
      <c r="BB280" s="471"/>
      <c r="BC280" s="471" t="e">
        <f t="shared" si="49"/>
        <v>#N/A</v>
      </c>
    </row>
    <row r="281" spans="1:55">
      <c r="A281" s="495"/>
      <c r="B281" s="495"/>
      <c r="C281" s="495"/>
      <c r="D281" s="474" t="s">
        <v>86</v>
      </c>
      <c r="E281" s="474"/>
      <c r="F281" s="474"/>
      <c r="G281" s="380">
        <v>2022</v>
      </c>
      <c r="H281" s="474">
        <v>6</v>
      </c>
      <c r="I281" s="474"/>
      <c r="J281" s="475"/>
      <c r="K281" s="474" t="s">
        <v>1737</v>
      </c>
      <c r="L281" s="474" t="s">
        <v>1693</v>
      </c>
      <c r="M281" s="475">
        <v>44595</v>
      </c>
      <c r="N281" s="475">
        <v>44718</v>
      </c>
      <c r="O281" s="475"/>
      <c r="P281" s="475"/>
      <c r="Q281" s="475"/>
      <c r="R281" s="475"/>
      <c r="S281" s="474" t="s">
        <v>88</v>
      </c>
      <c r="T281" s="474">
        <v>60</v>
      </c>
      <c r="U281" s="474"/>
      <c r="V281" s="474" t="s">
        <v>973</v>
      </c>
      <c r="W281" s="474">
        <v>400</v>
      </c>
      <c r="X281" s="432">
        <v>768</v>
      </c>
      <c r="Y281" s="389">
        <f t="shared" si="43"/>
        <v>307200</v>
      </c>
      <c r="Z281" s="478">
        <f>220/400</f>
        <v>0.55000000000000004</v>
      </c>
      <c r="AA281" s="479">
        <f t="shared" si="44"/>
        <v>168960</v>
      </c>
      <c r="AB281" s="480"/>
      <c r="AC281" s="481">
        <v>0</v>
      </c>
      <c r="AD281" s="490"/>
      <c r="AE281" s="482"/>
      <c r="AF281" s="493">
        <f t="shared" si="53"/>
        <v>168960</v>
      </c>
      <c r="AG281" s="474" t="s">
        <v>1071</v>
      </c>
      <c r="AH281" s="474"/>
      <c r="AI281" s="474">
        <v>60</v>
      </c>
      <c r="AJ281" s="474" t="s">
        <v>1694</v>
      </c>
      <c r="AK281" s="474" t="s">
        <v>1144</v>
      </c>
      <c r="AL281" s="474">
        <v>92806</v>
      </c>
      <c r="AM281" s="474" t="s">
        <v>52</v>
      </c>
      <c r="AN281" s="474"/>
      <c r="AO281" s="474" t="s">
        <v>1076</v>
      </c>
      <c r="AP281" s="482" t="s">
        <v>92</v>
      </c>
      <c r="AQ281" s="482" t="s">
        <v>37</v>
      </c>
      <c r="AR281" s="482" t="s">
        <v>1216</v>
      </c>
      <c r="AS281" s="473" t="s">
        <v>1492</v>
      </c>
      <c r="AT281" s="473"/>
      <c r="AU281" s="478">
        <f>180/360</f>
        <v>0.5</v>
      </c>
      <c r="AV281" s="471">
        <f t="shared" si="47"/>
        <v>0</v>
      </c>
      <c r="AW281" s="471" cm="1">
        <f t="array" ref="AW281">SUM(MID(0&amp;AV281,LARGE(INDEX(ISNUMBER(--MID(AV281,ROW($1:$8),1))*ROW($1:$8),),ROW($1:$8))+1,1)*10^ROW($1:$8)/10)</f>
        <v>0</v>
      </c>
      <c r="AX281" s="471" t="e">
        <f>VLOOKUP($AW281,'Item Master Data'!$A:$F,3,FALSE)</f>
        <v>#N/A</v>
      </c>
      <c r="AY281" s="471" t="e">
        <f>VLOOKUP($AW281,'Item Master Data'!$A:$F,6,FALSE)</f>
        <v>#N/A</v>
      </c>
      <c r="AZ281" s="471" t="e">
        <f t="shared" si="48"/>
        <v>#N/A</v>
      </c>
      <c r="BA281" s="471" t="e">
        <f>VLOOKUP(AW281,'Item Master Data'!$A:$G,7,FALSE)</f>
        <v>#N/A</v>
      </c>
      <c r="BB281" s="471"/>
      <c r="BC281" s="471" t="e">
        <f t="shared" si="49"/>
        <v>#N/A</v>
      </c>
    </row>
    <row r="282" spans="1:55">
      <c r="A282" s="495"/>
      <c r="B282" s="495"/>
      <c r="C282" s="495"/>
      <c r="D282" s="474" t="s">
        <v>86</v>
      </c>
      <c r="E282" s="474"/>
      <c r="F282" s="474"/>
      <c r="G282" s="380">
        <v>2022</v>
      </c>
      <c r="H282" s="474">
        <v>6</v>
      </c>
      <c r="I282" s="474"/>
      <c r="J282" s="475"/>
      <c r="K282" s="474" t="s">
        <v>1736</v>
      </c>
      <c r="L282" s="474" t="s">
        <v>1693</v>
      </c>
      <c r="M282" s="475">
        <v>44595</v>
      </c>
      <c r="N282" s="475">
        <v>44683</v>
      </c>
      <c r="O282" s="475">
        <v>44714</v>
      </c>
      <c r="P282" s="475"/>
      <c r="Q282" s="475"/>
      <c r="R282" s="475"/>
      <c r="S282" s="474" t="s">
        <v>88</v>
      </c>
      <c r="T282" s="474">
        <v>60</v>
      </c>
      <c r="U282" s="474"/>
      <c r="V282" s="474" t="s">
        <v>1223</v>
      </c>
      <c r="W282" s="474">
        <v>360</v>
      </c>
      <c r="X282" s="432">
        <v>832</v>
      </c>
      <c r="Y282" s="389">
        <f t="shared" ref="Y282:Y316" si="54">W282*X282</f>
        <v>299520</v>
      </c>
      <c r="Z282" s="478">
        <f>298.8/360</f>
        <v>0.83000000000000007</v>
      </c>
      <c r="AA282" s="479">
        <f t="shared" si="44"/>
        <v>248601.60000000003</v>
      </c>
      <c r="AB282" s="480"/>
      <c r="AC282" s="481">
        <v>0</v>
      </c>
      <c r="AD282" s="490"/>
      <c r="AE282" s="482"/>
      <c r="AF282" s="493">
        <f t="shared" si="53"/>
        <v>248601.60000000003</v>
      </c>
      <c r="AG282" s="474" t="s">
        <v>1071</v>
      </c>
      <c r="AH282" s="474"/>
      <c r="AI282" s="474">
        <v>60</v>
      </c>
      <c r="AJ282" s="474" t="s">
        <v>1694</v>
      </c>
      <c r="AK282" s="474" t="s">
        <v>50</v>
      </c>
      <c r="AL282" s="474">
        <v>92806</v>
      </c>
      <c r="AM282" s="474" t="s">
        <v>52</v>
      </c>
      <c r="AN282" s="474"/>
      <c r="AO282" s="474" t="s">
        <v>1076</v>
      </c>
      <c r="AP282" s="482" t="s">
        <v>92</v>
      </c>
      <c r="AQ282" s="482" t="s">
        <v>37</v>
      </c>
      <c r="AR282" s="482" t="s">
        <v>1216</v>
      </c>
      <c r="AS282" s="473" t="s">
        <v>1492</v>
      </c>
      <c r="AT282" s="473"/>
      <c r="AU282" s="478">
        <f>180/360</f>
        <v>0.5</v>
      </c>
      <c r="AV282" s="471">
        <f t="shared" si="47"/>
        <v>0</v>
      </c>
      <c r="AW282" s="471" cm="1">
        <f t="array" ref="AW282">SUM(MID(0&amp;AV282,LARGE(INDEX(ISNUMBER(--MID(AV282,ROW($1:$8),1))*ROW($1:$8),),ROW($1:$8))+1,1)*10^ROW($1:$8)/10)</f>
        <v>0</v>
      </c>
      <c r="AX282" s="471" t="e">
        <f>VLOOKUP($AW282,'Item Master Data'!$A:$F,3,FALSE)</f>
        <v>#N/A</v>
      </c>
      <c r="AY282" s="471" t="e">
        <f>VLOOKUP($AW282,'Item Master Data'!$A:$F,6,FALSE)</f>
        <v>#N/A</v>
      </c>
      <c r="AZ282" s="471" t="e">
        <f t="shared" si="48"/>
        <v>#N/A</v>
      </c>
      <c r="BA282" s="471" t="e">
        <f>VLOOKUP(AW282,'Item Master Data'!$A:$G,7,FALSE)</f>
        <v>#N/A</v>
      </c>
      <c r="BB282" s="471"/>
      <c r="BC282" s="471" t="e">
        <f t="shared" si="49"/>
        <v>#N/A</v>
      </c>
    </row>
    <row r="283" spans="1:55">
      <c r="A283" s="495"/>
      <c r="B283" s="407"/>
      <c r="C283" s="407"/>
      <c r="D283" s="485" t="s">
        <v>86</v>
      </c>
      <c r="E283" s="474" t="s">
        <v>5469</v>
      </c>
      <c r="F283" s="486"/>
      <c r="G283" s="380">
        <v>2022</v>
      </c>
      <c r="H283" s="474">
        <v>6</v>
      </c>
      <c r="I283" s="474"/>
      <c r="J283" s="475"/>
      <c r="K283" s="474" t="s">
        <v>1729</v>
      </c>
      <c r="L283" s="474" t="s">
        <v>1693</v>
      </c>
      <c r="M283" s="475">
        <v>44615</v>
      </c>
      <c r="N283" s="475">
        <v>44735</v>
      </c>
      <c r="O283" s="475"/>
      <c r="P283" s="475"/>
      <c r="Q283" s="475"/>
      <c r="R283" s="475"/>
      <c r="S283" s="474" t="s">
        <v>88</v>
      </c>
      <c r="T283" s="474">
        <v>72</v>
      </c>
      <c r="U283" s="486"/>
      <c r="V283" s="474" t="s">
        <v>1110</v>
      </c>
      <c r="W283" s="474">
        <v>485</v>
      </c>
      <c r="X283" s="432">
        <v>638</v>
      </c>
      <c r="Y283" s="389">
        <f t="shared" si="54"/>
        <v>309430</v>
      </c>
      <c r="Z283" s="478">
        <f>244.93/485</f>
        <v>0.50501030927835056</v>
      </c>
      <c r="AA283" s="480">
        <f t="shared" si="44"/>
        <v>156265.34000000003</v>
      </c>
      <c r="AB283" s="480"/>
      <c r="AC283" s="481">
        <v>0</v>
      </c>
      <c r="AD283" s="474"/>
      <c r="AE283" s="474"/>
      <c r="AF283" s="493">
        <f t="shared" si="53"/>
        <v>156265.34000000003</v>
      </c>
      <c r="AG283" s="474" t="s">
        <v>1071</v>
      </c>
      <c r="AH283" s="474"/>
      <c r="AI283" s="474">
        <v>60</v>
      </c>
      <c r="AJ283" s="475" t="s">
        <v>1694</v>
      </c>
      <c r="AK283" s="475" t="s">
        <v>50</v>
      </c>
      <c r="AL283" s="483" t="s">
        <v>1725</v>
      </c>
      <c r="AM283" s="474" t="s">
        <v>52</v>
      </c>
      <c r="AN283" s="384" t="s">
        <v>50</v>
      </c>
      <c r="AO283" s="474" t="s">
        <v>1076</v>
      </c>
      <c r="AP283" s="482" t="s">
        <v>38</v>
      </c>
      <c r="AQ283" s="474" t="s">
        <v>37</v>
      </c>
      <c r="AR283" s="474"/>
      <c r="AS283" s="473" t="s">
        <v>1075</v>
      </c>
      <c r="AT283" s="473"/>
      <c r="AU283" s="478">
        <v>0.52</v>
      </c>
      <c r="AV283" s="471">
        <f t="shared" si="47"/>
        <v>0</v>
      </c>
      <c r="AW283" s="471" cm="1">
        <f t="array" ref="AW283">SUM(MID(0&amp;AV283,LARGE(INDEX(ISNUMBER(--MID(AV283,ROW($1:$8),1))*ROW($1:$8),),ROW($1:$8))+1,1)*10^ROW($1:$8)/10)</f>
        <v>0</v>
      </c>
      <c r="AX283" s="471" t="e">
        <f>VLOOKUP($AW283,'Item Master Data'!$A:$F,3,FALSE)</f>
        <v>#N/A</v>
      </c>
      <c r="AY283" s="471" t="e">
        <f>VLOOKUP($AW283,'Item Master Data'!$A:$F,6,FALSE)</f>
        <v>#N/A</v>
      </c>
      <c r="AZ283" s="471" t="e">
        <f t="shared" si="48"/>
        <v>#N/A</v>
      </c>
      <c r="BA283" s="471" t="e">
        <f>VLOOKUP(AW283,'Item Master Data'!$A:$G,7,FALSE)</f>
        <v>#N/A</v>
      </c>
      <c r="BB283" s="471"/>
      <c r="BC283" s="471" t="e">
        <f t="shared" si="49"/>
        <v>#N/A</v>
      </c>
    </row>
    <row r="284" spans="1:55">
      <c r="A284" s="495"/>
      <c r="B284" s="407"/>
      <c r="C284" s="407"/>
      <c r="D284" s="485" t="s">
        <v>86</v>
      </c>
      <c r="E284" s="383" t="s">
        <v>5619</v>
      </c>
      <c r="F284" s="486"/>
      <c r="G284" s="380">
        <v>2022</v>
      </c>
      <c r="H284" s="474">
        <v>6</v>
      </c>
      <c r="I284" s="474"/>
      <c r="J284" s="475"/>
      <c r="K284" s="474" t="s">
        <v>1766</v>
      </c>
      <c r="L284" s="474" t="s">
        <v>1762</v>
      </c>
      <c r="M284" s="475">
        <v>44546</v>
      </c>
      <c r="N284" s="475">
        <v>44620</v>
      </c>
      <c r="O284" s="475">
        <v>44648</v>
      </c>
      <c r="P284" s="475"/>
      <c r="Q284" s="475"/>
      <c r="R284" s="475"/>
      <c r="S284" s="474" t="s">
        <v>88</v>
      </c>
      <c r="T284" s="474">
        <v>60</v>
      </c>
      <c r="U284" s="486"/>
      <c r="V284" s="474" t="s">
        <v>973</v>
      </c>
      <c r="W284" s="474">
        <v>400</v>
      </c>
      <c r="X284" s="432">
        <v>6752</v>
      </c>
      <c r="Y284" s="389">
        <f t="shared" si="54"/>
        <v>2700800</v>
      </c>
      <c r="Z284" s="478">
        <f>220/400</f>
        <v>0.55000000000000004</v>
      </c>
      <c r="AA284" s="480">
        <f t="shared" si="44"/>
        <v>1485440.0000000002</v>
      </c>
      <c r="AB284" s="480"/>
      <c r="AC284" s="481"/>
      <c r="AD284" s="474"/>
      <c r="AE284" s="398"/>
      <c r="AF284" s="493">
        <f t="shared" si="53"/>
        <v>1485440.0000000002</v>
      </c>
      <c r="AG284" s="474" t="s">
        <v>1071</v>
      </c>
      <c r="AH284" s="474"/>
      <c r="AI284" s="474">
        <v>60</v>
      </c>
      <c r="AJ284" s="475" t="s">
        <v>1764</v>
      </c>
      <c r="AK284" s="475" t="s">
        <v>50</v>
      </c>
      <c r="AL284" s="483">
        <v>93305</v>
      </c>
      <c r="AM284" s="474" t="s">
        <v>52</v>
      </c>
      <c r="AN284" s="384" t="s">
        <v>1074</v>
      </c>
      <c r="AO284" s="474" t="s">
        <v>1076</v>
      </c>
      <c r="AP284" s="482"/>
      <c r="AQ284" s="474" t="s">
        <v>37</v>
      </c>
      <c r="AR284" s="474" t="s">
        <v>1677</v>
      </c>
      <c r="AS284" s="473"/>
      <c r="AT284" s="473"/>
      <c r="AU284" s="478">
        <v>0.45500000000000002</v>
      </c>
      <c r="AV284" s="471">
        <f t="shared" si="47"/>
        <v>0</v>
      </c>
      <c r="AW284" s="471" cm="1">
        <f t="array" ref="AW284">SUM(MID(0&amp;AV284,LARGE(INDEX(ISNUMBER(--MID(AV284,ROW($1:$8),1))*ROW($1:$8),),ROW($1:$8))+1,1)*10^ROW($1:$8)/10)</f>
        <v>0</v>
      </c>
      <c r="AX284" s="471" t="e">
        <f>VLOOKUP($AW284,'Item Master Data'!$A:$F,3,FALSE)</f>
        <v>#N/A</v>
      </c>
      <c r="AY284" s="471" t="e">
        <f>VLOOKUP($AW284,'Item Master Data'!$A:$F,6,FALSE)</f>
        <v>#N/A</v>
      </c>
      <c r="AZ284" s="471" t="e">
        <f t="shared" si="48"/>
        <v>#N/A</v>
      </c>
      <c r="BA284" s="471" t="e">
        <f>VLOOKUP(AW284,'Item Master Data'!$A:$G,7,FALSE)</f>
        <v>#N/A</v>
      </c>
      <c r="BB284" s="471"/>
      <c r="BC284" s="471" t="e">
        <f t="shared" si="49"/>
        <v>#N/A</v>
      </c>
    </row>
    <row r="285" spans="1:55">
      <c r="A285" s="495"/>
      <c r="B285" s="407">
        <v>44615</v>
      </c>
      <c r="C285" s="495"/>
      <c r="D285" s="474" t="s">
        <v>86</v>
      </c>
      <c r="E285" s="336"/>
      <c r="F285" s="474"/>
      <c r="G285" s="380">
        <v>2022</v>
      </c>
      <c r="H285" s="474">
        <v>6</v>
      </c>
      <c r="I285" s="474"/>
      <c r="J285" s="475"/>
      <c r="K285" s="474" t="s">
        <v>1770</v>
      </c>
      <c r="L285" s="474" t="s">
        <v>1768</v>
      </c>
      <c r="M285" s="475">
        <v>44615</v>
      </c>
      <c r="N285" s="475">
        <v>44886</v>
      </c>
      <c r="O285" s="475"/>
      <c r="P285" s="475"/>
      <c r="Q285" s="475"/>
      <c r="R285" s="475"/>
      <c r="S285" s="474" t="s">
        <v>1704</v>
      </c>
      <c r="T285" s="474">
        <v>60</v>
      </c>
      <c r="U285" s="474"/>
      <c r="V285" s="486" t="s">
        <v>973</v>
      </c>
      <c r="W285" s="474">
        <v>400</v>
      </c>
      <c r="X285" s="432">
        <v>768</v>
      </c>
      <c r="Y285" s="389">
        <f t="shared" si="54"/>
        <v>307200</v>
      </c>
      <c r="Z285" s="478">
        <f>220/400</f>
        <v>0.55000000000000004</v>
      </c>
      <c r="AA285" s="479">
        <f t="shared" ref="AA285:AA298" si="55">Z285*Y285</f>
        <v>168960</v>
      </c>
      <c r="AB285" s="480"/>
      <c r="AC285" s="481">
        <f>AB285*Y285</f>
        <v>0</v>
      </c>
      <c r="AD285" s="474"/>
      <c r="AE285" s="482"/>
      <c r="AF285" s="493">
        <f t="shared" si="53"/>
        <v>168960</v>
      </c>
      <c r="AG285" s="474" t="s">
        <v>1071</v>
      </c>
      <c r="AH285" s="474"/>
      <c r="AI285" s="474">
        <v>60</v>
      </c>
      <c r="AJ285" s="475" t="s">
        <v>1709</v>
      </c>
      <c r="AK285" s="483" t="s">
        <v>1706</v>
      </c>
      <c r="AL285" s="483" t="s">
        <v>1769</v>
      </c>
      <c r="AM285" s="474" t="s">
        <v>52</v>
      </c>
      <c r="AN285" s="384" t="s">
        <v>1074</v>
      </c>
      <c r="AO285" s="474" t="s">
        <v>1076</v>
      </c>
      <c r="AP285" s="486"/>
      <c r="AQ285" s="482" t="s">
        <v>37</v>
      </c>
      <c r="AR285" s="482"/>
      <c r="AS285" s="472"/>
      <c r="AT285" s="472"/>
      <c r="AU285" s="478">
        <f>180/360</f>
        <v>0.5</v>
      </c>
      <c r="AV285" s="471">
        <f t="shared" si="47"/>
        <v>0</v>
      </c>
      <c r="AW285" s="471" cm="1">
        <f t="array" ref="AW285">SUM(MID(0&amp;AV285,LARGE(INDEX(ISNUMBER(--MID(AV285,ROW($1:$8),1))*ROW($1:$8),),ROW($1:$8))+1,1)*10^ROW($1:$8)/10)</f>
        <v>0</v>
      </c>
      <c r="AX285" s="471" t="e">
        <f>VLOOKUP($AW285,'Item Master Data'!$A:$F,3,FALSE)</f>
        <v>#N/A</v>
      </c>
      <c r="AY285" s="471" t="e">
        <f>VLOOKUP($AW285,'Item Master Data'!$A:$F,6,FALSE)</f>
        <v>#N/A</v>
      </c>
      <c r="AZ285" s="471" t="e">
        <f t="shared" si="48"/>
        <v>#N/A</v>
      </c>
      <c r="BA285" s="471" t="e">
        <f>VLOOKUP(AW285,'Item Master Data'!$A:$G,7,FALSE)</f>
        <v>#N/A</v>
      </c>
      <c r="BB285" s="471"/>
      <c r="BC285" s="471" t="e">
        <f t="shared" si="49"/>
        <v>#N/A</v>
      </c>
    </row>
    <row r="286" spans="1:55">
      <c r="A286" s="495"/>
      <c r="B286" s="407"/>
      <c r="C286" s="407"/>
      <c r="D286" s="485" t="s">
        <v>86</v>
      </c>
      <c r="E286" s="474"/>
      <c r="F286" s="486"/>
      <c r="G286" s="380">
        <v>2022</v>
      </c>
      <c r="H286" s="474">
        <v>6</v>
      </c>
      <c r="I286" s="474"/>
      <c r="J286" s="475"/>
      <c r="K286" s="474" t="s">
        <v>1782</v>
      </c>
      <c r="L286" s="474" t="s">
        <v>1780</v>
      </c>
      <c r="M286" s="475">
        <v>44524</v>
      </c>
      <c r="N286" s="475">
        <v>44620</v>
      </c>
      <c r="O286" s="475"/>
      <c r="P286" s="475"/>
      <c r="Q286" s="475"/>
      <c r="R286" s="475"/>
      <c r="S286" s="474" t="s">
        <v>1704</v>
      </c>
      <c r="T286" s="474">
        <v>60</v>
      </c>
      <c r="U286" s="486"/>
      <c r="V286" s="474" t="s">
        <v>973</v>
      </c>
      <c r="W286" s="474">
        <v>400</v>
      </c>
      <c r="X286" s="432">
        <v>768</v>
      </c>
      <c r="Y286" s="389">
        <f t="shared" si="54"/>
        <v>307200</v>
      </c>
      <c r="Z286" s="478">
        <f>220/400</f>
        <v>0.55000000000000004</v>
      </c>
      <c r="AA286" s="480">
        <f t="shared" si="55"/>
        <v>168960</v>
      </c>
      <c r="AB286" s="480"/>
      <c r="AC286" s="481"/>
      <c r="AD286" s="474"/>
      <c r="AE286" s="474"/>
      <c r="AF286" s="493">
        <f t="shared" si="53"/>
        <v>168960</v>
      </c>
      <c r="AG286" s="474" t="s">
        <v>1071</v>
      </c>
      <c r="AH286" s="474"/>
      <c r="AI286" s="474">
        <v>60</v>
      </c>
      <c r="AJ286" s="475" t="s">
        <v>1781</v>
      </c>
      <c r="AK286" s="475" t="s">
        <v>1417</v>
      </c>
      <c r="AL286" s="483">
        <v>83642</v>
      </c>
      <c r="AM286" s="474" t="s">
        <v>52</v>
      </c>
      <c r="AN286" s="384" t="s">
        <v>1074</v>
      </c>
      <c r="AO286" s="474" t="s">
        <v>1076</v>
      </c>
      <c r="AP286" s="482"/>
      <c r="AQ286" s="474" t="s">
        <v>37</v>
      </c>
      <c r="AR286" s="474" t="s">
        <v>1288</v>
      </c>
      <c r="AS286" s="473"/>
      <c r="AT286" s="473"/>
      <c r="AU286" s="478">
        <f>196/400</f>
        <v>0.49</v>
      </c>
      <c r="AV286" s="471">
        <f t="shared" si="47"/>
        <v>0</v>
      </c>
      <c r="AW286" s="471" cm="1">
        <f t="array" ref="AW286">SUM(MID(0&amp;AV286,LARGE(INDEX(ISNUMBER(--MID(AV286,ROW($1:$8),1))*ROW($1:$8),),ROW($1:$8))+1,1)*10^ROW($1:$8)/10)</f>
        <v>0</v>
      </c>
      <c r="AX286" s="471" t="e">
        <f>VLOOKUP($AW286,'Item Master Data'!$A:$F,3,FALSE)</f>
        <v>#N/A</v>
      </c>
      <c r="AY286" s="471" t="e">
        <f>VLOOKUP($AW286,'Item Master Data'!$A:$F,6,FALSE)</f>
        <v>#N/A</v>
      </c>
      <c r="AZ286" s="471" t="e">
        <f t="shared" si="48"/>
        <v>#N/A</v>
      </c>
      <c r="BA286" s="471" t="e">
        <f>VLOOKUP(AW286,'Item Master Data'!$A:$G,7,FALSE)</f>
        <v>#N/A</v>
      </c>
      <c r="BB286" s="471"/>
      <c r="BC286" s="471" t="e">
        <f t="shared" si="49"/>
        <v>#N/A</v>
      </c>
    </row>
    <row r="287" spans="1:55">
      <c r="A287" s="495"/>
      <c r="B287" s="407"/>
      <c r="C287" s="407"/>
      <c r="D287" s="485" t="s">
        <v>86</v>
      </c>
      <c r="E287" s="474"/>
      <c r="F287" s="486"/>
      <c r="G287" s="380">
        <v>2022</v>
      </c>
      <c r="H287" s="474">
        <v>6</v>
      </c>
      <c r="I287" s="474"/>
      <c r="J287" s="475"/>
      <c r="K287" s="474" t="s">
        <v>1783</v>
      </c>
      <c r="L287" s="474" t="s">
        <v>1780</v>
      </c>
      <c r="M287" s="475">
        <v>44524</v>
      </c>
      <c r="N287" s="475">
        <v>44620</v>
      </c>
      <c r="O287" s="475"/>
      <c r="P287" s="475"/>
      <c r="Q287" s="475"/>
      <c r="R287" s="475"/>
      <c r="S287" s="474" t="s">
        <v>1704</v>
      </c>
      <c r="T287" s="474">
        <v>60</v>
      </c>
      <c r="U287" s="486"/>
      <c r="V287" s="474" t="s">
        <v>973</v>
      </c>
      <c r="W287" s="474">
        <v>400</v>
      </c>
      <c r="X287" s="432">
        <v>768</v>
      </c>
      <c r="Y287" s="389">
        <f t="shared" si="54"/>
        <v>307200</v>
      </c>
      <c r="Z287" s="478">
        <f>220/400</f>
        <v>0.55000000000000004</v>
      </c>
      <c r="AA287" s="480">
        <f t="shared" si="55"/>
        <v>168960</v>
      </c>
      <c r="AB287" s="480"/>
      <c r="AC287" s="481"/>
      <c r="AD287" s="474"/>
      <c r="AE287" s="474"/>
      <c r="AF287" s="493">
        <f t="shared" si="53"/>
        <v>168960</v>
      </c>
      <c r="AG287" s="474" t="s">
        <v>1071</v>
      </c>
      <c r="AH287" s="474"/>
      <c r="AI287" s="474">
        <v>60</v>
      </c>
      <c r="AJ287" s="475" t="s">
        <v>1781</v>
      </c>
      <c r="AK287" s="475" t="s">
        <v>1417</v>
      </c>
      <c r="AL287" s="483">
        <v>83642</v>
      </c>
      <c r="AM287" s="474" t="s">
        <v>52</v>
      </c>
      <c r="AN287" s="384" t="s">
        <v>1074</v>
      </c>
      <c r="AO287" s="474" t="s">
        <v>1076</v>
      </c>
      <c r="AP287" s="482"/>
      <c r="AQ287" s="474" t="s">
        <v>37</v>
      </c>
      <c r="AR287" s="474" t="s">
        <v>1288</v>
      </c>
      <c r="AS287" s="473"/>
      <c r="AT287" s="473"/>
      <c r="AU287" s="478">
        <f>196/400</f>
        <v>0.49</v>
      </c>
      <c r="AV287" s="471">
        <f t="shared" si="47"/>
        <v>0</v>
      </c>
      <c r="AW287" s="471" cm="1">
        <f t="array" ref="AW287">SUM(MID(0&amp;AV287,LARGE(INDEX(ISNUMBER(--MID(AV287,ROW($1:$8),1))*ROW($1:$8),),ROW($1:$8))+1,1)*10^ROW($1:$8)/10)</f>
        <v>0</v>
      </c>
      <c r="AX287" s="471" t="e">
        <f>VLOOKUP($AW287,'Item Master Data'!$A:$F,3,FALSE)</f>
        <v>#N/A</v>
      </c>
      <c r="AY287" s="471" t="e">
        <f>VLOOKUP($AW287,'Item Master Data'!$A:$F,6,FALSE)</f>
        <v>#N/A</v>
      </c>
      <c r="AZ287" s="471" t="e">
        <f t="shared" si="48"/>
        <v>#N/A</v>
      </c>
      <c r="BA287" s="471" t="e">
        <f>VLOOKUP(AW287,'Item Master Data'!$A:$G,7,FALSE)</f>
        <v>#N/A</v>
      </c>
      <c r="BB287" s="471"/>
      <c r="BC287" s="471" t="e">
        <f t="shared" si="49"/>
        <v>#N/A</v>
      </c>
    </row>
    <row r="288" spans="1:55">
      <c r="A288" s="495"/>
      <c r="B288" s="407">
        <v>44608</v>
      </c>
      <c r="C288" s="495"/>
      <c r="D288" s="474" t="s">
        <v>86</v>
      </c>
      <c r="E288" s="474"/>
      <c r="F288" s="474"/>
      <c r="G288" s="380">
        <v>2022</v>
      </c>
      <c r="H288" s="474">
        <v>6</v>
      </c>
      <c r="I288" s="474"/>
      <c r="J288" s="394"/>
      <c r="K288" s="474" t="s">
        <v>1784</v>
      </c>
      <c r="L288" s="474" t="s">
        <v>1785</v>
      </c>
      <c r="M288" s="394">
        <v>44621</v>
      </c>
      <c r="N288" s="394">
        <v>44727</v>
      </c>
      <c r="O288" s="394"/>
      <c r="P288" s="394"/>
      <c r="Q288" s="394"/>
      <c r="R288" s="394"/>
      <c r="S288" s="474" t="s">
        <v>1704</v>
      </c>
      <c r="T288" s="445">
        <v>60</v>
      </c>
      <c r="U288" s="474" t="s">
        <v>1109</v>
      </c>
      <c r="V288" s="486" t="s">
        <v>973</v>
      </c>
      <c r="W288" s="474">
        <v>400</v>
      </c>
      <c r="X288" s="395">
        <v>768</v>
      </c>
      <c r="Y288" s="389">
        <f t="shared" si="54"/>
        <v>307200</v>
      </c>
      <c r="Z288" s="478">
        <f>220/400</f>
        <v>0.55000000000000004</v>
      </c>
      <c r="AA288" s="479">
        <f t="shared" si="55"/>
        <v>168960</v>
      </c>
      <c r="AB288" s="386"/>
      <c r="AC288" s="481">
        <f>AB288*Y288</f>
        <v>0</v>
      </c>
      <c r="AD288" s="474"/>
      <c r="AE288" s="482"/>
      <c r="AF288" s="481">
        <f t="shared" si="53"/>
        <v>168960</v>
      </c>
      <c r="AG288" s="474" t="s">
        <v>1071</v>
      </c>
      <c r="AH288" s="447">
        <v>100</v>
      </c>
      <c r="AI288" s="474">
        <v>0</v>
      </c>
      <c r="AJ288" s="474" t="s">
        <v>1786</v>
      </c>
      <c r="AK288" s="474" t="s">
        <v>1787</v>
      </c>
      <c r="AL288" s="494">
        <v>59715</v>
      </c>
      <c r="AM288" s="474" t="s">
        <v>52</v>
      </c>
      <c r="AN288" s="384"/>
      <c r="AO288" s="474" t="s">
        <v>1076</v>
      </c>
      <c r="AP288" s="474"/>
      <c r="AQ288" s="474" t="s">
        <v>37</v>
      </c>
      <c r="AR288" s="474" t="s">
        <v>1216</v>
      </c>
      <c r="AS288" s="387"/>
      <c r="AT288" s="387"/>
      <c r="AU288" s="478">
        <f>212/400</f>
        <v>0.53</v>
      </c>
      <c r="AV288" s="471" t="str">
        <f t="shared" si="47"/>
        <v>TBD</v>
      </c>
      <c r="AW288" s="471" cm="1">
        <f t="array" ref="AW288">SUM(MID(0&amp;AV288,LARGE(INDEX(ISNUMBER(--MID(AV288,ROW($1:$8),1))*ROW($1:$8),),ROW($1:$8))+1,1)*10^ROW($1:$8)/10)</f>
        <v>0</v>
      </c>
      <c r="AX288" s="471" t="e">
        <f>VLOOKUP($AW288,'Item Master Data'!$A:$F,3,FALSE)</f>
        <v>#N/A</v>
      </c>
      <c r="AY288" s="471" t="e">
        <f>VLOOKUP($AW288,'Item Master Data'!$A:$F,6,FALSE)</f>
        <v>#N/A</v>
      </c>
      <c r="AZ288" s="471" t="e">
        <f t="shared" si="48"/>
        <v>#N/A</v>
      </c>
      <c r="BA288" s="471" t="e">
        <f>VLOOKUP(AW288,'Item Master Data'!$A:$G,7,FALSE)</f>
        <v>#N/A</v>
      </c>
      <c r="BB288" s="471"/>
      <c r="BC288" s="471" t="e">
        <f t="shared" si="49"/>
        <v>#N/A</v>
      </c>
    </row>
    <row r="289" spans="1:55">
      <c r="A289" s="495"/>
      <c r="B289" s="407">
        <v>44628</v>
      </c>
      <c r="C289" s="407">
        <v>44628</v>
      </c>
      <c r="D289" s="485" t="s">
        <v>86</v>
      </c>
      <c r="E289" s="474"/>
      <c r="F289" s="486"/>
      <c r="G289" s="380">
        <v>2022</v>
      </c>
      <c r="H289" s="474">
        <v>6</v>
      </c>
      <c r="I289" s="474"/>
      <c r="J289" s="475"/>
      <c r="K289" s="474" t="s">
        <v>1803</v>
      </c>
      <c r="L289" s="474" t="s">
        <v>1798</v>
      </c>
      <c r="M289" s="475">
        <v>44568</v>
      </c>
      <c r="N289" s="475">
        <v>44713</v>
      </c>
      <c r="O289" s="475"/>
      <c r="P289" s="475"/>
      <c r="Q289" s="475"/>
      <c r="R289" s="475"/>
      <c r="S289" s="474" t="s">
        <v>1688</v>
      </c>
      <c r="T289" s="474">
        <v>60</v>
      </c>
      <c r="U289" s="486">
        <v>49401139</v>
      </c>
      <c r="V289" s="474" t="s">
        <v>1223</v>
      </c>
      <c r="W289" s="474">
        <v>360</v>
      </c>
      <c r="X289" s="432">
        <v>676</v>
      </c>
      <c r="Y289" s="389">
        <f t="shared" si="54"/>
        <v>243360</v>
      </c>
      <c r="Z289" s="478">
        <f>298.8/360</f>
        <v>0.83000000000000007</v>
      </c>
      <c r="AA289" s="480">
        <f t="shared" si="55"/>
        <v>201988.80000000002</v>
      </c>
      <c r="AB289" s="480"/>
      <c r="AC289" s="481">
        <v>0</v>
      </c>
      <c r="AD289" s="474"/>
      <c r="AE289" s="474"/>
      <c r="AF289" s="493">
        <f t="shared" si="53"/>
        <v>201988.80000000002</v>
      </c>
      <c r="AG289" s="474" t="s">
        <v>1071</v>
      </c>
      <c r="AH289" s="474"/>
      <c r="AI289" s="474">
        <v>60</v>
      </c>
      <c r="AJ289" s="475" t="s">
        <v>1799</v>
      </c>
      <c r="AK289" s="475" t="s">
        <v>50</v>
      </c>
      <c r="AL289" s="483">
        <v>91311</v>
      </c>
      <c r="AM289" s="474" t="s">
        <v>52</v>
      </c>
      <c r="AN289" s="384" t="s">
        <v>1074</v>
      </c>
      <c r="AO289" s="474" t="s">
        <v>1076</v>
      </c>
      <c r="AP289" s="482"/>
      <c r="AQ289" s="474" t="s">
        <v>37</v>
      </c>
      <c r="AR289" s="474"/>
      <c r="AS289" s="473"/>
      <c r="AT289" s="473"/>
      <c r="AU289" s="478">
        <v>0.72</v>
      </c>
      <c r="AV289" s="471">
        <f t="shared" si="47"/>
        <v>49401139</v>
      </c>
      <c r="AW289" s="471" cm="1">
        <f t="array" ref="AW289">SUM(MID(0&amp;AV289,LARGE(INDEX(ISNUMBER(--MID(AV289,ROW($1:$8),1))*ROW($1:$8),),ROW($1:$8))+1,1)*10^ROW($1:$8)/10)</f>
        <v>49401139</v>
      </c>
      <c r="AX289" s="471" t="str">
        <f>VLOOKUP($AW289,'Item Master Data'!$A:$F,3,FALSE)</f>
        <v>Q.PEAK DUO BLK ML G10.a+</v>
      </c>
      <c r="AY289" s="471">
        <f>VLOOKUP($AW289,'Item Master Data'!$A:$F,6,FALSE)</f>
        <v>395</v>
      </c>
      <c r="AZ289" s="471">
        <f t="shared" si="48"/>
        <v>21.125</v>
      </c>
      <c r="BA289" s="471">
        <f>VLOOKUP(AW289,'Item Master Data'!$A:$G,7,FALSE)</f>
        <v>32</v>
      </c>
      <c r="BB289" s="471"/>
      <c r="BC289" s="471">
        <f t="shared" si="49"/>
        <v>-35</v>
      </c>
    </row>
    <row r="290" spans="1:55">
      <c r="A290" s="495"/>
      <c r="B290" s="407"/>
      <c r="C290" s="407"/>
      <c r="D290" s="485" t="s">
        <v>86</v>
      </c>
      <c r="E290" s="474"/>
      <c r="F290" s="486"/>
      <c r="G290" s="380">
        <v>2022</v>
      </c>
      <c r="H290" s="474">
        <v>6</v>
      </c>
      <c r="I290" s="474"/>
      <c r="J290" s="475"/>
      <c r="K290" s="474" t="s">
        <v>1884</v>
      </c>
      <c r="L290" s="474" t="s">
        <v>1832</v>
      </c>
      <c r="M290" s="475">
        <v>44574</v>
      </c>
      <c r="N290" s="475">
        <v>44682</v>
      </c>
      <c r="O290" s="475">
        <v>44713</v>
      </c>
      <c r="P290" s="475"/>
      <c r="Q290" s="475"/>
      <c r="R290" s="475"/>
      <c r="S290" s="474" t="s">
        <v>1704</v>
      </c>
      <c r="T290" s="474">
        <v>60</v>
      </c>
      <c r="U290" s="486"/>
      <c r="V290" s="474" t="s">
        <v>973</v>
      </c>
      <c r="W290" s="474">
        <v>400</v>
      </c>
      <c r="X290" s="432">
        <v>1920</v>
      </c>
      <c r="Y290" s="389">
        <f t="shared" si="54"/>
        <v>768000</v>
      </c>
      <c r="Z290" s="478">
        <f>208/400</f>
        <v>0.52</v>
      </c>
      <c r="AA290" s="480">
        <f t="shared" si="55"/>
        <v>399360</v>
      </c>
      <c r="AB290" s="480"/>
      <c r="AC290" s="481">
        <f>AB290*Y290</f>
        <v>0</v>
      </c>
      <c r="AD290" s="474"/>
      <c r="AE290" s="474"/>
      <c r="AF290" s="493">
        <f t="shared" si="53"/>
        <v>399360</v>
      </c>
      <c r="AG290" s="474" t="s">
        <v>1071</v>
      </c>
      <c r="AH290" s="474"/>
      <c r="AI290" s="474">
        <v>60</v>
      </c>
      <c r="AJ290" s="475" t="s">
        <v>1853</v>
      </c>
      <c r="AK290" s="475" t="s">
        <v>50</v>
      </c>
      <c r="AL290" s="483" t="s">
        <v>1854</v>
      </c>
      <c r="AM290" s="474" t="s">
        <v>52</v>
      </c>
      <c r="AN290" s="384" t="s">
        <v>1074</v>
      </c>
      <c r="AO290" s="474" t="s">
        <v>1076</v>
      </c>
      <c r="AP290" s="482"/>
      <c r="AQ290" s="474" t="s">
        <v>37</v>
      </c>
      <c r="AR290" s="474" t="s">
        <v>1216</v>
      </c>
      <c r="AS290" s="473" t="s">
        <v>1492</v>
      </c>
      <c r="AT290" s="473"/>
      <c r="AU290" s="478">
        <f>208/400</f>
        <v>0.52</v>
      </c>
      <c r="AV290" s="471">
        <f t="shared" si="47"/>
        <v>0</v>
      </c>
      <c r="AW290" s="471" cm="1">
        <f t="array" ref="AW290">SUM(MID(0&amp;AV290,LARGE(INDEX(ISNUMBER(--MID(AV290,ROW($1:$8),1))*ROW($1:$8),),ROW($1:$8))+1,1)*10^ROW($1:$8)/10)</f>
        <v>0</v>
      </c>
      <c r="AX290" s="471" t="e">
        <f>VLOOKUP($AW290,'Item Master Data'!$A:$F,3,FALSE)</f>
        <v>#N/A</v>
      </c>
      <c r="AY290" s="471" t="e">
        <f>VLOOKUP($AW290,'Item Master Data'!$A:$F,6,FALSE)</f>
        <v>#N/A</v>
      </c>
      <c r="AZ290" s="471" t="e">
        <f t="shared" si="48"/>
        <v>#N/A</v>
      </c>
      <c r="BA290" s="471" t="e">
        <f>VLOOKUP(AW290,'Item Master Data'!$A:$G,7,FALSE)</f>
        <v>#N/A</v>
      </c>
      <c r="BB290" s="471"/>
      <c r="BC290" s="471" t="e">
        <f t="shared" si="49"/>
        <v>#N/A</v>
      </c>
    </row>
    <row r="291" spans="1:55">
      <c r="A291" s="495"/>
      <c r="B291" s="407"/>
      <c r="C291" s="407"/>
      <c r="D291" s="485" t="s">
        <v>86</v>
      </c>
      <c r="E291" s="474"/>
      <c r="F291" s="486"/>
      <c r="G291" s="380">
        <v>2022</v>
      </c>
      <c r="H291" s="474">
        <v>6</v>
      </c>
      <c r="I291" s="474"/>
      <c r="J291" s="475"/>
      <c r="K291" s="474" t="s">
        <v>1884</v>
      </c>
      <c r="L291" s="474" t="s">
        <v>1832</v>
      </c>
      <c r="M291" s="475">
        <v>44574</v>
      </c>
      <c r="N291" s="475">
        <v>44682</v>
      </c>
      <c r="O291" s="475">
        <v>44713</v>
      </c>
      <c r="P291" s="475"/>
      <c r="Q291" s="475"/>
      <c r="R291" s="475"/>
      <c r="S291" s="474" t="s">
        <v>1704</v>
      </c>
      <c r="T291" s="474">
        <v>60</v>
      </c>
      <c r="U291" s="486"/>
      <c r="V291" s="474" t="s">
        <v>986</v>
      </c>
      <c r="W291" s="474">
        <v>360</v>
      </c>
      <c r="X291" s="432">
        <v>1536</v>
      </c>
      <c r="Y291" s="389">
        <f t="shared" si="54"/>
        <v>552960</v>
      </c>
      <c r="Z291" s="478">
        <f>180/360</f>
        <v>0.5</v>
      </c>
      <c r="AA291" s="480">
        <f t="shared" si="55"/>
        <v>276480</v>
      </c>
      <c r="AB291" s="480"/>
      <c r="AC291" s="481">
        <f>AB291*Y291</f>
        <v>0</v>
      </c>
      <c r="AD291" s="474"/>
      <c r="AE291" s="474"/>
      <c r="AF291" s="493">
        <f t="shared" si="53"/>
        <v>276480</v>
      </c>
      <c r="AG291" s="474" t="s">
        <v>1071</v>
      </c>
      <c r="AH291" s="474"/>
      <c r="AI291" s="474">
        <v>60</v>
      </c>
      <c r="AJ291" s="475" t="s">
        <v>1853</v>
      </c>
      <c r="AK291" s="475" t="s">
        <v>50</v>
      </c>
      <c r="AL291" s="483" t="s">
        <v>1854</v>
      </c>
      <c r="AM291" s="474" t="s">
        <v>52</v>
      </c>
      <c r="AN291" s="384" t="s">
        <v>1074</v>
      </c>
      <c r="AO291" s="474" t="s">
        <v>1076</v>
      </c>
      <c r="AP291" s="482"/>
      <c r="AQ291" s="474" t="s">
        <v>37</v>
      </c>
      <c r="AR291" s="474" t="s">
        <v>1216</v>
      </c>
      <c r="AS291" s="473" t="s">
        <v>1492</v>
      </c>
      <c r="AT291" s="473"/>
      <c r="AU291" s="478">
        <f>180/360</f>
        <v>0.5</v>
      </c>
      <c r="AV291" s="471">
        <f t="shared" si="47"/>
        <v>0</v>
      </c>
      <c r="AW291" s="471" cm="1">
        <f t="array" ref="AW291">SUM(MID(0&amp;AV291,LARGE(INDEX(ISNUMBER(--MID(AV291,ROW($1:$8),1))*ROW($1:$8),),ROW($1:$8))+1,1)*10^ROW($1:$8)/10)</f>
        <v>0</v>
      </c>
      <c r="AX291" s="471" t="e">
        <f>VLOOKUP($AW291,'Item Master Data'!$A:$F,3,FALSE)</f>
        <v>#N/A</v>
      </c>
      <c r="AY291" s="471" t="e">
        <f>VLOOKUP($AW291,'Item Master Data'!$A:$F,6,FALSE)</f>
        <v>#N/A</v>
      </c>
      <c r="AZ291" s="471" t="e">
        <f t="shared" si="48"/>
        <v>#N/A</v>
      </c>
      <c r="BA291" s="471" t="e">
        <f>VLOOKUP(AW291,'Item Master Data'!$A:$G,7,FALSE)</f>
        <v>#N/A</v>
      </c>
      <c r="BB291" s="471"/>
      <c r="BC291" s="471" t="e">
        <f t="shared" si="49"/>
        <v>#N/A</v>
      </c>
    </row>
    <row r="292" spans="1:55">
      <c r="A292" s="495"/>
      <c r="B292" s="407">
        <v>44530</v>
      </c>
      <c r="C292" s="407"/>
      <c r="D292" s="485" t="s">
        <v>86</v>
      </c>
      <c r="E292" s="474" t="s">
        <v>5469</v>
      </c>
      <c r="F292" s="486" t="s">
        <v>87</v>
      </c>
      <c r="G292" s="380">
        <v>2022</v>
      </c>
      <c r="H292" s="474">
        <v>6</v>
      </c>
      <c r="I292" s="474"/>
      <c r="J292" s="475"/>
      <c r="K292" s="474" t="s">
        <v>1921</v>
      </c>
      <c r="L292" s="474" t="s">
        <v>1842</v>
      </c>
      <c r="M292" s="475">
        <v>44487</v>
      </c>
      <c r="N292" s="475">
        <v>44599</v>
      </c>
      <c r="O292" s="475"/>
      <c r="P292" s="475" t="s">
        <v>1922</v>
      </c>
      <c r="Q292" s="475"/>
      <c r="R292" s="475"/>
      <c r="S292" s="474" t="s">
        <v>1688</v>
      </c>
      <c r="T292" s="474">
        <v>72</v>
      </c>
      <c r="U292" s="486"/>
      <c r="V292" s="474" t="s">
        <v>1923</v>
      </c>
      <c r="W292" s="474">
        <v>485</v>
      </c>
      <c r="X292" s="432">
        <v>696</v>
      </c>
      <c r="Y292" s="389">
        <f t="shared" si="54"/>
        <v>337560</v>
      </c>
      <c r="Z292" s="478">
        <f>227.95/485</f>
        <v>0.47</v>
      </c>
      <c r="AA292" s="480">
        <f t="shared" si="55"/>
        <v>158653.19999999998</v>
      </c>
      <c r="AB292" s="480"/>
      <c r="AC292" s="481">
        <f>AB292*Y292</f>
        <v>0</v>
      </c>
      <c r="AD292" s="474"/>
      <c r="AE292" s="474"/>
      <c r="AF292" s="493">
        <f t="shared" si="53"/>
        <v>158653.19999999998</v>
      </c>
      <c r="AG292" s="474" t="s">
        <v>1071</v>
      </c>
      <c r="AH292" s="474"/>
      <c r="AI292" s="474">
        <v>60</v>
      </c>
      <c r="AJ292" s="475" t="s">
        <v>1924</v>
      </c>
      <c r="AK292" s="475" t="s">
        <v>50</v>
      </c>
      <c r="AL292" s="483" t="s">
        <v>1925</v>
      </c>
      <c r="AM292" s="474" t="s">
        <v>52</v>
      </c>
      <c r="AN292" s="384"/>
      <c r="AO292" s="474" t="s">
        <v>1076</v>
      </c>
      <c r="AP292" s="482" t="s">
        <v>38</v>
      </c>
      <c r="AQ292" s="474" t="s">
        <v>1086</v>
      </c>
      <c r="AR292" s="474"/>
      <c r="AS292" s="473"/>
      <c r="AT292" s="473"/>
      <c r="AU292" s="478"/>
      <c r="AV292" s="471">
        <f t="shared" si="47"/>
        <v>0</v>
      </c>
      <c r="AW292" s="471" cm="1">
        <f t="array" ref="AW292">SUM(MID(0&amp;AV292,LARGE(INDEX(ISNUMBER(--MID(AV292,ROW($1:$8),1))*ROW($1:$8),),ROW($1:$8))+1,1)*10^ROW($1:$8)/10)</f>
        <v>0</v>
      </c>
      <c r="AX292" s="471" t="e">
        <f>VLOOKUP($AW292,'Item Master Data'!$A:$F,3,FALSE)</f>
        <v>#N/A</v>
      </c>
      <c r="AY292" s="471" t="e">
        <f>VLOOKUP($AW292,'Item Master Data'!$A:$F,6,FALSE)</f>
        <v>#N/A</v>
      </c>
      <c r="AZ292" s="471" t="e">
        <f t="shared" si="48"/>
        <v>#N/A</v>
      </c>
      <c r="BA292" s="471" t="e">
        <f>VLOOKUP(AW292,'Item Master Data'!$A:$G,7,FALSE)</f>
        <v>#N/A</v>
      </c>
      <c r="BB292" s="471"/>
      <c r="BC292" s="471" t="e">
        <f t="shared" si="49"/>
        <v>#N/A</v>
      </c>
    </row>
    <row r="293" spans="1:55">
      <c r="A293" s="495"/>
      <c r="B293" s="407">
        <v>44530</v>
      </c>
      <c r="C293" s="407">
        <v>44530</v>
      </c>
      <c r="D293" s="485" t="s">
        <v>86</v>
      </c>
      <c r="E293" s="474" t="s">
        <v>5469</v>
      </c>
      <c r="F293" s="486" t="s">
        <v>87</v>
      </c>
      <c r="G293" s="380">
        <v>2022</v>
      </c>
      <c r="H293" s="474">
        <v>6</v>
      </c>
      <c r="I293" s="474"/>
      <c r="J293" s="475"/>
      <c r="K293" s="474" t="s">
        <v>1927</v>
      </c>
      <c r="L293" s="474" t="s">
        <v>1842</v>
      </c>
      <c r="M293" s="475">
        <v>44519</v>
      </c>
      <c r="N293" s="475">
        <v>44519</v>
      </c>
      <c r="O293" s="475"/>
      <c r="P293" s="475" t="s">
        <v>1922</v>
      </c>
      <c r="Q293" s="475"/>
      <c r="R293" s="475"/>
      <c r="S293" s="474" t="s">
        <v>1688</v>
      </c>
      <c r="T293" s="474">
        <v>72</v>
      </c>
      <c r="U293" s="486"/>
      <c r="V293" s="474" t="s">
        <v>1928</v>
      </c>
      <c r="W293" s="474">
        <v>485</v>
      </c>
      <c r="X293" s="432">
        <v>928</v>
      </c>
      <c r="Y293" s="389">
        <f t="shared" si="54"/>
        <v>450080</v>
      </c>
      <c r="Z293" s="478">
        <f>230.38/485</f>
        <v>0.47501030927835053</v>
      </c>
      <c r="AA293" s="480">
        <f t="shared" si="55"/>
        <v>213792.64000000001</v>
      </c>
      <c r="AB293" s="480"/>
      <c r="AC293" s="481">
        <f>AB293*Y293</f>
        <v>0</v>
      </c>
      <c r="AD293" s="474"/>
      <c r="AE293" s="474"/>
      <c r="AF293" s="493">
        <f t="shared" si="53"/>
        <v>213792.64000000001</v>
      </c>
      <c r="AG293" s="474" t="s">
        <v>1071</v>
      </c>
      <c r="AH293" s="474"/>
      <c r="AI293" s="474">
        <v>60</v>
      </c>
      <c r="AJ293" s="475" t="s">
        <v>1924</v>
      </c>
      <c r="AK293" s="475" t="s">
        <v>50</v>
      </c>
      <c r="AL293" s="483" t="s">
        <v>1929</v>
      </c>
      <c r="AM293" s="474" t="s">
        <v>52</v>
      </c>
      <c r="AN293" s="384"/>
      <c r="AO293" s="474" t="s">
        <v>1076</v>
      </c>
      <c r="AP293" s="482" t="s">
        <v>38</v>
      </c>
      <c r="AQ293" s="474" t="s">
        <v>1086</v>
      </c>
      <c r="AR293" s="474"/>
      <c r="AS293" s="473"/>
      <c r="AT293" s="473"/>
      <c r="AU293" s="478"/>
      <c r="AV293" s="471">
        <f t="shared" si="47"/>
        <v>0</v>
      </c>
      <c r="AW293" s="471" cm="1">
        <f t="array" ref="AW293">SUM(MID(0&amp;AV293,LARGE(INDEX(ISNUMBER(--MID(AV293,ROW($1:$8),1))*ROW($1:$8),),ROW($1:$8))+1,1)*10^ROW($1:$8)/10)</f>
        <v>0</v>
      </c>
      <c r="AX293" s="471" t="e">
        <f>VLOOKUP($AW293,'Item Master Data'!$A:$F,3,FALSE)</f>
        <v>#N/A</v>
      </c>
      <c r="AY293" s="471" t="e">
        <f>VLOOKUP($AW293,'Item Master Data'!$A:$F,6,FALSE)</f>
        <v>#N/A</v>
      </c>
      <c r="AZ293" s="471" t="e">
        <f t="shared" si="48"/>
        <v>#N/A</v>
      </c>
      <c r="BA293" s="471" t="e">
        <f>VLOOKUP(AW293,'Item Master Data'!$A:$G,7,FALSE)</f>
        <v>#N/A</v>
      </c>
      <c r="BB293" s="471"/>
      <c r="BC293" s="471" t="e">
        <f t="shared" si="49"/>
        <v>#N/A</v>
      </c>
    </row>
    <row r="294" spans="1:55">
      <c r="A294" s="495"/>
      <c r="B294" s="495"/>
      <c r="C294" s="495"/>
      <c r="D294" s="474" t="s">
        <v>86</v>
      </c>
      <c r="E294" s="474"/>
      <c r="F294" s="474"/>
      <c r="G294" s="380">
        <v>2022</v>
      </c>
      <c r="H294" s="474">
        <v>6</v>
      </c>
      <c r="I294" s="474"/>
      <c r="J294" s="475"/>
      <c r="K294" s="474" t="s">
        <v>1944</v>
      </c>
      <c r="L294" s="474" t="s">
        <v>1842</v>
      </c>
      <c r="M294" s="475">
        <v>44558</v>
      </c>
      <c r="N294" s="475">
        <v>44679</v>
      </c>
      <c r="O294" s="475"/>
      <c r="P294" s="475"/>
      <c r="Q294" s="475"/>
      <c r="R294" s="474"/>
      <c r="S294" s="474" t="s">
        <v>1688</v>
      </c>
      <c r="T294" s="474">
        <v>60</v>
      </c>
      <c r="U294" s="474"/>
      <c r="V294" s="474" t="s">
        <v>1223</v>
      </c>
      <c r="W294" s="474">
        <v>360</v>
      </c>
      <c r="X294" s="432">
        <v>676</v>
      </c>
      <c r="Y294" s="389">
        <f t="shared" si="54"/>
        <v>243360</v>
      </c>
      <c r="Z294" s="478">
        <f>298.8/360</f>
        <v>0.83000000000000007</v>
      </c>
      <c r="AA294" s="479">
        <f t="shared" si="55"/>
        <v>201988.80000000002</v>
      </c>
      <c r="AB294" s="480"/>
      <c r="AC294" s="481">
        <f>AB294*Y294</f>
        <v>0</v>
      </c>
      <c r="AD294" s="474"/>
      <c r="AE294" s="474"/>
      <c r="AF294" s="493">
        <f t="shared" si="53"/>
        <v>201988.80000000002</v>
      </c>
      <c r="AG294" s="474" t="s">
        <v>1071</v>
      </c>
      <c r="AH294" s="474"/>
      <c r="AI294" s="474">
        <v>60</v>
      </c>
      <c r="AJ294" s="475" t="s">
        <v>1860</v>
      </c>
      <c r="AK294" s="475" t="s">
        <v>50</v>
      </c>
      <c r="AL294" s="483" t="s">
        <v>1870</v>
      </c>
      <c r="AM294" s="474" t="s">
        <v>52</v>
      </c>
      <c r="AN294" s="486"/>
      <c r="AO294" s="474" t="s">
        <v>1076</v>
      </c>
      <c r="AP294" s="474"/>
      <c r="AQ294" s="482" t="s">
        <v>37</v>
      </c>
      <c r="AR294" s="482" t="s">
        <v>1864</v>
      </c>
      <c r="AS294" s="473"/>
      <c r="AT294" s="346"/>
      <c r="AU294" s="478">
        <f>273.6/360</f>
        <v>0.76</v>
      </c>
      <c r="AV294" s="471">
        <f t="shared" si="47"/>
        <v>0</v>
      </c>
      <c r="AW294" s="471" cm="1">
        <f t="array" ref="AW294">SUM(MID(0&amp;AV294,LARGE(INDEX(ISNUMBER(--MID(AV294,ROW($1:$8),1))*ROW($1:$8),),ROW($1:$8))+1,1)*10^ROW($1:$8)/10)</f>
        <v>0</v>
      </c>
      <c r="AX294" s="471" t="e">
        <f>VLOOKUP($AW294,'Item Master Data'!$A:$F,3,FALSE)</f>
        <v>#N/A</v>
      </c>
      <c r="AY294" s="471" t="e">
        <f>VLOOKUP($AW294,'Item Master Data'!$A:$F,6,FALSE)</f>
        <v>#N/A</v>
      </c>
      <c r="AZ294" s="471" t="e">
        <f t="shared" si="48"/>
        <v>#N/A</v>
      </c>
      <c r="BA294" s="471" t="e">
        <f>VLOOKUP(AW294,'Item Master Data'!$A:$G,7,FALSE)</f>
        <v>#N/A</v>
      </c>
      <c r="BB294" s="471"/>
      <c r="BC294" s="471" t="e">
        <f t="shared" si="49"/>
        <v>#N/A</v>
      </c>
    </row>
    <row r="295" spans="1:55">
      <c r="A295" s="495"/>
      <c r="B295" s="407">
        <v>44589</v>
      </c>
      <c r="C295" s="407">
        <v>44589</v>
      </c>
      <c r="D295" s="485" t="s">
        <v>86</v>
      </c>
      <c r="E295" s="474"/>
      <c r="F295" s="486" t="s">
        <v>87</v>
      </c>
      <c r="G295" s="380">
        <v>2022</v>
      </c>
      <c r="H295" s="474">
        <v>6</v>
      </c>
      <c r="I295" s="474"/>
      <c r="J295" s="475"/>
      <c r="K295" s="474" t="s">
        <v>1930</v>
      </c>
      <c r="L295" s="474" t="s">
        <v>1842</v>
      </c>
      <c r="M295" s="475">
        <v>44924</v>
      </c>
      <c r="N295" s="475">
        <v>44741</v>
      </c>
      <c r="O295" s="475"/>
      <c r="P295" s="475"/>
      <c r="Q295" s="475"/>
      <c r="R295" s="475"/>
      <c r="S295" s="474" t="s">
        <v>88</v>
      </c>
      <c r="T295" s="474">
        <v>72</v>
      </c>
      <c r="U295" s="486">
        <v>49303156</v>
      </c>
      <c r="V295" s="474" t="s">
        <v>1070</v>
      </c>
      <c r="W295" s="474">
        <v>480</v>
      </c>
      <c r="X295" s="432">
        <v>1276</v>
      </c>
      <c r="Y295" s="389">
        <f t="shared" si="54"/>
        <v>612480</v>
      </c>
      <c r="Z295" s="478">
        <f>225.6/480</f>
        <v>0.47</v>
      </c>
      <c r="AA295" s="480">
        <f t="shared" si="55"/>
        <v>287865.59999999998</v>
      </c>
      <c r="AB295" s="480"/>
      <c r="AC295" s="481">
        <v>0</v>
      </c>
      <c r="AD295" s="474"/>
      <c r="AE295" s="474"/>
      <c r="AF295" s="493">
        <f t="shared" si="53"/>
        <v>287865.59999999998</v>
      </c>
      <c r="AG295" s="474" t="s">
        <v>1071</v>
      </c>
      <c r="AH295" s="474"/>
      <c r="AI295" s="474">
        <v>60</v>
      </c>
      <c r="AJ295" s="475" t="s">
        <v>1860</v>
      </c>
      <c r="AK295" s="475" t="s">
        <v>50</v>
      </c>
      <c r="AL295" s="483">
        <v>93703</v>
      </c>
      <c r="AM295" s="474" t="s">
        <v>52</v>
      </c>
      <c r="AN295" s="384" t="s">
        <v>1695</v>
      </c>
      <c r="AO295" s="474" t="s">
        <v>1076</v>
      </c>
      <c r="AP295" s="482"/>
      <c r="AQ295" s="474" t="s">
        <v>1086</v>
      </c>
      <c r="AR295" s="474"/>
      <c r="AS295" s="473" t="s">
        <v>1492</v>
      </c>
      <c r="AT295" s="473"/>
      <c r="AU295" s="478"/>
      <c r="AV295" s="471">
        <f t="shared" si="47"/>
        <v>49303156</v>
      </c>
      <c r="AW295" s="471" cm="1">
        <f t="array" ref="AW295">SUM(MID(0&amp;AV295,LARGE(INDEX(ISNUMBER(--MID(AV295,ROW($1:$8),1))*ROW($1:$8),),ROW($1:$8))+1,1)*10^ROW($1:$8)/10)</f>
        <v>49303156</v>
      </c>
      <c r="AX295" s="471" t="str">
        <f>VLOOKUP($AW295,'Item Master Data'!$A:$F,3,FALSE)</f>
        <v>Q.PEAK DUO XL G10 BFG</v>
      </c>
      <c r="AY295" s="471">
        <f>VLOOKUP($AW295,'Item Master Data'!$A:$F,6,FALSE)</f>
        <v>480</v>
      </c>
      <c r="AZ295" s="471">
        <f t="shared" si="48"/>
        <v>44</v>
      </c>
      <c r="BA295" s="471">
        <f>VLOOKUP(AW295,'Item Master Data'!$A:$G,7,FALSE)</f>
        <v>29</v>
      </c>
      <c r="BB295" s="471"/>
      <c r="BC295" s="471">
        <f t="shared" si="49"/>
        <v>0</v>
      </c>
    </row>
    <row r="296" spans="1:55">
      <c r="A296" s="495"/>
      <c r="B296" s="407"/>
      <c r="C296" s="407"/>
      <c r="D296" s="485" t="s">
        <v>86</v>
      </c>
      <c r="E296" s="474"/>
      <c r="F296" s="486"/>
      <c r="G296" s="380">
        <v>2022</v>
      </c>
      <c r="H296" s="474">
        <v>6</v>
      </c>
      <c r="I296" s="474"/>
      <c r="J296" s="475"/>
      <c r="K296" s="474" t="s">
        <v>1943</v>
      </c>
      <c r="L296" s="474" t="s">
        <v>1842</v>
      </c>
      <c r="M296" s="475">
        <v>44572</v>
      </c>
      <c r="N296" s="475">
        <v>44727</v>
      </c>
      <c r="O296" s="475"/>
      <c r="P296" s="475"/>
      <c r="Q296" s="475"/>
      <c r="R296" s="475"/>
      <c r="S296" s="474" t="s">
        <v>1688</v>
      </c>
      <c r="T296" s="474">
        <v>60</v>
      </c>
      <c r="U296" s="486"/>
      <c r="V296" s="474" t="s">
        <v>986</v>
      </c>
      <c r="W296" s="474">
        <v>360</v>
      </c>
      <c r="X296" s="432">
        <v>832</v>
      </c>
      <c r="Y296" s="389">
        <f t="shared" si="54"/>
        <v>299520</v>
      </c>
      <c r="Z296" s="478">
        <f>190.8/360</f>
        <v>0.53</v>
      </c>
      <c r="AA296" s="480">
        <f t="shared" si="55"/>
        <v>158745.60000000001</v>
      </c>
      <c r="AB296" s="480"/>
      <c r="AC296" s="481">
        <v>0</v>
      </c>
      <c r="AD296" s="474"/>
      <c r="AE296" s="474"/>
      <c r="AF296" s="493">
        <f t="shared" si="53"/>
        <v>158745.60000000001</v>
      </c>
      <c r="AG296" s="474" t="s">
        <v>1071</v>
      </c>
      <c r="AH296" s="474"/>
      <c r="AI296" s="474">
        <v>60</v>
      </c>
      <c r="AJ296" s="475" t="s">
        <v>1860</v>
      </c>
      <c r="AK296" s="475" t="s">
        <v>50</v>
      </c>
      <c r="AL296" s="483" t="s">
        <v>1861</v>
      </c>
      <c r="AM296" s="474" t="s">
        <v>52</v>
      </c>
      <c r="AN296" s="384"/>
      <c r="AO296" s="474" t="s">
        <v>1076</v>
      </c>
      <c r="AP296" s="482"/>
      <c r="AQ296" s="474" t="s">
        <v>37</v>
      </c>
      <c r="AR296" s="474" t="s">
        <v>1216</v>
      </c>
      <c r="AS296" s="473" t="s">
        <v>1492</v>
      </c>
      <c r="AT296" s="473"/>
      <c r="AU296" s="478">
        <v>0.5</v>
      </c>
      <c r="AV296" s="471">
        <f t="shared" si="47"/>
        <v>0</v>
      </c>
      <c r="AW296" s="471" cm="1">
        <f t="array" ref="AW296">SUM(MID(0&amp;AV296,LARGE(INDEX(ISNUMBER(--MID(AV296,ROW($1:$8),1))*ROW($1:$8),),ROW($1:$8))+1,1)*10^ROW($1:$8)/10)</f>
        <v>0</v>
      </c>
      <c r="AX296" s="471" t="e">
        <f>VLOOKUP($AW296,'Item Master Data'!$A:$F,3,FALSE)</f>
        <v>#N/A</v>
      </c>
      <c r="AY296" s="471" t="e">
        <f>VLOOKUP($AW296,'Item Master Data'!$A:$F,6,FALSE)</f>
        <v>#N/A</v>
      </c>
      <c r="AZ296" s="471" t="e">
        <f t="shared" si="48"/>
        <v>#N/A</v>
      </c>
      <c r="BA296" s="471" t="e">
        <f>VLOOKUP(AW296,'Item Master Data'!$A:$G,7,FALSE)</f>
        <v>#N/A</v>
      </c>
      <c r="BB296" s="471"/>
      <c r="BC296" s="471" t="e">
        <f t="shared" si="49"/>
        <v>#N/A</v>
      </c>
    </row>
    <row r="297" spans="1:55">
      <c r="A297" s="495"/>
      <c r="B297" s="407"/>
      <c r="C297" s="407"/>
      <c r="D297" s="485" t="s">
        <v>86</v>
      </c>
      <c r="E297" s="474" t="s">
        <v>5470</v>
      </c>
      <c r="F297" s="486"/>
      <c r="G297" s="380">
        <v>2022</v>
      </c>
      <c r="H297" s="474">
        <v>6</v>
      </c>
      <c r="I297" s="474"/>
      <c r="J297" s="475"/>
      <c r="K297" s="474" t="s">
        <v>2028</v>
      </c>
      <c r="L297" s="474" t="s">
        <v>1878</v>
      </c>
      <c r="M297" s="475">
        <v>44567</v>
      </c>
      <c r="N297" s="475">
        <v>44680</v>
      </c>
      <c r="O297" s="475"/>
      <c r="P297" s="475"/>
      <c r="Q297" s="475"/>
      <c r="R297" s="475"/>
      <c r="S297" s="474" t="s">
        <v>1688</v>
      </c>
      <c r="T297" s="474">
        <v>60</v>
      </c>
      <c r="U297" s="486"/>
      <c r="V297" s="474" t="s">
        <v>986</v>
      </c>
      <c r="W297" s="474">
        <v>360</v>
      </c>
      <c r="X297" s="432">
        <v>768</v>
      </c>
      <c r="Y297" s="389">
        <f t="shared" si="54"/>
        <v>276480</v>
      </c>
      <c r="Z297" s="478">
        <f>198/360</f>
        <v>0.55000000000000004</v>
      </c>
      <c r="AA297" s="480">
        <f t="shared" si="55"/>
        <v>152064</v>
      </c>
      <c r="AB297" s="480"/>
      <c r="AC297" s="481">
        <f>AB297*Y297</f>
        <v>0</v>
      </c>
      <c r="AD297" s="474"/>
      <c r="AE297" s="398"/>
      <c r="AF297" s="493">
        <f t="shared" si="53"/>
        <v>152064</v>
      </c>
      <c r="AG297" s="474" t="s">
        <v>1071</v>
      </c>
      <c r="AH297" s="474"/>
      <c r="AI297" s="474">
        <v>60</v>
      </c>
      <c r="AJ297" s="475" t="s">
        <v>1880</v>
      </c>
      <c r="AK297" s="475" t="s">
        <v>1679</v>
      </c>
      <c r="AL297" s="483" t="s">
        <v>1881</v>
      </c>
      <c r="AM297" s="474" t="s">
        <v>52</v>
      </c>
      <c r="AN297" s="384" t="s">
        <v>1074</v>
      </c>
      <c r="AO297" s="474" t="s">
        <v>1076</v>
      </c>
      <c r="AP297" s="482"/>
      <c r="AQ297" s="474" t="s">
        <v>37</v>
      </c>
      <c r="AR297" s="474" t="s">
        <v>1890</v>
      </c>
      <c r="AS297" s="473" t="s">
        <v>1075</v>
      </c>
      <c r="AT297" s="346"/>
      <c r="AU297" s="478">
        <f>187.2/360</f>
        <v>0.52</v>
      </c>
      <c r="AV297" s="471">
        <f t="shared" si="47"/>
        <v>0</v>
      </c>
      <c r="AW297" s="471" cm="1">
        <f t="array" ref="AW297">SUM(MID(0&amp;AV297,LARGE(INDEX(ISNUMBER(--MID(AV297,ROW($1:$8),1))*ROW($1:$8),),ROW($1:$8))+1,1)*10^ROW($1:$8)/10)</f>
        <v>0</v>
      </c>
      <c r="AX297" s="471" t="e">
        <f>VLOOKUP($AW297,'Item Master Data'!$A:$F,3,FALSE)</f>
        <v>#N/A</v>
      </c>
      <c r="AY297" s="471" t="e">
        <f>VLOOKUP($AW297,'Item Master Data'!$A:$F,6,FALSE)</f>
        <v>#N/A</v>
      </c>
      <c r="AZ297" s="471" t="e">
        <f t="shared" si="48"/>
        <v>#N/A</v>
      </c>
      <c r="BA297" s="471" t="e">
        <f>VLOOKUP(AW297,'Item Master Data'!$A:$G,7,FALSE)</f>
        <v>#N/A</v>
      </c>
      <c r="BB297" s="471"/>
      <c r="BC297" s="471" t="e">
        <f t="shared" si="49"/>
        <v>#N/A</v>
      </c>
    </row>
    <row r="298" spans="1:55">
      <c r="A298" s="495"/>
      <c r="B298" s="407"/>
      <c r="C298" s="407"/>
      <c r="D298" s="485" t="s">
        <v>86</v>
      </c>
      <c r="E298" s="474"/>
      <c r="F298" s="486"/>
      <c r="G298" s="380">
        <v>2022</v>
      </c>
      <c r="H298" s="380">
        <v>6</v>
      </c>
      <c r="I298" s="474"/>
      <c r="J298" s="475"/>
      <c r="K298" s="474" t="s">
        <v>2034</v>
      </c>
      <c r="L298" s="474" t="s">
        <v>1905</v>
      </c>
      <c r="M298" s="475">
        <v>44538</v>
      </c>
      <c r="N298" s="475">
        <v>44634</v>
      </c>
      <c r="O298" s="475"/>
      <c r="P298" s="475"/>
      <c r="Q298" s="475"/>
      <c r="R298" s="475"/>
      <c r="S298" s="474" t="s">
        <v>1704</v>
      </c>
      <c r="T298" s="474">
        <v>60</v>
      </c>
      <c r="U298" s="486"/>
      <c r="V298" s="474" t="s">
        <v>973</v>
      </c>
      <c r="W298" s="474">
        <v>400</v>
      </c>
      <c r="X298" s="432">
        <v>768</v>
      </c>
      <c r="Y298" s="389">
        <f t="shared" si="54"/>
        <v>307200</v>
      </c>
      <c r="Z298" s="478">
        <f>220/400</f>
        <v>0.55000000000000004</v>
      </c>
      <c r="AA298" s="480">
        <f t="shared" si="55"/>
        <v>168960</v>
      </c>
      <c r="AB298" s="480"/>
      <c r="AC298" s="481"/>
      <c r="AD298" s="474"/>
      <c r="AE298" s="474"/>
      <c r="AF298" s="493">
        <f t="shared" si="53"/>
        <v>168960</v>
      </c>
      <c r="AG298" s="474" t="s">
        <v>1071</v>
      </c>
      <c r="AH298" s="474"/>
      <c r="AI298" s="474">
        <v>60</v>
      </c>
      <c r="AJ298" s="475" t="s">
        <v>1906</v>
      </c>
      <c r="AK298" s="475" t="s">
        <v>1417</v>
      </c>
      <c r="AL298" s="483">
        <v>83202</v>
      </c>
      <c r="AM298" s="474" t="s">
        <v>52</v>
      </c>
      <c r="AN298" s="384" t="s">
        <v>1074</v>
      </c>
      <c r="AO298" s="474" t="s">
        <v>1076</v>
      </c>
      <c r="AP298" s="482"/>
      <c r="AQ298" s="474" t="s">
        <v>37</v>
      </c>
      <c r="AR298" s="474" t="s">
        <v>1288</v>
      </c>
      <c r="AS298" s="473"/>
      <c r="AT298" s="346"/>
      <c r="AU298" s="478">
        <f>196/400</f>
        <v>0.49</v>
      </c>
      <c r="AV298" s="471">
        <f t="shared" si="47"/>
        <v>0</v>
      </c>
      <c r="AW298" s="471" cm="1">
        <f t="array" ref="AW298">SUM(MID(0&amp;AV298,LARGE(INDEX(ISNUMBER(--MID(AV298,ROW($1:$8),1))*ROW($1:$8),),ROW($1:$8))+1,1)*10^ROW($1:$8)/10)</f>
        <v>0</v>
      </c>
      <c r="AX298" s="471" t="e">
        <f>VLOOKUP($AW298,'Item Master Data'!$A:$F,3,FALSE)</f>
        <v>#N/A</v>
      </c>
      <c r="AY298" s="471" t="e">
        <f>VLOOKUP($AW298,'Item Master Data'!$A:$F,6,FALSE)</f>
        <v>#N/A</v>
      </c>
      <c r="AZ298" s="471" t="e">
        <f t="shared" si="48"/>
        <v>#N/A</v>
      </c>
      <c r="BA298" s="471" t="e">
        <f>VLOOKUP(AW298,'Item Master Data'!$A:$G,7,FALSE)</f>
        <v>#N/A</v>
      </c>
      <c r="BB298" s="471"/>
      <c r="BC298" s="471" t="e">
        <f t="shared" si="49"/>
        <v>#N/A</v>
      </c>
    </row>
    <row r="299" spans="1:55">
      <c r="A299" s="495"/>
      <c r="B299" s="407">
        <v>44628</v>
      </c>
      <c r="C299" s="495"/>
      <c r="D299" s="474" t="s">
        <v>86</v>
      </c>
      <c r="E299" s="336"/>
      <c r="F299" s="474"/>
      <c r="G299" s="380">
        <v>2022</v>
      </c>
      <c r="H299" s="380">
        <v>6</v>
      </c>
      <c r="I299" s="486"/>
      <c r="J299" s="475"/>
      <c r="K299" s="474" t="s">
        <v>2039</v>
      </c>
      <c r="L299" s="474" t="s">
        <v>1895</v>
      </c>
      <c r="M299" s="475">
        <v>44588</v>
      </c>
      <c r="N299" s="475">
        <v>44678</v>
      </c>
      <c r="O299" s="475"/>
      <c r="P299" s="475"/>
      <c r="Q299" s="475"/>
      <c r="R299" s="475"/>
      <c r="S299" s="474" t="s">
        <v>1704</v>
      </c>
      <c r="T299" s="474">
        <v>60</v>
      </c>
      <c r="U299" s="474"/>
      <c r="V299" s="486" t="s">
        <v>1223</v>
      </c>
      <c r="W299" s="474">
        <v>360</v>
      </c>
      <c r="X299" s="432">
        <v>676</v>
      </c>
      <c r="Y299" s="389">
        <f t="shared" si="54"/>
        <v>243360</v>
      </c>
      <c r="Z299" s="478">
        <v>0.83000000000000007</v>
      </c>
      <c r="AA299" s="479">
        <v>403977.60000000003</v>
      </c>
      <c r="AB299" s="480"/>
      <c r="AC299" s="481">
        <v>0</v>
      </c>
      <c r="AD299" s="474"/>
      <c r="AE299" s="482"/>
      <c r="AF299" s="493">
        <v>403977.60000000003</v>
      </c>
      <c r="AG299" s="486" t="s">
        <v>1071</v>
      </c>
      <c r="AH299" s="486"/>
      <c r="AI299" s="486">
        <v>60</v>
      </c>
      <c r="AJ299" s="475" t="s">
        <v>1899</v>
      </c>
      <c r="AK299" s="486" t="s">
        <v>1823</v>
      </c>
      <c r="AL299" s="483" t="s">
        <v>1900</v>
      </c>
      <c r="AM299" s="486" t="s">
        <v>52</v>
      </c>
      <c r="AN299" s="384" t="s">
        <v>1074</v>
      </c>
      <c r="AO299" s="474" t="s">
        <v>1076</v>
      </c>
      <c r="AP299" s="482"/>
      <c r="AQ299" s="482" t="s">
        <v>37</v>
      </c>
      <c r="AR299" s="482" t="s">
        <v>1216</v>
      </c>
      <c r="AS299" s="472" t="s">
        <v>1492</v>
      </c>
      <c r="AT299" s="640"/>
      <c r="AU299" s="478">
        <v>0.52</v>
      </c>
      <c r="AV299" s="471">
        <f t="shared" si="47"/>
        <v>0</v>
      </c>
      <c r="AW299" s="471" cm="1">
        <f t="array" ref="AW299">SUM(MID(0&amp;AV299,LARGE(INDEX(ISNUMBER(--MID(AV299,ROW($1:$8),1))*ROW($1:$8),),ROW($1:$8))+1,1)*10^ROW($1:$8)/10)</f>
        <v>0</v>
      </c>
      <c r="AX299" s="471" t="e">
        <f>VLOOKUP($AW299,'Item Master Data'!$A:$F,3,FALSE)</f>
        <v>#N/A</v>
      </c>
      <c r="AY299" s="471" t="e">
        <f>VLOOKUP($AW299,'Item Master Data'!$A:$F,6,FALSE)</f>
        <v>#N/A</v>
      </c>
      <c r="AZ299" s="471" t="e">
        <f t="shared" si="48"/>
        <v>#N/A</v>
      </c>
      <c r="BA299" s="471" t="e">
        <f>VLOOKUP(AW299,'Item Master Data'!$A:$G,7,FALSE)</f>
        <v>#N/A</v>
      </c>
      <c r="BB299" s="471"/>
      <c r="BC299" s="471" t="e">
        <f t="shared" si="49"/>
        <v>#N/A</v>
      </c>
    </row>
    <row r="300" spans="1:55">
      <c r="A300" s="495"/>
      <c r="B300" s="407">
        <v>44628</v>
      </c>
      <c r="C300" s="495"/>
      <c r="D300" s="474" t="s">
        <v>86</v>
      </c>
      <c r="E300" s="336"/>
      <c r="F300" s="474"/>
      <c r="G300" s="380">
        <v>2022</v>
      </c>
      <c r="H300" s="380">
        <v>6</v>
      </c>
      <c r="I300" s="486"/>
      <c r="J300" s="475"/>
      <c r="K300" s="474" t="s">
        <v>2040</v>
      </c>
      <c r="L300" s="474" t="s">
        <v>1895</v>
      </c>
      <c r="M300" s="475">
        <v>44588</v>
      </c>
      <c r="N300" s="475">
        <v>44708</v>
      </c>
      <c r="O300" s="475"/>
      <c r="P300" s="475"/>
      <c r="Q300" s="475"/>
      <c r="R300" s="475"/>
      <c r="S300" s="474" t="s">
        <v>1704</v>
      </c>
      <c r="T300" s="474">
        <v>60</v>
      </c>
      <c r="U300" s="474"/>
      <c r="V300" s="486" t="s">
        <v>973</v>
      </c>
      <c r="W300" s="474">
        <v>400</v>
      </c>
      <c r="X300" s="432">
        <v>768</v>
      </c>
      <c r="Y300" s="389">
        <f t="shared" si="54"/>
        <v>307200</v>
      </c>
      <c r="Z300" s="478">
        <v>0.55000000000000004</v>
      </c>
      <c r="AA300" s="479">
        <v>168960</v>
      </c>
      <c r="AB300" s="480"/>
      <c r="AC300" s="481">
        <v>0</v>
      </c>
      <c r="AD300" s="474"/>
      <c r="AE300" s="482"/>
      <c r="AF300" s="493">
        <v>168960</v>
      </c>
      <c r="AG300" s="486" t="s">
        <v>1071</v>
      </c>
      <c r="AH300" s="486"/>
      <c r="AI300" s="486">
        <v>60</v>
      </c>
      <c r="AJ300" s="475" t="s">
        <v>1910</v>
      </c>
      <c r="AK300" s="486" t="s">
        <v>1823</v>
      </c>
      <c r="AL300" s="483" t="s">
        <v>1900</v>
      </c>
      <c r="AM300" s="486" t="s">
        <v>52</v>
      </c>
      <c r="AN300" s="384" t="s">
        <v>1074</v>
      </c>
      <c r="AO300" s="474" t="s">
        <v>1076</v>
      </c>
      <c r="AP300" s="482"/>
      <c r="AQ300" s="482" t="s">
        <v>37</v>
      </c>
      <c r="AR300" s="482" t="s">
        <v>1216</v>
      </c>
      <c r="AS300" s="472" t="s">
        <v>1492</v>
      </c>
      <c r="AT300" s="640"/>
      <c r="AU300" s="478">
        <v>0.52</v>
      </c>
      <c r="AV300" s="471">
        <f t="shared" si="47"/>
        <v>0</v>
      </c>
      <c r="AW300" s="471" cm="1">
        <f t="array" ref="AW300">SUM(MID(0&amp;AV300,LARGE(INDEX(ISNUMBER(--MID(AV300,ROW($1:$8),1))*ROW($1:$8),),ROW($1:$8))+1,1)*10^ROW($1:$8)/10)</f>
        <v>0</v>
      </c>
      <c r="AX300" s="471" t="e">
        <f>VLOOKUP($AW300,'Item Master Data'!$A:$F,3,FALSE)</f>
        <v>#N/A</v>
      </c>
      <c r="AY300" s="471" t="e">
        <f>VLOOKUP($AW300,'Item Master Data'!$A:$F,6,FALSE)</f>
        <v>#N/A</v>
      </c>
      <c r="AZ300" s="471" t="e">
        <f t="shared" si="48"/>
        <v>#N/A</v>
      </c>
      <c r="BA300" s="471" t="e">
        <f>VLOOKUP(AW300,'Item Master Data'!$A:$G,7,FALSE)</f>
        <v>#N/A</v>
      </c>
      <c r="BB300" s="471"/>
      <c r="BC300" s="471" t="e">
        <f t="shared" si="49"/>
        <v>#N/A</v>
      </c>
    </row>
    <row r="301" spans="1:55">
      <c r="A301" s="495"/>
      <c r="B301" s="407">
        <v>44628</v>
      </c>
      <c r="C301" s="495"/>
      <c r="D301" s="474" t="s">
        <v>86</v>
      </c>
      <c r="E301" s="336"/>
      <c r="F301" s="474"/>
      <c r="G301" s="380">
        <v>2022</v>
      </c>
      <c r="H301" s="380">
        <v>6</v>
      </c>
      <c r="I301" s="486"/>
      <c r="J301" s="475"/>
      <c r="K301" s="474" t="s">
        <v>2041</v>
      </c>
      <c r="L301" s="474" t="s">
        <v>1895</v>
      </c>
      <c r="M301" s="475">
        <v>44588</v>
      </c>
      <c r="N301" s="475">
        <v>44708</v>
      </c>
      <c r="O301" s="475"/>
      <c r="P301" s="475"/>
      <c r="Q301" s="475"/>
      <c r="R301" s="475"/>
      <c r="S301" s="474" t="s">
        <v>1704</v>
      </c>
      <c r="T301" s="474">
        <v>60</v>
      </c>
      <c r="U301" s="474"/>
      <c r="V301" s="486" t="s">
        <v>1223</v>
      </c>
      <c r="W301" s="474">
        <v>360</v>
      </c>
      <c r="X301" s="432">
        <v>676</v>
      </c>
      <c r="Y301" s="389">
        <f t="shared" si="54"/>
        <v>243360</v>
      </c>
      <c r="Z301" s="478">
        <f>298.8/360</f>
        <v>0.83000000000000007</v>
      </c>
      <c r="AA301" s="479">
        <f t="shared" ref="AA301:AA315" si="56">Z301*Y301</f>
        <v>201988.80000000002</v>
      </c>
      <c r="AB301" s="480"/>
      <c r="AC301" s="481">
        <f>AB301*Y301</f>
        <v>0</v>
      </c>
      <c r="AD301" s="474"/>
      <c r="AE301" s="482"/>
      <c r="AF301" s="493">
        <f t="shared" ref="AF301:AF315" si="57">AE301+AD301+AA301</f>
        <v>201988.80000000002</v>
      </c>
      <c r="AG301" s="486" t="s">
        <v>1071</v>
      </c>
      <c r="AH301" s="486"/>
      <c r="AI301" s="486">
        <v>60</v>
      </c>
      <c r="AJ301" s="475" t="s">
        <v>1899</v>
      </c>
      <c r="AK301" s="486" t="s">
        <v>1823</v>
      </c>
      <c r="AL301" s="483" t="s">
        <v>1900</v>
      </c>
      <c r="AM301" s="486" t="s">
        <v>52</v>
      </c>
      <c r="AN301" s="384" t="s">
        <v>1074</v>
      </c>
      <c r="AO301" s="474" t="s">
        <v>1076</v>
      </c>
      <c r="AP301" s="482"/>
      <c r="AQ301" s="482" t="s">
        <v>37</v>
      </c>
      <c r="AR301" s="482" t="s">
        <v>1216</v>
      </c>
      <c r="AS301" s="472" t="s">
        <v>1492</v>
      </c>
      <c r="AT301" s="640"/>
      <c r="AU301" s="478">
        <f>208/400</f>
        <v>0.52</v>
      </c>
      <c r="AV301" s="471">
        <f t="shared" si="47"/>
        <v>0</v>
      </c>
      <c r="AW301" s="471" cm="1">
        <f t="array" ref="AW301">SUM(MID(0&amp;AV301,LARGE(INDEX(ISNUMBER(--MID(AV301,ROW($1:$8),1))*ROW($1:$8),),ROW($1:$8))+1,1)*10^ROW($1:$8)/10)</f>
        <v>0</v>
      </c>
      <c r="AX301" s="471" t="e">
        <f>VLOOKUP($AW301,'Item Master Data'!$A:$F,3,FALSE)</f>
        <v>#N/A</v>
      </c>
      <c r="AY301" s="471" t="e">
        <f>VLOOKUP($AW301,'Item Master Data'!$A:$F,6,FALSE)</f>
        <v>#N/A</v>
      </c>
      <c r="AZ301" s="471" t="e">
        <f t="shared" si="48"/>
        <v>#N/A</v>
      </c>
      <c r="BA301" s="471" t="e">
        <f>VLOOKUP(AW301,'Item Master Data'!$A:$G,7,FALSE)</f>
        <v>#N/A</v>
      </c>
      <c r="BB301" s="471"/>
      <c r="BC301" s="471" t="e">
        <f t="shared" si="49"/>
        <v>#N/A</v>
      </c>
    </row>
    <row r="302" spans="1:55">
      <c r="A302" s="495"/>
      <c r="B302" s="407"/>
      <c r="C302" s="495"/>
      <c r="D302" s="474" t="s">
        <v>86</v>
      </c>
      <c r="E302" s="404"/>
      <c r="F302" s="474"/>
      <c r="G302" s="380">
        <v>2022</v>
      </c>
      <c r="H302" s="380">
        <v>6</v>
      </c>
      <c r="I302" s="474"/>
      <c r="J302" s="475"/>
      <c r="K302" s="474" t="s">
        <v>2094</v>
      </c>
      <c r="L302" s="474" t="s">
        <v>1912</v>
      </c>
      <c r="M302" s="475">
        <v>44510</v>
      </c>
      <c r="N302" s="475">
        <v>44683</v>
      </c>
      <c r="O302" s="475"/>
      <c r="P302" s="475"/>
      <c r="Q302" s="475"/>
      <c r="R302" s="475"/>
      <c r="S302" s="474" t="s">
        <v>1688</v>
      </c>
      <c r="T302" s="474">
        <v>60</v>
      </c>
      <c r="U302" s="474"/>
      <c r="V302" s="486" t="s">
        <v>973</v>
      </c>
      <c r="W302" s="474">
        <v>400</v>
      </c>
      <c r="X302" s="432">
        <v>4736</v>
      </c>
      <c r="Y302" s="389">
        <f t="shared" si="54"/>
        <v>1894400</v>
      </c>
      <c r="Z302" s="478">
        <f>220/400</f>
        <v>0.55000000000000004</v>
      </c>
      <c r="AA302" s="479">
        <f t="shared" si="56"/>
        <v>1041920.0000000001</v>
      </c>
      <c r="AB302" s="480"/>
      <c r="AC302" s="481">
        <v>0</v>
      </c>
      <c r="AD302" s="474"/>
      <c r="AE302" s="482"/>
      <c r="AF302" s="493">
        <f t="shared" si="57"/>
        <v>1041920.0000000001</v>
      </c>
      <c r="AG302" s="486" t="s">
        <v>1071</v>
      </c>
      <c r="AH302" s="486"/>
      <c r="AI302" s="486">
        <v>60</v>
      </c>
      <c r="AJ302" s="475" t="s">
        <v>1913</v>
      </c>
      <c r="AK302" s="486" t="s">
        <v>50</v>
      </c>
      <c r="AL302" s="483" t="s">
        <v>1914</v>
      </c>
      <c r="AM302" s="486" t="s">
        <v>52</v>
      </c>
      <c r="AN302" s="384" t="s">
        <v>50</v>
      </c>
      <c r="AO302" s="474" t="s">
        <v>1076</v>
      </c>
      <c r="AP302" s="482" t="s">
        <v>38</v>
      </c>
      <c r="AQ302" s="482" t="s">
        <v>37</v>
      </c>
      <c r="AR302" s="482" t="s">
        <v>2092</v>
      </c>
      <c r="AS302" s="472"/>
      <c r="AT302" s="640"/>
      <c r="AU302" s="478">
        <f>196/400</f>
        <v>0.49</v>
      </c>
      <c r="AV302" s="471">
        <f t="shared" si="47"/>
        <v>0</v>
      </c>
      <c r="AW302" s="471" cm="1">
        <f t="array" ref="AW302">SUM(MID(0&amp;AV302,LARGE(INDEX(ISNUMBER(--MID(AV302,ROW($1:$8),1))*ROW($1:$8),),ROW($1:$8))+1,1)*10^ROW($1:$8)/10)</f>
        <v>0</v>
      </c>
      <c r="AX302" s="471" t="e">
        <f>VLOOKUP($AW302,'Item Master Data'!$A:$F,3,FALSE)</f>
        <v>#N/A</v>
      </c>
      <c r="AY302" s="471" t="e">
        <f>VLOOKUP($AW302,'Item Master Data'!$A:$F,6,FALSE)</f>
        <v>#N/A</v>
      </c>
      <c r="AZ302" s="471" t="e">
        <f t="shared" si="48"/>
        <v>#N/A</v>
      </c>
      <c r="BA302" s="471" t="e">
        <f>VLOOKUP(AW302,'Item Master Data'!$A:$G,7,FALSE)</f>
        <v>#N/A</v>
      </c>
      <c r="BB302" s="471"/>
      <c r="BC302" s="471" t="e">
        <f t="shared" si="49"/>
        <v>#N/A</v>
      </c>
    </row>
    <row r="303" spans="1:55">
      <c r="A303" s="495"/>
      <c r="B303" s="407"/>
      <c r="C303" s="495"/>
      <c r="D303" s="474" t="s">
        <v>86</v>
      </c>
      <c r="E303" s="404"/>
      <c r="F303" s="474"/>
      <c r="G303" s="380">
        <v>2022</v>
      </c>
      <c r="H303" s="380">
        <v>6</v>
      </c>
      <c r="I303" s="474" t="s">
        <v>1676</v>
      </c>
      <c r="J303" s="475"/>
      <c r="K303" s="474" t="s">
        <v>2095</v>
      </c>
      <c r="L303" s="474" t="s">
        <v>1912</v>
      </c>
      <c r="M303" s="475">
        <v>44510</v>
      </c>
      <c r="N303" s="475">
        <v>44718</v>
      </c>
      <c r="O303" s="475"/>
      <c r="P303" s="475"/>
      <c r="Q303" s="475"/>
      <c r="R303" s="475"/>
      <c r="S303" s="474" t="s">
        <v>1688</v>
      </c>
      <c r="T303" s="474">
        <v>60</v>
      </c>
      <c r="U303" s="474"/>
      <c r="V303" s="486" t="s">
        <v>973</v>
      </c>
      <c r="W303" s="474">
        <v>400</v>
      </c>
      <c r="X303" s="432">
        <v>5888</v>
      </c>
      <c r="Y303" s="389">
        <f t="shared" si="54"/>
        <v>2355200</v>
      </c>
      <c r="Z303" s="478">
        <f>220/400</f>
        <v>0.55000000000000004</v>
      </c>
      <c r="AA303" s="479">
        <f t="shared" si="56"/>
        <v>1295360</v>
      </c>
      <c r="AB303" s="480"/>
      <c r="AC303" s="481">
        <v>0</v>
      </c>
      <c r="AD303" s="474"/>
      <c r="AE303" s="482"/>
      <c r="AF303" s="493">
        <f t="shared" si="57"/>
        <v>1295360</v>
      </c>
      <c r="AG303" s="486" t="s">
        <v>1071</v>
      </c>
      <c r="AH303" s="486"/>
      <c r="AI303" s="486">
        <v>60</v>
      </c>
      <c r="AJ303" s="475" t="s">
        <v>1913</v>
      </c>
      <c r="AK303" s="486" t="s">
        <v>50</v>
      </c>
      <c r="AL303" s="483" t="s">
        <v>1914</v>
      </c>
      <c r="AM303" s="486" t="s">
        <v>52</v>
      </c>
      <c r="AN303" s="384" t="s">
        <v>50</v>
      </c>
      <c r="AO303" s="474" t="s">
        <v>1076</v>
      </c>
      <c r="AP303" s="482" t="s">
        <v>38</v>
      </c>
      <c r="AQ303" s="482" t="s">
        <v>37</v>
      </c>
      <c r="AR303" s="482" t="s">
        <v>2092</v>
      </c>
      <c r="AS303" s="472"/>
      <c r="AT303" s="640"/>
      <c r="AU303" s="478">
        <f>196/400</f>
        <v>0.49</v>
      </c>
      <c r="AV303" s="471">
        <f t="shared" si="47"/>
        <v>0</v>
      </c>
      <c r="AW303" s="471" cm="1">
        <f t="array" ref="AW303">SUM(MID(0&amp;AV303,LARGE(INDEX(ISNUMBER(--MID(AV303,ROW($1:$8),1))*ROW($1:$8),),ROW($1:$8))+1,1)*10^ROW($1:$8)/10)</f>
        <v>0</v>
      </c>
      <c r="AX303" s="471" t="e">
        <f>VLOOKUP($AW303,'Item Master Data'!$A:$F,3,FALSE)</f>
        <v>#N/A</v>
      </c>
      <c r="AY303" s="471" t="e">
        <f>VLOOKUP($AW303,'Item Master Data'!$A:$F,6,FALSE)</f>
        <v>#N/A</v>
      </c>
      <c r="AZ303" s="471" t="e">
        <f t="shared" si="48"/>
        <v>#N/A</v>
      </c>
      <c r="BA303" s="471" t="e">
        <f>VLOOKUP(AW303,'Item Master Data'!$A:$G,7,FALSE)</f>
        <v>#N/A</v>
      </c>
      <c r="BB303" s="471"/>
      <c r="BC303" s="471" t="e">
        <f t="shared" si="49"/>
        <v>#N/A</v>
      </c>
    </row>
    <row r="304" spans="1:55">
      <c r="A304" s="495"/>
      <c r="B304" s="407">
        <v>44617</v>
      </c>
      <c r="C304" s="407">
        <v>44616</v>
      </c>
      <c r="D304" s="485" t="s">
        <v>86</v>
      </c>
      <c r="E304" s="474"/>
      <c r="F304" s="486"/>
      <c r="G304" s="380">
        <v>2022</v>
      </c>
      <c r="H304" s="380">
        <v>6</v>
      </c>
      <c r="I304" s="474"/>
      <c r="J304" s="475"/>
      <c r="K304" s="474" t="s">
        <v>2108</v>
      </c>
      <c r="L304" s="474" t="s">
        <v>1956</v>
      </c>
      <c r="M304" s="475">
        <v>44545</v>
      </c>
      <c r="N304" s="475">
        <v>44615</v>
      </c>
      <c r="O304" s="475">
        <v>44674</v>
      </c>
      <c r="P304" s="475"/>
      <c r="Q304" s="475"/>
      <c r="R304" s="475"/>
      <c r="S304" s="474" t="s">
        <v>1704</v>
      </c>
      <c r="T304" s="474">
        <v>60</v>
      </c>
      <c r="U304" s="486"/>
      <c r="V304" s="474" t="s">
        <v>986</v>
      </c>
      <c r="W304" s="474">
        <v>360</v>
      </c>
      <c r="X304" s="432">
        <v>1664</v>
      </c>
      <c r="Y304" s="389">
        <f t="shared" si="54"/>
        <v>599040</v>
      </c>
      <c r="Z304" s="478">
        <f>190.8/360</f>
        <v>0.53</v>
      </c>
      <c r="AA304" s="480">
        <f t="shared" si="56"/>
        <v>317491.20000000001</v>
      </c>
      <c r="AB304" s="480"/>
      <c r="AC304" s="481">
        <f>AB304*Y304</f>
        <v>0</v>
      </c>
      <c r="AD304" s="474"/>
      <c r="AE304" s="398"/>
      <c r="AF304" s="493">
        <f t="shared" si="57"/>
        <v>317491.20000000001</v>
      </c>
      <c r="AG304" s="474" t="s">
        <v>1071</v>
      </c>
      <c r="AH304" s="474"/>
      <c r="AI304" s="474">
        <v>60</v>
      </c>
      <c r="AJ304" s="475" t="s">
        <v>1790</v>
      </c>
      <c r="AK304" s="475" t="s">
        <v>50</v>
      </c>
      <c r="AL304" s="483">
        <v>95834</v>
      </c>
      <c r="AM304" s="474" t="s">
        <v>52</v>
      </c>
      <c r="AN304" s="384" t="s">
        <v>1074</v>
      </c>
      <c r="AO304" s="474" t="s">
        <v>1076</v>
      </c>
      <c r="AP304" s="482"/>
      <c r="AQ304" s="474" t="s">
        <v>37</v>
      </c>
      <c r="AR304" s="474"/>
      <c r="AS304" s="473"/>
      <c r="AT304" s="346"/>
      <c r="AU304" s="478">
        <f>180/360</f>
        <v>0.5</v>
      </c>
      <c r="AV304" s="471">
        <f t="shared" si="47"/>
        <v>0</v>
      </c>
      <c r="AW304" s="471" cm="1">
        <f t="array" ref="AW304">SUM(MID(0&amp;AV304,LARGE(INDEX(ISNUMBER(--MID(AV304,ROW($1:$8),1))*ROW($1:$8),),ROW($1:$8))+1,1)*10^ROW($1:$8)/10)</f>
        <v>0</v>
      </c>
      <c r="AX304" s="471" t="e">
        <f>VLOOKUP($AW304,'Item Master Data'!$A:$F,3,FALSE)</f>
        <v>#N/A</v>
      </c>
      <c r="AY304" s="471" t="e">
        <f>VLOOKUP($AW304,'Item Master Data'!$A:$F,6,FALSE)</f>
        <v>#N/A</v>
      </c>
      <c r="AZ304" s="471" t="e">
        <f t="shared" si="48"/>
        <v>#N/A</v>
      </c>
      <c r="BA304" s="471" t="e">
        <f>VLOOKUP(AW304,'Item Master Data'!$A:$G,7,FALSE)</f>
        <v>#N/A</v>
      </c>
      <c r="BB304" s="471"/>
      <c r="BC304" s="471" t="e">
        <f t="shared" si="49"/>
        <v>#N/A</v>
      </c>
    </row>
    <row r="305" spans="1:55">
      <c r="A305" s="495"/>
      <c r="B305" s="407">
        <v>44617</v>
      </c>
      <c r="C305" s="407">
        <v>44616</v>
      </c>
      <c r="D305" s="485" t="s">
        <v>86</v>
      </c>
      <c r="E305" s="474"/>
      <c r="F305" s="486"/>
      <c r="G305" s="380">
        <v>2022</v>
      </c>
      <c r="H305" s="380">
        <v>6</v>
      </c>
      <c r="I305" s="474"/>
      <c r="J305" s="475"/>
      <c r="K305" s="474" t="s">
        <v>2130</v>
      </c>
      <c r="L305" s="474" t="s">
        <v>1956</v>
      </c>
      <c r="M305" s="475">
        <v>44545</v>
      </c>
      <c r="N305" s="475">
        <v>44655</v>
      </c>
      <c r="O305" s="475">
        <v>44716</v>
      </c>
      <c r="P305" s="475"/>
      <c r="Q305" s="475"/>
      <c r="R305" s="475"/>
      <c r="S305" s="474" t="s">
        <v>1704</v>
      </c>
      <c r="T305" s="474">
        <v>60</v>
      </c>
      <c r="U305" s="486"/>
      <c r="V305" s="474" t="s">
        <v>973</v>
      </c>
      <c r="W305" s="474">
        <v>400</v>
      </c>
      <c r="X305" s="432">
        <v>6144</v>
      </c>
      <c r="Y305" s="389">
        <f t="shared" si="54"/>
        <v>2457600</v>
      </c>
      <c r="Z305" s="478">
        <f>220/400</f>
        <v>0.55000000000000004</v>
      </c>
      <c r="AA305" s="480">
        <f t="shared" si="56"/>
        <v>1351680</v>
      </c>
      <c r="AB305" s="480"/>
      <c r="AC305" s="481">
        <f>AB305*Y305</f>
        <v>0</v>
      </c>
      <c r="AD305" s="474"/>
      <c r="AE305" s="474"/>
      <c r="AF305" s="493">
        <f t="shared" si="57"/>
        <v>1351680</v>
      </c>
      <c r="AG305" s="474" t="s">
        <v>1071</v>
      </c>
      <c r="AH305" s="474"/>
      <c r="AI305" s="474">
        <v>60</v>
      </c>
      <c r="AJ305" s="475" t="s">
        <v>1790</v>
      </c>
      <c r="AK305" s="475" t="s">
        <v>50</v>
      </c>
      <c r="AL305" s="483">
        <v>95834</v>
      </c>
      <c r="AM305" s="474" t="s">
        <v>52</v>
      </c>
      <c r="AN305" s="384" t="s">
        <v>1074</v>
      </c>
      <c r="AO305" s="474" t="s">
        <v>1076</v>
      </c>
      <c r="AP305" s="482"/>
      <c r="AQ305" s="474" t="s">
        <v>37</v>
      </c>
      <c r="AR305" s="474" t="s">
        <v>1960</v>
      </c>
      <c r="AS305" s="473"/>
      <c r="AT305" s="346"/>
      <c r="AU305" s="478">
        <f>196/400</f>
        <v>0.49</v>
      </c>
      <c r="AV305" s="471">
        <f t="shared" ref="AV305:AV337" si="58">U305</f>
        <v>0</v>
      </c>
      <c r="AW305" s="471" cm="1">
        <f t="array" ref="AW305">SUM(MID(0&amp;AV305,LARGE(INDEX(ISNUMBER(--MID(AV305,ROW($1:$8),1))*ROW($1:$8),),ROW($1:$8))+1,1)*10^ROW($1:$8)/10)</f>
        <v>0</v>
      </c>
      <c r="AX305" s="471" t="e">
        <f>VLOOKUP($AW305,'Item Master Data'!$A:$F,3,FALSE)</f>
        <v>#N/A</v>
      </c>
      <c r="AY305" s="471" t="e">
        <f>VLOOKUP($AW305,'Item Master Data'!$A:$F,6,FALSE)</f>
        <v>#N/A</v>
      </c>
      <c r="AZ305" s="471" t="e">
        <f t="shared" ref="AZ305:AZ368" si="59">X305/BA305</f>
        <v>#N/A</v>
      </c>
      <c r="BA305" s="471" t="e">
        <f>VLOOKUP(AW305,'Item Master Data'!$A:$G,7,FALSE)</f>
        <v>#N/A</v>
      </c>
      <c r="BB305" s="471"/>
      <c r="BC305" s="471" t="e">
        <f t="shared" ref="BC305:BC337" si="60">W305-AY305</f>
        <v>#N/A</v>
      </c>
    </row>
    <row r="306" spans="1:55">
      <c r="A306" s="495"/>
      <c r="B306" s="407">
        <v>44642</v>
      </c>
      <c r="C306" s="495"/>
      <c r="D306" s="474" t="s">
        <v>86</v>
      </c>
      <c r="E306" s="474"/>
      <c r="F306" s="474"/>
      <c r="G306" s="380">
        <v>2022</v>
      </c>
      <c r="H306" s="380">
        <v>6</v>
      </c>
      <c r="I306" s="474"/>
      <c r="J306" s="475"/>
      <c r="K306" s="474" t="s">
        <v>2170</v>
      </c>
      <c r="L306" s="474" t="s">
        <v>1699</v>
      </c>
      <c r="M306" s="475">
        <v>44571</v>
      </c>
      <c r="N306" s="475">
        <v>44671</v>
      </c>
      <c r="O306" s="475"/>
      <c r="P306" s="475"/>
      <c r="Q306" s="475"/>
      <c r="R306" s="475"/>
      <c r="S306" s="474" t="s">
        <v>88</v>
      </c>
      <c r="T306" s="474">
        <v>60</v>
      </c>
      <c r="U306" s="474"/>
      <c r="V306" s="474" t="s">
        <v>986</v>
      </c>
      <c r="W306" s="474">
        <v>360</v>
      </c>
      <c r="X306" s="432">
        <v>768</v>
      </c>
      <c r="Y306" s="389">
        <f t="shared" si="54"/>
        <v>276480</v>
      </c>
      <c r="Z306" s="478">
        <f>190.8/360</f>
        <v>0.53</v>
      </c>
      <c r="AA306" s="479">
        <f t="shared" si="56"/>
        <v>146534.39999999999</v>
      </c>
      <c r="AB306" s="480"/>
      <c r="AC306" s="481">
        <v>0</v>
      </c>
      <c r="AD306" s="490"/>
      <c r="AE306" s="482"/>
      <c r="AF306" s="493">
        <f t="shared" si="57"/>
        <v>146534.39999999999</v>
      </c>
      <c r="AG306" s="474" t="s">
        <v>1071</v>
      </c>
      <c r="AH306" s="474"/>
      <c r="AI306" s="474">
        <v>60</v>
      </c>
      <c r="AJ306" s="474" t="s">
        <v>1700</v>
      </c>
      <c r="AK306" s="474" t="s">
        <v>50</v>
      </c>
      <c r="AL306" s="474">
        <v>92126</v>
      </c>
      <c r="AM306" s="474" t="s">
        <v>52</v>
      </c>
      <c r="AN306" s="474"/>
      <c r="AO306" s="474" t="s">
        <v>1076</v>
      </c>
      <c r="AP306" s="482" t="s">
        <v>92</v>
      </c>
      <c r="AQ306" s="482" t="s">
        <v>37</v>
      </c>
      <c r="AR306" s="482" t="s">
        <v>1216</v>
      </c>
      <c r="AS306" s="473" t="s">
        <v>1492</v>
      </c>
      <c r="AT306" s="346"/>
      <c r="AU306" s="478">
        <f>180/360</f>
        <v>0.5</v>
      </c>
      <c r="AV306" s="471">
        <f t="shared" si="58"/>
        <v>0</v>
      </c>
      <c r="AW306" s="471" cm="1">
        <f t="array" ref="AW306">SUM(MID(0&amp;AV306,LARGE(INDEX(ISNUMBER(--MID(AV306,ROW($1:$8),1))*ROW($1:$8),),ROW($1:$8))+1,1)*10^ROW($1:$8)/10)</f>
        <v>0</v>
      </c>
      <c r="AX306" s="471" t="e">
        <f>VLOOKUP($AW306,'Item Master Data'!$A:$F,3,FALSE)</f>
        <v>#N/A</v>
      </c>
      <c r="AY306" s="471" t="e">
        <f>VLOOKUP($AW306,'Item Master Data'!$A:$F,6,FALSE)</f>
        <v>#N/A</v>
      </c>
      <c r="AZ306" s="471" t="e">
        <f t="shared" si="59"/>
        <v>#N/A</v>
      </c>
      <c r="BA306" s="471" t="e">
        <f>VLOOKUP(AW306,'Item Master Data'!$A:$G,7,FALSE)</f>
        <v>#N/A</v>
      </c>
      <c r="BB306" s="471"/>
      <c r="BC306" s="471" t="e">
        <f t="shared" si="60"/>
        <v>#N/A</v>
      </c>
    </row>
    <row r="307" spans="1:55">
      <c r="A307" s="495"/>
      <c r="B307" s="407">
        <v>44642</v>
      </c>
      <c r="C307" s="495"/>
      <c r="D307" s="474" t="s">
        <v>86</v>
      </c>
      <c r="E307" s="474"/>
      <c r="F307" s="474"/>
      <c r="G307" s="380">
        <v>2022</v>
      </c>
      <c r="H307" s="380">
        <v>6</v>
      </c>
      <c r="I307" s="474"/>
      <c r="J307" s="475"/>
      <c r="K307" s="474" t="s">
        <v>2180</v>
      </c>
      <c r="L307" s="474" t="s">
        <v>1699</v>
      </c>
      <c r="M307" s="475">
        <v>44571</v>
      </c>
      <c r="N307" s="475">
        <v>44712</v>
      </c>
      <c r="O307" s="475"/>
      <c r="P307" s="475"/>
      <c r="Q307" s="475"/>
      <c r="R307" s="475"/>
      <c r="S307" s="474" t="s">
        <v>88</v>
      </c>
      <c r="T307" s="474">
        <v>60</v>
      </c>
      <c r="U307" s="474"/>
      <c r="V307" s="486" t="s">
        <v>973</v>
      </c>
      <c r="W307" s="474">
        <v>400</v>
      </c>
      <c r="X307" s="432">
        <v>3072</v>
      </c>
      <c r="Y307" s="389">
        <f t="shared" si="54"/>
        <v>1228800</v>
      </c>
      <c r="Z307" s="478">
        <f>220/400</f>
        <v>0.55000000000000004</v>
      </c>
      <c r="AA307" s="479">
        <f t="shared" si="56"/>
        <v>675840</v>
      </c>
      <c r="AB307" s="480"/>
      <c r="AC307" s="481">
        <v>0</v>
      </c>
      <c r="AD307" s="490"/>
      <c r="AE307" s="482"/>
      <c r="AF307" s="493">
        <f t="shared" si="57"/>
        <v>675840</v>
      </c>
      <c r="AG307" s="474" t="s">
        <v>1071</v>
      </c>
      <c r="AH307" s="474"/>
      <c r="AI307" s="474">
        <v>60</v>
      </c>
      <c r="AJ307" s="474" t="s">
        <v>1700</v>
      </c>
      <c r="AK307" s="474" t="s">
        <v>50</v>
      </c>
      <c r="AL307" s="474">
        <v>92126</v>
      </c>
      <c r="AM307" s="474" t="s">
        <v>52</v>
      </c>
      <c r="AN307" s="474"/>
      <c r="AO307" s="474" t="s">
        <v>1076</v>
      </c>
      <c r="AP307" s="482"/>
      <c r="AQ307" s="482" t="s">
        <v>37</v>
      </c>
      <c r="AR307" s="482"/>
      <c r="AS307" s="473" t="s">
        <v>1492</v>
      </c>
      <c r="AT307" s="346"/>
      <c r="AU307" s="478">
        <f>208/400</f>
        <v>0.52</v>
      </c>
      <c r="AV307" s="471">
        <f t="shared" si="58"/>
        <v>0</v>
      </c>
      <c r="AW307" s="471" cm="1">
        <f t="array" ref="AW307">SUM(MID(0&amp;AV307,LARGE(INDEX(ISNUMBER(--MID(AV307,ROW($1:$8),1))*ROW($1:$8),),ROW($1:$8))+1,1)*10^ROW($1:$8)/10)</f>
        <v>0</v>
      </c>
      <c r="AX307" s="471" t="e">
        <f>VLOOKUP($AW307,'Item Master Data'!$A:$F,3,FALSE)</f>
        <v>#N/A</v>
      </c>
      <c r="AY307" s="471" t="e">
        <f>VLOOKUP($AW307,'Item Master Data'!$A:$F,6,FALSE)</f>
        <v>#N/A</v>
      </c>
      <c r="AZ307" s="471" t="e">
        <f t="shared" si="59"/>
        <v>#N/A</v>
      </c>
      <c r="BA307" s="471" t="e">
        <f>VLOOKUP(AW307,'Item Master Data'!$A:$G,7,FALSE)</f>
        <v>#N/A</v>
      </c>
      <c r="BB307" s="471"/>
      <c r="BC307" s="471" t="e">
        <f t="shared" si="60"/>
        <v>#N/A</v>
      </c>
    </row>
    <row r="308" spans="1:55">
      <c r="A308" s="495"/>
      <c r="B308" s="407">
        <v>44627</v>
      </c>
      <c r="C308" s="407">
        <v>44628</v>
      </c>
      <c r="D308" s="474" t="s">
        <v>86</v>
      </c>
      <c r="E308" s="474" t="s">
        <v>2004</v>
      </c>
      <c r="F308" s="474"/>
      <c r="G308" s="380">
        <v>2022</v>
      </c>
      <c r="H308" s="474">
        <v>6</v>
      </c>
      <c r="I308" s="474"/>
      <c r="J308" s="475"/>
      <c r="K308" s="474" t="s">
        <v>2171</v>
      </c>
      <c r="L308" s="474" t="s">
        <v>1699</v>
      </c>
      <c r="M308" s="475">
        <v>44593</v>
      </c>
      <c r="N308" s="475">
        <v>44727</v>
      </c>
      <c r="O308" s="475" t="s">
        <v>1280</v>
      </c>
      <c r="P308" s="475"/>
      <c r="Q308" s="475"/>
      <c r="R308" s="475"/>
      <c r="S308" s="474" t="s">
        <v>88</v>
      </c>
      <c r="T308" s="474">
        <v>60</v>
      </c>
      <c r="U308" s="474">
        <v>49201132</v>
      </c>
      <c r="V308" s="474" t="s">
        <v>986</v>
      </c>
      <c r="W308" s="474">
        <v>360</v>
      </c>
      <c r="X308" s="432">
        <v>768</v>
      </c>
      <c r="Y308" s="389">
        <f t="shared" si="54"/>
        <v>276480</v>
      </c>
      <c r="Z308" s="478">
        <f>190.8/360</f>
        <v>0.53</v>
      </c>
      <c r="AA308" s="479">
        <f t="shared" si="56"/>
        <v>146534.39999999999</v>
      </c>
      <c r="AB308" s="480"/>
      <c r="AC308" s="481">
        <v>0</v>
      </c>
      <c r="AD308" s="490"/>
      <c r="AE308" s="482"/>
      <c r="AF308" s="493">
        <f t="shared" si="57"/>
        <v>146534.39999999999</v>
      </c>
      <c r="AG308" s="474" t="s">
        <v>1071</v>
      </c>
      <c r="AH308" s="474"/>
      <c r="AI308" s="474">
        <v>60</v>
      </c>
      <c r="AJ308" s="474" t="s">
        <v>1700</v>
      </c>
      <c r="AK308" s="474" t="s">
        <v>50</v>
      </c>
      <c r="AL308" s="474">
        <v>92126</v>
      </c>
      <c r="AM308" s="474" t="s">
        <v>52</v>
      </c>
      <c r="AN308" s="474" t="s">
        <v>1074</v>
      </c>
      <c r="AO308" s="474" t="s">
        <v>1076</v>
      </c>
      <c r="AP308" s="482"/>
      <c r="AQ308" s="482" t="s">
        <v>37</v>
      </c>
      <c r="AR308" s="482" t="s">
        <v>1216</v>
      </c>
      <c r="AS308" s="473" t="s">
        <v>1492</v>
      </c>
      <c r="AT308" s="346"/>
      <c r="AU308" s="478">
        <f>180/360</f>
        <v>0.5</v>
      </c>
      <c r="AV308" s="471">
        <f t="shared" si="58"/>
        <v>49201132</v>
      </c>
      <c r="AW308" s="471" cm="1">
        <f t="array" ref="AW308">SUM(MID(0&amp;AV308,LARGE(INDEX(ISNUMBER(--MID(AV308,ROW($1:$8),1))*ROW($1:$8),),ROW($1:$8))+1,1)*10^ROW($1:$8)/10)</f>
        <v>49201132</v>
      </c>
      <c r="AX308" s="471" t="str">
        <f>VLOOKUP($AW308,'Item Master Data'!$A:$F,3,FALSE)</f>
        <v>Q.PEAK DUO BLK G10+</v>
      </c>
      <c r="AY308" s="471">
        <f>VLOOKUP($AW308,'Item Master Data'!$A:$F,6,FALSE)</f>
        <v>360</v>
      </c>
      <c r="AZ308" s="471">
        <f t="shared" si="59"/>
        <v>24</v>
      </c>
      <c r="BA308" s="471">
        <f>VLOOKUP(AW308,'Item Master Data'!$A:$G,7,FALSE)</f>
        <v>32</v>
      </c>
      <c r="BB308" s="471"/>
      <c r="BC308" s="471">
        <f t="shared" si="60"/>
        <v>0</v>
      </c>
    </row>
    <row r="309" spans="1:55">
      <c r="A309" s="495"/>
      <c r="B309" s="407"/>
      <c r="C309" s="407"/>
      <c r="D309" s="485" t="s">
        <v>86</v>
      </c>
      <c r="E309" s="474"/>
      <c r="F309" s="486" t="s">
        <v>87</v>
      </c>
      <c r="G309" s="380">
        <v>2022</v>
      </c>
      <c r="H309" s="474">
        <v>6</v>
      </c>
      <c r="I309" s="474"/>
      <c r="J309" s="475"/>
      <c r="K309" s="474" t="s">
        <v>2172</v>
      </c>
      <c r="L309" s="474" t="s">
        <v>1699</v>
      </c>
      <c r="M309" s="475">
        <v>44609</v>
      </c>
      <c r="N309" s="475">
        <v>44713</v>
      </c>
      <c r="O309" s="475"/>
      <c r="P309" s="475"/>
      <c r="Q309" s="475"/>
      <c r="R309" s="475"/>
      <c r="S309" s="474" t="s">
        <v>88</v>
      </c>
      <c r="T309" s="474">
        <v>72</v>
      </c>
      <c r="U309" s="486">
        <v>49303156</v>
      </c>
      <c r="V309" s="474" t="s">
        <v>1070</v>
      </c>
      <c r="W309" s="474">
        <v>480</v>
      </c>
      <c r="X309" s="432">
        <v>4466</v>
      </c>
      <c r="Y309" s="389">
        <f t="shared" si="54"/>
        <v>2143680</v>
      </c>
      <c r="Z309" s="478">
        <f>235.2/480</f>
        <v>0.49</v>
      </c>
      <c r="AA309" s="480">
        <f t="shared" si="56"/>
        <v>1050403.2</v>
      </c>
      <c r="AB309" s="480"/>
      <c r="AC309" s="481">
        <f t="shared" ref="AC309:AC315" si="61">AB309*Y309</f>
        <v>0</v>
      </c>
      <c r="AD309" s="474"/>
      <c r="AE309" s="474"/>
      <c r="AF309" s="493">
        <f t="shared" si="57"/>
        <v>1050403.2</v>
      </c>
      <c r="AG309" s="474" t="s">
        <v>1071</v>
      </c>
      <c r="AH309" s="474"/>
      <c r="AI309" s="474">
        <v>60</v>
      </c>
      <c r="AJ309" s="475" t="s">
        <v>1700</v>
      </c>
      <c r="AK309" s="475" t="s">
        <v>50</v>
      </c>
      <c r="AL309" s="483">
        <v>92126</v>
      </c>
      <c r="AM309" s="474" t="s">
        <v>52</v>
      </c>
      <c r="AN309" s="384" t="s">
        <v>1695</v>
      </c>
      <c r="AO309" s="474" t="s">
        <v>1076</v>
      </c>
      <c r="AP309" s="482"/>
      <c r="AQ309" s="474" t="s">
        <v>37</v>
      </c>
      <c r="AR309" s="474"/>
      <c r="AS309" s="473" t="s">
        <v>1492</v>
      </c>
      <c r="AT309" s="346"/>
      <c r="AU309" s="478"/>
      <c r="AV309" s="471">
        <f t="shared" si="58"/>
        <v>49303156</v>
      </c>
      <c r="AW309" s="471" cm="1">
        <f t="array" ref="AW309">SUM(MID(0&amp;AV309,LARGE(INDEX(ISNUMBER(--MID(AV309,ROW($1:$8),1))*ROW($1:$8),),ROW($1:$8))+1,1)*10^ROW($1:$8)/10)</f>
        <v>49303156</v>
      </c>
      <c r="AX309" s="471" t="str">
        <f>VLOOKUP($AW309,'Item Master Data'!$A:$F,3,FALSE)</f>
        <v>Q.PEAK DUO XL G10 BFG</v>
      </c>
      <c r="AY309" s="471">
        <f>VLOOKUP($AW309,'Item Master Data'!$A:$F,6,FALSE)</f>
        <v>480</v>
      </c>
      <c r="AZ309" s="471">
        <f t="shared" si="59"/>
        <v>154</v>
      </c>
      <c r="BA309" s="471">
        <f>VLOOKUP(AW309,'Item Master Data'!$A:$G,7,FALSE)</f>
        <v>29</v>
      </c>
      <c r="BB309" s="471"/>
      <c r="BC309" s="471">
        <f t="shared" si="60"/>
        <v>0</v>
      </c>
    </row>
    <row r="310" spans="1:55">
      <c r="A310" s="495"/>
      <c r="B310" s="407">
        <v>44678</v>
      </c>
      <c r="C310" s="495"/>
      <c r="D310" s="474" t="s">
        <v>86</v>
      </c>
      <c r="E310" s="336"/>
      <c r="F310" s="474"/>
      <c r="G310" s="380">
        <v>2022</v>
      </c>
      <c r="H310" s="474">
        <v>6</v>
      </c>
      <c r="I310" s="486"/>
      <c r="J310" s="475"/>
      <c r="K310" s="474" t="s">
        <v>2197</v>
      </c>
      <c r="L310" s="474" t="s">
        <v>2086</v>
      </c>
      <c r="M310" s="475">
        <v>44573</v>
      </c>
      <c r="N310" s="475">
        <v>44655</v>
      </c>
      <c r="O310" s="475"/>
      <c r="P310" s="475"/>
      <c r="Q310" s="475"/>
      <c r="R310" s="475"/>
      <c r="S310" s="474" t="s">
        <v>88</v>
      </c>
      <c r="T310" s="474">
        <v>60</v>
      </c>
      <c r="U310" s="474"/>
      <c r="V310" s="486" t="s">
        <v>973</v>
      </c>
      <c r="W310" s="474">
        <v>400</v>
      </c>
      <c r="X310" s="432">
        <v>832</v>
      </c>
      <c r="Y310" s="389">
        <f t="shared" si="54"/>
        <v>332800</v>
      </c>
      <c r="Z310" s="478">
        <f>256/400</f>
        <v>0.64</v>
      </c>
      <c r="AA310" s="479">
        <f t="shared" si="56"/>
        <v>212992</v>
      </c>
      <c r="AB310" s="480"/>
      <c r="AC310" s="481">
        <f t="shared" si="61"/>
        <v>0</v>
      </c>
      <c r="AD310" s="474"/>
      <c r="AE310" s="482"/>
      <c r="AF310" s="493">
        <f t="shared" si="57"/>
        <v>212992</v>
      </c>
      <c r="AG310" s="486" t="s">
        <v>1071</v>
      </c>
      <c r="AH310" s="486"/>
      <c r="AI310" s="486">
        <v>60</v>
      </c>
      <c r="AJ310" s="475" t="s">
        <v>2098</v>
      </c>
      <c r="AK310" s="486" t="s">
        <v>50</v>
      </c>
      <c r="AL310" s="483" t="s">
        <v>2099</v>
      </c>
      <c r="AM310" s="486" t="s">
        <v>52</v>
      </c>
      <c r="AN310" s="384" t="s">
        <v>1074</v>
      </c>
      <c r="AO310" s="474" t="s">
        <v>1076</v>
      </c>
      <c r="AP310" s="482"/>
      <c r="AQ310" s="482" t="s">
        <v>37</v>
      </c>
      <c r="AR310" s="482" t="s">
        <v>1216</v>
      </c>
      <c r="AS310" s="472" t="s">
        <v>1492</v>
      </c>
      <c r="AT310" s="640"/>
      <c r="AU310" s="478">
        <f>208/400</f>
        <v>0.52</v>
      </c>
      <c r="AV310" s="471">
        <f t="shared" si="58"/>
        <v>0</v>
      </c>
      <c r="AW310" s="471" cm="1">
        <f t="array" ref="AW310">SUM(MID(0&amp;AV310,LARGE(INDEX(ISNUMBER(--MID(AV310,ROW($1:$8),1))*ROW($1:$8),),ROW($1:$8))+1,1)*10^ROW($1:$8)/10)</f>
        <v>0</v>
      </c>
      <c r="AX310" s="471" t="e">
        <f>VLOOKUP($AW310,'Item Master Data'!$A:$F,3,FALSE)</f>
        <v>#N/A</v>
      </c>
      <c r="AY310" s="471" t="e">
        <f>VLOOKUP($AW310,'Item Master Data'!$A:$F,6,FALSE)</f>
        <v>#N/A</v>
      </c>
      <c r="AZ310" s="471" t="e">
        <f t="shared" si="59"/>
        <v>#N/A</v>
      </c>
      <c r="BA310" s="471" t="e">
        <f>VLOOKUP(AW310,'Item Master Data'!$A:$G,7,FALSE)</f>
        <v>#N/A</v>
      </c>
      <c r="BB310" s="471"/>
      <c r="BC310" s="471" t="e">
        <f t="shared" si="60"/>
        <v>#N/A</v>
      </c>
    </row>
    <row r="311" spans="1:55">
      <c r="A311" s="495"/>
      <c r="B311" s="407"/>
      <c r="C311" s="407"/>
      <c r="D311" s="485" t="s">
        <v>86</v>
      </c>
      <c r="E311" s="474" t="s">
        <v>5469</v>
      </c>
      <c r="F311" s="486" t="s">
        <v>87</v>
      </c>
      <c r="G311" s="380">
        <v>2022</v>
      </c>
      <c r="H311" s="474">
        <v>6</v>
      </c>
      <c r="I311" s="474"/>
      <c r="J311" s="475"/>
      <c r="K311" s="474" t="s">
        <v>2206</v>
      </c>
      <c r="L311" s="474" t="s">
        <v>2011</v>
      </c>
      <c r="M311" s="475">
        <v>44567</v>
      </c>
      <c r="N311" s="475">
        <v>44732</v>
      </c>
      <c r="O311" s="475">
        <v>44683</v>
      </c>
      <c r="P311" s="475"/>
      <c r="Q311" s="475"/>
      <c r="R311" s="475"/>
      <c r="S311" s="474" t="s">
        <v>1688</v>
      </c>
      <c r="T311" s="474">
        <v>72</v>
      </c>
      <c r="U311" s="486"/>
      <c r="V311" s="474" t="s">
        <v>1002</v>
      </c>
      <c r="W311" s="474">
        <v>480</v>
      </c>
      <c r="X311" s="432">
        <v>1276</v>
      </c>
      <c r="Y311" s="389">
        <f t="shared" si="54"/>
        <v>612480</v>
      </c>
      <c r="Z311" s="478">
        <f>225.6/480</f>
        <v>0.47</v>
      </c>
      <c r="AA311" s="480">
        <f t="shared" si="56"/>
        <v>287865.59999999998</v>
      </c>
      <c r="AB311" s="480"/>
      <c r="AC311" s="481">
        <f t="shared" si="61"/>
        <v>0</v>
      </c>
      <c r="AD311" s="474"/>
      <c r="AE311" s="474"/>
      <c r="AF311" s="493">
        <f t="shared" si="57"/>
        <v>287865.59999999998</v>
      </c>
      <c r="AG311" s="474" t="s">
        <v>1071</v>
      </c>
      <c r="AH311" s="474"/>
      <c r="AI311" s="474">
        <v>60</v>
      </c>
      <c r="AJ311" s="475" t="s">
        <v>2012</v>
      </c>
      <c r="AK311" s="475" t="s">
        <v>50</v>
      </c>
      <c r="AL311" s="483" t="s">
        <v>2013</v>
      </c>
      <c r="AM311" s="474" t="s">
        <v>52</v>
      </c>
      <c r="AN311" s="384" t="s">
        <v>50</v>
      </c>
      <c r="AO311" s="474" t="s">
        <v>1076</v>
      </c>
      <c r="AP311" s="482"/>
      <c r="AQ311" s="474" t="s">
        <v>37</v>
      </c>
      <c r="AR311" s="474"/>
      <c r="AS311" s="473"/>
      <c r="AT311" s="346"/>
      <c r="AU311" s="478"/>
      <c r="AV311" s="471">
        <f t="shared" si="58"/>
        <v>0</v>
      </c>
      <c r="AW311" s="471" cm="1">
        <f t="array" ref="AW311">SUM(MID(0&amp;AV311,LARGE(INDEX(ISNUMBER(--MID(AV311,ROW($1:$8),1))*ROW($1:$8),),ROW($1:$8))+1,1)*10^ROW($1:$8)/10)</f>
        <v>0</v>
      </c>
      <c r="AX311" s="471" t="e">
        <f>VLOOKUP($AW311,'Item Master Data'!$A:$F,3,FALSE)</f>
        <v>#N/A</v>
      </c>
      <c r="AY311" s="471" t="e">
        <f>VLOOKUP($AW311,'Item Master Data'!$A:$F,6,FALSE)</f>
        <v>#N/A</v>
      </c>
      <c r="AZ311" s="471" t="e">
        <f t="shared" si="59"/>
        <v>#N/A</v>
      </c>
      <c r="BA311" s="471" t="e">
        <f>VLOOKUP(AW311,'Item Master Data'!$A:$G,7,FALSE)</f>
        <v>#N/A</v>
      </c>
      <c r="BB311" s="471"/>
      <c r="BC311" s="471" t="e">
        <f t="shared" si="60"/>
        <v>#N/A</v>
      </c>
    </row>
    <row r="312" spans="1:55">
      <c r="A312" s="495"/>
      <c r="B312" s="407">
        <v>44641</v>
      </c>
      <c r="C312" s="495"/>
      <c r="D312" s="474" t="s">
        <v>86</v>
      </c>
      <c r="E312" s="404" t="s">
        <v>1765</v>
      </c>
      <c r="F312" s="474"/>
      <c r="G312" s="380">
        <v>2022</v>
      </c>
      <c r="H312" s="474">
        <v>6</v>
      </c>
      <c r="I312" s="474"/>
      <c r="J312" s="475"/>
      <c r="K312" s="474" t="s">
        <v>2216</v>
      </c>
      <c r="L312" s="474" t="s">
        <v>2011</v>
      </c>
      <c r="M312" s="475">
        <v>44573</v>
      </c>
      <c r="N312" s="475">
        <v>44573</v>
      </c>
      <c r="O312" s="475">
        <v>44719</v>
      </c>
      <c r="P312" s="475"/>
      <c r="Q312" s="475"/>
      <c r="R312" s="474"/>
      <c r="S312" s="474" t="s">
        <v>1688</v>
      </c>
      <c r="T312" s="474">
        <v>60</v>
      </c>
      <c r="U312" s="474" t="s">
        <v>2217</v>
      </c>
      <c r="V312" s="474" t="s">
        <v>973</v>
      </c>
      <c r="W312" s="474">
        <v>400</v>
      </c>
      <c r="X312" s="432">
        <v>1536</v>
      </c>
      <c r="Y312" s="389">
        <f t="shared" si="54"/>
        <v>614400</v>
      </c>
      <c r="Z312" s="478">
        <f>220/400</f>
        <v>0.55000000000000004</v>
      </c>
      <c r="AA312" s="479">
        <f t="shared" si="56"/>
        <v>337920</v>
      </c>
      <c r="AB312" s="480"/>
      <c r="AC312" s="481">
        <f t="shared" si="61"/>
        <v>0</v>
      </c>
      <c r="AD312" s="474"/>
      <c r="AE312" s="474"/>
      <c r="AF312" s="493">
        <f t="shared" si="57"/>
        <v>337920</v>
      </c>
      <c r="AG312" s="474" t="s">
        <v>1071</v>
      </c>
      <c r="AH312" s="474"/>
      <c r="AI312" s="474">
        <v>60</v>
      </c>
      <c r="AJ312" s="475" t="s">
        <v>2012</v>
      </c>
      <c r="AK312" s="475" t="s">
        <v>50</v>
      </c>
      <c r="AL312" s="483" t="s">
        <v>2013</v>
      </c>
      <c r="AM312" s="474" t="s">
        <v>52</v>
      </c>
      <c r="AN312" s="486"/>
      <c r="AO312" s="474" t="s">
        <v>1076</v>
      </c>
      <c r="AP312" s="474"/>
      <c r="AQ312" s="482" t="s">
        <v>37</v>
      </c>
      <c r="AR312" s="474" t="s">
        <v>1677</v>
      </c>
      <c r="AS312" s="473"/>
      <c r="AT312" s="346"/>
      <c r="AU312" s="478">
        <f>208/400</f>
        <v>0.52</v>
      </c>
      <c r="AV312" s="471" t="str">
        <f t="shared" si="58"/>
        <v>30376109R</v>
      </c>
      <c r="AW312" s="471" cm="1">
        <f t="array" ref="AW312">SUM(MID(0&amp;AV312,LARGE(INDEX(ISNUMBER(--MID(AV312,ROW($1:$8),1))*ROW($1:$8),),ROW($1:$8))+1,1)*10^ROW($1:$8)/10)</f>
        <v>30376109</v>
      </c>
      <c r="AX312" s="471" t="str">
        <f>VLOOKUP($AW312,'Item Master Data'!$A:$F,3,FALSE)</f>
        <v>Q.PEAK DUO BLK G8+</v>
      </c>
      <c r="AY312" s="471">
        <f>VLOOKUP($AW312,'Item Master Data'!$A:$F,6,FALSE)</f>
        <v>340</v>
      </c>
      <c r="AZ312" s="471">
        <f t="shared" si="59"/>
        <v>48</v>
      </c>
      <c r="BA312" s="471">
        <f>VLOOKUP(AW312,'Item Master Data'!$A:$G,7,FALSE)</f>
        <v>32</v>
      </c>
      <c r="BB312" s="471"/>
      <c r="BC312" s="471">
        <f t="shared" si="60"/>
        <v>60</v>
      </c>
    </row>
    <row r="313" spans="1:55">
      <c r="A313" s="495"/>
      <c r="B313" s="407">
        <v>44607</v>
      </c>
      <c r="C313" s="407">
        <v>44607</v>
      </c>
      <c r="D313" s="485" t="s">
        <v>86</v>
      </c>
      <c r="E313" s="474"/>
      <c r="F313" s="486"/>
      <c r="G313" s="380">
        <v>2022</v>
      </c>
      <c r="H313" s="474">
        <v>6</v>
      </c>
      <c r="I313" s="474"/>
      <c r="J313" s="475"/>
      <c r="K313" s="474" t="s">
        <v>2215</v>
      </c>
      <c r="L313" s="474" t="s">
        <v>2011</v>
      </c>
      <c r="M313" s="475">
        <v>44607</v>
      </c>
      <c r="N313" s="475">
        <v>44718</v>
      </c>
      <c r="O313" s="475"/>
      <c r="P313" s="475"/>
      <c r="Q313" s="475"/>
      <c r="R313" s="475"/>
      <c r="S313" s="474" t="s">
        <v>1688</v>
      </c>
      <c r="T313" s="474">
        <v>60</v>
      </c>
      <c r="U313" s="486"/>
      <c r="V313" s="474" t="s">
        <v>1223</v>
      </c>
      <c r="W313" s="474">
        <v>360</v>
      </c>
      <c r="X313" s="432">
        <v>728</v>
      </c>
      <c r="Y313" s="389">
        <f t="shared" si="54"/>
        <v>262080</v>
      </c>
      <c r="Z313" s="478">
        <f>298.8/360</f>
        <v>0.83000000000000007</v>
      </c>
      <c r="AA313" s="480">
        <f t="shared" si="56"/>
        <v>217526.40000000002</v>
      </c>
      <c r="AB313" s="480"/>
      <c r="AC313" s="481">
        <f t="shared" si="61"/>
        <v>0</v>
      </c>
      <c r="AD313" s="474"/>
      <c r="AE313" s="474"/>
      <c r="AF313" s="493">
        <f t="shared" si="57"/>
        <v>217526.40000000002</v>
      </c>
      <c r="AG313" s="474" t="s">
        <v>1071</v>
      </c>
      <c r="AH313" s="474"/>
      <c r="AI313" s="474">
        <v>60</v>
      </c>
      <c r="AJ313" s="475" t="s">
        <v>2012</v>
      </c>
      <c r="AK313" s="475" t="s">
        <v>50</v>
      </c>
      <c r="AL313" s="483" t="s">
        <v>2013</v>
      </c>
      <c r="AM313" s="474" t="s">
        <v>52</v>
      </c>
      <c r="AN313" s="384"/>
      <c r="AO313" s="474" t="s">
        <v>1076</v>
      </c>
      <c r="AP313" s="482"/>
      <c r="AQ313" s="474" t="s">
        <v>37</v>
      </c>
      <c r="AR313" s="474"/>
      <c r="AS313" s="473"/>
      <c r="AT313" s="346"/>
      <c r="AU313" s="478">
        <f>180/360</f>
        <v>0.5</v>
      </c>
      <c r="AV313" s="471">
        <f t="shared" si="58"/>
        <v>0</v>
      </c>
      <c r="AW313" s="471" cm="1">
        <f t="array" ref="AW313">SUM(MID(0&amp;AV313,LARGE(INDEX(ISNUMBER(--MID(AV313,ROW($1:$8),1))*ROW($1:$8),),ROW($1:$8))+1,1)*10^ROW($1:$8)/10)</f>
        <v>0</v>
      </c>
      <c r="AX313" s="471" t="e">
        <f>VLOOKUP($AW313,'Item Master Data'!$A:$F,3,FALSE)</f>
        <v>#N/A</v>
      </c>
      <c r="AY313" s="471" t="e">
        <f>VLOOKUP($AW313,'Item Master Data'!$A:$F,6,FALSE)</f>
        <v>#N/A</v>
      </c>
      <c r="AZ313" s="471" t="e">
        <f t="shared" si="59"/>
        <v>#N/A</v>
      </c>
      <c r="BA313" s="471" t="e">
        <f>VLOOKUP(AW313,'Item Master Data'!$A:$G,7,FALSE)</f>
        <v>#N/A</v>
      </c>
      <c r="BB313" s="471"/>
      <c r="BC313" s="471" t="e">
        <f t="shared" si="60"/>
        <v>#N/A</v>
      </c>
    </row>
    <row r="314" spans="1:55">
      <c r="A314" s="495"/>
      <c r="B314" s="407"/>
      <c r="C314" s="407"/>
      <c r="D314" s="485" t="s">
        <v>86</v>
      </c>
      <c r="E314" s="474"/>
      <c r="F314" s="486"/>
      <c r="G314" s="380">
        <v>2022</v>
      </c>
      <c r="H314" s="474">
        <v>6</v>
      </c>
      <c r="I314" s="474"/>
      <c r="J314" s="475"/>
      <c r="K314" s="474" t="s">
        <v>2261</v>
      </c>
      <c r="L314" s="474" t="s">
        <v>1703</v>
      </c>
      <c r="M314" s="475">
        <v>44502</v>
      </c>
      <c r="N314" s="475">
        <v>44634</v>
      </c>
      <c r="O314" s="475">
        <v>44724</v>
      </c>
      <c r="P314" s="475"/>
      <c r="Q314" s="475"/>
      <c r="R314" s="475"/>
      <c r="S314" s="474" t="s">
        <v>1957</v>
      </c>
      <c r="T314" s="474">
        <v>60</v>
      </c>
      <c r="U314" s="486"/>
      <c r="V314" s="474" t="s">
        <v>973</v>
      </c>
      <c r="W314" s="474">
        <v>400</v>
      </c>
      <c r="X314" s="432">
        <v>768</v>
      </c>
      <c r="Y314" s="389">
        <f t="shared" si="54"/>
        <v>307200</v>
      </c>
      <c r="Z314" s="478">
        <f>220/400</f>
        <v>0.55000000000000004</v>
      </c>
      <c r="AA314" s="480">
        <f t="shared" si="56"/>
        <v>168960</v>
      </c>
      <c r="AB314" s="480"/>
      <c r="AC314" s="481">
        <f t="shared" si="61"/>
        <v>0</v>
      </c>
      <c r="AD314" s="474"/>
      <c r="AE314" s="398"/>
      <c r="AF314" s="493">
        <f t="shared" si="57"/>
        <v>168960</v>
      </c>
      <c r="AG314" s="474" t="s">
        <v>1071</v>
      </c>
      <c r="AH314" s="474"/>
      <c r="AI314" s="474">
        <v>60</v>
      </c>
      <c r="AJ314" s="475" t="s">
        <v>1705</v>
      </c>
      <c r="AK314" s="475" t="s">
        <v>1706</v>
      </c>
      <c r="AL314" s="483" t="s">
        <v>1707</v>
      </c>
      <c r="AM314" s="474" t="s">
        <v>52</v>
      </c>
      <c r="AN314" s="384" t="s">
        <v>50</v>
      </c>
      <c r="AO314" s="474" t="s">
        <v>1076</v>
      </c>
      <c r="AP314" s="482" t="s">
        <v>92</v>
      </c>
      <c r="AQ314" s="474" t="s">
        <v>37</v>
      </c>
      <c r="AR314" s="474" t="s">
        <v>1677</v>
      </c>
      <c r="AS314" s="473"/>
      <c r="AT314" s="346"/>
      <c r="AU314" s="478">
        <f>182/400</f>
        <v>0.45500000000000002</v>
      </c>
      <c r="AV314" s="471">
        <f t="shared" si="58"/>
        <v>0</v>
      </c>
      <c r="AW314" s="471" cm="1">
        <f t="array" ref="AW314">SUM(MID(0&amp;AV314,LARGE(INDEX(ISNUMBER(--MID(AV314,ROW($1:$8),1))*ROW($1:$8),),ROW($1:$8))+1,1)*10^ROW($1:$8)/10)</f>
        <v>0</v>
      </c>
      <c r="AX314" s="471" t="e">
        <f>VLOOKUP($AW314,'Item Master Data'!$A:$F,3,FALSE)</f>
        <v>#N/A</v>
      </c>
      <c r="AY314" s="471" t="e">
        <f>VLOOKUP($AW314,'Item Master Data'!$A:$F,6,FALSE)</f>
        <v>#N/A</v>
      </c>
      <c r="AZ314" s="471" t="e">
        <f t="shared" si="59"/>
        <v>#N/A</v>
      </c>
      <c r="BA314" s="471" t="e">
        <f>VLOOKUP(AW314,'Item Master Data'!$A:$G,7,FALSE)</f>
        <v>#N/A</v>
      </c>
      <c r="BB314" s="471"/>
      <c r="BC314" s="471" t="e">
        <f t="shared" si="60"/>
        <v>#N/A</v>
      </c>
    </row>
    <row r="315" spans="1:55">
      <c r="A315" s="495"/>
      <c r="B315" s="407"/>
      <c r="C315" s="407"/>
      <c r="D315" s="485" t="s">
        <v>86</v>
      </c>
      <c r="E315" s="474"/>
      <c r="F315" s="486"/>
      <c r="G315" s="380">
        <v>2022</v>
      </c>
      <c r="H315" s="474">
        <v>6</v>
      </c>
      <c r="I315" s="474"/>
      <c r="J315" s="475"/>
      <c r="K315" s="474" t="s">
        <v>2262</v>
      </c>
      <c r="L315" s="474" t="s">
        <v>1703</v>
      </c>
      <c r="M315" s="475">
        <v>44502</v>
      </c>
      <c r="N315" s="475">
        <v>44641</v>
      </c>
      <c r="O315" s="475">
        <v>44733</v>
      </c>
      <c r="P315" s="475"/>
      <c r="Q315" s="475"/>
      <c r="R315" s="475"/>
      <c r="S315" s="474" t="s">
        <v>1957</v>
      </c>
      <c r="T315" s="474">
        <v>60</v>
      </c>
      <c r="U315" s="486"/>
      <c r="V315" s="474" t="s">
        <v>973</v>
      </c>
      <c r="W315" s="474">
        <v>400</v>
      </c>
      <c r="X315" s="432">
        <v>768</v>
      </c>
      <c r="Y315" s="389">
        <f t="shared" si="54"/>
        <v>307200</v>
      </c>
      <c r="Z315" s="478">
        <f>220/400</f>
        <v>0.55000000000000004</v>
      </c>
      <c r="AA315" s="480">
        <f t="shared" si="56"/>
        <v>168960</v>
      </c>
      <c r="AB315" s="480"/>
      <c r="AC315" s="481">
        <f t="shared" si="61"/>
        <v>0</v>
      </c>
      <c r="AD315" s="474"/>
      <c r="AE315" s="398"/>
      <c r="AF315" s="493">
        <f t="shared" si="57"/>
        <v>168960</v>
      </c>
      <c r="AG315" s="474" t="s">
        <v>1071</v>
      </c>
      <c r="AH315" s="474"/>
      <c r="AI315" s="474">
        <v>60</v>
      </c>
      <c r="AJ315" s="475" t="s">
        <v>1705</v>
      </c>
      <c r="AK315" s="475" t="s">
        <v>1706</v>
      </c>
      <c r="AL315" s="483" t="s">
        <v>1707</v>
      </c>
      <c r="AM315" s="474" t="s">
        <v>52</v>
      </c>
      <c r="AN315" s="384" t="s">
        <v>50</v>
      </c>
      <c r="AO315" s="474" t="s">
        <v>1076</v>
      </c>
      <c r="AP315" s="482" t="s">
        <v>92</v>
      </c>
      <c r="AQ315" s="474" t="s">
        <v>37</v>
      </c>
      <c r="AR315" s="474" t="s">
        <v>1677</v>
      </c>
      <c r="AS315" s="473"/>
      <c r="AT315" s="346"/>
      <c r="AU315" s="478">
        <f>182/400</f>
        <v>0.45500000000000002</v>
      </c>
      <c r="AV315" s="471">
        <f t="shared" si="58"/>
        <v>0</v>
      </c>
      <c r="AW315" s="471" cm="1">
        <f t="array" ref="AW315">SUM(MID(0&amp;AV315,LARGE(INDEX(ISNUMBER(--MID(AV315,ROW($1:$8),1))*ROW($1:$8),),ROW($1:$8))+1,1)*10^ROW($1:$8)/10)</f>
        <v>0</v>
      </c>
      <c r="AX315" s="471" t="e">
        <f>VLOOKUP($AW315,'Item Master Data'!$A:$F,3,FALSE)</f>
        <v>#N/A</v>
      </c>
      <c r="AY315" s="471" t="e">
        <f>VLOOKUP($AW315,'Item Master Data'!$A:$F,6,FALSE)</f>
        <v>#N/A</v>
      </c>
      <c r="AZ315" s="471" t="e">
        <f t="shared" si="59"/>
        <v>#N/A</v>
      </c>
      <c r="BA315" s="471" t="e">
        <f>VLOOKUP(AW315,'Item Master Data'!$A:$G,7,FALSE)</f>
        <v>#N/A</v>
      </c>
      <c r="BB315" s="471"/>
      <c r="BC315" s="471" t="e">
        <f t="shared" si="60"/>
        <v>#N/A</v>
      </c>
    </row>
    <row r="316" spans="1:55">
      <c r="A316" s="495"/>
      <c r="B316" s="407">
        <v>44627</v>
      </c>
      <c r="C316" s="407">
        <v>44627</v>
      </c>
      <c r="D316" s="485" t="s">
        <v>86</v>
      </c>
      <c r="E316" s="383"/>
      <c r="F316" s="474"/>
      <c r="G316" s="380">
        <v>2022</v>
      </c>
      <c r="H316" s="474">
        <v>6</v>
      </c>
      <c r="I316" s="474"/>
      <c r="J316" s="475"/>
      <c r="K316" s="474" t="s">
        <v>2268</v>
      </c>
      <c r="L316" s="474" t="s">
        <v>1703</v>
      </c>
      <c r="M316" s="475">
        <v>44644</v>
      </c>
      <c r="N316" s="475">
        <v>44736</v>
      </c>
      <c r="O316" s="475"/>
      <c r="P316" s="345"/>
      <c r="Q316" s="475"/>
      <c r="R316" s="475"/>
      <c r="S316" s="474" t="s">
        <v>1704</v>
      </c>
      <c r="T316" s="474">
        <v>72</v>
      </c>
      <c r="U316" s="474"/>
      <c r="V316" s="474" t="s">
        <v>1070</v>
      </c>
      <c r="W316" s="474">
        <v>480</v>
      </c>
      <c r="X316" s="432">
        <v>580</v>
      </c>
      <c r="Y316" s="389">
        <f t="shared" si="54"/>
        <v>278400</v>
      </c>
      <c r="Z316" s="478">
        <f>242.4/480</f>
        <v>0.505</v>
      </c>
      <c r="AA316" s="479">
        <f>Y316*Z316</f>
        <v>140592</v>
      </c>
      <c r="AB316" s="480"/>
      <c r="AC316" s="481">
        <v>0</v>
      </c>
      <c r="AD316" s="474"/>
      <c r="AE316" s="474"/>
      <c r="AF316" s="493">
        <f>AA316</f>
        <v>140592</v>
      </c>
      <c r="AG316" s="474" t="s">
        <v>1071</v>
      </c>
      <c r="AH316" s="474"/>
      <c r="AI316" s="474">
        <v>60</v>
      </c>
      <c r="AJ316" s="475" t="s">
        <v>1705</v>
      </c>
      <c r="AK316" s="475" t="s">
        <v>1706</v>
      </c>
      <c r="AL316" s="483" t="s">
        <v>1707</v>
      </c>
      <c r="AM316" s="474" t="s">
        <v>52</v>
      </c>
      <c r="AN316" s="384"/>
      <c r="AO316" s="474" t="s">
        <v>1076</v>
      </c>
      <c r="AP316" s="474"/>
      <c r="AQ316" s="482" t="s">
        <v>37</v>
      </c>
      <c r="AR316" s="474"/>
      <c r="AS316" s="473"/>
      <c r="AT316" s="346"/>
      <c r="AU316" s="478"/>
      <c r="AV316" s="471">
        <f t="shared" si="58"/>
        <v>0</v>
      </c>
      <c r="AW316" s="471" cm="1">
        <f t="array" ref="AW316">SUM(MID(0&amp;AV316,LARGE(INDEX(ISNUMBER(--MID(AV316,ROW($1:$8),1))*ROW($1:$8),),ROW($1:$8))+1,1)*10^ROW($1:$8)/10)</f>
        <v>0</v>
      </c>
      <c r="AX316" s="471" t="e">
        <f>VLOOKUP($AW316,'Item Master Data'!$A:$F,3,FALSE)</f>
        <v>#N/A</v>
      </c>
      <c r="AY316" s="471" t="e">
        <f>VLOOKUP($AW316,'Item Master Data'!$A:$F,6,FALSE)</f>
        <v>#N/A</v>
      </c>
      <c r="AZ316" s="471" t="e">
        <f t="shared" si="59"/>
        <v>#N/A</v>
      </c>
      <c r="BA316" s="471" t="e">
        <f>VLOOKUP(AW316,'Item Master Data'!$A:$G,7,FALSE)</f>
        <v>#N/A</v>
      </c>
      <c r="BB316" s="471"/>
      <c r="BC316" s="471" t="e">
        <f t="shared" si="60"/>
        <v>#N/A</v>
      </c>
    </row>
    <row r="317" spans="1:55">
      <c r="A317" s="495"/>
      <c r="B317" s="407">
        <v>44627</v>
      </c>
      <c r="C317" s="407">
        <v>44627</v>
      </c>
      <c r="D317" s="485" t="s">
        <v>86</v>
      </c>
      <c r="E317" s="383"/>
      <c r="F317" s="474"/>
      <c r="G317" s="380">
        <v>2022</v>
      </c>
      <c r="H317" s="474">
        <v>5</v>
      </c>
      <c r="I317" s="474"/>
      <c r="J317" s="475"/>
      <c r="K317" s="474" t="s">
        <v>5398</v>
      </c>
      <c r="L317" s="474" t="s">
        <v>1703</v>
      </c>
      <c r="M317" s="475">
        <v>44671</v>
      </c>
      <c r="N317" s="475">
        <v>44671</v>
      </c>
      <c r="O317" s="475"/>
      <c r="P317" s="345"/>
      <c r="Q317" s="475"/>
      <c r="R317" s="475"/>
      <c r="S317" s="474" t="s">
        <v>1704</v>
      </c>
      <c r="T317" s="474">
        <v>72</v>
      </c>
      <c r="U317" s="474"/>
      <c r="V317" s="474" t="s">
        <v>1070</v>
      </c>
      <c r="W317" s="474">
        <v>480</v>
      </c>
      <c r="X317" s="432">
        <v>2320</v>
      </c>
      <c r="Y317" s="389">
        <v>299520</v>
      </c>
      <c r="Z317" s="478">
        <f>266.4/480</f>
        <v>0.55499999999999994</v>
      </c>
      <c r="AA317" s="479">
        <v>158745.60000000001</v>
      </c>
      <c r="AB317" s="480"/>
      <c r="AC317" s="481">
        <v>0</v>
      </c>
      <c r="AD317" s="474"/>
      <c r="AE317" s="474"/>
      <c r="AF317" s="493">
        <v>158745.60000000001</v>
      </c>
      <c r="AG317" s="474" t="s">
        <v>1071</v>
      </c>
      <c r="AH317" s="474"/>
      <c r="AI317" s="474">
        <v>60</v>
      </c>
      <c r="AJ317" s="475" t="s">
        <v>1705</v>
      </c>
      <c r="AK317" s="475" t="s">
        <v>1706</v>
      </c>
      <c r="AL317" s="483" t="s">
        <v>1707</v>
      </c>
      <c r="AM317" s="474" t="s">
        <v>52</v>
      </c>
      <c r="AN317" s="384"/>
      <c r="AO317" s="474" t="s">
        <v>1076</v>
      </c>
      <c r="AP317" s="474"/>
      <c r="AQ317" s="482" t="s">
        <v>37</v>
      </c>
      <c r="AR317" s="474"/>
      <c r="AS317" s="473"/>
      <c r="AT317" s="346"/>
      <c r="AU317" s="478"/>
      <c r="AV317" s="471">
        <f t="shared" si="58"/>
        <v>0</v>
      </c>
      <c r="AW317" s="471" cm="1">
        <f t="array" ref="AW317">SUM(MID(0&amp;AV317,LARGE(INDEX(ISNUMBER(--MID(AV317,ROW($1:$8),1))*ROW($1:$8),),ROW($1:$8))+1,1)*10^ROW($1:$8)/10)</f>
        <v>0</v>
      </c>
      <c r="AX317" s="471" t="e">
        <f>VLOOKUP($AW317,'Item Master Data'!$A:$F,3,FALSE)</f>
        <v>#N/A</v>
      </c>
      <c r="AY317" s="471" t="e">
        <f>VLOOKUP($AW317,'Item Master Data'!$A:$F,6,FALSE)</f>
        <v>#N/A</v>
      </c>
      <c r="AZ317" s="471" t="e">
        <f t="shared" si="59"/>
        <v>#N/A</v>
      </c>
      <c r="BA317" s="471" t="e">
        <f>VLOOKUP(AW317,'Item Master Data'!$A:$G,7,FALSE)</f>
        <v>#N/A</v>
      </c>
      <c r="BB317" s="471"/>
      <c r="BC317" s="471" t="e">
        <f t="shared" si="60"/>
        <v>#N/A</v>
      </c>
    </row>
    <row r="318" spans="1:55">
      <c r="A318" s="495"/>
      <c r="B318" s="495"/>
      <c r="C318" s="495"/>
      <c r="D318" s="474" t="s">
        <v>86</v>
      </c>
      <c r="E318" s="336"/>
      <c r="F318" s="474"/>
      <c r="G318" s="380">
        <v>2022</v>
      </c>
      <c r="H318" s="474">
        <v>6</v>
      </c>
      <c r="I318" s="486"/>
      <c r="J318" s="475"/>
      <c r="K318" s="474" t="s">
        <v>2285</v>
      </c>
      <c r="L318" s="474" t="s">
        <v>2049</v>
      </c>
      <c r="M318" s="475">
        <v>44573</v>
      </c>
      <c r="N318" s="475">
        <v>44774</v>
      </c>
      <c r="O318" s="475"/>
      <c r="P318" s="475"/>
      <c r="Q318" s="475"/>
      <c r="R318" s="475"/>
      <c r="S318" s="474" t="s">
        <v>88</v>
      </c>
      <c r="T318" s="474">
        <v>60</v>
      </c>
      <c r="U318" s="474">
        <v>49204132</v>
      </c>
      <c r="V318" s="486" t="s">
        <v>1223</v>
      </c>
      <c r="W318" s="474">
        <v>360</v>
      </c>
      <c r="X318" s="432">
        <v>364</v>
      </c>
      <c r="Y318" s="389">
        <v>131040</v>
      </c>
      <c r="Z318" s="478">
        <f>298.8/360</f>
        <v>0.83000000000000007</v>
      </c>
      <c r="AA318" s="479">
        <f t="shared" ref="AA318:AA363" si="62">Z318*Y318</f>
        <v>108763.20000000001</v>
      </c>
      <c r="AB318" s="480"/>
      <c r="AC318" s="481">
        <v>0</v>
      </c>
      <c r="AD318" s="474"/>
      <c r="AE318" s="482"/>
      <c r="AF318" s="493">
        <v>103521.59999999999</v>
      </c>
      <c r="AG318" s="486" t="s">
        <v>1071</v>
      </c>
      <c r="AH318" s="486"/>
      <c r="AI318" s="486">
        <v>60</v>
      </c>
      <c r="AJ318" s="475" t="s">
        <v>2077</v>
      </c>
      <c r="AK318" s="486" t="s">
        <v>50</v>
      </c>
      <c r="AL318" s="483" t="s">
        <v>2051</v>
      </c>
      <c r="AM318" s="486" t="s">
        <v>52</v>
      </c>
      <c r="AN318" s="474" t="s">
        <v>1695</v>
      </c>
      <c r="AO318" s="474" t="s">
        <v>1076</v>
      </c>
      <c r="AP318" s="482"/>
      <c r="AQ318" s="482" t="s">
        <v>37</v>
      </c>
      <c r="AR318" s="482" t="s">
        <v>1216</v>
      </c>
      <c r="AS318" s="472" t="s">
        <v>1492</v>
      </c>
      <c r="AT318" s="640"/>
      <c r="AU318" s="478">
        <f>244.8/360</f>
        <v>0.68</v>
      </c>
      <c r="AV318" s="471">
        <f t="shared" si="58"/>
        <v>49204132</v>
      </c>
      <c r="AW318" s="471" cm="1">
        <f t="array" ref="AW318">SUM(MID(0&amp;AV318,LARGE(INDEX(ISNUMBER(--MID(AV318,ROW($1:$8),1))*ROW($1:$8),),ROW($1:$8))+1,1)*10^ROW($1:$8)/10)</f>
        <v>49204132</v>
      </c>
      <c r="AX318" s="471" t="str">
        <f>VLOOKUP($AW318,'Item Master Data'!$A:$F,3,FALSE)</f>
        <v>Q.PEAK DUO BLK G10+/AC</v>
      </c>
      <c r="AY318" s="471">
        <f>VLOOKUP($AW318,'Item Master Data'!$A:$F,6,FALSE)</f>
        <v>360</v>
      </c>
      <c r="AZ318" s="471">
        <f t="shared" si="59"/>
        <v>14</v>
      </c>
      <c r="BA318" s="471">
        <f>VLOOKUP(AW318,'Item Master Data'!$A:$G,7,FALSE)</f>
        <v>26</v>
      </c>
      <c r="BB318" s="471"/>
      <c r="BC318" s="471">
        <f t="shared" si="60"/>
        <v>0</v>
      </c>
    </row>
    <row r="319" spans="1:55">
      <c r="A319" s="495"/>
      <c r="B319" s="407">
        <v>44607</v>
      </c>
      <c r="C319" s="407">
        <v>44607</v>
      </c>
      <c r="D319" s="485" t="s">
        <v>86</v>
      </c>
      <c r="E319" s="474"/>
      <c r="F319" s="486"/>
      <c r="G319" s="380">
        <v>2022</v>
      </c>
      <c r="H319" s="474">
        <v>6</v>
      </c>
      <c r="I319" s="474"/>
      <c r="J319" s="475"/>
      <c r="K319" s="474" t="s">
        <v>2297</v>
      </c>
      <c r="L319" s="474" t="s">
        <v>1714</v>
      </c>
      <c r="M319" s="475">
        <v>44530</v>
      </c>
      <c r="N319" s="475">
        <v>44716</v>
      </c>
      <c r="O319" s="475"/>
      <c r="P319" s="475"/>
      <c r="Q319" s="475"/>
      <c r="R319" s="475"/>
      <c r="S319" s="474" t="s">
        <v>1688</v>
      </c>
      <c r="T319" s="474">
        <v>60</v>
      </c>
      <c r="U319" s="486"/>
      <c r="V319" s="474" t="s">
        <v>986</v>
      </c>
      <c r="W319" s="474">
        <v>360</v>
      </c>
      <c r="X319" s="432">
        <v>1536</v>
      </c>
      <c r="Y319" s="389">
        <f t="shared" ref="Y319:Y363" si="63">W319*X319</f>
        <v>552960</v>
      </c>
      <c r="Z319" s="478">
        <f>190.8/360</f>
        <v>0.53</v>
      </c>
      <c r="AA319" s="480">
        <f t="shared" si="62"/>
        <v>293068.79999999999</v>
      </c>
      <c r="AB319" s="480"/>
      <c r="AC319" s="481">
        <f t="shared" ref="AC319:AC336" si="64">AB319*Y319</f>
        <v>0</v>
      </c>
      <c r="AD319" s="474"/>
      <c r="AE319" s="474"/>
      <c r="AF319" s="493">
        <f t="shared" ref="AF319:AF336" si="65">AE319+AD319+AA319</f>
        <v>293068.79999999999</v>
      </c>
      <c r="AG319" s="474" t="s">
        <v>1071</v>
      </c>
      <c r="AH319" s="474"/>
      <c r="AI319" s="474">
        <v>60</v>
      </c>
      <c r="AJ319" s="475" t="s">
        <v>2101</v>
      </c>
      <c r="AK319" s="475" t="s">
        <v>50</v>
      </c>
      <c r="AL319" s="483">
        <v>93003</v>
      </c>
      <c r="AM319" s="474" t="s">
        <v>52</v>
      </c>
      <c r="AN319" s="384"/>
      <c r="AO319" s="474" t="s">
        <v>1076</v>
      </c>
      <c r="AP319" s="482" t="s">
        <v>38</v>
      </c>
      <c r="AQ319" s="474" t="s">
        <v>37</v>
      </c>
      <c r="AR319" s="474"/>
      <c r="AS319" s="473"/>
      <c r="AT319" s="346"/>
      <c r="AU319" s="478"/>
      <c r="AV319" s="471">
        <f t="shared" si="58"/>
        <v>0</v>
      </c>
      <c r="AW319" s="471" cm="1">
        <f t="array" ref="AW319">SUM(MID(0&amp;AV319,LARGE(INDEX(ISNUMBER(--MID(AV319,ROW($1:$8),1))*ROW($1:$8),),ROW($1:$8))+1,1)*10^ROW($1:$8)/10)</f>
        <v>0</v>
      </c>
      <c r="AX319" s="471" t="e">
        <f>VLOOKUP($AW319,'Item Master Data'!$A:$F,3,FALSE)</f>
        <v>#N/A</v>
      </c>
      <c r="AY319" s="471" t="e">
        <f>VLOOKUP($AW319,'Item Master Data'!$A:$F,6,FALSE)</f>
        <v>#N/A</v>
      </c>
      <c r="AZ319" s="471" t="e">
        <f t="shared" si="59"/>
        <v>#N/A</v>
      </c>
      <c r="BA319" s="471" t="e">
        <f>VLOOKUP(AW319,'Item Master Data'!$A:$G,7,FALSE)</f>
        <v>#N/A</v>
      </c>
      <c r="BB319" s="471"/>
      <c r="BC319" s="471" t="e">
        <f t="shared" si="60"/>
        <v>#N/A</v>
      </c>
    </row>
    <row r="320" spans="1:55">
      <c r="A320" s="495"/>
      <c r="B320" s="407"/>
      <c r="C320" s="407"/>
      <c r="D320" s="485" t="s">
        <v>86</v>
      </c>
      <c r="E320" s="474"/>
      <c r="F320" s="486"/>
      <c r="G320" s="380">
        <v>2022</v>
      </c>
      <c r="H320" s="380">
        <v>6</v>
      </c>
      <c r="I320" s="474"/>
      <c r="J320" s="475"/>
      <c r="K320" s="474" t="s">
        <v>2298</v>
      </c>
      <c r="L320" s="474" t="s">
        <v>1714</v>
      </c>
      <c r="M320" s="475">
        <v>44558</v>
      </c>
      <c r="N320" s="475">
        <v>44713</v>
      </c>
      <c r="O320" s="475"/>
      <c r="P320" s="475"/>
      <c r="Q320" s="475"/>
      <c r="R320" s="475"/>
      <c r="S320" s="474" t="s">
        <v>1688</v>
      </c>
      <c r="T320" s="474">
        <v>60</v>
      </c>
      <c r="U320" s="486"/>
      <c r="V320" s="474" t="s">
        <v>973</v>
      </c>
      <c r="W320" s="474">
        <v>400</v>
      </c>
      <c r="X320" s="432">
        <v>768</v>
      </c>
      <c r="Y320" s="389">
        <f t="shared" si="63"/>
        <v>307200</v>
      </c>
      <c r="Z320" s="478">
        <f>220/400</f>
        <v>0.55000000000000004</v>
      </c>
      <c r="AA320" s="480">
        <f t="shared" si="62"/>
        <v>168960</v>
      </c>
      <c r="AB320" s="480"/>
      <c r="AC320" s="481">
        <f t="shared" si="64"/>
        <v>0</v>
      </c>
      <c r="AD320" s="474"/>
      <c r="AE320" s="474"/>
      <c r="AF320" s="493">
        <f t="shared" si="65"/>
        <v>168960</v>
      </c>
      <c r="AG320" s="474" t="s">
        <v>1071</v>
      </c>
      <c r="AH320" s="474"/>
      <c r="AI320" s="474">
        <v>60</v>
      </c>
      <c r="AJ320" s="475" t="s">
        <v>2101</v>
      </c>
      <c r="AK320" s="475" t="s">
        <v>50</v>
      </c>
      <c r="AL320" s="483">
        <v>93003</v>
      </c>
      <c r="AM320" s="474" t="s">
        <v>52</v>
      </c>
      <c r="AN320" s="384" t="s">
        <v>1074</v>
      </c>
      <c r="AO320" s="474" t="s">
        <v>1076</v>
      </c>
      <c r="AP320" s="482"/>
      <c r="AQ320" s="474" t="s">
        <v>37</v>
      </c>
      <c r="AR320" s="474"/>
      <c r="AS320" s="473"/>
      <c r="AT320" s="346"/>
      <c r="AU320" s="478"/>
      <c r="AV320" s="471">
        <f t="shared" si="58"/>
        <v>0</v>
      </c>
      <c r="AW320" s="471" cm="1">
        <f t="array" ref="AW320">SUM(MID(0&amp;AV320,LARGE(INDEX(ISNUMBER(--MID(AV320,ROW($1:$8),1))*ROW($1:$8),),ROW($1:$8))+1,1)*10^ROW($1:$8)/10)</f>
        <v>0</v>
      </c>
      <c r="AX320" s="471" t="e">
        <f>VLOOKUP($AW320,'Item Master Data'!$A:$F,3,FALSE)</f>
        <v>#N/A</v>
      </c>
      <c r="AY320" s="471" t="e">
        <f>VLOOKUP($AW320,'Item Master Data'!$A:$F,6,FALSE)</f>
        <v>#N/A</v>
      </c>
      <c r="AZ320" s="471" t="e">
        <f t="shared" si="59"/>
        <v>#N/A</v>
      </c>
      <c r="BA320" s="471" t="e">
        <f>VLOOKUP(AW320,'Item Master Data'!$A:$G,7,FALSE)</f>
        <v>#N/A</v>
      </c>
      <c r="BB320" s="471"/>
      <c r="BC320" s="471" t="e">
        <f t="shared" si="60"/>
        <v>#N/A</v>
      </c>
    </row>
    <row r="321" spans="1:55">
      <c r="A321" s="495"/>
      <c r="B321" s="407"/>
      <c r="C321" s="407">
        <v>44648</v>
      </c>
      <c r="D321" s="485" t="s">
        <v>86</v>
      </c>
      <c r="E321" s="474"/>
      <c r="F321" s="486"/>
      <c r="G321" s="380">
        <v>2022</v>
      </c>
      <c r="H321" s="380">
        <v>6</v>
      </c>
      <c r="I321" s="474"/>
      <c r="J321" s="475"/>
      <c r="K321" s="474" t="s">
        <v>2299</v>
      </c>
      <c r="L321" s="474" t="s">
        <v>1714</v>
      </c>
      <c r="M321" s="475">
        <v>44593</v>
      </c>
      <c r="N321" s="475">
        <v>44713</v>
      </c>
      <c r="O321" s="475"/>
      <c r="P321" s="475"/>
      <c r="Q321" s="475"/>
      <c r="R321" s="475"/>
      <c r="S321" s="474" t="s">
        <v>1688</v>
      </c>
      <c r="T321" s="474">
        <v>72</v>
      </c>
      <c r="U321" s="486"/>
      <c r="V321" s="474" t="s">
        <v>2300</v>
      </c>
      <c r="W321" s="474">
        <v>580</v>
      </c>
      <c r="X321" s="432">
        <v>406</v>
      </c>
      <c r="Y321" s="389">
        <f t="shared" si="63"/>
        <v>235480</v>
      </c>
      <c r="Z321" s="478">
        <f>298.7/580</f>
        <v>0.51500000000000001</v>
      </c>
      <c r="AA321" s="480">
        <f t="shared" si="62"/>
        <v>121272.2</v>
      </c>
      <c r="AB321" s="480"/>
      <c r="AC321" s="481">
        <f t="shared" si="64"/>
        <v>0</v>
      </c>
      <c r="AD321" s="474"/>
      <c r="AE321" s="474"/>
      <c r="AF321" s="493">
        <f t="shared" si="65"/>
        <v>121272.2</v>
      </c>
      <c r="AG321" s="474" t="s">
        <v>1071</v>
      </c>
      <c r="AH321" s="474"/>
      <c r="AI321" s="474">
        <v>60</v>
      </c>
      <c r="AJ321" s="475" t="s">
        <v>2101</v>
      </c>
      <c r="AK321" s="475" t="s">
        <v>50</v>
      </c>
      <c r="AL321" s="483">
        <v>93003</v>
      </c>
      <c r="AM321" s="474" t="s">
        <v>52</v>
      </c>
      <c r="AN321" s="384" t="s">
        <v>1074</v>
      </c>
      <c r="AO321" s="474" t="s">
        <v>1076</v>
      </c>
      <c r="AP321" s="482"/>
      <c r="AQ321" s="474" t="s">
        <v>37</v>
      </c>
      <c r="AR321" s="474"/>
      <c r="AS321" s="473"/>
      <c r="AT321" s="346"/>
      <c r="AU321" s="478"/>
      <c r="AV321" s="471">
        <f t="shared" si="58"/>
        <v>0</v>
      </c>
      <c r="AW321" s="471" cm="1">
        <f t="array" ref="AW321">SUM(MID(0&amp;AV321,LARGE(INDEX(ISNUMBER(--MID(AV321,ROW($1:$8),1))*ROW($1:$8),),ROW($1:$8))+1,1)*10^ROW($1:$8)/10)</f>
        <v>0</v>
      </c>
      <c r="AX321" s="471" t="e">
        <f>VLOOKUP($AW321,'Item Master Data'!$A:$F,3,FALSE)</f>
        <v>#N/A</v>
      </c>
      <c r="AY321" s="471" t="e">
        <f>VLOOKUP($AW321,'Item Master Data'!$A:$F,6,FALSE)</f>
        <v>#N/A</v>
      </c>
      <c r="AZ321" s="471" t="e">
        <f t="shared" si="59"/>
        <v>#N/A</v>
      </c>
      <c r="BA321" s="471" t="e">
        <f>VLOOKUP(AW321,'Item Master Data'!$A:$G,7,FALSE)</f>
        <v>#N/A</v>
      </c>
      <c r="BB321" s="471"/>
      <c r="BC321" s="471" t="e">
        <f t="shared" si="60"/>
        <v>#N/A</v>
      </c>
    </row>
    <row r="322" spans="1:55">
      <c r="A322" s="495"/>
      <c r="B322" s="407"/>
      <c r="C322" s="407"/>
      <c r="D322" s="485" t="s">
        <v>86</v>
      </c>
      <c r="E322" s="474" t="s">
        <v>2200</v>
      </c>
      <c r="F322" s="486" t="s">
        <v>1147</v>
      </c>
      <c r="G322" s="380">
        <v>2022</v>
      </c>
      <c r="H322" s="380">
        <v>6</v>
      </c>
      <c r="I322" s="474"/>
      <c r="J322" s="475"/>
      <c r="K322" s="474" t="s">
        <v>5169</v>
      </c>
      <c r="L322" s="474" t="s">
        <v>1953</v>
      </c>
      <c r="M322" s="475">
        <v>44498</v>
      </c>
      <c r="N322" s="475">
        <v>44621</v>
      </c>
      <c r="O322" s="475"/>
      <c r="P322" s="475" t="s">
        <v>5168</v>
      </c>
      <c r="Q322" s="475"/>
      <c r="R322" s="475"/>
      <c r="S322" s="474" t="s">
        <v>1704</v>
      </c>
      <c r="T322" s="474">
        <v>60</v>
      </c>
      <c r="U322" s="486"/>
      <c r="V322" s="474" t="s">
        <v>973</v>
      </c>
      <c r="W322" s="474">
        <v>400</v>
      </c>
      <c r="X322" s="432">
        <v>768</v>
      </c>
      <c r="Y322" s="389">
        <f t="shared" si="63"/>
        <v>307200</v>
      </c>
      <c r="Z322" s="478">
        <f>188/400</f>
        <v>0.47</v>
      </c>
      <c r="AA322" s="480">
        <f t="shared" si="62"/>
        <v>144384</v>
      </c>
      <c r="AB322" s="480"/>
      <c r="AC322" s="481">
        <f t="shared" si="64"/>
        <v>0</v>
      </c>
      <c r="AD322" s="474"/>
      <c r="AE322" s="398">
        <f>AA322*0.0725</f>
        <v>10467.84</v>
      </c>
      <c r="AF322" s="493">
        <f t="shared" si="65"/>
        <v>154851.84</v>
      </c>
      <c r="AG322" s="474" t="s">
        <v>47</v>
      </c>
      <c r="AH322" s="474"/>
      <c r="AI322" s="474">
        <v>60</v>
      </c>
      <c r="AJ322" s="475" t="s">
        <v>1984</v>
      </c>
      <c r="AK322" s="475" t="s">
        <v>50</v>
      </c>
      <c r="AL322" s="483">
        <v>95765</v>
      </c>
      <c r="AM322" s="474" t="s">
        <v>52</v>
      </c>
      <c r="AN322" s="384" t="s">
        <v>1074</v>
      </c>
      <c r="AO322" s="474" t="s">
        <v>1076</v>
      </c>
      <c r="AP322" s="482"/>
      <c r="AQ322" s="474" t="s">
        <v>37</v>
      </c>
      <c r="AR322" s="474"/>
      <c r="AS322" s="473" t="s">
        <v>1152</v>
      </c>
      <c r="AT322" s="346" t="s">
        <v>1076</v>
      </c>
      <c r="AU322" s="478"/>
      <c r="AV322" s="471">
        <f t="shared" si="58"/>
        <v>0</v>
      </c>
      <c r="AW322" s="471" cm="1">
        <f t="array" ref="AW322">SUM(MID(0&amp;AV322,LARGE(INDEX(ISNUMBER(--MID(AV322,ROW($1:$8),1))*ROW($1:$8),),ROW($1:$8))+1,1)*10^ROW($1:$8)/10)</f>
        <v>0</v>
      </c>
      <c r="AX322" s="471" t="e">
        <f>VLOOKUP($AW322,'Item Master Data'!$A:$F,3,FALSE)</f>
        <v>#N/A</v>
      </c>
      <c r="AY322" s="471" t="e">
        <f>VLOOKUP($AW322,'Item Master Data'!$A:$F,6,FALSE)</f>
        <v>#N/A</v>
      </c>
      <c r="AZ322" s="471" t="e">
        <f t="shared" si="59"/>
        <v>#N/A</v>
      </c>
      <c r="BA322" s="471" t="e">
        <f>VLOOKUP(AW322,'Item Master Data'!$A:$G,7,FALSE)</f>
        <v>#N/A</v>
      </c>
      <c r="BB322" s="471"/>
      <c r="BC322" s="471" t="e">
        <f t="shared" si="60"/>
        <v>#N/A</v>
      </c>
    </row>
    <row r="323" spans="1:55">
      <c r="A323" s="495"/>
      <c r="B323" s="407">
        <v>44635</v>
      </c>
      <c r="C323" s="407">
        <v>44636</v>
      </c>
      <c r="D323" s="485" t="s">
        <v>86</v>
      </c>
      <c r="E323" s="474"/>
      <c r="F323" s="486"/>
      <c r="G323" s="380">
        <v>2022</v>
      </c>
      <c r="H323" s="380">
        <v>4</v>
      </c>
      <c r="I323" s="474">
        <v>127947</v>
      </c>
      <c r="J323" s="475">
        <v>44663</v>
      </c>
      <c r="K323" s="474">
        <v>101490</v>
      </c>
      <c r="L323" s="474" t="s">
        <v>2293</v>
      </c>
      <c r="M323" s="475">
        <v>44481</v>
      </c>
      <c r="N323" s="475">
        <v>44594</v>
      </c>
      <c r="O323" s="475" t="s">
        <v>1763</v>
      </c>
      <c r="P323" s="475">
        <v>44657</v>
      </c>
      <c r="Q323" s="475">
        <v>44663</v>
      </c>
      <c r="R323" s="475">
        <v>44663</v>
      </c>
      <c r="S323" s="474" t="s">
        <v>1688</v>
      </c>
      <c r="T323" s="474">
        <v>60</v>
      </c>
      <c r="U323" s="486" t="s">
        <v>1281</v>
      </c>
      <c r="V323" s="474" t="s">
        <v>973</v>
      </c>
      <c r="W323" s="474">
        <v>400</v>
      </c>
      <c r="X323" s="432">
        <v>768</v>
      </c>
      <c r="Y323" s="389">
        <f t="shared" si="63"/>
        <v>307200</v>
      </c>
      <c r="Z323" s="348">
        <f>230/400</f>
        <v>0.57499999999999996</v>
      </c>
      <c r="AA323" s="480">
        <f t="shared" si="62"/>
        <v>176640</v>
      </c>
      <c r="AB323" s="480"/>
      <c r="AC323" s="481">
        <f t="shared" si="64"/>
        <v>0</v>
      </c>
      <c r="AD323" s="474"/>
      <c r="AE323" s="398">
        <f>AA323*0.0825</f>
        <v>14572.800000000001</v>
      </c>
      <c r="AF323" s="493">
        <f t="shared" si="65"/>
        <v>191212.79999999999</v>
      </c>
      <c r="AG323" s="474" t="s">
        <v>1071</v>
      </c>
      <c r="AH323" s="474">
        <v>100</v>
      </c>
      <c r="AI323" s="474">
        <v>0</v>
      </c>
      <c r="AJ323" s="475" t="s">
        <v>2075</v>
      </c>
      <c r="AK323" s="475" t="s">
        <v>50</v>
      </c>
      <c r="AL323" s="483">
        <v>92058</v>
      </c>
      <c r="AM323" s="474" t="s">
        <v>52</v>
      </c>
      <c r="AN323" s="384" t="s">
        <v>50</v>
      </c>
      <c r="AO323" s="474" t="s">
        <v>1076</v>
      </c>
      <c r="AP323" s="482" t="s">
        <v>38</v>
      </c>
      <c r="AQ323" s="474" t="s">
        <v>37</v>
      </c>
      <c r="AR323" s="474"/>
      <c r="AS323" s="473" t="s">
        <v>1152</v>
      </c>
      <c r="AT323" s="346" t="s">
        <v>1076</v>
      </c>
      <c r="AU323" s="478"/>
      <c r="AV323" s="471" t="str">
        <f t="shared" si="58"/>
        <v>30390456H</v>
      </c>
      <c r="AW323" s="471" cm="1">
        <f t="array" ref="AW323">SUM(MID(0&amp;AV323,LARGE(INDEX(ISNUMBER(--MID(AV323,ROW($1:$8),1))*ROW($1:$8),),ROW($1:$8))+1,1)*10^ROW($1:$8)/10)</f>
        <v>30390456</v>
      </c>
      <c r="AX323" s="471" t="str">
        <f>VLOOKUP($AW323,'Item Master Data'!$A:$F,3,FALSE)</f>
        <v>Q.PEAK DUO BLK ML G10+</v>
      </c>
      <c r="AY323" s="471">
        <f>VLOOKUP($AW323,'Item Master Data'!$A:$F,6,FALSE)</f>
        <v>400</v>
      </c>
      <c r="AZ323" s="471">
        <f t="shared" si="59"/>
        <v>24</v>
      </c>
      <c r="BA323" s="471">
        <f>VLOOKUP(AW323,'Item Master Data'!$A:$G,7,FALSE)</f>
        <v>32</v>
      </c>
      <c r="BB323" s="471"/>
      <c r="BC323" s="471">
        <f t="shared" si="60"/>
        <v>0</v>
      </c>
    </row>
    <row r="324" spans="1:55">
      <c r="A324" s="495"/>
      <c r="B324" s="407">
        <v>44627</v>
      </c>
      <c r="C324" s="407">
        <v>44627</v>
      </c>
      <c r="D324" s="485" t="s">
        <v>86</v>
      </c>
      <c r="E324" s="383" t="s">
        <v>2110</v>
      </c>
      <c r="F324" s="474"/>
      <c r="G324" s="380">
        <v>2022</v>
      </c>
      <c r="H324" s="380">
        <v>6</v>
      </c>
      <c r="I324" s="474"/>
      <c r="J324" s="475"/>
      <c r="K324" s="474" t="s">
        <v>2111</v>
      </c>
      <c r="L324" s="474" t="s">
        <v>1953</v>
      </c>
      <c r="M324" s="475">
        <v>44602</v>
      </c>
      <c r="N324" s="475">
        <v>44714</v>
      </c>
      <c r="O324" s="475"/>
      <c r="P324" s="345"/>
      <c r="Q324" s="475"/>
      <c r="R324" s="475"/>
      <c r="S324" s="474" t="s">
        <v>1704</v>
      </c>
      <c r="T324" s="474">
        <v>60</v>
      </c>
      <c r="U324" s="474"/>
      <c r="V324" s="486" t="s">
        <v>973</v>
      </c>
      <c r="W324" s="474">
        <v>400</v>
      </c>
      <c r="X324" s="432">
        <v>2304</v>
      </c>
      <c r="Y324" s="389">
        <f t="shared" si="63"/>
        <v>921600</v>
      </c>
      <c r="Z324" s="478">
        <f t="shared" ref="Z324:Z334" si="66">188/400</f>
        <v>0.47</v>
      </c>
      <c r="AA324" s="479">
        <f t="shared" si="62"/>
        <v>433152</v>
      </c>
      <c r="AB324" s="480"/>
      <c r="AC324" s="481">
        <f t="shared" si="64"/>
        <v>0</v>
      </c>
      <c r="AD324" s="474"/>
      <c r="AE324" s="398">
        <f>AA324*0.0725</f>
        <v>31403.519999999997</v>
      </c>
      <c r="AF324" s="493">
        <f t="shared" si="65"/>
        <v>464555.52000000002</v>
      </c>
      <c r="AG324" s="474" t="s">
        <v>47</v>
      </c>
      <c r="AH324" s="474"/>
      <c r="AI324" s="474">
        <v>60</v>
      </c>
      <c r="AJ324" s="475" t="s">
        <v>1984</v>
      </c>
      <c r="AK324" s="475" t="s">
        <v>50</v>
      </c>
      <c r="AL324" s="483" t="s">
        <v>1985</v>
      </c>
      <c r="AM324" s="474" t="s">
        <v>52</v>
      </c>
      <c r="AN324" s="384"/>
      <c r="AO324" s="474" t="s">
        <v>1076</v>
      </c>
      <c r="AP324" s="474"/>
      <c r="AQ324" s="482" t="s">
        <v>37</v>
      </c>
      <c r="AR324" s="474"/>
      <c r="AS324" s="473"/>
      <c r="AT324" s="346"/>
      <c r="AU324" s="478"/>
      <c r="AV324" s="471">
        <f t="shared" si="58"/>
        <v>0</v>
      </c>
      <c r="AW324" s="471" cm="1">
        <f t="array" ref="AW324">SUM(MID(0&amp;AV324,LARGE(INDEX(ISNUMBER(--MID(AV324,ROW($1:$8),1))*ROW($1:$8),),ROW($1:$8))+1,1)*10^ROW($1:$8)/10)</f>
        <v>0</v>
      </c>
      <c r="AX324" s="471" t="e">
        <f>VLOOKUP($AW324,'Item Master Data'!$A:$F,3,FALSE)</f>
        <v>#N/A</v>
      </c>
      <c r="AY324" s="471" t="e">
        <f>VLOOKUP($AW324,'Item Master Data'!$A:$F,6,FALSE)</f>
        <v>#N/A</v>
      </c>
      <c r="AZ324" s="471" t="e">
        <f t="shared" si="59"/>
        <v>#N/A</v>
      </c>
      <c r="BA324" s="471" t="e">
        <f>VLOOKUP(AW324,'Item Master Data'!$A:$G,7,FALSE)</f>
        <v>#N/A</v>
      </c>
      <c r="BB324" s="471"/>
      <c r="BC324" s="471" t="e">
        <f t="shared" si="60"/>
        <v>#N/A</v>
      </c>
    </row>
    <row r="325" spans="1:55">
      <c r="A325" s="495"/>
      <c r="B325" s="407">
        <v>44627</v>
      </c>
      <c r="C325" s="407">
        <v>44627</v>
      </c>
      <c r="D325" s="485" t="s">
        <v>86</v>
      </c>
      <c r="E325" s="383" t="s">
        <v>2110</v>
      </c>
      <c r="F325" s="474"/>
      <c r="G325" s="380">
        <v>2022</v>
      </c>
      <c r="H325" s="380">
        <v>6</v>
      </c>
      <c r="I325" s="474"/>
      <c r="J325" s="475"/>
      <c r="K325" s="474" t="s">
        <v>2112</v>
      </c>
      <c r="L325" s="474" t="s">
        <v>1953</v>
      </c>
      <c r="M325" s="475">
        <v>44602</v>
      </c>
      <c r="N325" s="475">
        <v>44714</v>
      </c>
      <c r="O325" s="475"/>
      <c r="P325" s="345"/>
      <c r="Q325" s="475"/>
      <c r="R325" s="475"/>
      <c r="S325" s="474" t="s">
        <v>1704</v>
      </c>
      <c r="T325" s="474">
        <v>60</v>
      </c>
      <c r="U325" s="474"/>
      <c r="V325" s="486" t="s">
        <v>973</v>
      </c>
      <c r="W325" s="474">
        <v>400</v>
      </c>
      <c r="X325" s="432">
        <v>1536</v>
      </c>
      <c r="Y325" s="389">
        <f t="shared" si="63"/>
        <v>614400</v>
      </c>
      <c r="Z325" s="478">
        <f t="shared" si="66"/>
        <v>0.47</v>
      </c>
      <c r="AA325" s="479">
        <f t="shared" si="62"/>
        <v>288768</v>
      </c>
      <c r="AB325" s="480"/>
      <c r="AC325" s="481">
        <f t="shared" si="64"/>
        <v>0</v>
      </c>
      <c r="AD325" s="474"/>
      <c r="AE325" s="398">
        <f>AA325*0.0775</f>
        <v>22379.52</v>
      </c>
      <c r="AF325" s="493">
        <f t="shared" si="65"/>
        <v>311147.52000000002</v>
      </c>
      <c r="AG325" s="474" t="s">
        <v>47</v>
      </c>
      <c r="AH325" s="474"/>
      <c r="AI325" s="474">
        <v>60</v>
      </c>
      <c r="AJ325" s="475" t="s">
        <v>1954</v>
      </c>
      <c r="AK325" s="475" t="s">
        <v>50</v>
      </c>
      <c r="AL325" s="483" t="s">
        <v>1987</v>
      </c>
      <c r="AM325" s="474" t="s">
        <v>52</v>
      </c>
      <c r="AN325" s="384"/>
      <c r="AO325" s="474" t="s">
        <v>1076</v>
      </c>
      <c r="AP325" s="474"/>
      <c r="AQ325" s="482" t="s">
        <v>37</v>
      </c>
      <c r="AR325" s="474"/>
      <c r="AS325" s="473"/>
      <c r="AT325" s="346"/>
      <c r="AU325" s="478"/>
      <c r="AV325" s="471">
        <f t="shared" si="58"/>
        <v>0</v>
      </c>
      <c r="AW325" s="471" cm="1">
        <f t="array" ref="AW325">SUM(MID(0&amp;AV325,LARGE(INDEX(ISNUMBER(--MID(AV325,ROW($1:$8),1))*ROW($1:$8),),ROW($1:$8))+1,1)*10^ROW($1:$8)/10)</f>
        <v>0</v>
      </c>
      <c r="AX325" s="471" t="e">
        <f>VLOOKUP($AW325,'Item Master Data'!$A:$F,3,FALSE)</f>
        <v>#N/A</v>
      </c>
      <c r="AY325" s="471" t="e">
        <f>VLOOKUP($AW325,'Item Master Data'!$A:$F,6,FALSE)</f>
        <v>#N/A</v>
      </c>
      <c r="AZ325" s="471" t="e">
        <f t="shared" si="59"/>
        <v>#N/A</v>
      </c>
      <c r="BA325" s="471" t="e">
        <f>VLOOKUP(AW325,'Item Master Data'!$A:$G,7,FALSE)</f>
        <v>#N/A</v>
      </c>
      <c r="BB325" s="471"/>
      <c r="BC325" s="471" t="e">
        <f t="shared" si="60"/>
        <v>#N/A</v>
      </c>
    </row>
    <row r="326" spans="1:55">
      <c r="A326" s="495"/>
      <c r="B326" s="407">
        <v>44627</v>
      </c>
      <c r="C326" s="407">
        <v>44627</v>
      </c>
      <c r="D326" s="485" t="s">
        <v>86</v>
      </c>
      <c r="E326" s="383" t="s">
        <v>2110</v>
      </c>
      <c r="F326" s="474"/>
      <c r="G326" s="380">
        <v>2022</v>
      </c>
      <c r="H326" s="380">
        <v>6</v>
      </c>
      <c r="I326" s="474"/>
      <c r="J326" s="475"/>
      <c r="K326" s="474" t="s">
        <v>2113</v>
      </c>
      <c r="L326" s="474" t="s">
        <v>1953</v>
      </c>
      <c r="M326" s="475">
        <v>44602</v>
      </c>
      <c r="N326" s="475">
        <v>44714</v>
      </c>
      <c r="O326" s="475"/>
      <c r="P326" s="345"/>
      <c r="Q326" s="475"/>
      <c r="R326" s="475"/>
      <c r="S326" s="474" t="s">
        <v>1704</v>
      </c>
      <c r="T326" s="474">
        <v>60</v>
      </c>
      <c r="U326" s="474"/>
      <c r="V326" s="486" t="s">
        <v>973</v>
      </c>
      <c r="W326" s="474">
        <v>400</v>
      </c>
      <c r="X326" s="432">
        <v>768</v>
      </c>
      <c r="Y326" s="389">
        <f t="shared" si="63"/>
        <v>307200</v>
      </c>
      <c r="Z326" s="478">
        <f t="shared" si="66"/>
        <v>0.47</v>
      </c>
      <c r="AA326" s="479">
        <f t="shared" si="62"/>
        <v>144384</v>
      </c>
      <c r="AB326" s="480"/>
      <c r="AC326" s="481">
        <f t="shared" si="64"/>
        <v>0</v>
      </c>
      <c r="AD326" s="474"/>
      <c r="AE326" s="398">
        <f>AA326*0.0875</f>
        <v>12633.599999999999</v>
      </c>
      <c r="AF326" s="493">
        <f t="shared" si="65"/>
        <v>157017.60000000001</v>
      </c>
      <c r="AG326" s="474" t="s">
        <v>47</v>
      </c>
      <c r="AH326" s="474"/>
      <c r="AI326" s="474">
        <v>60</v>
      </c>
      <c r="AJ326" s="475" t="s">
        <v>1913</v>
      </c>
      <c r="AK326" s="475" t="s">
        <v>50</v>
      </c>
      <c r="AL326" s="483" t="s">
        <v>1914</v>
      </c>
      <c r="AM326" s="474" t="s">
        <v>52</v>
      </c>
      <c r="AN326" s="384"/>
      <c r="AO326" s="474" t="s">
        <v>1076</v>
      </c>
      <c r="AP326" s="474"/>
      <c r="AQ326" s="482" t="s">
        <v>37</v>
      </c>
      <c r="AR326" s="474"/>
      <c r="AS326" s="473"/>
      <c r="AT326" s="346"/>
      <c r="AU326" s="478"/>
      <c r="AV326" s="471">
        <f t="shared" si="58"/>
        <v>0</v>
      </c>
      <c r="AW326" s="471" cm="1">
        <f t="array" ref="AW326">SUM(MID(0&amp;AV326,LARGE(INDEX(ISNUMBER(--MID(AV326,ROW($1:$8),1))*ROW($1:$8),),ROW($1:$8))+1,1)*10^ROW($1:$8)/10)</f>
        <v>0</v>
      </c>
      <c r="AX326" s="471" t="e">
        <f>VLOOKUP($AW326,'Item Master Data'!$A:$F,3,FALSE)</f>
        <v>#N/A</v>
      </c>
      <c r="AY326" s="471" t="e">
        <f>VLOOKUP($AW326,'Item Master Data'!$A:$F,6,FALSE)</f>
        <v>#N/A</v>
      </c>
      <c r="AZ326" s="471" t="e">
        <f t="shared" si="59"/>
        <v>#N/A</v>
      </c>
      <c r="BA326" s="471" t="e">
        <f>VLOOKUP(AW326,'Item Master Data'!$A:$G,7,FALSE)</f>
        <v>#N/A</v>
      </c>
      <c r="BB326" s="471"/>
      <c r="BC326" s="471" t="e">
        <f t="shared" si="60"/>
        <v>#N/A</v>
      </c>
    </row>
    <row r="327" spans="1:55">
      <c r="A327" s="495"/>
      <c r="B327" s="407">
        <v>44627</v>
      </c>
      <c r="C327" s="407">
        <v>44627</v>
      </c>
      <c r="D327" s="485" t="s">
        <v>86</v>
      </c>
      <c r="E327" s="383" t="s">
        <v>2055</v>
      </c>
      <c r="F327" s="474"/>
      <c r="G327" s="380">
        <v>2022</v>
      </c>
      <c r="H327" s="380">
        <v>6</v>
      </c>
      <c r="I327" s="474"/>
      <c r="J327" s="475"/>
      <c r="K327" s="474" t="s">
        <v>2059</v>
      </c>
      <c r="L327" s="474" t="s">
        <v>1953</v>
      </c>
      <c r="M327" s="475">
        <v>44602</v>
      </c>
      <c r="N327" s="475">
        <v>44683</v>
      </c>
      <c r="O327" s="475"/>
      <c r="P327" s="345"/>
      <c r="Q327" s="475"/>
      <c r="R327" s="475"/>
      <c r="S327" s="474" t="s">
        <v>1704</v>
      </c>
      <c r="T327" s="474">
        <v>60</v>
      </c>
      <c r="U327" s="474"/>
      <c r="V327" s="486" t="s">
        <v>973</v>
      </c>
      <c r="W327" s="474">
        <v>400</v>
      </c>
      <c r="X327" s="432">
        <v>1536</v>
      </c>
      <c r="Y327" s="389">
        <f t="shared" si="63"/>
        <v>614400</v>
      </c>
      <c r="Z327" s="478">
        <f t="shared" si="66"/>
        <v>0.47</v>
      </c>
      <c r="AA327" s="479">
        <f t="shared" si="62"/>
        <v>288768</v>
      </c>
      <c r="AB327" s="480"/>
      <c r="AC327" s="481">
        <f t="shared" si="64"/>
        <v>0</v>
      </c>
      <c r="AD327" s="474"/>
      <c r="AE327" s="398">
        <f>AA327*0.0725</f>
        <v>20935.68</v>
      </c>
      <c r="AF327" s="493">
        <f t="shared" si="65"/>
        <v>309703.67999999999</v>
      </c>
      <c r="AG327" s="474" t="s">
        <v>47</v>
      </c>
      <c r="AH327" s="474"/>
      <c r="AI327" s="474">
        <v>60</v>
      </c>
      <c r="AJ327" s="475" t="s">
        <v>1777</v>
      </c>
      <c r="AK327" s="475" t="s">
        <v>50</v>
      </c>
      <c r="AL327" s="483" t="s">
        <v>1990</v>
      </c>
      <c r="AM327" s="474" t="s">
        <v>52</v>
      </c>
      <c r="AN327" s="384"/>
      <c r="AO327" s="474" t="s">
        <v>1076</v>
      </c>
      <c r="AP327" s="474"/>
      <c r="AQ327" s="482" t="s">
        <v>37</v>
      </c>
      <c r="AR327" s="474"/>
      <c r="AS327" s="473"/>
      <c r="AT327" s="346"/>
      <c r="AU327" s="478"/>
      <c r="AV327" s="471">
        <f t="shared" si="58"/>
        <v>0</v>
      </c>
      <c r="AW327" s="471" cm="1">
        <f t="array" ref="AW327">SUM(MID(0&amp;AV327,LARGE(INDEX(ISNUMBER(--MID(AV327,ROW($1:$8),1))*ROW($1:$8),),ROW($1:$8))+1,1)*10^ROW($1:$8)/10)</f>
        <v>0</v>
      </c>
      <c r="AX327" s="471" t="e">
        <f>VLOOKUP($AW327,'Item Master Data'!$A:$F,3,FALSE)</f>
        <v>#N/A</v>
      </c>
      <c r="AY327" s="471" t="e">
        <f>VLOOKUP($AW327,'Item Master Data'!$A:$F,6,FALSE)</f>
        <v>#N/A</v>
      </c>
      <c r="AZ327" s="471" t="e">
        <f t="shared" si="59"/>
        <v>#N/A</v>
      </c>
      <c r="BA327" s="471" t="e">
        <f>VLOOKUP(AW327,'Item Master Data'!$A:$G,7,FALSE)</f>
        <v>#N/A</v>
      </c>
      <c r="BB327" s="471"/>
      <c r="BC327" s="471" t="e">
        <f t="shared" si="60"/>
        <v>#N/A</v>
      </c>
    </row>
    <row r="328" spans="1:55">
      <c r="A328" s="495"/>
      <c r="B328" s="407">
        <v>44627</v>
      </c>
      <c r="C328" s="407">
        <v>44627</v>
      </c>
      <c r="D328" s="485" t="s">
        <v>86</v>
      </c>
      <c r="E328" s="383" t="s">
        <v>2055</v>
      </c>
      <c r="F328" s="474"/>
      <c r="G328" s="380">
        <v>2022</v>
      </c>
      <c r="H328" s="380">
        <v>6</v>
      </c>
      <c r="I328" s="474"/>
      <c r="J328" s="475"/>
      <c r="K328" s="474" t="s">
        <v>2060</v>
      </c>
      <c r="L328" s="474" t="s">
        <v>1953</v>
      </c>
      <c r="M328" s="475">
        <v>44602</v>
      </c>
      <c r="N328" s="475">
        <v>44683</v>
      </c>
      <c r="O328" s="475"/>
      <c r="P328" s="345"/>
      <c r="Q328" s="475"/>
      <c r="R328" s="475"/>
      <c r="S328" s="474" t="s">
        <v>1704</v>
      </c>
      <c r="T328" s="474">
        <v>60</v>
      </c>
      <c r="U328" s="474"/>
      <c r="V328" s="486" t="s">
        <v>973</v>
      </c>
      <c r="W328" s="474">
        <v>400</v>
      </c>
      <c r="X328" s="432">
        <v>1536</v>
      </c>
      <c r="Y328" s="389">
        <f t="shared" si="63"/>
        <v>614400</v>
      </c>
      <c r="Z328" s="478">
        <f t="shared" si="66"/>
        <v>0.47</v>
      </c>
      <c r="AA328" s="479">
        <f t="shared" si="62"/>
        <v>288768</v>
      </c>
      <c r="AB328" s="480"/>
      <c r="AC328" s="481">
        <f t="shared" si="64"/>
        <v>0</v>
      </c>
      <c r="AD328" s="474"/>
      <c r="AE328" s="398">
        <f>AA328*0.0835</f>
        <v>24112.128000000001</v>
      </c>
      <c r="AF328" s="493">
        <f t="shared" si="65"/>
        <v>312880.12800000003</v>
      </c>
      <c r="AG328" s="474" t="s">
        <v>47</v>
      </c>
      <c r="AH328" s="474"/>
      <c r="AI328" s="474">
        <v>60</v>
      </c>
      <c r="AJ328" s="475" t="s">
        <v>1860</v>
      </c>
      <c r="AK328" s="475" t="s">
        <v>50</v>
      </c>
      <c r="AL328" s="483" t="s">
        <v>1992</v>
      </c>
      <c r="AM328" s="474" t="s">
        <v>52</v>
      </c>
      <c r="AN328" s="384"/>
      <c r="AO328" s="474" t="s">
        <v>1076</v>
      </c>
      <c r="AP328" s="474"/>
      <c r="AQ328" s="482" t="s">
        <v>37</v>
      </c>
      <c r="AR328" s="474"/>
      <c r="AS328" s="473"/>
      <c r="AT328" s="346"/>
      <c r="AU328" s="478"/>
      <c r="AV328" s="471">
        <f t="shared" si="58"/>
        <v>0</v>
      </c>
      <c r="AW328" s="471" cm="1">
        <f t="array" ref="AW328">SUM(MID(0&amp;AV328,LARGE(INDEX(ISNUMBER(--MID(AV328,ROW($1:$8),1))*ROW($1:$8),),ROW($1:$8))+1,1)*10^ROW($1:$8)/10)</f>
        <v>0</v>
      </c>
      <c r="AX328" s="471" t="e">
        <f>VLOOKUP($AW328,'Item Master Data'!$A:$F,3,FALSE)</f>
        <v>#N/A</v>
      </c>
      <c r="AY328" s="471" t="e">
        <f>VLOOKUP($AW328,'Item Master Data'!$A:$F,6,FALSE)</f>
        <v>#N/A</v>
      </c>
      <c r="AZ328" s="471" t="e">
        <f t="shared" si="59"/>
        <v>#N/A</v>
      </c>
      <c r="BA328" s="471" t="e">
        <f>VLOOKUP(AW328,'Item Master Data'!$A:$G,7,FALSE)</f>
        <v>#N/A</v>
      </c>
      <c r="BB328" s="471"/>
      <c r="BC328" s="471" t="e">
        <f t="shared" si="60"/>
        <v>#N/A</v>
      </c>
    </row>
    <row r="329" spans="1:55">
      <c r="A329" s="495"/>
      <c r="B329" s="407">
        <v>44627</v>
      </c>
      <c r="C329" s="407">
        <v>44627</v>
      </c>
      <c r="D329" s="485" t="s">
        <v>86</v>
      </c>
      <c r="E329" s="383" t="s">
        <v>2055</v>
      </c>
      <c r="F329" s="474"/>
      <c r="G329" s="380">
        <v>2022</v>
      </c>
      <c r="H329" s="380">
        <v>6</v>
      </c>
      <c r="I329" s="474"/>
      <c r="J329" s="475"/>
      <c r="K329" s="474" t="s">
        <v>2063</v>
      </c>
      <c r="L329" s="474" t="s">
        <v>1953</v>
      </c>
      <c r="M329" s="475">
        <v>44602</v>
      </c>
      <c r="N329" s="475">
        <v>44683</v>
      </c>
      <c r="O329" s="475"/>
      <c r="P329" s="345"/>
      <c r="Q329" s="475"/>
      <c r="R329" s="475"/>
      <c r="S329" s="474" t="s">
        <v>1704</v>
      </c>
      <c r="T329" s="474">
        <v>60</v>
      </c>
      <c r="U329" s="474"/>
      <c r="V329" s="486" t="s">
        <v>973</v>
      </c>
      <c r="W329" s="474">
        <v>400</v>
      </c>
      <c r="X329" s="432">
        <v>1536</v>
      </c>
      <c r="Y329" s="389">
        <f t="shared" si="63"/>
        <v>614400</v>
      </c>
      <c r="Z329" s="478">
        <f t="shared" si="66"/>
        <v>0.47</v>
      </c>
      <c r="AA329" s="479">
        <f t="shared" si="62"/>
        <v>288768</v>
      </c>
      <c r="AB329" s="480"/>
      <c r="AC329" s="481">
        <f t="shared" si="64"/>
        <v>0</v>
      </c>
      <c r="AD329" s="474"/>
      <c r="AE329" s="398">
        <f>AA329*0.0725</f>
        <v>20935.68</v>
      </c>
      <c r="AF329" s="493">
        <f t="shared" si="65"/>
        <v>309703.67999999999</v>
      </c>
      <c r="AG329" s="474" t="s">
        <v>47</v>
      </c>
      <c r="AH329" s="474"/>
      <c r="AI329" s="474">
        <v>60</v>
      </c>
      <c r="AJ329" s="475" t="s">
        <v>1853</v>
      </c>
      <c r="AK329" s="475" t="s">
        <v>50</v>
      </c>
      <c r="AL329" s="483" t="s">
        <v>1854</v>
      </c>
      <c r="AM329" s="474" t="s">
        <v>52</v>
      </c>
      <c r="AN329" s="384"/>
      <c r="AO329" s="474" t="s">
        <v>1076</v>
      </c>
      <c r="AP329" s="474"/>
      <c r="AQ329" s="482" t="s">
        <v>37</v>
      </c>
      <c r="AR329" s="474"/>
      <c r="AS329" s="473"/>
      <c r="AT329" s="346"/>
      <c r="AU329" s="478"/>
      <c r="AV329" s="471">
        <f t="shared" si="58"/>
        <v>0</v>
      </c>
      <c r="AW329" s="471" cm="1">
        <f t="array" ref="AW329">SUM(MID(0&amp;AV329,LARGE(INDEX(ISNUMBER(--MID(AV329,ROW($1:$8),1))*ROW($1:$8),),ROW($1:$8))+1,1)*10^ROW($1:$8)/10)</f>
        <v>0</v>
      </c>
      <c r="AX329" s="471" t="e">
        <f>VLOOKUP($AW329,'Item Master Data'!$A:$F,3,FALSE)</f>
        <v>#N/A</v>
      </c>
      <c r="AY329" s="471" t="e">
        <f>VLOOKUP($AW329,'Item Master Data'!$A:$F,6,FALSE)</f>
        <v>#N/A</v>
      </c>
      <c r="AZ329" s="471" t="e">
        <f t="shared" si="59"/>
        <v>#N/A</v>
      </c>
      <c r="BA329" s="471" t="e">
        <f>VLOOKUP(AW329,'Item Master Data'!$A:$G,7,FALSE)</f>
        <v>#N/A</v>
      </c>
      <c r="BB329" s="471"/>
      <c r="BC329" s="471" t="e">
        <f t="shared" si="60"/>
        <v>#N/A</v>
      </c>
    </row>
    <row r="330" spans="1:55">
      <c r="A330" s="495"/>
      <c r="B330" s="407">
        <v>44627</v>
      </c>
      <c r="C330" s="407">
        <v>44627</v>
      </c>
      <c r="D330" s="485" t="s">
        <v>86</v>
      </c>
      <c r="E330" s="383" t="s">
        <v>2055</v>
      </c>
      <c r="F330" s="474"/>
      <c r="G330" s="380">
        <v>2022</v>
      </c>
      <c r="H330" s="380">
        <v>6</v>
      </c>
      <c r="I330" s="474"/>
      <c r="J330" s="475"/>
      <c r="K330" s="474" t="s">
        <v>2064</v>
      </c>
      <c r="L330" s="474" t="s">
        <v>1953</v>
      </c>
      <c r="M330" s="475">
        <v>44602</v>
      </c>
      <c r="N330" s="475">
        <v>44683</v>
      </c>
      <c r="O330" s="475"/>
      <c r="P330" s="345"/>
      <c r="Q330" s="475"/>
      <c r="R330" s="475"/>
      <c r="S330" s="474" t="s">
        <v>1704</v>
      </c>
      <c r="T330" s="474">
        <v>60</v>
      </c>
      <c r="U330" s="474"/>
      <c r="V330" s="486" t="s">
        <v>973</v>
      </c>
      <c r="W330" s="474">
        <v>400</v>
      </c>
      <c r="X330" s="432">
        <v>1536</v>
      </c>
      <c r="Y330" s="389">
        <f t="shared" si="63"/>
        <v>614400</v>
      </c>
      <c r="Z330" s="478">
        <f t="shared" si="66"/>
        <v>0.47</v>
      </c>
      <c r="AA330" s="479">
        <f t="shared" si="62"/>
        <v>288768</v>
      </c>
      <c r="AB330" s="480"/>
      <c r="AC330" s="481">
        <f t="shared" si="64"/>
        <v>0</v>
      </c>
      <c r="AD330" s="474"/>
      <c r="AE330" s="398">
        <f>AA330*0.1025</f>
        <v>29598.719999999998</v>
      </c>
      <c r="AF330" s="493">
        <f t="shared" si="65"/>
        <v>318366.71999999997</v>
      </c>
      <c r="AG330" s="474" t="s">
        <v>47</v>
      </c>
      <c r="AH330" s="474"/>
      <c r="AI330" s="474">
        <v>60</v>
      </c>
      <c r="AJ330" s="475" t="s">
        <v>1981</v>
      </c>
      <c r="AK330" s="475" t="s">
        <v>50</v>
      </c>
      <c r="AL330" s="483" t="s">
        <v>2062</v>
      </c>
      <c r="AM330" s="474" t="s">
        <v>52</v>
      </c>
      <c r="AN330" s="384"/>
      <c r="AO330" s="474" t="s">
        <v>1076</v>
      </c>
      <c r="AP330" s="474"/>
      <c r="AQ330" s="482" t="s">
        <v>37</v>
      </c>
      <c r="AR330" s="474"/>
      <c r="AS330" s="473"/>
      <c r="AT330" s="346"/>
      <c r="AU330" s="478"/>
      <c r="AV330" s="471">
        <f t="shared" si="58"/>
        <v>0</v>
      </c>
      <c r="AW330" s="471" cm="1">
        <f t="array" ref="AW330">SUM(MID(0&amp;AV330,LARGE(INDEX(ISNUMBER(--MID(AV330,ROW($1:$8),1))*ROW($1:$8),),ROW($1:$8))+1,1)*10^ROW($1:$8)/10)</f>
        <v>0</v>
      </c>
      <c r="AX330" s="471" t="e">
        <f>VLOOKUP($AW330,'Item Master Data'!$A:$F,3,FALSE)</f>
        <v>#N/A</v>
      </c>
      <c r="AY330" s="471" t="e">
        <f>VLOOKUP($AW330,'Item Master Data'!$A:$F,6,FALSE)</f>
        <v>#N/A</v>
      </c>
      <c r="AZ330" s="471" t="e">
        <f t="shared" si="59"/>
        <v>#N/A</v>
      </c>
      <c r="BA330" s="471" t="e">
        <f>VLOOKUP(AW330,'Item Master Data'!$A:$G,7,FALSE)</f>
        <v>#N/A</v>
      </c>
      <c r="BB330" s="471"/>
      <c r="BC330" s="471" t="e">
        <f t="shared" si="60"/>
        <v>#N/A</v>
      </c>
    </row>
    <row r="331" spans="1:55">
      <c r="A331" s="495"/>
      <c r="B331" s="407">
        <v>44627</v>
      </c>
      <c r="C331" s="407">
        <v>44627</v>
      </c>
      <c r="D331" s="485" t="s">
        <v>86</v>
      </c>
      <c r="E331" s="383" t="s">
        <v>2055</v>
      </c>
      <c r="F331" s="474"/>
      <c r="G331" s="380">
        <v>2022</v>
      </c>
      <c r="H331" s="380">
        <v>6</v>
      </c>
      <c r="I331" s="474"/>
      <c r="J331" s="475"/>
      <c r="K331" s="474" t="s">
        <v>2068</v>
      </c>
      <c r="L331" s="474" t="s">
        <v>1953</v>
      </c>
      <c r="M331" s="475">
        <v>44602</v>
      </c>
      <c r="N331" s="475">
        <v>44683</v>
      </c>
      <c r="O331" s="475"/>
      <c r="P331" s="345"/>
      <c r="Q331" s="475"/>
      <c r="R331" s="475"/>
      <c r="S331" s="474" t="s">
        <v>1704</v>
      </c>
      <c r="T331" s="474">
        <v>60</v>
      </c>
      <c r="U331" s="474"/>
      <c r="V331" s="486" t="s">
        <v>973</v>
      </c>
      <c r="W331" s="474">
        <v>400</v>
      </c>
      <c r="X331" s="432">
        <v>768</v>
      </c>
      <c r="Y331" s="389">
        <f t="shared" si="63"/>
        <v>307200</v>
      </c>
      <c r="Z331" s="478">
        <f t="shared" si="66"/>
        <v>0.47</v>
      </c>
      <c r="AA331" s="479">
        <f t="shared" si="62"/>
        <v>144384</v>
      </c>
      <c r="AB331" s="480"/>
      <c r="AC331" s="481">
        <f t="shared" si="64"/>
        <v>0</v>
      </c>
      <c r="AD331" s="474"/>
      <c r="AE331" s="398">
        <f>AA331*0.0825</f>
        <v>11911.68</v>
      </c>
      <c r="AF331" s="493">
        <f t="shared" si="65"/>
        <v>156295.67999999999</v>
      </c>
      <c r="AG331" s="474" t="s">
        <v>47</v>
      </c>
      <c r="AH331" s="474"/>
      <c r="AI331" s="474">
        <v>60</v>
      </c>
      <c r="AJ331" s="475" t="s">
        <v>2066</v>
      </c>
      <c r="AK331" s="475" t="s">
        <v>1144</v>
      </c>
      <c r="AL331" s="483" t="s">
        <v>2067</v>
      </c>
      <c r="AM331" s="474" t="s">
        <v>52</v>
      </c>
      <c r="AN331" s="384"/>
      <c r="AO331" s="474" t="s">
        <v>1076</v>
      </c>
      <c r="AP331" s="474"/>
      <c r="AQ331" s="482" t="s">
        <v>37</v>
      </c>
      <c r="AR331" s="474"/>
      <c r="AS331" s="473"/>
      <c r="AT331" s="346"/>
      <c r="AU331" s="478"/>
      <c r="AV331" s="471">
        <f t="shared" si="58"/>
        <v>0</v>
      </c>
      <c r="AW331" s="471" cm="1">
        <f t="array" ref="AW331">SUM(MID(0&amp;AV331,LARGE(INDEX(ISNUMBER(--MID(AV331,ROW($1:$8),1))*ROW($1:$8),),ROW($1:$8))+1,1)*10^ROW($1:$8)/10)</f>
        <v>0</v>
      </c>
      <c r="AX331" s="471" t="e">
        <f>VLOOKUP($AW331,'Item Master Data'!$A:$F,3,FALSE)</f>
        <v>#N/A</v>
      </c>
      <c r="AY331" s="471" t="e">
        <f>VLOOKUP($AW331,'Item Master Data'!$A:$F,6,FALSE)</f>
        <v>#N/A</v>
      </c>
      <c r="AZ331" s="471" t="e">
        <f t="shared" si="59"/>
        <v>#N/A</v>
      </c>
      <c r="BA331" s="471" t="e">
        <f>VLOOKUP(AW331,'Item Master Data'!$A:$G,7,FALSE)</f>
        <v>#N/A</v>
      </c>
      <c r="BB331" s="471"/>
      <c r="BC331" s="471" t="e">
        <f t="shared" si="60"/>
        <v>#N/A</v>
      </c>
    </row>
    <row r="332" spans="1:55">
      <c r="A332" s="495"/>
      <c r="B332" s="407">
        <v>44627</v>
      </c>
      <c r="C332" s="407">
        <v>44627</v>
      </c>
      <c r="D332" s="485" t="s">
        <v>86</v>
      </c>
      <c r="E332" s="383" t="s">
        <v>1982</v>
      </c>
      <c r="F332" s="474"/>
      <c r="G332" s="380">
        <v>2022</v>
      </c>
      <c r="H332" s="380">
        <v>6</v>
      </c>
      <c r="I332" s="474"/>
      <c r="J332" s="475"/>
      <c r="K332" s="474" t="s">
        <v>2103</v>
      </c>
      <c r="L332" s="474" t="s">
        <v>1953</v>
      </c>
      <c r="M332" s="475">
        <v>44602</v>
      </c>
      <c r="N332" s="475">
        <v>44655</v>
      </c>
      <c r="O332" s="475"/>
      <c r="P332" s="345"/>
      <c r="Q332" s="475"/>
      <c r="R332" s="475"/>
      <c r="S332" s="474" t="s">
        <v>1704</v>
      </c>
      <c r="T332" s="474">
        <v>60</v>
      </c>
      <c r="U332" s="474"/>
      <c r="V332" s="486" t="s">
        <v>973</v>
      </c>
      <c r="W332" s="474">
        <v>400</v>
      </c>
      <c r="X332" s="432">
        <v>1536</v>
      </c>
      <c r="Y332" s="389">
        <f t="shared" si="63"/>
        <v>614400</v>
      </c>
      <c r="Z332" s="478">
        <f t="shared" si="66"/>
        <v>0.47</v>
      </c>
      <c r="AA332" s="479">
        <f t="shared" si="62"/>
        <v>288768</v>
      </c>
      <c r="AB332" s="480"/>
      <c r="AC332" s="481">
        <f t="shared" si="64"/>
        <v>0</v>
      </c>
      <c r="AD332" s="474"/>
      <c r="AE332" s="398">
        <f>AA332*0.0825</f>
        <v>23823.360000000001</v>
      </c>
      <c r="AF332" s="493">
        <f t="shared" si="65"/>
        <v>312591.35999999999</v>
      </c>
      <c r="AG332" s="474" t="s">
        <v>47</v>
      </c>
      <c r="AH332" s="474"/>
      <c r="AI332" s="474">
        <v>60</v>
      </c>
      <c r="AJ332" s="475" t="s">
        <v>2066</v>
      </c>
      <c r="AK332" s="475" t="s">
        <v>1144</v>
      </c>
      <c r="AL332" s="483" t="s">
        <v>2067</v>
      </c>
      <c r="AM332" s="474" t="s">
        <v>52</v>
      </c>
      <c r="AN332" s="384"/>
      <c r="AO332" s="474" t="s">
        <v>1076</v>
      </c>
      <c r="AP332" s="474"/>
      <c r="AQ332" s="482" t="s">
        <v>37</v>
      </c>
      <c r="AR332" s="474"/>
      <c r="AS332" s="473"/>
      <c r="AT332" s="346"/>
      <c r="AU332" s="478"/>
      <c r="AV332" s="471">
        <f t="shared" si="58"/>
        <v>0</v>
      </c>
      <c r="AW332" s="471" cm="1">
        <f t="array" ref="AW332">SUM(MID(0&amp;AV332,LARGE(INDEX(ISNUMBER(--MID(AV332,ROW($1:$8),1))*ROW($1:$8),),ROW($1:$8))+1,1)*10^ROW($1:$8)/10)</f>
        <v>0</v>
      </c>
      <c r="AX332" s="471" t="e">
        <f>VLOOKUP($AW332,'Item Master Data'!$A:$F,3,FALSE)</f>
        <v>#N/A</v>
      </c>
      <c r="AY332" s="471" t="e">
        <f>VLOOKUP($AW332,'Item Master Data'!$A:$F,6,FALSE)</f>
        <v>#N/A</v>
      </c>
      <c r="AZ332" s="471" t="e">
        <f t="shared" si="59"/>
        <v>#N/A</v>
      </c>
      <c r="BA332" s="471" t="e">
        <f>VLOOKUP(AW332,'Item Master Data'!$A:$G,7,FALSE)</f>
        <v>#N/A</v>
      </c>
      <c r="BB332" s="471"/>
      <c r="BC332" s="471" t="e">
        <f t="shared" si="60"/>
        <v>#N/A</v>
      </c>
    </row>
    <row r="333" spans="1:55">
      <c r="A333" s="495"/>
      <c r="B333" s="407">
        <v>44627</v>
      </c>
      <c r="C333" s="407">
        <v>44627</v>
      </c>
      <c r="D333" s="485" t="s">
        <v>86</v>
      </c>
      <c r="E333" s="383" t="s">
        <v>2055</v>
      </c>
      <c r="F333" s="474"/>
      <c r="G333" s="380">
        <v>2022</v>
      </c>
      <c r="H333" s="380">
        <v>6</v>
      </c>
      <c r="I333" s="474"/>
      <c r="J333" s="475"/>
      <c r="K333" s="474" t="s">
        <v>2119</v>
      </c>
      <c r="L333" s="474" t="s">
        <v>1953</v>
      </c>
      <c r="M333" s="475">
        <v>44602</v>
      </c>
      <c r="N333" s="475">
        <v>44683</v>
      </c>
      <c r="O333" s="475"/>
      <c r="P333" s="345"/>
      <c r="Q333" s="475"/>
      <c r="R333" s="475"/>
      <c r="S333" s="474" t="s">
        <v>1704</v>
      </c>
      <c r="T333" s="474">
        <v>60</v>
      </c>
      <c r="U333" s="474"/>
      <c r="V333" s="486" t="s">
        <v>973</v>
      </c>
      <c r="W333" s="474">
        <v>400</v>
      </c>
      <c r="X333" s="432">
        <v>1536</v>
      </c>
      <c r="Y333" s="389">
        <f t="shared" si="63"/>
        <v>614400</v>
      </c>
      <c r="Z333" s="478">
        <f t="shared" si="66"/>
        <v>0.47</v>
      </c>
      <c r="AA333" s="479">
        <f t="shared" si="62"/>
        <v>288768</v>
      </c>
      <c r="AB333" s="480"/>
      <c r="AC333" s="481">
        <f t="shared" si="64"/>
        <v>0</v>
      </c>
      <c r="AD333" s="474"/>
      <c r="AE333" s="398">
        <f>AA333*0.0825</f>
        <v>23823.360000000001</v>
      </c>
      <c r="AF333" s="493">
        <f t="shared" si="65"/>
        <v>312591.35999999999</v>
      </c>
      <c r="AG333" s="474" t="s">
        <v>47</v>
      </c>
      <c r="AH333" s="474"/>
      <c r="AI333" s="474">
        <v>60</v>
      </c>
      <c r="AJ333" s="475" t="s">
        <v>1384</v>
      </c>
      <c r="AK333" s="475" t="s">
        <v>1144</v>
      </c>
      <c r="AL333" s="483" t="s">
        <v>2120</v>
      </c>
      <c r="AM333" s="474" t="s">
        <v>52</v>
      </c>
      <c r="AN333" s="384"/>
      <c r="AO333" s="474" t="s">
        <v>1076</v>
      </c>
      <c r="AP333" s="474"/>
      <c r="AQ333" s="482" t="s">
        <v>37</v>
      </c>
      <c r="AR333" s="474"/>
      <c r="AS333" s="473"/>
      <c r="AT333" s="346"/>
      <c r="AU333" s="478"/>
      <c r="AV333" s="471">
        <f t="shared" si="58"/>
        <v>0</v>
      </c>
      <c r="AW333" s="471" cm="1">
        <f t="array" ref="AW333">SUM(MID(0&amp;AV333,LARGE(INDEX(ISNUMBER(--MID(AV333,ROW($1:$8),1))*ROW($1:$8),),ROW($1:$8))+1,1)*10^ROW($1:$8)/10)</f>
        <v>0</v>
      </c>
      <c r="AX333" s="471" t="e">
        <f>VLOOKUP($AW333,'Item Master Data'!$A:$F,3,FALSE)</f>
        <v>#N/A</v>
      </c>
      <c r="AY333" s="471" t="e">
        <f>VLOOKUP($AW333,'Item Master Data'!$A:$F,6,FALSE)</f>
        <v>#N/A</v>
      </c>
      <c r="AZ333" s="471" t="e">
        <f t="shared" si="59"/>
        <v>#N/A</v>
      </c>
      <c r="BA333" s="471" t="e">
        <f>VLOOKUP(AW333,'Item Master Data'!$A:$G,7,FALSE)</f>
        <v>#N/A</v>
      </c>
      <c r="BB333" s="471"/>
      <c r="BC333" s="471" t="e">
        <f t="shared" si="60"/>
        <v>#N/A</v>
      </c>
    </row>
    <row r="334" spans="1:55">
      <c r="A334" s="495"/>
      <c r="B334" s="407">
        <v>44627</v>
      </c>
      <c r="C334" s="407">
        <v>44627</v>
      </c>
      <c r="D334" s="485" t="s">
        <v>86</v>
      </c>
      <c r="E334" s="383" t="s">
        <v>2055</v>
      </c>
      <c r="F334" s="474"/>
      <c r="G334" s="380">
        <v>2022</v>
      </c>
      <c r="H334" s="380">
        <v>6</v>
      </c>
      <c r="I334" s="474"/>
      <c r="J334" s="475"/>
      <c r="K334" s="474" t="s">
        <v>2070</v>
      </c>
      <c r="L334" s="474" t="s">
        <v>1953</v>
      </c>
      <c r="M334" s="475">
        <v>44602</v>
      </c>
      <c r="N334" s="475">
        <v>44683</v>
      </c>
      <c r="O334" s="475"/>
      <c r="P334" s="345"/>
      <c r="Q334" s="475"/>
      <c r="R334" s="475"/>
      <c r="S334" s="474" t="s">
        <v>1704</v>
      </c>
      <c r="T334" s="474">
        <v>60</v>
      </c>
      <c r="U334" s="474"/>
      <c r="V334" s="486" t="s">
        <v>973</v>
      </c>
      <c r="W334" s="474">
        <v>400</v>
      </c>
      <c r="X334" s="432">
        <v>1536</v>
      </c>
      <c r="Y334" s="389">
        <f t="shared" si="63"/>
        <v>614400</v>
      </c>
      <c r="Z334" s="478">
        <f t="shared" si="66"/>
        <v>0.47</v>
      </c>
      <c r="AA334" s="479">
        <f t="shared" si="62"/>
        <v>288768</v>
      </c>
      <c r="AB334" s="480"/>
      <c r="AC334" s="481">
        <f t="shared" si="64"/>
        <v>0</v>
      </c>
      <c r="AD334" s="474"/>
      <c r="AE334" s="398">
        <f>AA334*0.0825</f>
        <v>23823.360000000001</v>
      </c>
      <c r="AF334" s="493">
        <f t="shared" si="65"/>
        <v>312591.35999999999</v>
      </c>
      <c r="AG334" s="474" t="s">
        <v>47</v>
      </c>
      <c r="AH334" s="474"/>
      <c r="AI334" s="474">
        <v>60</v>
      </c>
      <c r="AJ334" s="475" t="s">
        <v>2053</v>
      </c>
      <c r="AK334" s="475" t="s">
        <v>1144</v>
      </c>
      <c r="AL334" s="483" t="s">
        <v>2054</v>
      </c>
      <c r="AM334" s="474" t="s">
        <v>52</v>
      </c>
      <c r="AN334" s="384"/>
      <c r="AO334" s="474" t="s">
        <v>1076</v>
      </c>
      <c r="AP334" s="474"/>
      <c r="AQ334" s="482" t="s">
        <v>37</v>
      </c>
      <c r="AR334" s="474"/>
      <c r="AS334" s="473"/>
      <c r="AT334" s="346"/>
      <c r="AU334" s="478"/>
      <c r="AV334" s="471">
        <f t="shared" si="58"/>
        <v>0</v>
      </c>
      <c r="AW334" s="471" cm="1">
        <f t="array" ref="AW334">SUM(MID(0&amp;AV334,LARGE(INDEX(ISNUMBER(--MID(AV334,ROW($1:$8),1))*ROW($1:$8),),ROW($1:$8))+1,1)*10^ROW($1:$8)/10)</f>
        <v>0</v>
      </c>
      <c r="AX334" s="471" t="e">
        <f>VLOOKUP($AW334,'Item Master Data'!$A:$F,3,FALSE)</f>
        <v>#N/A</v>
      </c>
      <c r="AY334" s="471" t="e">
        <f>VLOOKUP($AW334,'Item Master Data'!$A:$F,6,FALSE)</f>
        <v>#N/A</v>
      </c>
      <c r="AZ334" s="471" t="e">
        <f t="shared" si="59"/>
        <v>#N/A</v>
      </c>
      <c r="BA334" s="471" t="e">
        <f>VLOOKUP(AW334,'Item Master Data'!$A:$G,7,FALSE)</f>
        <v>#N/A</v>
      </c>
      <c r="BB334" s="471"/>
      <c r="BC334" s="471" t="e">
        <f t="shared" si="60"/>
        <v>#N/A</v>
      </c>
    </row>
    <row r="335" spans="1:55">
      <c r="A335" s="495"/>
      <c r="B335" s="407"/>
      <c r="C335" s="407"/>
      <c r="D335" s="485" t="s">
        <v>86</v>
      </c>
      <c r="E335" s="474"/>
      <c r="F335" s="486"/>
      <c r="G335" s="380">
        <v>2022</v>
      </c>
      <c r="H335" s="380">
        <v>6</v>
      </c>
      <c r="I335" s="474"/>
      <c r="J335" s="475"/>
      <c r="K335" s="474" t="s">
        <v>2129</v>
      </c>
      <c r="L335" s="474" t="s">
        <v>2079</v>
      </c>
      <c r="M335" s="475">
        <v>44575</v>
      </c>
      <c r="N335" s="475">
        <v>44725</v>
      </c>
      <c r="O335" s="475"/>
      <c r="P335" s="475"/>
      <c r="Q335" s="475"/>
      <c r="R335" s="475"/>
      <c r="S335" s="474" t="s">
        <v>88</v>
      </c>
      <c r="T335" s="474">
        <v>72</v>
      </c>
      <c r="U335" s="486">
        <v>49303156</v>
      </c>
      <c r="V335" s="474" t="s">
        <v>995</v>
      </c>
      <c r="W335" s="474">
        <v>480</v>
      </c>
      <c r="X335" s="432">
        <v>1914</v>
      </c>
      <c r="Y335" s="389">
        <f t="shared" si="63"/>
        <v>918720</v>
      </c>
      <c r="Z335" s="478">
        <f>228/480</f>
        <v>0.47499999999999998</v>
      </c>
      <c r="AA335" s="480">
        <f t="shared" si="62"/>
        <v>436392</v>
      </c>
      <c r="AB335" s="480"/>
      <c r="AC335" s="481">
        <f t="shared" si="64"/>
        <v>0</v>
      </c>
      <c r="AD335" s="474"/>
      <c r="AE335" s="474"/>
      <c r="AF335" s="493">
        <f t="shared" si="65"/>
        <v>436392</v>
      </c>
      <c r="AG335" s="474" t="s">
        <v>1071</v>
      </c>
      <c r="AH335" s="474"/>
      <c r="AI335" s="474">
        <v>60</v>
      </c>
      <c r="AJ335" s="475" t="s">
        <v>2075</v>
      </c>
      <c r="AK335" s="475" t="s">
        <v>50</v>
      </c>
      <c r="AL335" s="483">
        <v>92056</v>
      </c>
      <c r="AM335" s="474" t="s">
        <v>52</v>
      </c>
      <c r="AN335" s="384" t="s">
        <v>1695</v>
      </c>
      <c r="AO335" s="474" t="s">
        <v>1076</v>
      </c>
      <c r="AP335" s="482"/>
      <c r="AQ335" s="474" t="s">
        <v>37</v>
      </c>
      <c r="AR335" s="474"/>
      <c r="AS335" s="473" t="s">
        <v>1152</v>
      </c>
      <c r="AT335" s="346" t="s">
        <v>1076</v>
      </c>
      <c r="AU335" s="478"/>
      <c r="AV335" s="471">
        <f t="shared" si="58"/>
        <v>49303156</v>
      </c>
      <c r="AW335" s="471" cm="1">
        <f t="array" ref="AW335">SUM(MID(0&amp;AV335,LARGE(INDEX(ISNUMBER(--MID(AV335,ROW($1:$8),1))*ROW($1:$8),),ROW($1:$8))+1,1)*10^ROW($1:$8)/10)</f>
        <v>49303156</v>
      </c>
      <c r="AX335" s="471" t="str">
        <f>VLOOKUP($AW335,'Item Master Data'!$A:$F,3,FALSE)</f>
        <v>Q.PEAK DUO XL G10 BFG</v>
      </c>
      <c r="AY335" s="471">
        <f>VLOOKUP($AW335,'Item Master Data'!$A:$F,6,FALSE)</f>
        <v>480</v>
      </c>
      <c r="AZ335" s="471">
        <f t="shared" si="59"/>
        <v>66</v>
      </c>
      <c r="BA335" s="471">
        <f>VLOOKUP(AW335,'Item Master Data'!$A:$G,7,FALSE)</f>
        <v>29</v>
      </c>
      <c r="BB335" s="471"/>
      <c r="BC335" s="471">
        <f t="shared" si="60"/>
        <v>0</v>
      </c>
    </row>
    <row r="336" spans="1:55">
      <c r="A336" s="495"/>
      <c r="B336" s="495"/>
      <c r="C336" s="407">
        <v>44634</v>
      </c>
      <c r="D336" s="485" t="s">
        <v>86</v>
      </c>
      <c r="E336" s="383" t="s">
        <v>2126</v>
      </c>
      <c r="F336" s="474"/>
      <c r="G336" s="380">
        <v>2022</v>
      </c>
      <c r="H336" s="380">
        <v>6</v>
      </c>
      <c r="I336" s="474"/>
      <c r="J336" s="475"/>
      <c r="K336" s="474" t="s">
        <v>2244</v>
      </c>
      <c r="L336" s="474" t="s">
        <v>2079</v>
      </c>
      <c r="M336" s="475">
        <v>44593</v>
      </c>
      <c r="N336" s="475">
        <v>44713</v>
      </c>
      <c r="O336" s="475"/>
      <c r="P336" s="345" t="s">
        <v>5622</v>
      </c>
      <c r="Q336" s="475"/>
      <c r="R336" s="475"/>
      <c r="S336" s="474" t="s">
        <v>88</v>
      </c>
      <c r="T336" s="474">
        <v>60</v>
      </c>
      <c r="U336" s="474"/>
      <c r="V336" s="486" t="s">
        <v>973</v>
      </c>
      <c r="W336" s="474">
        <v>400</v>
      </c>
      <c r="X336" s="432">
        <v>2304</v>
      </c>
      <c r="Y336" s="389">
        <f t="shared" si="63"/>
        <v>921600</v>
      </c>
      <c r="Z336" s="478">
        <f>210/400</f>
        <v>0.52500000000000002</v>
      </c>
      <c r="AA336" s="479">
        <f t="shared" si="62"/>
        <v>483840</v>
      </c>
      <c r="AB336" s="480"/>
      <c r="AC336" s="481">
        <f t="shared" si="64"/>
        <v>0</v>
      </c>
      <c r="AD336" s="474"/>
      <c r="AE336" s="474"/>
      <c r="AF336" s="493">
        <f t="shared" si="65"/>
        <v>483840</v>
      </c>
      <c r="AG336" s="474" t="s">
        <v>1071</v>
      </c>
      <c r="AH336" s="474"/>
      <c r="AI336" s="474">
        <v>60</v>
      </c>
      <c r="AJ336" s="475" t="s">
        <v>2075</v>
      </c>
      <c r="AK336" s="475" t="s">
        <v>50</v>
      </c>
      <c r="AL336" s="483" t="s">
        <v>2128</v>
      </c>
      <c r="AM336" s="474" t="s">
        <v>52</v>
      </c>
      <c r="AN336" s="384"/>
      <c r="AO336" s="474" t="s">
        <v>1076</v>
      </c>
      <c r="AP336" s="474"/>
      <c r="AQ336" s="482" t="s">
        <v>37</v>
      </c>
      <c r="AR336" s="474" t="s">
        <v>2126</v>
      </c>
      <c r="AS336" s="473"/>
      <c r="AT336" s="346"/>
      <c r="AU336" s="478"/>
      <c r="AV336" s="471">
        <f t="shared" si="58"/>
        <v>0</v>
      </c>
      <c r="AW336" s="471" cm="1">
        <f t="array" ref="AW336">SUM(MID(0&amp;AV336,LARGE(INDEX(ISNUMBER(--MID(AV336,ROW($1:$8),1))*ROW($1:$8),),ROW($1:$8))+1,1)*10^ROW($1:$8)/10)</f>
        <v>0</v>
      </c>
      <c r="AX336" s="471" t="e">
        <f>VLOOKUP($AW336,'Item Master Data'!$A:$F,3,FALSE)</f>
        <v>#N/A</v>
      </c>
      <c r="AY336" s="471" t="e">
        <f>VLOOKUP($AW336,'Item Master Data'!$A:$F,6,FALSE)</f>
        <v>#N/A</v>
      </c>
      <c r="AZ336" s="471" t="e">
        <f t="shared" si="59"/>
        <v>#N/A</v>
      </c>
      <c r="BA336" s="471" t="e">
        <f>VLOOKUP(AW336,'Item Master Data'!$A:$G,7,FALSE)</f>
        <v>#N/A</v>
      </c>
      <c r="BB336" s="471"/>
      <c r="BC336" s="471" t="e">
        <f t="shared" si="60"/>
        <v>#N/A</v>
      </c>
    </row>
    <row r="337" spans="1:55">
      <c r="A337" s="495">
        <v>15</v>
      </c>
      <c r="B337" s="407">
        <v>44676</v>
      </c>
      <c r="C337" s="407">
        <v>44676</v>
      </c>
      <c r="D337" s="485" t="s">
        <v>86</v>
      </c>
      <c r="E337" s="474"/>
      <c r="F337" s="486"/>
      <c r="G337" s="380">
        <v>2022</v>
      </c>
      <c r="H337" s="380">
        <v>6</v>
      </c>
      <c r="I337" s="474"/>
      <c r="J337" s="475"/>
      <c r="K337" s="474" t="s">
        <v>2080</v>
      </c>
      <c r="L337" s="474" t="s">
        <v>2074</v>
      </c>
      <c r="M337" s="475">
        <v>44490</v>
      </c>
      <c r="N337" s="475">
        <v>44651</v>
      </c>
      <c r="O337" s="475">
        <v>44679</v>
      </c>
      <c r="P337" s="475"/>
      <c r="Q337" s="475"/>
      <c r="R337" s="475"/>
      <c r="S337" s="474" t="s">
        <v>88</v>
      </c>
      <c r="T337" s="474">
        <v>60</v>
      </c>
      <c r="U337" s="486"/>
      <c r="V337" s="474" t="s">
        <v>986</v>
      </c>
      <c r="W337" s="474">
        <v>360</v>
      </c>
      <c r="X337" s="432">
        <v>3072</v>
      </c>
      <c r="Y337" s="389">
        <f t="shared" si="63"/>
        <v>1105920</v>
      </c>
      <c r="Z337" s="348">
        <f>192.6/360</f>
        <v>0.53500000000000003</v>
      </c>
      <c r="AA337" s="480">
        <f t="shared" si="62"/>
        <v>591667.20000000007</v>
      </c>
      <c r="AB337" s="480"/>
      <c r="AC337" s="481">
        <v>0</v>
      </c>
      <c r="AD337" s="474"/>
      <c r="AE337" s="474"/>
      <c r="AF337" s="493">
        <v>566261.76000000013</v>
      </c>
      <c r="AG337" s="474" t="s">
        <v>1071</v>
      </c>
      <c r="AH337" s="474"/>
      <c r="AI337" s="474">
        <v>60</v>
      </c>
      <c r="AJ337" s="475" t="s">
        <v>2075</v>
      </c>
      <c r="AK337" s="475" t="s">
        <v>50</v>
      </c>
      <c r="AL337" s="483">
        <v>92056</v>
      </c>
      <c r="AM337" s="474" t="s">
        <v>52</v>
      </c>
      <c r="AN337" s="384" t="s">
        <v>50</v>
      </c>
      <c r="AO337" s="474" t="s">
        <v>1076</v>
      </c>
      <c r="AP337" s="482" t="s">
        <v>38</v>
      </c>
      <c r="AQ337" s="474" t="s">
        <v>37</v>
      </c>
      <c r="AR337" s="474"/>
      <c r="AS337" s="473" t="s">
        <v>1152</v>
      </c>
      <c r="AT337" s="346" t="s">
        <v>1076</v>
      </c>
      <c r="AU337" s="478"/>
      <c r="AV337" s="471">
        <f t="shared" si="58"/>
        <v>0</v>
      </c>
      <c r="AW337" s="471" cm="1">
        <f t="array" ref="AW337">SUM(MID(0&amp;AV337,LARGE(INDEX(ISNUMBER(--MID(AV337,ROW($1:$8),1))*ROW($1:$8),),ROW($1:$8))+1,1)*10^ROW($1:$8)/10)</f>
        <v>0</v>
      </c>
      <c r="AX337" s="471" t="e">
        <f>VLOOKUP($AW337,'Item Master Data'!$A:$F,3,FALSE)</f>
        <v>#N/A</v>
      </c>
      <c r="AY337" s="471" t="e">
        <f>VLOOKUP($AW337,'Item Master Data'!$A:$F,6,FALSE)</f>
        <v>#N/A</v>
      </c>
      <c r="AZ337" s="471" t="e">
        <f t="shared" si="59"/>
        <v>#N/A</v>
      </c>
      <c r="BA337" s="471" t="e">
        <f>VLOOKUP(AW337,'Item Master Data'!$A:$G,7,FALSE)</f>
        <v>#N/A</v>
      </c>
      <c r="BB337" s="471"/>
      <c r="BC337" s="471" t="e">
        <f t="shared" si="60"/>
        <v>#N/A</v>
      </c>
    </row>
    <row r="338" spans="1:55">
      <c r="A338" s="495">
        <v>23</v>
      </c>
      <c r="B338" s="407">
        <v>44665</v>
      </c>
      <c r="C338" s="407">
        <v>44665</v>
      </c>
      <c r="D338" s="485" t="s">
        <v>86</v>
      </c>
      <c r="E338" s="474"/>
      <c r="F338" s="486"/>
      <c r="G338" s="380">
        <v>2022</v>
      </c>
      <c r="H338" s="380">
        <v>6</v>
      </c>
      <c r="I338" s="474"/>
      <c r="J338" s="475"/>
      <c r="K338" s="474" t="s">
        <v>2242</v>
      </c>
      <c r="L338" s="474" t="s">
        <v>2074</v>
      </c>
      <c r="M338" s="475">
        <v>44561</v>
      </c>
      <c r="N338" s="475">
        <v>44683</v>
      </c>
      <c r="O338" s="475">
        <v>44714</v>
      </c>
      <c r="P338" s="475"/>
      <c r="Q338" s="475"/>
      <c r="R338" s="475"/>
      <c r="S338" s="474" t="s">
        <v>88</v>
      </c>
      <c r="T338" s="474">
        <v>60</v>
      </c>
      <c r="U338" s="486"/>
      <c r="V338" s="474" t="s">
        <v>986</v>
      </c>
      <c r="W338" s="474">
        <v>360</v>
      </c>
      <c r="X338" s="432">
        <v>3072</v>
      </c>
      <c r="Y338" s="389">
        <f t="shared" si="63"/>
        <v>1105920</v>
      </c>
      <c r="Z338" s="348">
        <f>192.6/360</f>
        <v>0.53500000000000003</v>
      </c>
      <c r="AA338" s="480">
        <f t="shared" si="62"/>
        <v>591667.20000000007</v>
      </c>
      <c r="AB338" s="480"/>
      <c r="AC338" s="481">
        <v>0</v>
      </c>
      <c r="AD338" s="474"/>
      <c r="AE338" s="474"/>
      <c r="AF338" s="493">
        <f t="shared" ref="AF338:AF362" si="67">AE338+AD338+AA338</f>
        <v>591667.20000000007</v>
      </c>
      <c r="AG338" s="474" t="s">
        <v>1071</v>
      </c>
      <c r="AH338" s="474"/>
      <c r="AI338" s="474">
        <v>60</v>
      </c>
      <c r="AJ338" s="475" t="s">
        <v>2075</v>
      </c>
      <c r="AK338" s="475" t="s">
        <v>50</v>
      </c>
      <c r="AL338" s="483">
        <v>92056</v>
      </c>
      <c r="AM338" s="474" t="s">
        <v>52</v>
      </c>
      <c r="AN338" s="384" t="s">
        <v>50</v>
      </c>
      <c r="AO338" s="474" t="s">
        <v>1076</v>
      </c>
      <c r="AP338" s="482" t="s">
        <v>38</v>
      </c>
      <c r="AQ338" s="474" t="s">
        <v>37</v>
      </c>
      <c r="AR338" s="474"/>
      <c r="AS338" s="473" t="s">
        <v>1152</v>
      </c>
      <c r="AT338" s="346" t="s">
        <v>1076</v>
      </c>
      <c r="AU338" s="478"/>
      <c r="AV338" s="471"/>
      <c r="AW338" s="471"/>
      <c r="AX338" s="471"/>
      <c r="AY338" s="471"/>
      <c r="AZ338" s="471"/>
      <c r="BA338" s="471"/>
      <c r="BB338" s="471"/>
      <c r="BC338" s="471"/>
    </row>
    <row r="339" spans="1:55">
      <c r="A339" s="495">
        <v>22</v>
      </c>
      <c r="B339" s="407">
        <v>44665</v>
      </c>
      <c r="C339" s="407">
        <v>44665</v>
      </c>
      <c r="D339" s="485" t="s">
        <v>86</v>
      </c>
      <c r="E339" s="474"/>
      <c r="F339" s="486"/>
      <c r="G339" s="380">
        <v>2022</v>
      </c>
      <c r="H339" s="380">
        <v>6</v>
      </c>
      <c r="I339" s="474"/>
      <c r="J339" s="475"/>
      <c r="K339" s="474" t="s">
        <v>2245</v>
      </c>
      <c r="L339" s="474" t="s">
        <v>2074</v>
      </c>
      <c r="M339" s="475">
        <v>44561</v>
      </c>
      <c r="N339" s="475">
        <v>44697</v>
      </c>
      <c r="O339" s="475">
        <v>44728</v>
      </c>
      <c r="P339" s="475"/>
      <c r="Q339" s="475"/>
      <c r="R339" s="475"/>
      <c r="S339" s="474" t="s">
        <v>88</v>
      </c>
      <c r="T339" s="474">
        <v>60</v>
      </c>
      <c r="U339" s="486"/>
      <c r="V339" s="474" t="s">
        <v>973</v>
      </c>
      <c r="W339" s="474">
        <v>400</v>
      </c>
      <c r="X339" s="432">
        <v>2304</v>
      </c>
      <c r="Y339" s="389">
        <f t="shared" si="63"/>
        <v>921600</v>
      </c>
      <c r="Z339" s="348">
        <v>0.55500000000000005</v>
      </c>
      <c r="AA339" s="480">
        <f t="shared" si="62"/>
        <v>511488.00000000006</v>
      </c>
      <c r="AB339" s="480"/>
      <c r="AC339" s="481">
        <v>0</v>
      </c>
      <c r="AD339" s="474"/>
      <c r="AE339" s="474"/>
      <c r="AF339" s="493">
        <f t="shared" si="67"/>
        <v>511488.00000000006</v>
      </c>
      <c r="AG339" s="474" t="s">
        <v>1071</v>
      </c>
      <c r="AH339" s="474"/>
      <c r="AI339" s="474">
        <v>60</v>
      </c>
      <c r="AJ339" s="475" t="s">
        <v>2075</v>
      </c>
      <c r="AK339" s="475" t="s">
        <v>50</v>
      </c>
      <c r="AL339" s="483">
        <v>92056</v>
      </c>
      <c r="AM339" s="474" t="s">
        <v>52</v>
      </c>
      <c r="AN339" s="384" t="s">
        <v>50</v>
      </c>
      <c r="AO339" s="474" t="s">
        <v>1076</v>
      </c>
      <c r="AP339" s="482" t="s">
        <v>38</v>
      </c>
      <c r="AQ339" s="474" t="s">
        <v>37</v>
      </c>
      <c r="AR339" s="474"/>
      <c r="AS339" s="473" t="s">
        <v>1152</v>
      </c>
      <c r="AT339" s="346" t="s">
        <v>1076</v>
      </c>
      <c r="AU339" s="478"/>
      <c r="AV339" s="471"/>
      <c r="AW339" s="471"/>
      <c r="AX339" s="471"/>
      <c r="AY339" s="471"/>
      <c r="AZ339" s="471"/>
      <c r="BA339" s="471"/>
      <c r="BB339" s="471"/>
      <c r="BC339" s="471"/>
    </row>
    <row r="340" spans="1:55">
      <c r="A340" s="495"/>
      <c r="B340" s="407">
        <v>44665</v>
      </c>
      <c r="C340" s="407">
        <v>44665</v>
      </c>
      <c r="D340" s="485" t="s">
        <v>86</v>
      </c>
      <c r="E340" s="474" t="s">
        <v>5469</v>
      </c>
      <c r="F340" s="486"/>
      <c r="G340" s="474">
        <v>2022</v>
      </c>
      <c r="H340" s="474">
        <v>6</v>
      </c>
      <c r="I340" s="474"/>
      <c r="J340" s="475"/>
      <c r="K340" s="474" t="s">
        <v>2284</v>
      </c>
      <c r="L340" s="474" t="s">
        <v>2074</v>
      </c>
      <c r="M340" s="475">
        <v>44561</v>
      </c>
      <c r="N340" s="475">
        <v>44713</v>
      </c>
      <c r="O340" s="475"/>
      <c r="P340" s="475"/>
      <c r="Q340" s="475"/>
      <c r="R340" s="475"/>
      <c r="S340" s="474" t="s">
        <v>88</v>
      </c>
      <c r="T340" s="474">
        <v>72</v>
      </c>
      <c r="U340" s="486"/>
      <c r="V340" s="474" t="s">
        <v>1104</v>
      </c>
      <c r="W340" s="474">
        <v>480</v>
      </c>
      <c r="X340" s="432">
        <v>638</v>
      </c>
      <c r="Y340" s="389">
        <f t="shared" si="63"/>
        <v>306240</v>
      </c>
      <c r="Z340" s="478">
        <f>228/480</f>
        <v>0.47499999999999998</v>
      </c>
      <c r="AA340" s="480">
        <f t="shared" si="62"/>
        <v>145464</v>
      </c>
      <c r="AB340" s="480"/>
      <c r="AC340" s="481">
        <f>AB340*Y340</f>
        <v>0</v>
      </c>
      <c r="AD340" s="474"/>
      <c r="AE340" s="474"/>
      <c r="AF340" s="493">
        <f t="shared" si="67"/>
        <v>145464</v>
      </c>
      <c r="AG340" s="474" t="s">
        <v>1071</v>
      </c>
      <c r="AH340" s="474"/>
      <c r="AI340" s="474">
        <v>60</v>
      </c>
      <c r="AJ340" s="475" t="s">
        <v>2075</v>
      </c>
      <c r="AK340" s="475" t="s">
        <v>50</v>
      </c>
      <c r="AL340" s="483">
        <v>92056</v>
      </c>
      <c r="AM340" s="474" t="s">
        <v>52</v>
      </c>
      <c r="AN340" s="384" t="s">
        <v>50</v>
      </c>
      <c r="AO340" s="474" t="s">
        <v>1076</v>
      </c>
      <c r="AP340" s="482" t="s">
        <v>38</v>
      </c>
      <c r="AQ340" s="474" t="s">
        <v>37</v>
      </c>
      <c r="AR340" s="474"/>
      <c r="AS340" s="473" t="s">
        <v>1152</v>
      </c>
      <c r="AT340" s="346" t="s">
        <v>1076</v>
      </c>
      <c r="AU340" s="478"/>
      <c r="AV340" s="471"/>
      <c r="AW340" s="471"/>
      <c r="AX340" s="471"/>
      <c r="AY340" s="471"/>
      <c r="AZ340" s="471"/>
      <c r="BA340" s="471"/>
      <c r="BB340" s="471"/>
      <c r="BC340" s="471"/>
    </row>
    <row r="341" spans="1:55">
      <c r="A341" s="495"/>
      <c r="B341" s="407"/>
      <c r="C341" s="407"/>
      <c r="D341" s="485" t="s">
        <v>86</v>
      </c>
      <c r="E341" s="474" t="s">
        <v>5469</v>
      </c>
      <c r="F341" s="486"/>
      <c r="G341" s="380">
        <v>2022</v>
      </c>
      <c r="H341" s="474">
        <v>6</v>
      </c>
      <c r="I341" s="474"/>
      <c r="J341" s="475"/>
      <c r="K341" s="474">
        <v>1200</v>
      </c>
      <c r="L341" s="474" t="s">
        <v>1754</v>
      </c>
      <c r="M341" s="475">
        <v>44585</v>
      </c>
      <c r="N341" s="475">
        <v>44713</v>
      </c>
      <c r="O341" s="475"/>
      <c r="P341" s="475"/>
      <c r="Q341" s="475"/>
      <c r="R341" s="475"/>
      <c r="S341" s="474" t="s">
        <v>1688</v>
      </c>
      <c r="T341" s="474">
        <v>72</v>
      </c>
      <c r="U341" s="486"/>
      <c r="V341" s="474" t="s">
        <v>1002</v>
      </c>
      <c r="W341" s="474">
        <v>480</v>
      </c>
      <c r="X341" s="432">
        <v>1276</v>
      </c>
      <c r="Y341" s="389">
        <f t="shared" si="63"/>
        <v>612480</v>
      </c>
      <c r="Z341" s="478">
        <f>237.6/480</f>
        <v>0.495</v>
      </c>
      <c r="AA341" s="480">
        <f t="shared" si="62"/>
        <v>303177.59999999998</v>
      </c>
      <c r="AB341" s="480"/>
      <c r="AC341" s="481">
        <f>AB341*Y341</f>
        <v>0</v>
      </c>
      <c r="AD341" s="474"/>
      <c r="AE341" s="474"/>
      <c r="AF341" s="493">
        <f t="shared" si="67"/>
        <v>303177.59999999998</v>
      </c>
      <c r="AG341" s="474" t="s">
        <v>1071</v>
      </c>
      <c r="AH341" s="474">
        <v>100</v>
      </c>
      <c r="AI341" s="474">
        <v>0</v>
      </c>
      <c r="AJ341" s="475" t="s">
        <v>1756</v>
      </c>
      <c r="AK341" s="475" t="s">
        <v>50</v>
      </c>
      <c r="AL341" s="483">
        <v>92010</v>
      </c>
      <c r="AM341" s="474" t="s">
        <v>52</v>
      </c>
      <c r="AN341" s="384"/>
      <c r="AO341" s="474" t="s">
        <v>1076</v>
      </c>
      <c r="AP341" s="482"/>
      <c r="AQ341" s="474" t="s">
        <v>37</v>
      </c>
      <c r="AR341" s="474"/>
      <c r="AS341" s="473"/>
      <c r="AT341" s="473"/>
      <c r="AU341" s="478"/>
      <c r="AV341" s="471"/>
      <c r="AW341" s="471"/>
      <c r="AX341" s="471"/>
      <c r="AY341" s="471"/>
      <c r="AZ341" s="471"/>
      <c r="BA341" s="471"/>
      <c r="BB341" s="471"/>
      <c r="BC341" s="471"/>
    </row>
    <row r="342" spans="1:55">
      <c r="A342" s="472"/>
      <c r="B342" s="472"/>
      <c r="C342" s="472"/>
      <c r="D342" s="474" t="s">
        <v>86</v>
      </c>
      <c r="E342" s="474"/>
      <c r="F342" s="474" t="s">
        <v>1376</v>
      </c>
      <c r="G342" s="380">
        <v>2022</v>
      </c>
      <c r="H342" s="474">
        <v>6</v>
      </c>
      <c r="I342" s="474" t="s">
        <v>5718</v>
      </c>
      <c r="J342" s="475"/>
      <c r="K342" s="344" t="s">
        <v>5172</v>
      </c>
      <c r="L342" s="474" t="s">
        <v>5171</v>
      </c>
      <c r="M342" s="475">
        <v>44664</v>
      </c>
      <c r="N342" s="475">
        <v>44727</v>
      </c>
      <c r="O342" s="475"/>
      <c r="P342" s="475" t="s">
        <v>5719</v>
      </c>
      <c r="Q342" s="475"/>
      <c r="R342" s="475"/>
      <c r="S342" s="474" t="s">
        <v>88</v>
      </c>
      <c r="T342" s="474">
        <v>72</v>
      </c>
      <c r="U342" s="486">
        <v>49303156</v>
      </c>
      <c r="V342" s="474" t="s">
        <v>995</v>
      </c>
      <c r="W342" s="474">
        <v>480</v>
      </c>
      <c r="X342" s="432">
        <v>14993</v>
      </c>
      <c r="Y342" s="389">
        <f t="shared" si="63"/>
        <v>7196640</v>
      </c>
      <c r="Z342" s="478">
        <f>264/480</f>
        <v>0.55000000000000004</v>
      </c>
      <c r="AA342" s="480">
        <f t="shared" si="62"/>
        <v>3958152.0000000005</v>
      </c>
      <c r="AB342" s="386"/>
      <c r="AC342" s="481">
        <f>AB342*Y342</f>
        <v>0</v>
      </c>
      <c r="AD342" s="474"/>
      <c r="AE342" s="482">
        <f>AA342*0.0775</f>
        <v>306756.78000000003</v>
      </c>
      <c r="AF342" s="493">
        <f t="shared" si="67"/>
        <v>4264908.78</v>
      </c>
      <c r="AG342" s="474" t="s">
        <v>1071</v>
      </c>
      <c r="AH342" s="447">
        <v>100</v>
      </c>
      <c r="AI342" s="474">
        <v>0</v>
      </c>
      <c r="AJ342" s="474" t="s">
        <v>1790</v>
      </c>
      <c r="AK342" s="474" t="s">
        <v>2321</v>
      </c>
      <c r="AL342" s="494">
        <v>95834</v>
      </c>
      <c r="AM342" s="474" t="s">
        <v>52</v>
      </c>
      <c r="AN342" s="474" t="s">
        <v>1695</v>
      </c>
      <c r="AO342" s="474" t="s">
        <v>1076</v>
      </c>
      <c r="AP342" s="482"/>
      <c r="AQ342" s="474" t="s">
        <v>37</v>
      </c>
      <c r="AR342" s="474"/>
      <c r="AS342" s="387" t="s">
        <v>1152</v>
      </c>
      <c r="AT342" s="387" t="s">
        <v>1076</v>
      </c>
      <c r="AU342" s="478"/>
      <c r="AV342" s="471"/>
      <c r="AW342" s="471"/>
      <c r="AX342" s="471"/>
      <c r="AY342" s="471"/>
      <c r="AZ342" s="471"/>
      <c r="BA342" s="471"/>
      <c r="BB342" s="471"/>
      <c r="BC342" s="471"/>
    </row>
    <row r="343" spans="1:55">
      <c r="A343" s="495"/>
      <c r="B343" s="495"/>
      <c r="C343" s="495"/>
      <c r="D343" s="474" t="s">
        <v>86</v>
      </c>
      <c r="E343" s="474"/>
      <c r="F343" s="474"/>
      <c r="G343" s="380">
        <v>2022</v>
      </c>
      <c r="H343" s="474">
        <v>7</v>
      </c>
      <c r="I343" s="474"/>
      <c r="J343" s="475"/>
      <c r="K343" s="474" t="s">
        <v>1738</v>
      </c>
      <c r="L343" s="474" t="s">
        <v>1693</v>
      </c>
      <c r="M343" s="475">
        <v>44595</v>
      </c>
      <c r="N343" s="475">
        <v>44718</v>
      </c>
      <c r="O343" s="475">
        <v>44748</v>
      </c>
      <c r="P343" s="475"/>
      <c r="Q343" s="475"/>
      <c r="R343" s="475"/>
      <c r="S343" s="474" t="s">
        <v>88</v>
      </c>
      <c r="T343" s="474">
        <v>60</v>
      </c>
      <c r="U343" s="474"/>
      <c r="V343" s="474" t="s">
        <v>1223</v>
      </c>
      <c r="W343" s="474">
        <v>360</v>
      </c>
      <c r="X343" s="432">
        <v>832</v>
      </c>
      <c r="Y343" s="389">
        <f t="shared" si="63"/>
        <v>299520</v>
      </c>
      <c r="Z343" s="478">
        <f>298.8/360</f>
        <v>0.83000000000000007</v>
      </c>
      <c r="AA343" s="479">
        <f t="shared" si="62"/>
        <v>248601.60000000003</v>
      </c>
      <c r="AB343" s="480"/>
      <c r="AC343" s="481">
        <v>0</v>
      </c>
      <c r="AD343" s="490"/>
      <c r="AE343" s="482"/>
      <c r="AF343" s="493">
        <f t="shared" si="67"/>
        <v>248601.60000000003</v>
      </c>
      <c r="AG343" s="474" t="s">
        <v>1071</v>
      </c>
      <c r="AH343" s="474"/>
      <c r="AI343" s="474">
        <v>60</v>
      </c>
      <c r="AJ343" s="474" t="s">
        <v>1694</v>
      </c>
      <c r="AK343" s="474" t="s">
        <v>1144</v>
      </c>
      <c r="AL343" s="474">
        <v>92806</v>
      </c>
      <c r="AM343" s="474" t="s">
        <v>52</v>
      </c>
      <c r="AN343" s="474"/>
      <c r="AO343" s="474" t="s">
        <v>1076</v>
      </c>
      <c r="AP343" s="482" t="s">
        <v>92</v>
      </c>
      <c r="AQ343" s="482" t="s">
        <v>37</v>
      </c>
      <c r="AR343" s="482" t="s">
        <v>1216</v>
      </c>
      <c r="AS343" s="473" t="s">
        <v>1492</v>
      </c>
      <c r="AT343" s="473"/>
      <c r="AU343" s="478">
        <f>180/360</f>
        <v>0.5</v>
      </c>
      <c r="AV343" s="471"/>
      <c r="AW343" s="471"/>
      <c r="AX343" s="471"/>
      <c r="AY343" s="471"/>
      <c r="AZ343" s="471"/>
      <c r="BA343" s="471"/>
      <c r="BB343" s="471"/>
      <c r="BC343" s="471"/>
    </row>
    <row r="344" spans="1:55">
      <c r="A344" s="495"/>
      <c r="B344" s="407"/>
      <c r="C344" s="407"/>
      <c r="D344" s="485" t="s">
        <v>86</v>
      </c>
      <c r="E344" s="474" t="s">
        <v>5469</v>
      </c>
      <c r="F344" s="486"/>
      <c r="G344" s="380">
        <v>2022</v>
      </c>
      <c r="H344" s="474">
        <v>6</v>
      </c>
      <c r="I344" s="474"/>
      <c r="J344" s="475"/>
      <c r="K344" s="474" t="s">
        <v>5471</v>
      </c>
      <c r="L344" s="474" t="s">
        <v>1878</v>
      </c>
      <c r="M344" s="475">
        <v>44624</v>
      </c>
      <c r="N344" s="475">
        <v>44716</v>
      </c>
      <c r="O344" s="475"/>
      <c r="P344" s="475"/>
      <c r="Q344" s="475"/>
      <c r="R344" s="475"/>
      <c r="S344" s="474" t="s">
        <v>1688</v>
      </c>
      <c r="T344" s="474">
        <v>72</v>
      </c>
      <c r="U344" s="486" t="s">
        <v>1109</v>
      </c>
      <c r="V344" s="474" t="s">
        <v>1110</v>
      </c>
      <c r="W344" s="474">
        <v>485</v>
      </c>
      <c r="X344" s="432">
        <v>406</v>
      </c>
      <c r="Y344" s="389">
        <f t="shared" si="63"/>
        <v>196910</v>
      </c>
      <c r="Z344" s="478">
        <f>240.08/485</f>
        <v>0.49501030927835055</v>
      </c>
      <c r="AA344" s="480">
        <f t="shared" si="62"/>
        <v>97472.48000000001</v>
      </c>
      <c r="AB344" s="480"/>
      <c r="AC344" s="481">
        <f>AB344*Y344</f>
        <v>0</v>
      </c>
      <c r="AD344" s="474"/>
      <c r="AE344" s="474"/>
      <c r="AF344" s="493">
        <f t="shared" si="67"/>
        <v>97472.48000000001</v>
      </c>
      <c r="AG344" s="474" t="s">
        <v>1071</v>
      </c>
      <c r="AH344" s="474"/>
      <c r="AI344" s="474">
        <v>60</v>
      </c>
      <c r="AJ344" s="475" t="s">
        <v>2023</v>
      </c>
      <c r="AK344" s="475" t="s">
        <v>50</v>
      </c>
      <c r="AL344" s="483">
        <v>90221</v>
      </c>
      <c r="AM344" s="474" t="s">
        <v>52</v>
      </c>
      <c r="AN344" s="384"/>
      <c r="AO344" s="474" t="s">
        <v>1076</v>
      </c>
      <c r="AP344" s="482"/>
      <c r="AQ344" s="474" t="s">
        <v>37</v>
      </c>
      <c r="AR344" s="474"/>
      <c r="AS344" s="473"/>
      <c r="AT344" s="473"/>
      <c r="AU344" s="478"/>
      <c r="AV344" s="471"/>
      <c r="AW344" s="471"/>
      <c r="AX344" s="471"/>
      <c r="AY344" s="471"/>
      <c r="AZ344" s="471"/>
      <c r="BA344" s="471"/>
      <c r="BB344" s="471"/>
      <c r="BC344" s="471"/>
    </row>
    <row r="345" spans="1:55">
      <c r="A345" s="495"/>
      <c r="B345" s="407">
        <v>44628</v>
      </c>
      <c r="C345" s="407">
        <v>44628</v>
      </c>
      <c r="D345" s="485" t="s">
        <v>86</v>
      </c>
      <c r="E345" s="474" t="s">
        <v>5399</v>
      </c>
      <c r="F345" s="486"/>
      <c r="G345" s="380">
        <v>2022</v>
      </c>
      <c r="H345" s="380">
        <v>7</v>
      </c>
      <c r="I345" s="474"/>
      <c r="J345" s="475"/>
      <c r="K345" s="474" t="s">
        <v>1826</v>
      </c>
      <c r="L345" s="474" t="s">
        <v>1798</v>
      </c>
      <c r="M345" s="475">
        <v>44568</v>
      </c>
      <c r="N345" s="475">
        <v>44652</v>
      </c>
      <c r="O345" s="475"/>
      <c r="P345" s="475"/>
      <c r="Q345" s="475"/>
      <c r="R345" s="475"/>
      <c r="S345" s="474" t="s">
        <v>1688</v>
      </c>
      <c r="T345" s="474">
        <v>60</v>
      </c>
      <c r="U345" s="474">
        <v>49204132</v>
      </c>
      <c r="V345" s="474" t="s">
        <v>1223</v>
      </c>
      <c r="W345" s="474">
        <v>360</v>
      </c>
      <c r="X345" s="432">
        <v>676</v>
      </c>
      <c r="Y345" s="389">
        <f t="shared" si="63"/>
        <v>243360</v>
      </c>
      <c r="Z345" s="478">
        <f>298.8/360</f>
        <v>0.83000000000000007</v>
      </c>
      <c r="AA345" s="480">
        <f t="shared" si="62"/>
        <v>201988.80000000002</v>
      </c>
      <c r="AB345" s="480"/>
      <c r="AC345" s="481">
        <v>0</v>
      </c>
      <c r="AD345" s="474"/>
      <c r="AE345" s="398"/>
      <c r="AF345" s="493">
        <f t="shared" si="67"/>
        <v>201988.80000000002</v>
      </c>
      <c r="AG345" s="474" t="s">
        <v>1071</v>
      </c>
      <c r="AH345" s="474"/>
      <c r="AI345" s="474">
        <v>60</v>
      </c>
      <c r="AJ345" s="475" t="s">
        <v>1799</v>
      </c>
      <c r="AK345" s="475" t="s">
        <v>50</v>
      </c>
      <c r="AL345" s="483">
        <v>91311</v>
      </c>
      <c r="AM345" s="474" t="s">
        <v>52</v>
      </c>
      <c r="AN345" s="474" t="s">
        <v>1695</v>
      </c>
      <c r="AO345" s="474" t="s">
        <v>1076</v>
      </c>
      <c r="AP345" s="482"/>
      <c r="AQ345" s="474" t="s">
        <v>37</v>
      </c>
      <c r="AR345" s="474"/>
      <c r="AS345" s="473"/>
      <c r="AT345" s="346"/>
      <c r="AU345" s="478">
        <v>0.72</v>
      </c>
      <c r="AV345" s="471"/>
      <c r="AW345" s="471"/>
      <c r="AX345" s="471"/>
      <c r="AY345" s="471"/>
      <c r="AZ345" s="471"/>
      <c r="BA345" s="471"/>
      <c r="BB345" s="471"/>
      <c r="BC345" s="471"/>
    </row>
    <row r="346" spans="1:55">
      <c r="A346" s="495"/>
      <c r="B346" s="407">
        <v>44628</v>
      </c>
      <c r="C346" s="407">
        <v>44628</v>
      </c>
      <c r="D346" s="485" t="s">
        <v>86</v>
      </c>
      <c r="E346" s="474"/>
      <c r="F346" s="486"/>
      <c r="G346" s="380">
        <v>2022</v>
      </c>
      <c r="H346" s="380">
        <v>7</v>
      </c>
      <c r="I346" s="474"/>
      <c r="J346" s="475"/>
      <c r="K346" s="474" t="s">
        <v>1804</v>
      </c>
      <c r="L346" s="474" t="s">
        <v>1798</v>
      </c>
      <c r="M346" s="475">
        <v>44568</v>
      </c>
      <c r="N346" s="475">
        <v>44743</v>
      </c>
      <c r="O346" s="475"/>
      <c r="P346" s="475"/>
      <c r="Q346" s="475"/>
      <c r="R346" s="475"/>
      <c r="S346" s="474" t="s">
        <v>1688</v>
      </c>
      <c r="T346" s="474">
        <v>60</v>
      </c>
      <c r="U346" s="486">
        <v>49401139</v>
      </c>
      <c r="V346" s="474" t="s">
        <v>1223</v>
      </c>
      <c r="W346" s="474">
        <v>360</v>
      </c>
      <c r="X346" s="432">
        <v>676</v>
      </c>
      <c r="Y346" s="389">
        <f t="shared" si="63"/>
        <v>243360</v>
      </c>
      <c r="Z346" s="478">
        <f>298.8/360</f>
        <v>0.83000000000000007</v>
      </c>
      <c r="AA346" s="480">
        <f t="shared" si="62"/>
        <v>201988.80000000002</v>
      </c>
      <c r="AB346" s="480"/>
      <c r="AC346" s="481">
        <v>0</v>
      </c>
      <c r="AD346" s="474"/>
      <c r="AE346" s="474"/>
      <c r="AF346" s="493">
        <f t="shared" si="67"/>
        <v>201988.80000000002</v>
      </c>
      <c r="AG346" s="474" t="s">
        <v>1071</v>
      </c>
      <c r="AH346" s="474"/>
      <c r="AI346" s="474">
        <v>60</v>
      </c>
      <c r="AJ346" s="475" t="s">
        <v>1799</v>
      </c>
      <c r="AK346" s="475" t="s">
        <v>50</v>
      </c>
      <c r="AL346" s="483">
        <v>91311</v>
      </c>
      <c r="AM346" s="474" t="s">
        <v>52</v>
      </c>
      <c r="AN346" s="384" t="s">
        <v>1074</v>
      </c>
      <c r="AO346" s="474" t="s">
        <v>1076</v>
      </c>
      <c r="AP346" s="482"/>
      <c r="AQ346" s="474" t="s">
        <v>37</v>
      </c>
      <c r="AR346" s="474"/>
      <c r="AS346" s="473"/>
      <c r="AT346" s="346"/>
      <c r="AU346" s="478">
        <v>0.72</v>
      </c>
      <c r="AV346" s="471"/>
      <c r="AW346" s="471"/>
      <c r="AX346" s="471"/>
      <c r="AY346" s="471"/>
      <c r="AZ346" s="471"/>
      <c r="BA346" s="471"/>
      <c r="BB346" s="471"/>
      <c r="BC346" s="471"/>
    </row>
    <row r="347" spans="1:55">
      <c r="A347" s="495"/>
      <c r="B347" s="407"/>
      <c r="C347" s="407"/>
      <c r="D347" s="485" t="s">
        <v>86</v>
      </c>
      <c r="E347" s="474"/>
      <c r="F347" s="486"/>
      <c r="G347" s="380">
        <v>2022</v>
      </c>
      <c r="H347" s="380">
        <v>7</v>
      </c>
      <c r="I347" s="474"/>
      <c r="J347" s="475"/>
      <c r="K347" s="474" t="s">
        <v>1876</v>
      </c>
      <c r="L347" s="474" t="s">
        <v>1832</v>
      </c>
      <c r="M347" s="475">
        <v>44574</v>
      </c>
      <c r="N347" s="475">
        <v>44682</v>
      </c>
      <c r="O347" s="475">
        <v>44713</v>
      </c>
      <c r="P347" s="475"/>
      <c r="Q347" s="475"/>
      <c r="R347" s="475"/>
      <c r="S347" s="474" t="s">
        <v>1704</v>
      </c>
      <c r="T347" s="474">
        <v>60</v>
      </c>
      <c r="U347" s="486"/>
      <c r="V347" s="474" t="s">
        <v>986</v>
      </c>
      <c r="W347" s="474">
        <v>360</v>
      </c>
      <c r="X347" s="432">
        <v>1536</v>
      </c>
      <c r="Y347" s="389">
        <f t="shared" si="63"/>
        <v>552960</v>
      </c>
      <c r="Z347" s="478">
        <f>180/360</f>
        <v>0.5</v>
      </c>
      <c r="AA347" s="480">
        <f t="shared" si="62"/>
        <v>276480</v>
      </c>
      <c r="AB347" s="480"/>
      <c r="AC347" s="481">
        <f>AB347*Y347</f>
        <v>0</v>
      </c>
      <c r="AD347" s="474"/>
      <c r="AE347" s="474"/>
      <c r="AF347" s="493">
        <f t="shared" si="67"/>
        <v>276480</v>
      </c>
      <c r="AG347" s="474" t="s">
        <v>1071</v>
      </c>
      <c r="AH347" s="474"/>
      <c r="AI347" s="474">
        <v>60</v>
      </c>
      <c r="AJ347" s="475" t="s">
        <v>1853</v>
      </c>
      <c r="AK347" s="475" t="s">
        <v>50</v>
      </c>
      <c r="AL347" s="483" t="s">
        <v>1854</v>
      </c>
      <c r="AM347" s="474" t="s">
        <v>52</v>
      </c>
      <c r="AN347" s="384" t="s">
        <v>1074</v>
      </c>
      <c r="AO347" s="474" t="s">
        <v>1076</v>
      </c>
      <c r="AP347" s="482"/>
      <c r="AQ347" s="474" t="s">
        <v>37</v>
      </c>
      <c r="AR347" s="474" t="s">
        <v>1216</v>
      </c>
      <c r="AS347" s="473" t="s">
        <v>1492</v>
      </c>
      <c r="AT347" s="346"/>
      <c r="AU347" s="478">
        <f>180/360</f>
        <v>0.5</v>
      </c>
      <c r="AV347" s="471">
        <f t="shared" ref="AV347:AV368" si="68">U347</f>
        <v>0</v>
      </c>
      <c r="AW347" s="471" cm="1">
        <f t="array" ref="AW347">SUM(MID(0&amp;AV347,LARGE(INDEX(ISNUMBER(--MID(AV347,ROW($1:$8),1))*ROW($1:$8),),ROW($1:$8))+1,1)*10^ROW($1:$8)/10)</f>
        <v>0</v>
      </c>
      <c r="AX347" s="471" t="e">
        <f>VLOOKUP($AW347,'Item Master Data'!$A:$F,3,FALSE)</f>
        <v>#N/A</v>
      </c>
      <c r="AY347" s="471" t="e">
        <f>VLOOKUP($AW347,'Item Master Data'!$A:$F,6,FALSE)</f>
        <v>#N/A</v>
      </c>
      <c r="AZ347" s="471" t="e">
        <f t="shared" ref="AZ347:AZ368" si="69">X347/BA347</f>
        <v>#N/A</v>
      </c>
      <c r="BA347" s="471" t="e">
        <f>VLOOKUP(AW347,'Item Master Data'!$A:$G,7,FALSE)</f>
        <v>#N/A</v>
      </c>
      <c r="BB347" s="471"/>
      <c r="BC347" s="471" t="e">
        <f t="shared" ref="BC347:BC368" si="70">W347-AY347</f>
        <v>#N/A</v>
      </c>
    </row>
    <row r="348" spans="1:55">
      <c r="A348" s="495"/>
      <c r="B348" s="407">
        <v>44589</v>
      </c>
      <c r="C348" s="407">
        <v>44589</v>
      </c>
      <c r="D348" s="485" t="s">
        <v>86</v>
      </c>
      <c r="E348" s="474"/>
      <c r="F348" s="486" t="s">
        <v>87</v>
      </c>
      <c r="G348" s="380">
        <v>2022</v>
      </c>
      <c r="H348" s="380">
        <v>7</v>
      </c>
      <c r="I348" s="474"/>
      <c r="J348" s="475"/>
      <c r="K348" s="474" t="s">
        <v>1931</v>
      </c>
      <c r="L348" s="474" t="s">
        <v>1842</v>
      </c>
      <c r="M348" s="475">
        <v>44924</v>
      </c>
      <c r="N348" s="475">
        <v>44771</v>
      </c>
      <c r="O348" s="475"/>
      <c r="P348" s="475"/>
      <c r="Q348" s="475"/>
      <c r="R348" s="475"/>
      <c r="S348" s="474" t="s">
        <v>88</v>
      </c>
      <c r="T348" s="474">
        <v>72</v>
      </c>
      <c r="U348" s="486">
        <v>49303156</v>
      </c>
      <c r="V348" s="474" t="s">
        <v>1070</v>
      </c>
      <c r="W348" s="474">
        <v>480</v>
      </c>
      <c r="X348" s="432">
        <v>638</v>
      </c>
      <c r="Y348" s="389">
        <f t="shared" si="63"/>
        <v>306240</v>
      </c>
      <c r="Z348" s="478">
        <f>225.6/480</f>
        <v>0.47</v>
      </c>
      <c r="AA348" s="480">
        <f t="shared" si="62"/>
        <v>143932.79999999999</v>
      </c>
      <c r="AB348" s="480"/>
      <c r="AC348" s="481">
        <v>0</v>
      </c>
      <c r="AD348" s="474"/>
      <c r="AE348" s="474"/>
      <c r="AF348" s="493">
        <f t="shared" si="67"/>
        <v>143932.79999999999</v>
      </c>
      <c r="AG348" s="474" t="s">
        <v>1071</v>
      </c>
      <c r="AH348" s="474"/>
      <c r="AI348" s="474">
        <v>60</v>
      </c>
      <c r="AJ348" s="475" t="s">
        <v>1860</v>
      </c>
      <c r="AK348" s="475" t="s">
        <v>50</v>
      </c>
      <c r="AL348" s="483">
        <v>93703</v>
      </c>
      <c r="AM348" s="474" t="s">
        <v>52</v>
      </c>
      <c r="AN348" s="384" t="s">
        <v>1695</v>
      </c>
      <c r="AO348" s="474" t="s">
        <v>1076</v>
      </c>
      <c r="AP348" s="482"/>
      <c r="AQ348" s="474" t="s">
        <v>1086</v>
      </c>
      <c r="AR348" s="474"/>
      <c r="AS348" s="473" t="s">
        <v>1492</v>
      </c>
      <c r="AT348" s="346"/>
      <c r="AU348" s="478"/>
      <c r="AV348" s="471">
        <f t="shared" si="68"/>
        <v>49303156</v>
      </c>
      <c r="AW348" s="471" cm="1">
        <f t="array" ref="AW348">SUM(MID(0&amp;AV348,LARGE(INDEX(ISNUMBER(--MID(AV348,ROW($1:$8),1))*ROW($1:$8),),ROW($1:$8))+1,1)*10^ROW($1:$8)/10)</f>
        <v>49303156</v>
      </c>
      <c r="AX348" s="471" t="str">
        <f>VLOOKUP($AW348,'Item Master Data'!$A:$F,3,FALSE)</f>
        <v>Q.PEAK DUO XL G10 BFG</v>
      </c>
      <c r="AY348" s="471">
        <f>VLOOKUP($AW348,'Item Master Data'!$A:$F,6,FALSE)</f>
        <v>480</v>
      </c>
      <c r="AZ348" s="471">
        <f t="shared" si="69"/>
        <v>22</v>
      </c>
      <c r="BA348" s="471">
        <f>VLOOKUP(AW348,'Item Master Data'!$A:$G,7,FALSE)</f>
        <v>29</v>
      </c>
      <c r="BB348" s="471"/>
      <c r="BC348" s="471">
        <f t="shared" si="70"/>
        <v>0</v>
      </c>
    </row>
    <row r="349" spans="1:55">
      <c r="A349" s="495"/>
      <c r="B349" s="407">
        <v>44635</v>
      </c>
      <c r="C349" s="407">
        <v>44636</v>
      </c>
      <c r="D349" s="485" t="s">
        <v>86</v>
      </c>
      <c r="E349" s="474"/>
      <c r="F349" s="486"/>
      <c r="G349" s="380">
        <v>2022</v>
      </c>
      <c r="H349" s="380">
        <v>7</v>
      </c>
      <c r="I349" s="474"/>
      <c r="J349" s="475"/>
      <c r="K349" s="474" t="s">
        <v>1932</v>
      </c>
      <c r="L349" s="474" t="s">
        <v>1842</v>
      </c>
      <c r="M349" s="475">
        <v>44587</v>
      </c>
      <c r="N349" s="475">
        <v>44768</v>
      </c>
      <c r="O349" s="475"/>
      <c r="P349" s="475"/>
      <c r="Q349" s="475"/>
      <c r="R349" s="475"/>
      <c r="S349" s="474" t="s">
        <v>1688</v>
      </c>
      <c r="T349" s="474">
        <v>60</v>
      </c>
      <c r="U349" s="486"/>
      <c r="V349" s="474" t="s">
        <v>986</v>
      </c>
      <c r="W349" s="474">
        <v>360</v>
      </c>
      <c r="X349" s="432">
        <v>1664</v>
      </c>
      <c r="Y349" s="389">
        <f t="shared" si="63"/>
        <v>599040</v>
      </c>
      <c r="Z349" s="478">
        <v>0.5</v>
      </c>
      <c r="AA349" s="480">
        <f t="shared" si="62"/>
        <v>299520</v>
      </c>
      <c r="AB349" s="480"/>
      <c r="AC349" s="481">
        <v>0</v>
      </c>
      <c r="AD349" s="474"/>
      <c r="AE349" s="474"/>
      <c r="AF349" s="493">
        <f t="shared" si="67"/>
        <v>299520</v>
      </c>
      <c r="AG349" s="474" t="s">
        <v>1071</v>
      </c>
      <c r="AH349" s="474"/>
      <c r="AI349" s="474">
        <v>60</v>
      </c>
      <c r="AJ349" s="475" t="s">
        <v>1860</v>
      </c>
      <c r="AK349" s="475" t="s">
        <v>50</v>
      </c>
      <c r="AL349" s="483" t="s">
        <v>1861</v>
      </c>
      <c r="AM349" s="474" t="s">
        <v>52</v>
      </c>
      <c r="AN349" s="384"/>
      <c r="AO349" s="474" t="s">
        <v>1076</v>
      </c>
      <c r="AP349" s="482"/>
      <c r="AQ349" s="474" t="s">
        <v>37</v>
      </c>
      <c r="AR349" s="474" t="s">
        <v>1216</v>
      </c>
      <c r="AS349" s="473" t="s">
        <v>1492</v>
      </c>
      <c r="AT349" s="346"/>
      <c r="AU349" s="478">
        <v>0.5</v>
      </c>
      <c r="AV349" s="471">
        <f t="shared" si="68"/>
        <v>0</v>
      </c>
      <c r="AW349" s="471" cm="1">
        <f t="array" ref="AW349">SUM(MID(0&amp;AV349,LARGE(INDEX(ISNUMBER(--MID(AV349,ROW($1:$8),1))*ROW($1:$8),),ROW($1:$8))+1,1)*10^ROW($1:$8)/10)</f>
        <v>0</v>
      </c>
      <c r="AX349" s="471" t="e">
        <f>VLOOKUP($AW349,'Item Master Data'!$A:$F,3,FALSE)</f>
        <v>#N/A</v>
      </c>
      <c r="AY349" s="471" t="e">
        <f>VLOOKUP($AW349,'Item Master Data'!$A:$F,6,FALSE)</f>
        <v>#N/A</v>
      </c>
      <c r="AZ349" s="471" t="e">
        <f t="shared" si="69"/>
        <v>#N/A</v>
      </c>
      <c r="BA349" s="471" t="e">
        <f>VLOOKUP(AW349,'Item Master Data'!$A:$G,7,FALSE)</f>
        <v>#N/A</v>
      </c>
      <c r="BB349" s="471"/>
      <c r="BC349" s="471" t="e">
        <f t="shared" si="70"/>
        <v>#N/A</v>
      </c>
    </row>
    <row r="350" spans="1:55">
      <c r="A350" s="495"/>
      <c r="B350" s="407">
        <v>44638</v>
      </c>
      <c r="C350" s="407">
        <v>44638</v>
      </c>
      <c r="D350" s="474" t="s">
        <v>86</v>
      </c>
      <c r="E350" s="336"/>
      <c r="F350" s="474"/>
      <c r="G350" s="380">
        <v>2022</v>
      </c>
      <c r="H350" s="380">
        <v>7</v>
      </c>
      <c r="I350" s="486" t="s">
        <v>1676</v>
      </c>
      <c r="J350" s="475"/>
      <c r="K350" s="474" t="s">
        <v>1933</v>
      </c>
      <c r="L350" s="474" t="s">
        <v>1842</v>
      </c>
      <c r="M350" s="475">
        <v>44638</v>
      </c>
      <c r="N350" s="475">
        <v>44760</v>
      </c>
      <c r="O350" s="475"/>
      <c r="P350" s="475"/>
      <c r="Q350" s="475"/>
      <c r="R350" s="475"/>
      <c r="S350" s="474" t="s">
        <v>1688</v>
      </c>
      <c r="T350" s="474">
        <v>60</v>
      </c>
      <c r="U350" s="474"/>
      <c r="V350" s="486" t="s">
        <v>986</v>
      </c>
      <c r="W350" s="474">
        <v>360</v>
      </c>
      <c r="X350" s="432">
        <v>832</v>
      </c>
      <c r="Y350" s="389">
        <f t="shared" si="63"/>
        <v>299520</v>
      </c>
      <c r="Z350" s="478">
        <f>190.8/360</f>
        <v>0.53</v>
      </c>
      <c r="AA350" s="479">
        <f t="shared" si="62"/>
        <v>158745.60000000001</v>
      </c>
      <c r="AB350" s="480"/>
      <c r="AC350" s="481">
        <f>AB350*Y350</f>
        <v>0</v>
      </c>
      <c r="AD350" s="474"/>
      <c r="AE350" s="482"/>
      <c r="AF350" s="493">
        <f t="shared" si="67"/>
        <v>158745.60000000001</v>
      </c>
      <c r="AG350" s="486" t="s">
        <v>1071</v>
      </c>
      <c r="AH350" s="486"/>
      <c r="AI350" s="486">
        <v>60</v>
      </c>
      <c r="AJ350" s="475" t="s">
        <v>1860</v>
      </c>
      <c r="AK350" s="486" t="s">
        <v>50</v>
      </c>
      <c r="AL350" s="483" t="s">
        <v>1861</v>
      </c>
      <c r="AM350" s="486" t="s">
        <v>52</v>
      </c>
      <c r="AN350" s="384"/>
      <c r="AO350" s="474" t="s">
        <v>1076</v>
      </c>
      <c r="AP350" s="482"/>
      <c r="AQ350" s="482" t="s">
        <v>37</v>
      </c>
      <c r="AR350" s="482" t="s">
        <v>1216</v>
      </c>
      <c r="AS350" s="472" t="s">
        <v>1492</v>
      </c>
      <c r="AT350" s="640"/>
      <c r="AU350" s="478">
        <f>180/360</f>
        <v>0.5</v>
      </c>
      <c r="AV350" s="471">
        <f t="shared" si="68"/>
        <v>0</v>
      </c>
      <c r="AW350" s="471" cm="1">
        <f t="array" ref="AW350">SUM(MID(0&amp;AV350,LARGE(INDEX(ISNUMBER(--MID(AV350,ROW($1:$8),1))*ROW($1:$8),),ROW($1:$8))+1,1)*10^ROW($1:$8)/10)</f>
        <v>0</v>
      </c>
      <c r="AX350" s="471" t="e">
        <f>VLOOKUP($AW350,'Item Master Data'!$A:$F,3,FALSE)</f>
        <v>#N/A</v>
      </c>
      <c r="AY350" s="471" t="e">
        <f>VLOOKUP($AW350,'Item Master Data'!$A:$F,6,FALSE)</f>
        <v>#N/A</v>
      </c>
      <c r="AZ350" s="471" t="e">
        <f t="shared" si="69"/>
        <v>#N/A</v>
      </c>
      <c r="BA350" s="471" t="e">
        <f>VLOOKUP(AW350,'Item Master Data'!$A:$G,7,FALSE)</f>
        <v>#N/A</v>
      </c>
      <c r="BB350" s="471"/>
      <c r="BC350" s="471" t="e">
        <f t="shared" si="70"/>
        <v>#N/A</v>
      </c>
    </row>
    <row r="351" spans="1:55">
      <c r="A351" s="495"/>
      <c r="B351" s="407"/>
      <c r="C351" s="407"/>
      <c r="D351" s="485" t="s">
        <v>86</v>
      </c>
      <c r="E351" s="474" t="s">
        <v>2020</v>
      </c>
      <c r="F351" s="486"/>
      <c r="G351" s="380">
        <v>2022</v>
      </c>
      <c r="H351" s="380">
        <v>7</v>
      </c>
      <c r="I351" s="474"/>
      <c r="J351" s="475"/>
      <c r="K351" s="474" t="s">
        <v>2021</v>
      </c>
      <c r="L351" s="474" t="s">
        <v>1878</v>
      </c>
      <c r="M351" s="475">
        <v>44567</v>
      </c>
      <c r="N351" s="475">
        <v>44727</v>
      </c>
      <c r="O351" s="475"/>
      <c r="P351" s="475"/>
      <c r="Q351" s="475"/>
      <c r="R351" s="475"/>
      <c r="S351" s="474" t="s">
        <v>1688</v>
      </c>
      <c r="T351" s="474">
        <v>60</v>
      </c>
      <c r="U351" s="486"/>
      <c r="V351" s="474" t="s">
        <v>986</v>
      </c>
      <c r="W351" s="474">
        <v>360</v>
      </c>
      <c r="X351" s="432">
        <v>832</v>
      </c>
      <c r="Y351" s="389">
        <f t="shared" si="63"/>
        <v>299520</v>
      </c>
      <c r="Z351" s="478">
        <f>187.2/360</f>
        <v>0.52</v>
      </c>
      <c r="AA351" s="480">
        <f t="shared" si="62"/>
        <v>155750.39999999999</v>
      </c>
      <c r="AB351" s="480"/>
      <c r="AC351" s="481">
        <f>AB351*Y351</f>
        <v>0</v>
      </c>
      <c r="AD351" s="474"/>
      <c r="AE351" s="474"/>
      <c r="AF351" s="493">
        <f t="shared" si="67"/>
        <v>155750.39999999999</v>
      </c>
      <c r="AG351" s="474" t="s">
        <v>1071</v>
      </c>
      <c r="AH351" s="474"/>
      <c r="AI351" s="474">
        <v>60</v>
      </c>
      <c r="AJ351" s="475" t="s">
        <v>1880</v>
      </c>
      <c r="AK351" s="475" t="s">
        <v>1679</v>
      </c>
      <c r="AL351" s="483" t="s">
        <v>1881</v>
      </c>
      <c r="AM351" s="474" t="s">
        <v>52</v>
      </c>
      <c r="AN351" s="384" t="s">
        <v>1074</v>
      </c>
      <c r="AO351" s="474" t="s">
        <v>1076</v>
      </c>
      <c r="AP351" s="482"/>
      <c r="AQ351" s="474" t="s">
        <v>37</v>
      </c>
      <c r="AR351" s="474" t="s">
        <v>1890</v>
      </c>
      <c r="AS351" s="473" t="s">
        <v>1075</v>
      </c>
      <c r="AT351" s="346"/>
      <c r="AU351" s="478">
        <f>187.2/360</f>
        <v>0.52</v>
      </c>
      <c r="AV351" s="471">
        <f t="shared" si="68"/>
        <v>0</v>
      </c>
      <c r="AW351" s="471" cm="1">
        <f t="array" ref="AW351">SUM(MID(0&amp;AV351,LARGE(INDEX(ISNUMBER(--MID(AV351,ROW($1:$8),1))*ROW($1:$8),),ROW($1:$8))+1,1)*10^ROW($1:$8)/10)</f>
        <v>0</v>
      </c>
      <c r="AX351" s="471" t="e">
        <f>VLOOKUP($AW351,'Item Master Data'!$A:$F,3,FALSE)</f>
        <v>#N/A</v>
      </c>
      <c r="AY351" s="471" t="e">
        <f>VLOOKUP($AW351,'Item Master Data'!$A:$F,6,FALSE)</f>
        <v>#N/A</v>
      </c>
      <c r="AZ351" s="471" t="e">
        <f t="shared" si="69"/>
        <v>#N/A</v>
      </c>
      <c r="BA351" s="471" t="e">
        <f>VLOOKUP(AW351,'Item Master Data'!$A:$G,7,FALSE)</f>
        <v>#N/A</v>
      </c>
      <c r="BB351" s="471"/>
      <c r="BC351" s="471" t="e">
        <f t="shared" si="70"/>
        <v>#N/A</v>
      </c>
    </row>
    <row r="352" spans="1:55">
      <c r="A352" s="495"/>
      <c r="B352" s="407"/>
      <c r="C352" s="407"/>
      <c r="D352" s="485" t="s">
        <v>86</v>
      </c>
      <c r="E352" s="474" t="s">
        <v>5470</v>
      </c>
      <c r="F352" s="486"/>
      <c r="G352" s="380">
        <v>2022</v>
      </c>
      <c r="H352" s="380">
        <v>7</v>
      </c>
      <c r="I352" s="474"/>
      <c r="J352" s="475"/>
      <c r="K352" s="474" t="s">
        <v>2029</v>
      </c>
      <c r="L352" s="474" t="s">
        <v>1878</v>
      </c>
      <c r="M352" s="475">
        <v>44658</v>
      </c>
      <c r="N352" s="475">
        <v>44771</v>
      </c>
      <c r="O352" s="475"/>
      <c r="P352" s="475"/>
      <c r="Q352" s="475"/>
      <c r="R352" s="475"/>
      <c r="S352" s="474" t="s">
        <v>1688</v>
      </c>
      <c r="T352" s="474">
        <v>72</v>
      </c>
      <c r="U352" s="486"/>
      <c r="V352" s="474" t="s">
        <v>1070</v>
      </c>
      <c r="W352" s="474">
        <v>480</v>
      </c>
      <c r="X352" s="432">
        <v>638</v>
      </c>
      <c r="Y352" s="389">
        <f t="shared" si="63"/>
        <v>306240</v>
      </c>
      <c r="Z352" s="478">
        <f>252/480</f>
        <v>0.52500000000000002</v>
      </c>
      <c r="AA352" s="480">
        <f t="shared" si="62"/>
        <v>160776</v>
      </c>
      <c r="AB352" s="480"/>
      <c r="AC352" s="481">
        <f>AB352*Y352</f>
        <v>0</v>
      </c>
      <c r="AD352" s="474"/>
      <c r="AE352" s="398"/>
      <c r="AF352" s="493">
        <f t="shared" si="67"/>
        <v>160776</v>
      </c>
      <c r="AG352" s="474" t="s">
        <v>1071</v>
      </c>
      <c r="AH352" s="474"/>
      <c r="AI352" s="474">
        <v>60</v>
      </c>
      <c r="AJ352" s="475" t="s">
        <v>1880</v>
      </c>
      <c r="AK352" s="475" t="s">
        <v>1679</v>
      </c>
      <c r="AL352" s="483" t="s">
        <v>1881</v>
      </c>
      <c r="AM352" s="474" t="s">
        <v>52</v>
      </c>
      <c r="AN352" s="384" t="s">
        <v>1074</v>
      </c>
      <c r="AO352" s="474" t="s">
        <v>1076</v>
      </c>
      <c r="AP352" s="482"/>
      <c r="AQ352" s="474" t="s">
        <v>37</v>
      </c>
      <c r="AR352" s="474" t="s">
        <v>1890</v>
      </c>
      <c r="AS352" s="473" t="s">
        <v>1075</v>
      </c>
      <c r="AT352" s="346"/>
      <c r="AU352" s="478">
        <f>187.2/360</f>
        <v>0.52</v>
      </c>
      <c r="AV352" s="471">
        <f t="shared" si="68"/>
        <v>0</v>
      </c>
      <c r="AW352" s="471" cm="1">
        <f t="array" ref="AW352">SUM(MID(0&amp;AV352,LARGE(INDEX(ISNUMBER(--MID(AV352,ROW($1:$8),1))*ROW($1:$8),),ROW($1:$8))+1,1)*10^ROW($1:$8)/10)</f>
        <v>0</v>
      </c>
      <c r="AX352" s="471" t="e">
        <f>VLOOKUP($AW352,'Item Master Data'!$A:$F,3,FALSE)</f>
        <v>#N/A</v>
      </c>
      <c r="AY352" s="471" t="e">
        <f>VLOOKUP($AW352,'Item Master Data'!$A:$F,6,FALSE)</f>
        <v>#N/A</v>
      </c>
      <c r="AZ352" s="471" t="e">
        <f t="shared" si="69"/>
        <v>#N/A</v>
      </c>
      <c r="BA352" s="471" t="e">
        <f>VLOOKUP(AW352,'Item Master Data'!$A:$G,7,FALSE)</f>
        <v>#N/A</v>
      </c>
      <c r="BB352" s="471"/>
      <c r="BC352" s="471" t="e">
        <f t="shared" si="70"/>
        <v>#N/A</v>
      </c>
    </row>
    <row r="353" spans="1:55">
      <c r="A353" s="495"/>
      <c r="B353" s="407"/>
      <c r="C353" s="407"/>
      <c r="D353" s="485" t="s">
        <v>86</v>
      </c>
      <c r="E353" s="474"/>
      <c r="F353" s="486" t="s">
        <v>1147</v>
      </c>
      <c r="G353" s="380">
        <v>2022</v>
      </c>
      <c r="H353" s="380">
        <v>7</v>
      </c>
      <c r="I353" s="474"/>
      <c r="J353" s="475"/>
      <c r="K353" s="474" t="s">
        <v>2088</v>
      </c>
      <c r="L353" s="474" t="s">
        <v>1912</v>
      </c>
      <c r="M353" s="475">
        <v>44487</v>
      </c>
      <c r="N353" s="475">
        <v>44621</v>
      </c>
      <c r="O353" s="475"/>
      <c r="P353" s="475"/>
      <c r="Q353" s="475"/>
      <c r="R353" s="475"/>
      <c r="S353" s="474" t="s">
        <v>1688</v>
      </c>
      <c r="T353" s="474">
        <v>60</v>
      </c>
      <c r="U353" s="486">
        <v>49201132</v>
      </c>
      <c r="V353" s="474" t="s">
        <v>1755</v>
      </c>
      <c r="W353" s="474">
        <v>360</v>
      </c>
      <c r="X353" s="432">
        <v>832</v>
      </c>
      <c r="Y353" s="389">
        <f t="shared" si="63"/>
        <v>299520</v>
      </c>
      <c r="Z353" s="348">
        <f>190.8/360</f>
        <v>0.53</v>
      </c>
      <c r="AA353" s="480">
        <f t="shared" si="62"/>
        <v>158745.60000000001</v>
      </c>
      <c r="AB353" s="480"/>
      <c r="AC353" s="481">
        <f>AB353*Y353</f>
        <v>0</v>
      </c>
      <c r="AD353" s="474"/>
      <c r="AE353" s="474"/>
      <c r="AF353" s="493">
        <f t="shared" si="67"/>
        <v>158745.60000000001</v>
      </c>
      <c r="AG353" s="474" t="s">
        <v>1071</v>
      </c>
      <c r="AH353" s="474"/>
      <c r="AI353" s="474">
        <v>60</v>
      </c>
      <c r="AJ353" s="475" t="s">
        <v>1913</v>
      </c>
      <c r="AK353" s="475" t="s">
        <v>50</v>
      </c>
      <c r="AL353" s="483">
        <v>92507</v>
      </c>
      <c r="AM353" s="474" t="s">
        <v>52</v>
      </c>
      <c r="AN353" s="384" t="s">
        <v>1074</v>
      </c>
      <c r="AO353" s="474" t="s">
        <v>1076</v>
      </c>
      <c r="AP353" s="482"/>
      <c r="AQ353" s="474" t="s">
        <v>37</v>
      </c>
      <c r="AR353" s="474"/>
      <c r="AS353" s="473"/>
      <c r="AT353" s="346"/>
      <c r="AU353" s="478"/>
      <c r="AV353" s="471">
        <f t="shared" si="68"/>
        <v>49201132</v>
      </c>
      <c r="AW353" s="471" cm="1">
        <f t="array" ref="AW353">SUM(MID(0&amp;AV353,LARGE(INDEX(ISNUMBER(--MID(AV353,ROW($1:$8),1))*ROW($1:$8),),ROW($1:$8))+1,1)*10^ROW($1:$8)/10)</f>
        <v>49201132</v>
      </c>
      <c r="AX353" s="471" t="str">
        <f>VLOOKUP($AW353,'Item Master Data'!$A:$F,3,FALSE)</f>
        <v>Q.PEAK DUO BLK G10+</v>
      </c>
      <c r="AY353" s="471">
        <f>VLOOKUP($AW353,'Item Master Data'!$A:$F,6,FALSE)</f>
        <v>360</v>
      </c>
      <c r="AZ353" s="471">
        <f t="shared" si="69"/>
        <v>26</v>
      </c>
      <c r="BA353" s="471">
        <f>VLOOKUP(AW353,'Item Master Data'!$A:$G,7,FALSE)</f>
        <v>32</v>
      </c>
      <c r="BB353" s="471"/>
      <c r="BC353" s="471">
        <f t="shared" si="70"/>
        <v>0</v>
      </c>
    </row>
    <row r="354" spans="1:55">
      <c r="A354" s="495"/>
      <c r="B354" s="407"/>
      <c r="C354" s="495"/>
      <c r="D354" s="474" t="s">
        <v>86</v>
      </c>
      <c r="E354" s="404"/>
      <c r="F354" s="474"/>
      <c r="G354" s="380">
        <v>2022</v>
      </c>
      <c r="H354" s="380">
        <v>7</v>
      </c>
      <c r="I354" s="474" t="s">
        <v>1676</v>
      </c>
      <c r="J354" s="475"/>
      <c r="K354" s="474" t="s">
        <v>2095</v>
      </c>
      <c r="L354" s="474" t="s">
        <v>1912</v>
      </c>
      <c r="M354" s="475">
        <v>44510</v>
      </c>
      <c r="N354" s="475">
        <v>44718</v>
      </c>
      <c r="O354" s="475"/>
      <c r="P354" s="475"/>
      <c r="Q354" s="475"/>
      <c r="R354" s="475"/>
      <c r="S354" s="474" t="s">
        <v>1688</v>
      </c>
      <c r="T354" s="474">
        <v>60</v>
      </c>
      <c r="U354" s="474"/>
      <c r="V354" s="486" t="s">
        <v>973</v>
      </c>
      <c r="W354" s="474">
        <v>400</v>
      </c>
      <c r="X354" s="432">
        <v>768</v>
      </c>
      <c r="Y354" s="389">
        <f t="shared" si="63"/>
        <v>307200</v>
      </c>
      <c r="Z354" s="478">
        <f>220/400</f>
        <v>0.55000000000000004</v>
      </c>
      <c r="AA354" s="479">
        <f t="shared" si="62"/>
        <v>168960</v>
      </c>
      <c r="AB354" s="480"/>
      <c r="AC354" s="481">
        <v>0</v>
      </c>
      <c r="AD354" s="474"/>
      <c r="AE354" s="482"/>
      <c r="AF354" s="493">
        <f t="shared" si="67"/>
        <v>168960</v>
      </c>
      <c r="AG354" s="486" t="s">
        <v>1071</v>
      </c>
      <c r="AH354" s="486"/>
      <c r="AI354" s="486">
        <v>60</v>
      </c>
      <c r="AJ354" s="475" t="s">
        <v>1913</v>
      </c>
      <c r="AK354" s="486" t="s">
        <v>50</v>
      </c>
      <c r="AL354" s="483" t="s">
        <v>1914</v>
      </c>
      <c r="AM354" s="486" t="s">
        <v>52</v>
      </c>
      <c r="AN354" s="384" t="s">
        <v>50</v>
      </c>
      <c r="AO354" s="474" t="s">
        <v>1076</v>
      </c>
      <c r="AP354" s="482" t="s">
        <v>38</v>
      </c>
      <c r="AQ354" s="482" t="s">
        <v>37</v>
      </c>
      <c r="AR354" s="482" t="s">
        <v>2092</v>
      </c>
      <c r="AS354" s="472"/>
      <c r="AT354" s="640"/>
      <c r="AU354" s="478">
        <f>196/400</f>
        <v>0.49</v>
      </c>
      <c r="AV354" s="471">
        <f t="shared" si="68"/>
        <v>0</v>
      </c>
      <c r="AW354" s="471" cm="1">
        <f t="array" ref="AW354">SUM(MID(0&amp;AV354,LARGE(INDEX(ISNUMBER(--MID(AV354,ROW($1:$8),1))*ROW($1:$8),),ROW($1:$8))+1,1)*10^ROW($1:$8)/10)</f>
        <v>0</v>
      </c>
      <c r="AX354" s="471" t="e">
        <f>VLOOKUP($AW354,'Item Master Data'!$A:$F,3,FALSE)</f>
        <v>#N/A</v>
      </c>
      <c r="AY354" s="471" t="e">
        <f>VLOOKUP($AW354,'Item Master Data'!$A:$F,6,FALSE)</f>
        <v>#N/A</v>
      </c>
      <c r="AZ354" s="471" t="e">
        <f t="shared" si="69"/>
        <v>#N/A</v>
      </c>
      <c r="BA354" s="471" t="e">
        <f>VLOOKUP(AW354,'Item Master Data'!$A:$G,7,FALSE)</f>
        <v>#N/A</v>
      </c>
      <c r="BB354" s="471"/>
      <c r="BC354" s="471" t="e">
        <f t="shared" si="70"/>
        <v>#N/A</v>
      </c>
    </row>
    <row r="355" spans="1:55">
      <c r="A355" s="495"/>
      <c r="B355" s="407">
        <v>44617</v>
      </c>
      <c r="C355" s="407">
        <v>44616</v>
      </c>
      <c r="D355" s="485" t="s">
        <v>86</v>
      </c>
      <c r="E355" s="474"/>
      <c r="F355" s="486"/>
      <c r="G355" s="380">
        <v>2022</v>
      </c>
      <c r="H355" s="380">
        <v>7</v>
      </c>
      <c r="I355" s="474"/>
      <c r="J355" s="475"/>
      <c r="K355" s="474" t="s">
        <v>2109</v>
      </c>
      <c r="L355" s="474" t="s">
        <v>1956</v>
      </c>
      <c r="M355" s="475">
        <v>44545</v>
      </c>
      <c r="N355" s="475">
        <v>44655</v>
      </c>
      <c r="O355" s="475">
        <v>44716</v>
      </c>
      <c r="P355" s="475"/>
      <c r="Q355" s="475"/>
      <c r="R355" s="475"/>
      <c r="S355" s="474" t="s">
        <v>1704</v>
      </c>
      <c r="T355" s="474">
        <v>60</v>
      </c>
      <c r="U355" s="486"/>
      <c r="V355" s="474" t="s">
        <v>986</v>
      </c>
      <c r="W355" s="474">
        <v>360</v>
      </c>
      <c r="X355" s="432">
        <v>3328</v>
      </c>
      <c r="Y355" s="389">
        <f t="shared" si="63"/>
        <v>1198080</v>
      </c>
      <c r="Z355" s="478">
        <f>190.8/360</f>
        <v>0.53</v>
      </c>
      <c r="AA355" s="480">
        <f t="shared" si="62"/>
        <v>634982.40000000002</v>
      </c>
      <c r="AB355" s="480"/>
      <c r="AC355" s="481">
        <f t="shared" ref="AC355:AC360" si="71">AB355*Y355</f>
        <v>0</v>
      </c>
      <c r="AD355" s="474"/>
      <c r="AE355" s="474"/>
      <c r="AF355" s="493">
        <f t="shared" si="67"/>
        <v>634982.40000000002</v>
      </c>
      <c r="AG355" s="474" t="s">
        <v>1071</v>
      </c>
      <c r="AH355" s="474"/>
      <c r="AI355" s="474">
        <v>60</v>
      </c>
      <c r="AJ355" s="475" t="s">
        <v>1790</v>
      </c>
      <c r="AK355" s="475" t="s">
        <v>50</v>
      </c>
      <c r="AL355" s="483">
        <v>95834</v>
      </c>
      <c r="AM355" s="474" t="s">
        <v>52</v>
      </c>
      <c r="AN355" s="384" t="s">
        <v>1074</v>
      </c>
      <c r="AO355" s="474" t="s">
        <v>1076</v>
      </c>
      <c r="AP355" s="482"/>
      <c r="AQ355" s="474" t="s">
        <v>37</v>
      </c>
      <c r="AR355" s="474"/>
      <c r="AS355" s="473"/>
      <c r="AT355" s="346"/>
      <c r="AU355" s="478">
        <f>180/360</f>
        <v>0.5</v>
      </c>
      <c r="AV355" s="471">
        <f t="shared" si="68"/>
        <v>0</v>
      </c>
      <c r="AW355" s="471" cm="1">
        <f t="array" ref="AW355">SUM(MID(0&amp;AV355,LARGE(INDEX(ISNUMBER(--MID(AV355,ROW($1:$8),1))*ROW($1:$8),),ROW($1:$8))+1,1)*10^ROW($1:$8)/10)</f>
        <v>0</v>
      </c>
      <c r="AX355" s="471" t="e">
        <f>VLOOKUP($AW355,'Item Master Data'!$A:$F,3,FALSE)</f>
        <v>#N/A</v>
      </c>
      <c r="AY355" s="471" t="e">
        <f>VLOOKUP($AW355,'Item Master Data'!$A:$F,6,FALSE)</f>
        <v>#N/A</v>
      </c>
      <c r="AZ355" s="471" t="e">
        <f t="shared" si="69"/>
        <v>#N/A</v>
      </c>
      <c r="BA355" s="471" t="e">
        <f>VLOOKUP(AW355,'Item Master Data'!$A:$G,7,FALSE)</f>
        <v>#N/A</v>
      </c>
      <c r="BB355" s="471"/>
      <c r="BC355" s="471" t="e">
        <f t="shared" si="70"/>
        <v>#N/A</v>
      </c>
    </row>
    <row r="356" spans="1:55">
      <c r="A356" s="495"/>
      <c r="B356" s="407">
        <v>44617</v>
      </c>
      <c r="C356" s="407">
        <v>44616</v>
      </c>
      <c r="D356" s="485" t="s">
        <v>86</v>
      </c>
      <c r="E356" s="474"/>
      <c r="F356" s="486"/>
      <c r="G356" s="380">
        <v>2022</v>
      </c>
      <c r="H356" s="380">
        <v>7</v>
      </c>
      <c r="I356" s="474"/>
      <c r="J356" s="475"/>
      <c r="K356" s="474" t="s">
        <v>2131</v>
      </c>
      <c r="L356" s="474" t="s">
        <v>1956</v>
      </c>
      <c r="M356" s="475">
        <v>44545</v>
      </c>
      <c r="N356" s="475">
        <v>44704</v>
      </c>
      <c r="O356" s="475">
        <v>44765</v>
      </c>
      <c r="P356" s="475"/>
      <c r="Q356" s="475"/>
      <c r="R356" s="475"/>
      <c r="S356" s="474" t="s">
        <v>1704</v>
      </c>
      <c r="T356" s="474">
        <v>60</v>
      </c>
      <c r="U356" s="486"/>
      <c r="V356" s="474" t="s">
        <v>986</v>
      </c>
      <c r="W356" s="474">
        <v>360</v>
      </c>
      <c r="X356" s="432">
        <v>3328</v>
      </c>
      <c r="Y356" s="389">
        <f t="shared" si="63"/>
        <v>1198080</v>
      </c>
      <c r="Z356" s="478">
        <f>190.8/360</f>
        <v>0.53</v>
      </c>
      <c r="AA356" s="480">
        <f t="shared" si="62"/>
        <v>634982.40000000002</v>
      </c>
      <c r="AB356" s="480"/>
      <c r="AC356" s="481">
        <f t="shared" si="71"/>
        <v>0</v>
      </c>
      <c r="AD356" s="474"/>
      <c r="AE356" s="474"/>
      <c r="AF356" s="493">
        <f t="shared" si="67"/>
        <v>634982.40000000002</v>
      </c>
      <c r="AG356" s="474" t="s">
        <v>1071</v>
      </c>
      <c r="AH356" s="474"/>
      <c r="AI356" s="474">
        <v>60</v>
      </c>
      <c r="AJ356" s="475" t="s">
        <v>1790</v>
      </c>
      <c r="AK356" s="475" t="s">
        <v>50</v>
      </c>
      <c r="AL356" s="483">
        <v>95834</v>
      </c>
      <c r="AM356" s="474" t="s">
        <v>52</v>
      </c>
      <c r="AN356" s="384" t="s">
        <v>1074</v>
      </c>
      <c r="AO356" s="474" t="s">
        <v>1076</v>
      </c>
      <c r="AP356" s="482"/>
      <c r="AQ356" s="474" t="s">
        <v>37</v>
      </c>
      <c r="AR356" s="474" t="s">
        <v>1960</v>
      </c>
      <c r="AS356" s="473"/>
      <c r="AT356" s="346"/>
      <c r="AU356" s="478">
        <f>196/400</f>
        <v>0.49</v>
      </c>
      <c r="AV356" s="471">
        <f t="shared" si="68"/>
        <v>0</v>
      </c>
      <c r="AW356" s="471" cm="1">
        <f t="array" ref="AW356">SUM(MID(0&amp;AV356,LARGE(INDEX(ISNUMBER(--MID(AV356,ROW($1:$8),1))*ROW($1:$8),),ROW($1:$8))+1,1)*10^ROW($1:$8)/10)</f>
        <v>0</v>
      </c>
      <c r="AX356" s="471" t="e">
        <f>VLOOKUP($AW356,'Item Master Data'!$A:$F,3,FALSE)</f>
        <v>#N/A</v>
      </c>
      <c r="AY356" s="471" t="e">
        <f>VLOOKUP($AW356,'Item Master Data'!$A:$F,6,FALSE)</f>
        <v>#N/A</v>
      </c>
      <c r="AZ356" s="471" t="e">
        <f t="shared" si="69"/>
        <v>#N/A</v>
      </c>
      <c r="BA356" s="471" t="e">
        <f>VLOOKUP(AW356,'Item Master Data'!$A:$G,7,FALSE)</f>
        <v>#N/A</v>
      </c>
      <c r="BB356" s="471"/>
      <c r="BC356" s="471" t="e">
        <f t="shared" si="70"/>
        <v>#N/A</v>
      </c>
    </row>
    <row r="357" spans="1:55">
      <c r="A357" s="495"/>
      <c r="B357" s="407">
        <v>44617</v>
      </c>
      <c r="C357" s="407">
        <v>44616</v>
      </c>
      <c r="D357" s="485" t="s">
        <v>86</v>
      </c>
      <c r="E357" s="474"/>
      <c r="F357" s="486"/>
      <c r="G357" s="474">
        <v>2022</v>
      </c>
      <c r="H357" s="474">
        <v>7</v>
      </c>
      <c r="I357" s="474"/>
      <c r="J357" s="475"/>
      <c r="K357" s="474" t="s">
        <v>2132</v>
      </c>
      <c r="L357" s="474" t="s">
        <v>1956</v>
      </c>
      <c r="M357" s="475">
        <v>44545</v>
      </c>
      <c r="N357" s="475">
        <v>44704</v>
      </c>
      <c r="O357" s="475">
        <v>44765</v>
      </c>
      <c r="P357" s="475"/>
      <c r="Q357" s="475"/>
      <c r="R357" s="475"/>
      <c r="S357" s="474" t="s">
        <v>1704</v>
      </c>
      <c r="T357" s="474">
        <v>60</v>
      </c>
      <c r="U357" s="486"/>
      <c r="V357" s="474" t="s">
        <v>973</v>
      </c>
      <c r="W357" s="474">
        <v>400</v>
      </c>
      <c r="X357" s="432">
        <v>6144</v>
      </c>
      <c r="Y357" s="389">
        <f t="shared" si="63"/>
        <v>2457600</v>
      </c>
      <c r="Z357" s="478">
        <f>220/400</f>
        <v>0.55000000000000004</v>
      </c>
      <c r="AA357" s="480">
        <f t="shared" si="62"/>
        <v>1351680</v>
      </c>
      <c r="AB357" s="480"/>
      <c r="AC357" s="481">
        <f t="shared" si="71"/>
        <v>0</v>
      </c>
      <c r="AD357" s="474"/>
      <c r="AE357" s="474"/>
      <c r="AF357" s="493">
        <f t="shared" si="67"/>
        <v>1351680</v>
      </c>
      <c r="AG357" s="474" t="s">
        <v>1071</v>
      </c>
      <c r="AH357" s="474"/>
      <c r="AI357" s="474">
        <v>60</v>
      </c>
      <c r="AJ357" s="475" t="s">
        <v>1790</v>
      </c>
      <c r="AK357" s="475" t="s">
        <v>50</v>
      </c>
      <c r="AL357" s="483">
        <v>95834</v>
      </c>
      <c r="AM357" s="474" t="s">
        <v>52</v>
      </c>
      <c r="AN357" s="384" t="s">
        <v>1074</v>
      </c>
      <c r="AO357" s="474" t="s">
        <v>1076</v>
      </c>
      <c r="AP357" s="482"/>
      <c r="AQ357" s="474" t="s">
        <v>37</v>
      </c>
      <c r="AR357" s="474" t="s">
        <v>1960</v>
      </c>
      <c r="AS357" s="473"/>
      <c r="AT357" s="473"/>
      <c r="AU357" s="468">
        <f>196/400</f>
        <v>0.49</v>
      </c>
      <c r="AV357" s="471">
        <f t="shared" si="68"/>
        <v>0</v>
      </c>
      <c r="AW357" s="471" cm="1">
        <f t="array" ref="AW357">SUM(MID(0&amp;AV357,LARGE(INDEX(ISNUMBER(--MID(AV357,ROW($1:$8),1))*ROW($1:$8),),ROW($1:$8))+1,1)*10^ROW($1:$8)/10)</f>
        <v>0</v>
      </c>
      <c r="AX357" s="471" t="e">
        <f>VLOOKUP($AW357,'Item Master Data'!$A:$F,3,FALSE)</f>
        <v>#N/A</v>
      </c>
      <c r="AY357" s="471" t="e">
        <f>VLOOKUP($AW357,'Item Master Data'!$A:$F,6,FALSE)</f>
        <v>#N/A</v>
      </c>
      <c r="AZ357" s="471" t="e">
        <f t="shared" si="69"/>
        <v>#N/A</v>
      </c>
      <c r="BA357" s="471" t="e">
        <f>VLOOKUP(AW357,'Item Master Data'!$A:$G,7,FALSE)</f>
        <v>#N/A</v>
      </c>
      <c r="BB357" s="471"/>
      <c r="BC357" s="471" t="e">
        <f t="shared" si="70"/>
        <v>#N/A</v>
      </c>
    </row>
    <row r="358" spans="1:55">
      <c r="A358" s="495"/>
      <c r="B358" s="407">
        <v>44617</v>
      </c>
      <c r="C358" s="407">
        <v>44616</v>
      </c>
      <c r="D358" s="485" t="s">
        <v>86</v>
      </c>
      <c r="E358" s="474"/>
      <c r="F358" s="486"/>
      <c r="G358" s="380">
        <v>2022</v>
      </c>
      <c r="H358" s="474">
        <v>7</v>
      </c>
      <c r="I358" s="474"/>
      <c r="J358" s="475"/>
      <c r="K358" s="474" t="s">
        <v>2133</v>
      </c>
      <c r="L358" s="474" t="s">
        <v>1956</v>
      </c>
      <c r="M358" s="475">
        <v>44575</v>
      </c>
      <c r="N358" s="475">
        <v>44715</v>
      </c>
      <c r="O358" s="475">
        <v>44745</v>
      </c>
      <c r="P358" s="475"/>
      <c r="Q358" s="475"/>
      <c r="R358" s="475"/>
      <c r="S358" s="474" t="s">
        <v>1704</v>
      </c>
      <c r="T358" s="474">
        <v>60</v>
      </c>
      <c r="U358" s="486"/>
      <c r="V358" s="474" t="s">
        <v>986</v>
      </c>
      <c r="W358" s="474">
        <v>360</v>
      </c>
      <c r="X358" s="432">
        <v>3328</v>
      </c>
      <c r="Y358" s="389">
        <f t="shared" si="63"/>
        <v>1198080</v>
      </c>
      <c r="Z358" s="478">
        <f>190.8/360</f>
        <v>0.53</v>
      </c>
      <c r="AA358" s="480">
        <f t="shared" si="62"/>
        <v>634982.40000000002</v>
      </c>
      <c r="AB358" s="480"/>
      <c r="AC358" s="481">
        <f t="shared" si="71"/>
        <v>0</v>
      </c>
      <c r="AD358" s="474"/>
      <c r="AE358" s="474"/>
      <c r="AF358" s="493">
        <f t="shared" si="67"/>
        <v>634982.40000000002</v>
      </c>
      <c r="AG358" s="474" t="s">
        <v>1071</v>
      </c>
      <c r="AH358" s="474"/>
      <c r="AI358" s="474">
        <v>60</v>
      </c>
      <c r="AJ358" s="475" t="s">
        <v>1790</v>
      </c>
      <c r="AK358" s="475" t="s">
        <v>50</v>
      </c>
      <c r="AL358" s="483">
        <v>95834</v>
      </c>
      <c r="AM358" s="474" t="s">
        <v>52</v>
      </c>
      <c r="AN358" s="384" t="s">
        <v>1074</v>
      </c>
      <c r="AO358" s="474" t="s">
        <v>1076</v>
      </c>
      <c r="AP358" s="482"/>
      <c r="AQ358" s="474" t="s">
        <v>37</v>
      </c>
      <c r="AR358" s="474"/>
      <c r="AS358" s="473"/>
      <c r="AT358" s="473"/>
      <c r="AU358" s="478">
        <f>180/360</f>
        <v>0.5</v>
      </c>
      <c r="AV358" s="471">
        <f t="shared" si="68"/>
        <v>0</v>
      </c>
      <c r="AW358" s="471" cm="1">
        <f t="array" ref="AW358">SUM(MID(0&amp;AV358,LARGE(INDEX(ISNUMBER(--MID(AV358,ROW($1:$8),1))*ROW($1:$8),),ROW($1:$8))+1,1)*10^ROW($1:$8)/10)</f>
        <v>0</v>
      </c>
      <c r="AX358" s="471" t="e">
        <f>VLOOKUP($AW358,'Item Master Data'!$A:$F,3,FALSE)</f>
        <v>#N/A</v>
      </c>
      <c r="AY358" s="471" t="e">
        <f>VLOOKUP($AW358,'Item Master Data'!$A:$F,6,FALSE)</f>
        <v>#N/A</v>
      </c>
      <c r="AZ358" s="471" t="e">
        <f t="shared" si="69"/>
        <v>#N/A</v>
      </c>
      <c r="BA358" s="471" t="e">
        <f>VLOOKUP(AW358,'Item Master Data'!$A:$G,7,FALSE)</f>
        <v>#N/A</v>
      </c>
      <c r="BB358" s="471"/>
      <c r="BC358" s="471" t="e">
        <f t="shared" si="70"/>
        <v>#N/A</v>
      </c>
    </row>
    <row r="359" spans="1:55">
      <c r="A359" s="495"/>
      <c r="B359" s="407">
        <v>44617</v>
      </c>
      <c r="C359" s="407">
        <v>44616</v>
      </c>
      <c r="D359" s="485" t="s">
        <v>86</v>
      </c>
      <c r="E359" s="474"/>
      <c r="F359" s="486"/>
      <c r="G359" s="380">
        <v>2022</v>
      </c>
      <c r="H359" s="474">
        <v>7</v>
      </c>
      <c r="I359" s="474"/>
      <c r="J359" s="475"/>
      <c r="K359" s="474" t="s">
        <v>2134</v>
      </c>
      <c r="L359" s="474" t="s">
        <v>1956</v>
      </c>
      <c r="M359" s="475">
        <v>44575</v>
      </c>
      <c r="N359" s="475">
        <v>44715</v>
      </c>
      <c r="O359" s="475">
        <v>44745</v>
      </c>
      <c r="P359" s="475"/>
      <c r="Q359" s="475"/>
      <c r="R359" s="475"/>
      <c r="S359" s="474" t="s">
        <v>1704</v>
      </c>
      <c r="T359" s="474">
        <v>60</v>
      </c>
      <c r="U359" s="486"/>
      <c r="V359" s="474" t="s">
        <v>973</v>
      </c>
      <c r="W359" s="474">
        <v>400</v>
      </c>
      <c r="X359" s="432">
        <v>6144</v>
      </c>
      <c r="Y359" s="389">
        <f t="shared" si="63"/>
        <v>2457600</v>
      </c>
      <c r="Z359" s="478">
        <f>220/400</f>
        <v>0.55000000000000004</v>
      </c>
      <c r="AA359" s="480">
        <f t="shared" si="62"/>
        <v>1351680</v>
      </c>
      <c r="AB359" s="480"/>
      <c r="AC359" s="481">
        <f t="shared" si="71"/>
        <v>0</v>
      </c>
      <c r="AD359" s="474"/>
      <c r="AE359" s="474"/>
      <c r="AF359" s="493">
        <f t="shared" si="67"/>
        <v>1351680</v>
      </c>
      <c r="AG359" s="474" t="s">
        <v>1071</v>
      </c>
      <c r="AH359" s="474"/>
      <c r="AI359" s="474">
        <v>60</v>
      </c>
      <c r="AJ359" s="475" t="s">
        <v>1790</v>
      </c>
      <c r="AK359" s="475" t="s">
        <v>50</v>
      </c>
      <c r="AL359" s="483">
        <v>95834</v>
      </c>
      <c r="AM359" s="474" t="s">
        <v>52</v>
      </c>
      <c r="AN359" s="384" t="s">
        <v>1074</v>
      </c>
      <c r="AO359" s="474" t="s">
        <v>1076</v>
      </c>
      <c r="AP359" s="482"/>
      <c r="AQ359" s="474" t="s">
        <v>37</v>
      </c>
      <c r="AR359" s="474" t="s">
        <v>1960</v>
      </c>
      <c r="AS359" s="473"/>
      <c r="AT359" s="346"/>
      <c r="AU359" s="478">
        <f>196/400</f>
        <v>0.49</v>
      </c>
      <c r="AV359" s="471">
        <f t="shared" si="68"/>
        <v>0</v>
      </c>
      <c r="AW359" s="471" cm="1">
        <f t="array" ref="AW359">SUM(MID(0&amp;AV359,LARGE(INDEX(ISNUMBER(--MID(AV359,ROW($1:$8),1))*ROW($1:$8),),ROW($1:$8))+1,1)*10^ROW($1:$8)/10)</f>
        <v>0</v>
      </c>
      <c r="AX359" s="471" t="e">
        <f>VLOOKUP($AW359,'Item Master Data'!$A:$F,3,FALSE)</f>
        <v>#N/A</v>
      </c>
      <c r="AY359" s="471" t="e">
        <f>VLOOKUP($AW359,'Item Master Data'!$A:$F,6,FALSE)</f>
        <v>#N/A</v>
      </c>
      <c r="AZ359" s="471" t="e">
        <f t="shared" si="69"/>
        <v>#N/A</v>
      </c>
      <c r="BA359" s="471" t="e">
        <f>VLOOKUP(AW359,'Item Master Data'!$A:$G,7,FALSE)</f>
        <v>#N/A</v>
      </c>
      <c r="BB359" s="471"/>
      <c r="BC359" s="471" t="e">
        <f t="shared" si="70"/>
        <v>#N/A</v>
      </c>
    </row>
    <row r="360" spans="1:55">
      <c r="A360" s="495"/>
      <c r="B360" s="407">
        <v>44635</v>
      </c>
      <c r="C360" s="407">
        <v>44616</v>
      </c>
      <c r="D360" s="485" t="s">
        <v>86</v>
      </c>
      <c r="E360" s="486" t="s">
        <v>1483</v>
      </c>
      <c r="F360" s="486"/>
      <c r="G360" s="380">
        <v>2022</v>
      </c>
      <c r="H360" s="474">
        <v>7</v>
      </c>
      <c r="I360" s="474"/>
      <c r="J360" s="475"/>
      <c r="K360" s="474" t="s">
        <v>2143</v>
      </c>
      <c r="L360" s="474" t="s">
        <v>1956</v>
      </c>
      <c r="M360" s="475">
        <v>44631</v>
      </c>
      <c r="N360" s="475">
        <v>44747</v>
      </c>
      <c r="O360" s="475"/>
      <c r="P360" s="475"/>
      <c r="Q360" s="475"/>
      <c r="R360" s="475"/>
      <c r="S360" s="474" t="s">
        <v>1704</v>
      </c>
      <c r="T360" s="474">
        <v>72</v>
      </c>
      <c r="U360" s="486" t="s">
        <v>2144</v>
      </c>
      <c r="V360" s="474" t="s">
        <v>2032</v>
      </c>
      <c r="W360" s="474">
        <v>475</v>
      </c>
      <c r="X360" s="432">
        <v>600</v>
      </c>
      <c r="Y360" s="389">
        <f t="shared" si="63"/>
        <v>285000</v>
      </c>
      <c r="Z360" s="478">
        <f>237.5/475</f>
        <v>0.5</v>
      </c>
      <c r="AA360" s="480">
        <f t="shared" si="62"/>
        <v>142500</v>
      </c>
      <c r="AB360" s="480"/>
      <c r="AC360" s="481">
        <f t="shared" si="71"/>
        <v>0</v>
      </c>
      <c r="AD360" s="474"/>
      <c r="AE360" s="474"/>
      <c r="AF360" s="493">
        <f t="shared" si="67"/>
        <v>142500</v>
      </c>
      <c r="AG360" s="474" t="s">
        <v>1071</v>
      </c>
      <c r="AH360" s="474"/>
      <c r="AI360" s="474">
        <v>60</v>
      </c>
      <c r="AJ360" s="475" t="s">
        <v>1790</v>
      </c>
      <c r="AK360" s="475" t="s">
        <v>50</v>
      </c>
      <c r="AL360" s="483">
        <v>95834</v>
      </c>
      <c r="AM360" s="474" t="s">
        <v>52</v>
      </c>
      <c r="AN360" s="384" t="s">
        <v>1074</v>
      </c>
      <c r="AO360" s="474" t="s">
        <v>1076</v>
      </c>
      <c r="AP360" s="482"/>
      <c r="AQ360" s="474" t="s">
        <v>37</v>
      </c>
      <c r="AR360" s="474"/>
      <c r="AS360" s="473"/>
      <c r="AT360" s="473"/>
      <c r="AU360" s="478">
        <f>180/360</f>
        <v>0.5</v>
      </c>
      <c r="AV360" s="471" t="str">
        <f t="shared" si="68"/>
        <v>CYB MODS</v>
      </c>
      <c r="AW360" s="471" cm="1">
        <f t="array" ref="AW360">SUM(MID(0&amp;AV360,LARGE(INDEX(ISNUMBER(--MID(AV360,ROW($1:$8),1))*ROW($1:$8),),ROW($1:$8))+1,1)*10^ROW($1:$8)/10)</f>
        <v>0</v>
      </c>
      <c r="AX360" s="471" t="e">
        <f>VLOOKUP($AW360,'Item Master Data'!$A:$F,3,FALSE)</f>
        <v>#N/A</v>
      </c>
      <c r="AY360" s="471" t="e">
        <f>VLOOKUP($AW360,'Item Master Data'!$A:$F,6,FALSE)</f>
        <v>#N/A</v>
      </c>
      <c r="AZ360" s="471" t="e">
        <f t="shared" si="69"/>
        <v>#N/A</v>
      </c>
      <c r="BA360" s="471" t="e">
        <f>VLOOKUP(AW360,'Item Master Data'!$A:$G,7,FALSE)</f>
        <v>#N/A</v>
      </c>
      <c r="BB360" s="471"/>
      <c r="BC360" s="471" t="e">
        <f t="shared" si="70"/>
        <v>#N/A</v>
      </c>
    </row>
    <row r="361" spans="1:55">
      <c r="A361" s="495"/>
      <c r="B361" s="407">
        <v>44642</v>
      </c>
      <c r="C361" s="495"/>
      <c r="D361" s="474" t="s">
        <v>86</v>
      </c>
      <c r="E361" s="474"/>
      <c r="F361" s="474"/>
      <c r="G361" s="474">
        <v>2022</v>
      </c>
      <c r="H361" s="474">
        <v>7</v>
      </c>
      <c r="I361" s="474"/>
      <c r="J361" s="475"/>
      <c r="K361" s="474" t="s">
        <v>4152</v>
      </c>
      <c r="L361" s="474" t="s">
        <v>1699</v>
      </c>
      <c r="M361" s="475">
        <v>44571</v>
      </c>
      <c r="N361" s="475">
        <v>44741</v>
      </c>
      <c r="O361" s="475"/>
      <c r="P361" s="475"/>
      <c r="Q361" s="475"/>
      <c r="R361" s="475"/>
      <c r="S361" s="474" t="s">
        <v>88</v>
      </c>
      <c r="T361" s="474">
        <v>60</v>
      </c>
      <c r="U361" s="474"/>
      <c r="V361" s="486" t="s">
        <v>973</v>
      </c>
      <c r="W361" s="474">
        <v>400</v>
      </c>
      <c r="X361" s="432">
        <v>2240</v>
      </c>
      <c r="Y361" s="389">
        <f t="shared" si="63"/>
        <v>896000</v>
      </c>
      <c r="Z361" s="478">
        <f>220/400</f>
        <v>0.55000000000000004</v>
      </c>
      <c r="AA361" s="479">
        <f t="shared" si="62"/>
        <v>492800.00000000006</v>
      </c>
      <c r="AB361" s="480"/>
      <c r="AC361" s="481">
        <v>0</v>
      </c>
      <c r="AD361" s="490"/>
      <c r="AE361" s="482"/>
      <c r="AF361" s="493">
        <f t="shared" si="67"/>
        <v>492800.00000000006</v>
      </c>
      <c r="AG361" s="474" t="s">
        <v>1071</v>
      </c>
      <c r="AH361" s="474"/>
      <c r="AI361" s="474">
        <v>60</v>
      </c>
      <c r="AJ361" s="474" t="s">
        <v>1700</v>
      </c>
      <c r="AK361" s="474" t="s">
        <v>50</v>
      </c>
      <c r="AL361" s="474">
        <v>92126</v>
      </c>
      <c r="AM361" s="474" t="s">
        <v>52</v>
      </c>
      <c r="AN361" s="474"/>
      <c r="AO361" s="474" t="s">
        <v>1076</v>
      </c>
      <c r="AP361" s="482"/>
      <c r="AQ361" s="482" t="s">
        <v>37</v>
      </c>
      <c r="AR361" s="482"/>
      <c r="AS361" s="473" t="s">
        <v>1492</v>
      </c>
      <c r="AT361" s="473"/>
      <c r="AU361" s="468">
        <f>208/400</f>
        <v>0.52</v>
      </c>
      <c r="AV361" s="471">
        <f t="shared" si="68"/>
        <v>0</v>
      </c>
      <c r="AW361" s="471" cm="1">
        <f t="array" ref="AW361">SUM(MID(0&amp;AV361,LARGE(INDEX(ISNUMBER(--MID(AV361,ROW($1:$8),1))*ROW($1:$8),),ROW($1:$8))+1,1)*10^ROW($1:$8)/10)</f>
        <v>0</v>
      </c>
      <c r="AX361" s="471" t="e">
        <f>VLOOKUP($AW361,'Item Master Data'!$A:$F,3,FALSE)</f>
        <v>#N/A</v>
      </c>
      <c r="AY361" s="471" t="e">
        <f>VLOOKUP($AW361,'Item Master Data'!$A:$F,6,FALSE)</f>
        <v>#N/A</v>
      </c>
      <c r="AZ361" s="471" t="e">
        <f t="shared" si="69"/>
        <v>#N/A</v>
      </c>
      <c r="BA361" s="471" t="e">
        <f>VLOOKUP(AW361,'Item Master Data'!$A:$G,7,FALSE)</f>
        <v>#N/A</v>
      </c>
      <c r="BB361" s="471"/>
      <c r="BC361" s="471" t="e">
        <f t="shared" si="70"/>
        <v>#N/A</v>
      </c>
    </row>
    <row r="362" spans="1:55">
      <c r="A362" s="495"/>
      <c r="B362" s="407"/>
      <c r="C362" s="407"/>
      <c r="D362" s="485" t="s">
        <v>86</v>
      </c>
      <c r="E362" s="474"/>
      <c r="F362" s="486" t="s">
        <v>87</v>
      </c>
      <c r="G362" s="380">
        <v>2022</v>
      </c>
      <c r="H362" s="380">
        <v>7</v>
      </c>
      <c r="I362" s="474"/>
      <c r="J362" s="475"/>
      <c r="K362" s="474" t="s">
        <v>2173</v>
      </c>
      <c r="L362" s="474" t="s">
        <v>1699</v>
      </c>
      <c r="M362" s="475">
        <v>44609</v>
      </c>
      <c r="N362" s="475">
        <v>44743</v>
      </c>
      <c r="O362" s="475"/>
      <c r="P362" s="475"/>
      <c r="Q362" s="475"/>
      <c r="R362" s="475"/>
      <c r="S362" s="474" t="s">
        <v>88</v>
      </c>
      <c r="T362" s="474">
        <v>72</v>
      </c>
      <c r="U362" s="486">
        <v>49303156</v>
      </c>
      <c r="V362" s="474" t="s">
        <v>1070</v>
      </c>
      <c r="W362" s="474">
        <v>480</v>
      </c>
      <c r="X362" s="432">
        <v>3190</v>
      </c>
      <c r="Y362" s="389">
        <f t="shared" si="63"/>
        <v>1531200</v>
      </c>
      <c r="Z362" s="478">
        <f>235.2/480</f>
        <v>0.49</v>
      </c>
      <c r="AA362" s="480">
        <f t="shared" si="62"/>
        <v>750288</v>
      </c>
      <c r="AB362" s="480"/>
      <c r="AC362" s="481">
        <f>AB362*Y362</f>
        <v>0</v>
      </c>
      <c r="AD362" s="474"/>
      <c r="AE362" s="474"/>
      <c r="AF362" s="493">
        <f t="shared" si="67"/>
        <v>750288</v>
      </c>
      <c r="AG362" s="474" t="s">
        <v>1071</v>
      </c>
      <c r="AH362" s="474"/>
      <c r="AI362" s="474">
        <v>60</v>
      </c>
      <c r="AJ362" s="475" t="s">
        <v>1700</v>
      </c>
      <c r="AK362" s="475" t="s">
        <v>50</v>
      </c>
      <c r="AL362" s="483">
        <v>92126</v>
      </c>
      <c r="AM362" s="474" t="s">
        <v>52</v>
      </c>
      <c r="AN362" s="384" t="s">
        <v>1695</v>
      </c>
      <c r="AO362" s="474" t="s">
        <v>1076</v>
      </c>
      <c r="AP362" s="482"/>
      <c r="AQ362" s="474" t="s">
        <v>37</v>
      </c>
      <c r="AR362" s="474"/>
      <c r="AS362" s="473" t="s">
        <v>1492</v>
      </c>
      <c r="AT362" s="346"/>
      <c r="AU362" s="478"/>
      <c r="AV362" s="471">
        <f t="shared" si="68"/>
        <v>49303156</v>
      </c>
      <c r="AW362" s="471" cm="1">
        <f t="array" ref="AW362">SUM(MID(0&amp;AV362,LARGE(INDEX(ISNUMBER(--MID(AV362,ROW($1:$8),1))*ROW($1:$8),),ROW($1:$8))+1,1)*10^ROW($1:$8)/10)</f>
        <v>49303156</v>
      </c>
      <c r="AX362" s="471" t="str">
        <f>VLOOKUP($AW362,'Item Master Data'!$A:$F,3,FALSE)</f>
        <v>Q.PEAK DUO XL G10 BFG</v>
      </c>
      <c r="AY362" s="471">
        <f>VLOOKUP($AW362,'Item Master Data'!$A:$F,6,FALSE)</f>
        <v>480</v>
      </c>
      <c r="AZ362" s="471">
        <f t="shared" si="69"/>
        <v>110</v>
      </c>
      <c r="BA362" s="471">
        <f>VLOOKUP(AW362,'Item Master Data'!$A:$G,7,FALSE)</f>
        <v>29</v>
      </c>
      <c r="BB362" s="471"/>
      <c r="BC362" s="471">
        <f t="shared" si="70"/>
        <v>0</v>
      </c>
    </row>
    <row r="363" spans="1:55">
      <c r="A363" s="495"/>
      <c r="B363" s="407"/>
      <c r="C363" s="407"/>
      <c r="D363" s="485" t="s">
        <v>86</v>
      </c>
      <c r="E363" s="474" t="s">
        <v>2030</v>
      </c>
      <c r="F363" s="486" t="s">
        <v>87</v>
      </c>
      <c r="G363" s="380">
        <v>2022</v>
      </c>
      <c r="H363" s="474">
        <v>7</v>
      </c>
      <c r="I363" s="474"/>
      <c r="J363" s="475"/>
      <c r="K363" s="474" t="s">
        <v>2224</v>
      </c>
      <c r="L363" s="474" t="s">
        <v>2025</v>
      </c>
      <c r="M363" s="475">
        <v>44586</v>
      </c>
      <c r="N363" s="475">
        <v>44747</v>
      </c>
      <c r="O363" s="475"/>
      <c r="P363" s="475"/>
      <c r="Q363" s="475"/>
      <c r="R363" s="475"/>
      <c r="S363" s="474" t="s">
        <v>1957</v>
      </c>
      <c r="T363" s="474">
        <v>72</v>
      </c>
      <c r="U363" s="486">
        <v>49303156</v>
      </c>
      <c r="V363" s="474" t="s">
        <v>2032</v>
      </c>
      <c r="W363" s="474">
        <v>480</v>
      </c>
      <c r="X363" s="432">
        <v>1160</v>
      </c>
      <c r="Y363" s="389">
        <f t="shared" si="63"/>
        <v>556800</v>
      </c>
      <c r="Z363" s="478">
        <f>232.75/480</f>
        <v>0.48489583333333336</v>
      </c>
      <c r="AA363" s="480">
        <f t="shared" si="62"/>
        <v>269990</v>
      </c>
      <c r="AB363" s="480"/>
      <c r="AC363" s="481">
        <v>0</v>
      </c>
      <c r="AD363" s="474"/>
      <c r="AE363" s="474"/>
      <c r="AF363" s="493">
        <v>275616</v>
      </c>
      <c r="AG363" s="474" t="s">
        <v>1071</v>
      </c>
      <c r="AH363" s="474"/>
      <c r="AI363" s="474">
        <v>60</v>
      </c>
      <c r="AJ363" s="475" t="s">
        <v>2026</v>
      </c>
      <c r="AK363" s="475" t="s">
        <v>50</v>
      </c>
      <c r="AL363" s="483">
        <v>95403</v>
      </c>
      <c r="AM363" s="474" t="s">
        <v>52</v>
      </c>
      <c r="AN363" s="384" t="s">
        <v>1695</v>
      </c>
      <c r="AO363" s="474" t="s">
        <v>1076</v>
      </c>
      <c r="AP363" s="482"/>
      <c r="AQ363" s="474" t="s">
        <v>37</v>
      </c>
      <c r="AR363" s="474"/>
      <c r="AS363" s="473" t="s">
        <v>1492</v>
      </c>
      <c r="AT363" s="346"/>
      <c r="AU363" s="478"/>
      <c r="AV363" s="471">
        <f t="shared" si="68"/>
        <v>49303156</v>
      </c>
      <c r="AW363" s="471" cm="1">
        <f t="array" ref="AW363">SUM(MID(0&amp;AV363,LARGE(INDEX(ISNUMBER(--MID(AV363,ROW($1:$8),1))*ROW($1:$8),),ROW($1:$8))+1,1)*10^ROW($1:$8)/10)</f>
        <v>49303156</v>
      </c>
      <c r="AX363" s="471" t="str">
        <f>VLOOKUP($AW363,'Item Master Data'!$A:$F,3,FALSE)</f>
        <v>Q.PEAK DUO XL G10 BFG</v>
      </c>
      <c r="AY363" s="471">
        <f>VLOOKUP($AW363,'Item Master Data'!$A:$F,6,FALSE)</f>
        <v>480</v>
      </c>
      <c r="AZ363" s="471">
        <f t="shared" si="69"/>
        <v>40</v>
      </c>
      <c r="BA363" s="471">
        <f>VLOOKUP(AW363,'Item Master Data'!$A:$G,7,FALSE)</f>
        <v>29</v>
      </c>
      <c r="BB363" s="471"/>
      <c r="BC363" s="471">
        <f t="shared" si="70"/>
        <v>0</v>
      </c>
    </row>
    <row r="364" spans="1:55">
      <c r="A364" s="495"/>
      <c r="B364" s="407">
        <v>44627</v>
      </c>
      <c r="C364" s="407">
        <v>44627</v>
      </c>
      <c r="D364" s="485" t="s">
        <v>86</v>
      </c>
      <c r="E364" s="383"/>
      <c r="F364" s="474"/>
      <c r="G364" s="380">
        <v>2022</v>
      </c>
      <c r="H364" s="474">
        <v>7</v>
      </c>
      <c r="I364" s="474"/>
      <c r="J364" s="475"/>
      <c r="K364" s="474" t="s">
        <v>2263</v>
      </c>
      <c r="L364" s="474" t="s">
        <v>1703</v>
      </c>
      <c r="M364" s="475">
        <v>44615</v>
      </c>
      <c r="N364" s="475">
        <v>44743</v>
      </c>
      <c r="O364" s="475"/>
      <c r="P364" s="345"/>
      <c r="Q364" s="475"/>
      <c r="R364" s="475"/>
      <c r="S364" s="474" t="s">
        <v>1704</v>
      </c>
      <c r="T364" s="474">
        <v>60</v>
      </c>
      <c r="U364" s="474"/>
      <c r="V364" s="486" t="s">
        <v>973</v>
      </c>
      <c r="W364" s="474">
        <v>400</v>
      </c>
      <c r="X364" s="432">
        <v>3072</v>
      </c>
      <c r="Y364" s="389">
        <v>1228800</v>
      </c>
      <c r="Z364" s="478">
        <v>0.55000000000000004</v>
      </c>
      <c r="AA364" s="479">
        <v>675840</v>
      </c>
      <c r="AB364" s="480"/>
      <c r="AC364" s="481">
        <v>0</v>
      </c>
      <c r="AD364" s="474"/>
      <c r="AE364" s="474"/>
      <c r="AF364" s="493">
        <v>675840</v>
      </c>
      <c r="AG364" s="474" t="s">
        <v>1071</v>
      </c>
      <c r="AH364" s="474"/>
      <c r="AI364" s="474">
        <v>60</v>
      </c>
      <c r="AJ364" s="475" t="s">
        <v>1705</v>
      </c>
      <c r="AK364" s="475" t="s">
        <v>1706</v>
      </c>
      <c r="AL364" s="483" t="s">
        <v>1707</v>
      </c>
      <c r="AM364" s="474" t="s">
        <v>52</v>
      </c>
      <c r="AN364" s="384"/>
      <c r="AO364" s="474" t="s">
        <v>1076</v>
      </c>
      <c r="AP364" s="474"/>
      <c r="AQ364" s="482" t="s">
        <v>37</v>
      </c>
      <c r="AR364" s="474"/>
      <c r="AS364" s="473"/>
      <c r="AT364" s="346"/>
      <c r="AU364" s="478"/>
      <c r="AV364" s="471">
        <f t="shared" si="68"/>
        <v>0</v>
      </c>
      <c r="AW364" s="471" cm="1">
        <f t="array" ref="AW364">SUM(MID(0&amp;AV364,LARGE(INDEX(ISNUMBER(--MID(AV364,ROW($1:$8),1))*ROW($1:$8),),ROW($1:$8))+1,1)*10^ROW($1:$8)/10)</f>
        <v>0</v>
      </c>
      <c r="AX364" s="471" t="e">
        <f>VLOOKUP($AW364,'Item Master Data'!$A:$F,3,FALSE)</f>
        <v>#N/A</v>
      </c>
      <c r="AY364" s="471" t="e">
        <f>VLOOKUP($AW364,'Item Master Data'!$A:$F,6,FALSE)</f>
        <v>#N/A</v>
      </c>
      <c r="AZ364" s="471" t="e">
        <f t="shared" si="69"/>
        <v>#N/A</v>
      </c>
      <c r="BA364" s="471" t="e">
        <f>VLOOKUP(AW364,'Item Master Data'!$A:$G,7,FALSE)</f>
        <v>#N/A</v>
      </c>
      <c r="BB364" s="471"/>
      <c r="BC364" s="471" t="e">
        <f t="shared" si="70"/>
        <v>#N/A</v>
      </c>
    </row>
    <row r="365" spans="1:55">
      <c r="A365" s="495"/>
      <c r="B365" s="407">
        <v>44627</v>
      </c>
      <c r="C365" s="407">
        <v>44627</v>
      </c>
      <c r="D365" s="485" t="s">
        <v>86</v>
      </c>
      <c r="E365" s="383"/>
      <c r="F365" s="474"/>
      <c r="G365" s="380">
        <v>2022</v>
      </c>
      <c r="H365" s="474">
        <v>7</v>
      </c>
      <c r="I365" s="474"/>
      <c r="J365" s="475"/>
      <c r="K365" s="474" t="s">
        <v>2263</v>
      </c>
      <c r="L365" s="474" t="s">
        <v>1703</v>
      </c>
      <c r="M365" s="475">
        <v>44615</v>
      </c>
      <c r="N365" s="475">
        <v>44743</v>
      </c>
      <c r="O365" s="475"/>
      <c r="P365" s="345"/>
      <c r="Q365" s="475"/>
      <c r="R365" s="475"/>
      <c r="S365" s="474" t="s">
        <v>1704</v>
      </c>
      <c r="T365" s="474">
        <v>60</v>
      </c>
      <c r="U365" s="474"/>
      <c r="V365" s="474" t="s">
        <v>986</v>
      </c>
      <c r="W365" s="474">
        <v>360</v>
      </c>
      <c r="X365" s="432">
        <v>832</v>
      </c>
      <c r="Y365" s="389">
        <v>299520</v>
      </c>
      <c r="Z365" s="478">
        <v>0.53</v>
      </c>
      <c r="AA365" s="479">
        <v>158745.60000000001</v>
      </c>
      <c r="AB365" s="480"/>
      <c r="AC365" s="481">
        <v>0</v>
      </c>
      <c r="AD365" s="474"/>
      <c r="AE365" s="474"/>
      <c r="AF365" s="493">
        <v>158745.60000000001</v>
      </c>
      <c r="AG365" s="474" t="s">
        <v>1071</v>
      </c>
      <c r="AH365" s="474"/>
      <c r="AI365" s="474">
        <v>60</v>
      </c>
      <c r="AJ365" s="475" t="s">
        <v>1705</v>
      </c>
      <c r="AK365" s="475" t="s">
        <v>1706</v>
      </c>
      <c r="AL365" s="483" t="s">
        <v>1707</v>
      </c>
      <c r="AM365" s="474" t="s">
        <v>52</v>
      </c>
      <c r="AN365" s="384"/>
      <c r="AO365" s="474" t="s">
        <v>1076</v>
      </c>
      <c r="AP365" s="474"/>
      <c r="AQ365" s="482" t="s">
        <v>37</v>
      </c>
      <c r="AR365" s="474"/>
      <c r="AS365" s="473"/>
      <c r="AT365" s="346"/>
      <c r="AU365" s="478"/>
      <c r="AV365" s="471">
        <f t="shared" si="68"/>
        <v>0</v>
      </c>
      <c r="AW365" s="471" cm="1">
        <f t="array" ref="AW365">SUM(MID(0&amp;AV365,LARGE(INDEX(ISNUMBER(--MID(AV365,ROW($1:$8),1))*ROW($1:$8),),ROW($1:$8))+1,1)*10^ROW($1:$8)/10)</f>
        <v>0</v>
      </c>
      <c r="AX365" s="471" t="e">
        <f>VLOOKUP($AW365,'Item Master Data'!$A:$F,3,FALSE)</f>
        <v>#N/A</v>
      </c>
      <c r="AY365" s="471" t="e">
        <f>VLOOKUP($AW365,'Item Master Data'!$A:$F,6,FALSE)</f>
        <v>#N/A</v>
      </c>
      <c r="AZ365" s="471" t="e">
        <f t="shared" si="69"/>
        <v>#N/A</v>
      </c>
      <c r="BA365" s="471" t="e">
        <f>VLOOKUP(AW365,'Item Master Data'!$A:$G,7,FALSE)</f>
        <v>#N/A</v>
      </c>
      <c r="BB365" s="471"/>
      <c r="BC365" s="471" t="e">
        <f t="shared" si="70"/>
        <v>#N/A</v>
      </c>
    </row>
    <row r="366" spans="1:55">
      <c r="A366" s="495"/>
      <c r="B366" s="407">
        <v>44607</v>
      </c>
      <c r="C366" s="407">
        <v>44607</v>
      </c>
      <c r="D366" s="485" t="s">
        <v>86</v>
      </c>
      <c r="E366" s="474"/>
      <c r="F366" s="486"/>
      <c r="G366" s="380">
        <v>2022</v>
      </c>
      <c r="H366" s="474">
        <v>7</v>
      </c>
      <c r="I366" s="474"/>
      <c r="J366" s="475"/>
      <c r="K366" s="474" t="s">
        <v>2301</v>
      </c>
      <c r="L366" s="474" t="s">
        <v>1714</v>
      </c>
      <c r="M366" s="475">
        <v>44530</v>
      </c>
      <c r="N366" s="475">
        <v>44746</v>
      </c>
      <c r="O366" s="475"/>
      <c r="P366" s="475"/>
      <c r="Q366" s="475"/>
      <c r="R366" s="475"/>
      <c r="S366" s="474" t="s">
        <v>1688</v>
      </c>
      <c r="T366" s="474">
        <v>60</v>
      </c>
      <c r="U366" s="486"/>
      <c r="V366" s="474" t="s">
        <v>986</v>
      </c>
      <c r="W366" s="474">
        <v>360</v>
      </c>
      <c r="X366" s="432">
        <v>768</v>
      </c>
      <c r="Y366" s="389">
        <f t="shared" ref="Y366:Y403" si="72">W366*X366</f>
        <v>276480</v>
      </c>
      <c r="Z366" s="478">
        <f>190.8/360</f>
        <v>0.53</v>
      </c>
      <c r="AA366" s="480">
        <f t="shared" ref="AA366:AA403" si="73">Z366*Y366</f>
        <v>146534.39999999999</v>
      </c>
      <c r="AB366" s="480"/>
      <c r="AC366" s="481">
        <f t="shared" ref="AC366:AC378" si="74">AB366*Y366</f>
        <v>0</v>
      </c>
      <c r="AD366" s="474"/>
      <c r="AE366" s="474"/>
      <c r="AF366" s="493">
        <f t="shared" ref="AF366:AF402" si="75">AE366+AD366+AA366</f>
        <v>146534.39999999999</v>
      </c>
      <c r="AG366" s="474" t="s">
        <v>1071</v>
      </c>
      <c r="AH366" s="474"/>
      <c r="AI366" s="474">
        <v>60</v>
      </c>
      <c r="AJ366" s="475" t="s">
        <v>2101</v>
      </c>
      <c r="AK366" s="475" t="s">
        <v>50</v>
      </c>
      <c r="AL366" s="483">
        <v>93003</v>
      </c>
      <c r="AM366" s="474" t="s">
        <v>52</v>
      </c>
      <c r="AN366" s="384"/>
      <c r="AO366" s="474" t="s">
        <v>1076</v>
      </c>
      <c r="AP366" s="482" t="s">
        <v>38</v>
      </c>
      <c r="AQ366" s="474" t="s">
        <v>37</v>
      </c>
      <c r="AR366" s="474"/>
      <c r="AS366" s="473"/>
      <c r="AT366" s="346"/>
      <c r="AU366" s="478"/>
      <c r="AV366" s="471">
        <f t="shared" si="68"/>
        <v>0</v>
      </c>
      <c r="AW366" s="471" cm="1">
        <f t="array" ref="AW366">SUM(MID(0&amp;AV366,LARGE(INDEX(ISNUMBER(--MID(AV366,ROW($1:$8),1))*ROW($1:$8),),ROW($1:$8))+1,1)*10^ROW($1:$8)/10)</f>
        <v>0</v>
      </c>
      <c r="AX366" s="471" t="e">
        <f>VLOOKUP($AW366,'Item Master Data'!$A:$F,3,FALSE)</f>
        <v>#N/A</v>
      </c>
      <c r="AY366" s="471" t="e">
        <f>VLOOKUP($AW366,'Item Master Data'!$A:$F,6,FALSE)</f>
        <v>#N/A</v>
      </c>
      <c r="AZ366" s="471" t="e">
        <f t="shared" si="69"/>
        <v>#N/A</v>
      </c>
      <c r="BA366" s="471" t="e">
        <f>VLOOKUP(AW366,'Item Master Data'!$A:$G,7,FALSE)</f>
        <v>#N/A</v>
      </c>
      <c r="BB366" s="471"/>
      <c r="BC366" s="471" t="e">
        <f t="shared" si="70"/>
        <v>#N/A</v>
      </c>
    </row>
    <row r="367" spans="1:55">
      <c r="A367" s="495"/>
      <c r="B367" s="407"/>
      <c r="C367" s="407"/>
      <c r="D367" s="485" t="s">
        <v>86</v>
      </c>
      <c r="E367" s="474"/>
      <c r="F367" s="486"/>
      <c r="G367" s="380">
        <v>2022</v>
      </c>
      <c r="H367" s="474">
        <v>7</v>
      </c>
      <c r="I367" s="474"/>
      <c r="J367" s="475"/>
      <c r="K367" s="474" t="s">
        <v>2302</v>
      </c>
      <c r="L367" s="474" t="s">
        <v>1714</v>
      </c>
      <c r="M367" s="475">
        <v>44558</v>
      </c>
      <c r="N367" s="475">
        <v>44746</v>
      </c>
      <c r="O367" s="475"/>
      <c r="P367" s="475"/>
      <c r="Q367" s="475"/>
      <c r="R367" s="475"/>
      <c r="S367" s="474" t="s">
        <v>1688</v>
      </c>
      <c r="T367" s="474">
        <v>60</v>
      </c>
      <c r="U367" s="486"/>
      <c r="V367" s="474" t="s">
        <v>973</v>
      </c>
      <c r="W367" s="474">
        <v>400</v>
      </c>
      <c r="X367" s="432">
        <v>768</v>
      </c>
      <c r="Y367" s="389">
        <f t="shared" si="72"/>
        <v>307200</v>
      </c>
      <c r="Z367" s="478">
        <f>220/400</f>
        <v>0.55000000000000004</v>
      </c>
      <c r="AA367" s="480">
        <f t="shared" si="73"/>
        <v>168960</v>
      </c>
      <c r="AB367" s="480"/>
      <c r="AC367" s="481">
        <f t="shared" si="74"/>
        <v>0</v>
      </c>
      <c r="AD367" s="474"/>
      <c r="AE367" s="474"/>
      <c r="AF367" s="493">
        <f t="shared" si="75"/>
        <v>168960</v>
      </c>
      <c r="AG367" s="474" t="s">
        <v>1071</v>
      </c>
      <c r="AH367" s="474"/>
      <c r="AI367" s="474">
        <v>60</v>
      </c>
      <c r="AJ367" s="475" t="s">
        <v>2101</v>
      </c>
      <c r="AK367" s="475" t="s">
        <v>50</v>
      </c>
      <c r="AL367" s="483">
        <v>93003</v>
      </c>
      <c r="AM367" s="474" t="s">
        <v>52</v>
      </c>
      <c r="AN367" s="384" t="s">
        <v>1074</v>
      </c>
      <c r="AO367" s="474" t="s">
        <v>1076</v>
      </c>
      <c r="AP367" s="482"/>
      <c r="AQ367" s="474" t="s">
        <v>37</v>
      </c>
      <c r="AR367" s="474"/>
      <c r="AS367" s="473"/>
      <c r="AT367" s="346"/>
      <c r="AU367" s="478"/>
      <c r="AV367" s="471">
        <f t="shared" si="68"/>
        <v>0</v>
      </c>
      <c r="AW367" s="471" cm="1">
        <f t="array" ref="AW367">SUM(MID(0&amp;AV367,LARGE(INDEX(ISNUMBER(--MID(AV367,ROW($1:$8),1))*ROW($1:$8),),ROW($1:$8))+1,1)*10^ROW($1:$8)/10)</f>
        <v>0</v>
      </c>
      <c r="AX367" s="471" t="e">
        <f>VLOOKUP($AW367,'Item Master Data'!$A:$F,3,FALSE)</f>
        <v>#N/A</v>
      </c>
      <c r="AY367" s="471" t="e">
        <f>VLOOKUP($AW367,'Item Master Data'!$A:$F,6,FALSE)</f>
        <v>#N/A</v>
      </c>
      <c r="AZ367" s="471" t="e">
        <f t="shared" si="69"/>
        <v>#N/A</v>
      </c>
      <c r="BA367" s="471" t="e">
        <f>VLOOKUP(AW367,'Item Master Data'!$A:$G,7,FALSE)</f>
        <v>#N/A</v>
      </c>
      <c r="BB367" s="471"/>
      <c r="BC367" s="471" t="e">
        <f t="shared" si="70"/>
        <v>#N/A</v>
      </c>
    </row>
    <row r="368" spans="1:55">
      <c r="A368" s="495"/>
      <c r="B368" s="407"/>
      <c r="C368" s="407"/>
      <c r="D368" s="485" t="s">
        <v>86</v>
      </c>
      <c r="E368" s="474"/>
      <c r="F368" s="486" t="s">
        <v>1147</v>
      </c>
      <c r="G368" s="380">
        <v>2022</v>
      </c>
      <c r="H368" s="474">
        <v>7</v>
      </c>
      <c r="I368" s="474"/>
      <c r="J368" s="475"/>
      <c r="K368" s="474" t="s">
        <v>1977</v>
      </c>
      <c r="L368" s="474" t="s">
        <v>1953</v>
      </c>
      <c r="M368" s="475">
        <v>44498</v>
      </c>
      <c r="N368" s="475">
        <v>44593</v>
      </c>
      <c r="O368" s="475" t="s">
        <v>1978</v>
      </c>
      <c r="P368" s="475"/>
      <c r="Q368" s="475"/>
      <c r="R368" s="475"/>
      <c r="S368" s="474" t="s">
        <v>1704</v>
      </c>
      <c r="T368" s="474">
        <v>60</v>
      </c>
      <c r="U368" s="486" t="s">
        <v>1760</v>
      </c>
      <c r="V368" s="474" t="s">
        <v>973</v>
      </c>
      <c r="W368" s="474">
        <v>400</v>
      </c>
      <c r="X368" s="432">
        <v>768</v>
      </c>
      <c r="Y368" s="389">
        <f t="shared" si="72"/>
        <v>307200</v>
      </c>
      <c r="Z368" s="478">
        <f t="shared" ref="Z368:Z376" si="76">188/400</f>
        <v>0.47</v>
      </c>
      <c r="AA368" s="480">
        <f t="shared" si="73"/>
        <v>144384</v>
      </c>
      <c r="AB368" s="480"/>
      <c r="AC368" s="481">
        <f t="shared" si="74"/>
        <v>0</v>
      </c>
      <c r="AD368" s="474"/>
      <c r="AE368" s="398">
        <f>AA368*0.0725</f>
        <v>10467.84</v>
      </c>
      <c r="AF368" s="493">
        <f t="shared" si="75"/>
        <v>154851.84</v>
      </c>
      <c r="AG368" s="474" t="s">
        <v>47</v>
      </c>
      <c r="AH368" s="474"/>
      <c r="AI368" s="474">
        <v>60</v>
      </c>
      <c r="AJ368" s="475" t="s">
        <v>1853</v>
      </c>
      <c r="AK368" s="475" t="s">
        <v>50</v>
      </c>
      <c r="AL368" s="483">
        <v>95928</v>
      </c>
      <c r="AM368" s="474" t="s">
        <v>52</v>
      </c>
      <c r="AN368" s="384" t="s">
        <v>50</v>
      </c>
      <c r="AO368" s="474" t="s">
        <v>1076</v>
      </c>
      <c r="AP368" s="482"/>
      <c r="AQ368" s="474" t="s">
        <v>37</v>
      </c>
      <c r="AR368" s="474"/>
      <c r="AS368" s="473" t="s">
        <v>1152</v>
      </c>
      <c r="AT368" s="346" t="s">
        <v>1076</v>
      </c>
      <c r="AU368" s="478"/>
      <c r="AV368" s="471" t="str">
        <f t="shared" si="68"/>
        <v>30390156H</v>
      </c>
      <c r="AW368" s="471" cm="1">
        <f t="array" ref="AW368">SUM(MID(0&amp;AV368,LARGE(INDEX(ISNUMBER(--MID(AV368,ROW($1:$8),1))*ROW($1:$8),),ROW($1:$8))+1,1)*10^ROW($1:$8)/10)</f>
        <v>30390156</v>
      </c>
      <c r="AX368" s="471" t="str">
        <f>VLOOKUP($AW368,'Item Master Data'!$A:$F,3,FALSE)</f>
        <v>Q.PEAK DUO BLK ML G10+</v>
      </c>
      <c r="AY368" s="471">
        <f>VLOOKUP($AW368,'Item Master Data'!$A:$F,6,FALSE)</f>
        <v>400</v>
      </c>
      <c r="AZ368" s="471">
        <f t="shared" si="69"/>
        <v>24</v>
      </c>
      <c r="BA368" s="471">
        <f>VLOOKUP(AW368,'Item Master Data'!$A:$G,7,FALSE)</f>
        <v>32</v>
      </c>
      <c r="BB368" s="471"/>
      <c r="BC368" s="471">
        <f t="shared" si="70"/>
        <v>0</v>
      </c>
    </row>
    <row r="369" spans="1:55">
      <c r="A369" s="495"/>
      <c r="B369" s="407">
        <v>44627</v>
      </c>
      <c r="C369" s="407">
        <v>44627</v>
      </c>
      <c r="D369" s="485" t="s">
        <v>86</v>
      </c>
      <c r="E369" s="383" t="s">
        <v>2110</v>
      </c>
      <c r="F369" s="474"/>
      <c r="G369" s="380">
        <v>2022</v>
      </c>
      <c r="H369" s="474">
        <v>7</v>
      </c>
      <c r="I369" s="474"/>
      <c r="J369" s="475"/>
      <c r="K369" s="474" t="s">
        <v>2114</v>
      </c>
      <c r="L369" s="474" t="s">
        <v>1953</v>
      </c>
      <c r="M369" s="475">
        <v>44602</v>
      </c>
      <c r="N369" s="475">
        <v>44714</v>
      </c>
      <c r="O369" s="475"/>
      <c r="P369" s="345"/>
      <c r="Q369" s="475"/>
      <c r="R369" s="475"/>
      <c r="S369" s="474" t="s">
        <v>1704</v>
      </c>
      <c r="T369" s="474">
        <v>60</v>
      </c>
      <c r="U369" s="474"/>
      <c r="V369" s="486" t="s">
        <v>973</v>
      </c>
      <c r="W369" s="474">
        <v>400</v>
      </c>
      <c r="X369" s="432">
        <v>1536</v>
      </c>
      <c r="Y369" s="389">
        <f t="shared" si="72"/>
        <v>614400</v>
      </c>
      <c r="Z369" s="478">
        <f t="shared" si="76"/>
        <v>0.47</v>
      </c>
      <c r="AA369" s="479">
        <f t="shared" si="73"/>
        <v>288768</v>
      </c>
      <c r="AB369" s="480"/>
      <c r="AC369" s="481">
        <f t="shared" si="74"/>
        <v>0</v>
      </c>
      <c r="AD369" s="474"/>
      <c r="AE369" s="398">
        <f>AA369*0.0875</f>
        <v>25267.199999999997</v>
      </c>
      <c r="AF369" s="493">
        <f t="shared" si="75"/>
        <v>314035.20000000001</v>
      </c>
      <c r="AG369" s="474" t="s">
        <v>47</v>
      </c>
      <c r="AH369" s="474"/>
      <c r="AI369" s="474">
        <v>60</v>
      </c>
      <c r="AJ369" s="475" t="s">
        <v>1913</v>
      </c>
      <c r="AK369" s="475" t="s">
        <v>50</v>
      </c>
      <c r="AL369" s="483" t="s">
        <v>1914</v>
      </c>
      <c r="AM369" s="474" t="s">
        <v>52</v>
      </c>
      <c r="AN369" s="384"/>
      <c r="AO369" s="474" t="s">
        <v>1076</v>
      </c>
      <c r="AP369" s="474"/>
      <c r="AQ369" s="482" t="s">
        <v>37</v>
      </c>
      <c r="AR369" s="474"/>
      <c r="AS369" s="473"/>
      <c r="AT369" s="346"/>
      <c r="AU369" s="478"/>
      <c r="AV369" s="471"/>
      <c r="AW369" s="471"/>
      <c r="AX369" s="471"/>
      <c r="AY369" s="471"/>
      <c r="AZ369" s="471"/>
      <c r="BA369" s="471"/>
      <c r="BB369" s="471"/>
      <c r="BC369" s="471"/>
    </row>
    <row r="370" spans="1:55">
      <c r="A370" s="495"/>
      <c r="B370" s="407">
        <v>44627</v>
      </c>
      <c r="C370" s="407">
        <v>44627</v>
      </c>
      <c r="D370" s="485" t="s">
        <v>86</v>
      </c>
      <c r="E370" s="383" t="s">
        <v>2110</v>
      </c>
      <c r="F370" s="474"/>
      <c r="G370" s="380">
        <v>2022</v>
      </c>
      <c r="H370" s="474">
        <v>7</v>
      </c>
      <c r="I370" s="474"/>
      <c r="J370" s="475"/>
      <c r="K370" s="474" t="s">
        <v>2115</v>
      </c>
      <c r="L370" s="474" t="s">
        <v>1953</v>
      </c>
      <c r="M370" s="475">
        <v>44602</v>
      </c>
      <c r="N370" s="475">
        <v>44714</v>
      </c>
      <c r="O370" s="475"/>
      <c r="P370" s="345"/>
      <c r="Q370" s="475"/>
      <c r="R370" s="475"/>
      <c r="S370" s="474" t="s">
        <v>1704</v>
      </c>
      <c r="T370" s="474">
        <v>60</v>
      </c>
      <c r="U370" s="474"/>
      <c r="V370" s="486" t="s">
        <v>973</v>
      </c>
      <c r="W370" s="474">
        <v>400</v>
      </c>
      <c r="X370" s="432">
        <v>1536</v>
      </c>
      <c r="Y370" s="389">
        <f t="shared" si="72"/>
        <v>614400</v>
      </c>
      <c r="Z370" s="478">
        <f t="shared" si="76"/>
        <v>0.47</v>
      </c>
      <c r="AA370" s="479">
        <f t="shared" si="73"/>
        <v>288768</v>
      </c>
      <c r="AB370" s="480"/>
      <c r="AC370" s="481">
        <f t="shared" si="74"/>
        <v>0</v>
      </c>
      <c r="AD370" s="474"/>
      <c r="AE370" s="398">
        <f>AA370*0.0725</f>
        <v>20935.68</v>
      </c>
      <c r="AF370" s="493">
        <f t="shared" si="75"/>
        <v>309703.67999999999</v>
      </c>
      <c r="AG370" s="474" t="s">
        <v>47</v>
      </c>
      <c r="AH370" s="474"/>
      <c r="AI370" s="474">
        <v>60</v>
      </c>
      <c r="AJ370" s="475" t="s">
        <v>1777</v>
      </c>
      <c r="AK370" s="475" t="s">
        <v>50</v>
      </c>
      <c r="AL370" s="483" t="s">
        <v>1990</v>
      </c>
      <c r="AM370" s="474" t="s">
        <v>52</v>
      </c>
      <c r="AN370" s="384"/>
      <c r="AO370" s="474" t="s">
        <v>1076</v>
      </c>
      <c r="AP370" s="474"/>
      <c r="AQ370" s="482" t="s">
        <v>37</v>
      </c>
      <c r="AR370" s="474"/>
      <c r="AS370" s="473"/>
      <c r="AT370" s="346"/>
      <c r="AU370" s="478"/>
      <c r="AV370" s="471"/>
      <c r="AW370" s="471"/>
      <c r="AX370" s="471"/>
      <c r="AY370" s="471"/>
      <c r="AZ370" s="471"/>
      <c r="BA370" s="471"/>
      <c r="BB370" s="471"/>
      <c r="BC370" s="471"/>
    </row>
    <row r="371" spans="1:55">
      <c r="A371" s="495"/>
      <c r="B371" s="407">
        <v>44627</v>
      </c>
      <c r="C371" s="407">
        <v>44627</v>
      </c>
      <c r="D371" s="485" t="s">
        <v>86</v>
      </c>
      <c r="E371" s="383" t="s">
        <v>2110</v>
      </c>
      <c r="F371" s="474"/>
      <c r="G371" s="380">
        <v>2022</v>
      </c>
      <c r="H371" s="474">
        <v>7</v>
      </c>
      <c r="I371" s="474"/>
      <c r="J371" s="475"/>
      <c r="K371" s="474" t="s">
        <v>2116</v>
      </c>
      <c r="L371" s="474" t="s">
        <v>1953</v>
      </c>
      <c r="M371" s="475">
        <v>44602</v>
      </c>
      <c r="N371" s="475">
        <v>44714</v>
      </c>
      <c r="O371" s="475"/>
      <c r="P371" s="345"/>
      <c r="Q371" s="475"/>
      <c r="R371" s="475"/>
      <c r="S371" s="474" t="s">
        <v>1704</v>
      </c>
      <c r="T371" s="474">
        <v>60</v>
      </c>
      <c r="U371" s="474"/>
      <c r="V371" s="486" t="s">
        <v>973</v>
      </c>
      <c r="W371" s="474">
        <v>400</v>
      </c>
      <c r="X371" s="432">
        <v>2304</v>
      </c>
      <c r="Y371" s="389">
        <f t="shared" si="72"/>
        <v>921600</v>
      </c>
      <c r="Z371" s="478">
        <f t="shared" si="76"/>
        <v>0.47</v>
      </c>
      <c r="AA371" s="479">
        <f t="shared" si="73"/>
        <v>433152</v>
      </c>
      <c r="AB371" s="480"/>
      <c r="AC371" s="481">
        <f t="shared" si="74"/>
        <v>0</v>
      </c>
      <c r="AD371" s="474"/>
      <c r="AE371" s="398">
        <f>AA371*0.0835</f>
        <v>36168.192000000003</v>
      </c>
      <c r="AF371" s="493">
        <f t="shared" si="75"/>
        <v>469320.19199999998</v>
      </c>
      <c r="AG371" s="474" t="s">
        <v>47</v>
      </c>
      <c r="AH371" s="474"/>
      <c r="AI371" s="474">
        <v>60</v>
      </c>
      <c r="AJ371" s="475" t="s">
        <v>1860</v>
      </c>
      <c r="AK371" s="475" t="s">
        <v>50</v>
      </c>
      <c r="AL371" s="483" t="s">
        <v>1992</v>
      </c>
      <c r="AM371" s="474" t="s">
        <v>52</v>
      </c>
      <c r="AN371" s="384"/>
      <c r="AO371" s="474" t="s">
        <v>1076</v>
      </c>
      <c r="AP371" s="474"/>
      <c r="AQ371" s="482" t="s">
        <v>37</v>
      </c>
      <c r="AR371" s="474"/>
      <c r="AS371" s="473"/>
      <c r="AT371" s="346"/>
      <c r="AU371" s="478"/>
      <c r="AV371" s="471"/>
      <c r="AW371" s="471"/>
      <c r="AX371" s="471"/>
      <c r="AY371" s="471"/>
      <c r="AZ371" s="471"/>
      <c r="BA371" s="471"/>
      <c r="BB371" s="471"/>
      <c r="BC371" s="471"/>
    </row>
    <row r="372" spans="1:55">
      <c r="A372" s="495"/>
      <c r="B372" s="407">
        <v>44627</v>
      </c>
      <c r="C372" s="407">
        <v>44627</v>
      </c>
      <c r="D372" s="485" t="s">
        <v>86</v>
      </c>
      <c r="E372" s="383" t="s">
        <v>2110</v>
      </c>
      <c r="F372" s="474"/>
      <c r="G372" s="380">
        <v>2022</v>
      </c>
      <c r="H372" s="474">
        <v>7</v>
      </c>
      <c r="I372" s="474"/>
      <c r="J372" s="475"/>
      <c r="K372" s="474" t="s">
        <v>2117</v>
      </c>
      <c r="L372" s="474" t="s">
        <v>1953</v>
      </c>
      <c r="M372" s="475">
        <v>44602</v>
      </c>
      <c r="N372" s="475">
        <v>44714</v>
      </c>
      <c r="O372" s="475"/>
      <c r="P372" s="345"/>
      <c r="Q372" s="475"/>
      <c r="R372" s="475"/>
      <c r="S372" s="474" t="s">
        <v>1704</v>
      </c>
      <c r="T372" s="474">
        <v>60</v>
      </c>
      <c r="U372" s="474"/>
      <c r="V372" s="486" t="s">
        <v>973</v>
      </c>
      <c r="W372" s="474">
        <v>400</v>
      </c>
      <c r="X372" s="432">
        <v>1536</v>
      </c>
      <c r="Y372" s="389">
        <f t="shared" si="72"/>
        <v>614400</v>
      </c>
      <c r="Z372" s="478">
        <f t="shared" si="76"/>
        <v>0.47</v>
      </c>
      <c r="AA372" s="479">
        <f t="shared" si="73"/>
        <v>288768</v>
      </c>
      <c r="AB372" s="480"/>
      <c r="AC372" s="481">
        <f t="shared" si="74"/>
        <v>0</v>
      </c>
      <c r="AD372" s="474"/>
      <c r="AE372" s="398">
        <f>AA372*0.0725</f>
        <v>20935.68</v>
      </c>
      <c r="AF372" s="493">
        <f t="shared" si="75"/>
        <v>309703.67999999999</v>
      </c>
      <c r="AG372" s="474" t="s">
        <v>47</v>
      </c>
      <c r="AH372" s="474"/>
      <c r="AI372" s="474">
        <v>60</v>
      </c>
      <c r="AJ372" s="475" t="s">
        <v>1853</v>
      </c>
      <c r="AK372" s="475" t="s">
        <v>50</v>
      </c>
      <c r="AL372" s="483" t="s">
        <v>1854</v>
      </c>
      <c r="AM372" s="474" t="s">
        <v>52</v>
      </c>
      <c r="AN372" s="384"/>
      <c r="AO372" s="474" t="s">
        <v>1076</v>
      </c>
      <c r="AP372" s="474"/>
      <c r="AQ372" s="482" t="s">
        <v>37</v>
      </c>
      <c r="AR372" s="474"/>
      <c r="AS372" s="473"/>
      <c r="AT372" s="346"/>
      <c r="AU372" s="478"/>
      <c r="AV372" s="471">
        <f t="shared" ref="AV372:AV382" si="77">U372</f>
        <v>0</v>
      </c>
      <c r="AW372" s="471" cm="1">
        <f t="array" ref="AW372">SUM(MID(0&amp;AV372,LARGE(INDEX(ISNUMBER(--MID(AV372,ROW($1:$8),1))*ROW($1:$8),),ROW($1:$8))+1,1)*10^ROW($1:$8)/10)</f>
        <v>0</v>
      </c>
      <c r="AX372" s="471" t="e">
        <f>VLOOKUP($AW372,'Item Master Data'!$A:$F,3,FALSE)</f>
        <v>#N/A</v>
      </c>
      <c r="AY372" s="471" t="e">
        <f>VLOOKUP($AW372,'Item Master Data'!$A:$F,6,FALSE)</f>
        <v>#N/A</v>
      </c>
      <c r="AZ372" s="471" t="e">
        <f t="shared" ref="AZ372:AZ382" si="78">X372/BA372</f>
        <v>#N/A</v>
      </c>
      <c r="BA372" s="471" t="e">
        <f>VLOOKUP(AW372,'Item Master Data'!$A:$G,7,FALSE)</f>
        <v>#N/A</v>
      </c>
      <c r="BB372" s="471"/>
      <c r="BC372" s="471" t="e">
        <f t="shared" ref="BC372:BC382" si="79">W372-AY372</f>
        <v>#N/A</v>
      </c>
    </row>
    <row r="373" spans="1:55">
      <c r="A373" s="495"/>
      <c r="B373" s="407">
        <v>44627</v>
      </c>
      <c r="C373" s="407">
        <v>44627</v>
      </c>
      <c r="D373" s="485" t="s">
        <v>86</v>
      </c>
      <c r="E373" s="383" t="s">
        <v>2110</v>
      </c>
      <c r="F373" s="474"/>
      <c r="G373" s="380">
        <v>2022</v>
      </c>
      <c r="H373" s="474">
        <v>7</v>
      </c>
      <c r="I373" s="474"/>
      <c r="J373" s="475"/>
      <c r="K373" s="474" t="s">
        <v>2118</v>
      </c>
      <c r="L373" s="474" t="s">
        <v>1953</v>
      </c>
      <c r="M373" s="475">
        <v>44602</v>
      </c>
      <c r="N373" s="475">
        <v>44718</v>
      </c>
      <c r="O373" s="475"/>
      <c r="P373" s="345"/>
      <c r="Q373" s="475"/>
      <c r="R373" s="475"/>
      <c r="S373" s="474" t="s">
        <v>1704</v>
      </c>
      <c r="T373" s="474">
        <v>60</v>
      </c>
      <c r="U373" s="474"/>
      <c r="V373" s="486" t="s">
        <v>973</v>
      </c>
      <c r="W373" s="474">
        <v>400</v>
      </c>
      <c r="X373" s="432">
        <v>1536</v>
      </c>
      <c r="Y373" s="389">
        <f t="shared" si="72"/>
        <v>614400</v>
      </c>
      <c r="Z373" s="478">
        <f t="shared" si="76"/>
        <v>0.47</v>
      </c>
      <c r="AA373" s="479">
        <f t="shared" si="73"/>
        <v>288768</v>
      </c>
      <c r="AB373" s="480"/>
      <c r="AC373" s="481">
        <f t="shared" si="74"/>
        <v>0</v>
      </c>
      <c r="AD373" s="474"/>
      <c r="AE373" s="398">
        <f>AA373*0.1025</f>
        <v>29598.719999999998</v>
      </c>
      <c r="AF373" s="493">
        <f t="shared" si="75"/>
        <v>318366.71999999997</v>
      </c>
      <c r="AG373" s="474" t="s">
        <v>47</v>
      </c>
      <c r="AH373" s="474"/>
      <c r="AI373" s="474">
        <v>60</v>
      </c>
      <c r="AJ373" s="475" t="s">
        <v>1981</v>
      </c>
      <c r="AK373" s="475" t="s">
        <v>50</v>
      </c>
      <c r="AL373" s="483" t="s">
        <v>2062</v>
      </c>
      <c r="AM373" s="474" t="s">
        <v>52</v>
      </c>
      <c r="AN373" s="384"/>
      <c r="AO373" s="474" t="s">
        <v>1076</v>
      </c>
      <c r="AP373" s="474"/>
      <c r="AQ373" s="482" t="s">
        <v>37</v>
      </c>
      <c r="AR373" s="474"/>
      <c r="AS373" s="473"/>
      <c r="AT373" s="346"/>
      <c r="AU373" s="478"/>
      <c r="AV373" s="471">
        <f t="shared" si="77"/>
        <v>0</v>
      </c>
      <c r="AW373" s="471" cm="1">
        <f t="array" ref="AW373">SUM(MID(0&amp;AV373,LARGE(INDEX(ISNUMBER(--MID(AV373,ROW($1:$8),1))*ROW($1:$8),),ROW($1:$8))+1,1)*10^ROW($1:$8)/10)</f>
        <v>0</v>
      </c>
      <c r="AX373" s="471" t="e">
        <f>VLOOKUP($AW373,'Item Master Data'!$A:$F,3,FALSE)</f>
        <v>#N/A</v>
      </c>
      <c r="AY373" s="471" t="e">
        <f>VLOOKUP($AW373,'Item Master Data'!$A:$F,6,FALSE)</f>
        <v>#N/A</v>
      </c>
      <c r="AZ373" s="471" t="e">
        <f t="shared" si="78"/>
        <v>#N/A</v>
      </c>
      <c r="BA373" s="471" t="e">
        <f>VLOOKUP(AW373,'Item Master Data'!$A:$G,7,FALSE)</f>
        <v>#N/A</v>
      </c>
      <c r="BB373" s="471"/>
      <c r="BC373" s="471" t="e">
        <f t="shared" si="79"/>
        <v>#N/A</v>
      </c>
    </row>
    <row r="374" spans="1:55">
      <c r="A374" s="495"/>
      <c r="B374" s="407">
        <v>44627</v>
      </c>
      <c r="C374" s="407">
        <v>44627</v>
      </c>
      <c r="D374" s="485" t="s">
        <v>86</v>
      </c>
      <c r="E374" s="383" t="s">
        <v>2110</v>
      </c>
      <c r="F374" s="474"/>
      <c r="G374" s="380">
        <v>2022</v>
      </c>
      <c r="H374" s="474">
        <v>7</v>
      </c>
      <c r="I374" s="474"/>
      <c r="J374" s="475"/>
      <c r="K374" s="474" t="s">
        <v>2068</v>
      </c>
      <c r="L374" s="474" t="s">
        <v>1953</v>
      </c>
      <c r="M374" s="475">
        <v>44602</v>
      </c>
      <c r="N374" s="475">
        <v>44714</v>
      </c>
      <c r="O374" s="475"/>
      <c r="P374" s="345"/>
      <c r="Q374" s="475"/>
      <c r="R374" s="475"/>
      <c r="S374" s="474" t="s">
        <v>1704</v>
      </c>
      <c r="T374" s="474">
        <v>60</v>
      </c>
      <c r="U374" s="474"/>
      <c r="V374" s="486" t="s">
        <v>973</v>
      </c>
      <c r="W374" s="474">
        <v>400</v>
      </c>
      <c r="X374" s="432">
        <v>2304</v>
      </c>
      <c r="Y374" s="389">
        <f t="shared" si="72"/>
        <v>921600</v>
      </c>
      <c r="Z374" s="478">
        <f t="shared" si="76"/>
        <v>0.47</v>
      </c>
      <c r="AA374" s="479">
        <f t="shared" si="73"/>
        <v>433152</v>
      </c>
      <c r="AB374" s="480"/>
      <c r="AC374" s="481">
        <f t="shared" si="74"/>
        <v>0</v>
      </c>
      <c r="AD374" s="474"/>
      <c r="AE374" s="398">
        <f>AA374*0.0825</f>
        <v>35735.040000000001</v>
      </c>
      <c r="AF374" s="493">
        <f t="shared" si="75"/>
        <v>468887.03999999998</v>
      </c>
      <c r="AG374" s="474" t="s">
        <v>47</v>
      </c>
      <c r="AH374" s="474"/>
      <c r="AI374" s="474">
        <v>60</v>
      </c>
      <c r="AJ374" s="475" t="s">
        <v>2066</v>
      </c>
      <c r="AK374" s="475" t="s">
        <v>1144</v>
      </c>
      <c r="AL374" s="483" t="s">
        <v>2067</v>
      </c>
      <c r="AM374" s="474" t="s">
        <v>52</v>
      </c>
      <c r="AN374" s="384"/>
      <c r="AO374" s="474" t="s">
        <v>1076</v>
      </c>
      <c r="AP374" s="474"/>
      <c r="AQ374" s="482" t="s">
        <v>37</v>
      </c>
      <c r="AR374" s="474"/>
      <c r="AS374" s="473"/>
      <c r="AT374" s="346"/>
      <c r="AU374" s="478"/>
      <c r="AV374" s="471">
        <f t="shared" si="77"/>
        <v>0</v>
      </c>
      <c r="AW374" s="471" cm="1">
        <f t="array" ref="AW374">SUM(MID(0&amp;AV374,LARGE(INDEX(ISNUMBER(--MID(AV374,ROW($1:$8),1))*ROW($1:$8),),ROW($1:$8))+1,1)*10^ROW($1:$8)/10)</f>
        <v>0</v>
      </c>
      <c r="AX374" s="471" t="e">
        <f>VLOOKUP($AW374,'Item Master Data'!$A:$F,3,FALSE)</f>
        <v>#N/A</v>
      </c>
      <c r="AY374" s="471" t="e">
        <f>VLOOKUP($AW374,'Item Master Data'!$A:$F,6,FALSE)</f>
        <v>#N/A</v>
      </c>
      <c r="AZ374" s="471" t="e">
        <f t="shared" si="78"/>
        <v>#N/A</v>
      </c>
      <c r="BA374" s="471" t="e">
        <f>VLOOKUP(AW374,'Item Master Data'!$A:$G,7,FALSE)</f>
        <v>#N/A</v>
      </c>
      <c r="BB374" s="471"/>
      <c r="BC374" s="471" t="e">
        <f t="shared" si="79"/>
        <v>#N/A</v>
      </c>
    </row>
    <row r="375" spans="1:55">
      <c r="A375" s="495"/>
      <c r="B375" s="407">
        <v>44627</v>
      </c>
      <c r="C375" s="407">
        <v>44627</v>
      </c>
      <c r="D375" s="485" t="s">
        <v>86</v>
      </c>
      <c r="E375" s="383" t="s">
        <v>2110</v>
      </c>
      <c r="F375" s="474"/>
      <c r="G375" s="380">
        <v>2022</v>
      </c>
      <c r="H375" s="380">
        <v>7</v>
      </c>
      <c r="I375" s="474"/>
      <c r="J375" s="475"/>
      <c r="K375" s="474" t="s">
        <v>2121</v>
      </c>
      <c r="L375" s="474" t="s">
        <v>1953</v>
      </c>
      <c r="M375" s="475">
        <v>44602</v>
      </c>
      <c r="N375" s="475">
        <v>44718</v>
      </c>
      <c r="O375" s="475"/>
      <c r="P375" s="345"/>
      <c r="Q375" s="475"/>
      <c r="R375" s="475"/>
      <c r="S375" s="474" t="s">
        <v>1704</v>
      </c>
      <c r="T375" s="474">
        <v>60</v>
      </c>
      <c r="U375" s="474"/>
      <c r="V375" s="486" t="s">
        <v>973</v>
      </c>
      <c r="W375" s="474">
        <v>400</v>
      </c>
      <c r="X375" s="432">
        <v>1536</v>
      </c>
      <c r="Y375" s="389">
        <f t="shared" si="72"/>
        <v>614400</v>
      </c>
      <c r="Z375" s="478">
        <f t="shared" si="76"/>
        <v>0.47</v>
      </c>
      <c r="AA375" s="479">
        <f t="shared" si="73"/>
        <v>288768</v>
      </c>
      <c r="AB375" s="480"/>
      <c r="AC375" s="481">
        <f t="shared" si="74"/>
        <v>0</v>
      </c>
      <c r="AD375" s="474"/>
      <c r="AE375" s="398">
        <f>AA375*0.0825</f>
        <v>23823.360000000001</v>
      </c>
      <c r="AF375" s="493">
        <f t="shared" si="75"/>
        <v>312591.35999999999</v>
      </c>
      <c r="AG375" s="474" t="s">
        <v>47</v>
      </c>
      <c r="AH375" s="474"/>
      <c r="AI375" s="474">
        <v>60</v>
      </c>
      <c r="AJ375" s="475" t="s">
        <v>1384</v>
      </c>
      <c r="AK375" s="475" t="s">
        <v>1144</v>
      </c>
      <c r="AL375" s="483" t="s">
        <v>2120</v>
      </c>
      <c r="AM375" s="474" t="s">
        <v>52</v>
      </c>
      <c r="AN375" s="384"/>
      <c r="AO375" s="474" t="s">
        <v>1076</v>
      </c>
      <c r="AP375" s="474"/>
      <c r="AQ375" s="482" t="s">
        <v>37</v>
      </c>
      <c r="AR375" s="474"/>
      <c r="AS375" s="473"/>
      <c r="AT375" s="346"/>
      <c r="AU375" s="478"/>
      <c r="AV375" s="471">
        <f t="shared" si="77"/>
        <v>0</v>
      </c>
      <c r="AW375" s="471" cm="1">
        <f t="array" ref="AW375">SUM(MID(0&amp;AV375,LARGE(INDEX(ISNUMBER(--MID(AV375,ROW($1:$8),1))*ROW($1:$8),),ROW($1:$8))+1,1)*10^ROW($1:$8)/10)</f>
        <v>0</v>
      </c>
      <c r="AX375" s="471" t="e">
        <f>VLOOKUP($AW375,'Item Master Data'!$A:$F,3,FALSE)</f>
        <v>#N/A</v>
      </c>
      <c r="AY375" s="471" t="e">
        <f>VLOOKUP($AW375,'Item Master Data'!$A:$F,6,FALSE)</f>
        <v>#N/A</v>
      </c>
      <c r="AZ375" s="471" t="e">
        <f t="shared" si="78"/>
        <v>#N/A</v>
      </c>
      <c r="BA375" s="471" t="e">
        <f>VLOOKUP(AW375,'Item Master Data'!$A:$G,7,FALSE)</f>
        <v>#N/A</v>
      </c>
      <c r="BB375" s="471"/>
      <c r="BC375" s="471" t="e">
        <f t="shared" si="79"/>
        <v>#N/A</v>
      </c>
    </row>
    <row r="376" spans="1:55">
      <c r="A376" s="495"/>
      <c r="B376" s="407">
        <v>44627</v>
      </c>
      <c r="C376" s="407">
        <v>44627</v>
      </c>
      <c r="D376" s="485" t="s">
        <v>86</v>
      </c>
      <c r="E376" s="383" t="s">
        <v>2110</v>
      </c>
      <c r="F376" s="474"/>
      <c r="G376" s="380">
        <v>2022</v>
      </c>
      <c r="H376" s="380">
        <v>7</v>
      </c>
      <c r="I376" s="474"/>
      <c r="J376" s="475"/>
      <c r="K376" s="474" t="s">
        <v>2122</v>
      </c>
      <c r="L376" s="474" t="s">
        <v>1953</v>
      </c>
      <c r="M376" s="475">
        <v>44602</v>
      </c>
      <c r="N376" s="475">
        <v>44718</v>
      </c>
      <c r="O376" s="475"/>
      <c r="P376" s="345"/>
      <c r="Q376" s="475"/>
      <c r="R376" s="475"/>
      <c r="S376" s="474" t="s">
        <v>1704</v>
      </c>
      <c r="T376" s="474">
        <v>60</v>
      </c>
      <c r="U376" s="474"/>
      <c r="V376" s="486" t="s">
        <v>973</v>
      </c>
      <c r="W376" s="474">
        <v>400</v>
      </c>
      <c r="X376" s="432">
        <v>1536</v>
      </c>
      <c r="Y376" s="389">
        <f t="shared" si="72"/>
        <v>614400</v>
      </c>
      <c r="Z376" s="478">
        <f t="shared" si="76"/>
        <v>0.47</v>
      </c>
      <c r="AA376" s="479">
        <f t="shared" si="73"/>
        <v>288768</v>
      </c>
      <c r="AB376" s="480"/>
      <c r="AC376" s="481">
        <f t="shared" si="74"/>
        <v>0</v>
      </c>
      <c r="AD376" s="474"/>
      <c r="AE376" s="398">
        <f>AA376*0.0825</f>
        <v>23823.360000000001</v>
      </c>
      <c r="AF376" s="493">
        <f t="shared" si="75"/>
        <v>312591.35999999999</v>
      </c>
      <c r="AG376" s="474" t="s">
        <v>47</v>
      </c>
      <c r="AH376" s="474"/>
      <c r="AI376" s="474">
        <v>60</v>
      </c>
      <c r="AJ376" s="475" t="s">
        <v>2053</v>
      </c>
      <c r="AK376" s="475" t="s">
        <v>1144</v>
      </c>
      <c r="AL376" s="483" t="s">
        <v>2054</v>
      </c>
      <c r="AM376" s="474" t="s">
        <v>52</v>
      </c>
      <c r="AN376" s="384"/>
      <c r="AO376" s="474" t="s">
        <v>1076</v>
      </c>
      <c r="AP376" s="474"/>
      <c r="AQ376" s="482" t="s">
        <v>37</v>
      </c>
      <c r="AR376" s="474"/>
      <c r="AS376" s="473"/>
      <c r="AT376" s="346"/>
      <c r="AU376" s="478"/>
      <c r="AV376" s="471">
        <f t="shared" si="77"/>
        <v>0</v>
      </c>
      <c r="AW376" s="471" cm="1">
        <f t="array" ref="AW376">SUM(MID(0&amp;AV376,LARGE(INDEX(ISNUMBER(--MID(AV376,ROW($1:$8),1))*ROW($1:$8),),ROW($1:$8))+1,1)*10^ROW($1:$8)/10)</f>
        <v>0</v>
      </c>
      <c r="AX376" s="471" t="e">
        <f>VLOOKUP($AW376,'Item Master Data'!$A:$F,3,FALSE)</f>
        <v>#N/A</v>
      </c>
      <c r="AY376" s="471" t="e">
        <f>VLOOKUP($AW376,'Item Master Data'!$A:$F,6,FALSE)</f>
        <v>#N/A</v>
      </c>
      <c r="AZ376" s="471" t="e">
        <f t="shared" si="78"/>
        <v>#N/A</v>
      </c>
      <c r="BA376" s="471" t="e">
        <f>VLOOKUP(AW376,'Item Master Data'!$A:$G,7,FALSE)</f>
        <v>#N/A</v>
      </c>
      <c r="BB376" s="471"/>
      <c r="BC376" s="471" t="e">
        <f t="shared" si="79"/>
        <v>#N/A</v>
      </c>
    </row>
    <row r="377" spans="1:55">
      <c r="A377" s="495"/>
      <c r="B377" s="407"/>
      <c r="C377" s="407"/>
      <c r="D377" s="485" t="s">
        <v>86</v>
      </c>
      <c r="E377" s="474" t="s">
        <v>2071</v>
      </c>
      <c r="F377" s="486" t="s">
        <v>87</v>
      </c>
      <c r="G377" s="380">
        <v>2022</v>
      </c>
      <c r="H377" s="380">
        <v>7</v>
      </c>
      <c r="I377" s="474"/>
      <c r="J377" s="475"/>
      <c r="K377" s="474" t="s">
        <v>2072</v>
      </c>
      <c r="L377" s="474" t="s">
        <v>1723</v>
      </c>
      <c r="M377" s="475">
        <v>44509</v>
      </c>
      <c r="N377" s="475">
        <v>44734</v>
      </c>
      <c r="O377" s="475">
        <v>44703</v>
      </c>
      <c r="P377" s="475"/>
      <c r="Q377" s="475"/>
      <c r="R377" s="475"/>
      <c r="S377" s="474" t="s">
        <v>88</v>
      </c>
      <c r="T377" s="474">
        <v>72</v>
      </c>
      <c r="U377" s="486"/>
      <c r="V377" s="474" t="s">
        <v>1002</v>
      </c>
      <c r="W377" s="474">
        <v>480</v>
      </c>
      <c r="X377" s="432">
        <v>1276</v>
      </c>
      <c r="Y377" s="389">
        <f t="shared" si="72"/>
        <v>612480</v>
      </c>
      <c r="Z377" s="478">
        <f>228/480</f>
        <v>0.47499999999999998</v>
      </c>
      <c r="AA377" s="480">
        <f t="shared" si="73"/>
        <v>290928</v>
      </c>
      <c r="AB377" s="480"/>
      <c r="AC377" s="481">
        <f t="shared" si="74"/>
        <v>0</v>
      </c>
      <c r="AD377" s="474"/>
      <c r="AE377" s="474"/>
      <c r="AF377" s="493">
        <f t="shared" si="75"/>
        <v>290928</v>
      </c>
      <c r="AG377" s="474" t="s">
        <v>1071</v>
      </c>
      <c r="AH377" s="474"/>
      <c r="AI377" s="474">
        <v>60</v>
      </c>
      <c r="AJ377" s="475" t="s">
        <v>1342</v>
      </c>
      <c r="AK377" s="475" t="s">
        <v>1085</v>
      </c>
      <c r="AL377" s="483">
        <v>8110</v>
      </c>
      <c r="AM377" s="474" t="s">
        <v>52</v>
      </c>
      <c r="AN377" s="384" t="s">
        <v>1085</v>
      </c>
      <c r="AO377" s="474" t="s">
        <v>1076</v>
      </c>
      <c r="AP377" s="482"/>
      <c r="AQ377" s="474" t="s">
        <v>37</v>
      </c>
      <c r="AR377" s="474"/>
      <c r="AS377" s="473" t="s">
        <v>1152</v>
      </c>
      <c r="AT377" s="346" t="s">
        <v>1076</v>
      </c>
      <c r="AU377" s="478"/>
      <c r="AV377" s="471">
        <f t="shared" si="77"/>
        <v>0</v>
      </c>
      <c r="AW377" s="471" cm="1">
        <f t="array" ref="AW377">SUM(MID(0&amp;AV377,LARGE(INDEX(ISNUMBER(--MID(AV377,ROW($1:$8),1))*ROW($1:$8),),ROW($1:$8))+1,1)*10^ROW($1:$8)/10)</f>
        <v>0</v>
      </c>
      <c r="AX377" s="471" t="e">
        <f>VLOOKUP($AW377,'Item Master Data'!$A:$F,3,FALSE)</f>
        <v>#N/A</v>
      </c>
      <c r="AY377" s="471" t="e">
        <f>VLOOKUP($AW377,'Item Master Data'!$A:$F,6,FALSE)</f>
        <v>#N/A</v>
      </c>
      <c r="AZ377" s="471" t="e">
        <f t="shared" si="78"/>
        <v>#N/A</v>
      </c>
      <c r="BA377" s="471" t="e">
        <f>VLOOKUP(AW377,'Item Master Data'!$A:$G,7,FALSE)</f>
        <v>#N/A</v>
      </c>
      <c r="BB377" s="471"/>
      <c r="BC377" s="471" t="e">
        <f t="shared" si="79"/>
        <v>#N/A</v>
      </c>
    </row>
    <row r="378" spans="1:55">
      <c r="A378" s="495"/>
      <c r="B378" s="407"/>
      <c r="C378" s="407"/>
      <c r="D378" s="485" t="s">
        <v>86</v>
      </c>
      <c r="E378" s="474" t="s">
        <v>2071</v>
      </c>
      <c r="F378" s="486" t="s">
        <v>87</v>
      </c>
      <c r="G378" s="380">
        <v>2022</v>
      </c>
      <c r="H378" s="380">
        <v>7</v>
      </c>
      <c r="I378" s="474"/>
      <c r="J378" s="475"/>
      <c r="K378" s="474" t="s">
        <v>2123</v>
      </c>
      <c r="L378" s="474" t="s">
        <v>1723</v>
      </c>
      <c r="M378" s="475">
        <v>44509</v>
      </c>
      <c r="N378" s="475">
        <v>44699</v>
      </c>
      <c r="O378" s="475">
        <v>44730</v>
      </c>
      <c r="P378" s="475"/>
      <c r="Q378" s="475"/>
      <c r="R378" s="475"/>
      <c r="S378" s="474" t="s">
        <v>88</v>
      </c>
      <c r="T378" s="474">
        <v>72</v>
      </c>
      <c r="U378" s="486"/>
      <c r="V378" s="474" t="s">
        <v>1002</v>
      </c>
      <c r="W378" s="474">
        <v>480</v>
      </c>
      <c r="X378" s="432">
        <v>1276</v>
      </c>
      <c r="Y378" s="389">
        <f t="shared" si="72"/>
        <v>612480</v>
      </c>
      <c r="Z378" s="478">
        <f>228/480</f>
        <v>0.47499999999999998</v>
      </c>
      <c r="AA378" s="480">
        <f t="shared" si="73"/>
        <v>290928</v>
      </c>
      <c r="AB378" s="480"/>
      <c r="AC378" s="481">
        <f t="shared" si="74"/>
        <v>0</v>
      </c>
      <c r="AD378" s="474"/>
      <c r="AE378" s="474"/>
      <c r="AF378" s="493">
        <f t="shared" si="75"/>
        <v>290928</v>
      </c>
      <c r="AG378" s="474" t="s">
        <v>1071</v>
      </c>
      <c r="AH378" s="474"/>
      <c r="AI378" s="474">
        <v>60</v>
      </c>
      <c r="AJ378" s="475" t="s">
        <v>1342</v>
      </c>
      <c r="AK378" s="475" t="s">
        <v>1085</v>
      </c>
      <c r="AL378" s="483">
        <v>8110</v>
      </c>
      <c r="AM378" s="474" t="s">
        <v>52</v>
      </c>
      <c r="AN378" s="384" t="s">
        <v>1085</v>
      </c>
      <c r="AO378" s="474" t="s">
        <v>1076</v>
      </c>
      <c r="AP378" s="482"/>
      <c r="AQ378" s="474" t="s">
        <v>37</v>
      </c>
      <c r="AR378" s="474"/>
      <c r="AS378" s="473" t="s">
        <v>1152</v>
      </c>
      <c r="AT378" s="346" t="s">
        <v>1076</v>
      </c>
      <c r="AU378" s="478"/>
      <c r="AV378" s="471">
        <f t="shared" si="77"/>
        <v>0</v>
      </c>
      <c r="AW378" s="471" cm="1">
        <f t="array" ref="AW378">SUM(MID(0&amp;AV378,LARGE(INDEX(ISNUMBER(--MID(AV378,ROW($1:$8),1))*ROW($1:$8),),ROW($1:$8))+1,1)*10^ROW($1:$8)/10)</f>
        <v>0</v>
      </c>
      <c r="AX378" s="471" t="e">
        <f>VLOOKUP($AW378,'Item Master Data'!$A:$F,3,FALSE)</f>
        <v>#N/A</v>
      </c>
      <c r="AY378" s="471" t="e">
        <f>VLOOKUP($AW378,'Item Master Data'!$A:$F,6,FALSE)</f>
        <v>#N/A</v>
      </c>
      <c r="AZ378" s="471" t="e">
        <f t="shared" si="78"/>
        <v>#N/A</v>
      </c>
      <c r="BA378" s="471" t="e">
        <f>VLOOKUP(AW378,'Item Master Data'!$A:$G,7,FALSE)</f>
        <v>#N/A</v>
      </c>
      <c r="BB378" s="471"/>
      <c r="BC378" s="471" t="e">
        <f t="shared" si="79"/>
        <v>#N/A</v>
      </c>
    </row>
    <row r="379" spans="1:55">
      <c r="A379" s="495"/>
      <c r="B379" s="407">
        <v>44642</v>
      </c>
      <c r="C379" s="407">
        <v>44642</v>
      </c>
      <c r="D379" s="485" t="s">
        <v>86</v>
      </c>
      <c r="E379" s="474" t="s">
        <v>5472</v>
      </c>
      <c r="F379" s="486"/>
      <c r="G379" s="380">
        <v>2022</v>
      </c>
      <c r="H379" s="380">
        <v>7</v>
      </c>
      <c r="I379" s="474"/>
      <c r="J379" s="475"/>
      <c r="K379" s="474" t="s">
        <v>1751</v>
      </c>
      <c r="L379" s="474" t="s">
        <v>1693</v>
      </c>
      <c r="M379" s="475">
        <v>44641</v>
      </c>
      <c r="N379" s="475">
        <v>44747</v>
      </c>
      <c r="O379" s="475"/>
      <c r="P379" s="475"/>
      <c r="Q379" s="475"/>
      <c r="R379" s="475"/>
      <c r="S379" s="474" t="s">
        <v>88</v>
      </c>
      <c r="T379" s="474">
        <v>72</v>
      </c>
      <c r="U379" s="486"/>
      <c r="V379" s="474" t="s">
        <v>1110</v>
      </c>
      <c r="W379" s="474">
        <v>485</v>
      </c>
      <c r="X379" s="432">
        <v>638</v>
      </c>
      <c r="Y379" s="389">
        <f t="shared" si="72"/>
        <v>309430</v>
      </c>
      <c r="Z379" s="478">
        <f>244.93/485</f>
        <v>0.50501030927835056</v>
      </c>
      <c r="AA379" s="480">
        <f t="shared" si="73"/>
        <v>156265.34000000003</v>
      </c>
      <c r="AB379" s="480"/>
      <c r="AC379" s="481">
        <v>0</v>
      </c>
      <c r="AD379" s="474"/>
      <c r="AE379" s="474"/>
      <c r="AF379" s="493">
        <f t="shared" si="75"/>
        <v>156265.34000000003</v>
      </c>
      <c r="AG379" s="474" t="s">
        <v>1071</v>
      </c>
      <c r="AH379" s="474"/>
      <c r="AI379" s="474">
        <v>60</v>
      </c>
      <c r="AJ379" s="475" t="s">
        <v>1694</v>
      </c>
      <c r="AK379" s="475" t="s">
        <v>50</v>
      </c>
      <c r="AL379" s="483" t="s">
        <v>1725</v>
      </c>
      <c r="AM379" s="474" t="s">
        <v>52</v>
      </c>
      <c r="AN379" s="384" t="s">
        <v>50</v>
      </c>
      <c r="AO379" s="474" t="s">
        <v>1076</v>
      </c>
      <c r="AP379" s="482" t="s">
        <v>38</v>
      </c>
      <c r="AQ379" s="474" t="s">
        <v>37</v>
      </c>
      <c r="AR379" s="474"/>
      <c r="AS379" s="473" t="s">
        <v>1075</v>
      </c>
      <c r="AT379" s="346"/>
      <c r="AU379" s="478">
        <v>0.52</v>
      </c>
      <c r="AV379" s="471">
        <f t="shared" si="77"/>
        <v>0</v>
      </c>
      <c r="AW379" s="471" cm="1">
        <f t="array" ref="AW379">SUM(MID(0&amp;AV379,LARGE(INDEX(ISNUMBER(--MID(AV379,ROW($1:$8),1))*ROW($1:$8),),ROW($1:$8))+1,1)*10^ROW($1:$8)/10)</f>
        <v>0</v>
      </c>
      <c r="AX379" s="471" t="e">
        <f>VLOOKUP($AW379,'Item Master Data'!$A:$F,3,FALSE)</f>
        <v>#N/A</v>
      </c>
      <c r="AY379" s="471" t="e">
        <f>VLOOKUP($AW379,'Item Master Data'!$A:$F,6,FALSE)</f>
        <v>#N/A</v>
      </c>
      <c r="AZ379" s="471" t="e">
        <f t="shared" si="78"/>
        <v>#N/A</v>
      </c>
      <c r="BA379" s="471" t="e">
        <f>VLOOKUP(AW379,'Item Master Data'!$A:$G,7,FALSE)</f>
        <v>#N/A</v>
      </c>
      <c r="BB379" s="471"/>
      <c r="BC379" s="471" t="e">
        <f t="shared" si="79"/>
        <v>#N/A</v>
      </c>
    </row>
    <row r="380" spans="1:55">
      <c r="A380" s="495"/>
      <c r="B380" s="495"/>
      <c r="C380" s="407"/>
      <c r="D380" s="485" t="s">
        <v>86</v>
      </c>
      <c r="E380" s="383" t="s">
        <v>5473</v>
      </c>
      <c r="F380" s="474"/>
      <c r="G380" s="380">
        <v>2022</v>
      </c>
      <c r="H380" s="380">
        <v>6</v>
      </c>
      <c r="I380" s="474"/>
      <c r="J380" s="475"/>
      <c r="K380" s="474" t="s">
        <v>5474</v>
      </c>
      <c r="L380" s="474" t="s">
        <v>2079</v>
      </c>
      <c r="M380" s="475">
        <v>44662</v>
      </c>
      <c r="N380" s="475">
        <v>44713</v>
      </c>
      <c r="O380" s="475"/>
      <c r="P380" s="345"/>
      <c r="Q380" s="475"/>
      <c r="R380" s="475"/>
      <c r="S380" s="474" t="s">
        <v>88</v>
      </c>
      <c r="T380" s="474">
        <v>72</v>
      </c>
      <c r="U380" s="486"/>
      <c r="V380" s="486" t="s">
        <v>995</v>
      </c>
      <c r="W380" s="474">
        <v>480</v>
      </c>
      <c r="X380" s="432">
        <v>1914</v>
      </c>
      <c r="Y380" s="389">
        <f t="shared" si="72"/>
        <v>918720</v>
      </c>
      <c r="Z380" s="478">
        <f>268.8/480</f>
        <v>0.56000000000000005</v>
      </c>
      <c r="AA380" s="479">
        <f t="shared" si="73"/>
        <v>514483.20000000007</v>
      </c>
      <c r="AB380" s="480"/>
      <c r="AC380" s="481">
        <f>AB380*Y380</f>
        <v>0</v>
      </c>
      <c r="AD380" s="474"/>
      <c r="AE380" s="474"/>
      <c r="AF380" s="493">
        <f t="shared" si="75"/>
        <v>514483.20000000007</v>
      </c>
      <c r="AG380" s="474" t="s">
        <v>1071</v>
      </c>
      <c r="AH380" s="474"/>
      <c r="AI380" s="474">
        <v>60</v>
      </c>
      <c r="AJ380" s="475" t="s">
        <v>2075</v>
      </c>
      <c r="AK380" s="475" t="s">
        <v>50</v>
      </c>
      <c r="AL380" s="483" t="s">
        <v>2128</v>
      </c>
      <c r="AM380" s="474" t="s">
        <v>52</v>
      </c>
      <c r="AN380" s="668"/>
      <c r="AO380" s="474" t="s">
        <v>1076</v>
      </c>
      <c r="AP380" s="474"/>
      <c r="AQ380" s="482" t="s">
        <v>37</v>
      </c>
      <c r="AR380" s="474"/>
      <c r="AS380" s="473"/>
      <c r="AT380" s="346"/>
      <c r="AU380" s="478"/>
      <c r="AV380" s="471">
        <f t="shared" si="77"/>
        <v>0</v>
      </c>
      <c r="AW380" s="471" cm="1">
        <f t="array" ref="AW380">SUM(MID(0&amp;AV380,LARGE(INDEX(ISNUMBER(--MID(AV380,ROW($1:$8),1))*ROW($1:$8),),ROW($1:$8))+1,1)*10^ROW($1:$8)/10)</f>
        <v>0</v>
      </c>
      <c r="AX380" s="471" t="e">
        <f>VLOOKUP($AW380,'Item Master Data'!$A:$F,3,FALSE)</f>
        <v>#N/A</v>
      </c>
      <c r="AY380" s="471" t="e">
        <f>VLOOKUP($AW380,'Item Master Data'!$A:$F,6,FALSE)</f>
        <v>#N/A</v>
      </c>
      <c r="AZ380" s="471" t="e">
        <f t="shared" si="78"/>
        <v>#N/A</v>
      </c>
      <c r="BA380" s="471" t="e">
        <f>VLOOKUP(AW380,'Item Master Data'!$A:$G,7,FALSE)</f>
        <v>#N/A</v>
      </c>
      <c r="BB380" s="471"/>
      <c r="BC380" s="471" t="e">
        <f t="shared" si="79"/>
        <v>#N/A</v>
      </c>
    </row>
    <row r="381" spans="1:55">
      <c r="A381" s="495">
        <v>27</v>
      </c>
      <c r="B381" s="407">
        <v>44665</v>
      </c>
      <c r="C381" s="407">
        <v>44665</v>
      </c>
      <c r="D381" s="485" t="s">
        <v>86</v>
      </c>
      <c r="E381" s="474"/>
      <c r="F381" s="486"/>
      <c r="G381" s="380">
        <v>2022</v>
      </c>
      <c r="H381" s="380">
        <v>7</v>
      </c>
      <c r="I381" s="474"/>
      <c r="J381" s="475"/>
      <c r="K381" s="474" t="s">
        <v>2250</v>
      </c>
      <c r="L381" s="474" t="s">
        <v>2074</v>
      </c>
      <c r="M381" s="475">
        <v>44561</v>
      </c>
      <c r="N381" s="475">
        <v>44739</v>
      </c>
      <c r="O381" s="475">
        <v>44769</v>
      </c>
      <c r="P381" s="475"/>
      <c r="Q381" s="475"/>
      <c r="R381" s="475"/>
      <c r="S381" s="474" t="s">
        <v>88</v>
      </c>
      <c r="T381" s="474">
        <v>60</v>
      </c>
      <c r="U381" s="486"/>
      <c r="V381" s="474" t="s">
        <v>986</v>
      </c>
      <c r="W381" s="474">
        <v>360</v>
      </c>
      <c r="X381" s="432">
        <v>3072</v>
      </c>
      <c r="Y381" s="389">
        <f t="shared" si="72"/>
        <v>1105920</v>
      </c>
      <c r="Z381" s="348">
        <f>192.6/360</f>
        <v>0.53500000000000003</v>
      </c>
      <c r="AA381" s="480">
        <f t="shared" si="73"/>
        <v>591667.20000000007</v>
      </c>
      <c r="AB381" s="480"/>
      <c r="AC381" s="481">
        <v>0</v>
      </c>
      <c r="AD381" s="474"/>
      <c r="AE381" s="474"/>
      <c r="AF381" s="493">
        <f t="shared" si="75"/>
        <v>591667.20000000007</v>
      </c>
      <c r="AG381" s="474" t="s">
        <v>1071</v>
      </c>
      <c r="AH381" s="474"/>
      <c r="AI381" s="474">
        <v>60</v>
      </c>
      <c r="AJ381" s="475" t="s">
        <v>2075</v>
      </c>
      <c r="AK381" s="475" t="s">
        <v>50</v>
      </c>
      <c r="AL381" s="483">
        <v>92056</v>
      </c>
      <c r="AM381" s="474" t="s">
        <v>52</v>
      </c>
      <c r="AN381" s="668" t="s">
        <v>50</v>
      </c>
      <c r="AO381" s="474" t="s">
        <v>1076</v>
      </c>
      <c r="AP381" s="482" t="s">
        <v>38</v>
      </c>
      <c r="AQ381" s="474" t="s">
        <v>37</v>
      </c>
      <c r="AR381" s="474"/>
      <c r="AS381" s="473" t="s">
        <v>1152</v>
      </c>
      <c r="AT381" s="346" t="s">
        <v>1076</v>
      </c>
      <c r="AU381" s="478"/>
      <c r="AV381" s="471">
        <f t="shared" si="77"/>
        <v>0</v>
      </c>
      <c r="AW381" s="471" cm="1">
        <f t="array" ref="AW381">SUM(MID(0&amp;AV381,LARGE(INDEX(ISNUMBER(--MID(AV381,ROW($1:$8),1))*ROW($1:$8),),ROW($1:$8))+1,1)*10^ROW($1:$8)/10)</f>
        <v>0</v>
      </c>
      <c r="AX381" s="471" t="e">
        <f>VLOOKUP($AW381,'Item Master Data'!$A:$F,3,FALSE)</f>
        <v>#N/A</v>
      </c>
      <c r="AY381" s="471" t="e">
        <f>VLOOKUP($AW381,'Item Master Data'!$A:$F,6,FALSE)</f>
        <v>#N/A</v>
      </c>
      <c r="AZ381" s="471" t="e">
        <f t="shared" si="78"/>
        <v>#N/A</v>
      </c>
      <c r="BA381" s="471" t="e">
        <f>VLOOKUP(AW381,'Item Master Data'!$A:$G,7,FALSE)</f>
        <v>#N/A</v>
      </c>
      <c r="BB381" s="471"/>
      <c r="BC381" s="471" t="e">
        <f t="shared" si="79"/>
        <v>#N/A</v>
      </c>
    </row>
    <row r="382" spans="1:55">
      <c r="A382" s="495">
        <v>27</v>
      </c>
      <c r="B382" s="407">
        <v>44665</v>
      </c>
      <c r="C382" s="407">
        <v>44665</v>
      </c>
      <c r="D382" s="485" t="s">
        <v>86</v>
      </c>
      <c r="E382" s="474"/>
      <c r="F382" s="486"/>
      <c r="G382" s="380">
        <v>2022</v>
      </c>
      <c r="H382" s="380">
        <v>7</v>
      </c>
      <c r="I382" s="474"/>
      <c r="J382" s="475"/>
      <c r="K382" s="474" t="s">
        <v>2251</v>
      </c>
      <c r="L382" s="474" t="s">
        <v>2074</v>
      </c>
      <c r="M382" s="475">
        <v>44561</v>
      </c>
      <c r="N382" s="475">
        <v>44739</v>
      </c>
      <c r="O382" s="475">
        <v>44769</v>
      </c>
      <c r="P382" s="475"/>
      <c r="Q382" s="475"/>
      <c r="R382" s="475"/>
      <c r="S382" s="474" t="s">
        <v>88</v>
      </c>
      <c r="T382" s="474">
        <v>60</v>
      </c>
      <c r="U382" s="486"/>
      <c r="V382" s="474" t="s">
        <v>973</v>
      </c>
      <c r="W382" s="474">
        <v>400</v>
      </c>
      <c r="X382" s="432">
        <v>3072</v>
      </c>
      <c r="Y382" s="389">
        <f t="shared" si="72"/>
        <v>1228800</v>
      </c>
      <c r="Z382" s="348">
        <v>0.55500000000000005</v>
      </c>
      <c r="AA382" s="480">
        <f t="shared" si="73"/>
        <v>681984.00000000012</v>
      </c>
      <c r="AB382" s="480"/>
      <c r="AC382" s="481">
        <v>0</v>
      </c>
      <c r="AD382" s="474"/>
      <c r="AE382" s="474"/>
      <c r="AF382" s="493">
        <f t="shared" si="75"/>
        <v>681984.00000000012</v>
      </c>
      <c r="AG382" s="474" t="s">
        <v>1071</v>
      </c>
      <c r="AH382" s="474"/>
      <c r="AI382" s="474">
        <v>60</v>
      </c>
      <c r="AJ382" s="475" t="s">
        <v>2075</v>
      </c>
      <c r="AK382" s="475" t="s">
        <v>50</v>
      </c>
      <c r="AL382" s="483">
        <v>92056</v>
      </c>
      <c r="AM382" s="474" t="s">
        <v>52</v>
      </c>
      <c r="AN382" s="668" t="s">
        <v>50</v>
      </c>
      <c r="AO382" s="474" t="s">
        <v>1076</v>
      </c>
      <c r="AP382" s="482" t="s">
        <v>38</v>
      </c>
      <c r="AQ382" s="474" t="s">
        <v>37</v>
      </c>
      <c r="AR382" s="474"/>
      <c r="AS382" s="473" t="s">
        <v>1152</v>
      </c>
      <c r="AT382" s="346" t="s">
        <v>1076</v>
      </c>
      <c r="AU382" s="478"/>
      <c r="AV382" s="471">
        <f t="shared" si="77"/>
        <v>0</v>
      </c>
      <c r="AW382" s="471" cm="1">
        <f t="array" ref="AW382">SUM(MID(0&amp;AV382,LARGE(INDEX(ISNUMBER(--MID(AV382,ROW($1:$8),1))*ROW($1:$8),),ROW($1:$8))+1,1)*10^ROW($1:$8)/10)</f>
        <v>0</v>
      </c>
      <c r="AX382" s="471" t="e">
        <f>VLOOKUP($AW382,'Item Master Data'!$A:$F,3,FALSE)</f>
        <v>#N/A</v>
      </c>
      <c r="AY382" s="471" t="e">
        <f>VLOOKUP($AW382,'Item Master Data'!$A:$F,6,FALSE)</f>
        <v>#N/A</v>
      </c>
      <c r="AZ382" s="471" t="e">
        <f t="shared" si="78"/>
        <v>#N/A</v>
      </c>
      <c r="BA382" s="471" t="e">
        <f>VLOOKUP(AW382,'Item Master Data'!$A:$G,7,FALSE)</f>
        <v>#N/A</v>
      </c>
      <c r="BB382" s="471"/>
      <c r="BC382" s="471" t="e">
        <f t="shared" si="79"/>
        <v>#N/A</v>
      </c>
    </row>
    <row r="383" spans="1:55">
      <c r="A383" s="472"/>
      <c r="B383" s="472"/>
      <c r="C383" s="472"/>
      <c r="D383" s="474" t="s">
        <v>86</v>
      </c>
      <c r="E383" s="474"/>
      <c r="F383" s="474" t="s">
        <v>1376</v>
      </c>
      <c r="G383" s="380">
        <v>2022</v>
      </c>
      <c r="H383" s="380">
        <v>7</v>
      </c>
      <c r="I383" s="474" t="s">
        <v>5720</v>
      </c>
      <c r="J383" s="475"/>
      <c r="K383" s="344" t="s">
        <v>5170</v>
      </c>
      <c r="L383" s="474" t="s">
        <v>5171</v>
      </c>
      <c r="M383" s="475">
        <v>44664</v>
      </c>
      <c r="N383" s="475">
        <v>44750</v>
      </c>
      <c r="O383" s="475"/>
      <c r="P383" s="475" t="s">
        <v>5721</v>
      </c>
      <c r="Q383" s="475"/>
      <c r="R383" s="475"/>
      <c r="S383" s="474" t="s">
        <v>88</v>
      </c>
      <c r="T383" s="474">
        <v>72</v>
      </c>
      <c r="U383" s="486">
        <v>49303156</v>
      </c>
      <c r="V383" s="474" t="s">
        <v>995</v>
      </c>
      <c r="W383" s="474">
        <v>480</v>
      </c>
      <c r="X383" s="432">
        <v>5834</v>
      </c>
      <c r="Y383" s="389">
        <f t="shared" si="72"/>
        <v>2800320</v>
      </c>
      <c r="Z383" s="478">
        <f>264/480</f>
        <v>0.55000000000000004</v>
      </c>
      <c r="AA383" s="480">
        <f t="shared" si="73"/>
        <v>1540176.0000000002</v>
      </c>
      <c r="AB383" s="386"/>
      <c r="AC383" s="481">
        <f>AB383*Y383</f>
        <v>0</v>
      </c>
      <c r="AD383" s="474"/>
      <c r="AE383" s="482">
        <f>AA383*0.0775</f>
        <v>119363.64000000001</v>
      </c>
      <c r="AF383" s="493">
        <f t="shared" si="75"/>
        <v>1659539.6400000001</v>
      </c>
      <c r="AG383" s="474" t="s">
        <v>1071</v>
      </c>
      <c r="AH383" s="447">
        <v>100</v>
      </c>
      <c r="AI383" s="474">
        <v>0</v>
      </c>
      <c r="AJ383" s="474" t="s">
        <v>1790</v>
      </c>
      <c r="AK383" s="474" t="s">
        <v>2321</v>
      </c>
      <c r="AL383" s="494">
        <v>95834</v>
      </c>
      <c r="AM383" s="474" t="s">
        <v>52</v>
      </c>
      <c r="AN383" s="380" t="s">
        <v>1695</v>
      </c>
      <c r="AO383" s="474" t="s">
        <v>1076</v>
      </c>
      <c r="AP383" s="482"/>
      <c r="AQ383" s="474" t="s">
        <v>37</v>
      </c>
      <c r="AR383" s="474"/>
      <c r="AS383" s="387" t="s">
        <v>1152</v>
      </c>
      <c r="AT383" s="356" t="s">
        <v>1076</v>
      </c>
      <c r="AU383" s="478"/>
      <c r="AV383" s="471"/>
      <c r="AW383" s="471"/>
      <c r="AX383" s="471"/>
      <c r="AY383" s="471"/>
      <c r="AZ383" s="471"/>
      <c r="BA383" s="471"/>
      <c r="BB383" s="471"/>
      <c r="BC383" s="471"/>
    </row>
    <row r="384" spans="1:55">
      <c r="A384" s="495"/>
      <c r="B384" s="495"/>
      <c r="C384" s="495"/>
      <c r="D384" s="474" t="s">
        <v>86</v>
      </c>
      <c r="E384" s="474"/>
      <c r="F384" s="474"/>
      <c r="G384" s="380">
        <v>2022</v>
      </c>
      <c r="H384" s="380">
        <v>8</v>
      </c>
      <c r="I384" s="474"/>
      <c r="J384" s="475"/>
      <c r="K384" s="474" t="s">
        <v>1740</v>
      </c>
      <c r="L384" s="474" t="s">
        <v>1693</v>
      </c>
      <c r="M384" s="475">
        <v>44595</v>
      </c>
      <c r="N384" s="475">
        <v>44747</v>
      </c>
      <c r="O384" s="475">
        <v>44778</v>
      </c>
      <c r="P384" s="475"/>
      <c r="Q384" s="475"/>
      <c r="R384" s="475"/>
      <c r="S384" s="474" t="s">
        <v>88</v>
      </c>
      <c r="T384" s="474">
        <v>60</v>
      </c>
      <c r="U384" s="474"/>
      <c r="V384" s="474" t="s">
        <v>986</v>
      </c>
      <c r="W384" s="474">
        <v>360</v>
      </c>
      <c r="X384" s="432">
        <v>1664</v>
      </c>
      <c r="Y384" s="389">
        <f t="shared" si="72"/>
        <v>599040</v>
      </c>
      <c r="Z384" s="478">
        <f>190.8/360</f>
        <v>0.53</v>
      </c>
      <c r="AA384" s="479">
        <f t="shared" si="73"/>
        <v>317491.20000000001</v>
      </c>
      <c r="AB384" s="480"/>
      <c r="AC384" s="481">
        <v>0</v>
      </c>
      <c r="AD384" s="490"/>
      <c r="AE384" s="482"/>
      <c r="AF384" s="493">
        <f t="shared" si="75"/>
        <v>317491.20000000001</v>
      </c>
      <c r="AG384" s="474" t="s">
        <v>1071</v>
      </c>
      <c r="AH384" s="474"/>
      <c r="AI384" s="474">
        <v>60</v>
      </c>
      <c r="AJ384" s="474" t="s">
        <v>1694</v>
      </c>
      <c r="AK384" s="474" t="s">
        <v>1144</v>
      </c>
      <c r="AL384" s="474">
        <v>92806</v>
      </c>
      <c r="AM384" s="474" t="s">
        <v>52</v>
      </c>
      <c r="AN384" s="380"/>
      <c r="AO384" s="474" t="s">
        <v>1076</v>
      </c>
      <c r="AP384" s="482" t="s">
        <v>92</v>
      </c>
      <c r="AQ384" s="482" t="s">
        <v>37</v>
      </c>
      <c r="AR384" s="482" t="s">
        <v>1216</v>
      </c>
      <c r="AS384" s="473" t="s">
        <v>1492</v>
      </c>
      <c r="AT384" s="346"/>
      <c r="AU384" s="478">
        <f>180/360</f>
        <v>0.5</v>
      </c>
      <c r="AV384" s="471"/>
      <c r="AW384" s="471"/>
      <c r="AX384" s="471"/>
      <c r="AY384" s="471"/>
      <c r="AZ384" s="471"/>
      <c r="BA384" s="471"/>
      <c r="BB384" s="471"/>
      <c r="BC384" s="471"/>
    </row>
    <row r="385" spans="1:55">
      <c r="A385" s="495"/>
      <c r="B385" s="495"/>
      <c r="C385" s="495"/>
      <c r="D385" s="474" t="s">
        <v>86</v>
      </c>
      <c r="E385" s="474"/>
      <c r="F385" s="474"/>
      <c r="G385" s="380">
        <v>2022</v>
      </c>
      <c r="H385" s="380">
        <v>8</v>
      </c>
      <c r="I385" s="474"/>
      <c r="J385" s="475"/>
      <c r="K385" s="474" t="s">
        <v>1740</v>
      </c>
      <c r="L385" s="474" t="s">
        <v>1693</v>
      </c>
      <c r="M385" s="475">
        <v>44595</v>
      </c>
      <c r="N385" s="475">
        <v>44747</v>
      </c>
      <c r="O385" s="475">
        <v>44778</v>
      </c>
      <c r="P385" s="475"/>
      <c r="Q385" s="475"/>
      <c r="R385" s="475"/>
      <c r="S385" s="474" t="s">
        <v>88</v>
      </c>
      <c r="T385" s="474">
        <v>60</v>
      </c>
      <c r="U385" s="474"/>
      <c r="V385" s="474" t="s">
        <v>973</v>
      </c>
      <c r="W385" s="474">
        <v>400</v>
      </c>
      <c r="X385" s="432">
        <v>768</v>
      </c>
      <c r="Y385" s="389">
        <f t="shared" si="72"/>
        <v>307200</v>
      </c>
      <c r="Z385" s="478">
        <f>220/400</f>
        <v>0.55000000000000004</v>
      </c>
      <c r="AA385" s="479">
        <f t="shared" si="73"/>
        <v>168960</v>
      </c>
      <c r="AB385" s="480"/>
      <c r="AC385" s="481">
        <v>0</v>
      </c>
      <c r="AD385" s="490"/>
      <c r="AE385" s="482"/>
      <c r="AF385" s="493">
        <f t="shared" si="75"/>
        <v>168960</v>
      </c>
      <c r="AG385" s="474" t="s">
        <v>1071</v>
      </c>
      <c r="AH385" s="474"/>
      <c r="AI385" s="474">
        <v>60</v>
      </c>
      <c r="AJ385" s="474" t="s">
        <v>1694</v>
      </c>
      <c r="AK385" s="474" t="s">
        <v>1144</v>
      </c>
      <c r="AL385" s="474">
        <v>92806</v>
      </c>
      <c r="AM385" s="474" t="s">
        <v>52</v>
      </c>
      <c r="AN385" s="380"/>
      <c r="AO385" s="474" t="s">
        <v>1076</v>
      </c>
      <c r="AP385" s="482" t="s">
        <v>92</v>
      </c>
      <c r="AQ385" s="482" t="s">
        <v>37</v>
      </c>
      <c r="AR385" s="482" t="s">
        <v>1216</v>
      </c>
      <c r="AS385" s="473" t="s">
        <v>1492</v>
      </c>
      <c r="AT385" s="346"/>
      <c r="AU385" s="478">
        <f>180/360</f>
        <v>0.5</v>
      </c>
      <c r="AV385" s="471"/>
      <c r="AW385" s="471"/>
      <c r="AX385" s="471"/>
      <c r="AY385" s="471"/>
      <c r="AZ385" s="471"/>
      <c r="BA385" s="471"/>
      <c r="BB385" s="471"/>
      <c r="BC385" s="471"/>
    </row>
    <row r="386" spans="1:55">
      <c r="A386" s="495"/>
      <c r="B386" s="495"/>
      <c r="C386" s="495"/>
      <c r="D386" s="474" t="s">
        <v>86</v>
      </c>
      <c r="E386" s="474"/>
      <c r="F386" s="474"/>
      <c r="G386" s="380">
        <v>2022</v>
      </c>
      <c r="H386" s="380">
        <v>8</v>
      </c>
      <c r="I386" s="474"/>
      <c r="J386" s="475"/>
      <c r="K386" s="474" t="s">
        <v>1741</v>
      </c>
      <c r="L386" s="474" t="s">
        <v>1693</v>
      </c>
      <c r="M386" s="475">
        <v>44595</v>
      </c>
      <c r="N386" s="475">
        <v>44781</v>
      </c>
      <c r="O386" s="475"/>
      <c r="P386" s="475"/>
      <c r="Q386" s="475"/>
      <c r="R386" s="475"/>
      <c r="S386" s="474" t="s">
        <v>88</v>
      </c>
      <c r="T386" s="474">
        <v>60</v>
      </c>
      <c r="U386" s="474"/>
      <c r="V386" s="474" t="s">
        <v>986</v>
      </c>
      <c r="W386" s="474">
        <v>360</v>
      </c>
      <c r="X386" s="432">
        <v>1664</v>
      </c>
      <c r="Y386" s="389">
        <f t="shared" si="72"/>
        <v>599040</v>
      </c>
      <c r="Z386" s="478">
        <f>190.8/360</f>
        <v>0.53</v>
      </c>
      <c r="AA386" s="479">
        <f t="shared" si="73"/>
        <v>317491.20000000001</v>
      </c>
      <c r="AB386" s="480"/>
      <c r="AC386" s="481">
        <v>0</v>
      </c>
      <c r="AD386" s="490"/>
      <c r="AE386" s="482"/>
      <c r="AF386" s="493">
        <f t="shared" si="75"/>
        <v>317491.20000000001</v>
      </c>
      <c r="AG386" s="474" t="s">
        <v>1071</v>
      </c>
      <c r="AH386" s="474"/>
      <c r="AI386" s="474">
        <v>60</v>
      </c>
      <c r="AJ386" s="474" t="s">
        <v>1694</v>
      </c>
      <c r="AK386" s="474" t="s">
        <v>1144</v>
      </c>
      <c r="AL386" s="474">
        <v>92806</v>
      </c>
      <c r="AM386" s="474" t="s">
        <v>52</v>
      </c>
      <c r="AN386" s="474"/>
      <c r="AO386" s="474" t="s">
        <v>1076</v>
      </c>
      <c r="AP386" s="482" t="s">
        <v>92</v>
      </c>
      <c r="AQ386" s="482" t="s">
        <v>37</v>
      </c>
      <c r="AR386" s="482" t="s">
        <v>1216</v>
      </c>
      <c r="AS386" s="473" t="s">
        <v>1492</v>
      </c>
      <c r="AT386" s="346"/>
      <c r="AU386" s="478">
        <f>180/360</f>
        <v>0.5</v>
      </c>
      <c r="AV386" s="471"/>
      <c r="AW386" s="471"/>
      <c r="AX386" s="471"/>
      <c r="AY386" s="471"/>
      <c r="AZ386" s="471"/>
      <c r="BA386" s="471"/>
      <c r="BB386" s="471"/>
      <c r="BC386" s="471"/>
    </row>
    <row r="387" spans="1:55">
      <c r="A387" s="495"/>
      <c r="B387" s="495"/>
      <c r="C387" s="495"/>
      <c r="D387" s="474" t="s">
        <v>86</v>
      </c>
      <c r="E387" s="474"/>
      <c r="F387" s="380"/>
      <c r="G387" s="380">
        <v>2022</v>
      </c>
      <c r="H387" s="474">
        <v>8</v>
      </c>
      <c r="I387" s="474"/>
      <c r="J387" s="377"/>
      <c r="K387" s="343" t="s">
        <v>1741</v>
      </c>
      <c r="L387" s="380" t="s">
        <v>1693</v>
      </c>
      <c r="M387" s="377">
        <v>44595</v>
      </c>
      <c r="N387" s="377">
        <v>44781</v>
      </c>
      <c r="O387" s="377"/>
      <c r="P387" s="377"/>
      <c r="Q387" s="377"/>
      <c r="R387" s="377"/>
      <c r="S387" s="474" t="s">
        <v>88</v>
      </c>
      <c r="T387" s="380">
        <v>60</v>
      </c>
      <c r="U387" s="380"/>
      <c r="V387" s="380" t="s">
        <v>973</v>
      </c>
      <c r="W387" s="380">
        <v>400</v>
      </c>
      <c r="X387" s="669">
        <v>1536</v>
      </c>
      <c r="Y387" s="670">
        <f t="shared" si="72"/>
        <v>614400</v>
      </c>
      <c r="Z387" s="478">
        <f>220/400</f>
        <v>0.55000000000000004</v>
      </c>
      <c r="AA387" s="479">
        <f t="shared" si="73"/>
        <v>337920</v>
      </c>
      <c r="AB387" s="641"/>
      <c r="AC387" s="341">
        <v>0</v>
      </c>
      <c r="AD387" s="642"/>
      <c r="AE387" s="342"/>
      <c r="AF387" s="117">
        <f t="shared" si="75"/>
        <v>337920</v>
      </c>
      <c r="AG387" s="380" t="s">
        <v>1071</v>
      </c>
      <c r="AH387" s="380"/>
      <c r="AI387" s="380">
        <v>60</v>
      </c>
      <c r="AJ387" s="380" t="s">
        <v>1694</v>
      </c>
      <c r="AK387" s="380" t="s">
        <v>1144</v>
      </c>
      <c r="AL387" s="380">
        <v>92806</v>
      </c>
      <c r="AM387" s="380" t="s">
        <v>52</v>
      </c>
      <c r="AN387" s="474"/>
      <c r="AO387" s="380" t="s">
        <v>1076</v>
      </c>
      <c r="AP387" s="342" t="s">
        <v>92</v>
      </c>
      <c r="AQ387" s="342" t="s">
        <v>37</v>
      </c>
      <c r="AR387" s="342" t="s">
        <v>1216</v>
      </c>
      <c r="AS387" s="671" t="s">
        <v>1492</v>
      </c>
      <c r="AT387" s="672"/>
      <c r="AU387" s="340">
        <f>180/360</f>
        <v>0.5</v>
      </c>
      <c r="AV387" s="471">
        <f t="shared" ref="AV387:AV414" si="80">U387</f>
        <v>0</v>
      </c>
      <c r="AW387" s="471" cm="1">
        <f t="array" ref="AW387">SUM(MID(0&amp;AV387,LARGE(INDEX(ISNUMBER(--MID(AV387,ROW($1:$8),1))*ROW($1:$8),),ROW($1:$8))+1,1)*10^ROW($1:$8)/10)</f>
        <v>0</v>
      </c>
      <c r="AX387" s="471" t="e">
        <f>VLOOKUP($AW387,'Item Master Data'!$A:$F,3,FALSE)</f>
        <v>#N/A</v>
      </c>
      <c r="AY387" s="471" t="e">
        <f>VLOOKUP($AW387,'Item Master Data'!$A:$F,6,FALSE)</f>
        <v>#N/A</v>
      </c>
      <c r="AZ387" s="471" t="e">
        <f t="shared" ref="AZ387:AZ414" si="81">X387/BA387</f>
        <v>#N/A</v>
      </c>
      <c r="BA387" s="471" t="e">
        <f>VLOOKUP(AW387,'Item Master Data'!$A:$G,7,FALSE)</f>
        <v>#N/A</v>
      </c>
      <c r="BB387" s="471"/>
      <c r="BC387" s="471" t="e">
        <f t="shared" ref="BC387:BC414" si="82">W387-AY387</f>
        <v>#N/A</v>
      </c>
    </row>
    <row r="388" spans="1:55">
      <c r="A388" s="495"/>
      <c r="B388" s="495"/>
      <c r="C388" s="495"/>
      <c r="D388" s="474" t="s">
        <v>86</v>
      </c>
      <c r="E388" s="474"/>
      <c r="F388" s="380"/>
      <c r="G388" s="380">
        <v>2022</v>
      </c>
      <c r="H388" s="474">
        <v>8</v>
      </c>
      <c r="I388" s="474"/>
      <c r="J388" s="377"/>
      <c r="K388" s="343" t="s">
        <v>1739</v>
      </c>
      <c r="L388" s="380" t="s">
        <v>1693</v>
      </c>
      <c r="M388" s="377">
        <v>44595</v>
      </c>
      <c r="N388" s="377">
        <v>44747</v>
      </c>
      <c r="O388" s="377">
        <v>44778</v>
      </c>
      <c r="P388" s="475"/>
      <c r="Q388" s="377"/>
      <c r="R388" s="377"/>
      <c r="S388" s="474" t="s">
        <v>88</v>
      </c>
      <c r="T388" s="380">
        <v>60</v>
      </c>
      <c r="U388" s="474"/>
      <c r="V388" s="380" t="s">
        <v>1223</v>
      </c>
      <c r="W388" s="380">
        <v>360</v>
      </c>
      <c r="X388" s="669">
        <v>832</v>
      </c>
      <c r="Y388" s="389">
        <f t="shared" si="72"/>
        <v>299520</v>
      </c>
      <c r="Z388" s="478">
        <f>298.8/360</f>
        <v>0.83000000000000007</v>
      </c>
      <c r="AA388" s="479">
        <f t="shared" si="73"/>
        <v>248601.60000000003</v>
      </c>
      <c r="AB388" s="641"/>
      <c r="AC388" s="341">
        <v>0</v>
      </c>
      <c r="AD388" s="642"/>
      <c r="AE388" s="342"/>
      <c r="AF388" s="117">
        <f t="shared" si="75"/>
        <v>248601.60000000003</v>
      </c>
      <c r="AG388" s="380" t="s">
        <v>1071</v>
      </c>
      <c r="AH388" s="380"/>
      <c r="AI388" s="380">
        <v>60</v>
      </c>
      <c r="AJ388" s="380" t="s">
        <v>1694</v>
      </c>
      <c r="AK388" s="380" t="s">
        <v>1144</v>
      </c>
      <c r="AL388" s="380">
        <v>92806</v>
      </c>
      <c r="AM388" s="380" t="s">
        <v>52</v>
      </c>
      <c r="AN388" s="474"/>
      <c r="AO388" s="380" t="s">
        <v>1076</v>
      </c>
      <c r="AP388" s="482" t="s">
        <v>92</v>
      </c>
      <c r="AQ388" s="342" t="s">
        <v>37</v>
      </c>
      <c r="AR388" s="342" t="s">
        <v>1216</v>
      </c>
      <c r="AS388" s="671" t="s">
        <v>1492</v>
      </c>
      <c r="AT388" s="672"/>
      <c r="AU388" s="340">
        <f>180/360</f>
        <v>0.5</v>
      </c>
      <c r="AV388" s="471">
        <f t="shared" si="80"/>
        <v>0</v>
      </c>
      <c r="AW388" s="471" cm="1">
        <f t="array" ref="AW388">SUM(MID(0&amp;AV388,LARGE(INDEX(ISNUMBER(--MID(AV388,ROW($1:$8),1))*ROW($1:$8),),ROW($1:$8))+1,1)*10^ROW($1:$8)/10)</f>
        <v>0</v>
      </c>
      <c r="AX388" s="471" t="e">
        <f>VLOOKUP($AW388,'Item Master Data'!$A:$F,3,FALSE)</f>
        <v>#N/A</v>
      </c>
      <c r="AY388" s="471" t="e">
        <f>VLOOKUP($AW388,'Item Master Data'!$A:$F,6,FALSE)</f>
        <v>#N/A</v>
      </c>
      <c r="AZ388" s="471" t="e">
        <f t="shared" si="81"/>
        <v>#N/A</v>
      </c>
      <c r="BA388" s="471" t="e">
        <f>VLOOKUP(AW388,'Item Master Data'!$A:$G,7,FALSE)</f>
        <v>#N/A</v>
      </c>
      <c r="BB388" s="471"/>
      <c r="BC388" s="471" t="e">
        <f t="shared" si="82"/>
        <v>#N/A</v>
      </c>
    </row>
    <row r="389" spans="1:55">
      <c r="A389" s="495"/>
      <c r="B389" s="407"/>
      <c r="C389" s="407"/>
      <c r="D389" s="485" t="s">
        <v>86</v>
      </c>
      <c r="E389" s="474" t="s">
        <v>5469</v>
      </c>
      <c r="F389" s="109"/>
      <c r="G389" s="380">
        <v>2022</v>
      </c>
      <c r="H389" s="474">
        <v>7</v>
      </c>
      <c r="I389" s="474"/>
      <c r="J389" s="377"/>
      <c r="K389" s="343">
        <v>1201</v>
      </c>
      <c r="L389" s="380" t="s">
        <v>1754</v>
      </c>
      <c r="M389" s="377">
        <v>44585</v>
      </c>
      <c r="N389" s="377">
        <v>44746</v>
      </c>
      <c r="O389" s="377"/>
      <c r="P389" s="377"/>
      <c r="Q389" s="377"/>
      <c r="R389" s="377"/>
      <c r="S389" s="474" t="s">
        <v>1688</v>
      </c>
      <c r="T389" s="380">
        <v>72</v>
      </c>
      <c r="U389" s="109"/>
      <c r="V389" s="380" t="s">
        <v>1002</v>
      </c>
      <c r="W389" s="380">
        <v>480</v>
      </c>
      <c r="X389" s="669">
        <v>1276</v>
      </c>
      <c r="Y389" s="670">
        <f t="shared" si="72"/>
        <v>612480</v>
      </c>
      <c r="Z389" s="478">
        <f>237.6/480</f>
        <v>0.495</v>
      </c>
      <c r="AA389" s="480">
        <f t="shared" si="73"/>
        <v>303177.59999999998</v>
      </c>
      <c r="AB389" s="641"/>
      <c r="AC389" s="341">
        <f>AB389*Y389</f>
        <v>0</v>
      </c>
      <c r="AD389" s="380"/>
      <c r="AE389" s="380"/>
      <c r="AF389" s="117">
        <f t="shared" si="75"/>
        <v>303177.59999999998</v>
      </c>
      <c r="AG389" s="380" t="s">
        <v>1071</v>
      </c>
      <c r="AH389" s="380">
        <v>100</v>
      </c>
      <c r="AI389" s="380">
        <v>0</v>
      </c>
      <c r="AJ389" s="377" t="s">
        <v>1756</v>
      </c>
      <c r="AK389" s="377" t="s">
        <v>50</v>
      </c>
      <c r="AL389" s="118">
        <v>92010</v>
      </c>
      <c r="AM389" s="380" t="s">
        <v>52</v>
      </c>
      <c r="AN389" s="384"/>
      <c r="AO389" s="380" t="s">
        <v>1076</v>
      </c>
      <c r="AP389" s="342"/>
      <c r="AQ389" s="380" t="s">
        <v>37</v>
      </c>
      <c r="AR389" s="380"/>
      <c r="AS389" s="671"/>
      <c r="AT389" s="672"/>
      <c r="AU389" s="340"/>
      <c r="AV389" s="471">
        <f t="shared" si="80"/>
        <v>0</v>
      </c>
      <c r="AW389" s="471" cm="1">
        <f t="array" ref="AW389">SUM(MID(0&amp;AV389,LARGE(INDEX(ISNUMBER(--MID(AV389,ROW($1:$8),1))*ROW($1:$8),),ROW($1:$8))+1,1)*10^ROW($1:$8)/10)</f>
        <v>0</v>
      </c>
      <c r="AX389" s="471" t="e">
        <f>VLOOKUP($AW389,'Item Master Data'!$A:$F,3,FALSE)</f>
        <v>#N/A</v>
      </c>
      <c r="AY389" s="471" t="e">
        <f>VLOOKUP($AW389,'Item Master Data'!$A:$F,6,FALSE)</f>
        <v>#N/A</v>
      </c>
      <c r="AZ389" s="471" t="e">
        <f t="shared" si="81"/>
        <v>#N/A</v>
      </c>
      <c r="BA389" s="471" t="e">
        <f>VLOOKUP(AW389,'Item Master Data'!$A:$G,7,FALSE)</f>
        <v>#N/A</v>
      </c>
      <c r="BB389" s="471"/>
      <c r="BC389" s="471" t="e">
        <f t="shared" si="82"/>
        <v>#N/A</v>
      </c>
    </row>
    <row r="390" spans="1:55">
      <c r="A390" s="495"/>
      <c r="B390" s="407">
        <v>44628</v>
      </c>
      <c r="C390" s="407">
        <v>44628</v>
      </c>
      <c r="D390" s="485" t="s">
        <v>86</v>
      </c>
      <c r="E390" s="474"/>
      <c r="F390" s="109"/>
      <c r="G390" s="380">
        <v>2022</v>
      </c>
      <c r="H390" s="474">
        <v>8</v>
      </c>
      <c r="I390" s="474"/>
      <c r="J390" s="377"/>
      <c r="K390" s="343" t="s">
        <v>1805</v>
      </c>
      <c r="L390" s="380" t="s">
        <v>1798</v>
      </c>
      <c r="M390" s="377">
        <v>44568</v>
      </c>
      <c r="N390" s="377">
        <v>44774</v>
      </c>
      <c r="O390" s="377"/>
      <c r="P390" s="377"/>
      <c r="Q390" s="377"/>
      <c r="R390" s="377"/>
      <c r="S390" s="474" t="s">
        <v>1688</v>
      </c>
      <c r="T390" s="380">
        <v>60</v>
      </c>
      <c r="U390" s="109">
        <v>49401139</v>
      </c>
      <c r="V390" s="380" t="s">
        <v>1223</v>
      </c>
      <c r="W390" s="380">
        <v>360</v>
      </c>
      <c r="X390" s="669">
        <v>676</v>
      </c>
      <c r="Y390" s="670">
        <f t="shared" si="72"/>
        <v>243360</v>
      </c>
      <c r="Z390" s="478">
        <f>298.8/360</f>
        <v>0.83000000000000007</v>
      </c>
      <c r="AA390" s="480">
        <f t="shared" si="73"/>
        <v>201988.80000000002</v>
      </c>
      <c r="AB390" s="641"/>
      <c r="AC390" s="341">
        <v>0</v>
      </c>
      <c r="AD390" s="380"/>
      <c r="AE390" s="380"/>
      <c r="AF390" s="117">
        <f t="shared" si="75"/>
        <v>201988.80000000002</v>
      </c>
      <c r="AG390" s="380" t="s">
        <v>1071</v>
      </c>
      <c r="AH390" s="380"/>
      <c r="AI390" s="380">
        <v>60</v>
      </c>
      <c r="AJ390" s="377" t="s">
        <v>1799</v>
      </c>
      <c r="AK390" s="377" t="s">
        <v>50</v>
      </c>
      <c r="AL390" s="118">
        <v>91311</v>
      </c>
      <c r="AM390" s="380" t="s">
        <v>52</v>
      </c>
      <c r="AN390" s="384" t="s">
        <v>1074</v>
      </c>
      <c r="AO390" s="380" t="s">
        <v>1076</v>
      </c>
      <c r="AP390" s="342"/>
      <c r="AQ390" s="380" t="s">
        <v>37</v>
      </c>
      <c r="AR390" s="380"/>
      <c r="AS390" s="671"/>
      <c r="AT390" s="672"/>
      <c r="AU390" s="340">
        <v>0.72</v>
      </c>
      <c r="AV390" s="471">
        <f t="shared" si="80"/>
        <v>49401139</v>
      </c>
      <c r="AW390" s="471" cm="1">
        <f t="array" ref="AW390">SUM(MID(0&amp;AV390,LARGE(INDEX(ISNUMBER(--MID(AV390,ROW($1:$8),1))*ROW($1:$8),),ROW($1:$8))+1,1)*10^ROW($1:$8)/10)</f>
        <v>49401139</v>
      </c>
      <c r="AX390" s="471" t="str">
        <f>VLOOKUP($AW390,'Item Master Data'!$A:$F,3,FALSE)</f>
        <v>Q.PEAK DUO BLK ML G10.a+</v>
      </c>
      <c r="AY390" s="471">
        <f>VLOOKUP($AW390,'Item Master Data'!$A:$F,6,FALSE)</f>
        <v>395</v>
      </c>
      <c r="AZ390" s="471">
        <f t="shared" si="81"/>
        <v>21.125</v>
      </c>
      <c r="BA390" s="471">
        <f>VLOOKUP(AW390,'Item Master Data'!$A:$G,7,FALSE)</f>
        <v>32</v>
      </c>
      <c r="BB390" s="471"/>
      <c r="BC390" s="471">
        <f t="shared" si="82"/>
        <v>-35</v>
      </c>
    </row>
    <row r="391" spans="1:55">
      <c r="A391" s="495"/>
      <c r="B391" s="407">
        <v>44589</v>
      </c>
      <c r="C391" s="407">
        <v>44589</v>
      </c>
      <c r="D391" s="485" t="s">
        <v>86</v>
      </c>
      <c r="E391" s="474"/>
      <c r="F391" s="486" t="s">
        <v>87</v>
      </c>
      <c r="G391" s="380">
        <v>2022</v>
      </c>
      <c r="H391" s="474">
        <v>8</v>
      </c>
      <c r="I391" s="474"/>
      <c r="J391" s="475"/>
      <c r="K391" s="474" t="s">
        <v>1935</v>
      </c>
      <c r="L391" s="474" t="s">
        <v>1842</v>
      </c>
      <c r="M391" s="475">
        <v>44924</v>
      </c>
      <c r="N391" s="475">
        <v>44802</v>
      </c>
      <c r="O391" s="475"/>
      <c r="P391" s="475"/>
      <c r="Q391" s="475"/>
      <c r="R391" s="475"/>
      <c r="S391" s="474" t="s">
        <v>88</v>
      </c>
      <c r="T391" s="474">
        <v>72</v>
      </c>
      <c r="U391" s="486">
        <v>49303156</v>
      </c>
      <c r="V391" s="474" t="s">
        <v>1070</v>
      </c>
      <c r="W391" s="474">
        <v>480</v>
      </c>
      <c r="X391" s="432">
        <v>1276</v>
      </c>
      <c r="Y391" s="389">
        <f t="shared" si="72"/>
        <v>612480</v>
      </c>
      <c r="Z391" s="478">
        <f>225.6/480</f>
        <v>0.47</v>
      </c>
      <c r="AA391" s="480">
        <f t="shared" si="73"/>
        <v>287865.59999999998</v>
      </c>
      <c r="AB391" s="480"/>
      <c r="AC391" s="481">
        <v>0</v>
      </c>
      <c r="AD391" s="474"/>
      <c r="AE391" s="474"/>
      <c r="AF391" s="493">
        <f t="shared" si="75"/>
        <v>287865.59999999998</v>
      </c>
      <c r="AG391" s="474" t="s">
        <v>1071</v>
      </c>
      <c r="AH391" s="474"/>
      <c r="AI391" s="474">
        <v>60</v>
      </c>
      <c r="AJ391" s="475" t="s">
        <v>1860</v>
      </c>
      <c r="AK391" s="475" t="s">
        <v>50</v>
      </c>
      <c r="AL391" s="483">
        <v>93703</v>
      </c>
      <c r="AM391" s="474" t="s">
        <v>52</v>
      </c>
      <c r="AN391" s="384" t="s">
        <v>1695</v>
      </c>
      <c r="AO391" s="474" t="s">
        <v>1076</v>
      </c>
      <c r="AP391" s="482"/>
      <c r="AQ391" s="474" t="s">
        <v>1086</v>
      </c>
      <c r="AR391" s="474"/>
      <c r="AS391" s="473" t="s">
        <v>1492</v>
      </c>
      <c r="AT391" s="473"/>
      <c r="AU391" s="478"/>
      <c r="AV391" s="471">
        <f t="shared" si="80"/>
        <v>49303156</v>
      </c>
      <c r="AW391" s="471" cm="1">
        <f t="array" ref="AW391">SUM(MID(0&amp;AV391,LARGE(INDEX(ISNUMBER(--MID(AV391,ROW($1:$8),1))*ROW($1:$8),),ROW($1:$8))+1,1)*10^ROW($1:$8)/10)</f>
        <v>49303156</v>
      </c>
      <c r="AX391" s="471" t="str">
        <f>VLOOKUP($AW391,'Item Master Data'!$A:$F,3,FALSE)</f>
        <v>Q.PEAK DUO XL G10 BFG</v>
      </c>
      <c r="AY391" s="471">
        <f>VLOOKUP($AW391,'Item Master Data'!$A:$F,6,FALSE)</f>
        <v>480</v>
      </c>
      <c r="AZ391" s="471">
        <f t="shared" si="81"/>
        <v>44</v>
      </c>
      <c r="BA391" s="471">
        <f>VLOOKUP(AW391,'Item Master Data'!$A:$G,7,FALSE)</f>
        <v>29</v>
      </c>
      <c r="BB391" s="471"/>
      <c r="BC391" s="471">
        <f t="shared" si="82"/>
        <v>0</v>
      </c>
    </row>
    <row r="392" spans="1:55">
      <c r="A392" s="495"/>
      <c r="B392" s="407">
        <v>44635</v>
      </c>
      <c r="C392" s="407">
        <v>44636</v>
      </c>
      <c r="D392" s="485" t="s">
        <v>86</v>
      </c>
      <c r="E392" s="474"/>
      <c r="F392" s="486"/>
      <c r="G392" s="380">
        <v>2022</v>
      </c>
      <c r="H392" s="380">
        <v>8</v>
      </c>
      <c r="I392" s="474"/>
      <c r="J392" s="475"/>
      <c r="K392" s="474" t="s">
        <v>1934</v>
      </c>
      <c r="L392" s="474" t="s">
        <v>1842</v>
      </c>
      <c r="M392" s="475">
        <v>44587</v>
      </c>
      <c r="N392" s="475">
        <v>44799</v>
      </c>
      <c r="O392" s="475"/>
      <c r="P392" s="475"/>
      <c r="Q392" s="475"/>
      <c r="R392" s="475"/>
      <c r="S392" s="474" t="s">
        <v>1688</v>
      </c>
      <c r="T392" s="474">
        <v>60</v>
      </c>
      <c r="U392" s="486"/>
      <c r="V392" s="474" t="s">
        <v>986</v>
      </c>
      <c r="W392" s="474">
        <v>360</v>
      </c>
      <c r="X392" s="432">
        <v>1664</v>
      </c>
      <c r="Y392" s="389">
        <f t="shared" si="72"/>
        <v>599040</v>
      </c>
      <c r="Z392" s="478">
        <v>0.5</v>
      </c>
      <c r="AA392" s="480">
        <f t="shared" si="73"/>
        <v>299520</v>
      </c>
      <c r="AB392" s="480"/>
      <c r="AC392" s="481">
        <v>0</v>
      </c>
      <c r="AD392" s="474"/>
      <c r="AE392" s="474"/>
      <c r="AF392" s="493">
        <f t="shared" si="75"/>
        <v>299520</v>
      </c>
      <c r="AG392" s="474" t="s">
        <v>1071</v>
      </c>
      <c r="AH392" s="474"/>
      <c r="AI392" s="474">
        <v>60</v>
      </c>
      <c r="AJ392" s="475" t="s">
        <v>1860</v>
      </c>
      <c r="AK392" s="475" t="s">
        <v>50</v>
      </c>
      <c r="AL392" s="483" t="s">
        <v>1861</v>
      </c>
      <c r="AM392" s="474" t="s">
        <v>52</v>
      </c>
      <c r="AN392" s="384"/>
      <c r="AO392" s="474" t="s">
        <v>1076</v>
      </c>
      <c r="AP392" s="482"/>
      <c r="AQ392" s="474" t="s">
        <v>37</v>
      </c>
      <c r="AR392" s="474" t="s">
        <v>1216</v>
      </c>
      <c r="AS392" s="473" t="s">
        <v>1492</v>
      </c>
      <c r="AT392" s="346"/>
      <c r="AU392" s="478">
        <v>0.5</v>
      </c>
      <c r="AV392" s="471">
        <f t="shared" si="80"/>
        <v>0</v>
      </c>
      <c r="AW392" s="471" cm="1">
        <f t="array" ref="AW392">SUM(MID(0&amp;AV392,LARGE(INDEX(ISNUMBER(--MID(AV392,ROW($1:$8),1))*ROW($1:$8),),ROW($1:$8))+1,1)*10^ROW($1:$8)/10)</f>
        <v>0</v>
      </c>
      <c r="AX392" s="471" t="e">
        <f>VLOOKUP($AW392,'Item Master Data'!$A:$F,3,FALSE)</f>
        <v>#N/A</v>
      </c>
      <c r="AY392" s="471" t="e">
        <f>VLOOKUP($AW392,'Item Master Data'!$A:$F,6,FALSE)</f>
        <v>#N/A</v>
      </c>
      <c r="AZ392" s="471" t="e">
        <f t="shared" si="81"/>
        <v>#N/A</v>
      </c>
      <c r="BA392" s="471" t="e">
        <f>VLOOKUP(AW392,'Item Master Data'!$A:$G,7,FALSE)</f>
        <v>#N/A</v>
      </c>
      <c r="BB392" s="471"/>
      <c r="BC392" s="471" t="e">
        <f t="shared" si="82"/>
        <v>#N/A</v>
      </c>
    </row>
    <row r="393" spans="1:55">
      <c r="A393" s="495"/>
      <c r="B393" s="407">
        <v>44638</v>
      </c>
      <c r="C393" s="407">
        <v>44638</v>
      </c>
      <c r="D393" s="474" t="s">
        <v>86</v>
      </c>
      <c r="E393" s="336"/>
      <c r="F393" s="474"/>
      <c r="G393" s="380">
        <v>2022</v>
      </c>
      <c r="H393" s="380">
        <v>8</v>
      </c>
      <c r="I393" s="486" t="s">
        <v>1676</v>
      </c>
      <c r="J393" s="475"/>
      <c r="K393" s="474" t="s">
        <v>1936</v>
      </c>
      <c r="L393" s="474" t="s">
        <v>1842</v>
      </c>
      <c r="M393" s="475">
        <v>44638</v>
      </c>
      <c r="N393" s="475">
        <v>44791</v>
      </c>
      <c r="O393" s="475"/>
      <c r="P393" s="475"/>
      <c r="Q393" s="475"/>
      <c r="R393" s="475"/>
      <c r="S393" s="474" t="s">
        <v>1688</v>
      </c>
      <c r="T393" s="474">
        <v>60</v>
      </c>
      <c r="U393" s="474"/>
      <c r="V393" s="486" t="s">
        <v>986</v>
      </c>
      <c r="W393" s="474">
        <v>360</v>
      </c>
      <c r="X393" s="432">
        <v>832</v>
      </c>
      <c r="Y393" s="389">
        <f t="shared" si="72"/>
        <v>299520</v>
      </c>
      <c r="Z393" s="478">
        <f>190.8/360</f>
        <v>0.53</v>
      </c>
      <c r="AA393" s="479">
        <f t="shared" si="73"/>
        <v>158745.60000000001</v>
      </c>
      <c r="AB393" s="480"/>
      <c r="AC393" s="481">
        <f t="shared" ref="AC393:AC399" si="83">AB393*Y393</f>
        <v>0</v>
      </c>
      <c r="AD393" s="474"/>
      <c r="AE393" s="482"/>
      <c r="AF393" s="493">
        <f t="shared" si="75"/>
        <v>158745.60000000001</v>
      </c>
      <c r="AG393" s="486" t="s">
        <v>1071</v>
      </c>
      <c r="AH393" s="486"/>
      <c r="AI393" s="486">
        <v>60</v>
      </c>
      <c r="AJ393" s="475" t="s">
        <v>1860</v>
      </c>
      <c r="AK393" s="486" t="s">
        <v>50</v>
      </c>
      <c r="AL393" s="483" t="s">
        <v>1861</v>
      </c>
      <c r="AM393" s="486" t="s">
        <v>52</v>
      </c>
      <c r="AN393" s="384"/>
      <c r="AO393" s="474" t="s">
        <v>1076</v>
      </c>
      <c r="AP393" s="482"/>
      <c r="AQ393" s="482" t="s">
        <v>37</v>
      </c>
      <c r="AR393" s="482" t="s">
        <v>1216</v>
      </c>
      <c r="AS393" s="472" t="s">
        <v>1492</v>
      </c>
      <c r="AT393" s="640"/>
      <c r="AU393" s="478">
        <f t="shared" ref="AU393:AU398" si="84">180/360</f>
        <v>0.5</v>
      </c>
      <c r="AV393" s="471">
        <f t="shared" si="80"/>
        <v>0</v>
      </c>
      <c r="AW393" s="471" cm="1">
        <f t="array" ref="AW393">SUM(MID(0&amp;AV393,LARGE(INDEX(ISNUMBER(--MID(AV393,ROW($1:$8),1))*ROW($1:$8),),ROW($1:$8))+1,1)*10^ROW($1:$8)/10)</f>
        <v>0</v>
      </c>
      <c r="AX393" s="471" t="e">
        <f>VLOOKUP($AW393,'Item Master Data'!$A:$F,3,FALSE)</f>
        <v>#N/A</v>
      </c>
      <c r="AY393" s="471" t="e">
        <f>VLOOKUP($AW393,'Item Master Data'!$A:$F,6,FALSE)</f>
        <v>#N/A</v>
      </c>
      <c r="AZ393" s="471" t="e">
        <f t="shared" si="81"/>
        <v>#N/A</v>
      </c>
      <c r="BA393" s="471" t="e">
        <f>VLOOKUP(AW393,'Item Master Data'!$A:$G,7,FALSE)</f>
        <v>#N/A</v>
      </c>
      <c r="BB393" s="471"/>
      <c r="BC393" s="471" t="e">
        <f t="shared" si="82"/>
        <v>#N/A</v>
      </c>
    </row>
    <row r="394" spans="1:55">
      <c r="A394" s="495"/>
      <c r="B394" s="407">
        <v>44617</v>
      </c>
      <c r="C394" s="407">
        <v>44616</v>
      </c>
      <c r="D394" s="485" t="s">
        <v>86</v>
      </c>
      <c r="E394" s="474"/>
      <c r="F394" s="486"/>
      <c r="G394" s="380">
        <v>2022</v>
      </c>
      <c r="H394" s="380">
        <v>8</v>
      </c>
      <c r="I394" s="474"/>
      <c r="J394" s="475"/>
      <c r="K394" s="474" t="s">
        <v>2135</v>
      </c>
      <c r="L394" s="474" t="s">
        <v>1956</v>
      </c>
      <c r="M394" s="475">
        <v>44589</v>
      </c>
      <c r="N394" s="475">
        <v>44747</v>
      </c>
      <c r="O394" s="475">
        <v>44778</v>
      </c>
      <c r="P394" s="475"/>
      <c r="Q394" s="475"/>
      <c r="R394" s="475"/>
      <c r="S394" s="474" t="s">
        <v>1704</v>
      </c>
      <c r="T394" s="474">
        <v>60</v>
      </c>
      <c r="U394" s="486"/>
      <c r="V394" s="474" t="s">
        <v>986</v>
      </c>
      <c r="W394" s="474">
        <v>360</v>
      </c>
      <c r="X394" s="432">
        <v>4160</v>
      </c>
      <c r="Y394" s="389">
        <f t="shared" si="72"/>
        <v>1497600</v>
      </c>
      <c r="Z394" s="478">
        <f>190.8/360</f>
        <v>0.53</v>
      </c>
      <c r="AA394" s="480">
        <f t="shared" si="73"/>
        <v>793728</v>
      </c>
      <c r="AB394" s="480"/>
      <c r="AC394" s="481">
        <f t="shared" si="83"/>
        <v>0</v>
      </c>
      <c r="AD394" s="474"/>
      <c r="AE394" s="474"/>
      <c r="AF394" s="493">
        <f t="shared" si="75"/>
        <v>793728</v>
      </c>
      <c r="AG394" s="474" t="s">
        <v>1071</v>
      </c>
      <c r="AH394" s="474"/>
      <c r="AI394" s="474">
        <v>60</v>
      </c>
      <c r="AJ394" s="475" t="s">
        <v>1790</v>
      </c>
      <c r="AK394" s="475" t="s">
        <v>50</v>
      </c>
      <c r="AL394" s="483">
        <v>95834</v>
      </c>
      <c r="AM394" s="474" t="s">
        <v>52</v>
      </c>
      <c r="AN394" s="384" t="s">
        <v>1074</v>
      </c>
      <c r="AO394" s="474" t="s">
        <v>1076</v>
      </c>
      <c r="AP394" s="482"/>
      <c r="AQ394" s="474" t="s">
        <v>37</v>
      </c>
      <c r="AR394" s="474"/>
      <c r="AS394" s="473"/>
      <c r="AT394" s="346"/>
      <c r="AU394" s="478">
        <f t="shared" si="84"/>
        <v>0.5</v>
      </c>
      <c r="AV394" s="471">
        <f t="shared" si="80"/>
        <v>0</v>
      </c>
      <c r="AW394" s="471" cm="1">
        <f t="array" ref="AW394">SUM(MID(0&amp;AV394,LARGE(INDEX(ISNUMBER(--MID(AV394,ROW($1:$8),1))*ROW($1:$8),),ROW($1:$8))+1,1)*10^ROW($1:$8)/10)</f>
        <v>0</v>
      </c>
      <c r="AX394" s="471" t="e">
        <f>VLOOKUP($AW394,'Item Master Data'!$A:$F,3,FALSE)</f>
        <v>#N/A</v>
      </c>
      <c r="AY394" s="471" t="e">
        <f>VLOOKUP($AW394,'Item Master Data'!$A:$F,6,FALSE)</f>
        <v>#N/A</v>
      </c>
      <c r="AZ394" s="471" t="e">
        <f t="shared" si="81"/>
        <v>#N/A</v>
      </c>
      <c r="BA394" s="471" t="e">
        <f>VLOOKUP(AW394,'Item Master Data'!$A:$G,7,FALSE)</f>
        <v>#N/A</v>
      </c>
      <c r="BB394" s="471"/>
      <c r="BC394" s="471" t="e">
        <f t="shared" si="82"/>
        <v>#N/A</v>
      </c>
    </row>
    <row r="395" spans="1:55">
      <c r="A395" s="495"/>
      <c r="B395" s="407">
        <v>44617</v>
      </c>
      <c r="C395" s="407">
        <v>44616</v>
      </c>
      <c r="D395" s="485" t="s">
        <v>86</v>
      </c>
      <c r="E395" s="474"/>
      <c r="F395" s="486"/>
      <c r="G395" s="380">
        <v>2022</v>
      </c>
      <c r="H395" s="474">
        <v>8</v>
      </c>
      <c r="I395" s="474"/>
      <c r="J395" s="475"/>
      <c r="K395" s="474" t="s">
        <v>2135</v>
      </c>
      <c r="L395" s="474" t="s">
        <v>1956</v>
      </c>
      <c r="M395" s="475">
        <v>44589</v>
      </c>
      <c r="N395" s="475">
        <v>44747</v>
      </c>
      <c r="O395" s="475">
        <v>44778</v>
      </c>
      <c r="P395" s="475"/>
      <c r="Q395" s="475"/>
      <c r="R395" s="475"/>
      <c r="S395" s="474" t="s">
        <v>1704</v>
      </c>
      <c r="T395" s="474">
        <v>60</v>
      </c>
      <c r="U395" s="486"/>
      <c r="V395" s="474" t="s">
        <v>973</v>
      </c>
      <c r="W395" s="474">
        <v>400</v>
      </c>
      <c r="X395" s="432">
        <v>6144</v>
      </c>
      <c r="Y395" s="389">
        <f t="shared" si="72"/>
        <v>2457600</v>
      </c>
      <c r="Z395" s="478">
        <f>220/400</f>
        <v>0.55000000000000004</v>
      </c>
      <c r="AA395" s="480">
        <f t="shared" si="73"/>
        <v>1351680</v>
      </c>
      <c r="AB395" s="480"/>
      <c r="AC395" s="481">
        <f t="shared" si="83"/>
        <v>0</v>
      </c>
      <c r="AD395" s="474"/>
      <c r="AE395" s="474"/>
      <c r="AF395" s="493">
        <f t="shared" si="75"/>
        <v>1351680</v>
      </c>
      <c r="AG395" s="474" t="s">
        <v>1071</v>
      </c>
      <c r="AH395" s="474"/>
      <c r="AI395" s="474">
        <v>60</v>
      </c>
      <c r="AJ395" s="475" t="s">
        <v>1790</v>
      </c>
      <c r="AK395" s="475" t="s">
        <v>50</v>
      </c>
      <c r="AL395" s="483">
        <v>95834</v>
      </c>
      <c r="AM395" s="474" t="s">
        <v>52</v>
      </c>
      <c r="AN395" s="384" t="s">
        <v>1074</v>
      </c>
      <c r="AO395" s="474" t="s">
        <v>1076</v>
      </c>
      <c r="AP395" s="482"/>
      <c r="AQ395" s="474" t="s">
        <v>37</v>
      </c>
      <c r="AR395" s="474"/>
      <c r="AS395" s="473"/>
      <c r="AT395" s="346"/>
      <c r="AU395" s="478">
        <f t="shared" si="84"/>
        <v>0.5</v>
      </c>
      <c r="AV395" s="471">
        <f t="shared" si="80"/>
        <v>0</v>
      </c>
      <c r="AW395" s="471" cm="1">
        <f t="array" ref="AW395">SUM(MID(0&amp;AV395,LARGE(INDEX(ISNUMBER(--MID(AV395,ROW($1:$8),1))*ROW($1:$8),),ROW($1:$8))+1,1)*10^ROW($1:$8)/10)</f>
        <v>0</v>
      </c>
      <c r="AX395" s="471" t="e">
        <f>VLOOKUP($AW395,'Item Master Data'!$A:$F,3,FALSE)</f>
        <v>#N/A</v>
      </c>
      <c r="AY395" s="471" t="e">
        <f>VLOOKUP($AW395,'Item Master Data'!$A:$F,6,FALSE)</f>
        <v>#N/A</v>
      </c>
      <c r="AZ395" s="471" t="e">
        <f t="shared" si="81"/>
        <v>#N/A</v>
      </c>
      <c r="BA395" s="471" t="e">
        <f>VLOOKUP(AW395,'Item Master Data'!$A:$G,7,FALSE)</f>
        <v>#N/A</v>
      </c>
      <c r="BB395" s="471"/>
      <c r="BC395" s="471" t="e">
        <f t="shared" si="82"/>
        <v>#N/A</v>
      </c>
    </row>
    <row r="396" spans="1:55">
      <c r="A396" s="495"/>
      <c r="B396" s="407">
        <v>44617</v>
      </c>
      <c r="C396" s="407">
        <v>44616</v>
      </c>
      <c r="D396" s="485" t="s">
        <v>86</v>
      </c>
      <c r="E396" s="474"/>
      <c r="F396" s="486"/>
      <c r="G396" s="380">
        <v>2022</v>
      </c>
      <c r="H396" s="474">
        <v>8</v>
      </c>
      <c r="I396" s="474"/>
      <c r="J396" s="475"/>
      <c r="K396" s="474" t="s">
        <v>2136</v>
      </c>
      <c r="L396" s="474" t="s">
        <v>1956</v>
      </c>
      <c r="M396" s="475">
        <v>44589</v>
      </c>
      <c r="N396" s="475">
        <v>44776</v>
      </c>
      <c r="O396" s="475"/>
      <c r="P396" s="475"/>
      <c r="Q396" s="475"/>
      <c r="R396" s="475"/>
      <c r="S396" s="474" t="s">
        <v>1704</v>
      </c>
      <c r="T396" s="474">
        <v>60</v>
      </c>
      <c r="U396" s="486"/>
      <c r="V396" s="474" t="s">
        <v>986</v>
      </c>
      <c r="W396" s="474">
        <v>360</v>
      </c>
      <c r="X396" s="432">
        <v>4160</v>
      </c>
      <c r="Y396" s="389">
        <f t="shared" si="72"/>
        <v>1497600</v>
      </c>
      <c r="Z396" s="478">
        <f>190.8/360</f>
        <v>0.53</v>
      </c>
      <c r="AA396" s="480">
        <f t="shared" si="73"/>
        <v>793728</v>
      </c>
      <c r="AB396" s="480"/>
      <c r="AC396" s="481">
        <f t="shared" si="83"/>
        <v>0</v>
      </c>
      <c r="AD396" s="474"/>
      <c r="AE396" s="474"/>
      <c r="AF396" s="493">
        <f t="shared" si="75"/>
        <v>793728</v>
      </c>
      <c r="AG396" s="474" t="s">
        <v>1071</v>
      </c>
      <c r="AH396" s="474"/>
      <c r="AI396" s="474">
        <v>60</v>
      </c>
      <c r="AJ396" s="475" t="s">
        <v>1790</v>
      </c>
      <c r="AK396" s="475" t="s">
        <v>50</v>
      </c>
      <c r="AL396" s="483">
        <v>95834</v>
      </c>
      <c r="AM396" s="474" t="s">
        <v>52</v>
      </c>
      <c r="AN396" s="384" t="s">
        <v>1074</v>
      </c>
      <c r="AO396" s="474" t="s">
        <v>1076</v>
      </c>
      <c r="AP396" s="482"/>
      <c r="AQ396" s="474" t="s">
        <v>37</v>
      </c>
      <c r="AR396" s="474"/>
      <c r="AS396" s="473"/>
      <c r="AT396" s="346"/>
      <c r="AU396" s="478">
        <f t="shared" si="84"/>
        <v>0.5</v>
      </c>
      <c r="AV396" s="471">
        <f t="shared" si="80"/>
        <v>0</v>
      </c>
      <c r="AW396" s="471" cm="1">
        <f t="array" ref="AW396">SUM(MID(0&amp;AV396,LARGE(INDEX(ISNUMBER(--MID(AV396,ROW($1:$8),1))*ROW($1:$8),),ROW($1:$8))+1,1)*10^ROW($1:$8)/10)</f>
        <v>0</v>
      </c>
      <c r="AX396" s="471" t="e">
        <f>VLOOKUP($AW396,'Item Master Data'!$A:$F,3,FALSE)</f>
        <v>#N/A</v>
      </c>
      <c r="AY396" s="471" t="e">
        <f>VLOOKUP($AW396,'Item Master Data'!$A:$F,6,FALSE)</f>
        <v>#N/A</v>
      </c>
      <c r="AZ396" s="471" t="e">
        <f t="shared" si="81"/>
        <v>#N/A</v>
      </c>
      <c r="BA396" s="471" t="e">
        <f>VLOOKUP(AW396,'Item Master Data'!$A:$G,7,FALSE)</f>
        <v>#N/A</v>
      </c>
      <c r="BB396" s="471"/>
      <c r="BC396" s="471" t="e">
        <f t="shared" si="82"/>
        <v>#N/A</v>
      </c>
    </row>
    <row r="397" spans="1:55">
      <c r="A397" s="495"/>
      <c r="B397" s="407">
        <v>44617</v>
      </c>
      <c r="C397" s="407">
        <v>44616</v>
      </c>
      <c r="D397" s="485" t="s">
        <v>86</v>
      </c>
      <c r="E397" s="474"/>
      <c r="F397" s="109"/>
      <c r="G397" s="380">
        <v>2022</v>
      </c>
      <c r="H397" s="380">
        <v>8</v>
      </c>
      <c r="I397" s="474"/>
      <c r="J397" s="377"/>
      <c r="K397" s="343" t="s">
        <v>2136</v>
      </c>
      <c r="L397" s="380" t="s">
        <v>1956</v>
      </c>
      <c r="M397" s="377">
        <v>44589</v>
      </c>
      <c r="N397" s="377">
        <v>44776</v>
      </c>
      <c r="O397" s="377"/>
      <c r="P397" s="377"/>
      <c r="Q397" s="377"/>
      <c r="R397" s="377"/>
      <c r="S397" s="474" t="s">
        <v>1704</v>
      </c>
      <c r="T397" s="380">
        <v>60</v>
      </c>
      <c r="U397" s="109"/>
      <c r="V397" s="380" t="s">
        <v>973</v>
      </c>
      <c r="W397" s="380">
        <v>400</v>
      </c>
      <c r="X397" s="669">
        <v>6144</v>
      </c>
      <c r="Y397" s="670">
        <f t="shared" si="72"/>
        <v>2457600</v>
      </c>
      <c r="Z397" s="478">
        <f>220/400</f>
        <v>0.55000000000000004</v>
      </c>
      <c r="AA397" s="480">
        <f t="shared" si="73"/>
        <v>1351680</v>
      </c>
      <c r="AB397" s="641"/>
      <c r="AC397" s="341">
        <f t="shared" si="83"/>
        <v>0</v>
      </c>
      <c r="AD397" s="380"/>
      <c r="AE397" s="380"/>
      <c r="AF397" s="117">
        <f t="shared" si="75"/>
        <v>1351680</v>
      </c>
      <c r="AG397" s="380" t="s">
        <v>1071</v>
      </c>
      <c r="AH397" s="380"/>
      <c r="AI397" s="380">
        <v>60</v>
      </c>
      <c r="AJ397" s="377" t="s">
        <v>1790</v>
      </c>
      <c r="AK397" s="377" t="s">
        <v>50</v>
      </c>
      <c r="AL397" s="118">
        <v>95834</v>
      </c>
      <c r="AM397" s="380" t="s">
        <v>52</v>
      </c>
      <c r="AN397" s="668" t="s">
        <v>1074</v>
      </c>
      <c r="AO397" s="380" t="s">
        <v>1076</v>
      </c>
      <c r="AP397" s="342"/>
      <c r="AQ397" s="380" t="s">
        <v>37</v>
      </c>
      <c r="AR397" s="380"/>
      <c r="AS397" s="671"/>
      <c r="AT397" s="672"/>
      <c r="AU397" s="340">
        <f t="shared" si="84"/>
        <v>0.5</v>
      </c>
      <c r="AV397" s="471">
        <f t="shared" si="80"/>
        <v>0</v>
      </c>
      <c r="AW397" s="471" cm="1">
        <f t="array" ref="AW397">SUM(MID(0&amp;AV397,LARGE(INDEX(ISNUMBER(--MID(AV397,ROW($1:$8),1))*ROW($1:$8),),ROW($1:$8))+1,1)*10^ROW($1:$8)/10)</f>
        <v>0</v>
      </c>
      <c r="AX397" s="471" t="e">
        <f>VLOOKUP($AW397,'Item Master Data'!$A:$F,3,FALSE)</f>
        <v>#N/A</v>
      </c>
      <c r="AY397" s="471" t="e">
        <f>VLOOKUP($AW397,'Item Master Data'!$A:$F,6,FALSE)</f>
        <v>#N/A</v>
      </c>
      <c r="AZ397" s="471" t="e">
        <f t="shared" si="81"/>
        <v>#N/A</v>
      </c>
      <c r="BA397" s="471" t="e">
        <f>VLOOKUP(AW397,'Item Master Data'!$A:$G,7,FALSE)</f>
        <v>#N/A</v>
      </c>
      <c r="BB397" s="471"/>
      <c r="BC397" s="471" t="e">
        <f t="shared" si="82"/>
        <v>#N/A</v>
      </c>
    </row>
    <row r="398" spans="1:55">
      <c r="A398" s="495"/>
      <c r="B398" s="407">
        <v>44635</v>
      </c>
      <c r="C398" s="407">
        <v>44616</v>
      </c>
      <c r="D398" s="485" t="s">
        <v>86</v>
      </c>
      <c r="E398" s="486" t="s">
        <v>1483</v>
      </c>
      <c r="F398" s="486"/>
      <c r="G398" s="380">
        <v>2022</v>
      </c>
      <c r="H398" s="474">
        <v>8</v>
      </c>
      <c r="I398" s="474"/>
      <c r="J398" s="475"/>
      <c r="K398" s="474" t="s">
        <v>2145</v>
      </c>
      <c r="L398" s="474" t="s">
        <v>1956</v>
      </c>
      <c r="M398" s="475">
        <v>44631</v>
      </c>
      <c r="N398" s="475">
        <v>44795</v>
      </c>
      <c r="O398" s="475"/>
      <c r="P398" s="475"/>
      <c r="Q398" s="475"/>
      <c r="R398" s="475"/>
      <c r="S398" s="474" t="s">
        <v>1704</v>
      </c>
      <c r="T398" s="474">
        <v>72</v>
      </c>
      <c r="U398" s="486" t="s">
        <v>2144</v>
      </c>
      <c r="V398" s="474" t="s">
        <v>2032</v>
      </c>
      <c r="W398" s="474">
        <v>475</v>
      </c>
      <c r="X398" s="432">
        <v>600</v>
      </c>
      <c r="Y398" s="389">
        <f t="shared" si="72"/>
        <v>285000</v>
      </c>
      <c r="Z398" s="478">
        <f>237.5/475</f>
        <v>0.5</v>
      </c>
      <c r="AA398" s="480">
        <f t="shared" si="73"/>
        <v>142500</v>
      </c>
      <c r="AB398" s="480"/>
      <c r="AC398" s="481">
        <f t="shared" si="83"/>
        <v>0</v>
      </c>
      <c r="AD398" s="474"/>
      <c r="AE398" s="474"/>
      <c r="AF398" s="493">
        <f t="shared" si="75"/>
        <v>142500</v>
      </c>
      <c r="AG398" s="474" t="s">
        <v>1071</v>
      </c>
      <c r="AH398" s="474"/>
      <c r="AI398" s="474">
        <v>60</v>
      </c>
      <c r="AJ398" s="475" t="s">
        <v>1790</v>
      </c>
      <c r="AK398" s="475" t="s">
        <v>50</v>
      </c>
      <c r="AL398" s="483">
        <v>95834</v>
      </c>
      <c r="AM398" s="474" t="s">
        <v>52</v>
      </c>
      <c r="AN398" s="384" t="s">
        <v>1074</v>
      </c>
      <c r="AO398" s="474" t="s">
        <v>1076</v>
      </c>
      <c r="AP398" s="482"/>
      <c r="AQ398" s="474" t="s">
        <v>37</v>
      </c>
      <c r="AR398" s="474"/>
      <c r="AS398" s="473"/>
      <c r="AT398" s="346"/>
      <c r="AU398" s="478">
        <f t="shared" si="84"/>
        <v>0.5</v>
      </c>
      <c r="AV398" s="471" t="str">
        <f t="shared" si="80"/>
        <v>CYB MODS</v>
      </c>
      <c r="AW398" s="471" cm="1">
        <f t="array" ref="AW398">SUM(MID(0&amp;AV398,LARGE(INDEX(ISNUMBER(--MID(AV398,ROW($1:$8),1))*ROW($1:$8),),ROW($1:$8))+1,1)*10^ROW($1:$8)/10)</f>
        <v>0</v>
      </c>
      <c r="AX398" s="471" t="e">
        <f>VLOOKUP($AW398,'Item Master Data'!$A:$F,3,FALSE)</f>
        <v>#N/A</v>
      </c>
      <c r="AY398" s="471" t="e">
        <f>VLOOKUP($AW398,'Item Master Data'!$A:$F,6,FALSE)</f>
        <v>#N/A</v>
      </c>
      <c r="AZ398" s="471" t="e">
        <f t="shared" si="81"/>
        <v>#N/A</v>
      </c>
      <c r="BA398" s="471" t="e">
        <f>VLOOKUP(AW398,'Item Master Data'!$A:$G,7,FALSE)</f>
        <v>#N/A</v>
      </c>
      <c r="BB398" s="471"/>
      <c r="BC398" s="471" t="e">
        <f t="shared" si="82"/>
        <v>#N/A</v>
      </c>
    </row>
    <row r="399" spans="1:55">
      <c r="A399" s="495"/>
      <c r="B399" s="407"/>
      <c r="C399" s="407"/>
      <c r="D399" s="485" t="s">
        <v>86</v>
      </c>
      <c r="E399" s="474"/>
      <c r="F399" s="109" t="s">
        <v>87</v>
      </c>
      <c r="G399" s="380">
        <v>2022</v>
      </c>
      <c r="H399" s="380">
        <v>8</v>
      </c>
      <c r="I399" s="474"/>
      <c r="J399" s="377"/>
      <c r="K399" s="343" t="s">
        <v>2174</v>
      </c>
      <c r="L399" s="380" t="s">
        <v>1699</v>
      </c>
      <c r="M399" s="377">
        <v>44609</v>
      </c>
      <c r="N399" s="377">
        <v>44774</v>
      </c>
      <c r="O399" s="377"/>
      <c r="P399" s="377"/>
      <c r="Q399" s="377"/>
      <c r="R399" s="377"/>
      <c r="S399" s="474" t="s">
        <v>88</v>
      </c>
      <c r="T399" s="380">
        <v>72</v>
      </c>
      <c r="U399" s="486">
        <v>49303156</v>
      </c>
      <c r="V399" s="380" t="s">
        <v>1070</v>
      </c>
      <c r="W399" s="380">
        <v>480</v>
      </c>
      <c r="X399" s="669">
        <v>2552</v>
      </c>
      <c r="Y399" s="670">
        <f t="shared" si="72"/>
        <v>1224960</v>
      </c>
      <c r="Z399" s="478">
        <f>235.2/480</f>
        <v>0.49</v>
      </c>
      <c r="AA399" s="480">
        <f t="shared" si="73"/>
        <v>600230.40000000002</v>
      </c>
      <c r="AB399" s="641"/>
      <c r="AC399" s="341">
        <f t="shared" si="83"/>
        <v>0</v>
      </c>
      <c r="AD399" s="380"/>
      <c r="AE399" s="380"/>
      <c r="AF399" s="117">
        <f t="shared" si="75"/>
        <v>600230.40000000002</v>
      </c>
      <c r="AG399" s="380" t="s">
        <v>1071</v>
      </c>
      <c r="AH399" s="380"/>
      <c r="AI399" s="380">
        <v>60</v>
      </c>
      <c r="AJ399" s="377" t="s">
        <v>1700</v>
      </c>
      <c r="AK399" s="377" t="s">
        <v>50</v>
      </c>
      <c r="AL399" s="118">
        <v>92126</v>
      </c>
      <c r="AM399" s="380" t="s">
        <v>52</v>
      </c>
      <c r="AN399" s="668" t="s">
        <v>1695</v>
      </c>
      <c r="AO399" s="380" t="s">
        <v>1076</v>
      </c>
      <c r="AP399" s="342"/>
      <c r="AQ399" s="380" t="s">
        <v>37</v>
      </c>
      <c r="AR399" s="380"/>
      <c r="AS399" s="671" t="s">
        <v>1492</v>
      </c>
      <c r="AT399" s="672"/>
      <c r="AU399" s="340"/>
      <c r="AV399" s="471">
        <f t="shared" si="80"/>
        <v>49303156</v>
      </c>
      <c r="AW399" s="471" cm="1">
        <f t="array" ref="AW399">SUM(MID(0&amp;AV399,LARGE(INDEX(ISNUMBER(--MID(AV399,ROW($1:$8),1))*ROW($1:$8),),ROW($1:$8))+1,1)*10^ROW($1:$8)/10)</f>
        <v>49303156</v>
      </c>
      <c r="AX399" s="471" t="str">
        <f>VLOOKUP($AW399,'Item Master Data'!$A:$F,3,FALSE)</f>
        <v>Q.PEAK DUO XL G10 BFG</v>
      </c>
      <c r="AY399" s="471">
        <f>VLOOKUP($AW399,'Item Master Data'!$A:$F,6,FALSE)</f>
        <v>480</v>
      </c>
      <c r="AZ399" s="471">
        <f t="shared" si="81"/>
        <v>88</v>
      </c>
      <c r="BA399" s="471">
        <f>VLOOKUP(AW399,'Item Master Data'!$A:$G,7,FALSE)</f>
        <v>29</v>
      </c>
      <c r="BB399" s="471"/>
      <c r="BC399" s="471">
        <f t="shared" si="82"/>
        <v>0</v>
      </c>
    </row>
    <row r="400" spans="1:55">
      <c r="A400" s="495"/>
      <c r="B400" s="407"/>
      <c r="C400" s="407"/>
      <c r="D400" s="485" t="s">
        <v>86</v>
      </c>
      <c r="E400" s="474" t="s">
        <v>5472</v>
      </c>
      <c r="F400" s="109"/>
      <c r="G400" s="380">
        <v>2022</v>
      </c>
      <c r="H400" s="380">
        <v>8</v>
      </c>
      <c r="I400" s="474"/>
      <c r="J400" s="377"/>
      <c r="K400" s="343" t="s">
        <v>1730</v>
      </c>
      <c r="L400" s="380" t="s">
        <v>1693</v>
      </c>
      <c r="M400" s="377">
        <v>44617</v>
      </c>
      <c r="N400" s="377">
        <v>44774</v>
      </c>
      <c r="O400" s="377"/>
      <c r="P400" s="377"/>
      <c r="Q400" s="377"/>
      <c r="R400" s="377"/>
      <c r="S400" s="474" t="s">
        <v>88</v>
      </c>
      <c r="T400" s="380">
        <v>72</v>
      </c>
      <c r="U400" s="486"/>
      <c r="V400" s="380" t="s">
        <v>1110</v>
      </c>
      <c r="W400" s="380">
        <v>485</v>
      </c>
      <c r="X400" s="669">
        <v>638</v>
      </c>
      <c r="Y400" s="670">
        <f t="shared" si="72"/>
        <v>309430</v>
      </c>
      <c r="Z400" s="478">
        <f>244.93/485</f>
        <v>0.50501030927835056</v>
      </c>
      <c r="AA400" s="480">
        <f t="shared" si="73"/>
        <v>156265.34000000003</v>
      </c>
      <c r="AB400" s="641"/>
      <c r="AC400" s="341">
        <v>0</v>
      </c>
      <c r="AD400" s="380"/>
      <c r="AE400" s="380"/>
      <c r="AF400" s="117">
        <f t="shared" si="75"/>
        <v>156265.34000000003</v>
      </c>
      <c r="AG400" s="380" t="s">
        <v>1071</v>
      </c>
      <c r="AH400" s="380"/>
      <c r="AI400" s="380">
        <v>60</v>
      </c>
      <c r="AJ400" s="377" t="s">
        <v>1694</v>
      </c>
      <c r="AK400" s="377" t="s">
        <v>50</v>
      </c>
      <c r="AL400" s="118" t="s">
        <v>1725</v>
      </c>
      <c r="AM400" s="380" t="s">
        <v>52</v>
      </c>
      <c r="AN400" s="668" t="s">
        <v>50</v>
      </c>
      <c r="AO400" s="380" t="s">
        <v>1076</v>
      </c>
      <c r="AP400" s="342" t="s">
        <v>38</v>
      </c>
      <c r="AQ400" s="380" t="s">
        <v>37</v>
      </c>
      <c r="AR400" s="380"/>
      <c r="AS400" s="671" t="s">
        <v>1075</v>
      </c>
      <c r="AT400" s="672"/>
      <c r="AU400" s="340">
        <v>0.52</v>
      </c>
      <c r="AV400" s="471">
        <f t="shared" si="80"/>
        <v>0</v>
      </c>
      <c r="AW400" s="471" cm="1">
        <f t="array" ref="AW400">SUM(MID(0&amp;AV400,LARGE(INDEX(ISNUMBER(--MID(AV400,ROW($1:$8),1))*ROW($1:$8),),ROW($1:$8))+1,1)*10^ROW($1:$8)/10)</f>
        <v>0</v>
      </c>
      <c r="AX400" s="471" t="e">
        <f>VLOOKUP($AW400,'Item Master Data'!$A:$F,3,FALSE)</f>
        <v>#N/A</v>
      </c>
      <c r="AY400" s="471" t="e">
        <f>VLOOKUP($AW400,'Item Master Data'!$A:$F,6,FALSE)</f>
        <v>#N/A</v>
      </c>
      <c r="AZ400" s="471" t="e">
        <f t="shared" si="81"/>
        <v>#N/A</v>
      </c>
      <c r="BA400" s="471" t="e">
        <f>VLOOKUP(AW400,'Item Master Data'!$A:$G,7,FALSE)</f>
        <v>#N/A</v>
      </c>
      <c r="BB400" s="471"/>
      <c r="BC400" s="471" t="e">
        <f t="shared" si="82"/>
        <v>#N/A</v>
      </c>
    </row>
    <row r="401" spans="1:55">
      <c r="A401" s="495"/>
      <c r="B401" s="407">
        <v>44607</v>
      </c>
      <c r="C401" s="407">
        <v>44607</v>
      </c>
      <c r="D401" s="485" t="s">
        <v>86</v>
      </c>
      <c r="E401" s="474"/>
      <c r="F401" s="109"/>
      <c r="G401" s="380">
        <v>2022</v>
      </c>
      <c r="H401" s="380">
        <v>8</v>
      </c>
      <c r="I401" s="474"/>
      <c r="J401" s="377"/>
      <c r="K401" s="343" t="s">
        <v>2211</v>
      </c>
      <c r="L401" s="380" t="s">
        <v>2011</v>
      </c>
      <c r="M401" s="377">
        <v>44607</v>
      </c>
      <c r="N401" s="377">
        <v>44781</v>
      </c>
      <c r="O401" s="377"/>
      <c r="P401" s="377"/>
      <c r="Q401" s="377"/>
      <c r="R401" s="377"/>
      <c r="S401" s="474" t="s">
        <v>1688</v>
      </c>
      <c r="T401" s="380">
        <v>60</v>
      </c>
      <c r="U401" s="486"/>
      <c r="V401" s="380" t="s">
        <v>1223</v>
      </c>
      <c r="W401" s="380">
        <v>360</v>
      </c>
      <c r="X401" s="669">
        <v>728</v>
      </c>
      <c r="Y401" s="670">
        <f t="shared" si="72"/>
        <v>262080</v>
      </c>
      <c r="Z401" s="478">
        <f>298.8/360</f>
        <v>0.83000000000000007</v>
      </c>
      <c r="AA401" s="480">
        <f t="shared" si="73"/>
        <v>217526.40000000002</v>
      </c>
      <c r="AB401" s="641"/>
      <c r="AC401" s="341">
        <f>AB401*Y401</f>
        <v>0</v>
      </c>
      <c r="AD401" s="380"/>
      <c r="AE401" s="380"/>
      <c r="AF401" s="117">
        <f t="shared" si="75"/>
        <v>217526.40000000002</v>
      </c>
      <c r="AG401" s="380" t="s">
        <v>1071</v>
      </c>
      <c r="AH401" s="380"/>
      <c r="AI401" s="380">
        <v>60</v>
      </c>
      <c r="AJ401" s="377" t="s">
        <v>2012</v>
      </c>
      <c r="AK401" s="377" t="s">
        <v>50</v>
      </c>
      <c r="AL401" s="118" t="s">
        <v>2013</v>
      </c>
      <c r="AM401" s="380" t="s">
        <v>52</v>
      </c>
      <c r="AN401" s="668"/>
      <c r="AO401" s="380" t="s">
        <v>1076</v>
      </c>
      <c r="AP401" s="342"/>
      <c r="AQ401" s="380" t="s">
        <v>37</v>
      </c>
      <c r="AR401" s="380"/>
      <c r="AS401" s="671"/>
      <c r="AT401" s="672"/>
      <c r="AU401" s="340">
        <f>180/360</f>
        <v>0.5</v>
      </c>
      <c r="AV401" s="471">
        <f t="shared" si="80"/>
        <v>0</v>
      </c>
      <c r="AW401" s="471" cm="1">
        <f t="array" ref="AW401">SUM(MID(0&amp;AV401,LARGE(INDEX(ISNUMBER(--MID(AV401,ROW($1:$8),1))*ROW($1:$8),),ROW($1:$8))+1,1)*10^ROW($1:$8)/10)</f>
        <v>0</v>
      </c>
      <c r="AX401" s="471" t="e">
        <f>VLOOKUP($AW401,'Item Master Data'!$A:$F,3,FALSE)</f>
        <v>#N/A</v>
      </c>
      <c r="AY401" s="471" t="e">
        <f>VLOOKUP($AW401,'Item Master Data'!$A:$F,6,FALSE)</f>
        <v>#N/A</v>
      </c>
      <c r="AZ401" s="471" t="e">
        <f t="shared" si="81"/>
        <v>#N/A</v>
      </c>
      <c r="BA401" s="471" t="e">
        <f>VLOOKUP(AW401,'Item Master Data'!$A:$G,7,FALSE)</f>
        <v>#N/A</v>
      </c>
      <c r="BB401" s="471"/>
      <c r="BC401" s="471" t="e">
        <f t="shared" si="82"/>
        <v>#N/A</v>
      </c>
    </row>
    <row r="402" spans="1:55">
      <c r="A402" s="495"/>
      <c r="B402" s="407">
        <v>44659</v>
      </c>
      <c r="C402" s="407">
        <v>44659</v>
      </c>
      <c r="D402" s="485" t="s">
        <v>86</v>
      </c>
      <c r="E402" s="474"/>
      <c r="F402" s="486" t="s">
        <v>87</v>
      </c>
      <c r="G402" s="380">
        <v>2022</v>
      </c>
      <c r="H402" s="474">
        <v>8</v>
      </c>
      <c r="I402" s="474"/>
      <c r="J402" s="475"/>
      <c r="K402" s="474" t="s">
        <v>2307</v>
      </c>
      <c r="L402" s="474" t="s">
        <v>2011</v>
      </c>
      <c r="M402" s="475">
        <v>44658</v>
      </c>
      <c r="N402" s="475">
        <v>44780</v>
      </c>
      <c r="O402" s="475"/>
      <c r="P402" s="475"/>
      <c r="Q402" s="475"/>
      <c r="R402" s="475"/>
      <c r="S402" s="474" t="s">
        <v>1688</v>
      </c>
      <c r="T402" s="474">
        <v>72</v>
      </c>
      <c r="U402" s="486">
        <v>49303156</v>
      </c>
      <c r="V402" s="474" t="s">
        <v>1070</v>
      </c>
      <c r="W402" s="474">
        <v>480</v>
      </c>
      <c r="X402" s="432">
        <v>1914</v>
      </c>
      <c r="Y402" s="389">
        <f t="shared" si="72"/>
        <v>918720</v>
      </c>
      <c r="Z402" s="478">
        <f>240/480</f>
        <v>0.5</v>
      </c>
      <c r="AA402" s="480">
        <f t="shared" si="73"/>
        <v>459360</v>
      </c>
      <c r="AB402" s="480"/>
      <c r="AC402" s="481">
        <f>AB402*Y402</f>
        <v>0</v>
      </c>
      <c r="AD402" s="474"/>
      <c r="AE402" s="474"/>
      <c r="AF402" s="493">
        <f t="shared" si="75"/>
        <v>459360</v>
      </c>
      <c r="AG402" s="474" t="s">
        <v>1071</v>
      </c>
      <c r="AH402" s="474"/>
      <c r="AI402" s="474">
        <v>60</v>
      </c>
      <c r="AJ402" s="475" t="s">
        <v>2012</v>
      </c>
      <c r="AK402" s="475" t="s">
        <v>50</v>
      </c>
      <c r="AL402" s="483" t="s">
        <v>2013</v>
      </c>
      <c r="AM402" s="474" t="s">
        <v>52</v>
      </c>
      <c r="AN402" s="384" t="s">
        <v>1695</v>
      </c>
      <c r="AO402" s="474" t="s">
        <v>1076</v>
      </c>
      <c r="AP402" s="482"/>
      <c r="AQ402" s="474" t="s">
        <v>37</v>
      </c>
      <c r="AR402" s="474"/>
      <c r="AS402" s="473"/>
      <c r="AT402" s="473"/>
      <c r="AU402" s="478"/>
      <c r="AV402" s="471">
        <f t="shared" si="80"/>
        <v>49303156</v>
      </c>
      <c r="AW402" s="471" cm="1">
        <f t="array" ref="AW402">SUM(MID(0&amp;AV402,LARGE(INDEX(ISNUMBER(--MID(AV402,ROW($1:$8),1))*ROW($1:$8),),ROW($1:$8))+1,1)*10^ROW($1:$8)/10)</f>
        <v>49303156</v>
      </c>
      <c r="AX402" s="471" t="str">
        <f>VLOOKUP($AW402,'Item Master Data'!$A:$F,3,FALSE)</f>
        <v>Q.PEAK DUO XL G10 BFG</v>
      </c>
      <c r="AY402" s="471">
        <f>VLOOKUP($AW402,'Item Master Data'!$A:$F,6,FALSE)</f>
        <v>480</v>
      </c>
      <c r="AZ402" s="471">
        <f t="shared" si="81"/>
        <v>66</v>
      </c>
      <c r="BA402" s="471">
        <f>VLOOKUP(AW402,'Item Master Data'!$A:$G,7,FALSE)</f>
        <v>29</v>
      </c>
      <c r="BB402" s="471"/>
      <c r="BC402" s="471">
        <f t="shared" si="82"/>
        <v>0</v>
      </c>
    </row>
    <row r="403" spans="1:55">
      <c r="A403" s="495"/>
      <c r="B403" s="407"/>
      <c r="C403" s="407"/>
      <c r="D403" s="485" t="s">
        <v>86</v>
      </c>
      <c r="E403" s="474" t="s">
        <v>2030</v>
      </c>
      <c r="F403" s="486" t="s">
        <v>87</v>
      </c>
      <c r="G403" s="380">
        <v>2022</v>
      </c>
      <c r="H403" s="474">
        <v>8</v>
      </c>
      <c r="I403" s="474"/>
      <c r="J403" s="475"/>
      <c r="K403" s="474" t="s">
        <v>2225</v>
      </c>
      <c r="L403" s="474" t="s">
        <v>2025</v>
      </c>
      <c r="M403" s="475">
        <v>44586</v>
      </c>
      <c r="N403" s="475">
        <v>44774</v>
      </c>
      <c r="O403" s="475"/>
      <c r="P403" s="475"/>
      <c r="Q403" s="475"/>
      <c r="R403" s="475"/>
      <c r="S403" s="474" t="s">
        <v>1957</v>
      </c>
      <c r="T403" s="474">
        <v>72</v>
      </c>
      <c r="U403" s="486">
        <v>49303156</v>
      </c>
      <c r="V403" s="474" t="s">
        <v>2032</v>
      </c>
      <c r="W403" s="474">
        <v>480</v>
      </c>
      <c r="X403" s="432">
        <v>1160</v>
      </c>
      <c r="Y403" s="389">
        <f t="shared" si="72"/>
        <v>556800</v>
      </c>
      <c r="Z403" s="478">
        <f>232.75/480</f>
        <v>0.48489583333333336</v>
      </c>
      <c r="AA403" s="480">
        <f t="shared" si="73"/>
        <v>269990</v>
      </c>
      <c r="AB403" s="480"/>
      <c r="AC403" s="481">
        <v>0</v>
      </c>
      <c r="AD403" s="474"/>
      <c r="AE403" s="474"/>
      <c r="AF403" s="493">
        <v>275616</v>
      </c>
      <c r="AG403" s="474" t="s">
        <v>1071</v>
      </c>
      <c r="AH403" s="474"/>
      <c r="AI403" s="474">
        <v>60</v>
      </c>
      <c r="AJ403" s="475" t="s">
        <v>2026</v>
      </c>
      <c r="AK403" s="475" t="s">
        <v>50</v>
      </c>
      <c r="AL403" s="483">
        <v>95403</v>
      </c>
      <c r="AM403" s="474" t="s">
        <v>52</v>
      </c>
      <c r="AN403" s="384" t="s">
        <v>1695</v>
      </c>
      <c r="AO403" s="474" t="s">
        <v>1076</v>
      </c>
      <c r="AP403" s="482"/>
      <c r="AQ403" s="474" t="s">
        <v>37</v>
      </c>
      <c r="AR403" s="474"/>
      <c r="AS403" s="473" t="s">
        <v>1492</v>
      </c>
      <c r="AT403" s="473"/>
      <c r="AU403" s="478"/>
      <c r="AV403" s="471">
        <f t="shared" si="80"/>
        <v>49303156</v>
      </c>
      <c r="AW403" s="471" cm="1">
        <f t="array" ref="AW403">SUM(MID(0&amp;AV403,LARGE(INDEX(ISNUMBER(--MID(AV403,ROW($1:$8),1))*ROW($1:$8),),ROW($1:$8))+1,1)*10^ROW($1:$8)/10)</f>
        <v>49303156</v>
      </c>
      <c r="AX403" s="471" t="str">
        <f>VLOOKUP($AW403,'Item Master Data'!$A:$F,3,FALSE)</f>
        <v>Q.PEAK DUO XL G10 BFG</v>
      </c>
      <c r="AY403" s="471">
        <f>VLOOKUP($AW403,'Item Master Data'!$A:$F,6,FALSE)</f>
        <v>480</v>
      </c>
      <c r="AZ403" s="471">
        <f t="shared" si="81"/>
        <v>40</v>
      </c>
      <c r="BA403" s="471">
        <f>VLOOKUP(AW403,'Item Master Data'!$A:$G,7,FALSE)</f>
        <v>29</v>
      </c>
      <c r="BB403" s="471"/>
      <c r="BC403" s="471">
        <f t="shared" si="82"/>
        <v>0</v>
      </c>
    </row>
    <row r="404" spans="1:55">
      <c r="A404" s="495"/>
      <c r="B404" s="407">
        <v>44627</v>
      </c>
      <c r="C404" s="407">
        <v>44627</v>
      </c>
      <c r="D404" s="485" t="s">
        <v>86</v>
      </c>
      <c r="E404" s="383"/>
      <c r="F404" s="474"/>
      <c r="G404" s="380">
        <v>2022</v>
      </c>
      <c r="H404" s="474">
        <v>8</v>
      </c>
      <c r="I404" s="474"/>
      <c r="J404" s="475"/>
      <c r="K404" s="474" t="s">
        <v>2264</v>
      </c>
      <c r="L404" s="474" t="s">
        <v>1703</v>
      </c>
      <c r="M404" s="475">
        <v>44615</v>
      </c>
      <c r="N404" s="475">
        <v>44774</v>
      </c>
      <c r="O404" s="475"/>
      <c r="P404" s="345"/>
      <c r="Q404" s="475"/>
      <c r="R404" s="475"/>
      <c r="S404" s="474" t="s">
        <v>1704</v>
      </c>
      <c r="T404" s="474">
        <v>60</v>
      </c>
      <c r="U404" s="474"/>
      <c r="V404" s="486" t="s">
        <v>973</v>
      </c>
      <c r="W404" s="474">
        <v>400</v>
      </c>
      <c r="X404" s="432">
        <v>3840</v>
      </c>
      <c r="Y404" s="389">
        <v>1536000</v>
      </c>
      <c r="Z404" s="478">
        <v>0.55000000000000004</v>
      </c>
      <c r="AA404" s="479">
        <v>844800.00000000012</v>
      </c>
      <c r="AB404" s="480"/>
      <c r="AC404" s="481">
        <v>0</v>
      </c>
      <c r="AD404" s="474"/>
      <c r="AE404" s="474"/>
      <c r="AF404" s="493">
        <v>844800.00000000012</v>
      </c>
      <c r="AG404" s="474" t="s">
        <v>1071</v>
      </c>
      <c r="AH404" s="474"/>
      <c r="AI404" s="474">
        <v>60</v>
      </c>
      <c r="AJ404" s="475" t="s">
        <v>1705</v>
      </c>
      <c r="AK404" s="475" t="s">
        <v>1706</v>
      </c>
      <c r="AL404" s="483" t="s">
        <v>1707</v>
      </c>
      <c r="AM404" s="474" t="s">
        <v>52</v>
      </c>
      <c r="AN404" s="384"/>
      <c r="AO404" s="474" t="s">
        <v>1076</v>
      </c>
      <c r="AP404" s="474"/>
      <c r="AQ404" s="482" t="s">
        <v>37</v>
      </c>
      <c r="AR404" s="474"/>
      <c r="AS404" s="473"/>
      <c r="AT404" s="473"/>
      <c r="AU404" s="478"/>
      <c r="AV404" s="471">
        <f t="shared" si="80"/>
        <v>0</v>
      </c>
      <c r="AW404" s="471" cm="1">
        <f t="array" ref="AW404">SUM(MID(0&amp;AV404,LARGE(INDEX(ISNUMBER(--MID(AV404,ROW($1:$8),1))*ROW($1:$8),),ROW($1:$8))+1,1)*10^ROW($1:$8)/10)</f>
        <v>0</v>
      </c>
      <c r="AX404" s="471" t="e">
        <f>VLOOKUP($AW404,'Item Master Data'!$A:$F,3,FALSE)</f>
        <v>#N/A</v>
      </c>
      <c r="AY404" s="471" t="e">
        <f>VLOOKUP($AW404,'Item Master Data'!$A:$F,6,FALSE)</f>
        <v>#N/A</v>
      </c>
      <c r="AZ404" s="471" t="e">
        <f t="shared" si="81"/>
        <v>#N/A</v>
      </c>
      <c r="BA404" s="471" t="e">
        <f>VLOOKUP(AW404,'Item Master Data'!$A:$G,7,FALSE)</f>
        <v>#N/A</v>
      </c>
      <c r="BB404" s="471"/>
      <c r="BC404" s="471" t="e">
        <f t="shared" si="82"/>
        <v>#N/A</v>
      </c>
    </row>
    <row r="405" spans="1:55">
      <c r="A405" s="495"/>
      <c r="B405" s="407">
        <v>44627</v>
      </c>
      <c r="C405" s="407">
        <v>44627</v>
      </c>
      <c r="D405" s="485" t="s">
        <v>86</v>
      </c>
      <c r="E405" s="383"/>
      <c r="F405" s="474"/>
      <c r="G405" s="380">
        <v>2022</v>
      </c>
      <c r="H405" s="474">
        <v>8</v>
      </c>
      <c r="I405" s="474"/>
      <c r="J405" s="475"/>
      <c r="K405" s="474" t="s">
        <v>2264</v>
      </c>
      <c r="L405" s="474" t="s">
        <v>1703</v>
      </c>
      <c r="M405" s="475">
        <v>44615</v>
      </c>
      <c r="N405" s="475">
        <v>44774</v>
      </c>
      <c r="O405" s="475"/>
      <c r="P405" s="345"/>
      <c r="Q405" s="475"/>
      <c r="R405" s="475"/>
      <c r="S405" s="474" t="s">
        <v>1704</v>
      </c>
      <c r="T405" s="474">
        <v>60</v>
      </c>
      <c r="U405" s="474"/>
      <c r="V405" s="474" t="s">
        <v>986</v>
      </c>
      <c r="W405" s="474">
        <v>360</v>
      </c>
      <c r="X405" s="432">
        <v>832</v>
      </c>
      <c r="Y405" s="389">
        <v>299520</v>
      </c>
      <c r="Z405" s="478">
        <v>0.53</v>
      </c>
      <c r="AA405" s="479">
        <v>158745.60000000001</v>
      </c>
      <c r="AB405" s="480"/>
      <c r="AC405" s="481">
        <v>0</v>
      </c>
      <c r="AD405" s="474"/>
      <c r="AE405" s="474"/>
      <c r="AF405" s="493">
        <v>158745.60000000001</v>
      </c>
      <c r="AG405" s="474" t="s">
        <v>1071</v>
      </c>
      <c r="AH405" s="474"/>
      <c r="AI405" s="474">
        <v>60</v>
      </c>
      <c r="AJ405" s="475" t="s">
        <v>1705</v>
      </c>
      <c r="AK405" s="475" t="s">
        <v>1706</v>
      </c>
      <c r="AL405" s="483" t="s">
        <v>1707</v>
      </c>
      <c r="AM405" s="474" t="s">
        <v>52</v>
      </c>
      <c r="AN405" s="384"/>
      <c r="AO405" s="474" t="s">
        <v>1076</v>
      </c>
      <c r="AP405" s="474"/>
      <c r="AQ405" s="482" t="s">
        <v>37</v>
      </c>
      <c r="AR405" s="474"/>
      <c r="AS405" s="473"/>
      <c r="AT405" s="346"/>
      <c r="AU405" s="478"/>
      <c r="AV405" s="471">
        <f t="shared" si="80"/>
        <v>0</v>
      </c>
      <c r="AW405" s="471" cm="1">
        <f t="array" ref="AW405">SUM(MID(0&amp;AV405,LARGE(INDEX(ISNUMBER(--MID(AV405,ROW($1:$8),1))*ROW($1:$8),),ROW($1:$8))+1,1)*10^ROW($1:$8)/10)</f>
        <v>0</v>
      </c>
      <c r="AX405" s="471" t="e">
        <f>VLOOKUP($AW405,'Item Master Data'!$A:$F,3,FALSE)</f>
        <v>#N/A</v>
      </c>
      <c r="AY405" s="471" t="e">
        <f>VLOOKUP($AW405,'Item Master Data'!$A:$F,6,FALSE)</f>
        <v>#N/A</v>
      </c>
      <c r="AZ405" s="471" t="e">
        <f t="shared" si="81"/>
        <v>#N/A</v>
      </c>
      <c r="BA405" s="471" t="e">
        <f>VLOOKUP(AW405,'Item Master Data'!$A:$G,7,FALSE)</f>
        <v>#N/A</v>
      </c>
      <c r="BB405" s="471"/>
      <c r="BC405" s="471" t="e">
        <f t="shared" si="82"/>
        <v>#N/A</v>
      </c>
    </row>
    <row r="406" spans="1:55">
      <c r="A406" s="495"/>
      <c r="B406" s="407">
        <v>44679</v>
      </c>
      <c r="C406" s="407">
        <v>44679</v>
      </c>
      <c r="D406" s="485" t="s">
        <v>86</v>
      </c>
      <c r="E406" s="474"/>
      <c r="F406" s="486" t="s">
        <v>87</v>
      </c>
      <c r="G406" s="380">
        <v>2022</v>
      </c>
      <c r="H406" s="474">
        <v>8</v>
      </c>
      <c r="I406" s="474"/>
      <c r="J406" s="475"/>
      <c r="K406" s="474" t="s">
        <v>2306</v>
      </c>
      <c r="L406" s="474" t="s">
        <v>1699</v>
      </c>
      <c r="M406" s="475">
        <v>44658</v>
      </c>
      <c r="N406" s="475">
        <v>44780</v>
      </c>
      <c r="O406" s="475"/>
      <c r="P406" s="475"/>
      <c r="Q406" s="475"/>
      <c r="R406" s="475"/>
      <c r="S406" s="474" t="s">
        <v>88</v>
      </c>
      <c r="T406" s="474">
        <v>72</v>
      </c>
      <c r="U406" s="486"/>
      <c r="V406" s="474" t="s">
        <v>1070</v>
      </c>
      <c r="W406" s="474">
        <v>480</v>
      </c>
      <c r="X406" s="432">
        <v>6380</v>
      </c>
      <c r="Y406" s="389">
        <f t="shared" ref="Y406:Y422" si="85">W406*X406</f>
        <v>3062400</v>
      </c>
      <c r="Z406" s="478">
        <f>235.2/480</f>
        <v>0.49</v>
      </c>
      <c r="AA406" s="480">
        <f t="shared" ref="AA406:AA422" si="86">Z406*Y406</f>
        <v>1500576</v>
      </c>
      <c r="AB406" s="480"/>
      <c r="AC406" s="481">
        <f>AB406*Y406</f>
        <v>0</v>
      </c>
      <c r="AD406" s="474"/>
      <c r="AE406" s="474"/>
      <c r="AF406" s="493">
        <f t="shared" ref="AF406:AF421" si="87">AE406+AD406+AA406</f>
        <v>1500576</v>
      </c>
      <c r="AG406" s="474" t="s">
        <v>1071</v>
      </c>
      <c r="AH406" s="474"/>
      <c r="AI406" s="474">
        <v>60</v>
      </c>
      <c r="AJ406" s="475" t="s">
        <v>1700</v>
      </c>
      <c r="AK406" s="475" t="s">
        <v>50</v>
      </c>
      <c r="AL406" s="483">
        <v>92126</v>
      </c>
      <c r="AM406" s="474" t="s">
        <v>52</v>
      </c>
      <c r="AN406" s="384" t="s">
        <v>50</v>
      </c>
      <c r="AO406" s="474" t="s">
        <v>1076</v>
      </c>
      <c r="AP406" s="482" t="s">
        <v>92</v>
      </c>
      <c r="AQ406" s="474" t="s">
        <v>37</v>
      </c>
      <c r="AR406" s="474"/>
      <c r="AS406" s="473" t="s">
        <v>1492</v>
      </c>
      <c r="AT406" s="473"/>
      <c r="AU406" s="478"/>
      <c r="AV406" s="471">
        <f t="shared" si="80"/>
        <v>0</v>
      </c>
      <c r="AW406" s="471" cm="1">
        <f t="array" ref="AW406">SUM(MID(0&amp;AV406,LARGE(INDEX(ISNUMBER(--MID(AV406,ROW($1:$8),1))*ROW($1:$8),),ROW($1:$8))+1,1)*10^ROW($1:$8)/10)</f>
        <v>0</v>
      </c>
      <c r="AX406" s="471" t="e">
        <f>VLOOKUP($AW406,'Item Master Data'!$A:$F,3,FALSE)</f>
        <v>#N/A</v>
      </c>
      <c r="AY406" s="471" t="e">
        <f>VLOOKUP($AW406,'Item Master Data'!$A:$F,6,FALSE)</f>
        <v>#N/A</v>
      </c>
      <c r="AZ406" s="471" t="e">
        <f t="shared" si="81"/>
        <v>#N/A</v>
      </c>
      <c r="BA406" s="471" t="e">
        <f>VLOOKUP(AW406,'Item Master Data'!$A:$G,7,FALSE)</f>
        <v>#N/A</v>
      </c>
      <c r="BB406" s="471"/>
      <c r="BC406" s="471" t="e">
        <f t="shared" si="82"/>
        <v>#N/A</v>
      </c>
    </row>
    <row r="407" spans="1:55">
      <c r="A407" s="495"/>
      <c r="B407" s="495"/>
      <c r="C407" s="407">
        <v>44634</v>
      </c>
      <c r="D407" s="485" t="s">
        <v>86</v>
      </c>
      <c r="E407" s="383" t="s">
        <v>5469</v>
      </c>
      <c r="F407" s="474"/>
      <c r="G407" s="380">
        <v>2022</v>
      </c>
      <c r="H407" s="474">
        <v>7</v>
      </c>
      <c r="I407" s="474"/>
      <c r="J407" s="475"/>
      <c r="K407" s="474" t="s">
        <v>2252</v>
      </c>
      <c r="L407" s="474" t="s">
        <v>2079</v>
      </c>
      <c r="M407" s="475">
        <v>44630</v>
      </c>
      <c r="N407" s="475">
        <v>44743</v>
      </c>
      <c r="O407" s="475"/>
      <c r="P407" s="345"/>
      <c r="Q407" s="475"/>
      <c r="R407" s="475"/>
      <c r="S407" s="474" t="s">
        <v>88</v>
      </c>
      <c r="T407" s="474">
        <v>72</v>
      </c>
      <c r="U407" s="486"/>
      <c r="V407" s="486" t="s">
        <v>1002</v>
      </c>
      <c r="W407" s="474">
        <v>480</v>
      </c>
      <c r="X407" s="432">
        <v>2552</v>
      </c>
      <c r="Y407" s="389">
        <f t="shared" si="85"/>
        <v>1224960</v>
      </c>
      <c r="Z407" s="478">
        <f>228/480</f>
        <v>0.47499999999999998</v>
      </c>
      <c r="AA407" s="479">
        <f t="shared" si="86"/>
        <v>581856</v>
      </c>
      <c r="AB407" s="480"/>
      <c r="AC407" s="481">
        <f>AB407*Y407</f>
        <v>0</v>
      </c>
      <c r="AD407" s="474"/>
      <c r="AE407" s="474"/>
      <c r="AF407" s="493">
        <f t="shared" si="87"/>
        <v>581856</v>
      </c>
      <c r="AG407" s="474" t="s">
        <v>1071</v>
      </c>
      <c r="AH407" s="474"/>
      <c r="AI407" s="474">
        <v>60</v>
      </c>
      <c r="AJ407" s="475" t="s">
        <v>2075</v>
      </c>
      <c r="AK407" s="475" t="s">
        <v>50</v>
      </c>
      <c r="AL407" s="483" t="s">
        <v>2128</v>
      </c>
      <c r="AM407" s="474" t="s">
        <v>52</v>
      </c>
      <c r="AN407" s="384"/>
      <c r="AO407" s="474" t="s">
        <v>1076</v>
      </c>
      <c r="AP407" s="474"/>
      <c r="AQ407" s="482" t="s">
        <v>37</v>
      </c>
      <c r="AR407" s="474"/>
      <c r="AS407" s="473"/>
      <c r="AT407" s="473"/>
      <c r="AU407" s="478"/>
      <c r="AV407" s="471">
        <f t="shared" si="80"/>
        <v>0</v>
      </c>
      <c r="AW407" s="471" cm="1">
        <f t="array" ref="AW407">SUM(MID(0&amp;AV407,LARGE(INDEX(ISNUMBER(--MID(AV407,ROW($1:$8),1))*ROW($1:$8),),ROW($1:$8))+1,1)*10^ROW($1:$8)/10)</f>
        <v>0</v>
      </c>
      <c r="AX407" s="471" t="e">
        <f>VLOOKUP($AW407,'Item Master Data'!$A:$F,3,FALSE)</f>
        <v>#N/A</v>
      </c>
      <c r="AY407" s="471" t="e">
        <f>VLOOKUP($AW407,'Item Master Data'!$A:$F,6,FALSE)</f>
        <v>#N/A</v>
      </c>
      <c r="AZ407" s="471" t="e">
        <f t="shared" si="81"/>
        <v>#N/A</v>
      </c>
      <c r="BA407" s="471" t="e">
        <f>VLOOKUP(AW407,'Item Master Data'!$A:$G,7,FALSE)</f>
        <v>#N/A</v>
      </c>
      <c r="BB407" s="471"/>
      <c r="BC407" s="471" t="e">
        <f t="shared" si="82"/>
        <v>#N/A</v>
      </c>
    </row>
    <row r="408" spans="1:55">
      <c r="A408" s="495"/>
      <c r="B408" s="495"/>
      <c r="C408" s="495"/>
      <c r="D408" s="474" t="s">
        <v>86</v>
      </c>
      <c r="E408" s="474"/>
      <c r="F408" s="474"/>
      <c r="G408" s="380">
        <v>2022</v>
      </c>
      <c r="H408" s="474">
        <v>9</v>
      </c>
      <c r="I408" s="474"/>
      <c r="J408" s="475"/>
      <c r="K408" s="474" t="s">
        <v>1743</v>
      </c>
      <c r="L408" s="474" t="s">
        <v>1693</v>
      </c>
      <c r="M408" s="475">
        <v>44595</v>
      </c>
      <c r="N408" s="475">
        <v>44809</v>
      </c>
      <c r="O408" s="475"/>
      <c r="P408" s="475"/>
      <c r="Q408" s="475"/>
      <c r="R408" s="475"/>
      <c r="S408" s="474" t="s">
        <v>88</v>
      </c>
      <c r="T408" s="474">
        <v>60</v>
      </c>
      <c r="U408" s="474"/>
      <c r="V408" s="474" t="s">
        <v>986</v>
      </c>
      <c r="W408" s="474">
        <v>360</v>
      </c>
      <c r="X408" s="432">
        <v>1664</v>
      </c>
      <c r="Y408" s="389">
        <f t="shared" si="85"/>
        <v>599040</v>
      </c>
      <c r="Z408" s="478">
        <f>190.8/360</f>
        <v>0.53</v>
      </c>
      <c r="AA408" s="479">
        <f t="shared" si="86"/>
        <v>317491.20000000001</v>
      </c>
      <c r="AB408" s="480"/>
      <c r="AC408" s="481">
        <v>0</v>
      </c>
      <c r="AD408" s="490"/>
      <c r="AE408" s="482"/>
      <c r="AF408" s="493">
        <f t="shared" si="87"/>
        <v>317491.20000000001</v>
      </c>
      <c r="AG408" s="474" t="s">
        <v>1071</v>
      </c>
      <c r="AH408" s="474"/>
      <c r="AI408" s="474">
        <v>60</v>
      </c>
      <c r="AJ408" s="474" t="s">
        <v>1694</v>
      </c>
      <c r="AK408" s="474" t="s">
        <v>1144</v>
      </c>
      <c r="AL408" s="474">
        <v>92806</v>
      </c>
      <c r="AM408" s="474" t="s">
        <v>52</v>
      </c>
      <c r="AN408" s="474"/>
      <c r="AO408" s="474" t="s">
        <v>1076</v>
      </c>
      <c r="AP408" s="482" t="s">
        <v>92</v>
      </c>
      <c r="AQ408" s="482" t="s">
        <v>37</v>
      </c>
      <c r="AR408" s="482" t="s">
        <v>1216</v>
      </c>
      <c r="AS408" s="473" t="s">
        <v>1492</v>
      </c>
      <c r="AT408" s="473"/>
      <c r="AU408" s="478">
        <f>180/360</f>
        <v>0.5</v>
      </c>
      <c r="AV408" s="471">
        <f t="shared" si="80"/>
        <v>0</v>
      </c>
      <c r="AW408" s="471" cm="1">
        <f t="array" ref="AW408">SUM(MID(0&amp;AV408,LARGE(INDEX(ISNUMBER(--MID(AV408,ROW($1:$8),1))*ROW($1:$8),),ROW($1:$8))+1,1)*10^ROW($1:$8)/10)</f>
        <v>0</v>
      </c>
      <c r="AX408" s="471" t="e">
        <f>VLOOKUP($AW408,'Item Master Data'!$A:$F,3,FALSE)</f>
        <v>#N/A</v>
      </c>
      <c r="AY408" s="471" t="e">
        <f>VLOOKUP($AW408,'Item Master Data'!$A:$F,6,FALSE)</f>
        <v>#N/A</v>
      </c>
      <c r="AZ408" s="471" t="e">
        <f t="shared" si="81"/>
        <v>#N/A</v>
      </c>
      <c r="BA408" s="471" t="e">
        <f>VLOOKUP(AW408,'Item Master Data'!$A:$G,7,FALSE)</f>
        <v>#N/A</v>
      </c>
      <c r="BB408" s="471"/>
      <c r="BC408" s="471" t="e">
        <f t="shared" si="82"/>
        <v>#N/A</v>
      </c>
    </row>
    <row r="409" spans="1:55">
      <c r="A409" s="495"/>
      <c r="B409" s="495"/>
      <c r="C409" s="495"/>
      <c r="D409" s="474" t="s">
        <v>86</v>
      </c>
      <c r="E409" s="474"/>
      <c r="F409" s="474"/>
      <c r="G409" s="380">
        <v>2022</v>
      </c>
      <c r="H409" s="474">
        <v>9</v>
      </c>
      <c r="I409" s="474"/>
      <c r="J409" s="475"/>
      <c r="K409" s="474" t="s">
        <v>1743</v>
      </c>
      <c r="L409" s="474" t="s">
        <v>1693</v>
      </c>
      <c r="M409" s="475">
        <v>44595</v>
      </c>
      <c r="N409" s="475">
        <v>44809</v>
      </c>
      <c r="O409" s="475"/>
      <c r="P409" s="475"/>
      <c r="Q409" s="475"/>
      <c r="R409" s="475"/>
      <c r="S409" s="474" t="s">
        <v>88</v>
      </c>
      <c r="T409" s="474">
        <v>60</v>
      </c>
      <c r="U409" s="474"/>
      <c r="V409" s="474" t="s">
        <v>973</v>
      </c>
      <c r="W409" s="474">
        <v>400</v>
      </c>
      <c r="X409" s="432">
        <v>1536</v>
      </c>
      <c r="Y409" s="389">
        <f t="shared" si="85"/>
        <v>614400</v>
      </c>
      <c r="Z409" s="478">
        <f>220/400</f>
        <v>0.55000000000000004</v>
      </c>
      <c r="AA409" s="479">
        <f t="shared" si="86"/>
        <v>337920</v>
      </c>
      <c r="AB409" s="480"/>
      <c r="AC409" s="481">
        <v>0</v>
      </c>
      <c r="AD409" s="490"/>
      <c r="AE409" s="482"/>
      <c r="AF409" s="493">
        <f t="shared" si="87"/>
        <v>337920</v>
      </c>
      <c r="AG409" s="474" t="s">
        <v>1071</v>
      </c>
      <c r="AH409" s="474"/>
      <c r="AI409" s="474">
        <v>60</v>
      </c>
      <c r="AJ409" s="474" t="s">
        <v>1694</v>
      </c>
      <c r="AK409" s="474" t="s">
        <v>1144</v>
      </c>
      <c r="AL409" s="474">
        <v>92806</v>
      </c>
      <c r="AM409" s="474" t="s">
        <v>52</v>
      </c>
      <c r="AN409" s="474"/>
      <c r="AO409" s="474" t="s">
        <v>1076</v>
      </c>
      <c r="AP409" s="482" t="s">
        <v>92</v>
      </c>
      <c r="AQ409" s="482" t="s">
        <v>37</v>
      </c>
      <c r="AR409" s="482" t="s">
        <v>1216</v>
      </c>
      <c r="AS409" s="473" t="s">
        <v>1492</v>
      </c>
      <c r="AT409" s="346"/>
      <c r="AU409" s="478">
        <f>180/360</f>
        <v>0.5</v>
      </c>
      <c r="AV409" s="471">
        <f t="shared" si="80"/>
        <v>0</v>
      </c>
      <c r="AW409" s="471" cm="1">
        <f t="array" ref="AW409">SUM(MID(0&amp;AV409,LARGE(INDEX(ISNUMBER(--MID(AV409,ROW($1:$8),1))*ROW($1:$8),),ROW($1:$8))+1,1)*10^ROW($1:$8)/10)</f>
        <v>0</v>
      </c>
      <c r="AX409" s="471" t="e">
        <f>VLOOKUP($AW409,'Item Master Data'!$A:$F,3,FALSE)</f>
        <v>#N/A</v>
      </c>
      <c r="AY409" s="471" t="e">
        <f>VLOOKUP($AW409,'Item Master Data'!$A:$F,6,FALSE)</f>
        <v>#N/A</v>
      </c>
      <c r="AZ409" s="471" t="e">
        <f t="shared" si="81"/>
        <v>#N/A</v>
      </c>
      <c r="BA409" s="471" t="e">
        <f>VLOOKUP(AW409,'Item Master Data'!$A:$G,7,FALSE)</f>
        <v>#N/A</v>
      </c>
      <c r="BB409" s="471"/>
      <c r="BC409" s="471" t="e">
        <f t="shared" si="82"/>
        <v>#N/A</v>
      </c>
    </row>
    <row r="410" spans="1:55">
      <c r="A410" s="495"/>
      <c r="B410" s="495"/>
      <c r="C410" s="495"/>
      <c r="D410" s="474" t="s">
        <v>86</v>
      </c>
      <c r="E410" s="474"/>
      <c r="F410" s="474"/>
      <c r="G410" s="380">
        <v>2022</v>
      </c>
      <c r="H410" s="474">
        <v>9</v>
      </c>
      <c r="I410" s="474"/>
      <c r="J410" s="475"/>
      <c r="K410" s="474" t="s">
        <v>1742</v>
      </c>
      <c r="L410" s="474" t="s">
        <v>1693</v>
      </c>
      <c r="M410" s="475">
        <v>44595</v>
      </c>
      <c r="N410" s="475">
        <v>44781</v>
      </c>
      <c r="O410" s="475">
        <v>44812</v>
      </c>
      <c r="P410" s="475"/>
      <c r="Q410" s="475"/>
      <c r="R410" s="475"/>
      <c r="S410" s="474" t="s">
        <v>88</v>
      </c>
      <c r="T410" s="474">
        <v>60</v>
      </c>
      <c r="U410" s="474"/>
      <c r="V410" s="474" t="s">
        <v>1223</v>
      </c>
      <c r="W410" s="474">
        <v>360</v>
      </c>
      <c r="X410" s="432">
        <v>832</v>
      </c>
      <c r="Y410" s="389">
        <f t="shared" si="85"/>
        <v>299520</v>
      </c>
      <c r="Z410" s="478">
        <f>298.8/360</f>
        <v>0.83000000000000007</v>
      </c>
      <c r="AA410" s="479">
        <f t="shared" si="86"/>
        <v>248601.60000000003</v>
      </c>
      <c r="AB410" s="480"/>
      <c r="AC410" s="481">
        <v>0</v>
      </c>
      <c r="AD410" s="490"/>
      <c r="AE410" s="482"/>
      <c r="AF410" s="493">
        <f t="shared" si="87"/>
        <v>248601.60000000003</v>
      </c>
      <c r="AG410" s="474" t="s">
        <v>1071</v>
      </c>
      <c r="AH410" s="474"/>
      <c r="AI410" s="474">
        <v>60</v>
      </c>
      <c r="AJ410" s="474" t="s">
        <v>1694</v>
      </c>
      <c r="AK410" s="474" t="s">
        <v>1144</v>
      </c>
      <c r="AL410" s="474">
        <v>92806</v>
      </c>
      <c r="AM410" s="474" t="s">
        <v>52</v>
      </c>
      <c r="AN410" s="474"/>
      <c r="AO410" s="474" t="s">
        <v>1076</v>
      </c>
      <c r="AP410" s="482" t="s">
        <v>92</v>
      </c>
      <c r="AQ410" s="482" t="s">
        <v>37</v>
      </c>
      <c r="AR410" s="482" t="s">
        <v>1216</v>
      </c>
      <c r="AS410" s="473" t="s">
        <v>1492</v>
      </c>
      <c r="AT410" s="473"/>
      <c r="AU410" s="478">
        <f>180/360</f>
        <v>0.5</v>
      </c>
      <c r="AV410" s="471">
        <f t="shared" si="80"/>
        <v>0</v>
      </c>
      <c r="AW410" s="471" cm="1">
        <f t="array" ref="AW410">SUM(MID(0&amp;AV410,LARGE(INDEX(ISNUMBER(--MID(AV410,ROW($1:$8),1))*ROW($1:$8),),ROW($1:$8))+1,1)*10^ROW($1:$8)/10)</f>
        <v>0</v>
      </c>
      <c r="AX410" s="471" t="e">
        <f>VLOOKUP($AW410,'Item Master Data'!$A:$F,3,FALSE)</f>
        <v>#N/A</v>
      </c>
      <c r="AY410" s="471" t="e">
        <f>VLOOKUP($AW410,'Item Master Data'!$A:$F,6,FALSE)</f>
        <v>#N/A</v>
      </c>
      <c r="AZ410" s="471" t="e">
        <f t="shared" si="81"/>
        <v>#N/A</v>
      </c>
      <c r="BA410" s="471" t="e">
        <f>VLOOKUP(AW410,'Item Master Data'!$A:$G,7,FALSE)</f>
        <v>#N/A</v>
      </c>
      <c r="BB410" s="471"/>
      <c r="BC410" s="471" t="e">
        <f t="shared" si="82"/>
        <v>#N/A</v>
      </c>
    </row>
    <row r="411" spans="1:55">
      <c r="A411" s="495"/>
      <c r="B411" s="407"/>
      <c r="C411" s="407"/>
      <c r="D411" s="485" t="s">
        <v>86</v>
      </c>
      <c r="E411" s="474" t="s">
        <v>5469</v>
      </c>
      <c r="F411" s="486"/>
      <c r="G411" s="380">
        <v>2022</v>
      </c>
      <c r="H411" s="380">
        <v>8</v>
      </c>
      <c r="I411" s="474"/>
      <c r="J411" s="475"/>
      <c r="K411" s="474">
        <v>1202</v>
      </c>
      <c r="L411" s="474" t="s">
        <v>1754</v>
      </c>
      <c r="M411" s="475">
        <v>44585</v>
      </c>
      <c r="N411" s="475">
        <v>44774</v>
      </c>
      <c r="O411" s="475"/>
      <c r="P411" s="475"/>
      <c r="Q411" s="475"/>
      <c r="R411" s="475"/>
      <c r="S411" s="474" t="s">
        <v>1688</v>
      </c>
      <c r="T411" s="474">
        <v>72</v>
      </c>
      <c r="U411" s="486"/>
      <c r="V411" s="474" t="s">
        <v>1002</v>
      </c>
      <c r="W411" s="474">
        <v>480</v>
      </c>
      <c r="X411" s="432">
        <v>1276</v>
      </c>
      <c r="Y411" s="389">
        <f t="shared" si="85"/>
        <v>612480</v>
      </c>
      <c r="Z411" s="478">
        <f>237.6/480</f>
        <v>0.495</v>
      </c>
      <c r="AA411" s="480">
        <f t="shared" si="86"/>
        <v>303177.59999999998</v>
      </c>
      <c r="AB411" s="480"/>
      <c r="AC411" s="481">
        <f>AB411*Y411</f>
        <v>0</v>
      </c>
      <c r="AD411" s="474"/>
      <c r="AE411" s="474"/>
      <c r="AF411" s="493">
        <f t="shared" si="87"/>
        <v>303177.59999999998</v>
      </c>
      <c r="AG411" s="474" t="s">
        <v>1071</v>
      </c>
      <c r="AH411" s="474">
        <v>100</v>
      </c>
      <c r="AI411" s="474">
        <v>0</v>
      </c>
      <c r="AJ411" s="475" t="s">
        <v>1756</v>
      </c>
      <c r="AK411" s="475" t="s">
        <v>50</v>
      </c>
      <c r="AL411" s="483">
        <v>92010</v>
      </c>
      <c r="AM411" s="474" t="s">
        <v>52</v>
      </c>
      <c r="AN411" s="384"/>
      <c r="AO411" s="474" t="s">
        <v>1076</v>
      </c>
      <c r="AP411" s="482"/>
      <c r="AQ411" s="474" t="s">
        <v>37</v>
      </c>
      <c r="AR411" s="474"/>
      <c r="AS411" s="473"/>
      <c r="AT411" s="346"/>
      <c r="AU411" s="478"/>
      <c r="AV411" s="471">
        <f t="shared" si="80"/>
        <v>0</v>
      </c>
      <c r="AW411" s="471" cm="1">
        <f t="array" ref="AW411">SUM(MID(0&amp;AV411,LARGE(INDEX(ISNUMBER(--MID(AV411,ROW($1:$8),1))*ROW($1:$8),),ROW($1:$8))+1,1)*10^ROW($1:$8)/10)</f>
        <v>0</v>
      </c>
      <c r="AX411" s="471" t="e">
        <f>VLOOKUP($AW411,'Item Master Data'!$A:$F,3,FALSE)</f>
        <v>#N/A</v>
      </c>
      <c r="AY411" s="471" t="e">
        <f>VLOOKUP($AW411,'Item Master Data'!$A:$F,6,FALSE)</f>
        <v>#N/A</v>
      </c>
      <c r="AZ411" s="471" t="e">
        <f t="shared" si="81"/>
        <v>#N/A</v>
      </c>
      <c r="BA411" s="471" t="e">
        <f>VLOOKUP(AW411,'Item Master Data'!$A:$G,7,FALSE)</f>
        <v>#N/A</v>
      </c>
      <c r="BB411" s="471"/>
      <c r="BC411" s="471" t="e">
        <f t="shared" si="82"/>
        <v>#N/A</v>
      </c>
    </row>
    <row r="412" spans="1:55">
      <c r="A412" s="495"/>
      <c r="B412" s="407">
        <v>44628</v>
      </c>
      <c r="C412" s="407">
        <v>44628</v>
      </c>
      <c r="D412" s="485" t="s">
        <v>86</v>
      </c>
      <c r="E412" s="474"/>
      <c r="F412" s="486"/>
      <c r="G412" s="380">
        <v>2022</v>
      </c>
      <c r="H412" s="380">
        <v>9</v>
      </c>
      <c r="I412" s="474"/>
      <c r="J412" s="475"/>
      <c r="K412" s="474" t="s">
        <v>1806</v>
      </c>
      <c r="L412" s="474" t="s">
        <v>1798</v>
      </c>
      <c r="M412" s="475">
        <v>44568</v>
      </c>
      <c r="N412" s="475">
        <v>44805</v>
      </c>
      <c r="O412" s="475"/>
      <c r="P412" s="475"/>
      <c r="Q412" s="475"/>
      <c r="R412" s="475"/>
      <c r="S412" s="474" t="s">
        <v>1688</v>
      </c>
      <c r="T412" s="474">
        <v>60</v>
      </c>
      <c r="U412" s="486">
        <v>49401139</v>
      </c>
      <c r="V412" s="474" t="s">
        <v>1223</v>
      </c>
      <c r="W412" s="474">
        <v>360</v>
      </c>
      <c r="X412" s="432">
        <v>676</v>
      </c>
      <c r="Y412" s="389">
        <f t="shared" si="85"/>
        <v>243360</v>
      </c>
      <c r="Z412" s="478">
        <f>298.8/360</f>
        <v>0.83000000000000007</v>
      </c>
      <c r="AA412" s="480">
        <f t="shared" si="86"/>
        <v>201988.80000000002</v>
      </c>
      <c r="AB412" s="480"/>
      <c r="AC412" s="481">
        <v>0</v>
      </c>
      <c r="AD412" s="474"/>
      <c r="AE412" s="474"/>
      <c r="AF412" s="493">
        <f t="shared" si="87"/>
        <v>201988.80000000002</v>
      </c>
      <c r="AG412" s="474" t="s">
        <v>1071</v>
      </c>
      <c r="AH412" s="474"/>
      <c r="AI412" s="474">
        <v>60</v>
      </c>
      <c r="AJ412" s="475" t="s">
        <v>1799</v>
      </c>
      <c r="AK412" s="475" t="s">
        <v>50</v>
      </c>
      <c r="AL412" s="483">
        <v>91311</v>
      </c>
      <c r="AM412" s="474" t="s">
        <v>52</v>
      </c>
      <c r="AN412" s="384" t="s">
        <v>1074</v>
      </c>
      <c r="AO412" s="474" t="s">
        <v>1076</v>
      </c>
      <c r="AP412" s="482"/>
      <c r="AQ412" s="474" t="s">
        <v>37</v>
      </c>
      <c r="AR412" s="474"/>
      <c r="AS412" s="473"/>
      <c r="AT412" s="346"/>
      <c r="AU412" s="478">
        <v>0.72</v>
      </c>
      <c r="AV412" s="471">
        <f t="shared" si="80"/>
        <v>49401139</v>
      </c>
      <c r="AW412" s="471" cm="1">
        <f t="array" ref="AW412">SUM(MID(0&amp;AV412,LARGE(INDEX(ISNUMBER(--MID(AV412,ROW($1:$8),1))*ROW($1:$8),),ROW($1:$8))+1,1)*10^ROW($1:$8)/10)</f>
        <v>49401139</v>
      </c>
      <c r="AX412" s="471" t="str">
        <f>VLOOKUP($AW412,'Item Master Data'!$A:$F,3,FALSE)</f>
        <v>Q.PEAK DUO BLK ML G10.a+</v>
      </c>
      <c r="AY412" s="471">
        <f>VLOOKUP($AW412,'Item Master Data'!$A:$F,6,FALSE)</f>
        <v>395</v>
      </c>
      <c r="AZ412" s="471">
        <f t="shared" si="81"/>
        <v>21.125</v>
      </c>
      <c r="BA412" s="471">
        <f>VLOOKUP(AW412,'Item Master Data'!$A:$G,7,FALSE)</f>
        <v>32</v>
      </c>
      <c r="BB412" s="471"/>
      <c r="BC412" s="471">
        <f t="shared" si="82"/>
        <v>-35</v>
      </c>
    </row>
    <row r="413" spans="1:55">
      <c r="A413" s="495"/>
      <c r="B413" s="407">
        <v>44589</v>
      </c>
      <c r="C413" s="407">
        <v>44589</v>
      </c>
      <c r="D413" s="485" t="s">
        <v>86</v>
      </c>
      <c r="E413" s="474"/>
      <c r="F413" s="486" t="s">
        <v>87</v>
      </c>
      <c r="G413" s="380">
        <v>2022</v>
      </c>
      <c r="H413" s="380">
        <v>9</v>
      </c>
      <c r="I413" s="474"/>
      <c r="J413" s="475"/>
      <c r="K413" s="474" t="s">
        <v>1937</v>
      </c>
      <c r="L413" s="474" t="s">
        <v>1842</v>
      </c>
      <c r="M413" s="475">
        <v>44924</v>
      </c>
      <c r="N413" s="475">
        <v>44833</v>
      </c>
      <c r="O413" s="475"/>
      <c r="P413" s="475"/>
      <c r="Q413" s="475"/>
      <c r="R413" s="475"/>
      <c r="S413" s="474" t="s">
        <v>88</v>
      </c>
      <c r="T413" s="474">
        <v>72</v>
      </c>
      <c r="U413" s="486">
        <v>49303156</v>
      </c>
      <c r="V413" s="474" t="s">
        <v>1070</v>
      </c>
      <c r="W413" s="474">
        <v>480</v>
      </c>
      <c r="X413" s="432">
        <v>638</v>
      </c>
      <c r="Y413" s="389">
        <f t="shared" si="85"/>
        <v>306240</v>
      </c>
      <c r="Z413" s="478">
        <f>225.6/480</f>
        <v>0.47</v>
      </c>
      <c r="AA413" s="480">
        <f t="shared" si="86"/>
        <v>143932.79999999999</v>
      </c>
      <c r="AB413" s="480"/>
      <c r="AC413" s="481">
        <v>0</v>
      </c>
      <c r="AD413" s="474"/>
      <c r="AE413" s="474"/>
      <c r="AF413" s="493">
        <f t="shared" si="87"/>
        <v>143932.79999999999</v>
      </c>
      <c r="AG413" s="474" t="s">
        <v>1071</v>
      </c>
      <c r="AH413" s="474"/>
      <c r="AI413" s="474">
        <v>60</v>
      </c>
      <c r="AJ413" s="475" t="s">
        <v>1860</v>
      </c>
      <c r="AK413" s="475" t="s">
        <v>50</v>
      </c>
      <c r="AL413" s="483">
        <v>93703</v>
      </c>
      <c r="AM413" s="474" t="s">
        <v>52</v>
      </c>
      <c r="AN413" s="384" t="s">
        <v>1695</v>
      </c>
      <c r="AO413" s="474" t="s">
        <v>1076</v>
      </c>
      <c r="AP413" s="482"/>
      <c r="AQ413" s="474" t="s">
        <v>1086</v>
      </c>
      <c r="AR413" s="474"/>
      <c r="AS413" s="473" t="s">
        <v>1492</v>
      </c>
      <c r="AT413" s="346"/>
      <c r="AU413" s="478"/>
      <c r="AV413" s="471">
        <f t="shared" si="80"/>
        <v>49303156</v>
      </c>
      <c r="AW413" s="471" cm="1">
        <f t="array" ref="AW413">SUM(MID(0&amp;AV413,LARGE(INDEX(ISNUMBER(--MID(AV413,ROW($1:$8),1))*ROW($1:$8),),ROW($1:$8))+1,1)*10^ROW($1:$8)/10)</f>
        <v>49303156</v>
      </c>
      <c r="AX413" s="471" t="str">
        <f>VLOOKUP($AW413,'Item Master Data'!$A:$F,3,FALSE)</f>
        <v>Q.PEAK DUO XL G10 BFG</v>
      </c>
      <c r="AY413" s="471">
        <f>VLOOKUP($AW413,'Item Master Data'!$A:$F,6,FALSE)</f>
        <v>480</v>
      </c>
      <c r="AZ413" s="471">
        <f t="shared" si="81"/>
        <v>22</v>
      </c>
      <c r="BA413" s="471">
        <f>VLOOKUP(AW413,'Item Master Data'!$A:$G,7,FALSE)</f>
        <v>29</v>
      </c>
      <c r="BB413" s="471"/>
      <c r="BC413" s="471">
        <f t="shared" si="82"/>
        <v>0</v>
      </c>
    </row>
    <row r="414" spans="1:55">
      <c r="A414" s="495"/>
      <c r="B414" s="407">
        <v>44635</v>
      </c>
      <c r="C414" s="407">
        <v>44636</v>
      </c>
      <c r="D414" s="485" t="s">
        <v>86</v>
      </c>
      <c r="E414" s="474"/>
      <c r="F414" s="486"/>
      <c r="G414" s="380">
        <v>2022</v>
      </c>
      <c r="H414" s="380">
        <v>9</v>
      </c>
      <c r="I414" s="474"/>
      <c r="J414" s="475"/>
      <c r="K414" s="474" t="s">
        <v>1938</v>
      </c>
      <c r="L414" s="474" t="s">
        <v>1842</v>
      </c>
      <c r="M414" s="475">
        <v>44587</v>
      </c>
      <c r="N414" s="475">
        <v>44830</v>
      </c>
      <c r="O414" s="475"/>
      <c r="P414" s="475"/>
      <c r="Q414" s="475"/>
      <c r="R414" s="475"/>
      <c r="S414" s="474" t="s">
        <v>1688</v>
      </c>
      <c r="T414" s="474">
        <v>60</v>
      </c>
      <c r="U414" s="486"/>
      <c r="V414" s="474" t="s">
        <v>986</v>
      </c>
      <c r="W414" s="474">
        <v>360</v>
      </c>
      <c r="X414" s="432">
        <v>1664</v>
      </c>
      <c r="Y414" s="389">
        <f t="shared" si="85"/>
        <v>599040</v>
      </c>
      <c r="Z414" s="478">
        <v>0.5</v>
      </c>
      <c r="AA414" s="480">
        <f t="shared" si="86"/>
        <v>299520</v>
      </c>
      <c r="AB414" s="480"/>
      <c r="AC414" s="481">
        <v>0</v>
      </c>
      <c r="AD414" s="474"/>
      <c r="AE414" s="474"/>
      <c r="AF414" s="493">
        <f t="shared" si="87"/>
        <v>299520</v>
      </c>
      <c r="AG414" s="474" t="s">
        <v>1071</v>
      </c>
      <c r="AH414" s="474"/>
      <c r="AI414" s="474">
        <v>60</v>
      </c>
      <c r="AJ414" s="475" t="s">
        <v>1860</v>
      </c>
      <c r="AK414" s="475" t="s">
        <v>50</v>
      </c>
      <c r="AL414" s="483" t="s">
        <v>1861</v>
      </c>
      <c r="AM414" s="474" t="s">
        <v>52</v>
      </c>
      <c r="AN414" s="384"/>
      <c r="AO414" s="474" t="s">
        <v>1076</v>
      </c>
      <c r="AP414" s="482"/>
      <c r="AQ414" s="474" t="s">
        <v>37</v>
      </c>
      <c r="AR414" s="474" t="s">
        <v>1216</v>
      </c>
      <c r="AS414" s="473" t="s">
        <v>1492</v>
      </c>
      <c r="AT414" s="346"/>
      <c r="AU414" s="478">
        <v>0.5</v>
      </c>
      <c r="AV414" s="471">
        <f t="shared" si="80"/>
        <v>0</v>
      </c>
      <c r="AW414" s="471" cm="1">
        <f t="array" ref="AW414">SUM(MID(0&amp;AV414,LARGE(INDEX(ISNUMBER(--MID(AV414,ROW($1:$8),1))*ROW($1:$8),),ROW($1:$8))+1,1)*10^ROW($1:$8)/10)</f>
        <v>0</v>
      </c>
      <c r="AX414" s="471" t="e">
        <f>VLOOKUP($AW414,'Item Master Data'!$A:$F,3,FALSE)</f>
        <v>#N/A</v>
      </c>
      <c r="AY414" s="471" t="e">
        <f>VLOOKUP($AW414,'Item Master Data'!$A:$F,6,FALSE)</f>
        <v>#N/A</v>
      </c>
      <c r="AZ414" s="471" t="e">
        <f t="shared" si="81"/>
        <v>#N/A</v>
      </c>
      <c r="BA414" s="471" t="e">
        <f>VLOOKUP(AW414,'Item Master Data'!$A:$G,7,FALSE)</f>
        <v>#N/A</v>
      </c>
      <c r="BB414" s="471"/>
      <c r="BC414" s="471" t="e">
        <f t="shared" si="82"/>
        <v>#N/A</v>
      </c>
    </row>
    <row r="415" spans="1:55">
      <c r="A415" s="495"/>
      <c r="B415" s="407">
        <v>44642</v>
      </c>
      <c r="C415" s="407">
        <v>44642</v>
      </c>
      <c r="D415" s="485" t="s">
        <v>86</v>
      </c>
      <c r="E415" s="474" t="s">
        <v>5472</v>
      </c>
      <c r="F415" s="486"/>
      <c r="G415" s="380">
        <v>2022</v>
      </c>
      <c r="H415" s="380">
        <v>9</v>
      </c>
      <c r="I415" s="474"/>
      <c r="J415" s="475"/>
      <c r="K415" s="474" t="s">
        <v>1752</v>
      </c>
      <c r="L415" s="474" t="s">
        <v>1693</v>
      </c>
      <c r="M415" s="475">
        <v>44641</v>
      </c>
      <c r="N415" s="475">
        <v>44809</v>
      </c>
      <c r="O415" s="475"/>
      <c r="P415" s="475"/>
      <c r="Q415" s="475"/>
      <c r="R415" s="475"/>
      <c r="S415" s="474" t="s">
        <v>88</v>
      </c>
      <c r="T415" s="474">
        <v>72</v>
      </c>
      <c r="U415" s="486"/>
      <c r="V415" s="474" t="s">
        <v>1110</v>
      </c>
      <c r="W415" s="474">
        <v>485</v>
      </c>
      <c r="X415" s="432">
        <v>638</v>
      </c>
      <c r="Y415" s="389">
        <f t="shared" si="85"/>
        <v>309430</v>
      </c>
      <c r="Z415" s="478">
        <f>244.93/485</f>
        <v>0.50501030927835056</v>
      </c>
      <c r="AA415" s="480">
        <f t="shared" si="86"/>
        <v>156265.34000000003</v>
      </c>
      <c r="AB415" s="480"/>
      <c r="AC415" s="481">
        <v>0</v>
      </c>
      <c r="AD415" s="474"/>
      <c r="AE415" s="474"/>
      <c r="AF415" s="493">
        <f t="shared" si="87"/>
        <v>156265.34000000003</v>
      </c>
      <c r="AG415" s="474" t="s">
        <v>1071</v>
      </c>
      <c r="AH415" s="474"/>
      <c r="AI415" s="474">
        <v>60</v>
      </c>
      <c r="AJ415" s="475" t="s">
        <v>1694</v>
      </c>
      <c r="AK415" s="475" t="s">
        <v>50</v>
      </c>
      <c r="AL415" s="483" t="s">
        <v>1725</v>
      </c>
      <c r="AM415" s="474" t="s">
        <v>52</v>
      </c>
      <c r="AN415" s="384" t="s">
        <v>50</v>
      </c>
      <c r="AO415" s="474" t="s">
        <v>1076</v>
      </c>
      <c r="AP415" s="482" t="s">
        <v>38</v>
      </c>
      <c r="AQ415" s="474" t="s">
        <v>37</v>
      </c>
      <c r="AR415" s="474"/>
      <c r="AS415" s="473" t="s">
        <v>1075</v>
      </c>
      <c r="AT415" s="346"/>
      <c r="AU415" s="478">
        <v>0.52</v>
      </c>
      <c r="AV415" s="471"/>
      <c r="AW415" s="471"/>
      <c r="AX415" s="471"/>
      <c r="AY415" s="471"/>
      <c r="AZ415" s="471"/>
      <c r="BA415" s="471"/>
      <c r="BB415" s="471"/>
      <c r="BC415" s="471"/>
    </row>
    <row r="416" spans="1:55">
      <c r="A416" s="495"/>
      <c r="B416" s="407">
        <v>44617</v>
      </c>
      <c r="C416" s="407">
        <v>44616</v>
      </c>
      <c r="D416" s="485" t="s">
        <v>86</v>
      </c>
      <c r="E416" s="474"/>
      <c r="F416" s="486"/>
      <c r="G416" s="380">
        <v>2022</v>
      </c>
      <c r="H416" s="380">
        <v>9</v>
      </c>
      <c r="I416" s="474"/>
      <c r="J416" s="475"/>
      <c r="K416" s="474" t="s">
        <v>2137</v>
      </c>
      <c r="L416" s="474" t="s">
        <v>1956</v>
      </c>
      <c r="M416" s="475">
        <v>44589</v>
      </c>
      <c r="N416" s="475">
        <v>44809</v>
      </c>
      <c r="O416" s="475"/>
      <c r="P416" s="475"/>
      <c r="Q416" s="475"/>
      <c r="R416" s="475"/>
      <c r="S416" s="474" t="s">
        <v>1704</v>
      </c>
      <c r="T416" s="474">
        <v>60</v>
      </c>
      <c r="U416" s="486"/>
      <c r="V416" s="474" t="s">
        <v>986</v>
      </c>
      <c r="W416" s="474">
        <v>360</v>
      </c>
      <c r="X416" s="432">
        <v>4160</v>
      </c>
      <c r="Y416" s="389">
        <f t="shared" si="85"/>
        <v>1497600</v>
      </c>
      <c r="Z416" s="478">
        <f>190.8/360</f>
        <v>0.53</v>
      </c>
      <c r="AA416" s="480">
        <f t="shared" si="86"/>
        <v>793728</v>
      </c>
      <c r="AB416" s="480"/>
      <c r="AC416" s="481">
        <f t="shared" ref="AC416:AC421" si="88">AB416*Y416</f>
        <v>0</v>
      </c>
      <c r="AD416" s="474"/>
      <c r="AE416" s="474"/>
      <c r="AF416" s="493">
        <f t="shared" si="87"/>
        <v>793728</v>
      </c>
      <c r="AG416" s="474" t="s">
        <v>1071</v>
      </c>
      <c r="AH416" s="474"/>
      <c r="AI416" s="474">
        <v>60</v>
      </c>
      <c r="AJ416" s="475" t="s">
        <v>1790</v>
      </c>
      <c r="AK416" s="475" t="s">
        <v>50</v>
      </c>
      <c r="AL416" s="483">
        <v>95834</v>
      </c>
      <c r="AM416" s="474" t="s">
        <v>52</v>
      </c>
      <c r="AN416" s="384" t="s">
        <v>1074</v>
      </c>
      <c r="AO416" s="474" t="s">
        <v>1076</v>
      </c>
      <c r="AP416" s="482"/>
      <c r="AQ416" s="474" t="s">
        <v>37</v>
      </c>
      <c r="AR416" s="474"/>
      <c r="AS416" s="473"/>
      <c r="AT416" s="346"/>
      <c r="AU416" s="478">
        <f>180/360</f>
        <v>0.5</v>
      </c>
      <c r="AV416" s="471"/>
      <c r="AW416" s="471"/>
      <c r="AX416" s="471"/>
      <c r="AY416" s="471"/>
      <c r="AZ416" s="471"/>
      <c r="BA416" s="471"/>
      <c r="BB416" s="471"/>
      <c r="BC416" s="471"/>
    </row>
    <row r="417" spans="1:55">
      <c r="A417" s="495"/>
      <c r="B417" s="407">
        <v>44617</v>
      </c>
      <c r="C417" s="407">
        <v>44616</v>
      </c>
      <c r="D417" s="485" t="s">
        <v>86</v>
      </c>
      <c r="E417" s="474"/>
      <c r="F417" s="486"/>
      <c r="G417" s="380">
        <v>2022</v>
      </c>
      <c r="H417" s="380">
        <v>9</v>
      </c>
      <c r="I417" s="474"/>
      <c r="J417" s="475"/>
      <c r="K417" s="474" t="s">
        <v>2137</v>
      </c>
      <c r="L417" s="474" t="s">
        <v>1956</v>
      </c>
      <c r="M417" s="475">
        <v>44589</v>
      </c>
      <c r="N417" s="475">
        <v>44809</v>
      </c>
      <c r="O417" s="475"/>
      <c r="P417" s="475"/>
      <c r="Q417" s="475"/>
      <c r="R417" s="475"/>
      <c r="S417" s="474" t="s">
        <v>1704</v>
      </c>
      <c r="T417" s="474">
        <v>60</v>
      </c>
      <c r="U417" s="486"/>
      <c r="V417" s="474" t="s">
        <v>973</v>
      </c>
      <c r="W417" s="474">
        <v>400</v>
      </c>
      <c r="X417" s="432">
        <v>6144</v>
      </c>
      <c r="Y417" s="389">
        <f t="shared" si="85"/>
        <v>2457600</v>
      </c>
      <c r="Z417" s="478">
        <f>220/400</f>
        <v>0.55000000000000004</v>
      </c>
      <c r="AA417" s="480">
        <f t="shared" si="86"/>
        <v>1351680</v>
      </c>
      <c r="AB417" s="480"/>
      <c r="AC417" s="481">
        <f t="shared" si="88"/>
        <v>0</v>
      </c>
      <c r="AD417" s="474"/>
      <c r="AE417" s="474"/>
      <c r="AF417" s="493">
        <f t="shared" si="87"/>
        <v>1351680</v>
      </c>
      <c r="AG417" s="474" t="s">
        <v>1071</v>
      </c>
      <c r="AH417" s="474"/>
      <c r="AI417" s="474">
        <v>60</v>
      </c>
      <c r="AJ417" s="475" t="s">
        <v>1790</v>
      </c>
      <c r="AK417" s="475" t="s">
        <v>50</v>
      </c>
      <c r="AL417" s="483">
        <v>95834</v>
      </c>
      <c r="AM417" s="474" t="s">
        <v>52</v>
      </c>
      <c r="AN417" s="384" t="s">
        <v>1074</v>
      </c>
      <c r="AO417" s="474" t="s">
        <v>1076</v>
      </c>
      <c r="AP417" s="482"/>
      <c r="AQ417" s="474" t="s">
        <v>37</v>
      </c>
      <c r="AR417" s="474"/>
      <c r="AS417" s="473"/>
      <c r="AT417" s="346"/>
      <c r="AU417" s="478">
        <f>180/360</f>
        <v>0.5</v>
      </c>
      <c r="AV417" s="471"/>
      <c r="AW417" s="471"/>
      <c r="AX417" s="471"/>
      <c r="AY417" s="471"/>
      <c r="AZ417" s="471"/>
      <c r="BA417" s="471"/>
      <c r="BB417" s="471"/>
      <c r="BC417" s="471"/>
    </row>
    <row r="418" spans="1:55">
      <c r="A418" s="495"/>
      <c r="B418" s="407">
        <v>44635</v>
      </c>
      <c r="C418" s="407">
        <v>44616</v>
      </c>
      <c r="D418" s="485" t="s">
        <v>86</v>
      </c>
      <c r="E418" s="486" t="s">
        <v>1483</v>
      </c>
      <c r="F418" s="486"/>
      <c r="G418" s="380">
        <v>2022</v>
      </c>
      <c r="H418" s="474">
        <v>9</v>
      </c>
      <c r="I418" s="474"/>
      <c r="J418" s="475"/>
      <c r="K418" s="474" t="s">
        <v>2146</v>
      </c>
      <c r="L418" s="474" t="s">
        <v>1956</v>
      </c>
      <c r="M418" s="475">
        <v>44631</v>
      </c>
      <c r="N418" s="475">
        <v>44823</v>
      </c>
      <c r="O418" s="475"/>
      <c r="P418" s="475"/>
      <c r="Q418" s="475"/>
      <c r="R418" s="475"/>
      <c r="S418" s="380" t="s">
        <v>1704</v>
      </c>
      <c r="T418" s="474">
        <v>72</v>
      </c>
      <c r="U418" s="486" t="s">
        <v>2144</v>
      </c>
      <c r="V418" s="474" t="s">
        <v>2032</v>
      </c>
      <c r="W418" s="474">
        <v>475</v>
      </c>
      <c r="X418" s="432">
        <v>600</v>
      </c>
      <c r="Y418" s="389">
        <f t="shared" si="85"/>
        <v>285000</v>
      </c>
      <c r="Z418" s="478">
        <f>237.5/475</f>
        <v>0.5</v>
      </c>
      <c r="AA418" s="480">
        <f t="shared" si="86"/>
        <v>142500</v>
      </c>
      <c r="AB418" s="480"/>
      <c r="AC418" s="481">
        <f t="shared" si="88"/>
        <v>0</v>
      </c>
      <c r="AD418" s="474"/>
      <c r="AE418" s="474"/>
      <c r="AF418" s="493">
        <f t="shared" si="87"/>
        <v>142500</v>
      </c>
      <c r="AG418" s="474" t="s">
        <v>1071</v>
      </c>
      <c r="AH418" s="474"/>
      <c r="AI418" s="474">
        <v>60</v>
      </c>
      <c r="AJ418" s="475" t="s">
        <v>1790</v>
      </c>
      <c r="AK418" s="475" t="s">
        <v>50</v>
      </c>
      <c r="AL418" s="483">
        <v>95834</v>
      </c>
      <c r="AM418" s="474" t="s">
        <v>52</v>
      </c>
      <c r="AN418" s="384" t="s">
        <v>1074</v>
      </c>
      <c r="AO418" s="474" t="s">
        <v>1076</v>
      </c>
      <c r="AP418" s="482"/>
      <c r="AQ418" s="474" t="s">
        <v>37</v>
      </c>
      <c r="AR418" s="474"/>
      <c r="AS418" s="473"/>
      <c r="AT418" s="346"/>
      <c r="AU418" s="478">
        <f>180/360</f>
        <v>0.5</v>
      </c>
      <c r="AV418" s="471"/>
      <c r="AW418" s="471"/>
      <c r="AX418" s="471"/>
      <c r="AY418" s="471"/>
      <c r="AZ418" s="471"/>
      <c r="BA418" s="471"/>
      <c r="BB418" s="471"/>
      <c r="BC418" s="471"/>
    </row>
    <row r="419" spans="1:55">
      <c r="A419" s="495"/>
      <c r="B419" s="407"/>
      <c r="C419" s="407"/>
      <c r="D419" s="485" t="s">
        <v>86</v>
      </c>
      <c r="E419" s="474" t="s">
        <v>5469</v>
      </c>
      <c r="F419" s="486"/>
      <c r="G419" s="380">
        <v>2022</v>
      </c>
      <c r="H419" s="474">
        <v>9</v>
      </c>
      <c r="I419" s="474"/>
      <c r="J419" s="475"/>
      <c r="K419" s="474" t="s">
        <v>2022</v>
      </c>
      <c r="L419" s="474" t="s">
        <v>1878</v>
      </c>
      <c r="M419" s="475">
        <v>44586</v>
      </c>
      <c r="N419" s="475">
        <v>44805</v>
      </c>
      <c r="O419" s="475"/>
      <c r="P419" s="475"/>
      <c r="Q419" s="475"/>
      <c r="R419" s="475"/>
      <c r="S419" s="380" t="s">
        <v>1688</v>
      </c>
      <c r="T419" s="474">
        <v>72</v>
      </c>
      <c r="U419" s="486" t="s">
        <v>1109</v>
      </c>
      <c r="V419" s="474" t="s">
        <v>1110</v>
      </c>
      <c r="W419" s="474">
        <v>485</v>
      </c>
      <c r="X419" s="432">
        <v>638</v>
      </c>
      <c r="Y419" s="389">
        <f t="shared" si="85"/>
        <v>309430</v>
      </c>
      <c r="Z419" s="478">
        <f>240.08/485</f>
        <v>0.49501030927835055</v>
      </c>
      <c r="AA419" s="480">
        <f t="shared" si="86"/>
        <v>153171.04</v>
      </c>
      <c r="AB419" s="480"/>
      <c r="AC419" s="481">
        <f t="shared" si="88"/>
        <v>0</v>
      </c>
      <c r="AD419" s="474"/>
      <c r="AE419" s="474"/>
      <c r="AF419" s="493">
        <f t="shared" si="87"/>
        <v>153171.04</v>
      </c>
      <c r="AG419" s="474" t="s">
        <v>1071</v>
      </c>
      <c r="AH419" s="474"/>
      <c r="AI419" s="474">
        <v>60</v>
      </c>
      <c r="AJ419" s="475" t="s">
        <v>2023</v>
      </c>
      <c r="AK419" s="475" t="s">
        <v>50</v>
      </c>
      <c r="AL419" s="483">
        <v>90221</v>
      </c>
      <c r="AM419" s="474" t="s">
        <v>52</v>
      </c>
      <c r="AN419" s="384"/>
      <c r="AO419" s="474" t="s">
        <v>1076</v>
      </c>
      <c r="AP419" s="482"/>
      <c r="AQ419" s="474" t="s">
        <v>37</v>
      </c>
      <c r="AR419" s="474"/>
      <c r="AS419" s="473"/>
      <c r="AT419" s="346"/>
      <c r="AU419" s="478"/>
      <c r="AV419" s="471"/>
      <c r="AW419" s="471"/>
      <c r="AX419" s="471"/>
      <c r="AY419" s="471"/>
      <c r="AZ419" s="471"/>
      <c r="BA419" s="471"/>
      <c r="BB419" s="471"/>
      <c r="BC419" s="471"/>
    </row>
    <row r="420" spans="1:55">
      <c r="A420" s="495"/>
      <c r="B420" s="407">
        <v>44607</v>
      </c>
      <c r="C420" s="407">
        <v>44607</v>
      </c>
      <c r="D420" s="485" t="s">
        <v>86</v>
      </c>
      <c r="E420" s="474" t="s">
        <v>5469</v>
      </c>
      <c r="F420" s="486" t="s">
        <v>87</v>
      </c>
      <c r="G420" s="380">
        <v>2022</v>
      </c>
      <c r="H420" s="474">
        <v>9</v>
      </c>
      <c r="I420" s="474"/>
      <c r="J420" s="475"/>
      <c r="K420" s="474" t="s">
        <v>2175</v>
      </c>
      <c r="L420" s="474" t="s">
        <v>1699</v>
      </c>
      <c r="M420" s="475">
        <v>44596</v>
      </c>
      <c r="N420" s="475">
        <v>44805</v>
      </c>
      <c r="O420" s="475"/>
      <c r="P420" s="475"/>
      <c r="Q420" s="475"/>
      <c r="R420" s="475"/>
      <c r="S420" s="380" t="s">
        <v>88</v>
      </c>
      <c r="T420" s="474">
        <v>72</v>
      </c>
      <c r="U420" s="486" t="s">
        <v>1109</v>
      </c>
      <c r="V420" s="474" t="s">
        <v>1110</v>
      </c>
      <c r="W420" s="474">
        <v>485</v>
      </c>
      <c r="X420" s="432">
        <v>2552</v>
      </c>
      <c r="Y420" s="389">
        <f t="shared" si="85"/>
        <v>1237720</v>
      </c>
      <c r="Z420" s="478">
        <f>240.08/485</f>
        <v>0.49501030927835055</v>
      </c>
      <c r="AA420" s="480">
        <f t="shared" si="86"/>
        <v>612684.16</v>
      </c>
      <c r="AB420" s="480"/>
      <c r="AC420" s="481">
        <f t="shared" si="88"/>
        <v>0</v>
      </c>
      <c r="AD420" s="474"/>
      <c r="AE420" s="474"/>
      <c r="AF420" s="493">
        <f t="shared" si="87"/>
        <v>612684.16</v>
      </c>
      <c r="AG420" s="474" t="s">
        <v>1071</v>
      </c>
      <c r="AH420" s="474"/>
      <c r="AI420" s="474">
        <v>60</v>
      </c>
      <c r="AJ420" s="475" t="s">
        <v>1700</v>
      </c>
      <c r="AK420" s="475" t="s">
        <v>50</v>
      </c>
      <c r="AL420" s="483">
        <v>92126</v>
      </c>
      <c r="AM420" s="474" t="s">
        <v>52</v>
      </c>
      <c r="AN420" s="384" t="s">
        <v>50</v>
      </c>
      <c r="AO420" s="474" t="s">
        <v>1076</v>
      </c>
      <c r="AP420" s="482" t="s">
        <v>92</v>
      </c>
      <c r="AQ420" s="474" t="s">
        <v>37</v>
      </c>
      <c r="AR420" s="474"/>
      <c r="AS420" s="473" t="s">
        <v>1492</v>
      </c>
      <c r="AT420" s="346"/>
      <c r="AU420" s="478"/>
      <c r="AV420" s="471"/>
      <c r="AW420" s="471"/>
      <c r="AX420" s="471"/>
      <c r="AY420" s="471"/>
      <c r="AZ420" s="471"/>
      <c r="BA420" s="471"/>
      <c r="BB420" s="471"/>
      <c r="BC420" s="471"/>
    </row>
    <row r="421" spans="1:55">
      <c r="A421" s="495"/>
      <c r="B421" s="407">
        <v>44607</v>
      </c>
      <c r="C421" s="407">
        <v>44607</v>
      </c>
      <c r="D421" s="485" t="s">
        <v>86</v>
      </c>
      <c r="E421" s="474"/>
      <c r="F421" s="486"/>
      <c r="G421" s="380">
        <v>2022</v>
      </c>
      <c r="H421" s="380">
        <v>9</v>
      </c>
      <c r="I421" s="474"/>
      <c r="J421" s="475"/>
      <c r="K421" s="474" t="s">
        <v>2212</v>
      </c>
      <c r="L421" s="474" t="s">
        <v>2011</v>
      </c>
      <c r="M421" s="475">
        <v>44607</v>
      </c>
      <c r="N421" s="475">
        <v>44816</v>
      </c>
      <c r="O421" s="475"/>
      <c r="P421" s="475"/>
      <c r="Q421" s="475"/>
      <c r="R421" s="475"/>
      <c r="S421" s="474" t="s">
        <v>1688</v>
      </c>
      <c r="T421" s="474">
        <v>60</v>
      </c>
      <c r="U421" s="486"/>
      <c r="V421" s="474" t="s">
        <v>1223</v>
      </c>
      <c r="W421" s="474">
        <v>360</v>
      </c>
      <c r="X421" s="432">
        <v>728</v>
      </c>
      <c r="Y421" s="389">
        <f t="shared" si="85"/>
        <v>262080</v>
      </c>
      <c r="Z421" s="478">
        <f>298.8/360</f>
        <v>0.83000000000000007</v>
      </c>
      <c r="AA421" s="480">
        <f t="shared" si="86"/>
        <v>217526.40000000002</v>
      </c>
      <c r="AB421" s="480"/>
      <c r="AC421" s="481">
        <f t="shared" si="88"/>
        <v>0</v>
      </c>
      <c r="AD421" s="474"/>
      <c r="AE421" s="474"/>
      <c r="AF421" s="493">
        <f t="shared" si="87"/>
        <v>217526.40000000002</v>
      </c>
      <c r="AG421" s="474" t="s">
        <v>1071</v>
      </c>
      <c r="AH421" s="474"/>
      <c r="AI421" s="474">
        <v>60</v>
      </c>
      <c r="AJ421" s="475" t="s">
        <v>2012</v>
      </c>
      <c r="AK421" s="475" t="s">
        <v>50</v>
      </c>
      <c r="AL421" s="483" t="s">
        <v>2013</v>
      </c>
      <c r="AM421" s="474" t="s">
        <v>52</v>
      </c>
      <c r="AN421" s="384"/>
      <c r="AO421" s="474" t="s">
        <v>1076</v>
      </c>
      <c r="AP421" s="482"/>
      <c r="AQ421" s="474" t="s">
        <v>37</v>
      </c>
      <c r="AR421" s="474"/>
      <c r="AS421" s="473"/>
      <c r="AT421" s="346"/>
      <c r="AU421" s="478">
        <f>180/360</f>
        <v>0.5</v>
      </c>
      <c r="AV421" s="471"/>
      <c r="AW421" s="471"/>
      <c r="AX421" s="471"/>
      <c r="AY421" s="471"/>
      <c r="AZ421" s="471"/>
      <c r="BA421" s="471"/>
      <c r="BB421" s="471"/>
      <c r="BC421" s="471"/>
    </row>
    <row r="422" spans="1:55">
      <c r="A422" s="495"/>
      <c r="B422" s="407"/>
      <c r="C422" s="407"/>
      <c r="D422" s="485" t="s">
        <v>86</v>
      </c>
      <c r="E422" s="474" t="s">
        <v>2030</v>
      </c>
      <c r="F422" s="486" t="s">
        <v>87</v>
      </c>
      <c r="G422" s="380">
        <v>2022</v>
      </c>
      <c r="H422" s="380">
        <v>9</v>
      </c>
      <c r="I422" s="474"/>
      <c r="J422" s="475"/>
      <c r="K422" s="474" t="s">
        <v>2226</v>
      </c>
      <c r="L422" s="474" t="s">
        <v>2025</v>
      </c>
      <c r="M422" s="475">
        <v>44614</v>
      </c>
      <c r="N422" s="475">
        <v>44805</v>
      </c>
      <c r="O422" s="475"/>
      <c r="P422" s="475"/>
      <c r="Q422" s="475"/>
      <c r="R422" s="475"/>
      <c r="S422" s="474" t="s">
        <v>1957</v>
      </c>
      <c r="T422" s="474">
        <v>72</v>
      </c>
      <c r="U422" s="486">
        <v>49303156</v>
      </c>
      <c r="V422" s="474" t="s">
        <v>2032</v>
      </c>
      <c r="W422" s="474">
        <v>480</v>
      </c>
      <c r="X422" s="432">
        <v>1160</v>
      </c>
      <c r="Y422" s="389">
        <f t="shared" si="85"/>
        <v>556800</v>
      </c>
      <c r="Z422" s="478">
        <f>232.75/480</f>
        <v>0.48489583333333336</v>
      </c>
      <c r="AA422" s="480">
        <f t="shared" si="86"/>
        <v>269990</v>
      </c>
      <c r="AB422" s="480"/>
      <c r="AC422" s="481">
        <v>0</v>
      </c>
      <c r="AD422" s="474"/>
      <c r="AE422" s="474"/>
      <c r="AF422" s="493">
        <v>275616</v>
      </c>
      <c r="AG422" s="474" t="s">
        <v>1071</v>
      </c>
      <c r="AH422" s="474"/>
      <c r="AI422" s="474">
        <v>60</v>
      </c>
      <c r="AJ422" s="475" t="s">
        <v>2026</v>
      </c>
      <c r="AK422" s="475" t="s">
        <v>50</v>
      </c>
      <c r="AL422" s="483">
        <v>95403</v>
      </c>
      <c r="AM422" s="474" t="s">
        <v>52</v>
      </c>
      <c r="AN422" s="384" t="s">
        <v>1695</v>
      </c>
      <c r="AO422" s="474" t="s">
        <v>1076</v>
      </c>
      <c r="AP422" s="482"/>
      <c r="AQ422" s="474" t="s">
        <v>37</v>
      </c>
      <c r="AR422" s="474"/>
      <c r="AS422" s="473" t="s">
        <v>1492</v>
      </c>
      <c r="AT422" s="346"/>
      <c r="AU422" s="478"/>
      <c r="AV422" s="471">
        <f t="shared" ref="AV422:AV442" si="89">U422</f>
        <v>49303156</v>
      </c>
      <c r="AW422" s="471" cm="1">
        <f t="array" ref="AW422">SUM(MID(0&amp;AV422,LARGE(INDEX(ISNUMBER(--MID(AV422,ROW($1:$8),1))*ROW($1:$8),),ROW($1:$8))+1,1)*10^ROW($1:$8)/10)</f>
        <v>49303156</v>
      </c>
      <c r="AX422" s="471" t="str">
        <f>VLOOKUP($AW422,'Item Master Data'!$A:$F,3,FALSE)</f>
        <v>Q.PEAK DUO XL G10 BFG</v>
      </c>
      <c r="AY422" s="471">
        <f>VLOOKUP($AW422,'Item Master Data'!$A:$F,6,FALSE)</f>
        <v>480</v>
      </c>
      <c r="AZ422" s="471">
        <f t="shared" ref="AZ422:AZ442" si="90">X422/BA422</f>
        <v>40</v>
      </c>
      <c r="BA422" s="471">
        <f>VLOOKUP(AW422,'Item Master Data'!$A:$G,7,FALSE)</f>
        <v>29</v>
      </c>
      <c r="BB422" s="471"/>
      <c r="BC422" s="471">
        <f t="shared" ref="BC422:BC442" si="91">W422-AY422</f>
        <v>0</v>
      </c>
    </row>
    <row r="423" spans="1:55">
      <c r="A423" s="495"/>
      <c r="B423" s="407">
        <v>44627</v>
      </c>
      <c r="C423" s="407">
        <v>44627</v>
      </c>
      <c r="D423" s="485" t="s">
        <v>86</v>
      </c>
      <c r="E423" s="383"/>
      <c r="F423" s="474"/>
      <c r="G423" s="380">
        <v>2022</v>
      </c>
      <c r="H423" s="380">
        <v>9</v>
      </c>
      <c r="I423" s="474"/>
      <c r="J423" s="475"/>
      <c r="K423" s="474" t="s">
        <v>2263</v>
      </c>
      <c r="L423" s="474" t="s">
        <v>1703</v>
      </c>
      <c r="M423" s="475">
        <v>44615</v>
      </c>
      <c r="N423" s="475">
        <v>44805</v>
      </c>
      <c r="O423" s="475"/>
      <c r="P423" s="345"/>
      <c r="Q423" s="475"/>
      <c r="R423" s="475"/>
      <c r="S423" s="474" t="s">
        <v>1704</v>
      </c>
      <c r="T423" s="474">
        <v>60</v>
      </c>
      <c r="U423" s="474"/>
      <c r="V423" s="486" t="s">
        <v>973</v>
      </c>
      <c r="W423" s="474">
        <v>400</v>
      </c>
      <c r="X423" s="432">
        <v>3840</v>
      </c>
      <c r="Y423" s="389">
        <v>1536000</v>
      </c>
      <c r="Z423" s="478">
        <v>0.55000000000000004</v>
      </c>
      <c r="AA423" s="479">
        <v>844800.00000000012</v>
      </c>
      <c r="AB423" s="480"/>
      <c r="AC423" s="481">
        <v>0</v>
      </c>
      <c r="AD423" s="474"/>
      <c r="AE423" s="474"/>
      <c r="AF423" s="493">
        <v>844800.00000000012</v>
      </c>
      <c r="AG423" s="474" t="s">
        <v>1071</v>
      </c>
      <c r="AH423" s="474"/>
      <c r="AI423" s="474">
        <v>60</v>
      </c>
      <c r="AJ423" s="475" t="s">
        <v>1705</v>
      </c>
      <c r="AK423" s="475" t="s">
        <v>1706</v>
      </c>
      <c r="AL423" s="483" t="s">
        <v>1707</v>
      </c>
      <c r="AM423" s="474" t="s">
        <v>52</v>
      </c>
      <c r="AN423" s="384"/>
      <c r="AO423" s="474" t="s">
        <v>1076</v>
      </c>
      <c r="AP423" s="474"/>
      <c r="AQ423" s="482" t="s">
        <v>37</v>
      </c>
      <c r="AR423" s="474"/>
      <c r="AS423" s="473"/>
      <c r="AT423" s="346"/>
      <c r="AU423" s="478"/>
      <c r="AV423" s="471">
        <f t="shared" si="89"/>
        <v>0</v>
      </c>
      <c r="AW423" s="471" cm="1">
        <f t="array" ref="AW423">SUM(MID(0&amp;AV423,LARGE(INDEX(ISNUMBER(--MID(AV423,ROW($1:$8),1))*ROW($1:$8),),ROW($1:$8))+1,1)*10^ROW($1:$8)/10)</f>
        <v>0</v>
      </c>
      <c r="AX423" s="471" t="e">
        <f>VLOOKUP($AW423,'Item Master Data'!$A:$F,3,FALSE)</f>
        <v>#N/A</v>
      </c>
      <c r="AY423" s="471" t="e">
        <f>VLOOKUP($AW423,'Item Master Data'!$A:$F,6,FALSE)</f>
        <v>#N/A</v>
      </c>
      <c r="AZ423" s="471" t="e">
        <f t="shared" si="90"/>
        <v>#N/A</v>
      </c>
      <c r="BA423" s="471" t="e">
        <f>VLOOKUP(AW423,'Item Master Data'!$A:$G,7,FALSE)</f>
        <v>#N/A</v>
      </c>
      <c r="BB423" s="471"/>
      <c r="BC423" s="471" t="e">
        <f t="shared" si="91"/>
        <v>#N/A</v>
      </c>
    </row>
    <row r="424" spans="1:55">
      <c r="A424" s="495"/>
      <c r="B424" s="407">
        <v>44627</v>
      </c>
      <c r="C424" s="407">
        <v>44627</v>
      </c>
      <c r="D424" s="485" t="s">
        <v>86</v>
      </c>
      <c r="E424" s="383"/>
      <c r="F424" s="474"/>
      <c r="G424" s="380">
        <v>2022</v>
      </c>
      <c r="H424" s="380">
        <v>9</v>
      </c>
      <c r="I424" s="474"/>
      <c r="J424" s="475"/>
      <c r="K424" s="474" t="s">
        <v>2263</v>
      </c>
      <c r="L424" s="474" t="s">
        <v>1703</v>
      </c>
      <c r="M424" s="475">
        <v>44615</v>
      </c>
      <c r="N424" s="475">
        <v>44805</v>
      </c>
      <c r="O424" s="475"/>
      <c r="P424" s="345"/>
      <c r="Q424" s="475"/>
      <c r="R424" s="475"/>
      <c r="S424" s="474" t="s">
        <v>1704</v>
      </c>
      <c r="T424" s="474">
        <v>60</v>
      </c>
      <c r="U424" s="474"/>
      <c r="V424" s="474" t="s">
        <v>986</v>
      </c>
      <c r="W424" s="474">
        <v>360</v>
      </c>
      <c r="X424" s="432">
        <v>832</v>
      </c>
      <c r="Y424" s="389">
        <v>299520</v>
      </c>
      <c r="Z424" s="478">
        <v>0.53</v>
      </c>
      <c r="AA424" s="479">
        <v>158745.60000000001</v>
      </c>
      <c r="AB424" s="480"/>
      <c r="AC424" s="481">
        <v>0</v>
      </c>
      <c r="AD424" s="474"/>
      <c r="AE424" s="474"/>
      <c r="AF424" s="493">
        <v>158745.60000000001</v>
      </c>
      <c r="AG424" s="474" t="s">
        <v>1071</v>
      </c>
      <c r="AH424" s="474"/>
      <c r="AI424" s="474">
        <v>60</v>
      </c>
      <c r="AJ424" s="475" t="s">
        <v>1705</v>
      </c>
      <c r="AK424" s="475" t="s">
        <v>1706</v>
      </c>
      <c r="AL424" s="483" t="s">
        <v>1707</v>
      </c>
      <c r="AM424" s="474" t="s">
        <v>52</v>
      </c>
      <c r="AN424" s="384"/>
      <c r="AO424" s="474" t="s">
        <v>1076</v>
      </c>
      <c r="AP424" s="474"/>
      <c r="AQ424" s="482" t="s">
        <v>37</v>
      </c>
      <c r="AR424" s="474"/>
      <c r="AS424" s="473"/>
      <c r="AT424" s="346"/>
      <c r="AU424" s="478"/>
      <c r="AV424" s="471">
        <f t="shared" si="89"/>
        <v>0</v>
      </c>
      <c r="AW424" s="471" cm="1">
        <f t="array" ref="AW424">SUM(MID(0&amp;AV424,LARGE(INDEX(ISNUMBER(--MID(AV424,ROW($1:$8),1))*ROW($1:$8),),ROW($1:$8))+1,1)*10^ROW($1:$8)/10)</f>
        <v>0</v>
      </c>
      <c r="AX424" s="471" t="e">
        <f>VLOOKUP($AW424,'Item Master Data'!$A:$F,3,FALSE)</f>
        <v>#N/A</v>
      </c>
      <c r="AY424" s="471" t="e">
        <f>VLOOKUP($AW424,'Item Master Data'!$A:$F,6,FALSE)</f>
        <v>#N/A</v>
      </c>
      <c r="AZ424" s="471" t="e">
        <f t="shared" si="90"/>
        <v>#N/A</v>
      </c>
      <c r="BA424" s="471" t="e">
        <f>VLOOKUP(AW424,'Item Master Data'!$A:$G,7,FALSE)</f>
        <v>#N/A</v>
      </c>
      <c r="BB424" s="471"/>
      <c r="BC424" s="471" t="e">
        <f t="shared" si="91"/>
        <v>#N/A</v>
      </c>
    </row>
    <row r="425" spans="1:55">
      <c r="A425" s="495"/>
      <c r="B425" s="407">
        <v>44679</v>
      </c>
      <c r="C425" s="407">
        <v>44679</v>
      </c>
      <c r="D425" s="485" t="s">
        <v>86</v>
      </c>
      <c r="E425" s="474"/>
      <c r="F425" s="486" t="s">
        <v>87</v>
      </c>
      <c r="G425" s="380">
        <v>2022</v>
      </c>
      <c r="H425" s="380">
        <v>9</v>
      </c>
      <c r="I425" s="474"/>
      <c r="J425" s="475"/>
      <c r="K425" s="474" t="s">
        <v>2306</v>
      </c>
      <c r="L425" s="474" t="s">
        <v>1699</v>
      </c>
      <c r="M425" s="475">
        <v>44658</v>
      </c>
      <c r="N425" s="475">
        <v>44811</v>
      </c>
      <c r="O425" s="475"/>
      <c r="P425" s="475"/>
      <c r="Q425" s="475"/>
      <c r="R425" s="475"/>
      <c r="S425" s="474" t="s">
        <v>88</v>
      </c>
      <c r="T425" s="474">
        <v>72</v>
      </c>
      <c r="U425" s="486"/>
      <c r="V425" s="474" t="s">
        <v>1070</v>
      </c>
      <c r="W425" s="474">
        <v>480</v>
      </c>
      <c r="X425" s="432">
        <v>10208</v>
      </c>
      <c r="Y425" s="389">
        <f t="shared" ref="Y425:Y439" si="92">W425*X425</f>
        <v>4899840</v>
      </c>
      <c r="Z425" s="478">
        <f>235.2/480</f>
        <v>0.49</v>
      </c>
      <c r="AA425" s="480">
        <f t="shared" ref="AA425:AA439" si="93">Z425*Y425</f>
        <v>2400921.6000000001</v>
      </c>
      <c r="AB425" s="480"/>
      <c r="AC425" s="481">
        <f>AB425*Y425</f>
        <v>0</v>
      </c>
      <c r="AD425" s="474"/>
      <c r="AE425" s="474"/>
      <c r="AF425" s="493">
        <f t="shared" ref="AF425:AF439" si="94">AE425+AD425+AA425</f>
        <v>2400921.6000000001</v>
      </c>
      <c r="AG425" s="474" t="s">
        <v>1071</v>
      </c>
      <c r="AH425" s="474"/>
      <c r="AI425" s="474">
        <v>60</v>
      </c>
      <c r="AJ425" s="475" t="s">
        <v>1700</v>
      </c>
      <c r="AK425" s="475" t="s">
        <v>50</v>
      </c>
      <c r="AL425" s="483">
        <v>92126</v>
      </c>
      <c r="AM425" s="474" t="s">
        <v>52</v>
      </c>
      <c r="AN425" s="384" t="s">
        <v>50</v>
      </c>
      <c r="AO425" s="474" t="s">
        <v>1076</v>
      </c>
      <c r="AP425" s="482" t="s">
        <v>92</v>
      </c>
      <c r="AQ425" s="474" t="s">
        <v>37</v>
      </c>
      <c r="AR425" s="474"/>
      <c r="AS425" s="473" t="s">
        <v>1492</v>
      </c>
      <c r="AT425" s="346"/>
      <c r="AU425" s="478"/>
      <c r="AV425" s="471">
        <f t="shared" si="89"/>
        <v>0</v>
      </c>
      <c r="AW425" s="471" cm="1">
        <f t="array" ref="AW425">SUM(MID(0&amp;AV425,LARGE(INDEX(ISNUMBER(--MID(AV425,ROW($1:$8),1))*ROW($1:$8),),ROW($1:$8))+1,1)*10^ROW($1:$8)/10)</f>
        <v>0</v>
      </c>
      <c r="AX425" s="471" t="e">
        <f>VLOOKUP($AW425,'Item Master Data'!$A:$F,3,FALSE)</f>
        <v>#N/A</v>
      </c>
      <c r="AY425" s="471" t="e">
        <f>VLOOKUP($AW425,'Item Master Data'!$A:$F,6,FALSE)</f>
        <v>#N/A</v>
      </c>
      <c r="AZ425" s="471" t="e">
        <f t="shared" si="90"/>
        <v>#N/A</v>
      </c>
      <c r="BA425" s="471" t="e">
        <f>VLOOKUP(AW425,'Item Master Data'!$A:$G,7,FALSE)</f>
        <v>#N/A</v>
      </c>
      <c r="BB425" s="471"/>
      <c r="BC425" s="471" t="e">
        <f t="shared" si="91"/>
        <v>#N/A</v>
      </c>
    </row>
    <row r="426" spans="1:55">
      <c r="A426" s="495"/>
      <c r="B426" s="495"/>
      <c r="C426" s="407"/>
      <c r="D426" s="485" t="s">
        <v>86</v>
      </c>
      <c r="E426" s="383" t="s">
        <v>5473</v>
      </c>
      <c r="F426" s="474"/>
      <c r="G426" s="380">
        <v>2022</v>
      </c>
      <c r="H426" s="380">
        <v>7</v>
      </c>
      <c r="I426" s="474"/>
      <c r="J426" s="475"/>
      <c r="K426" s="474" t="s">
        <v>5475</v>
      </c>
      <c r="L426" s="474" t="s">
        <v>2079</v>
      </c>
      <c r="M426" s="475">
        <v>44662</v>
      </c>
      <c r="N426" s="475">
        <v>44743</v>
      </c>
      <c r="O426" s="475"/>
      <c r="P426" s="345"/>
      <c r="Q426" s="475"/>
      <c r="R426" s="475"/>
      <c r="S426" s="474" t="s">
        <v>88</v>
      </c>
      <c r="T426" s="474">
        <v>72</v>
      </c>
      <c r="U426" s="486"/>
      <c r="V426" s="486" t="s">
        <v>995</v>
      </c>
      <c r="W426" s="474">
        <v>480</v>
      </c>
      <c r="X426" s="432">
        <v>1914</v>
      </c>
      <c r="Y426" s="389">
        <f t="shared" si="92"/>
        <v>918720</v>
      </c>
      <c r="Z426" s="478">
        <f>268.8/480</f>
        <v>0.56000000000000005</v>
      </c>
      <c r="AA426" s="479">
        <f t="shared" si="93"/>
        <v>514483.20000000007</v>
      </c>
      <c r="AB426" s="480"/>
      <c r="AC426" s="481">
        <f>AB426*Y426</f>
        <v>0</v>
      </c>
      <c r="AD426" s="474"/>
      <c r="AE426" s="474"/>
      <c r="AF426" s="493">
        <f t="shared" si="94"/>
        <v>514483.20000000007</v>
      </c>
      <c r="AG426" s="474" t="s">
        <v>1071</v>
      </c>
      <c r="AH426" s="474"/>
      <c r="AI426" s="474">
        <v>60</v>
      </c>
      <c r="AJ426" s="475" t="s">
        <v>2075</v>
      </c>
      <c r="AK426" s="475" t="s">
        <v>50</v>
      </c>
      <c r="AL426" s="483" t="s">
        <v>2128</v>
      </c>
      <c r="AM426" s="474" t="s">
        <v>52</v>
      </c>
      <c r="AN426" s="384"/>
      <c r="AO426" s="474" t="s">
        <v>1076</v>
      </c>
      <c r="AP426" s="474"/>
      <c r="AQ426" s="482" t="s">
        <v>37</v>
      </c>
      <c r="AR426" s="474"/>
      <c r="AS426" s="473"/>
      <c r="AT426" s="346"/>
      <c r="AU426" s="478"/>
      <c r="AV426" s="471">
        <f t="shared" si="89"/>
        <v>0</v>
      </c>
      <c r="AW426" s="471" cm="1">
        <f t="array" ref="AW426">SUM(MID(0&amp;AV426,LARGE(INDEX(ISNUMBER(--MID(AV426,ROW($1:$8),1))*ROW($1:$8),),ROW($1:$8))+1,1)*10^ROW($1:$8)/10)</f>
        <v>0</v>
      </c>
      <c r="AX426" s="471" t="e">
        <f>VLOOKUP($AW426,'Item Master Data'!$A:$F,3,FALSE)</f>
        <v>#N/A</v>
      </c>
      <c r="AY426" s="471" t="e">
        <f>VLOOKUP($AW426,'Item Master Data'!$A:$F,6,FALSE)</f>
        <v>#N/A</v>
      </c>
      <c r="AZ426" s="471" t="e">
        <f t="shared" si="90"/>
        <v>#N/A</v>
      </c>
      <c r="BA426" s="471" t="e">
        <f>VLOOKUP(AW426,'Item Master Data'!$A:$G,7,FALSE)</f>
        <v>#N/A</v>
      </c>
      <c r="BB426" s="471"/>
      <c r="BC426" s="471" t="e">
        <f t="shared" si="91"/>
        <v>#N/A</v>
      </c>
    </row>
    <row r="427" spans="1:55">
      <c r="A427" s="495"/>
      <c r="B427" s="495"/>
      <c r="C427" s="407">
        <v>44634</v>
      </c>
      <c r="D427" s="485" t="s">
        <v>86</v>
      </c>
      <c r="E427" s="383" t="s">
        <v>5469</v>
      </c>
      <c r="F427" s="474"/>
      <c r="G427" s="380">
        <v>2022</v>
      </c>
      <c r="H427" s="380">
        <v>8</v>
      </c>
      <c r="I427" s="474"/>
      <c r="J427" s="475"/>
      <c r="K427" s="474" t="s">
        <v>2253</v>
      </c>
      <c r="L427" s="474" t="s">
        <v>2079</v>
      </c>
      <c r="M427" s="475">
        <v>44630</v>
      </c>
      <c r="N427" s="475">
        <v>44774</v>
      </c>
      <c r="O427" s="475"/>
      <c r="P427" s="345"/>
      <c r="Q427" s="475"/>
      <c r="R427" s="475"/>
      <c r="S427" s="474" t="s">
        <v>88</v>
      </c>
      <c r="T427" s="474">
        <v>72</v>
      </c>
      <c r="U427" s="486"/>
      <c r="V427" s="486" t="s">
        <v>1002</v>
      </c>
      <c r="W427" s="474">
        <v>480</v>
      </c>
      <c r="X427" s="432">
        <v>2552</v>
      </c>
      <c r="Y427" s="389">
        <f t="shared" si="92"/>
        <v>1224960</v>
      </c>
      <c r="Z427" s="478">
        <f>228/480</f>
        <v>0.47499999999999998</v>
      </c>
      <c r="AA427" s="479">
        <f t="shared" si="93"/>
        <v>581856</v>
      </c>
      <c r="AB427" s="480"/>
      <c r="AC427" s="481">
        <f>AB427*Y427</f>
        <v>0</v>
      </c>
      <c r="AD427" s="474"/>
      <c r="AE427" s="474"/>
      <c r="AF427" s="493">
        <f t="shared" si="94"/>
        <v>581856</v>
      </c>
      <c r="AG427" s="474" t="s">
        <v>1071</v>
      </c>
      <c r="AH427" s="474"/>
      <c r="AI427" s="474">
        <v>60</v>
      </c>
      <c r="AJ427" s="475" t="s">
        <v>2075</v>
      </c>
      <c r="AK427" s="475" t="s">
        <v>50</v>
      </c>
      <c r="AL427" s="483" t="s">
        <v>2128</v>
      </c>
      <c r="AM427" s="474" t="s">
        <v>52</v>
      </c>
      <c r="AN427" s="384"/>
      <c r="AO427" s="474" t="s">
        <v>1076</v>
      </c>
      <c r="AP427" s="474"/>
      <c r="AQ427" s="482" t="s">
        <v>37</v>
      </c>
      <c r="AR427" s="474"/>
      <c r="AS427" s="473"/>
      <c r="AT427" s="346"/>
      <c r="AU427" s="478"/>
      <c r="AV427" s="471">
        <f t="shared" si="89"/>
        <v>0</v>
      </c>
      <c r="AW427" s="471" cm="1">
        <f t="array" ref="AW427">SUM(MID(0&amp;AV427,LARGE(INDEX(ISNUMBER(--MID(AV427,ROW($1:$8),1))*ROW($1:$8),),ROW($1:$8))+1,1)*10^ROW($1:$8)/10)</f>
        <v>0</v>
      </c>
      <c r="AX427" s="471" t="e">
        <f>VLOOKUP($AW427,'Item Master Data'!$A:$F,3,FALSE)</f>
        <v>#N/A</v>
      </c>
      <c r="AY427" s="471" t="e">
        <f>VLOOKUP($AW427,'Item Master Data'!$A:$F,6,FALSE)</f>
        <v>#N/A</v>
      </c>
      <c r="AZ427" s="471" t="e">
        <f t="shared" si="90"/>
        <v>#N/A</v>
      </c>
      <c r="BA427" s="471" t="e">
        <f>VLOOKUP(AW427,'Item Master Data'!$A:$G,7,FALSE)</f>
        <v>#N/A</v>
      </c>
      <c r="BB427" s="471"/>
      <c r="BC427" s="471" t="e">
        <f t="shared" si="91"/>
        <v>#N/A</v>
      </c>
    </row>
    <row r="428" spans="1:55">
      <c r="A428" s="495"/>
      <c r="B428" s="495"/>
      <c r="C428" s="407"/>
      <c r="D428" s="485" t="s">
        <v>86</v>
      </c>
      <c r="E428" s="383" t="s">
        <v>5473</v>
      </c>
      <c r="F428" s="474"/>
      <c r="G428" s="380">
        <v>2022</v>
      </c>
      <c r="H428" s="380">
        <v>8</v>
      </c>
      <c r="I428" s="474"/>
      <c r="J428" s="475"/>
      <c r="K428" s="474" t="s">
        <v>5477</v>
      </c>
      <c r="L428" s="474" t="s">
        <v>2079</v>
      </c>
      <c r="M428" s="475">
        <v>44662</v>
      </c>
      <c r="N428" s="475">
        <v>44774</v>
      </c>
      <c r="O428" s="475"/>
      <c r="P428" s="345"/>
      <c r="Q428" s="475"/>
      <c r="R428" s="475"/>
      <c r="S428" s="474" t="s">
        <v>88</v>
      </c>
      <c r="T428" s="474">
        <v>72</v>
      </c>
      <c r="U428" s="486"/>
      <c r="V428" s="486" t="s">
        <v>995</v>
      </c>
      <c r="W428" s="474">
        <v>480</v>
      </c>
      <c r="X428" s="432">
        <v>1914</v>
      </c>
      <c r="Y428" s="389">
        <f t="shared" si="92"/>
        <v>918720</v>
      </c>
      <c r="Z428" s="478">
        <f>268.8/480</f>
        <v>0.56000000000000005</v>
      </c>
      <c r="AA428" s="479">
        <f t="shared" si="93"/>
        <v>514483.20000000007</v>
      </c>
      <c r="AB428" s="480"/>
      <c r="AC428" s="481">
        <f>AB428*Y428</f>
        <v>0</v>
      </c>
      <c r="AD428" s="474"/>
      <c r="AE428" s="474"/>
      <c r="AF428" s="493">
        <f t="shared" si="94"/>
        <v>514483.20000000007</v>
      </c>
      <c r="AG428" s="474" t="s">
        <v>1071</v>
      </c>
      <c r="AH428" s="474"/>
      <c r="AI428" s="474">
        <v>60</v>
      </c>
      <c r="AJ428" s="475" t="s">
        <v>2075</v>
      </c>
      <c r="AK428" s="475" t="s">
        <v>50</v>
      </c>
      <c r="AL428" s="483" t="s">
        <v>2128</v>
      </c>
      <c r="AM428" s="474" t="s">
        <v>52</v>
      </c>
      <c r="AN428" s="384"/>
      <c r="AO428" s="474" t="s">
        <v>1076</v>
      </c>
      <c r="AP428" s="474"/>
      <c r="AQ428" s="482" t="s">
        <v>37</v>
      </c>
      <c r="AR428" s="474"/>
      <c r="AS428" s="473"/>
      <c r="AT428" s="346"/>
      <c r="AU428" s="478"/>
      <c r="AV428" s="471">
        <f t="shared" si="89"/>
        <v>0</v>
      </c>
      <c r="AW428" s="471" cm="1">
        <f t="array" ref="AW428">SUM(MID(0&amp;AV428,LARGE(INDEX(ISNUMBER(--MID(AV428,ROW($1:$8),1))*ROW($1:$8),),ROW($1:$8))+1,1)*10^ROW($1:$8)/10)</f>
        <v>0</v>
      </c>
      <c r="AX428" s="471" t="e">
        <f>VLOOKUP($AW428,'Item Master Data'!$A:$F,3,FALSE)</f>
        <v>#N/A</v>
      </c>
      <c r="AY428" s="471" t="e">
        <f>VLOOKUP($AW428,'Item Master Data'!$A:$F,6,FALSE)</f>
        <v>#N/A</v>
      </c>
      <c r="AZ428" s="471" t="e">
        <f t="shared" si="90"/>
        <v>#N/A</v>
      </c>
      <c r="BA428" s="471" t="e">
        <f>VLOOKUP(AW428,'Item Master Data'!$A:$G,7,FALSE)</f>
        <v>#N/A</v>
      </c>
      <c r="BB428" s="471"/>
      <c r="BC428" s="471" t="e">
        <f t="shared" si="91"/>
        <v>#N/A</v>
      </c>
    </row>
    <row r="429" spans="1:55">
      <c r="A429" s="495"/>
      <c r="B429" s="495"/>
      <c r="C429" s="495"/>
      <c r="D429" s="474" t="s">
        <v>86</v>
      </c>
      <c r="E429" s="474"/>
      <c r="F429" s="474"/>
      <c r="G429" s="380">
        <v>2022</v>
      </c>
      <c r="H429" s="380">
        <v>10</v>
      </c>
      <c r="I429" s="474"/>
      <c r="J429" s="475"/>
      <c r="K429" s="474" t="s">
        <v>1745</v>
      </c>
      <c r="L429" s="474" t="s">
        <v>1693</v>
      </c>
      <c r="M429" s="475">
        <v>44595</v>
      </c>
      <c r="N429" s="475">
        <v>44837</v>
      </c>
      <c r="O429" s="475"/>
      <c r="P429" s="475"/>
      <c r="Q429" s="475"/>
      <c r="R429" s="475"/>
      <c r="S429" s="474" t="s">
        <v>88</v>
      </c>
      <c r="T429" s="474">
        <v>60</v>
      </c>
      <c r="U429" s="474"/>
      <c r="V429" s="474" t="s">
        <v>986</v>
      </c>
      <c r="W429" s="474">
        <v>360</v>
      </c>
      <c r="X429" s="432">
        <v>1664</v>
      </c>
      <c r="Y429" s="389">
        <f t="shared" si="92"/>
        <v>599040</v>
      </c>
      <c r="Z429" s="478">
        <f>190.8/360</f>
        <v>0.53</v>
      </c>
      <c r="AA429" s="479">
        <f t="shared" si="93"/>
        <v>317491.20000000001</v>
      </c>
      <c r="AB429" s="480"/>
      <c r="AC429" s="481">
        <v>0</v>
      </c>
      <c r="AD429" s="490"/>
      <c r="AE429" s="482"/>
      <c r="AF429" s="493">
        <f t="shared" si="94"/>
        <v>317491.20000000001</v>
      </c>
      <c r="AG429" s="474" t="s">
        <v>1071</v>
      </c>
      <c r="AH429" s="474"/>
      <c r="AI429" s="474">
        <v>60</v>
      </c>
      <c r="AJ429" s="474" t="s">
        <v>1694</v>
      </c>
      <c r="AK429" s="474" t="s">
        <v>1144</v>
      </c>
      <c r="AL429" s="474">
        <v>92806</v>
      </c>
      <c r="AM429" s="474" t="s">
        <v>52</v>
      </c>
      <c r="AN429" s="474"/>
      <c r="AO429" s="474" t="s">
        <v>1076</v>
      </c>
      <c r="AP429" s="482" t="s">
        <v>92</v>
      </c>
      <c r="AQ429" s="482" t="s">
        <v>37</v>
      </c>
      <c r="AR429" s="482" t="s">
        <v>1216</v>
      </c>
      <c r="AS429" s="473" t="s">
        <v>1492</v>
      </c>
      <c r="AT429" s="346"/>
      <c r="AU429" s="478">
        <f>180/360</f>
        <v>0.5</v>
      </c>
      <c r="AV429" s="471">
        <f t="shared" si="89"/>
        <v>0</v>
      </c>
      <c r="AW429" s="471" cm="1">
        <f t="array" ref="AW429">SUM(MID(0&amp;AV429,LARGE(INDEX(ISNUMBER(--MID(AV429,ROW($1:$8),1))*ROW($1:$8),),ROW($1:$8))+1,1)*10^ROW($1:$8)/10)</f>
        <v>0</v>
      </c>
      <c r="AX429" s="471" t="e">
        <f>VLOOKUP($AW429,'Item Master Data'!$A:$F,3,FALSE)</f>
        <v>#N/A</v>
      </c>
      <c r="AY429" s="471" t="e">
        <f>VLOOKUP($AW429,'Item Master Data'!$A:$F,6,FALSE)</f>
        <v>#N/A</v>
      </c>
      <c r="AZ429" s="471" t="e">
        <f t="shared" si="90"/>
        <v>#N/A</v>
      </c>
      <c r="BA429" s="471" t="e">
        <f>VLOOKUP(AW429,'Item Master Data'!$A:$G,7,FALSE)</f>
        <v>#N/A</v>
      </c>
      <c r="BB429" s="471"/>
      <c r="BC429" s="471" t="e">
        <f t="shared" si="91"/>
        <v>#N/A</v>
      </c>
    </row>
    <row r="430" spans="1:55">
      <c r="A430" s="495"/>
      <c r="B430" s="495"/>
      <c r="C430" s="495"/>
      <c r="D430" s="474" t="s">
        <v>86</v>
      </c>
      <c r="E430" s="474"/>
      <c r="F430" s="474"/>
      <c r="G430" s="380">
        <v>2022</v>
      </c>
      <c r="H430" s="380">
        <v>10</v>
      </c>
      <c r="I430" s="474"/>
      <c r="J430" s="475"/>
      <c r="K430" s="474" t="s">
        <v>1745</v>
      </c>
      <c r="L430" s="474" t="s">
        <v>1693</v>
      </c>
      <c r="M430" s="475">
        <v>44595</v>
      </c>
      <c r="N430" s="475">
        <v>44837</v>
      </c>
      <c r="O430" s="475"/>
      <c r="P430" s="475"/>
      <c r="Q430" s="475"/>
      <c r="R430" s="475"/>
      <c r="S430" s="474" t="s">
        <v>88</v>
      </c>
      <c r="T430" s="474">
        <v>60</v>
      </c>
      <c r="U430" s="474"/>
      <c r="V430" s="474" t="s">
        <v>973</v>
      </c>
      <c r="W430" s="474">
        <v>400</v>
      </c>
      <c r="X430" s="432">
        <v>1536</v>
      </c>
      <c r="Y430" s="389">
        <f t="shared" si="92"/>
        <v>614400</v>
      </c>
      <c r="Z430" s="478">
        <f>220/400</f>
        <v>0.55000000000000004</v>
      </c>
      <c r="AA430" s="479">
        <f t="shared" si="93"/>
        <v>337920</v>
      </c>
      <c r="AB430" s="480"/>
      <c r="AC430" s="481">
        <v>0</v>
      </c>
      <c r="AD430" s="490"/>
      <c r="AE430" s="482"/>
      <c r="AF430" s="493">
        <f t="shared" si="94"/>
        <v>337920</v>
      </c>
      <c r="AG430" s="474" t="s">
        <v>1071</v>
      </c>
      <c r="AH430" s="474"/>
      <c r="AI430" s="474">
        <v>60</v>
      </c>
      <c r="AJ430" s="474" t="s">
        <v>1694</v>
      </c>
      <c r="AK430" s="474" t="s">
        <v>1144</v>
      </c>
      <c r="AL430" s="474">
        <v>92806</v>
      </c>
      <c r="AM430" s="474" t="s">
        <v>52</v>
      </c>
      <c r="AN430" s="474"/>
      <c r="AO430" s="474" t="s">
        <v>1076</v>
      </c>
      <c r="AP430" s="482" t="s">
        <v>92</v>
      </c>
      <c r="AQ430" s="482" t="s">
        <v>37</v>
      </c>
      <c r="AR430" s="482" t="s">
        <v>1216</v>
      </c>
      <c r="AS430" s="473" t="s">
        <v>1492</v>
      </c>
      <c r="AT430" s="346"/>
      <c r="AU430" s="478">
        <f>180/360</f>
        <v>0.5</v>
      </c>
      <c r="AV430" s="471">
        <f t="shared" si="89"/>
        <v>0</v>
      </c>
      <c r="AW430" s="471" cm="1">
        <f t="array" ref="AW430">SUM(MID(0&amp;AV430,LARGE(INDEX(ISNUMBER(--MID(AV430,ROW($1:$8),1))*ROW($1:$8),),ROW($1:$8))+1,1)*10^ROW($1:$8)/10)</f>
        <v>0</v>
      </c>
      <c r="AX430" s="471" t="e">
        <f>VLOOKUP($AW430,'Item Master Data'!$A:$F,3,FALSE)</f>
        <v>#N/A</v>
      </c>
      <c r="AY430" s="471" t="e">
        <f>VLOOKUP($AW430,'Item Master Data'!$A:$F,6,FALSE)</f>
        <v>#N/A</v>
      </c>
      <c r="AZ430" s="471" t="e">
        <f t="shared" si="90"/>
        <v>#N/A</v>
      </c>
      <c r="BA430" s="471" t="e">
        <f>VLOOKUP(AW430,'Item Master Data'!$A:$G,7,FALSE)</f>
        <v>#N/A</v>
      </c>
      <c r="BB430" s="471"/>
      <c r="BC430" s="471" t="e">
        <f t="shared" si="91"/>
        <v>#N/A</v>
      </c>
    </row>
    <row r="431" spans="1:55">
      <c r="A431" s="495"/>
      <c r="B431" s="495"/>
      <c r="C431" s="495"/>
      <c r="D431" s="474" t="s">
        <v>86</v>
      </c>
      <c r="E431" s="474"/>
      <c r="F431" s="474"/>
      <c r="G431" s="380">
        <v>2022</v>
      </c>
      <c r="H431" s="474">
        <v>10</v>
      </c>
      <c r="I431" s="474"/>
      <c r="J431" s="475"/>
      <c r="K431" s="474" t="s">
        <v>1744</v>
      </c>
      <c r="L431" s="474" t="s">
        <v>1693</v>
      </c>
      <c r="M431" s="475">
        <v>44595</v>
      </c>
      <c r="N431" s="475">
        <v>44809</v>
      </c>
      <c r="O431" s="475">
        <v>44839</v>
      </c>
      <c r="P431" s="475"/>
      <c r="Q431" s="475"/>
      <c r="R431" s="475"/>
      <c r="S431" s="474" t="s">
        <v>88</v>
      </c>
      <c r="T431" s="474">
        <v>60</v>
      </c>
      <c r="U431" s="474"/>
      <c r="V431" s="474" t="s">
        <v>1223</v>
      </c>
      <c r="W431" s="474">
        <v>360</v>
      </c>
      <c r="X431" s="432">
        <v>832</v>
      </c>
      <c r="Y431" s="389">
        <f t="shared" si="92"/>
        <v>299520</v>
      </c>
      <c r="Z431" s="478">
        <f>298.8/360</f>
        <v>0.83000000000000007</v>
      </c>
      <c r="AA431" s="479">
        <f t="shared" si="93"/>
        <v>248601.60000000003</v>
      </c>
      <c r="AB431" s="480"/>
      <c r="AC431" s="481">
        <v>0</v>
      </c>
      <c r="AD431" s="490"/>
      <c r="AE431" s="482"/>
      <c r="AF431" s="493">
        <f t="shared" si="94"/>
        <v>248601.60000000003</v>
      </c>
      <c r="AG431" s="474" t="s">
        <v>1071</v>
      </c>
      <c r="AH431" s="474"/>
      <c r="AI431" s="474">
        <v>60</v>
      </c>
      <c r="AJ431" s="474" t="s">
        <v>1694</v>
      </c>
      <c r="AK431" s="474" t="s">
        <v>1144</v>
      </c>
      <c r="AL431" s="474">
        <v>92806</v>
      </c>
      <c r="AM431" s="474" t="s">
        <v>52</v>
      </c>
      <c r="AN431" s="474"/>
      <c r="AO431" s="474" t="s">
        <v>1076</v>
      </c>
      <c r="AP431" s="482" t="s">
        <v>92</v>
      </c>
      <c r="AQ431" s="482" t="s">
        <v>37</v>
      </c>
      <c r="AR431" s="482" t="s">
        <v>1216</v>
      </c>
      <c r="AS431" s="473" t="s">
        <v>1492</v>
      </c>
      <c r="AT431" s="346"/>
      <c r="AU431" s="478">
        <f>180/360</f>
        <v>0.5</v>
      </c>
      <c r="AV431" s="471">
        <f t="shared" si="89"/>
        <v>0</v>
      </c>
      <c r="AW431" s="471" cm="1">
        <f t="array" ref="AW431">SUM(MID(0&amp;AV431,LARGE(INDEX(ISNUMBER(--MID(AV431,ROW($1:$8),1))*ROW($1:$8),),ROW($1:$8))+1,1)*10^ROW($1:$8)/10)</f>
        <v>0</v>
      </c>
      <c r="AX431" s="471" t="e">
        <f>VLOOKUP($AW431,'Item Master Data'!$A:$F,3,FALSE)</f>
        <v>#N/A</v>
      </c>
      <c r="AY431" s="471" t="e">
        <f>VLOOKUP($AW431,'Item Master Data'!$A:$F,6,FALSE)</f>
        <v>#N/A</v>
      </c>
      <c r="AZ431" s="471" t="e">
        <f t="shared" si="90"/>
        <v>#N/A</v>
      </c>
      <c r="BA431" s="471" t="e">
        <f>VLOOKUP(AW431,'Item Master Data'!$A:$G,7,FALSE)</f>
        <v>#N/A</v>
      </c>
      <c r="BB431" s="471"/>
      <c r="BC431" s="471" t="e">
        <f t="shared" si="91"/>
        <v>#N/A</v>
      </c>
    </row>
    <row r="432" spans="1:55">
      <c r="A432" s="495"/>
      <c r="B432" s="407"/>
      <c r="C432" s="407"/>
      <c r="D432" s="485" t="s">
        <v>86</v>
      </c>
      <c r="E432" s="474" t="s">
        <v>5469</v>
      </c>
      <c r="F432" s="486"/>
      <c r="G432" s="380">
        <v>2022</v>
      </c>
      <c r="H432" s="380">
        <v>9</v>
      </c>
      <c r="I432" s="474"/>
      <c r="J432" s="475"/>
      <c r="K432" s="474">
        <v>1203</v>
      </c>
      <c r="L432" s="474" t="s">
        <v>1754</v>
      </c>
      <c r="M432" s="475">
        <v>44585</v>
      </c>
      <c r="N432" s="475">
        <v>44805</v>
      </c>
      <c r="O432" s="475"/>
      <c r="P432" s="475"/>
      <c r="Q432" s="475"/>
      <c r="R432" s="475"/>
      <c r="S432" s="474" t="s">
        <v>1688</v>
      </c>
      <c r="T432" s="474">
        <v>72</v>
      </c>
      <c r="U432" s="486"/>
      <c r="V432" s="474" t="s">
        <v>1002</v>
      </c>
      <c r="W432" s="474">
        <v>480</v>
      </c>
      <c r="X432" s="432">
        <v>1914</v>
      </c>
      <c r="Y432" s="389">
        <f t="shared" si="92"/>
        <v>918720</v>
      </c>
      <c r="Z432" s="478">
        <f>237.6/480</f>
        <v>0.495</v>
      </c>
      <c r="AA432" s="480">
        <f t="shared" si="93"/>
        <v>454766.4</v>
      </c>
      <c r="AB432" s="480"/>
      <c r="AC432" s="481">
        <f>AB432*Y432</f>
        <v>0</v>
      </c>
      <c r="AD432" s="474"/>
      <c r="AE432" s="474"/>
      <c r="AF432" s="493">
        <f t="shared" si="94"/>
        <v>454766.4</v>
      </c>
      <c r="AG432" s="474" t="s">
        <v>1071</v>
      </c>
      <c r="AH432" s="474">
        <v>100</v>
      </c>
      <c r="AI432" s="474">
        <v>0</v>
      </c>
      <c r="AJ432" s="475" t="s">
        <v>1756</v>
      </c>
      <c r="AK432" s="475" t="s">
        <v>50</v>
      </c>
      <c r="AL432" s="483">
        <v>92010</v>
      </c>
      <c r="AM432" s="474" t="s">
        <v>52</v>
      </c>
      <c r="AN432" s="384"/>
      <c r="AO432" s="474" t="s">
        <v>1076</v>
      </c>
      <c r="AP432" s="482"/>
      <c r="AQ432" s="474" t="s">
        <v>37</v>
      </c>
      <c r="AR432" s="474"/>
      <c r="AS432" s="473"/>
      <c r="AT432" s="346"/>
      <c r="AU432" s="478"/>
      <c r="AV432" s="471">
        <f t="shared" si="89"/>
        <v>0</v>
      </c>
      <c r="AW432" s="471" cm="1">
        <f t="array" ref="AW432">SUM(MID(0&amp;AV432,LARGE(INDEX(ISNUMBER(--MID(AV432,ROW($1:$8),1))*ROW($1:$8),),ROW($1:$8))+1,1)*10^ROW($1:$8)/10)</f>
        <v>0</v>
      </c>
      <c r="AX432" s="471" t="e">
        <f>VLOOKUP($AW432,'Item Master Data'!$A:$F,3,FALSE)</f>
        <v>#N/A</v>
      </c>
      <c r="AY432" s="471" t="e">
        <f>VLOOKUP($AW432,'Item Master Data'!$A:$F,6,FALSE)</f>
        <v>#N/A</v>
      </c>
      <c r="AZ432" s="471" t="e">
        <f t="shared" si="90"/>
        <v>#N/A</v>
      </c>
      <c r="BA432" s="471" t="e">
        <f>VLOOKUP(AW432,'Item Master Data'!$A:$G,7,FALSE)</f>
        <v>#N/A</v>
      </c>
      <c r="BB432" s="471"/>
      <c r="BC432" s="471" t="e">
        <f t="shared" si="91"/>
        <v>#N/A</v>
      </c>
    </row>
    <row r="433" spans="1:55">
      <c r="A433" s="495"/>
      <c r="B433" s="407">
        <v>44628</v>
      </c>
      <c r="C433" s="407">
        <v>44628</v>
      </c>
      <c r="D433" s="485" t="s">
        <v>86</v>
      </c>
      <c r="E433" s="474"/>
      <c r="F433" s="486"/>
      <c r="G433" s="380">
        <v>2022</v>
      </c>
      <c r="H433" s="380">
        <v>10</v>
      </c>
      <c r="I433" s="474"/>
      <c r="J433" s="475"/>
      <c r="K433" s="474" t="s">
        <v>1807</v>
      </c>
      <c r="L433" s="474" t="s">
        <v>1798</v>
      </c>
      <c r="M433" s="475">
        <v>44568</v>
      </c>
      <c r="N433" s="475">
        <v>44835</v>
      </c>
      <c r="O433" s="475"/>
      <c r="P433" s="475"/>
      <c r="Q433" s="475"/>
      <c r="R433" s="475"/>
      <c r="S433" s="474" t="s">
        <v>1688</v>
      </c>
      <c r="T433" s="474">
        <v>60</v>
      </c>
      <c r="U433" s="486">
        <v>49401139</v>
      </c>
      <c r="V433" s="474" t="s">
        <v>1223</v>
      </c>
      <c r="W433" s="474">
        <v>360</v>
      </c>
      <c r="X433" s="432">
        <v>676</v>
      </c>
      <c r="Y433" s="389">
        <f t="shared" si="92"/>
        <v>243360</v>
      </c>
      <c r="Z433" s="478">
        <f>298.8/360</f>
        <v>0.83000000000000007</v>
      </c>
      <c r="AA433" s="480">
        <f t="shared" si="93"/>
        <v>201988.80000000002</v>
      </c>
      <c r="AB433" s="480"/>
      <c r="AC433" s="481">
        <v>0</v>
      </c>
      <c r="AD433" s="474"/>
      <c r="AE433" s="474"/>
      <c r="AF433" s="493">
        <f t="shared" si="94"/>
        <v>201988.80000000002</v>
      </c>
      <c r="AG433" s="474" t="s">
        <v>1071</v>
      </c>
      <c r="AH433" s="474"/>
      <c r="AI433" s="474">
        <v>60</v>
      </c>
      <c r="AJ433" s="475" t="s">
        <v>1799</v>
      </c>
      <c r="AK433" s="475" t="s">
        <v>50</v>
      </c>
      <c r="AL433" s="483">
        <v>91311</v>
      </c>
      <c r="AM433" s="474" t="s">
        <v>52</v>
      </c>
      <c r="AN433" s="384" t="s">
        <v>1074</v>
      </c>
      <c r="AO433" s="474" t="s">
        <v>1076</v>
      </c>
      <c r="AP433" s="482"/>
      <c r="AQ433" s="474" t="s">
        <v>37</v>
      </c>
      <c r="AR433" s="474"/>
      <c r="AS433" s="473"/>
      <c r="AT433" s="346"/>
      <c r="AU433" s="478">
        <v>0.72</v>
      </c>
      <c r="AV433" s="471">
        <f t="shared" si="89"/>
        <v>49401139</v>
      </c>
      <c r="AW433" s="471" cm="1">
        <f t="array" ref="AW433">SUM(MID(0&amp;AV433,LARGE(INDEX(ISNUMBER(--MID(AV433,ROW($1:$8),1))*ROW($1:$8),),ROW($1:$8))+1,1)*10^ROW($1:$8)/10)</f>
        <v>49401139</v>
      </c>
      <c r="AX433" s="471" t="str">
        <f>VLOOKUP($AW433,'Item Master Data'!$A:$F,3,FALSE)</f>
        <v>Q.PEAK DUO BLK ML G10.a+</v>
      </c>
      <c r="AY433" s="471">
        <f>VLOOKUP($AW433,'Item Master Data'!$A:$F,6,FALSE)</f>
        <v>395</v>
      </c>
      <c r="AZ433" s="471">
        <f t="shared" si="90"/>
        <v>21.125</v>
      </c>
      <c r="BA433" s="471">
        <f>VLOOKUP(AW433,'Item Master Data'!$A:$G,7,FALSE)</f>
        <v>32</v>
      </c>
      <c r="BB433" s="471"/>
      <c r="BC433" s="471">
        <f t="shared" si="91"/>
        <v>-35</v>
      </c>
    </row>
    <row r="434" spans="1:55">
      <c r="A434" s="495"/>
      <c r="B434" s="407">
        <v>44589</v>
      </c>
      <c r="C434" s="407">
        <v>44589</v>
      </c>
      <c r="D434" s="485" t="s">
        <v>86</v>
      </c>
      <c r="E434" s="474"/>
      <c r="F434" s="486" t="s">
        <v>87</v>
      </c>
      <c r="G434" s="380">
        <v>2022</v>
      </c>
      <c r="H434" s="474">
        <v>10</v>
      </c>
      <c r="I434" s="474"/>
      <c r="J434" s="475"/>
      <c r="K434" s="474" t="s">
        <v>1939</v>
      </c>
      <c r="L434" s="474" t="s">
        <v>1842</v>
      </c>
      <c r="M434" s="475">
        <v>44924</v>
      </c>
      <c r="N434" s="475">
        <v>44863</v>
      </c>
      <c r="O434" s="475"/>
      <c r="P434" s="475"/>
      <c r="Q434" s="475"/>
      <c r="R434" s="475"/>
      <c r="S434" s="474" t="s">
        <v>88</v>
      </c>
      <c r="T434" s="474">
        <v>72</v>
      </c>
      <c r="U434" s="486">
        <v>49303156</v>
      </c>
      <c r="V434" s="474" t="s">
        <v>1070</v>
      </c>
      <c r="W434" s="474">
        <v>480</v>
      </c>
      <c r="X434" s="432">
        <v>1276</v>
      </c>
      <c r="Y434" s="389">
        <f t="shared" si="92"/>
        <v>612480</v>
      </c>
      <c r="Z434" s="478">
        <f>225.6/480</f>
        <v>0.47</v>
      </c>
      <c r="AA434" s="480">
        <f t="shared" si="93"/>
        <v>287865.59999999998</v>
      </c>
      <c r="AB434" s="480"/>
      <c r="AC434" s="481">
        <v>0</v>
      </c>
      <c r="AD434" s="474"/>
      <c r="AE434" s="474"/>
      <c r="AF434" s="493">
        <f t="shared" si="94"/>
        <v>287865.59999999998</v>
      </c>
      <c r="AG434" s="474" t="s">
        <v>1071</v>
      </c>
      <c r="AH434" s="474"/>
      <c r="AI434" s="474">
        <v>60</v>
      </c>
      <c r="AJ434" s="475" t="s">
        <v>1860</v>
      </c>
      <c r="AK434" s="475" t="s">
        <v>50</v>
      </c>
      <c r="AL434" s="483">
        <v>93703</v>
      </c>
      <c r="AM434" s="474" t="s">
        <v>52</v>
      </c>
      <c r="AN434" s="384" t="s">
        <v>1695</v>
      </c>
      <c r="AO434" s="474" t="s">
        <v>1076</v>
      </c>
      <c r="AP434" s="482"/>
      <c r="AQ434" s="474" t="s">
        <v>1086</v>
      </c>
      <c r="AR434" s="474"/>
      <c r="AS434" s="473" t="s">
        <v>1492</v>
      </c>
      <c r="AT434" s="346"/>
      <c r="AU434" s="478"/>
      <c r="AV434" s="471">
        <f t="shared" si="89"/>
        <v>49303156</v>
      </c>
      <c r="AW434" s="471" cm="1">
        <f t="array" ref="AW434">SUM(MID(0&amp;AV434,LARGE(INDEX(ISNUMBER(--MID(AV434,ROW($1:$8),1))*ROW($1:$8),),ROW($1:$8))+1,1)*10^ROW($1:$8)/10)</f>
        <v>49303156</v>
      </c>
      <c r="AX434" s="471" t="str">
        <f>VLOOKUP($AW434,'Item Master Data'!$A:$F,3,FALSE)</f>
        <v>Q.PEAK DUO XL G10 BFG</v>
      </c>
      <c r="AY434" s="471">
        <f>VLOOKUP($AW434,'Item Master Data'!$A:$F,6,FALSE)</f>
        <v>480</v>
      </c>
      <c r="AZ434" s="471">
        <f t="shared" si="90"/>
        <v>44</v>
      </c>
      <c r="BA434" s="471">
        <f>VLOOKUP(AW434,'Item Master Data'!$A:$G,7,FALSE)</f>
        <v>29</v>
      </c>
      <c r="BB434" s="471"/>
      <c r="BC434" s="471">
        <f t="shared" si="91"/>
        <v>0</v>
      </c>
    </row>
    <row r="435" spans="1:55">
      <c r="A435" s="495"/>
      <c r="B435" s="407">
        <v>44617</v>
      </c>
      <c r="C435" s="407">
        <v>44616</v>
      </c>
      <c r="D435" s="485" t="s">
        <v>86</v>
      </c>
      <c r="E435" s="474"/>
      <c r="F435" s="486"/>
      <c r="G435" s="380">
        <v>2022</v>
      </c>
      <c r="H435" s="474">
        <v>10</v>
      </c>
      <c r="I435" s="474"/>
      <c r="J435" s="475"/>
      <c r="K435" s="474" t="s">
        <v>2138</v>
      </c>
      <c r="L435" s="474" t="s">
        <v>1956</v>
      </c>
      <c r="M435" s="475">
        <v>44589</v>
      </c>
      <c r="N435" s="475">
        <v>44837</v>
      </c>
      <c r="O435" s="475"/>
      <c r="P435" s="475"/>
      <c r="Q435" s="475"/>
      <c r="R435" s="475"/>
      <c r="S435" s="474" t="s">
        <v>1704</v>
      </c>
      <c r="T435" s="474">
        <v>60</v>
      </c>
      <c r="U435" s="486"/>
      <c r="V435" s="474" t="s">
        <v>986</v>
      </c>
      <c r="W435" s="474">
        <v>360</v>
      </c>
      <c r="X435" s="432">
        <v>4992</v>
      </c>
      <c r="Y435" s="389">
        <f t="shared" si="92"/>
        <v>1797120</v>
      </c>
      <c r="Z435" s="478">
        <f>190.8/360</f>
        <v>0.53</v>
      </c>
      <c r="AA435" s="480">
        <f t="shared" si="93"/>
        <v>952473.60000000009</v>
      </c>
      <c r="AB435" s="480"/>
      <c r="AC435" s="481">
        <f>AB435*Y435</f>
        <v>0</v>
      </c>
      <c r="AD435" s="474"/>
      <c r="AE435" s="474"/>
      <c r="AF435" s="493">
        <f t="shared" si="94"/>
        <v>952473.60000000009</v>
      </c>
      <c r="AG435" s="474" t="s">
        <v>1071</v>
      </c>
      <c r="AH435" s="474"/>
      <c r="AI435" s="474">
        <v>60</v>
      </c>
      <c r="AJ435" s="475" t="s">
        <v>1790</v>
      </c>
      <c r="AK435" s="475" t="s">
        <v>50</v>
      </c>
      <c r="AL435" s="483">
        <v>95834</v>
      </c>
      <c r="AM435" s="474" t="s">
        <v>52</v>
      </c>
      <c r="AN435" s="384" t="s">
        <v>1074</v>
      </c>
      <c r="AO435" s="474" t="s">
        <v>1076</v>
      </c>
      <c r="AP435" s="482"/>
      <c r="AQ435" s="474" t="s">
        <v>37</v>
      </c>
      <c r="AR435" s="474"/>
      <c r="AS435" s="473"/>
      <c r="AT435" s="346"/>
      <c r="AU435" s="478">
        <f>180/360</f>
        <v>0.5</v>
      </c>
      <c r="AV435" s="471">
        <f t="shared" si="89"/>
        <v>0</v>
      </c>
      <c r="AW435" s="471" cm="1">
        <f t="array" ref="AW435">SUM(MID(0&amp;AV435,LARGE(INDEX(ISNUMBER(--MID(AV435,ROW($1:$8),1))*ROW($1:$8),),ROW($1:$8))+1,1)*10^ROW($1:$8)/10)</f>
        <v>0</v>
      </c>
      <c r="AX435" s="471" t="e">
        <f>VLOOKUP($AW435,'Item Master Data'!$A:$F,3,FALSE)</f>
        <v>#N/A</v>
      </c>
      <c r="AY435" s="471" t="e">
        <f>VLOOKUP($AW435,'Item Master Data'!$A:$F,6,FALSE)</f>
        <v>#N/A</v>
      </c>
      <c r="AZ435" s="471" t="e">
        <f t="shared" si="90"/>
        <v>#N/A</v>
      </c>
      <c r="BA435" s="471" t="e">
        <f>VLOOKUP(AW435,'Item Master Data'!$A:$G,7,FALSE)</f>
        <v>#N/A</v>
      </c>
      <c r="BB435" s="471"/>
      <c r="BC435" s="471" t="e">
        <f t="shared" si="91"/>
        <v>#N/A</v>
      </c>
    </row>
    <row r="436" spans="1:55">
      <c r="A436" s="495"/>
      <c r="B436" s="407">
        <v>44617</v>
      </c>
      <c r="C436" s="407">
        <v>44616</v>
      </c>
      <c r="D436" s="485" t="s">
        <v>86</v>
      </c>
      <c r="E436" s="474"/>
      <c r="F436" s="486"/>
      <c r="G436" s="380">
        <v>2022</v>
      </c>
      <c r="H436" s="474">
        <v>10</v>
      </c>
      <c r="I436" s="474"/>
      <c r="J436" s="475"/>
      <c r="K436" s="474" t="s">
        <v>2138</v>
      </c>
      <c r="L436" s="474" t="s">
        <v>1956</v>
      </c>
      <c r="M436" s="475">
        <v>44589</v>
      </c>
      <c r="N436" s="475">
        <v>44837</v>
      </c>
      <c r="O436" s="475"/>
      <c r="P436" s="475"/>
      <c r="Q436" s="475"/>
      <c r="R436" s="475"/>
      <c r="S436" s="474" t="s">
        <v>1704</v>
      </c>
      <c r="T436" s="474">
        <v>60</v>
      </c>
      <c r="U436" s="486"/>
      <c r="V436" s="474" t="s">
        <v>973</v>
      </c>
      <c r="W436" s="474">
        <v>400</v>
      </c>
      <c r="X436" s="432">
        <v>6144</v>
      </c>
      <c r="Y436" s="389">
        <f t="shared" si="92"/>
        <v>2457600</v>
      </c>
      <c r="Z436" s="478">
        <f>220/400</f>
        <v>0.55000000000000004</v>
      </c>
      <c r="AA436" s="480">
        <f t="shared" si="93"/>
        <v>1351680</v>
      </c>
      <c r="AB436" s="480"/>
      <c r="AC436" s="481">
        <f>AB436*Y436</f>
        <v>0</v>
      </c>
      <c r="AD436" s="474"/>
      <c r="AE436" s="474"/>
      <c r="AF436" s="493">
        <f t="shared" si="94"/>
        <v>1351680</v>
      </c>
      <c r="AG436" s="474" t="s">
        <v>1071</v>
      </c>
      <c r="AH436" s="474"/>
      <c r="AI436" s="474">
        <v>60</v>
      </c>
      <c r="AJ436" s="475" t="s">
        <v>1790</v>
      </c>
      <c r="AK436" s="475" t="s">
        <v>50</v>
      </c>
      <c r="AL436" s="483">
        <v>95834</v>
      </c>
      <c r="AM436" s="474" t="s">
        <v>52</v>
      </c>
      <c r="AN436" s="384" t="s">
        <v>1074</v>
      </c>
      <c r="AO436" s="474" t="s">
        <v>1076</v>
      </c>
      <c r="AP436" s="482"/>
      <c r="AQ436" s="474" t="s">
        <v>37</v>
      </c>
      <c r="AR436" s="474"/>
      <c r="AS436" s="473"/>
      <c r="AT436" s="346"/>
      <c r="AU436" s="478">
        <f>180/360</f>
        <v>0.5</v>
      </c>
      <c r="AV436" s="471">
        <f t="shared" si="89"/>
        <v>0</v>
      </c>
      <c r="AW436" s="471" cm="1">
        <f t="array" ref="AW436">SUM(MID(0&amp;AV436,LARGE(INDEX(ISNUMBER(--MID(AV436,ROW($1:$8),1))*ROW($1:$8),),ROW($1:$8))+1,1)*10^ROW($1:$8)/10)</f>
        <v>0</v>
      </c>
      <c r="AX436" s="471" t="e">
        <f>VLOOKUP($AW436,'Item Master Data'!$A:$F,3,FALSE)</f>
        <v>#N/A</v>
      </c>
      <c r="AY436" s="471" t="e">
        <f>VLOOKUP($AW436,'Item Master Data'!$A:$F,6,FALSE)</f>
        <v>#N/A</v>
      </c>
      <c r="AZ436" s="471" t="e">
        <f t="shared" si="90"/>
        <v>#N/A</v>
      </c>
      <c r="BA436" s="471" t="e">
        <f>VLOOKUP(AW436,'Item Master Data'!$A:$G,7,FALSE)</f>
        <v>#N/A</v>
      </c>
      <c r="BB436" s="471"/>
      <c r="BC436" s="471" t="e">
        <f t="shared" si="91"/>
        <v>#N/A</v>
      </c>
    </row>
    <row r="437" spans="1:55">
      <c r="A437" s="495"/>
      <c r="B437" s="407"/>
      <c r="C437" s="407"/>
      <c r="D437" s="485" t="s">
        <v>86</v>
      </c>
      <c r="E437" s="474" t="s">
        <v>5472</v>
      </c>
      <c r="F437" s="486"/>
      <c r="G437" s="380">
        <v>2022</v>
      </c>
      <c r="H437" s="474">
        <v>10</v>
      </c>
      <c r="I437" s="474"/>
      <c r="J437" s="475"/>
      <c r="K437" s="474" t="s">
        <v>1731</v>
      </c>
      <c r="L437" s="474" t="s">
        <v>1693</v>
      </c>
      <c r="M437" s="475">
        <v>44617</v>
      </c>
      <c r="N437" s="475">
        <v>44857</v>
      </c>
      <c r="O437" s="475"/>
      <c r="P437" s="475"/>
      <c r="Q437" s="475"/>
      <c r="R437" s="475"/>
      <c r="S437" s="474" t="s">
        <v>88</v>
      </c>
      <c r="T437" s="474">
        <v>72</v>
      </c>
      <c r="U437" s="486"/>
      <c r="V437" s="474" t="s">
        <v>1110</v>
      </c>
      <c r="W437" s="474">
        <v>485</v>
      </c>
      <c r="X437" s="432">
        <v>638</v>
      </c>
      <c r="Y437" s="389">
        <f t="shared" si="92"/>
        <v>309430</v>
      </c>
      <c r="Z437" s="478">
        <f>244.93/485</f>
        <v>0.50501030927835056</v>
      </c>
      <c r="AA437" s="480">
        <f t="shared" si="93"/>
        <v>156265.34000000003</v>
      </c>
      <c r="AB437" s="480"/>
      <c r="AC437" s="481">
        <v>0</v>
      </c>
      <c r="AD437" s="474"/>
      <c r="AE437" s="474"/>
      <c r="AF437" s="493">
        <f t="shared" si="94"/>
        <v>156265.34000000003</v>
      </c>
      <c r="AG437" s="474" t="s">
        <v>1071</v>
      </c>
      <c r="AH437" s="474"/>
      <c r="AI437" s="474">
        <v>60</v>
      </c>
      <c r="AJ437" s="475" t="s">
        <v>1694</v>
      </c>
      <c r="AK437" s="475" t="s">
        <v>50</v>
      </c>
      <c r="AL437" s="483" t="s">
        <v>1725</v>
      </c>
      <c r="AM437" s="474" t="s">
        <v>52</v>
      </c>
      <c r="AN437" s="384" t="s">
        <v>50</v>
      </c>
      <c r="AO437" s="474" t="s">
        <v>1076</v>
      </c>
      <c r="AP437" s="482" t="s">
        <v>38</v>
      </c>
      <c r="AQ437" s="474" t="s">
        <v>37</v>
      </c>
      <c r="AR437" s="474"/>
      <c r="AS437" s="473" t="s">
        <v>1075</v>
      </c>
      <c r="AT437" s="346"/>
      <c r="AU437" s="478">
        <v>0.52</v>
      </c>
      <c r="AV437" s="471">
        <f t="shared" si="89"/>
        <v>0</v>
      </c>
      <c r="AW437" s="471" cm="1">
        <f t="array" ref="AW437">SUM(MID(0&amp;AV437,LARGE(INDEX(ISNUMBER(--MID(AV437,ROW($1:$8),1))*ROW($1:$8),),ROW($1:$8))+1,1)*10^ROW($1:$8)/10)</f>
        <v>0</v>
      </c>
      <c r="AX437" s="471" t="e">
        <f>VLOOKUP($AW437,'Item Master Data'!$A:$F,3,FALSE)</f>
        <v>#N/A</v>
      </c>
      <c r="AY437" s="471" t="e">
        <f>VLOOKUP($AW437,'Item Master Data'!$A:$F,6,FALSE)</f>
        <v>#N/A</v>
      </c>
      <c r="AZ437" s="471" t="e">
        <f t="shared" si="90"/>
        <v>#N/A</v>
      </c>
      <c r="BA437" s="471" t="e">
        <f>VLOOKUP(AW437,'Item Master Data'!$A:$G,7,FALSE)</f>
        <v>#N/A</v>
      </c>
      <c r="BB437" s="471"/>
      <c r="BC437" s="471" t="e">
        <f t="shared" si="91"/>
        <v>#N/A</v>
      </c>
    </row>
    <row r="438" spans="1:55">
      <c r="A438" s="495"/>
      <c r="B438" s="407">
        <v>44607</v>
      </c>
      <c r="C438" s="407">
        <v>44607</v>
      </c>
      <c r="D438" s="485" t="s">
        <v>86</v>
      </c>
      <c r="E438" s="474" t="s">
        <v>5469</v>
      </c>
      <c r="F438" s="486" t="s">
        <v>87</v>
      </c>
      <c r="G438" s="380">
        <v>2022</v>
      </c>
      <c r="H438" s="474">
        <v>10</v>
      </c>
      <c r="I438" s="474"/>
      <c r="J438" s="475"/>
      <c r="K438" s="474" t="s">
        <v>2176</v>
      </c>
      <c r="L438" s="474" t="s">
        <v>1699</v>
      </c>
      <c r="M438" s="475">
        <v>44596</v>
      </c>
      <c r="N438" s="475">
        <v>44835</v>
      </c>
      <c r="O438" s="475"/>
      <c r="P438" s="475"/>
      <c r="Q438" s="475"/>
      <c r="R438" s="475"/>
      <c r="S438" s="474" t="s">
        <v>88</v>
      </c>
      <c r="T438" s="474">
        <v>72</v>
      </c>
      <c r="U438" s="486" t="s">
        <v>1109</v>
      </c>
      <c r="V438" s="474" t="s">
        <v>1110</v>
      </c>
      <c r="W438" s="474">
        <v>485</v>
      </c>
      <c r="X438" s="432">
        <v>2552</v>
      </c>
      <c r="Y438" s="389">
        <f t="shared" si="92"/>
        <v>1237720</v>
      </c>
      <c r="Z438" s="478">
        <f>240.08/485</f>
        <v>0.49501030927835055</v>
      </c>
      <c r="AA438" s="480">
        <f t="shared" si="93"/>
        <v>612684.16</v>
      </c>
      <c r="AB438" s="480"/>
      <c r="AC438" s="481">
        <f>AB438*Y438</f>
        <v>0</v>
      </c>
      <c r="AD438" s="474"/>
      <c r="AE438" s="474"/>
      <c r="AF438" s="493">
        <f t="shared" si="94"/>
        <v>612684.16</v>
      </c>
      <c r="AG438" s="474" t="s">
        <v>1071</v>
      </c>
      <c r="AH438" s="474"/>
      <c r="AI438" s="474">
        <v>60</v>
      </c>
      <c r="AJ438" s="475" t="s">
        <v>1700</v>
      </c>
      <c r="AK438" s="475" t="s">
        <v>50</v>
      </c>
      <c r="AL438" s="483">
        <v>92126</v>
      </c>
      <c r="AM438" s="474" t="s">
        <v>52</v>
      </c>
      <c r="AN438" s="384" t="s">
        <v>50</v>
      </c>
      <c r="AO438" s="474" t="s">
        <v>1076</v>
      </c>
      <c r="AP438" s="482" t="s">
        <v>92</v>
      </c>
      <c r="AQ438" s="474" t="s">
        <v>37</v>
      </c>
      <c r="AR438" s="474"/>
      <c r="AS438" s="473" t="s">
        <v>1492</v>
      </c>
      <c r="AT438" s="346"/>
      <c r="AU438" s="478"/>
      <c r="AV438" s="471" t="str">
        <f t="shared" si="89"/>
        <v>TBD</v>
      </c>
      <c r="AW438" s="471" cm="1">
        <f t="array" ref="AW438">SUM(MID(0&amp;AV438,LARGE(INDEX(ISNUMBER(--MID(AV438,ROW($1:$8),1))*ROW($1:$8),),ROW($1:$8))+1,1)*10^ROW($1:$8)/10)</f>
        <v>0</v>
      </c>
      <c r="AX438" s="471" t="e">
        <f>VLOOKUP($AW438,'Item Master Data'!$A:$F,3,FALSE)</f>
        <v>#N/A</v>
      </c>
      <c r="AY438" s="471" t="e">
        <f>VLOOKUP($AW438,'Item Master Data'!$A:$F,6,FALSE)</f>
        <v>#N/A</v>
      </c>
      <c r="AZ438" s="471" t="e">
        <f t="shared" si="90"/>
        <v>#N/A</v>
      </c>
      <c r="BA438" s="471" t="e">
        <f>VLOOKUP(AW438,'Item Master Data'!$A:$G,7,FALSE)</f>
        <v>#N/A</v>
      </c>
      <c r="BB438" s="471"/>
      <c r="BC438" s="471" t="e">
        <f t="shared" si="91"/>
        <v>#N/A</v>
      </c>
    </row>
    <row r="439" spans="1:55">
      <c r="A439" s="495"/>
      <c r="B439" s="407"/>
      <c r="C439" s="407"/>
      <c r="D439" s="485" t="s">
        <v>86</v>
      </c>
      <c r="E439" s="474" t="s">
        <v>2030</v>
      </c>
      <c r="F439" s="486" t="s">
        <v>87</v>
      </c>
      <c r="G439" s="380">
        <v>2022</v>
      </c>
      <c r="H439" s="474">
        <v>10</v>
      </c>
      <c r="I439" s="474"/>
      <c r="J439" s="475"/>
      <c r="K439" s="474" t="s">
        <v>2227</v>
      </c>
      <c r="L439" s="474" t="s">
        <v>2025</v>
      </c>
      <c r="M439" s="475">
        <v>44621</v>
      </c>
      <c r="N439" s="475">
        <v>44835</v>
      </c>
      <c r="O439" s="475"/>
      <c r="P439" s="475"/>
      <c r="Q439" s="475"/>
      <c r="R439" s="475"/>
      <c r="S439" s="474" t="s">
        <v>1957</v>
      </c>
      <c r="T439" s="474">
        <v>72</v>
      </c>
      <c r="U439" s="486">
        <v>49303156</v>
      </c>
      <c r="V439" s="474" t="s">
        <v>2032</v>
      </c>
      <c r="W439" s="474">
        <v>480</v>
      </c>
      <c r="X439" s="432">
        <v>1160</v>
      </c>
      <c r="Y439" s="389">
        <f t="shared" si="92"/>
        <v>556800</v>
      </c>
      <c r="Z439" s="478">
        <f>232.75/480</f>
        <v>0.48489583333333336</v>
      </c>
      <c r="AA439" s="480">
        <f t="shared" si="93"/>
        <v>269990</v>
      </c>
      <c r="AB439" s="480"/>
      <c r="AC439" s="481">
        <f>AB439*Y439</f>
        <v>0</v>
      </c>
      <c r="AD439" s="474"/>
      <c r="AE439" s="474"/>
      <c r="AF439" s="493">
        <f t="shared" si="94"/>
        <v>269990</v>
      </c>
      <c r="AG439" s="474" t="s">
        <v>1071</v>
      </c>
      <c r="AH439" s="474"/>
      <c r="AI439" s="474">
        <v>60</v>
      </c>
      <c r="AJ439" s="475" t="s">
        <v>2026</v>
      </c>
      <c r="AK439" s="475" t="s">
        <v>50</v>
      </c>
      <c r="AL439" s="483">
        <v>95403</v>
      </c>
      <c r="AM439" s="474" t="s">
        <v>52</v>
      </c>
      <c r="AN439" s="384" t="s">
        <v>1695</v>
      </c>
      <c r="AO439" s="474" t="s">
        <v>1076</v>
      </c>
      <c r="AP439" s="482"/>
      <c r="AQ439" s="474" t="s">
        <v>37</v>
      </c>
      <c r="AR439" s="474"/>
      <c r="AS439" s="473" t="s">
        <v>1492</v>
      </c>
      <c r="AT439" s="346"/>
      <c r="AU439" s="478"/>
      <c r="AV439" s="471">
        <f t="shared" si="89"/>
        <v>49303156</v>
      </c>
      <c r="AW439" s="471" cm="1">
        <f t="array" ref="AW439">SUM(MID(0&amp;AV439,LARGE(INDEX(ISNUMBER(--MID(AV439,ROW($1:$8),1))*ROW($1:$8),),ROW($1:$8))+1,1)*10^ROW($1:$8)/10)</f>
        <v>49303156</v>
      </c>
      <c r="AX439" s="471" t="str">
        <f>VLOOKUP($AW439,'Item Master Data'!$A:$F,3,FALSE)</f>
        <v>Q.PEAK DUO XL G10 BFG</v>
      </c>
      <c r="AY439" s="471">
        <f>VLOOKUP($AW439,'Item Master Data'!$A:$F,6,FALSE)</f>
        <v>480</v>
      </c>
      <c r="AZ439" s="471">
        <f t="shared" si="90"/>
        <v>40</v>
      </c>
      <c r="BA439" s="471">
        <f>VLOOKUP(AW439,'Item Master Data'!$A:$G,7,FALSE)</f>
        <v>29</v>
      </c>
      <c r="BB439" s="471"/>
      <c r="BC439" s="471">
        <f t="shared" si="91"/>
        <v>0</v>
      </c>
    </row>
    <row r="440" spans="1:55">
      <c r="A440" s="495"/>
      <c r="B440" s="407">
        <v>44627</v>
      </c>
      <c r="C440" s="407">
        <v>44627</v>
      </c>
      <c r="D440" s="485" t="s">
        <v>86</v>
      </c>
      <c r="E440" s="383"/>
      <c r="F440" s="474"/>
      <c r="G440" s="380">
        <v>2022</v>
      </c>
      <c r="H440" s="474">
        <v>10</v>
      </c>
      <c r="I440" s="474"/>
      <c r="J440" s="475"/>
      <c r="K440" s="474" t="s">
        <v>2265</v>
      </c>
      <c r="L440" s="474" t="s">
        <v>1703</v>
      </c>
      <c r="M440" s="475">
        <v>44615</v>
      </c>
      <c r="N440" s="475">
        <v>44835</v>
      </c>
      <c r="O440" s="475"/>
      <c r="P440" s="345"/>
      <c r="Q440" s="475"/>
      <c r="R440" s="475"/>
      <c r="S440" s="474" t="s">
        <v>1704</v>
      </c>
      <c r="T440" s="474">
        <v>60</v>
      </c>
      <c r="U440" s="474"/>
      <c r="V440" s="486" t="s">
        <v>973</v>
      </c>
      <c r="W440" s="474">
        <v>400</v>
      </c>
      <c r="X440" s="432">
        <v>4608</v>
      </c>
      <c r="Y440" s="389">
        <v>1843200</v>
      </c>
      <c r="Z440" s="478">
        <v>0.55000000000000004</v>
      </c>
      <c r="AA440" s="479">
        <v>1013760.0000000001</v>
      </c>
      <c r="AB440" s="480"/>
      <c r="AC440" s="481">
        <v>0</v>
      </c>
      <c r="AD440" s="474"/>
      <c r="AE440" s="474"/>
      <c r="AF440" s="493">
        <v>1013760.0000000001</v>
      </c>
      <c r="AG440" s="474" t="s">
        <v>1071</v>
      </c>
      <c r="AH440" s="474"/>
      <c r="AI440" s="474">
        <v>60</v>
      </c>
      <c r="AJ440" s="475" t="s">
        <v>1705</v>
      </c>
      <c r="AK440" s="475" t="s">
        <v>1706</v>
      </c>
      <c r="AL440" s="483" t="s">
        <v>1707</v>
      </c>
      <c r="AM440" s="474" t="s">
        <v>52</v>
      </c>
      <c r="AN440" s="384"/>
      <c r="AO440" s="474" t="s">
        <v>1076</v>
      </c>
      <c r="AP440" s="474"/>
      <c r="AQ440" s="482" t="s">
        <v>37</v>
      </c>
      <c r="AR440" s="474"/>
      <c r="AS440" s="473"/>
      <c r="AT440" s="473"/>
      <c r="AU440" s="478"/>
      <c r="AV440" s="471">
        <f t="shared" si="89"/>
        <v>0</v>
      </c>
      <c r="AW440" s="471" cm="1">
        <f t="array" ref="AW440">SUM(MID(0&amp;AV440,LARGE(INDEX(ISNUMBER(--MID(AV440,ROW($1:$8),1))*ROW($1:$8),),ROW($1:$8))+1,1)*10^ROW($1:$8)/10)</f>
        <v>0</v>
      </c>
      <c r="AX440" s="471" t="e">
        <f>VLOOKUP($AW440,'Item Master Data'!$A:$F,3,FALSE)</f>
        <v>#N/A</v>
      </c>
      <c r="AY440" s="471" t="e">
        <f>VLOOKUP($AW440,'Item Master Data'!$A:$F,6,FALSE)</f>
        <v>#N/A</v>
      </c>
      <c r="AZ440" s="471" t="e">
        <f t="shared" si="90"/>
        <v>#N/A</v>
      </c>
      <c r="BA440" s="471" t="e">
        <f>VLOOKUP(AW440,'Item Master Data'!$A:$G,7,FALSE)</f>
        <v>#N/A</v>
      </c>
      <c r="BB440" s="471"/>
      <c r="BC440" s="471" t="e">
        <f t="shared" si="91"/>
        <v>#N/A</v>
      </c>
    </row>
    <row r="441" spans="1:55">
      <c r="A441" s="495"/>
      <c r="B441" s="407">
        <v>44627</v>
      </c>
      <c r="C441" s="407">
        <v>44627</v>
      </c>
      <c r="D441" s="485" t="s">
        <v>86</v>
      </c>
      <c r="E441" s="383"/>
      <c r="F441" s="474"/>
      <c r="G441" s="380">
        <v>2022</v>
      </c>
      <c r="H441" s="474">
        <v>10</v>
      </c>
      <c r="I441" s="474"/>
      <c r="J441" s="475"/>
      <c r="K441" s="474" t="s">
        <v>2265</v>
      </c>
      <c r="L441" s="474" t="s">
        <v>1703</v>
      </c>
      <c r="M441" s="475">
        <v>44615</v>
      </c>
      <c r="N441" s="475">
        <v>44835</v>
      </c>
      <c r="O441" s="475"/>
      <c r="P441" s="345"/>
      <c r="Q441" s="475"/>
      <c r="R441" s="475"/>
      <c r="S441" s="474" t="s">
        <v>1704</v>
      </c>
      <c r="T441" s="474">
        <v>60</v>
      </c>
      <c r="U441" s="474"/>
      <c r="V441" s="474" t="s">
        <v>986</v>
      </c>
      <c r="W441" s="474">
        <v>360</v>
      </c>
      <c r="X441" s="432">
        <v>832</v>
      </c>
      <c r="Y441" s="389">
        <v>299520</v>
      </c>
      <c r="Z441" s="478">
        <v>0.53</v>
      </c>
      <c r="AA441" s="479">
        <v>158745.60000000001</v>
      </c>
      <c r="AB441" s="480"/>
      <c r="AC441" s="481">
        <v>0</v>
      </c>
      <c r="AD441" s="474"/>
      <c r="AE441" s="474"/>
      <c r="AF441" s="493">
        <v>158745.60000000001</v>
      </c>
      <c r="AG441" s="474" t="s">
        <v>1071</v>
      </c>
      <c r="AH441" s="474"/>
      <c r="AI441" s="474">
        <v>60</v>
      </c>
      <c r="AJ441" s="475" t="s">
        <v>1705</v>
      </c>
      <c r="AK441" s="475" t="s">
        <v>1706</v>
      </c>
      <c r="AL441" s="483" t="s">
        <v>1707</v>
      </c>
      <c r="AM441" s="474" t="s">
        <v>52</v>
      </c>
      <c r="AN441" s="384"/>
      <c r="AO441" s="474" t="s">
        <v>1076</v>
      </c>
      <c r="AP441" s="474"/>
      <c r="AQ441" s="482" t="s">
        <v>37</v>
      </c>
      <c r="AR441" s="474"/>
      <c r="AS441" s="473"/>
      <c r="AT441" s="473"/>
      <c r="AU441" s="478"/>
      <c r="AV441" s="471">
        <f t="shared" si="89"/>
        <v>0</v>
      </c>
      <c r="AW441" s="471" cm="1">
        <f t="array" ref="AW441">SUM(MID(0&amp;AV441,LARGE(INDEX(ISNUMBER(--MID(AV441,ROW($1:$8),1))*ROW($1:$8),),ROW($1:$8))+1,1)*10^ROW($1:$8)/10)</f>
        <v>0</v>
      </c>
      <c r="AX441" s="471" t="e">
        <f>VLOOKUP($AW441,'Item Master Data'!$A:$F,3,FALSE)</f>
        <v>#N/A</v>
      </c>
      <c r="AY441" s="471" t="e">
        <f>VLOOKUP($AW441,'Item Master Data'!$A:$F,6,FALSE)</f>
        <v>#N/A</v>
      </c>
      <c r="AZ441" s="471" t="e">
        <f t="shared" si="90"/>
        <v>#N/A</v>
      </c>
      <c r="BA441" s="471" t="e">
        <f>VLOOKUP(AW441,'Item Master Data'!$A:$G,7,FALSE)</f>
        <v>#N/A</v>
      </c>
      <c r="BB441" s="471"/>
      <c r="BC441" s="471" t="e">
        <f t="shared" si="91"/>
        <v>#N/A</v>
      </c>
    </row>
    <row r="442" spans="1:55">
      <c r="A442" s="495"/>
      <c r="B442" s="407">
        <v>44679</v>
      </c>
      <c r="C442" s="407">
        <v>44679</v>
      </c>
      <c r="D442" s="485" t="s">
        <v>86</v>
      </c>
      <c r="E442" s="474"/>
      <c r="F442" s="486" t="s">
        <v>87</v>
      </c>
      <c r="G442" s="380">
        <v>2022</v>
      </c>
      <c r="H442" s="474">
        <v>10</v>
      </c>
      <c r="I442" s="474"/>
      <c r="J442" s="475"/>
      <c r="K442" s="474" t="s">
        <v>2306</v>
      </c>
      <c r="L442" s="474" t="s">
        <v>1699</v>
      </c>
      <c r="M442" s="475">
        <v>44658</v>
      </c>
      <c r="N442" s="475">
        <v>44841</v>
      </c>
      <c r="O442" s="475"/>
      <c r="P442" s="475"/>
      <c r="Q442" s="475"/>
      <c r="R442" s="475"/>
      <c r="S442" s="474" t="s">
        <v>88</v>
      </c>
      <c r="T442" s="474">
        <v>72</v>
      </c>
      <c r="U442" s="486"/>
      <c r="V442" s="474" t="s">
        <v>1070</v>
      </c>
      <c r="W442" s="474">
        <v>480</v>
      </c>
      <c r="X442" s="432">
        <v>8294</v>
      </c>
      <c r="Y442" s="389">
        <f t="shared" ref="Y442:Y455" si="95">W442*X442</f>
        <v>3981120</v>
      </c>
      <c r="Z442" s="478">
        <f>235.2/480</f>
        <v>0.49</v>
      </c>
      <c r="AA442" s="480">
        <f t="shared" ref="AA442:AA455" si="96">Z442*Y442</f>
        <v>1950748.8</v>
      </c>
      <c r="AB442" s="480"/>
      <c r="AC442" s="481">
        <f>AB442*Y442</f>
        <v>0</v>
      </c>
      <c r="AD442" s="474"/>
      <c r="AE442" s="474"/>
      <c r="AF442" s="493">
        <f t="shared" ref="AF442:AF455" si="97">AE442+AD442+AA442</f>
        <v>1950748.8</v>
      </c>
      <c r="AG442" s="474" t="s">
        <v>1071</v>
      </c>
      <c r="AH442" s="474"/>
      <c r="AI442" s="474">
        <v>60</v>
      </c>
      <c r="AJ442" s="475" t="s">
        <v>1700</v>
      </c>
      <c r="AK442" s="475" t="s">
        <v>50</v>
      </c>
      <c r="AL442" s="483">
        <v>92126</v>
      </c>
      <c r="AM442" s="474" t="s">
        <v>52</v>
      </c>
      <c r="AN442" s="384" t="s">
        <v>50</v>
      </c>
      <c r="AO442" s="474" t="s">
        <v>1076</v>
      </c>
      <c r="AP442" s="482" t="s">
        <v>92</v>
      </c>
      <c r="AQ442" s="474" t="s">
        <v>37</v>
      </c>
      <c r="AR442" s="474"/>
      <c r="AS442" s="473" t="s">
        <v>1492</v>
      </c>
      <c r="AT442" s="346"/>
      <c r="AU442" s="478"/>
      <c r="AV442" s="471">
        <f t="shared" si="89"/>
        <v>0</v>
      </c>
      <c r="AW442" s="471" cm="1">
        <f t="array" ref="AW442">SUM(MID(0&amp;AV442,LARGE(INDEX(ISNUMBER(--MID(AV442,ROW($1:$8),1))*ROW($1:$8),),ROW($1:$8))+1,1)*10^ROW($1:$8)/10)</f>
        <v>0</v>
      </c>
      <c r="AX442" s="471" t="e">
        <f>VLOOKUP($AW442,'Item Master Data'!$A:$F,3,FALSE)</f>
        <v>#N/A</v>
      </c>
      <c r="AY442" s="471" t="e">
        <f>VLOOKUP($AW442,'Item Master Data'!$A:$F,6,FALSE)</f>
        <v>#N/A</v>
      </c>
      <c r="AZ442" s="471" t="e">
        <f t="shared" si="90"/>
        <v>#N/A</v>
      </c>
      <c r="BA442" s="471" t="e">
        <f>VLOOKUP(AW442,'Item Master Data'!$A:$G,7,FALSE)</f>
        <v>#N/A</v>
      </c>
      <c r="BB442" s="471"/>
      <c r="BC442" s="471" t="e">
        <f t="shared" si="91"/>
        <v>#N/A</v>
      </c>
    </row>
    <row r="443" spans="1:55">
      <c r="A443" s="495"/>
      <c r="B443" s="495"/>
      <c r="C443" s="495"/>
      <c r="D443" s="474" t="s">
        <v>86</v>
      </c>
      <c r="E443" s="474"/>
      <c r="F443" s="474"/>
      <c r="G443" s="380">
        <v>2022</v>
      </c>
      <c r="H443" s="474">
        <v>11</v>
      </c>
      <c r="I443" s="474"/>
      <c r="J443" s="475"/>
      <c r="K443" s="474" t="s">
        <v>1748</v>
      </c>
      <c r="L443" s="474" t="s">
        <v>1693</v>
      </c>
      <c r="M443" s="475">
        <v>44595</v>
      </c>
      <c r="N443" s="475">
        <v>44872</v>
      </c>
      <c r="O443" s="475"/>
      <c r="P443" s="475"/>
      <c r="Q443" s="475"/>
      <c r="R443" s="475"/>
      <c r="S443" s="474" t="s">
        <v>88</v>
      </c>
      <c r="T443" s="474">
        <v>60</v>
      </c>
      <c r="U443" s="474"/>
      <c r="V443" s="474" t="s">
        <v>986</v>
      </c>
      <c r="W443" s="474">
        <v>360</v>
      </c>
      <c r="X443" s="432">
        <v>1664</v>
      </c>
      <c r="Y443" s="389">
        <f t="shared" si="95"/>
        <v>599040</v>
      </c>
      <c r="Z443" s="478">
        <f>190.8/360</f>
        <v>0.53</v>
      </c>
      <c r="AA443" s="479">
        <f t="shared" si="96"/>
        <v>317491.20000000001</v>
      </c>
      <c r="AB443" s="480"/>
      <c r="AC443" s="481">
        <v>0</v>
      </c>
      <c r="AD443" s="490"/>
      <c r="AE443" s="482"/>
      <c r="AF443" s="493">
        <f t="shared" si="97"/>
        <v>317491.20000000001</v>
      </c>
      <c r="AG443" s="474" t="s">
        <v>1071</v>
      </c>
      <c r="AH443" s="474"/>
      <c r="AI443" s="474">
        <v>60</v>
      </c>
      <c r="AJ443" s="474" t="s">
        <v>1694</v>
      </c>
      <c r="AK443" s="474" t="s">
        <v>1144</v>
      </c>
      <c r="AL443" s="474">
        <v>92806</v>
      </c>
      <c r="AM443" s="474" t="s">
        <v>52</v>
      </c>
      <c r="AN443" s="474"/>
      <c r="AO443" s="474" t="s">
        <v>1076</v>
      </c>
      <c r="AP443" s="482" t="s">
        <v>92</v>
      </c>
      <c r="AQ443" s="482" t="s">
        <v>37</v>
      </c>
      <c r="AR443" s="482" t="s">
        <v>1216</v>
      </c>
      <c r="AS443" s="473" t="s">
        <v>1492</v>
      </c>
      <c r="AT443" s="346"/>
      <c r="AU443" s="478">
        <f>180/360</f>
        <v>0.5</v>
      </c>
      <c r="AV443" s="471"/>
      <c r="AW443" s="471"/>
      <c r="AX443" s="471"/>
      <c r="AY443" s="471"/>
      <c r="AZ443" s="471"/>
      <c r="BA443" s="471"/>
      <c r="BB443" s="471"/>
      <c r="BC443" s="471"/>
    </row>
    <row r="444" spans="1:55">
      <c r="A444" s="495"/>
      <c r="B444" s="495"/>
      <c r="C444" s="495"/>
      <c r="D444" s="474" t="s">
        <v>86</v>
      </c>
      <c r="E444" s="474"/>
      <c r="F444" s="474"/>
      <c r="G444" s="380">
        <v>2022</v>
      </c>
      <c r="H444" s="380">
        <v>11</v>
      </c>
      <c r="I444" s="474"/>
      <c r="J444" s="475"/>
      <c r="K444" s="474" t="s">
        <v>1748</v>
      </c>
      <c r="L444" s="474" t="s">
        <v>1693</v>
      </c>
      <c r="M444" s="475">
        <v>44595</v>
      </c>
      <c r="N444" s="475">
        <v>44872</v>
      </c>
      <c r="O444" s="475"/>
      <c r="P444" s="475"/>
      <c r="Q444" s="475"/>
      <c r="R444" s="475"/>
      <c r="S444" s="474" t="s">
        <v>88</v>
      </c>
      <c r="T444" s="474">
        <v>60</v>
      </c>
      <c r="U444" s="474"/>
      <c r="V444" s="474" t="s">
        <v>973</v>
      </c>
      <c r="W444" s="474">
        <v>400</v>
      </c>
      <c r="X444" s="432">
        <v>1536</v>
      </c>
      <c r="Y444" s="389">
        <f t="shared" si="95"/>
        <v>614400</v>
      </c>
      <c r="Z444" s="478">
        <f>220/400</f>
        <v>0.55000000000000004</v>
      </c>
      <c r="AA444" s="479">
        <f t="shared" si="96"/>
        <v>337920</v>
      </c>
      <c r="AB444" s="480"/>
      <c r="AC444" s="481">
        <v>0</v>
      </c>
      <c r="AD444" s="490"/>
      <c r="AE444" s="482"/>
      <c r="AF444" s="493">
        <f t="shared" si="97"/>
        <v>337920</v>
      </c>
      <c r="AG444" s="474" t="s">
        <v>1071</v>
      </c>
      <c r="AH444" s="474"/>
      <c r="AI444" s="474">
        <v>60</v>
      </c>
      <c r="AJ444" s="474" t="s">
        <v>1694</v>
      </c>
      <c r="AK444" s="474" t="s">
        <v>1144</v>
      </c>
      <c r="AL444" s="474">
        <v>92806</v>
      </c>
      <c r="AM444" s="474" t="s">
        <v>52</v>
      </c>
      <c r="AN444" s="474"/>
      <c r="AO444" s="474" t="s">
        <v>1076</v>
      </c>
      <c r="AP444" s="482" t="s">
        <v>92</v>
      </c>
      <c r="AQ444" s="482" t="s">
        <v>37</v>
      </c>
      <c r="AR444" s="482" t="s">
        <v>1216</v>
      </c>
      <c r="AS444" s="473" t="s">
        <v>1492</v>
      </c>
      <c r="AT444" s="346"/>
      <c r="AU444" s="478">
        <f>180/360</f>
        <v>0.5</v>
      </c>
      <c r="AV444" s="471"/>
      <c r="AW444" s="471"/>
      <c r="AX444" s="471"/>
      <c r="AY444" s="471"/>
      <c r="AZ444" s="471"/>
      <c r="BA444" s="471"/>
      <c r="BB444" s="471"/>
      <c r="BC444" s="471"/>
    </row>
    <row r="445" spans="1:55">
      <c r="A445" s="495"/>
      <c r="B445" s="495"/>
      <c r="C445" s="495"/>
      <c r="D445" s="474" t="s">
        <v>86</v>
      </c>
      <c r="E445" s="474"/>
      <c r="F445" s="474"/>
      <c r="G445" s="380">
        <v>2022</v>
      </c>
      <c r="H445" s="474">
        <v>11</v>
      </c>
      <c r="I445" s="474"/>
      <c r="J445" s="475"/>
      <c r="K445" s="474" t="s">
        <v>1746</v>
      </c>
      <c r="L445" s="474" t="s">
        <v>1693</v>
      </c>
      <c r="M445" s="475">
        <v>44595</v>
      </c>
      <c r="N445" s="475">
        <v>44837</v>
      </c>
      <c r="O445" s="475">
        <v>44868</v>
      </c>
      <c r="P445" s="475"/>
      <c r="Q445" s="475"/>
      <c r="R445" s="475"/>
      <c r="S445" s="474" t="s">
        <v>88</v>
      </c>
      <c r="T445" s="474">
        <v>60</v>
      </c>
      <c r="U445" s="474"/>
      <c r="V445" s="474" t="s">
        <v>1223</v>
      </c>
      <c r="W445" s="474">
        <v>360</v>
      </c>
      <c r="X445" s="432">
        <v>832</v>
      </c>
      <c r="Y445" s="389">
        <f t="shared" si="95"/>
        <v>299520</v>
      </c>
      <c r="Z445" s="478">
        <f>298.8/360</f>
        <v>0.83000000000000007</v>
      </c>
      <c r="AA445" s="479">
        <f t="shared" si="96"/>
        <v>248601.60000000003</v>
      </c>
      <c r="AB445" s="480"/>
      <c r="AC445" s="481">
        <v>0</v>
      </c>
      <c r="AD445" s="490"/>
      <c r="AE445" s="482"/>
      <c r="AF445" s="493">
        <f t="shared" si="97"/>
        <v>248601.60000000003</v>
      </c>
      <c r="AG445" s="474" t="s">
        <v>1071</v>
      </c>
      <c r="AH445" s="474"/>
      <c r="AI445" s="474">
        <v>60</v>
      </c>
      <c r="AJ445" s="474" t="s">
        <v>1694</v>
      </c>
      <c r="AK445" s="474" t="s">
        <v>1144</v>
      </c>
      <c r="AL445" s="474">
        <v>92806</v>
      </c>
      <c r="AM445" s="474" t="s">
        <v>52</v>
      </c>
      <c r="AN445" s="474"/>
      <c r="AO445" s="474" t="s">
        <v>1076</v>
      </c>
      <c r="AP445" s="482" t="s">
        <v>92</v>
      </c>
      <c r="AQ445" s="482" t="s">
        <v>37</v>
      </c>
      <c r="AR445" s="482" t="s">
        <v>1216</v>
      </c>
      <c r="AS445" s="473" t="s">
        <v>1492</v>
      </c>
      <c r="AT445" s="346"/>
      <c r="AU445" s="478">
        <f>180/360</f>
        <v>0.5</v>
      </c>
      <c r="AV445" s="471"/>
      <c r="AW445" s="471"/>
      <c r="AX445" s="471"/>
      <c r="AY445" s="471"/>
      <c r="AZ445" s="471"/>
      <c r="BA445" s="471"/>
      <c r="BB445" s="471"/>
      <c r="BC445" s="471"/>
    </row>
    <row r="446" spans="1:55">
      <c r="A446" s="495"/>
      <c r="B446" s="495"/>
      <c r="C446" s="495"/>
      <c r="D446" s="474" t="s">
        <v>86</v>
      </c>
      <c r="E446" s="474"/>
      <c r="F446" s="380"/>
      <c r="G446" s="380">
        <v>2022</v>
      </c>
      <c r="H446" s="380">
        <v>11</v>
      </c>
      <c r="I446" s="380"/>
      <c r="J446" s="377"/>
      <c r="K446" s="343" t="s">
        <v>1747</v>
      </c>
      <c r="L446" s="380" t="s">
        <v>1693</v>
      </c>
      <c r="M446" s="377">
        <v>44595</v>
      </c>
      <c r="N446" s="377">
        <v>44872</v>
      </c>
      <c r="O446" s="377"/>
      <c r="P446" s="377"/>
      <c r="Q446" s="377"/>
      <c r="R446" s="377"/>
      <c r="S446" s="380" t="s">
        <v>88</v>
      </c>
      <c r="T446" s="380">
        <v>60</v>
      </c>
      <c r="U446" s="380"/>
      <c r="V446" s="380" t="s">
        <v>1223</v>
      </c>
      <c r="W446" s="380">
        <v>360</v>
      </c>
      <c r="X446" s="669">
        <v>832</v>
      </c>
      <c r="Y446" s="670">
        <f t="shared" si="95"/>
        <v>299520</v>
      </c>
      <c r="Z446" s="340">
        <f>298.8/360</f>
        <v>0.83000000000000007</v>
      </c>
      <c r="AA446" s="479">
        <f t="shared" si="96"/>
        <v>248601.60000000003</v>
      </c>
      <c r="AB446" s="641"/>
      <c r="AC446" s="341">
        <v>0</v>
      </c>
      <c r="AD446" s="642"/>
      <c r="AE446" s="342"/>
      <c r="AF446" s="117">
        <f t="shared" si="97"/>
        <v>248601.60000000003</v>
      </c>
      <c r="AG446" s="380" t="s">
        <v>1071</v>
      </c>
      <c r="AH446" s="380"/>
      <c r="AI446" s="380">
        <v>60</v>
      </c>
      <c r="AJ446" s="380" t="s">
        <v>1694</v>
      </c>
      <c r="AK446" s="380" t="s">
        <v>1144</v>
      </c>
      <c r="AL446" s="380">
        <v>92806</v>
      </c>
      <c r="AM446" s="380" t="s">
        <v>52</v>
      </c>
      <c r="AN446" s="380"/>
      <c r="AO446" s="380" t="s">
        <v>1076</v>
      </c>
      <c r="AP446" s="342" t="s">
        <v>92</v>
      </c>
      <c r="AQ446" s="342" t="s">
        <v>37</v>
      </c>
      <c r="AR446" s="342" t="s">
        <v>1216</v>
      </c>
      <c r="AS446" s="671" t="s">
        <v>1492</v>
      </c>
      <c r="AT446" s="672"/>
      <c r="AU446" s="340">
        <f>180/360</f>
        <v>0.5</v>
      </c>
      <c r="AV446" s="471">
        <f t="shared" ref="AV446:AV454" si="98">U446</f>
        <v>0</v>
      </c>
      <c r="AW446" s="471" cm="1">
        <f t="array" ref="AW446">SUM(MID(0&amp;AV446,LARGE(INDEX(ISNUMBER(--MID(AV446,ROW($1:$8),1))*ROW($1:$8),),ROW($1:$8))+1,1)*10^ROW($1:$8)/10)</f>
        <v>0</v>
      </c>
      <c r="AX446" s="471" t="e">
        <f>VLOOKUP($AW446,'Item Master Data'!$A:$F,3,FALSE)</f>
        <v>#N/A</v>
      </c>
      <c r="AY446" s="471" t="e">
        <f>VLOOKUP($AW446,'Item Master Data'!$A:$F,6,FALSE)</f>
        <v>#N/A</v>
      </c>
      <c r="AZ446" s="471" t="e">
        <f t="shared" ref="AZ446:AZ454" si="99">X446/BA446</f>
        <v>#N/A</v>
      </c>
      <c r="BA446" s="471" t="e">
        <f>VLOOKUP(AW446,'Item Master Data'!$A:$G,7,FALSE)</f>
        <v>#N/A</v>
      </c>
      <c r="BB446" s="471"/>
      <c r="BC446" s="471" t="e">
        <f t="shared" ref="BC446:BC454" si="100">W446-AY446</f>
        <v>#N/A</v>
      </c>
    </row>
    <row r="447" spans="1:55">
      <c r="A447" s="495"/>
      <c r="B447" s="407"/>
      <c r="C447" s="407"/>
      <c r="D447" s="485" t="s">
        <v>86</v>
      </c>
      <c r="E447" s="474" t="s">
        <v>5469</v>
      </c>
      <c r="F447" s="109"/>
      <c r="G447" s="380">
        <v>2022</v>
      </c>
      <c r="H447" s="474">
        <v>10</v>
      </c>
      <c r="I447" s="474"/>
      <c r="J447" s="377"/>
      <c r="K447" s="343">
        <v>1204</v>
      </c>
      <c r="L447" s="380" t="s">
        <v>1754</v>
      </c>
      <c r="M447" s="377">
        <v>44585</v>
      </c>
      <c r="N447" s="377">
        <v>44837</v>
      </c>
      <c r="O447" s="377"/>
      <c r="P447" s="377"/>
      <c r="Q447" s="377"/>
      <c r="R447" s="377"/>
      <c r="S447" s="380" t="s">
        <v>1688</v>
      </c>
      <c r="T447" s="380">
        <v>72</v>
      </c>
      <c r="U447" s="486"/>
      <c r="V447" s="380" t="s">
        <v>1002</v>
      </c>
      <c r="W447" s="380">
        <v>480</v>
      </c>
      <c r="X447" s="669">
        <v>1914</v>
      </c>
      <c r="Y447" s="670">
        <f t="shared" si="95"/>
        <v>918720</v>
      </c>
      <c r="Z447" s="340">
        <f>237.6/480</f>
        <v>0.495</v>
      </c>
      <c r="AA447" s="480">
        <f t="shared" si="96"/>
        <v>454766.4</v>
      </c>
      <c r="AB447" s="641"/>
      <c r="AC447" s="341">
        <f>AB447*Y447</f>
        <v>0</v>
      </c>
      <c r="AD447" s="380"/>
      <c r="AE447" s="380"/>
      <c r="AF447" s="117">
        <f t="shared" si="97"/>
        <v>454766.4</v>
      </c>
      <c r="AG447" s="380" t="s">
        <v>1071</v>
      </c>
      <c r="AH447" s="380">
        <v>100</v>
      </c>
      <c r="AI447" s="380">
        <v>0</v>
      </c>
      <c r="AJ447" s="377" t="s">
        <v>1756</v>
      </c>
      <c r="AK447" s="377" t="s">
        <v>50</v>
      </c>
      <c r="AL447" s="118">
        <v>92010</v>
      </c>
      <c r="AM447" s="380" t="s">
        <v>52</v>
      </c>
      <c r="AN447" s="384"/>
      <c r="AO447" s="380" t="s">
        <v>1076</v>
      </c>
      <c r="AP447" s="342"/>
      <c r="AQ447" s="380" t="s">
        <v>37</v>
      </c>
      <c r="AR447" s="380"/>
      <c r="AS447" s="671"/>
      <c r="AT447" s="672"/>
      <c r="AU447" s="340"/>
      <c r="AV447" s="471">
        <f t="shared" si="98"/>
        <v>0</v>
      </c>
      <c r="AW447" s="471" cm="1">
        <f t="array" ref="AW447">SUM(MID(0&amp;AV447,LARGE(INDEX(ISNUMBER(--MID(AV447,ROW($1:$8),1))*ROW($1:$8),),ROW($1:$8))+1,1)*10^ROW($1:$8)/10)</f>
        <v>0</v>
      </c>
      <c r="AX447" s="471" t="e">
        <f>VLOOKUP($AW447,'Item Master Data'!$A:$F,3,FALSE)</f>
        <v>#N/A</v>
      </c>
      <c r="AY447" s="471" t="e">
        <f>VLOOKUP($AW447,'Item Master Data'!$A:$F,6,FALSE)</f>
        <v>#N/A</v>
      </c>
      <c r="AZ447" s="471" t="e">
        <f t="shared" si="99"/>
        <v>#N/A</v>
      </c>
      <c r="BA447" s="471" t="e">
        <f>VLOOKUP(AW447,'Item Master Data'!$A:$G,7,FALSE)</f>
        <v>#N/A</v>
      </c>
      <c r="BB447" s="471"/>
      <c r="BC447" s="471" t="e">
        <f t="shared" si="100"/>
        <v>#N/A</v>
      </c>
    </row>
    <row r="448" spans="1:55">
      <c r="A448" s="495"/>
      <c r="B448" s="407">
        <v>44628</v>
      </c>
      <c r="C448" s="407">
        <v>44628</v>
      </c>
      <c r="D448" s="485" t="s">
        <v>86</v>
      </c>
      <c r="E448" s="474"/>
      <c r="F448" s="486"/>
      <c r="G448" s="380">
        <v>2022</v>
      </c>
      <c r="H448" s="474">
        <v>11</v>
      </c>
      <c r="I448" s="474"/>
      <c r="J448" s="475"/>
      <c r="K448" s="474" t="s">
        <v>1865</v>
      </c>
      <c r="L448" s="474" t="s">
        <v>1798</v>
      </c>
      <c r="M448" s="475">
        <v>44568</v>
      </c>
      <c r="N448" s="475">
        <v>44866</v>
      </c>
      <c r="O448" s="475"/>
      <c r="P448" s="475"/>
      <c r="Q448" s="475"/>
      <c r="R448" s="475"/>
      <c r="S448" s="474" t="s">
        <v>1688</v>
      </c>
      <c r="T448" s="474">
        <v>60</v>
      </c>
      <c r="U448" s="486">
        <v>49401139</v>
      </c>
      <c r="V448" s="474" t="s">
        <v>1223</v>
      </c>
      <c r="W448" s="474">
        <v>360</v>
      </c>
      <c r="X448" s="432">
        <v>676</v>
      </c>
      <c r="Y448" s="389">
        <f t="shared" si="95"/>
        <v>243360</v>
      </c>
      <c r="Z448" s="478">
        <f>298.8/360</f>
        <v>0.83000000000000007</v>
      </c>
      <c r="AA448" s="480">
        <f t="shared" si="96"/>
        <v>201988.80000000002</v>
      </c>
      <c r="AB448" s="480"/>
      <c r="AC448" s="481">
        <v>0</v>
      </c>
      <c r="AD448" s="474"/>
      <c r="AE448" s="474"/>
      <c r="AF448" s="493">
        <f t="shared" si="97"/>
        <v>201988.80000000002</v>
      </c>
      <c r="AG448" s="474" t="s">
        <v>1071</v>
      </c>
      <c r="AH448" s="474"/>
      <c r="AI448" s="474">
        <v>60</v>
      </c>
      <c r="AJ448" s="475" t="s">
        <v>1799</v>
      </c>
      <c r="AK448" s="475" t="s">
        <v>50</v>
      </c>
      <c r="AL448" s="483">
        <v>91311</v>
      </c>
      <c r="AM448" s="474" t="s">
        <v>52</v>
      </c>
      <c r="AN448" s="384" t="s">
        <v>1074</v>
      </c>
      <c r="AO448" s="474" t="s">
        <v>1076</v>
      </c>
      <c r="AP448" s="482"/>
      <c r="AQ448" s="474" t="s">
        <v>37</v>
      </c>
      <c r="AR448" s="474"/>
      <c r="AS448" s="473"/>
      <c r="AT448" s="346"/>
      <c r="AU448" s="478">
        <v>0.72</v>
      </c>
      <c r="AV448" s="471">
        <f t="shared" si="98"/>
        <v>49401139</v>
      </c>
      <c r="AW448" s="471" cm="1">
        <f t="array" ref="AW448">SUM(MID(0&amp;AV448,LARGE(INDEX(ISNUMBER(--MID(AV448,ROW($1:$8),1))*ROW($1:$8),),ROW($1:$8))+1,1)*10^ROW($1:$8)/10)</f>
        <v>49401139</v>
      </c>
      <c r="AX448" s="471" t="str">
        <f>VLOOKUP($AW448,'Item Master Data'!$A:$F,3,FALSE)</f>
        <v>Q.PEAK DUO BLK ML G10.a+</v>
      </c>
      <c r="AY448" s="471">
        <f>VLOOKUP($AW448,'Item Master Data'!$A:$F,6,FALSE)</f>
        <v>395</v>
      </c>
      <c r="AZ448" s="471">
        <f t="shared" si="99"/>
        <v>21.125</v>
      </c>
      <c r="BA448" s="471">
        <f>VLOOKUP(AW448,'Item Master Data'!$A:$G,7,FALSE)</f>
        <v>32</v>
      </c>
      <c r="BB448" s="471"/>
      <c r="BC448" s="471">
        <f t="shared" si="100"/>
        <v>-35</v>
      </c>
    </row>
    <row r="449" spans="1:55">
      <c r="A449" s="495"/>
      <c r="B449" s="407">
        <v>44589</v>
      </c>
      <c r="C449" s="407">
        <v>44589</v>
      </c>
      <c r="D449" s="485" t="s">
        <v>86</v>
      </c>
      <c r="E449" s="474"/>
      <c r="F449" s="486" t="s">
        <v>87</v>
      </c>
      <c r="G449" s="380">
        <v>2022</v>
      </c>
      <c r="H449" s="474">
        <v>11</v>
      </c>
      <c r="I449" s="474"/>
      <c r="J449" s="475"/>
      <c r="K449" s="474" t="s">
        <v>1940</v>
      </c>
      <c r="L449" s="474" t="s">
        <v>1842</v>
      </c>
      <c r="M449" s="475">
        <v>44924</v>
      </c>
      <c r="N449" s="475">
        <v>44894</v>
      </c>
      <c r="O449" s="475"/>
      <c r="P449" s="475"/>
      <c r="Q449" s="475"/>
      <c r="R449" s="475"/>
      <c r="S449" s="474" t="s">
        <v>88</v>
      </c>
      <c r="T449" s="474">
        <v>72</v>
      </c>
      <c r="U449" s="486">
        <v>49303156</v>
      </c>
      <c r="V449" s="474" t="s">
        <v>1070</v>
      </c>
      <c r="W449" s="474">
        <v>480</v>
      </c>
      <c r="X449" s="432">
        <v>638</v>
      </c>
      <c r="Y449" s="389">
        <f t="shared" si="95"/>
        <v>306240</v>
      </c>
      <c r="Z449" s="478">
        <f>225.6/480</f>
        <v>0.47</v>
      </c>
      <c r="AA449" s="480">
        <f t="shared" si="96"/>
        <v>143932.79999999999</v>
      </c>
      <c r="AB449" s="480"/>
      <c r="AC449" s="481">
        <v>0</v>
      </c>
      <c r="AD449" s="474"/>
      <c r="AE449" s="474"/>
      <c r="AF449" s="493">
        <f t="shared" si="97"/>
        <v>143932.79999999999</v>
      </c>
      <c r="AG449" s="474" t="s">
        <v>1071</v>
      </c>
      <c r="AH449" s="474"/>
      <c r="AI449" s="474">
        <v>60</v>
      </c>
      <c r="AJ449" s="475" t="s">
        <v>1860</v>
      </c>
      <c r="AK449" s="475" t="s">
        <v>50</v>
      </c>
      <c r="AL449" s="483">
        <v>93703</v>
      </c>
      <c r="AM449" s="474" t="s">
        <v>52</v>
      </c>
      <c r="AN449" s="384" t="s">
        <v>1695</v>
      </c>
      <c r="AO449" s="474" t="s">
        <v>1076</v>
      </c>
      <c r="AP449" s="482"/>
      <c r="AQ449" s="474" t="s">
        <v>1086</v>
      </c>
      <c r="AR449" s="474"/>
      <c r="AS449" s="473" t="s">
        <v>1492</v>
      </c>
      <c r="AT449" s="473"/>
      <c r="AU449" s="478"/>
      <c r="AV449" s="471">
        <f t="shared" si="98"/>
        <v>49303156</v>
      </c>
      <c r="AW449" s="471" cm="1">
        <f t="array" ref="AW449">SUM(MID(0&amp;AV449,LARGE(INDEX(ISNUMBER(--MID(AV449,ROW($1:$8),1))*ROW($1:$8),),ROW($1:$8))+1,1)*10^ROW($1:$8)/10)</f>
        <v>49303156</v>
      </c>
      <c r="AX449" s="471" t="str">
        <f>VLOOKUP($AW449,'Item Master Data'!$A:$F,3,FALSE)</f>
        <v>Q.PEAK DUO XL G10 BFG</v>
      </c>
      <c r="AY449" s="471">
        <f>VLOOKUP($AW449,'Item Master Data'!$A:$F,6,FALSE)</f>
        <v>480</v>
      </c>
      <c r="AZ449" s="471">
        <f t="shared" si="99"/>
        <v>22</v>
      </c>
      <c r="BA449" s="471">
        <f>VLOOKUP(AW449,'Item Master Data'!$A:$G,7,FALSE)</f>
        <v>29</v>
      </c>
      <c r="BB449" s="471"/>
      <c r="BC449" s="471">
        <f t="shared" si="100"/>
        <v>0</v>
      </c>
    </row>
    <row r="450" spans="1:55">
      <c r="A450" s="495"/>
      <c r="B450" s="407">
        <v>44617</v>
      </c>
      <c r="C450" s="407">
        <v>44616</v>
      </c>
      <c r="D450" s="485" t="s">
        <v>86</v>
      </c>
      <c r="E450" s="474"/>
      <c r="F450" s="486"/>
      <c r="G450" s="380">
        <v>2022</v>
      </c>
      <c r="H450" s="474">
        <v>11</v>
      </c>
      <c r="I450" s="474"/>
      <c r="J450" s="475"/>
      <c r="K450" s="474" t="s">
        <v>2141</v>
      </c>
      <c r="L450" s="474" t="s">
        <v>1956</v>
      </c>
      <c r="M450" s="475">
        <v>44589</v>
      </c>
      <c r="N450" s="475">
        <v>44868</v>
      </c>
      <c r="O450" s="475"/>
      <c r="P450" s="475"/>
      <c r="Q450" s="475"/>
      <c r="R450" s="475"/>
      <c r="S450" s="474" t="s">
        <v>1704</v>
      </c>
      <c r="T450" s="474">
        <v>60</v>
      </c>
      <c r="U450" s="486"/>
      <c r="V450" s="474" t="s">
        <v>986</v>
      </c>
      <c r="W450" s="474">
        <v>360</v>
      </c>
      <c r="X450" s="432">
        <v>4992</v>
      </c>
      <c r="Y450" s="389">
        <f t="shared" si="95"/>
        <v>1797120</v>
      </c>
      <c r="Z450" s="478">
        <f>190.8/360</f>
        <v>0.53</v>
      </c>
      <c r="AA450" s="480">
        <f t="shared" si="96"/>
        <v>952473.60000000009</v>
      </c>
      <c r="AB450" s="480"/>
      <c r="AC450" s="481">
        <f>AB450*Y450</f>
        <v>0</v>
      </c>
      <c r="AD450" s="474"/>
      <c r="AE450" s="474"/>
      <c r="AF450" s="493">
        <f t="shared" si="97"/>
        <v>952473.60000000009</v>
      </c>
      <c r="AG450" s="474" t="s">
        <v>1071</v>
      </c>
      <c r="AH450" s="474"/>
      <c r="AI450" s="474">
        <v>60</v>
      </c>
      <c r="AJ450" s="475" t="s">
        <v>1790</v>
      </c>
      <c r="AK450" s="475" t="s">
        <v>50</v>
      </c>
      <c r="AL450" s="483">
        <v>95834</v>
      </c>
      <c r="AM450" s="474" t="s">
        <v>52</v>
      </c>
      <c r="AN450" s="384" t="s">
        <v>1074</v>
      </c>
      <c r="AO450" s="474" t="s">
        <v>1076</v>
      </c>
      <c r="AP450" s="482"/>
      <c r="AQ450" s="474" t="s">
        <v>37</v>
      </c>
      <c r="AR450" s="474"/>
      <c r="AS450" s="473"/>
      <c r="AT450" s="346"/>
      <c r="AU450" s="478">
        <f>180/360</f>
        <v>0.5</v>
      </c>
      <c r="AV450" s="471">
        <f t="shared" si="98"/>
        <v>0</v>
      </c>
      <c r="AW450" s="471" cm="1">
        <f t="array" ref="AW450">SUM(MID(0&amp;AV450,LARGE(INDEX(ISNUMBER(--MID(AV450,ROW($1:$8),1))*ROW($1:$8),),ROW($1:$8))+1,1)*10^ROW($1:$8)/10)</f>
        <v>0</v>
      </c>
      <c r="AX450" s="471" t="e">
        <f>VLOOKUP($AW450,'Item Master Data'!$A:$F,3,FALSE)</f>
        <v>#N/A</v>
      </c>
      <c r="AY450" s="471" t="e">
        <f>VLOOKUP($AW450,'Item Master Data'!$A:$F,6,FALSE)</f>
        <v>#N/A</v>
      </c>
      <c r="AZ450" s="471" t="e">
        <f t="shared" si="99"/>
        <v>#N/A</v>
      </c>
      <c r="BA450" s="471" t="e">
        <f>VLOOKUP(AW450,'Item Master Data'!$A:$G,7,FALSE)</f>
        <v>#N/A</v>
      </c>
      <c r="BB450" s="471"/>
      <c r="BC450" s="471" t="e">
        <f t="shared" si="100"/>
        <v>#N/A</v>
      </c>
    </row>
    <row r="451" spans="1:55">
      <c r="A451" s="495"/>
      <c r="B451" s="407">
        <v>44642</v>
      </c>
      <c r="C451" s="407">
        <v>44642</v>
      </c>
      <c r="D451" s="485" t="s">
        <v>86</v>
      </c>
      <c r="E451" s="474" t="s">
        <v>5472</v>
      </c>
      <c r="F451" s="486"/>
      <c r="G451" s="380">
        <v>2022</v>
      </c>
      <c r="H451" s="474">
        <v>11</v>
      </c>
      <c r="I451" s="474"/>
      <c r="J451" s="475"/>
      <c r="K451" s="474" t="s">
        <v>1753</v>
      </c>
      <c r="L451" s="474" t="s">
        <v>1693</v>
      </c>
      <c r="M451" s="475">
        <v>44641</v>
      </c>
      <c r="N451" s="475">
        <v>44867</v>
      </c>
      <c r="O451" s="475"/>
      <c r="P451" s="475"/>
      <c r="Q451" s="475"/>
      <c r="R451" s="475"/>
      <c r="S451" s="474" t="s">
        <v>88</v>
      </c>
      <c r="T451" s="474">
        <v>72</v>
      </c>
      <c r="U451" s="486"/>
      <c r="V451" s="474" t="s">
        <v>1110</v>
      </c>
      <c r="W451" s="474">
        <v>485</v>
      </c>
      <c r="X451" s="432">
        <v>638</v>
      </c>
      <c r="Y451" s="389">
        <f t="shared" si="95"/>
        <v>309430</v>
      </c>
      <c r="Z451" s="478">
        <f>244.93/485</f>
        <v>0.50501030927835056</v>
      </c>
      <c r="AA451" s="480">
        <f t="shared" si="96"/>
        <v>156265.34000000003</v>
      </c>
      <c r="AB451" s="480"/>
      <c r="AC451" s="481">
        <v>0</v>
      </c>
      <c r="AD451" s="474"/>
      <c r="AE451" s="474"/>
      <c r="AF451" s="493">
        <f t="shared" si="97"/>
        <v>156265.34000000003</v>
      </c>
      <c r="AG451" s="474" t="s">
        <v>1071</v>
      </c>
      <c r="AH451" s="474"/>
      <c r="AI451" s="474">
        <v>60</v>
      </c>
      <c r="AJ451" s="475" t="s">
        <v>1694</v>
      </c>
      <c r="AK451" s="475" t="s">
        <v>50</v>
      </c>
      <c r="AL451" s="483" t="s">
        <v>1725</v>
      </c>
      <c r="AM451" s="474" t="s">
        <v>52</v>
      </c>
      <c r="AN451" s="384" t="s">
        <v>50</v>
      </c>
      <c r="AO451" s="474" t="s">
        <v>1076</v>
      </c>
      <c r="AP451" s="482" t="s">
        <v>38</v>
      </c>
      <c r="AQ451" s="474" t="s">
        <v>37</v>
      </c>
      <c r="AR451" s="474"/>
      <c r="AS451" s="473" t="s">
        <v>1075</v>
      </c>
      <c r="AT451" s="346"/>
      <c r="AU451" s="478">
        <v>0.52</v>
      </c>
      <c r="AV451" s="471">
        <f t="shared" si="98"/>
        <v>0</v>
      </c>
      <c r="AW451" s="471" cm="1">
        <f t="array" ref="AW451">SUM(MID(0&amp;AV451,LARGE(INDEX(ISNUMBER(--MID(AV451,ROW($1:$8),1))*ROW($1:$8),),ROW($1:$8))+1,1)*10^ROW($1:$8)/10)</f>
        <v>0</v>
      </c>
      <c r="AX451" s="471" t="e">
        <f>VLOOKUP($AW451,'Item Master Data'!$A:$F,3,FALSE)</f>
        <v>#N/A</v>
      </c>
      <c r="AY451" s="471" t="e">
        <f>VLOOKUP($AW451,'Item Master Data'!$A:$F,6,FALSE)</f>
        <v>#N/A</v>
      </c>
      <c r="AZ451" s="471" t="e">
        <f t="shared" si="99"/>
        <v>#N/A</v>
      </c>
      <c r="BA451" s="471" t="e">
        <f>VLOOKUP(AW451,'Item Master Data'!$A:$G,7,FALSE)</f>
        <v>#N/A</v>
      </c>
      <c r="BB451" s="471"/>
      <c r="BC451" s="471" t="e">
        <f t="shared" si="100"/>
        <v>#N/A</v>
      </c>
    </row>
    <row r="452" spans="1:55">
      <c r="A452" s="495"/>
      <c r="B452" s="407">
        <v>44607</v>
      </c>
      <c r="C452" s="407">
        <v>44607</v>
      </c>
      <c r="D452" s="485" t="s">
        <v>86</v>
      </c>
      <c r="E452" s="474" t="s">
        <v>5469</v>
      </c>
      <c r="F452" s="486" t="s">
        <v>87</v>
      </c>
      <c r="G452" s="380">
        <v>2022</v>
      </c>
      <c r="H452" s="474">
        <v>11</v>
      </c>
      <c r="I452" s="474"/>
      <c r="J452" s="475"/>
      <c r="K452" s="474" t="s">
        <v>2177</v>
      </c>
      <c r="L452" s="474" t="s">
        <v>1699</v>
      </c>
      <c r="M452" s="475">
        <v>44596</v>
      </c>
      <c r="N452" s="475">
        <v>44870</v>
      </c>
      <c r="O452" s="475"/>
      <c r="P452" s="475"/>
      <c r="Q452" s="475"/>
      <c r="R452" s="475"/>
      <c r="S452" s="474" t="s">
        <v>88</v>
      </c>
      <c r="T452" s="474">
        <v>72</v>
      </c>
      <c r="U452" s="486" t="s">
        <v>1109</v>
      </c>
      <c r="V452" s="474" t="s">
        <v>1110</v>
      </c>
      <c r="W452" s="474">
        <v>485</v>
      </c>
      <c r="X452" s="432">
        <v>2552</v>
      </c>
      <c r="Y452" s="389">
        <f t="shared" si="95"/>
        <v>1237720</v>
      </c>
      <c r="Z452" s="478">
        <f>240.08/485</f>
        <v>0.49501030927835055</v>
      </c>
      <c r="AA452" s="480">
        <f t="shared" si="96"/>
        <v>612684.16</v>
      </c>
      <c r="AB452" s="480"/>
      <c r="AC452" s="481">
        <f>AB452*Y452</f>
        <v>0</v>
      </c>
      <c r="AD452" s="474"/>
      <c r="AE452" s="474"/>
      <c r="AF452" s="493">
        <f t="shared" si="97"/>
        <v>612684.16</v>
      </c>
      <c r="AG452" s="474" t="s">
        <v>1071</v>
      </c>
      <c r="AH452" s="474"/>
      <c r="AI452" s="474">
        <v>60</v>
      </c>
      <c r="AJ452" s="475" t="s">
        <v>1700</v>
      </c>
      <c r="AK452" s="475" t="s">
        <v>50</v>
      </c>
      <c r="AL452" s="483">
        <v>92126</v>
      </c>
      <c r="AM452" s="474" t="s">
        <v>52</v>
      </c>
      <c r="AN452" s="384" t="s">
        <v>50</v>
      </c>
      <c r="AO452" s="474" t="s">
        <v>1076</v>
      </c>
      <c r="AP452" s="482" t="s">
        <v>92</v>
      </c>
      <c r="AQ452" s="474" t="s">
        <v>37</v>
      </c>
      <c r="AR452" s="474"/>
      <c r="AS452" s="473" t="s">
        <v>1492</v>
      </c>
      <c r="AT452" s="346"/>
      <c r="AU452" s="478"/>
      <c r="AV452" s="471" t="str">
        <f t="shared" si="98"/>
        <v>TBD</v>
      </c>
      <c r="AW452" s="471" cm="1">
        <f t="array" ref="AW452">SUM(MID(0&amp;AV452,LARGE(INDEX(ISNUMBER(--MID(AV452,ROW($1:$8),1))*ROW($1:$8),),ROW($1:$8))+1,1)*10^ROW($1:$8)/10)</f>
        <v>0</v>
      </c>
      <c r="AX452" s="471" t="e">
        <f>VLOOKUP($AW452,'Item Master Data'!$A:$F,3,FALSE)</f>
        <v>#N/A</v>
      </c>
      <c r="AY452" s="471" t="e">
        <f>VLOOKUP($AW452,'Item Master Data'!$A:$F,6,FALSE)</f>
        <v>#N/A</v>
      </c>
      <c r="AZ452" s="471" t="e">
        <f t="shared" si="99"/>
        <v>#N/A</v>
      </c>
      <c r="BA452" s="471" t="e">
        <f>VLOOKUP(AW452,'Item Master Data'!$A:$G,7,FALSE)</f>
        <v>#N/A</v>
      </c>
      <c r="BB452" s="471"/>
      <c r="BC452" s="471" t="e">
        <f t="shared" si="100"/>
        <v>#N/A</v>
      </c>
    </row>
    <row r="453" spans="1:55">
      <c r="A453" s="495"/>
      <c r="B453" s="407">
        <v>44679</v>
      </c>
      <c r="C453" s="407">
        <v>44679</v>
      </c>
      <c r="D453" s="485" t="s">
        <v>86</v>
      </c>
      <c r="E453" s="474"/>
      <c r="F453" s="486" t="s">
        <v>87</v>
      </c>
      <c r="G453" s="380">
        <v>2022</v>
      </c>
      <c r="H453" s="474">
        <v>11</v>
      </c>
      <c r="I453" s="474"/>
      <c r="J453" s="475"/>
      <c r="K453" s="474" t="s">
        <v>2306</v>
      </c>
      <c r="L453" s="474" t="s">
        <v>1699</v>
      </c>
      <c r="M453" s="475">
        <v>44658</v>
      </c>
      <c r="N453" s="475">
        <v>44872</v>
      </c>
      <c r="O453" s="475"/>
      <c r="P453" s="475"/>
      <c r="Q453" s="475"/>
      <c r="R453" s="475"/>
      <c r="S453" s="474" t="s">
        <v>88</v>
      </c>
      <c r="T453" s="474">
        <v>72</v>
      </c>
      <c r="U453" s="486"/>
      <c r="V453" s="474" t="s">
        <v>1070</v>
      </c>
      <c r="W453" s="474">
        <v>480</v>
      </c>
      <c r="X453" s="432">
        <v>6380</v>
      </c>
      <c r="Y453" s="389">
        <f t="shared" si="95"/>
        <v>3062400</v>
      </c>
      <c r="Z453" s="478">
        <f>235.2/480</f>
        <v>0.49</v>
      </c>
      <c r="AA453" s="480">
        <f t="shared" si="96"/>
        <v>1500576</v>
      </c>
      <c r="AB453" s="480"/>
      <c r="AC453" s="481">
        <f>AB453*Y453</f>
        <v>0</v>
      </c>
      <c r="AD453" s="474"/>
      <c r="AE453" s="474"/>
      <c r="AF453" s="493">
        <f t="shared" si="97"/>
        <v>1500576</v>
      </c>
      <c r="AG453" s="474" t="s">
        <v>1071</v>
      </c>
      <c r="AH453" s="474"/>
      <c r="AI453" s="474">
        <v>60</v>
      </c>
      <c r="AJ453" s="475" t="s">
        <v>1700</v>
      </c>
      <c r="AK453" s="475" t="s">
        <v>50</v>
      </c>
      <c r="AL453" s="483">
        <v>92126</v>
      </c>
      <c r="AM453" s="474" t="s">
        <v>52</v>
      </c>
      <c r="AN453" s="384" t="s">
        <v>50</v>
      </c>
      <c r="AO453" s="474" t="s">
        <v>1076</v>
      </c>
      <c r="AP453" s="482" t="s">
        <v>92</v>
      </c>
      <c r="AQ453" s="474" t="s">
        <v>37</v>
      </c>
      <c r="AR453" s="474"/>
      <c r="AS453" s="473" t="s">
        <v>1492</v>
      </c>
      <c r="AT453" s="346"/>
      <c r="AU453" s="478"/>
      <c r="AV453" s="471">
        <f t="shared" si="98"/>
        <v>0</v>
      </c>
      <c r="AW453" s="471" cm="1">
        <f t="array" ref="AW453">SUM(MID(0&amp;AV453,LARGE(INDEX(ISNUMBER(--MID(AV453,ROW($1:$8),1))*ROW($1:$8),),ROW($1:$8))+1,1)*10^ROW($1:$8)/10)</f>
        <v>0</v>
      </c>
      <c r="AX453" s="471" t="e">
        <f>VLOOKUP($AW453,'Item Master Data'!$A:$F,3,FALSE)</f>
        <v>#N/A</v>
      </c>
      <c r="AY453" s="471" t="e">
        <f>VLOOKUP($AW453,'Item Master Data'!$A:$F,6,FALSE)</f>
        <v>#N/A</v>
      </c>
      <c r="AZ453" s="471" t="e">
        <f t="shared" si="99"/>
        <v>#N/A</v>
      </c>
      <c r="BA453" s="471" t="e">
        <f>VLOOKUP(AW453,'Item Master Data'!$A:$G,7,FALSE)</f>
        <v>#N/A</v>
      </c>
      <c r="BB453" s="471"/>
      <c r="BC453" s="471" t="e">
        <f t="shared" si="100"/>
        <v>#N/A</v>
      </c>
    </row>
    <row r="454" spans="1:55">
      <c r="A454" s="495"/>
      <c r="B454" s="407">
        <v>44659</v>
      </c>
      <c r="C454" s="407">
        <v>44659</v>
      </c>
      <c r="D454" s="485" t="s">
        <v>86</v>
      </c>
      <c r="E454" s="474"/>
      <c r="F454" s="486" t="s">
        <v>87</v>
      </c>
      <c r="G454" s="380">
        <v>2022</v>
      </c>
      <c r="H454" s="474">
        <v>11</v>
      </c>
      <c r="I454" s="474"/>
      <c r="J454" s="475"/>
      <c r="K454" s="474" t="s">
        <v>2307</v>
      </c>
      <c r="L454" s="474" t="s">
        <v>2011</v>
      </c>
      <c r="M454" s="475">
        <v>44658</v>
      </c>
      <c r="N454" s="475">
        <v>44872</v>
      </c>
      <c r="O454" s="475"/>
      <c r="P454" s="475"/>
      <c r="Q454" s="475"/>
      <c r="R454" s="475"/>
      <c r="S454" s="474" t="s">
        <v>1688</v>
      </c>
      <c r="T454" s="474">
        <v>72</v>
      </c>
      <c r="U454" s="486">
        <v>49303156</v>
      </c>
      <c r="V454" s="474" t="s">
        <v>1070</v>
      </c>
      <c r="W454" s="474">
        <v>480</v>
      </c>
      <c r="X454" s="432">
        <v>1914</v>
      </c>
      <c r="Y454" s="389">
        <f t="shared" si="95"/>
        <v>918720</v>
      </c>
      <c r="Z454" s="478">
        <f>240/480</f>
        <v>0.5</v>
      </c>
      <c r="AA454" s="480">
        <f t="shared" si="96"/>
        <v>459360</v>
      </c>
      <c r="AB454" s="480"/>
      <c r="AC454" s="481">
        <f>AB454*Y454</f>
        <v>0</v>
      </c>
      <c r="AD454" s="474"/>
      <c r="AE454" s="474"/>
      <c r="AF454" s="493">
        <f t="shared" si="97"/>
        <v>459360</v>
      </c>
      <c r="AG454" s="474" t="s">
        <v>1071</v>
      </c>
      <c r="AH454" s="474"/>
      <c r="AI454" s="474">
        <v>60</v>
      </c>
      <c r="AJ454" s="475" t="s">
        <v>2012</v>
      </c>
      <c r="AK454" s="475" t="s">
        <v>50</v>
      </c>
      <c r="AL454" s="483" t="s">
        <v>2013</v>
      </c>
      <c r="AM454" s="474" t="s">
        <v>52</v>
      </c>
      <c r="AN454" s="384" t="s">
        <v>1695</v>
      </c>
      <c r="AO454" s="474" t="s">
        <v>1076</v>
      </c>
      <c r="AP454" s="482"/>
      <c r="AQ454" s="474" t="s">
        <v>37</v>
      </c>
      <c r="AR454" s="474"/>
      <c r="AS454" s="473"/>
      <c r="AT454" s="346"/>
      <c r="AU454" s="478"/>
      <c r="AV454" s="471">
        <f t="shared" si="98"/>
        <v>49303156</v>
      </c>
      <c r="AW454" s="471" cm="1">
        <f t="array" ref="AW454">SUM(MID(0&amp;AV454,LARGE(INDEX(ISNUMBER(--MID(AV454,ROW($1:$8),1))*ROW($1:$8),),ROW($1:$8))+1,1)*10^ROW($1:$8)/10)</f>
        <v>49303156</v>
      </c>
      <c r="AX454" s="471" t="str">
        <f>VLOOKUP($AW454,'Item Master Data'!$A:$F,3,FALSE)</f>
        <v>Q.PEAK DUO XL G10 BFG</v>
      </c>
      <c r="AY454" s="471">
        <f>VLOOKUP($AW454,'Item Master Data'!$A:$F,6,FALSE)</f>
        <v>480</v>
      </c>
      <c r="AZ454" s="471">
        <f t="shared" si="99"/>
        <v>66</v>
      </c>
      <c r="BA454" s="471">
        <f>VLOOKUP(AW454,'Item Master Data'!$A:$G,7,FALSE)</f>
        <v>29</v>
      </c>
      <c r="BB454" s="471"/>
      <c r="BC454" s="471">
        <f t="shared" si="100"/>
        <v>0</v>
      </c>
    </row>
    <row r="455" spans="1:55">
      <c r="A455" s="495"/>
      <c r="B455" s="407"/>
      <c r="C455" s="407"/>
      <c r="D455" s="485" t="s">
        <v>86</v>
      </c>
      <c r="E455" s="474" t="s">
        <v>2030</v>
      </c>
      <c r="F455" s="486" t="s">
        <v>87</v>
      </c>
      <c r="G455" s="380">
        <v>2022</v>
      </c>
      <c r="H455" s="474">
        <v>11</v>
      </c>
      <c r="I455" s="474"/>
      <c r="J455" s="475"/>
      <c r="K455" s="474" t="s">
        <v>2228</v>
      </c>
      <c r="L455" s="474" t="s">
        <v>2025</v>
      </c>
      <c r="M455" s="475">
        <v>44621</v>
      </c>
      <c r="N455" s="475">
        <v>44866</v>
      </c>
      <c r="O455" s="475"/>
      <c r="P455" s="475"/>
      <c r="Q455" s="475"/>
      <c r="R455" s="475"/>
      <c r="S455" s="474" t="s">
        <v>1957</v>
      </c>
      <c r="T455" s="474">
        <v>72</v>
      </c>
      <c r="U455" s="486">
        <v>49303156</v>
      </c>
      <c r="V455" s="474" t="s">
        <v>2032</v>
      </c>
      <c r="W455" s="474">
        <v>480</v>
      </c>
      <c r="X455" s="432">
        <v>1160</v>
      </c>
      <c r="Y455" s="389">
        <f t="shared" si="95"/>
        <v>556800</v>
      </c>
      <c r="Z455" s="478">
        <f>232.75/480</f>
        <v>0.48489583333333336</v>
      </c>
      <c r="AA455" s="480">
        <f t="shared" si="96"/>
        <v>269990</v>
      </c>
      <c r="AB455" s="480"/>
      <c r="AC455" s="481">
        <f>AB455*Y455</f>
        <v>0</v>
      </c>
      <c r="AD455" s="474"/>
      <c r="AE455" s="474"/>
      <c r="AF455" s="493">
        <f t="shared" si="97"/>
        <v>269990</v>
      </c>
      <c r="AG455" s="474" t="s">
        <v>1071</v>
      </c>
      <c r="AH455" s="474"/>
      <c r="AI455" s="474">
        <v>60</v>
      </c>
      <c r="AJ455" s="475" t="s">
        <v>2026</v>
      </c>
      <c r="AK455" s="475" t="s">
        <v>50</v>
      </c>
      <c r="AL455" s="483">
        <v>95403</v>
      </c>
      <c r="AM455" s="474" t="s">
        <v>52</v>
      </c>
      <c r="AN455" s="384" t="s">
        <v>1695</v>
      </c>
      <c r="AO455" s="474" t="s">
        <v>1076</v>
      </c>
      <c r="AP455" s="482"/>
      <c r="AQ455" s="474" t="s">
        <v>37</v>
      </c>
      <c r="AR455" s="474"/>
      <c r="AS455" s="473" t="s">
        <v>1492</v>
      </c>
      <c r="AT455" s="346"/>
      <c r="AU455" s="478"/>
      <c r="AV455" s="471"/>
      <c r="AW455" s="471"/>
      <c r="AX455" s="471"/>
      <c r="AY455" s="471"/>
      <c r="AZ455" s="471"/>
      <c r="BA455" s="471"/>
      <c r="BB455" s="471"/>
      <c r="BC455" s="471"/>
    </row>
    <row r="456" spans="1:55">
      <c r="A456" s="495"/>
      <c r="B456" s="407">
        <v>44627</v>
      </c>
      <c r="C456" s="407">
        <v>44627</v>
      </c>
      <c r="D456" s="485" t="s">
        <v>86</v>
      </c>
      <c r="E456" s="383"/>
      <c r="F456" s="474"/>
      <c r="G456" s="380">
        <v>2022</v>
      </c>
      <c r="H456" s="474">
        <v>11</v>
      </c>
      <c r="I456" s="474"/>
      <c r="J456" s="475"/>
      <c r="K456" s="474" t="s">
        <v>2266</v>
      </c>
      <c r="L456" s="474" t="s">
        <v>1703</v>
      </c>
      <c r="M456" s="475">
        <v>44615</v>
      </c>
      <c r="N456" s="475">
        <v>44866</v>
      </c>
      <c r="O456" s="475"/>
      <c r="P456" s="345"/>
      <c r="Q456" s="475"/>
      <c r="R456" s="475"/>
      <c r="S456" s="474" t="s">
        <v>1704</v>
      </c>
      <c r="T456" s="474">
        <v>60</v>
      </c>
      <c r="U456" s="474"/>
      <c r="V456" s="486" t="s">
        <v>973</v>
      </c>
      <c r="W456" s="474">
        <v>400</v>
      </c>
      <c r="X456" s="432">
        <v>4608</v>
      </c>
      <c r="Y456" s="389">
        <v>1843200</v>
      </c>
      <c r="Z456" s="478">
        <v>0.55000000000000004</v>
      </c>
      <c r="AA456" s="479">
        <v>1013760.0000000001</v>
      </c>
      <c r="AB456" s="480"/>
      <c r="AC456" s="481">
        <v>0</v>
      </c>
      <c r="AD456" s="474"/>
      <c r="AE456" s="474"/>
      <c r="AF456" s="493">
        <v>1013760.0000000001</v>
      </c>
      <c r="AG456" s="474" t="s">
        <v>1071</v>
      </c>
      <c r="AH456" s="474"/>
      <c r="AI456" s="474">
        <v>60</v>
      </c>
      <c r="AJ456" s="475" t="s">
        <v>1705</v>
      </c>
      <c r="AK456" s="475" t="s">
        <v>1706</v>
      </c>
      <c r="AL456" s="483" t="s">
        <v>1707</v>
      </c>
      <c r="AM456" s="474" t="s">
        <v>52</v>
      </c>
      <c r="AN456" s="384"/>
      <c r="AO456" s="474" t="s">
        <v>1076</v>
      </c>
      <c r="AP456" s="474"/>
      <c r="AQ456" s="482" t="s">
        <v>37</v>
      </c>
      <c r="AR456" s="474"/>
      <c r="AS456" s="473"/>
      <c r="AT456" s="346"/>
      <c r="AU456" s="478"/>
      <c r="AV456" s="471"/>
      <c r="AW456" s="471"/>
      <c r="AX456" s="471"/>
      <c r="AY456" s="471"/>
      <c r="AZ456" s="471"/>
      <c r="BA456" s="471"/>
      <c r="BB456" s="471"/>
      <c r="BC456" s="471"/>
    </row>
    <row r="457" spans="1:55">
      <c r="A457" s="495"/>
      <c r="B457" s="407">
        <v>44627</v>
      </c>
      <c r="C457" s="407">
        <v>44627</v>
      </c>
      <c r="D457" s="485" t="s">
        <v>86</v>
      </c>
      <c r="E457" s="383"/>
      <c r="F457" s="474"/>
      <c r="G457" s="380">
        <v>2022</v>
      </c>
      <c r="H457" s="474">
        <v>11</v>
      </c>
      <c r="I457" s="474"/>
      <c r="J457" s="475"/>
      <c r="K457" s="474" t="s">
        <v>2266</v>
      </c>
      <c r="L457" s="474" t="s">
        <v>1703</v>
      </c>
      <c r="M457" s="475">
        <v>44615</v>
      </c>
      <c r="N457" s="475">
        <v>44866</v>
      </c>
      <c r="O457" s="475"/>
      <c r="P457" s="345"/>
      <c r="Q457" s="475"/>
      <c r="R457" s="475"/>
      <c r="S457" s="474" t="s">
        <v>1704</v>
      </c>
      <c r="T457" s="474">
        <v>60</v>
      </c>
      <c r="U457" s="474"/>
      <c r="V457" s="474" t="s">
        <v>986</v>
      </c>
      <c r="W457" s="474">
        <v>360</v>
      </c>
      <c r="X457" s="432">
        <v>832</v>
      </c>
      <c r="Y457" s="389">
        <v>299520</v>
      </c>
      <c r="Z457" s="478">
        <v>0.53</v>
      </c>
      <c r="AA457" s="479">
        <v>158745.60000000001</v>
      </c>
      <c r="AB457" s="480"/>
      <c r="AC457" s="481">
        <v>0</v>
      </c>
      <c r="AD457" s="474"/>
      <c r="AE457" s="474"/>
      <c r="AF457" s="493">
        <v>158745.60000000001</v>
      </c>
      <c r="AG457" s="474" t="s">
        <v>1071</v>
      </c>
      <c r="AH457" s="474"/>
      <c r="AI457" s="474">
        <v>60</v>
      </c>
      <c r="AJ457" s="475" t="s">
        <v>1705</v>
      </c>
      <c r="AK457" s="475" t="s">
        <v>1706</v>
      </c>
      <c r="AL457" s="483" t="s">
        <v>1707</v>
      </c>
      <c r="AM457" s="474" t="s">
        <v>52</v>
      </c>
      <c r="AN457" s="384"/>
      <c r="AO457" s="474" t="s">
        <v>1076</v>
      </c>
      <c r="AP457" s="474"/>
      <c r="AQ457" s="482" t="s">
        <v>37</v>
      </c>
      <c r="AR457" s="474"/>
      <c r="AS457" s="473"/>
      <c r="AT457" s="346"/>
      <c r="AU457" s="478"/>
      <c r="AV457" s="471"/>
      <c r="AW457" s="471"/>
      <c r="AX457" s="471"/>
      <c r="AY457" s="471"/>
      <c r="AZ457" s="471"/>
      <c r="BA457" s="471"/>
      <c r="BB457" s="471"/>
      <c r="BC457" s="471"/>
    </row>
    <row r="458" spans="1:55">
      <c r="A458" s="495"/>
      <c r="B458" s="407">
        <v>44679</v>
      </c>
      <c r="C458" s="407">
        <v>44679</v>
      </c>
      <c r="D458" s="485" t="s">
        <v>86</v>
      </c>
      <c r="E458" s="474"/>
      <c r="F458" s="486" t="s">
        <v>87</v>
      </c>
      <c r="G458" s="380">
        <v>2022</v>
      </c>
      <c r="H458" s="474">
        <v>11</v>
      </c>
      <c r="I458" s="474"/>
      <c r="J458" s="475"/>
      <c r="K458" s="474" t="s">
        <v>2306</v>
      </c>
      <c r="L458" s="474" t="s">
        <v>1699</v>
      </c>
      <c r="M458" s="475">
        <v>44658</v>
      </c>
      <c r="N458" s="475">
        <v>44902</v>
      </c>
      <c r="O458" s="475"/>
      <c r="P458" s="475"/>
      <c r="Q458" s="475"/>
      <c r="R458" s="475"/>
      <c r="S458" s="474" t="s">
        <v>88</v>
      </c>
      <c r="T458" s="474">
        <v>72</v>
      </c>
      <c r="U458" s="486"/>
      <c r="V458" s="474" t="s">
        <v>1070</v>
      </c>
      <c r="W458" s="474">
        <v>480</v>
      </c>
      <c r="X458" s="432">
        <v>7656</v>
      </c>
      <c r="Y458" s="389">
        <f t="shared" ref="Y458:Y468" si="101">W458*X458</f>
        <v>3674880</v>
      </c>
      <c r="Z458" s="478">
        <f>235.2/480</f>
        <v>0.49</v>
      </c>
      <c r="AA458" s="480">
        <f t="shared" ref="AA458:AA468" si="102">Z458*Y458</f>
        <v>1800691.2</v>
      </c>
      <c r="AB458" s="480"/>
      <c r="AC458" s="481">
        <f>AB458*Y458</f>
        <v>0</v>
      </c>
      <c r="AD458" s="474"/>
      <c r="AE458" s="474"/>
      <c r="AF458" s="493">
        <f t="shared" ref="AF458:AF468" si="103">AE458+AD458+AA458</f>
        <v>1800691.2</v>
      </c>
      <c r="AG458" s="474" t="s">
        <v>1071</v>
      </c>
      <c r="AH458" s="474"/>
      <c r="AI458" s="474">
        <v>60</v>
      </c>
      <c r="AJ458" s="475" t="s">
        <v>1700</v>
      </c>
      <c r="AK458" s="475" t="s">
        <v>50</v>
      </c>
      <c r="AL458" s="483">
        <v>92126</v>
      </c>
      <c r="AM458" s="474" t="s">
        <v>52</v>
      </c>
      <c r="AN458" s="384" t="s">
        <v>50</v>
      </c>
      <c r="AO458" s="474" t="s">
        <v>1076</v>
      </c>
      <c r="AP458" s="482" t="s">
        <v>92</v>
      </c>
      <c r="AQ458" s="474" t="s">
        <v>37</v>
      </c>
      <c r="AR458" s="474"/>
      <c r="AS458" s="473" t="s">
        <v>1492</v>
      </c>
      <c r="AT458" s="346"/>
      <c r="AU458" s="478"/>
      <c r="AV458" s="471"/>
      <c r="AW458" s="471"/>
      <c r="AX458" s="471"/>
      <c r="AY458" s="471"/>
      <c r="AZ458" s="471"/>
      <c r="BA458" s="471"/>
      <c r="BB458" s="471"/>
      <c r="BC458" s="471"/>
    </row>
    <row r="459" spans="1:55">
      <c r="A459" s="495"/>
      <c r="B459" s="407"/>
      <c r="C459" s="407"/>
      <c r="D459" s="485" t="s">
        <v>86</v>
      </c>
      <c r="E459" s="474" t="s">
        <v>5469</v>
      </c>
      <c r="F459" s="486"/>
      <c r="G459" s="380">
        <v>2022</v>
      </c>
      <c r="H459" s="474">
        <v>11</v>
      </c>
      <c r="I459" s="474"/>
      <c r="J459" s="475"/>
      <c r="K459" s="474">
        <v>1205</v>
      </c>
      <c r="L459" s="474" t="s">
        <v>1754</v>
      </c>
      <c r="M459" s="475">
        <v>44585</v>
      </c>
      <c r="N459" s="475">
        <v>44866</v>
      </c>
      <c r="O459" s="475"/>
      <c r="P459" s="475"/>
      <c r="Q459" s="475"/>
      <c r="R459" s="475"/>
      <c r="S459" s="474" t="s">
        <v>1688</v>
      </c>
      <c r="T459" s="474">
        <v>72</v>
      </c>
      <c r="U459" s="486"/>
      <c r="V459" s="474" t="s">
        <v>1002</v>
      </c>
      <c r="W459" s="474">
        <v>480</v>
      </c>
      <c r="X459" s="432">
        <v>1276</v>
      </c>
      <c r="Y459" s="389">
        <f t="shared" si="101"/>
        <v>612480</v>
      </c>
      <c r="Z459" s="478">
        <f>237.6/480</f>
        <v>0.495</v>
      </c>
      <c r="AA459" s="480">
        <f t="shared" si="102"/>
        <v>303177.59999999998</v>
      </c>
      <c r="AB459" s="480"/>
      <c r="AC459" s="481">
        <f>AB459*Y459</f>
        <v>0</v>
      </c>
      <c r="AD459" s="474"/>
      <c r="AE459" s="474"/>
      <c r="AF459" s="493">
        <f t="shared" si="103"/>
        <v>303177.59999999998</v>
      </c>
      <c r="AG459" s="474" t="s">
        <v>1071</v>
      </c>
      <c r="AH459" s="474">
        <v>100</v>
      </c>
      <c r="AI459" s="474">
        <v>0</v>
      </c>
      <c r="AJ459" s="475" t="s">
        <v>1756</v>
      </c>
      <c r="AK459" s="475" t="s">
        <v>50</v>
      </c>
      <c r="AL459" s="483">
        <v>92010</v>
      </c>
      <c r="AM459" s="474" t="s">
        <v>52</v>
      </c>
      <c r="AN459" s="384"/>
      <c r="AO459" s="474" t="s">
        <v>1076</v>
      </c>
      <c r="AP459" s="482"/>
      <c r="AQ459" s="474" t="s">
        <v>37</v>
      </c>
      <c r="AR459" s="474"/>
      <c r="AS459" s="473"/>
      <c r="AT459" s="346"/>
      <c r="AU459" s="478"/>
      <c r="AV459" s="471"/>
      <c r="AW459" s="471"/>
      <c r="AX459" s="471"/>
      <c r="AY459" s="471"/>
      <c r="AZ459" s="471"/>
      <c r="BA459" s="471"/>
      <c r="BB459" s="471"/>
      <c r="BC459" s="471"/>
    </row>
    <row r="460" spans="1:55">
      <c r="A460" s="495"/>
      <c r="B460" s="495"/>
      <c r="C460" s="495"/>
      <c r="D460" s="474" t="s">
        <v>86</v>
      </c>
      <c r="E460" s="474"/>
      <c r="F460" s="474"/>
      <c r="G460" s="380">
        <v>2022</v>
      </c>
      <c r="H460" s="474">
        <v>12</v>
      </c>
      <c r="I460" s="474"/>
      <c r="J460" s="475"/>
      <c r="K460" s="474" t="s">
        <v>1750</v>
      </c>
      <c r="L460" s="474" t="s">
        <v>1693</v>
      </c>
      <c r="M460" s="475">
        <v>44595</v>
      </c>
      <c r="N460" s="475">
        <v>44900</v>
      </c>
      <c r="O460" s="475"/>
      <c r="P460" s="475"/>
      <c r="Q460" s="475"/>
      <c r="R460" s="475"/>
      <c r="S460" s="474" t="s">
        <v>88</v>
      </c>
      <c r="T460" s="474">
        <v>60</v>
      </c>
      <c r="U460" s="474"/>
      <c r="V460" s="474" t="s">
        <v>986</v>
      </c>
      <c r="W460" s="474">
        <v>360</v>
      </c>
      <c r="X460" s="432">
        <v>1664</v>
      </c>
      <c r="Y460" s="389">
        <f t="shared" si="101"/>
        <v>599040</v>
      </c>
      <c r="Z460" s="478">
        <f>190.8/360</f>
        <v>0.53</v>
      </c>
      <c r="AA460" s="479">
        <f t="shared" si="102"/>
        <v>317491.20000000001</v>
      </c>
      <c r="AB460" s="480"/>
      <c r="AC460" s="481">
        <v>0</v>
      </c>
      <c r="AD460" s="490"/>
      <c r="AE460" s="482"/>
      <c r="AF460" s="493">
        <f t="shared" si="103"/>
        <v>317491.20000000001</v>
      </c>
      <c r="AG460" s="474" t="s">
        <v>1071</v>
      </c>
      <c r="AH460" s="474"/>
      <c r="AI460" s="474">
        <v>60</v>
      </c>
      <c r="AJ460" s="474" t="s">
        <v>1694</v>
      </c>
      <c r="AK460" s="474" t="s">
        <v>1144</v>
      </c>
      <c r="AL460" s="474">
        <v>92806</v>
      </c>
      <c r="AM460" s="474" t="s">
        <v>52</v>
      </c>
      <c r="AN460" s="474"/>
      <c r="AO460" s="474" t="s">
        <v>1076</v>
      </c>
      <c r="AP460" s="482" t="s">
        <v>92</v>
      </c>
      <c r="AQ460" s="482" t="s">
        <v>37</v>
      </c>
      <c r="AR460" s="482" t="s">
        <v>1216</v>
      </c>
      <c r="AS460" s="473" t="s">
        <v>1492</v>
      </c>
      <c r="AT460" s="346"/>
      <c r="AU460" s="478">
        <f>180/360</f>
        <v>0.5</v>
      </c>
      <c r="AV460" s="471"/>
      <c r="AW460" s="471"/>
      <c r="AX460" s="471"/>
      <c r="AY460" s="471"/>
      <c r="AZ460" s="471"/>
      <c r="BA460" s="471"/>
      <c r="BB460" s="471"/>
      <c r="BC460" s="471"/>
    </row>
    <row r="461" spans="1:55">
      <c r="A461" s="495"/>
      <c r="B461" s="495"/>
      <c r="C461" s="495"/>
      <c r="D461" s="474" t="s">
        <v>86</v>
      </c>
      <c r="E461" s="474"/>
      <c r="F461" s="474"/>
      <c r="G461" s="380">
        <v>2022</v>
      </c>
      <c r="H461" s="474">
        <v>12</v>
      </c>
      <c r="I461" s="474"/>
      <c r="J461" s="475"/>
      <c r="K461" s="474" t="s">
        <v>1750</v>
      </c>
      <c r="L461" s="474" t="s">
        <v>1693</v>
      </c>
      <c r="M461" s="475">
        <v>44595</v>
      </c>
      <c r="N461" s="475">
        <v>44900</v>
      </c>
      <c r="O461" s="475"/>
      <c r="P461" s="475"/>
      <c r="Q461" s="475"/>
      <c r="R461" s="475"/>
      <c r="S461" s="474" t="s">
        <v>88</v>
      </c>
      <c r="T461" s="474">
        <v>60</v>
      </c>
      <c r="U461" s="474"/>
      <c r="V461" s="474" t="s">
        <v>973</v>
      </c>
      <c r="W461" s="474">
        <v>400</v>
      </c>
      <c r="X461" s="432">
        <v>1536</v>
      </c>
      <c r="Y461" s="389">
        <f t="shared" si="101"/>
        <v>614400</v>
      </c>
      <c r="Z461" s="478">
        <f>220/400</f>
        <v>0.55000000000000004</v>
      </c>
      <c r="AA461" s="479">
        <f t="shared" si="102"/>
        <v>337920</v>
      </c>
      <c r="AB461" s="480"/>
      <c r="AC461" s="481">
        <v>0</v>
      </c>
      <c r="AD461" s="490"/>
      <c r="AE461" s="482"/>
      <c r="AF461" s="493">
        <f t="shared" si="103"/>
        <v>337920</v>
      </c>
      <c r="AG461" s="474" t="s">
        <v>1071</v>
      </c>
      <c r="AH461" s="474"/>
      <c r="AI461" s="474">
        <v>60</v>
      </c>
      <c r="AJ461" s="474" t="s">
        <v>1694</v>
      </c>
      <c r="AK461" s="474" t="s">
        <v>1144</v>
      </c>
      <c r="AL461" s="474">
        <v>92806</v>
      </c>
      <c r="AM461" s="474" t="s">
        <v>52</v>
      </c>
      <c r="AN461" s="474"/>
      <c r="AO461" s="474" t="s">
        <v>1076</v>
      </c>
      <c r="AP461" s="482" t="s">
        <v>92</v>
      </c>
      <c r="AQ461" s="482" t="s">
        <v>37</v>
      </c>
      <c r="AR461" s="482" t="s">
        <v>1216</v>
      </c>
      <c r="AS461" s="473" t="s">
        <v>1492</v>
      </c>
      <c r="AT461" s="346"/>
      <c r="AU461" s="478">
        <f>180/360</f>
        <v>0.5</v>
      </c>
      <c r="AV461" s="471"/>
      <c r="AW461" s="471"/>
      <c r="AX461" s="471"/>
      <c r="AY461" s="471"/>
      <c r="AZ461" s="471"/>
      <c r="BA461" s="471"/>
      <c r="BB461" s="471"/>
      <c r="BC461" s="471"/>
    </row>
    <row r="462" spans="1:55">
      <c r="A462" s="495"/>
      <c r="B462" s="495"/>
      <c r="C462" s="495"/>
      <c r="D462" s="474" t="s">
        <v>86</v>
      </c>
      <c r="E462" s="474"/>
      <c r="F462" s="474"/>
      <c r="G462" s="380">
        <v>2022</v>
      </c>
      <c r="H462" s="474">
        <v>12</v>
      </c>
      <c r="I462" s="474"/>
      <c r="J462" s="475"/>
      <c r="K462" s="474" t="s">
        <v>1749</v>
      </c>
      <c r="L462" s="474" t="s">
        <v>1693</v>
      </c>
      <c r="M462" s="475">
        <v>44595</v>
      </c>
      <c r="N462" s="475">
        <v>44900</v>
      </c>
      <c r="O462" s="475"/>
      <c r="P462" s="475"/>
      <c r="Q462" s="475"/>
      <c r="R462" s="475"/>
      <c r="S462" s="474" t="s">
        <v>88</v>
      </c>
      <c r="T462" s="474">
        <v>60</v>
      </c>
      <c r="U462" s="474"/>
      <c r="V462" s="474" t="s">
        <v>1223</v>
      </c>
      <c r="W462" s="474">
        <v>360</v>
      </c>
      <c r="X462" s="432">
        <v>832</v>
      </c>
      <c r="Y462" s="389">
        <f t="shared" si="101"/>
        <v>299520</v>
      </c>
      <c r="Z462" s="478">
        <f>298.8/360</f>
        <v>0.83000000000000007</v>
      </c>
      <c r="AA462" s="479">
        <f t="shared" si="102"/>
        <v>248601.60000000003</v>
      </c>
      <c r="AB462" s="480"/>
      <c r="AC462" s="481">
        <v>0</v>
      </c>
      <c r="AD462" s="490"/>
      <c r="AE462" s="482"/>
      <c r="AF462" s="493">
        <f t="shared" si="103"/>
        <v>248601.60000000003</v>
      </c>
      <c r="AG462" s="474" t="s">
        <v>1071</v>
      </c>
      <c r="AH462" s="474"/>
      <c r="AI462" s="474">
        <v>60</v>
      </c>
      <c r="AJ462" s="474" t="s">
        <v>1694</v>
      </c>
      <c r="AK462" s="474" t="s">
        <v>1144</v>
      </c>
      <c r="AL462" s="474">
        <v>92806</v>
      </c>
      <c r="AM462" s="474" t="s">
        <v>52</v>
      </c>
      <c r="AN462" s="474"/>
      <c r="AO462" s="474" t="s">
        <v>1076</v>
      </c>
      <c r="AP462" s="482" t="s">
        <v>92</v>
      </c>
      <c r="AQ462" s="482" t="s">
        <v>37</v>
      </c>
      <c r="AR462" s="482" t="s">
        <v>1216</v>
      </c>
      <c r="AS462" s="473" t="s">
        <v>1492</v>
      </c>
      <c r="AT462" s="346"/>
      <c r="AU462" s="478">
        <f>180/360</f>
        <v>0.5</v>
      </c>
      <c r="AV462" s="471"/>
      <c r="AW462" s="471"/>
      <c r="AX462" s="471"/>
      <c r="AY462" s="471"/>
      <c r="AZ462" s="471"/>
      <c r="BA462" s="471"/>
      <c r="BB462" s="471"/>
      <c r="BC462" s="471"/>
    </row>
    <row r="463" spans="1:55">
      <c r="A463" s="495"/>
      <c r="B463" s="407"/>
      <c r="C463" s="407"/>
      <c r="D463" s="485" t="s">
        <v>86</v>
      </c>
      <c r="E463" s="474" t="s">
        <v>5469</v>
      </c>
      <c r="F463" s="486"/>
      <c r="G463" s="380">
        <v>2022</v>
      </c>
      <c r="H463" s="474">
        <v>11</v>
      </c>
      <c r="I463" s="474"/>
      <c r="J463" s="475"/>
      <c r="K463" s="474">
        <v>1206</v>
      </c>
      <c r="L463" s="474" t="s">
        <v>1754</v>
      </c>
      <c r="M463" s="475">
        <v>44585</v>
      </c>
      <c r="N463" s="475">
        <v>44886</v>
      </c>
      <c r="O463" s="475"/>
      <c r="P463" s="475"/>
      <c r="Q463" s="475"/>
      <c r="R463" s="475"/>
      <c r="S463" s="474" t="s">
        <v>1688</v>
      </c>
      <c r="T463" s="474">
        <v>72</v>
      </c>
      <c r="U463" s="486"/>
      <c r="V463" s="474" t="s">
        <v>1002</v>
      </c>
      <c r="W463" s="474">
        <v>480</v>
      </c>
      <c r="X463" s="432">
        <v>1276</v>
      </c>
      <c r="Y463" s="389">
        <f t="shared" si="101"/>
        <v>612480</v>
      </c>
      <c r="Z463" s="478">
        <f>237.6/480</f>
        <v>0.495</v>
      </c>
      <c r="AA463" s="480">
        <f t="shared" si="102"/>
        <v>303177.59999999998</v>
      </c>
      <c r="AB463" s="480"/>
      <c r="AC463" s="481">
        <f>AB463*Y463</f>
        <v>0</v>
      </c>
      <c r="AD463" s="474"/>
      <c r="AE463" s="474"/>
      <c r="AF463" s="493">
        <f t="shared" si="103"/>
        <v>303177.59999999998</v>
      </c>
      <c r="AG463" s="474" t="s">
        <v>1071</v>
      </c>
      <c r="AH463" s="474">
        <v>100</v>
      </c>
      <c r="AI463" s="474">
        <v>0</v>
      </c>
      <c r="AJ463" s="475" t="s">
        <v>1756</v>
      </c>
      <c r="AK463" s="475" t="s">
        <v>50</v>
      </c>
      <c r="AL463" s="483">
        <v>92010</v>
      </c>
      <c r="AM463" s="474" t="s">
        <v>52</v>
      </c>
      <c r="AN463" s="384"/>
      <c r="AO463" s="474" t="s">
        <v>1076</v>
      </c>
      <c r="AP463" s="482"/>
      <c r="AQ463" s="474" t="s">
        <v>37</v>
      </c>
      <c r="AR463" s="474"/>
      <c r="AS463" s="473"/>
      <c r="AT463" s="346"/>
      <c r="AU463" s="478"/>
      <c r="AV463" s="471"/>
      <c r="AW463" s="471"/>
      <c r="AX463" s="471"/>
      <c r="AY463" s="471"/>
      <c r="AZ463" s="471"/>
      <c r="BA463" s="471"/>
      <c r="BB463" s="471"/>
      <c r="BC463" s="471"/>
    </row>
    <row r="464" spans="1:55">
      <c r="A464" s="495"/>
      <c r="B464" s="407">
        <v>44628</v>
      </c>
      <c r="C464" s="407">
        <v>44628</v>
      </c>
      <c r="D464" s="485" t="s">
        <v>86</v>
      </c>
      <c r="E464" s="474"/>
      <c r="F464" s="486"/>
      <c r="G464" s="380">
        <v>2022</v>
      </c>
      <c r="H464" s="474">
        <v>12</v>
      </c>
      <c r="I464" s="474"/>
      <c r="J464" s="475"/>
      <c r="K464" s="474" t="s">
        <v>1866</v>
      </c>
      <c r="L464" s="474" t="s">
        <v>1798</v>
      </c>
      <c r="M464" s="475">
        <v>44568</v>
      </c>
      <c r="N464" s="475">
        <v>44896</v>
      </c>
      <c r="O464" s="475"/>
      <c r="P464" s="475"/>
      <c r="Q464" s="475"/>
      <c r="R464" s="475"/>
      <c r="S464" s="474" t="s">
        <v>1688</v>
      </c>
      <c r="T464" s="474">
        <v>60</v>
      </c>
      <c r="U464" s="486">
        <v>49401139</v>
      </c>
      <c r="V464" s="474" t="s">
        <v>1223</v>
      </c>
      <c r="W464" s="474">
        <v>360</v>
      </c>
      <c r="X464" s="432">
        <v>676</v>
      </c>
      <c r="Y464" s="389">
        <f t="shared" si="101"/>
        <v>243360</v>
      </c>
      <c r="Z464" s="478">
        <f>298.8/360</f>
        <v>0.83000000000000007</v>
      </c>
      <c r="AA464" s="480">
        <f t="shared" si="102"/>
        <v>201988.80000000002</v>
      </c>
      <c r="AB464" s="480"/>
      <c r="AC464" s="481">
        <v>0</v>
      </c>
      <c r="AD464" s="474"/>
      <c r="AE464" s="474"/>
      <c r="AF464" s="493">
        <f t="shared" si="103"/>
        <v>201988.80000000002</v>
      </c>
      <c r="AG464" s="474" t="s">
        <v>1071</v>
      </c>
      <c r="AH464" s="474"/>
      <c r="AI464" s="474">
        <v>60</v>
      </c>
      <c r="AJ464" s="475" t="s">
        <v>1799</v>
      </c>
      <c r="AK464" s="475" t="s">
        <v>50</v>
      </c>
      <c r="AL464" s="483">
        <v>91311</v>
      </c>
      <c r="AM464" s="474" t="s">
        <v>52</v>
      </c>
      <c r="AN464" s="384" t="s">
        <v>1074</v>
      </c>
      <c r="AO464" s="474" t="s">
        <v>1076</v>
      </c>
      <c r="AP464" s="482"/>
      <c r="AQ464" s="474" t="s">
        <v>37</v>
      </c>
      <c r="AR464" s="474"/>
      <c r="AS464" s="473"/>
      <c r="AT464" s="346"/>
      <c r="AU464" s="478">
        <v>0.72</v>
      </c>
      <c r="AV464" s="471"/>
      <c r="AW464" s="471"/>
      <c r="AX464" s="471"/>
      <c r="AY464" s="471"/>
      <c r="AZ464" s="471"/>
      <c r="BA464" s="471"/>
      <c r="BB464" s="471"/>
      <c r="BC464" s="471"/>
    </row>
    <row r="465" spans="1:55">
      <c r="A465" s="495"/>
      <c r="B465" s="407">
        <v>44589</v>
      </c>
      <c r="C465" s="407">
        <v>44589</v>
      </c>
      <c r="D465" s="485" t="s">
        <v>86</v>
      </c>
      <c r="E465" s="474"/>
      <c r="F465" s="486" t="s">
        <v>87</v>
      </c>
      <c r="G465" s="380">
        <v>2022</v>
      </c>
      <c r="H465" s="474">
        <v>12</v>
      </c>
      <c r="I465" s="474"/>
      <c r="J465" s="475"/>
      <c r="K465" s="474" t="s">
        <v>1941</v>
      </c>
      <c r="L465" s="474" t="s">
        <v>1842</v>
      </c>
      <c r="M465" s="475">
        <v>44924</v>
      </c>
      <c r="N465" s="475">
        <v>44924</v>
      </c>
      <c r="O465" s="475"/>
      <c r="P465" s="475"/>
      <c r="Q465" s="475"/>
      <c r="R465" s="475"/>
      <c r="S465" s="474" t="s">
        <v>88</v>
      </c>
      <c r="T465" s="474">
        <v>72</v>
      </c>
      <c r="U465" s="486">
        <v>49303156</v>
      </c>
      <c r="V465" s="474" t="s">
        <v>1070</v>
      </c>
      <c r="W465" s="474">
        <v>480</v>
      </c>
      <c r="X465" s="432">
        <v>1276</v>
      </c>
      <c r="Y465" s="389">
        <f t="shared" si="101"/>
        <v>612480</v>
      </c>
      <c r="Z465" s="478">
        <f>225.6/480</f>
        <v>0.47</v>
      </c>
      <c r="AA465" s="480">
        <f t="shared" si="102"/>
        <v>287865.59999999998</v>
      </c>
      <c r="AB465" s="480"/>
      <c r="AC465" s="481">
        <v>0</v>
      </c>
      <c r="AD465" s="474"/>
      <c r="AE465" s="474"/>
      <c r="AF465" s="493">
        <f t="shared" si="103"/>
        <v>287865.59999999998</v>
      </c>
      <c r="AG465" s="474" t="s">
        <v>1071</v>
      </c>
      <c r="AH465" s="474"/>
      <c r="AI465" s="474">
        <v>60</v>
      </c>
      <c r="AJ465" s="475" t="s">
        <v>1860</v>
      </c>
      <c r="AK465" s="475" t="s">
        <v>50</v>
      </c>
      <c r="AL465" s="483">
        <v>93703</v>
      </c>
      <c r="AM465" s="474" t="s">
        <v>52</v>
      </c>
      <c r="AN465" s="384" t="s">
        <v>1695</v>
      </c>
      <c r="AO465" s="474" t="s">
        <v>1076</v>
      </c>
      <c r="AP465" s="482"/>
      <c r="AQ465" s="474" t="s">
        <v>1086</v>
      </c>
      <c r="AR465" s="474"/>
      <c r="AS465" s="473" t="s">
        <v>1492</v>
      </c>
      <c r="AT465" s="346"/>
      <c r="AU465" s="478"/>
      <c r="AV465" s="471"/>
      <c r="AW465" s="471"/>
      <c r="AX465" s="471"/>
      <c r="AY465" s="471"/>
      <c r="AZ465" s="471"/>
      <c r="BA465" s="471"/>
      <c r="BB465" s="471"/>
      <c r="BC465" s="471"/>
    </row>
    <row r="466" spans="1:55">
      <c r="A466" s="495"/>
      <c r="B466" s="407">
        <v>44617</v>
      </c>
      <c r="C466" s="407">
        <v>44616</v>
      </c>
      <c r="D466" s="485" t="s">
        <v>86</v>
      </c>
      <c r="E466" s="474"/>
      <c r="F466" s="486"/>
      <c r="G466" s="380">
        <v>2022</v>
      </c>
      <c r="H466" s="474">
        <v>12</v>
      </c>
      <c r="I466" s="474"/>
      <c r="J466" s="475"/>
      <c r="K466" s="474" t="s">
        <v>2142</v>
      </c>
      <c r="L466" s="474" t="s">
        <v>1956</v>
      </c>
      <c r="M466" s="475">
        <v>44589</v>
      </c>
      <c r="N466" s="475">
        <v>44900</v>
      </c>
      <c r="O466" s="475"/>
      <c r="P466" s="475"/>
      <c r="Q466" s="475"/>
      <c r="R466" s="475"/>
      <c r="S466" s="474" t="s">
        <v>1704</v>
      </c>
      <c r="T466" s="474">
        <v>60</v>
      </c>
      <c r="U466" s="486"/>
      <c r="V466" s="474" t="s">
        <v>986</v>
      </c>
      <c r="W466" s="474">
        <v>360</v>
      </c>
      <c r="X466" s="432">
        <v>4992</v>
      </c>
      <c r="Y466" s="389">
        <f t="shared" si="101"/>
        <v>1797120</v>
      </c>
      <c r="Z466" s="478">
        <f>190.8/360</f>
        <v>0.53</v>
      </c>
      <c r="AA466" s="480">
        <f t="shared" si="102"/>
        <v>952473.60000000009</v>
      </c>
      <c r="AB466" s="480"/>
      <c r="AC466" s="481">
        <f>AB466*Y466</f>
        <v>0</v>
      </c>
      <c r="AD466" s="474"/>
      <c r="AE466" s="474"/>
      <c r="AF466" s="493">
        <f t="shared" si="103"/>
        <v>952473.60000000009</v>
      </c>
      <c r="AG466" s="474" t="s">
        <v>1071</v>
      </c>
      <c r="AH466" s="474"/>
      <c r="AI466" s="474">
        <v>60</v>
      </c>
      <c r="AJ466" s="475" t="s">
        <v>1790</v>
      </c>
      <c r="AK466" s="475" t="s">
        <v>50</v>
      </c>
      <c r="AL466" s="483">
        <v>95834</v>
      </c>
      <c r="AM466" s="474" t="s">
        <v>52</v>
      </c>
      <c r="AN466" s="384" t="s">
        <v>1074</v>
      </c>
      <c r="AO466" s="474" t="s">
        <v>1076</v>
      </c>
      <c r="AP466" s="482"/>
      <c r="AQ466" s="474" t="s">
        <v>37</v>
      </c>
      <c r="AR466" s="474"/>
      <c r="AS466" s="473"/>
      <c r="AT466" s="346"/>
      <c r="AU466" s="478">
        <f>180/360</f>
        <v>0.5</v>
      </c>
      <c r="AV466" s="471"/>
      <c r="AW466" s="471"/>
      <c r="AX466" s="471"/>
      <c r="AY466" s="471"/>
      <c r="AZ466" s="471"/>
      <c r="BA466" s="471"/>
      <c r="BB466" s="471"/>
      <c r="BC466" s="471"/>
    </row>
    <row r="467" spans="1:55">
      <c r="A467" s="495"/>
      <c r="B467" s="407"/>
      <c r="C467" s="407"/>
      <c r="D467" s="485" t="s">
        <v>86</v>
      </c>
      <c r="E467" s="474" t="s">
        <v>5472</v>
      </c>
      <c r="F467" s="486"/>
      <c r="G467" s="380">
        <v>2022</v>
      </c>
      <c r="H467" s="474">
        <v>12</v>
      </c>
      <c r="I467" s="474"/>
      <c r="J467" s="475"/>
      <c r="K467" s="474" t="s">
        <v>1732</v>
      </c>
      <c r="L467" s="474" t="s">
        <v>1693</v>
      </c>
      <c r="M467" s="475">
        <v>44617</v>
      </c>
      <c r="N467" s="475">
        <v>44896</v>
      </c>
      <c r="O467" s="475"/>
      <c r="P467" s="475"/>
      <c r="Q467" s="475"/>
      <c r="R467" s="475"/>
      <c r="S467" s="474" t="s">
        <v>88</v>
      </c>
      <c r="T467" s="474">
        <v>72</v>
      </c>
      <c r="U467" s="486"/>
      <c r="V467" s="474" t="s">
        <v>1110</v>
      </c>
      <c r="W467" s="474">
        <v>485</v>
      </c>
      <c r="X467" s="432">
        <v>638</v>
      </c>
      <c r="Y467" s="389">
        <f t="shared" si="101"/>
        <v>309430</v>
      </c>
      <c r="Z467" s="478">
        <f>244.93/485</f>
        <v>0.50501030927835056</v>
      </c>
      <c r="AA467" s="480">
        <f t="shared" si="102"/>
        <v>156265.34000000003</v>
      </c>
      <c r="AB467" s="480"/>
      <c r="AC467" s="481">
        <v>0</v>
      </c>
      <c r="AD467" s="474"/>
      <c r="AE467" s="474"/>
      <c r="AF467" s="493">
        <f t="shared" si="103"/>
        <v>156265.34000000003</v>
      </c>
      <c r="AG467" s="474" t="s">
        <v>1071</v>
      </c>
      <c r="AH467" s="474"/>
      <c r="AI467" s="474">
        <v>60</v>
      </c>
      <c r="AJ467" s="475" t="s">
        <v>1694</v>
      </c>
      <c r="AK467" s="475" t="s">
        <v>50</v>
      </c>
      <c r="AL467" s="483" t="s">
        <v>1725</v>
      </c>
      <c r="AM467" s="474" t="s">
        <v>52</v>
      </c>
      <c r="AN467" s="384" t="s">
        <v>50</v>
      </c>
      <c r="AO467" s="474" t="s">
        <v>1076</v>
      </c>
      <c r="AP467" s="482" t="s">
        <v>38</v>
      </c>
      <c r="AQ467" s="474" t="s">
        <v>37</v>
      </c>
      <c r="AR467" s="474"/>
      <c r="AS467" s="473" t="s">
        <v>1075</v>
      </c>
      <c r="AT467" s="346"/>
      <c r="AU467" s="478">
        <v>0.52</v>
      </c>
      <c r="AV467" s="471"/>
      <c r="AW467" s="471"/>
      <c r="AX467" s="471"/>
      <c r="AY467" s="471"/>
      <c r="AZ467" s="471"/>
      <c r="BA467" s="471"/>
      <c r="BB467" s="471"/>
      <c r="BC467" s="471"/>
    </row>
    <row r="468" spans="1:55">
      <c r="A468" s="495"/>
      <c r="B468" s="407"/>
      <c r="C468" s="407"/>
      <c r="D468" s="485" t="s">
        <v>86</v>
      </c>
      <c r="E468" s="474" t="s">
        <v>2030</v>
      </c>
      <c r="F468" s="486" t="s">
        <v>87</v>
      </c>
      <c r="G468" s="380">
        <v>2022</v>
      </c>
      <c r="H468" s="474">
        <v>12</v>
      </c>
      <c r="I468" s="474"/>
      <c r="J468" s="475"/>
      <c r="K468" s="474" t="s">
        <v>2229</v>
      </c>
      <c r="L468" s="474" t="s">
        <v>2025</v>
      </c>
      <c r="M468" s="475">
        <v>44621</v>
      </c>
      <c r="N468" s="475">
        <v>44896</v>
      </c>
      <c r="O468" s="475"/>
      <c r="P468" s="475"/>
      <c r="Q468" s="475"/>
      <c r="R468" s="475"/>
      <c r="S468" s="474" t="s">
        <v>1957</v>
      </c>
      <c r="T468" s="474">
        <v>72</v>
      </c>
      <c r="U468" s="486">
        <v>49303156</v>
      </c>
      <c r="V468" s="474" t="s">
        <v>2032</v>
      </c>
      <c r="W468" s="474">
        <v>480</v>
      </c>
      <c r="X468" s="432">
        <v>1160</v>
      </c>
      <c r="Y468" s="389">
        <f t="shared" si="101"/>
        <v>556800</v>
      </c>
      <c r="Z468" s="478">
        <f>232.75/480</f>
        <v>0.48489583333333336</v>
      </c>
      <c r="AA468" s="480">
        <f t="shared" si="102"/>
        <v>269990</v>
      </c>
      <c r="AB468" s="480"/>
      <c r="AC468" s="481">
        <f>AB468*Y468</f>
        <v>0</v>
      </c>
      <c r="AD468" s="474"/>
      <c r="AE468" s="474"/>
      <c r="AF468" s="493">
        <f t="shared" si="103"/>
        <v>269990</v>
      </c>
      <c r="AG468" s="474" t="s">
        <v>1071</v>
      </c>
      <c r="AH468" s="474"/>
      <c r="AI468" s="474">
        <v>60</v>
      </c>
      <c r="AJ468" s="475" t="s">
        <v>2026</v>
      </c>
      <c r="AK468" s="475" t="s">
        <v>50</v>
      </c>
      <c r="AL468" s="483">
        <v>95403</v>
      </c>
      <c r="AM468" s="474" t="s">
        <v>52</v>
      </c>
      <c r="AN468" s="384" t="s">
        <v>1695</v>
      </c>
      <c r="AO468" s="474" t="s">
        <v>1076</v>
      </c>
      <c r="AP468" s="482"/>
      <c r="AQ468" s="474" t="s">
        <v>37</v>
      </c>
      <c r="AR468" s="474"/>
      <c r="AS468" s="473" t="s">
        <v>1492</v>
      </c>
      <c r="AT468" s="346"/>
      <c r="AU468" s="478"/>
      <c r="AV468" s="471"/>
      <c r="AW468" s="471"/>
      <c r="AX468" s="471"/>
      <c r="AY468" s="471"/>
      <c r="AZ468" s="471"/>
      <c r="BA468" s="471"/>
      <c r="BB468" s="471"/>
      <c r="BC468" s="471"/>
    </row>
    <row r="469" spans="1:55">
      <c r="A469" s="495"/>
      <c r="B469" s="407">
        <v>44627</v>
      </c>
      <c r="C469" s="407">
        <v>44627</v>
      </c>
      <c r="D469" s="485" t="s">
        <v>86</v>
      </c>
      <c r="E469" s="383"/>
      <c r="F469" s="474"/>
      <c r="G469" s="380">
        <v>2022</v>
      </c>
      <c r="H469" s="380">
        <v>12</v>
      </c>
      <c r="I469" s="474"/>
      <c r="J469" s="475"/>
      <c r="K469" s="474" t="s">
        <v>2267</v>
      </c>
      <c r="L469" s="474" t="s">
        <v>1703</v>
      </c>
      <c r="M469" s="475">
        <v>44615</v>
      </c>
      <c r="N469" s="475">
        <v>44896</v>
      </c>
      <c r="O469" s="475"/>
      <c r="P469" s="345"/>
      <c r="Q469" s="475"/>
      <c r="R469" s="475"/>
      <c r="S469" s="474" t="s">
        <v>1704</v>
      </c>
      <c r="T469" s="474">
        <v>60</v>
      </c>
      <c r="U469" s="474"/>
      <c r="V469" s="486" t="s">
        <v>973</v>
      </c>
      <c r="W469" s="474">
        <v>400</v>
      </c>
      <c r="X469" s="432">
        <v>2304</v>
      </c>
      <c r="Y469" s="389">
        <v>921600</v>
      </c>
      <c r="Z469" s="478">
        <v>0.55000000000000004</v>
      </c>
      <c r="AA469" s="479">
        <v>506880.00000000006</v>
      </c>
      <c r="AB469" s="480"/>
      <c r="AC469" s="481">
        <v>0</v>
      </c>
      <c r="AD469" s="474"/>
      <c r="AE469" s="474"/>
      <c r="AF469" s="493">
        <v>506880.00000000006</v>
      </c>
      <c r="AG469" s="474" t="s">
        <v>1071</v>
      </c>
      <c r="AH469" s="474"/>
      <c r="AI469" s="474">
        <v>60</v>
      </c>
      <c r="AJ469" s="475" t="s">
        <v>1705</v>
      </c>
      <c r="AK469" s="475" t="s">
        <v>1706</v>
      </c>
      <c r="AL469" s="483" t="s">
        <v>1707</v>
      </c>
      <c r="AM469" s="474" t="s">
        <v>52</v>
      </c>
      <c r="AN469" s="384"/>
      <c r="AO469" s="474" t="s">
        <v>1076</v>
      </c>
      <c r="AP469" s="474"/>
      <c r="AQ469" s="482" t="s">
        <v>37</v>
      </c>
      <c r="AR469" s="474"/>
      <c r="AS469" s="473"/>
      <c r="AT469" s="346"/>
      <c r="AU469" s="478"/>
      <c r="AV469" s="471">
        <f t="shared" ref="AV469:AV474" si="104">U469</f>
        <v>0</v>
      </c>
      <c r="AW469" s="471" cm="1">
        <f t="array" ref="AW469">SUM(MID(0&amp;AV469,LARGE(INDEX(ISNUMBER(--MID(AV469,ROW($1:$8),1))*ROW($1:$8),),ROW($1:$8))+1,1)*10^ROW($1:$8)/10)</f>
        <v>0</v>
      </c>
      <c r="AX469" s="471" t="e">
        <f>VLOOKUP($AW469,'Item Master Data'!$A:$F,3,FALSE)</f>
        <v>#N/A</v>
      </c>
      <c r="AY469" s="471" t="e">
        <f>VLOOKUP($AW469,'Item Master Data'!$A:$F,6,FALSE)</f>
        <v>#N/A</v>
      </c>
      <c r="AZ469" s="471" t="e">
        <f t="shared" ref="AZ469:AZ474" si="105">X469/BA469</f>
        <v>#N/A</v>
      </c>
      <c r="BA469" s="471" t="e">
        <f>VLOOKUP(AW469,'Item Master Data'!$A:$G,7,FALSE)</f>
        <v>#N/A</v>
      </c>
      <c r="BB469" s="471"/>
      <c r="BC469" s="471" t="e">
        <f t="shared" ref="BC469:BC474" si="106">W469-AY469</f>
        <v>#N/A</v>
      </c>
    </row>
    <row r="470" spans="1:55">
      <c r="A470" s="495"/>
      <c r="B470" s="407">
        <v>44635</v>
      </c>
      <c r="C470" s="407">
        <v>44636</v>
      </c>
      <c r="D470" s="485" t="s">
        <v>86</v>
      </c>
      <c r="E470" s="474"/>
      <c r="F470" s="486" t="s">
        <v>1147</v>
      </c>
      <c r="G470" s="380">
        <v>2022</v>
      </c>
      <c r="H470" s="474">
        <v>4</v>
      </c>
      <c r="I470" s="474">
        <v>128078</v>
      </c>
      <c r="J470" s="475">
        <v>44670</v>
      </c>
      <c r="K470" s="474">
        <v>101491</v>
      </c>
      <c r="L470" s="474" t="s">
        <v>2293</v>
      </c>
      <c r="M470" s="475">
        <v>44481</v>
      </c>
      <c r="N470" s="475">
        <v>44622</v>
      </c>
      <c r="O470" s="475"/>
      <c r="P470" s="475">
        <v>44664</v>
      </c>
      <c r="Q470" s="475">
        <v>44670</v>
      </c>
      <c r="R470" s="475">
        <v>44670</v>
      </c>
      <c r="S470" s="474" t="s">
        <v>1688</v>
      </c>
      <c r="T470" s="474">
        <v>60</v>
      </c>
      <c r="U470" s="486" t="s">
        <v>1760</v>
      </c>
      <c r="V470" s="474" t="s">
        <v>973</v>
      </c>
      <c r="W470" s="474">
        <v>400</v>
      </c>
      <c r="X470" s="432">
        <v>768</v>
      </c>
      <c r="Y470" s="389">
        <f t="shared" ref="Y470:Y487" si="107">W470*X470</f>
        <v>307200</v>
      </c>
      <c r="Z470" s="348">
        <f>230/400</f>
        <v>0.57499999999999996</v>
      </c>
      <c r="AA470" s="480">
        <f t="shared" ref="AA470:AA487" si="108">Z470*Y470</f>
        <v>176640</v>
      </c>
      <c r="AB470" s="480"/>
      <c r="AC470" s="481">
        <f>AB470*Y470</f>
        <v>0</v>
      </c>
      <c r="AD470" s="474"/>
      <c r="AE470" s="398">
        <f>AA470*0.0825</f>
        <v>14572.800000000001</v>
      </c>
      <c r="AF470" s="493">
        <f t="shared" ref="AF470:AF480" si="109">AE470+AD470+AA470</f>
        <v>191212.79999999999</v>
      </c>
      <c r="AG470" s="474" t="s">
        <v>1071</v>
      </c>
      <c r="AH470" s="474">
        <v>100</v>
      </c>
      <c r="AI470" s="474">
        <v>0</v>
      </c>
      <c r="AJ470" s="475" t="s">
        <v>2075</v>
      </c>
      <c r="AK470" s="475" t="s">
        <v>50</v>
      </c>
      <c r="AL470" s="483">
        <v>92058</v>
      </c>
      <c r="AM470" s="474" t="s">
        <v>52</v>
      </c>
      <c r="AN470" s="384" t="s">
        <v>50</v>
      </c>
      <c r="AO470" s="474" t="s">
        <v>1076</v>
      </c>
      <c r="AP470" s="482" t="s">
        <v>38</v>
      </c>
      <c r="AQ470" s="474" t="s">
        <v>37</v>
      </c>
      <c r="AR470" s="474"/>
      <c r="AS470" s="473" t="s">
        <v>1152</v>
      </c>
      <c r="AT470" s="473" t="s">
        <v>1076</v>
      </c>
      <c r="AU470" s="478"/>
      <c r="AV470" s="471" t="str">
        <f t="shared" si="104"/>
        <v>30390156H</v>
      </c>
      <c r="AW470" s="471" cm="1">
        <f t="array" ref="AW470">SUM(MID(0&amp;AV470,LARGE(INDEX(ISNUMBER(--MID(AV470,ROW($1:$8),1))*ROW($1:$8),),ROW($1:$8))+1,1)*10^ROW($1:$8)/10)</f>
        <v>30390156</v>
      </c>
      <c r="AX470" s="471" t="str">
        <f>VLOOKUP($AW470,'Item Master Data'!$A:$F,3,FALSE)</f>
        <v>Q.PEAK DUO BLK ML G10+</v>
      </c>
      <c r="AY470" s="471">
        <f>VLOOKUP($AW470,'Item Master Data'!$A:$F,6,FALSE)</f>
        <v>400</v>
      </c>
      <c r="AZ470" s="471">
        <f t="shared" si="105"/>
        <v>24</v>
      </c>
      <c r="BA470" s="471">
        <f>VLOOKUP(AW470,'Item Master Data'!$A:$G,7,FALSE)</f>
        <v>32</v>
      </c>
      <c r="BB470" s="471"/>
      <c r="BC470" s="471">
        <f t="shared" si="106"/>
        <v>0</v>
      </c>
    </row>
    <row r="471" spans="1:55">
      <c r="A471" s="495"/>
      <c r="B471" s="407"/>
      <c r="C471" s="407"/>
      <c r="D471" s="485" t="s">
        <v>86</v>
      </c>
      <c r="E471" s="385"/>
      <c r="F471" s="664"/>
      <c r="G471" s="380">
        <v>2022</v>
      </c>
      <c r="H471" s="474">
        <v>6</v>
      </c>
      <c r="I471" s="474"/>
      <c r="J471" s="475"/>
      <c r="K471" s="474" t="s">
        <v>5452</v>
      </c>
      <c r="L471" s="474" t="s">
        <v>1953</v>
      </c>
      <c r="M471" s="475">
        <v>44498</v>
      </c>
      <c r="N471" s="475">
        <v>44621</v>
      </c>
      <c r="O471" s="475"/>
      <c r="P471" s="475"/>
      <c r="Q471" s="475"/>
      <c r="R471" s="475"/>
      <c r="S471" s="474" t="s">
        <v>1704</v>
      </c>
      <c r="T471" s="474">
        <v>60</v>
      </c>
      <c r="U471" s="486" t="s">
        <v>1281</v>
      </c>
      <c r="V471" s="474" t="s">
        <v>973</v>
      </c>
      <c r="W471" s="474">
        <v>400</v>
      </c>
      <c r="X471" s="432">
        <v>768</v>
      </c>
      <c r="Y471" s="389">
        <f t="shared" si="107"/>
        <v>307200</v>
      </c>
      <c r="Z471" s="478">
        <f>188/400</f>
        <v>0.47</v>
      </c>
      <c r="AA471" s="480">
        <f t="shared" si="108"/>
        <v>144384</v>
      </c>
      <c r="AB471" s="480"/>
      <c r="AC471" s="481">
        <f>AB471*Y471</f>
        <v>0</v>
      </c>
      <c r="AD471" s="474"/>
      <c r="AE471" s="398">
        <f>AA471*0.0835</f>
        <v>12056.064</v>
      </c>
      <c r="AF471" s="493">
        <f t="shared" si="109"/>
        <v>156440.06400000001</v>
      </c>
      <c r="AG471" s="474" t="s">
        <v>47</v>
      </c>
      <c r="AH471" s="474"/>
      <c r="AI471" s="474">
        <v>60</v>
      </c>
      <c r="AJ471" s="475" t="s">
        <v>1860</v>
      </c>
      <c r="AK471" s="475" t="s">
        <v>50</v>
      </c>
      <c r="AL471" s="483">
        <v>93722</v>
      </c>
      <c r="AM471" s="474" t="s">
        <v>52</v>
      </c>
      <c r="AN471" s="384" t="s">
        <v>50</v>
      </c>
      <c r="AO471" s="474" t="s">
        <v>1076</v>
      </c>
      <c r="AP471" s="482" t="s">
        <v>38</v>
      </c>
      <c r="AQ471" s="474" t="s">
        <v>37</v>
      </c>
      <c r="AR471" s="474"/>
      <c r="AS471" s="473" t="s">
        <v>1152</v>
      </c>
      <c r="AT471" s="346" t="s">
        <v>1076</v>
      </c>
      <c r="AU471" s="478"/>
      <c r="AV471" s="471" t="str">
        <f t="shared" si="104"/>
        <v>30390456H</v>
      </c>
      <c r="AW471" s="471" cm="1">
        <f t="array" ref="AW471">SUM(MID(0&amp;AV471,LARGE(INDEX(ISNUMBER(--MID(AV471,ROW($1:$8),1))*ROW($1:$8),),ROW($1:$8))+1,1)*10^ROW($1:$8)/10)</f>
        <v>30390456</v>
      </c>
      <c r="AX471" s="471" t="str">
        <f>VLOOKUP($AW471,'Item Master Data'!$A:$F,3,FALSE)</f>
        <v>Q.PEAK DUO BLK ML G10+</v>
      </c>
      <c r="AY471" s="471">
        <f>VLOOKUP($AW471,'Item Master Data'!$A:$F,6,FALSE)</f>
        <v>400</v>
      </c>
      <c r="AZ471" s="471">
        <f t="shared" si="105"/>
        <v>24</v>
      </c>
      <c r="BA471" s="471">
        <f>VLOOKUP(AW471,'Item Master Data'!$A:$G,7,FALSE)</f>
        <v>32</v>
      </c>
      <c r="BB471" s="471"/>
      <c r="BC471" s="471">
        <f t="shared" si="106"/>
        <v>0</v>
      </c>
    </row>
    <row r="472" spans="1:55">
      <c r="A472" s="495"/>
      <c r="B472" s="407"/>
      <c r="C472" s="407"/>
      <c r="D472" s="485" t="s">
        <v>86</v>
      </c>
      <c r="E472" s="474" t="s">
        <v>2196</v>
      </c>
      <c r="F472" s="486"/>
      <c r="G472" s="380">
        <v>2022</v>
      </c>
      <c r="H472" s="474">
        <v>5</v>
      </c>
      <c r="I472" s="474"/>
      <c r="J472" s="475"/>
      <c r="K472" s="474" t="s">
        <v>5476</v>
      </c>
      <c r="L472" s="474" t="s">
        <v>1762</v>
      </c>
      <c r="M472" s="475">
        <v>44671</v>
      </c>
      <c r="N472" s="475">
        <v>44671</v>
      </c>
      <c r="O472" s="475"/>
      <c r="P472" s="475"/>
      <c r="Q472" s="475"/>
      <c r="R472" s="475"/>
      <c r="S472" s="474" t="s">
        <v>88</v>
      </c>
      <c r="T472" s="474">
        <v>72</v>
      </c>
      <c r="U472" s="486"/>
      <c r="V472" s="474" t="s">
        <v>1002</v>
      </c>
      <c r="W472" s="474">
        <v>480</v>
      </c>
      <c r="X472" s="432">
        <v>638</v>
      </c>
      <c r="Y472" s="389">
        <f t="shared" si="107"/>
        <v>306240</v>
      </c>
      <c r="Z472" s="478">
        <f>235.2/480</f>
        <v>0.49</v>
      </c>
      <c r="AA472" s="480">
        <f t="shared" si="108"/>
        <v>150057.60000000001</v>
      </c>
      <c r="AB472" s="480"/>
      <c r="AC472" s="481"/>
      <c r="AD472" s="474"/>
      <c r="AE472" s="398"/>
      <c r="AF472" s="493">
        <f t="shared" si="109"/>
        <v>150057.60000000001</v>
      </c>
      <c r="AG472" s="474" t="s">
        <v>1071</v>
      </c>
      <c r="AH472" s="474"/>
      <c r="AI472" s="474">
        <v>60</v>
      </c>
      <c r="AJ472" s="475" t="s">
        <v>1764</v>
      </c>
      <c r="AK472" s="475" t="s">
        <v>50</v>
      </c>
      <c r="AL472" s="483">
        <v>93305</v>
      </c>
      <c r="AM472" s="474" t="s">
        <v>52</v>
      </c>
      <c r="AN472" s="384" t="s">
        <v>1074</v>
      </c>
      <c r="AO472" s="474" t="s">
        <v>1076</v>
      </c>
      <c r="AP472" s="482"/>
      <c r="AQ472" s="474" t="s">
        <v>37</v>
      </c>
      <c r="AR472" s="474" t="s">
        <v>1677</v>
      </c>
      <c r="AS472" s="473"/>
      <c r="AT472" s="473"/>
      <c r="AU472" s="478">
        <v>0.45500000000000002</v>
      </c>
      <c r="AV472" s="471">
        <f t="shared" si="104"/>
        <v>0</v>
      </c>
      <c r="AW472" s="471" cm="1">
        <f t="array" ref="AW472">SUM(MID(0&amp;AV472,LARGE(INDEX(ISNUMBER(--MID(AV472,ROW($1:$8),1))*ROW($1:$8),),ROW($1:$8))+1,1)*10^ROW($1:$8)/10)</f>
        <v>0</v>
      </c>
      <c r="AX472" s="471" t="e">
        <f>VLOOKUP($AW472,'Item Master Data'!$A:$F,3,FALSE)</f>
        <v>#N/A</v>
      </c>
      <c r="AY472" s="471" t="e">
        <f>VLOOKUP($AW472,'Item Master Data'!$A:$F,6,FALSE)</f>
        <v>#N/A</v>
      </c>
      <c r="AZ472" s="471" t="e">
        <f t="shared" si="105"/>
        <v>#N/A</v>
      </c>
      <c r="BA472" s="471" t="e">
        <f>VLOOKUP(AW472,'Item Master Data'!$A:$G,7,FALSE)</f>
        <v>#N/A</v>
      </c>
      <c r="BB472" s="471"/>
      <c r="BC472" s="471" t="e">
        <f t="shared" si="106"/>
        <v>#N/A</v>
      </c>
    </row>
    <row r="473" spans="1:55">
      <c r="A473" s="495"/>
      <c r="B473" s="495"/>
      <c r="C473" s="407"/>
      <c r="D473" s="485" t="s">
        <v>86</v>
      </c>
      <c r="E473" s="383" t="s">
        <v>5478</v>
      </c>
      <c r="F473" s="474"/>
      <c r="G473" s="380">
        <v>2022</v>
      </c>
      <c r="H473" s="380">
        <v>8</v>
      </c>
      <c r="I473" s="474"/>
      <c r="J473" s="475"/>
      <c r="K473" s="474" t="s">
        <v>5477</v>
      </c>
      <c r="L473" s="474" t="s">
        <v>2079</v>
      </c>
      <c r="M473" s="475">
        <v>44662</v>
      </c>
      <c r="N473" s="475">
        <v>44774</v>
      </c>
      <c r="O473" s="475"/>
      <c r="P473" s="345"/>
      <c r="Q473" s="475"/>
      <c r="R473" s="475"/>
      <c r="S473" s="474" t="s">
        <v>88</v>
      </c>
      <c r="T473" s="474">
        <v>72</v>
      </c>
      <c r="U473" s="486"/>
      <c r="V473" s="486" t="s">
        <v>2300</v>
      </c>
      <c r="W473" s="474">
        <v>580</v>
      </c>
      <c r="X473" s="432">
        <v>992</v>
      </c>
      <c r="Y473" s="389">
        <f t="shared" si="107"/>
        <v>575360</v>
      </c>
      <c r="Z473" s="478">
        <f>336.4/580</f>
        <v>0.57999999999999996</v>
      </c>
      <c r="AA473" s="479">
        <f t="shared" si="108"/>
        <v>333708.79999999999</v>
      </c>
      <c r="AB473" s="480"/>
      <c r="AC473" s="481">
        <f t="shared" ref="AC473:AC480" si="110">AB473*Y473</f>
        <v>0</v>
      </c>
      <c r="AD473" s="474"/>
      <c r="AE473" s="474"/>
      <c r="AF473" s="493">
        <f t="shared" si="109"/>
        <v>333708.79999999999</v>
      </c>
      <c r="AG473" s="474" t="s">
        <v>1071</v>
      </c>
      <c r="AH473" s="474"/>
      <c r="AI473" s="474">
        <v>60</v>
      </c>
      <c r="AJ473" s="475" t="s">
        <v>2075</v>
      </c>
      <c r="AK473" s="475" t="s">
        <v>50</v>
      </c>
      <c r="AL473" s="483" t="s">
        <v>2128</v>
      </c>
      <c r="AM473" s="474" t="s">
        <v>52</v>
      </c>
      <c r="AN473" s="384"/>
      <c r="AO473" s="474" t="s">
        <v>1076</v>
      </c>
      <c r="AP473" s="474"/>
      <c r="AQ473" s="482" t="s">
        <v>37</v>
      </c>
      <c r="AR473" s="474"/>
      <c r="AS473" s="473"/>
      <c r="AT473" s="346"/>
      <c r="AU473" s="478"/>
      <c r="AV473" s="471">
        <f t="shared" si="104"/>
        <v>0</v>
      </c>
      <c r="AW473" s="471" cm="1">
        <f t="array" ref="AW473">SUM(MID(0&amp;AV473,LARGE(INDEX(ISNUMBER(--MID(AV473,ROW($1:$8),1))*ROW($1:$8),),ROW($1:$8))+1,1)*10^ROW($1:$8)/10)</f>
        <v>0</v>
      </c>
      <c r="AX473" s="471" t="e">
        <f>VLOOKUP($AW473,'Item Master Data'!$A:$F,3,FALSE)</f>
        <v>#N/A</v>
      </c>
      <c r="AY473" s="471" t="e">
        <f>VLOOKUP($AW473,'Item Master Data'!$A:$F,6,FALSE)</f>
        <v>#N/A</v>
      </c>
      <c r="AZ473" s="471" t="e">
        <f t="shared" si="105"/>
        <v>#N/A</v>
      </c>
      <c r="BA473" s="471" t="e">
        <f>VLOOKUP(AW473,'Item Master Data'!$A:$G,7,FALSE)</f>
        <v>#N/A</v>
      </c>
      <c r="BB473" s="471"/>
      <c r="BC473" s="471" t="e">
        <f t="shared" si="106"/>
        <v>#N/A</v>
      </c>
    </row>
    <row r="474" spans="1:55">
      <c r="A474" s="495"/>
      <c r="B474" s="495"/>
      <c r="C474" s="407">
        <v>44634</v>
      </c>
      <c r="D474" s="485" t="s">
        <v>86</v>
      </c>
      <c r="E474" s="383" t="s">
        <v>5469</v>
      </c>
      <c r="F474" s="474"/>
      <c r="G474" s="380">
        <v>2022</v>
      </c>
      <c r="H474" s="380">
        <v>9</v>
      </c>
      <c r="I474" s="474"/>
      <c r="J474" s="475"/>
      <c r="K474" s="474" t="s">
        <v>2254</v>
      </c>
      <c r="L474" s="474" t="s">
        <v>2079</v>
      </c>
      <c r="M474" s="475">
        <v>44630</v>
      </c>
      <c r="N474" s="475">
        <v>44805</v>
      </c>
      <c r="O474" s="475"/>
      <c r="P474" s="345"/>
      <c r="Q474" s="475"/>
      <c r="R474" s="475"/>
      <c r="S474" s="474" t="s">
        <v>88</v>
      </c>
      <c r="T474" s="474">
        <v>72</v>
      </c>
      <c r="U474" s="486"/>
      <c r="V474" s="486" t="s">
        <v>1002</v>
      </c>
      <c r="W474" s="474">
        <v>480</v>
      </c>
      <c r="X474" s="432">
        <v>2552</v>
      </c>
      <c r="Y474" s="389">
        <f t="shared" si="107"/>
        <v>1224960</v>
      </c>
      <c r="Z474" s="478">
        <f>228/480</f>
        <v>0.47499999999999998</v>
      </c>
      <c r="AA474" s="479">
        <f t="shared" si="108"/>
        <v>581856</v>
      </c>
      <c r="AB474" s="480"/>
      <c r="AC474" s="481">
        <f t="shared" si="110"/>
        <v>0</v>
      </c>
      <c r="AD474" s="474"/>
      <c r="AE474" s="474"/>
      <c r="AF474" s="493">
        <f t="shared" si="109"/>
        <v>581856</v>
      </c>
      <c r="AG474" s="474" t="s">
        <v>1071</v>
      </c>
      <c r="AH474" s="474"/>
      <c r="AI474" s="474">
        <v>60</v>
      </c>
      <c r="AJ474" s="475" t="s">
        <v>2075</v>
      </c>
      <c r="AK474" s="475" t="s">
        <v>50</v>
      </c>
      <c r="AL474" s="483" t="s">
        <v>2128</v>
      </c>
      <c r="AM474" s="474" t="s">
        <v>52</v>
      </c>
      <c r="AN474" s="384"/>
      <c r="AO474" s="474" t="s">
        <v>1076</v>
      </c>
      <c r="AP474" s="474"/>
      <c r="AQ474" s="482" t="s">
        <v>37</v>
      </c>
      <c r="AR474" s="474"/>
      <c r="AS474" s="473"/>
      <c r="AT474" s="346"/>
      <c r="AU474" s="478"/>
      <c r="AV474" s="471">
        <f t="shared" si="104"/>
        <v>0</v>
      </c>
      <c r="AW474" s="471" cm="1">
        <f t="array" ref="AW474">SUM(MID(0&amp;AV474,LARGE(INDEX(ISNUMBER(--MID(AV474,ROW($1:$8),1))*ROW($1:$8),),ROW($1:$8))+1,1)*10^ROW($1:$8)/10)</f>
        <v>0</v>
      </c>
      <c r="AX474" s="471" t="e">
        <f>VLOOKUP($AW474,'Item Master Data'!$A:$F,3,FALSE)</f>
        <v>#N/A</v>
      </c>
      <c r="AY474" s="471" t="e">
        <f>VLOOKUP($AW474,'Item Master Data'!$A:$F,6,FALSE)</f>
        <v>#N/A</v>
      </c>
      <c r="AZ474" s="471" t="e">
        <f t="shared" si="105"/>
        <v>#N/A</v>
      </c>
      <c r="BA474" s="471" t="e">
        <f>VLOOKUP(AW474,'Item Master Data'!$A:$G,7,FALSE)</f>
        <v>#N/A</v>
      </c>
      <c r="BB474" s="471"/>
      <c r="BC474" s="471" t="e">
        <f t="shared" si="106"/>
        <v>#N/A</v>
      </c>
    </row>
    <row r="475" spans="1:55">
      <c r="A475" s="495"/>
      <c r="B475" s="495"/>
      <c r="C475" s="407"/>
      <c r="D475" s="485" t="s">
        <v>86</v>
      </c>
      <c r="E475" s="383" t="s">
        <v>5473</v>
      </c>
      <c r="F475" s="474"/>
      <c r="G475" s="380">
        <v>2022</v>
      </c>
      <c r="H475" s="380">
        <v>9</v>
      </c>
      <c r="I475" s="474"/>
      <c r="J475" s="475"/>
      <c r="K475" s="474" t="s">
        <v>5479</v>
      </c>
      <c r="L475" s="474" t="s">
        <v>2079</v>
      </c>
      <c r="M475" s="475">
        <v>44662</v>
      </c>
      <c r="N475" s="475">
        <v>44805</v>
      </c>
      <c r="O475" s="475"/>
      <c r="P475" s="345"/>
      <c r="Q475" s="475"/>
      <c r="R475" s="475"/>
      <c r="S475" s="474" t="s">
        <v>88</v>
      </c>
      <c r="T475" s="474">
        <v>72</v>
      </c>
      <c r="U475" s="486"/>
      <c r="V475" s="486" t="s">
        <v>995</v>
      </c>
      <c r="W475" s="474">
        <v>480</v>
      </c>
      <c r="X475" s="432">
        <v>1914</v>
      </c>
      <c r="Y475" s="389">
        <f t="shared" si="107"/>
        <v>918720</v>
      </c>
      <c r="Z475" s="478">
        <f>268.8/480</f>
        <v>0.56000000000000005</v>
      </c>
      <c r="AA475" s="479">
        <f t="shared" si="108"/>
        <v>514483.20000000007</v>
      </c>
      <c r="AB475" s="480"/>
      <c r="AC475" s="481">
        <f t="shared" si="110"/>
        <v>0</v>
      </c>
      <c r="AD475" s="474"/>
      <c r="AE475" s="474"/>
      <c r="AF475" s="493">
        <f t="shared" si="109"/>
        <v>514483.20000000007</v>
      </c>
      <c r="AG475" s="474" t="s">
        <v>1071</v>
      </c>
      <c r="AH475" s="474"/>
      <c r="AI475" s="474">
        <v>60</v>
      </c>
      <c r="AJ475" s="475" t="s">
        <v>2075</v>
      </c>
      <c r="AK475" s="475" t="s">
        <v>50</v>
      </c>
      <c r="AL475" s="483" t="s">
        <v>2128</v>
      </c>
      <c r="AM475" s="474" t="s">
        <v>52</v>
      </c>
      <c r="AN475" s="384"/>
      <c r="AO475" s="474" t="s">
        <v>1076</v>
      </c>
      <c r="AP475" s="474"/>
      <c r="AQ475" s="482" t="s">
        <v>37</v>
      </c>
      <c r="AR475" s="474"/>
      <c r="AS475" s="473"/>
      <c r="AT475" s="346"/>
      <c r="AU475" s="478"/>
      <c r="AV475" s="471"/>
      <c r="AW475" s="471"/>
      <c r="AX475" s="471"/>
      <c r="AY475" s="471"/>
      <c r="AZ475" s="471"/>
      <c r="BA475" s="471"/>
      <c r="BB475" s="471"/>
      <c r="BC475" s="471"/>
    </row>
    <row r="476" spans="1:55">
      <c r="A476" s="495"/>
      <c r="B476" s="495"/>
      <c r="C476" s="407"/>
      <c r="D476" s="485" t="s">
        <v>86</v>
      </c>
      <c r="E476" s="383" t="s">
        <v>5478</v>
      </c>
      <c r="F476" s="474"/>
      <c r="G476" s="380">
        <v>2022</v>
      </c>
      <c r="H476" s="380">
        <v>9</v>
      </c>
      <c r="I476" s="474"/>
      <c r="J476" s="475"/>
      <c r="K476" s="474" t="s">
        <v>5479</v>
      </c>
      <c r="L476" s="474" t="s">
        <v>2079</v>
      </c>
      <c r="M476" s="475">
        <v>44662</v>
      </c>
      <c r="N476" s="475">
        <v>44805</v>
      </c>
      <c r="O476" s="475"/>
      <c r="P476" s="345"/>
      <c r="Q476" s="475"/>
      <c r="R476" s="475"/>
      <c r="S476" s="474" t="s">
        <v>88</v>
      </c>
      <c r="T476" s="474">
        <v>72</v>
      </c>
      <c r="U476" s="486"/>
      <c r="V476" s="486" t="s">
        <v>2300</v>
      </c>
      <c r="W476" s="474">
        <v>580</v>
      </c>
      <c r="X476" s="432">
        <v>992</v>
      </c>
      <c r="Y476" s="389">
        <f t="shared" si="107"/>
        <v>575360</v>
      </c>
      <c r="Z476" s="478">
        <f>336.4/580</f>
        <v>0.57999999999999996</v>
      </c>
      <c r="AA476" s="479">
        <f t="shared" si="108"/>
        <v>333708.79999999999</v>
      </c>
      <c r="AB476" s="480"/>
      <c r="AC476" s="481">
        <f t="shared" si="110"/>
        <v>0</v>
      </c>
      <c r="AD476" s="474"/>
      <c r="AE476" s="474"/>
      <c r="AF476" s="493">
        <f t="shared" si="109"/>
        <v>333708.79999999999</v>
      </c>
      <c r="AG476" s="474" t="s">
        <v>1071</v>
      </c>
      <c r="AH476" s="474"/>
      <c r="AI476" s="474">
        <v>60</v>
      </c>
      <c r="AJ476" s="475" t="s">
        <v>2075</v>
      </c>
      <c r="AK476" s="475" t="s">
        <v>50</v>
      </c>
      <c r="AL476" s="483" t="s">
        <v>2128</v>
      </c>
      <c r="AM476" s="474" t="s">
        <v>52</v>
      </c>
      <c r="AN476" s="384"/>
      <c r="AO476" s="474" t="s">
        <v>1076</v>
      </c>
      <c r="AP476" s="474"/>
      <c r="AQ476" s="482" t="s">
        <v>37</v>
      </c>
      <c r="AR476" s="474"/>
      <c r="AS476" s="473"/>
      <c r="AT476" s="346"/>
      <c r="AU476" s="478"/>
      <c r="AV476" s="471">
        <f t="shared" ref="AV476:AV482" si="111">U476</f>
        <v>0</v>
      </c>
      <c r="AW476" s="471" cm="1">
        <f t="array" ref="AW476">SUM(MID(0&amp;AV476,LARGE(INDEX(ISNUMBER(--MID(AV476,ROW($1:$8),1))*ROW($1:$8),),ROW($1:$8))+1,1)*10^ROW($1:$8)/10)</f>
        <v>0</v>
      </c>
      <c r="AX476" s="471" t="e">
        <f>VLOOKUP($AW476,'Item Master Data'!$A:$F,3,FALSE)</f>
        <v>#N/A</v>
      </c>
      <c r="AY476" s="471" t="e">
        <f>VLOOKUP($AW476,'Item Master Data'!$A:$F,6,FALSE)</f>
        <v>#N/A</v>
      </c>
      <c r="AZ476" s="471" t="e">
        <f t="shared" ref="AZ476:AZ482" si="112">X476/BA476</f>
        <v>#N/A</v>
      </c>
      <c r="BA476" s="471" t="e">
        <f>VLOOKUP(AW476,'Item Master Data'!$A:$G,7,FALSE)</f>
        <v>#N/A</v>
      </c>
      <c r="BB476" s="471"/>
      <c r="BC476" s="471" t="e">
        <f t="shared" ref="BC476:BC482" si="113">W476-AY476</f>
        <v>#N/A</v>
      </c>
    </row>
    <row r="477" spans="1:55">
      <c r="A477" s="495"/>
      <c r="B477" s="495"/>
      <c r="C477" s="407"/>
      <c r="D477" s="485" t="s">
        <v>86</v>
      </c>
      <c r="E477" s="383" t="s">
        <v>5473</v>
      </c>
      <c r="F477" s="474"/>
      <c r="G477" s="380">
        <v>2022</v>
      </c>
      <c r="H477" s="380">
        <v>10</v>
      </c>
      <c r="I477" s="474"/>
      <c r="J477" s="475"/>
      <c r="K477" s="474" t="s">
        <v>5480</v>
      </c>
      <c r="L477" s="474" t="s">
        <v>2079</v>
      </c>
      <c r="M477" s="475">
        <v>44662</v>
      </c>
      <c r="N477" s="475">
        <v>44835</v>
      </c>
      <c r="O477" s="475"/>
      <c r="P477" s="345"/>
      <c r="Q477" s="475"/>
      <c r="R477" s="475"/>
      <c r="S477" s="474" t="s">
        <v>88</v>
      </c>
      <c r="T477" s="474">
        <v>72</v>
      </c>
      <c r="U477" s="486"/>
      <c r="V477" s="486" t="s">
        <v>995</v>
      </c>
      <c r="W477" s="474">
        <v>480</v>
      </c>
      <c r="X477" s="432">
        <v>2552</v>
      </c>
      <c r="Y477" s="389">
        <f t="shared" si="107"/>
        <v>1224960</v>
      </c>
      <c r="Z477" s="478">
        <f>268.8/480</f>
        <v>0.56000000000000005</v>
      </c>
      <c r="AA477" s="479">
        <f t="shared" si="108"/>
        <v>685977.60000000009</v>
      </c>
      <c r="AB477" s="480"/>
      <c r="AC477" s="481">
        <f t="shared" si="110"/>
        <v>0</v>
      </c>
      <c r="AD477" s="474"/>
      <c r="AE477" s="474"/>
      <c r="AF477" s="493">
        <f t="shared" si="109"/>
        <v>685977.60000000009</v>
      </c>
      <c r="AG477" s="474" t="s">
        <v>1071</v>
      </c>
      <c r="AH477" s="474"/>
      <c r="AI477" s="474">
        <v>60</v>
      </c>
      <c r="AJ477" s="475" t="s">
        <v>2075</v>
      </c>
      <c r="AK477" s="475" t="s">
        <v>50</v>
      </c>
      <c r="AL477" s="483" t="s">
        <v>2128</v>
      </c>
      <c r="AM477" s="474" t="s">
        <v>52</v>
      </c>
      <c r="AN477" s="384"/>
      <c r="AO477" s="474" t="s">
        <v>1076</v>
      </c>
      <c r="AP477" s="474"/>
      <c r="AQ477" s="482" t="s">
        <v>37</v>
      </c>
      <c r="AR477" s="474"/>
      <c r="AS477" s="473"/>
      <c r="AT477" s="346"/>
      <c r="AU477" s="478"/>
      <c r="AV477" s="471">
        <f t="shared" si="111"/>
        <v>0</v>
      </c>
      <c r="AW477" s="471" cm="1">
        <f t="array" ref="AW477">SUM(MID(0&amp;AV477,LARGE(INDEX(ISNUMBER(--MID(AV477,ROW($1:$8),1))*ROW($1:$8),),ROW($1:$8))+1,1)*10^ROW($1:$8)/10)</f>
        <v>0</v>
      </c>
      <c r="AX477" s="471" t="e">
        <f>VLOOKUP($AW477,'Item Master Data'!$A:$F,3,FALSE)</f>
        <v>#N/A</v>
      </c>
      <c r="AY477" s="471" t="e">
        <f>VLOOKUP($AW477,'Item Master Data'!$A:$F,6,FALSE)</f>
        <v>#N/A</v>
      </c>
      <c r="AZ477" s="471" t="e">
        <f t="shared" si="112"/>
        <v>#N/A</v>
      </c>
      <c r="BA477" s="471" t="e">
        <f>VLOOKUP(AW477,'Item Master Data'!$A:$G,7,FALSE)</f>
        <v>#N/A</v>
      </c>
      <c r="BB477" s="471"/>
      <c r="BC477" s="471" t="e">
        <f t="shared" si="113"/>
        <v>#N/A</v>
      </c>
    </row>
    <row r="478" spans="1:55">
      <c r="A478" s="495"/>
      <c r="B478" s="407">
        <v>44607</v>
      </c>
      <c r="C478" s="407">
        <v>44607</v>
      </c>
      <c r="D478" s="485" t="s">
        <v>86</v>
      </c>
      <c r="E478" s="474" t="s">
        <v>5469</v>
      </c>
      <c r="F478" s="486" t="s">
        <v>87</v>
      </c>
      <c r="G478" s="380">
        <v>2022</v>
      </c>
      <c r="H478" s="380">
        <v>12</v>
      </c>
      <c r="I478" s="474"/>
      <c r="J478" s="475"/>
      <c r="K478" s="474" t="s">
        <v>2178</v>
      </c>
      <c r="L478" s="474" t="s">
        <v>1699</v>
      </c>
      <c r="M478" s="475">
        <v>44596</v>
      </c>
      <c r="N478" s="475">
        <v>44900</v>
      </c>
      <c r="O478" s="475"/>
      <c r="P478" s="475"/>
      <c r="Q478" s="475"/>
      <c r="R478" s="475"/>
      <c r="S478" s="474" t="s">
        <v>88</v>
      </c>
      <c r="T478" s="474">
        <v>72</v>
      </c>
      <c r="U478" s="486" t="s">
        <v>1109</v>
      </c>
      <c r="V478" s="474" t="s">
        <v>1110</v>
      </c>
      <c r="W478" s="474">
        <v>485</v>
      </c>
      <c r="X478" s="432">
        <v>1914</v>
      </c>
      <c r="Y478" s="389">
        <f t="shared" si="107"/>
        <v>928290</v>
      </c>
      <c r="Z478" s="478">
        <f>240.08/485</f>
        <v>0.49501030927835055</v>
      </c>
      <c r="AA478" s="480">
        <f t="shared" si="108"/>
        <v>459513.12000000005</v>
      </c>
      <c r="AB478" s="480"/>
      <c r="AC478" s="481">
        <f t="shared" si="110"/>
        <v>0</v>
      </c>
      <c r="AD478" s="474"/>
      <c r="AE478" s="474"/>
      <c r="AF478" s="493">
        <f t="shared" si="109"/>
        <v>459513.12000000005</v>
      </c>
      <c r="AG478" s="474" t="s">
        <v>1071</v>
      </c>
      <c r="AH478" s="474"/>
      <c r="AI478" s="474">
        <v>60</v>
      </c>
      <c r="AJ478" s="475" t="s">
        <v>1700</v>
      </c>
      <c r="AK478" s="475" t="s">
        <v>50</v>
      </c>
      <c r="AL478" s="483">
        <v>92126</v>
      </c>
      <c r="AM478" s="474" t="s">
        <v>52</v>
      </c>
      <c r="AN478" s="384" t="s">
        <v>50</v>
      </c>
      <c r="AO478" s="474" t="s">
        <v>1076</v>
      </c>
      <c r="AP478" s="482" t="s">
        <v>92</v>
      </c>
      <c r="AQ478" s="474" t="s">
        <v>37</v>
      </c>
      <c r="AR478" s="474"/>
      <c r="AS478" s="473" t="s">
        <v>1492</v>
      </c>
      <c r="AT478" s="346"/>
      <c r="AU478" s="478"/>
      <c r="AV478" s="471" t="str">
        <f t="shared" si="111"/>
        <v>TBD</v>
      </c>
      <c r="AW478" s="471" cm="1">
        <f t="array" ref="AW478">SUM(MID(0&amp;AV478,LARGE(INDEX(ISNUMBER(--MID(AV478,ROW($1:$8),1))*ROW($1:$8),),ROW($1:$8))+1,1)*10^ROW($1:$8)/10)</f>
        <v>0</v>
      </c>
      <c r="AX478" s="471" t="e">
        <f>VLOOKUP($AW478,'Item Master Data'!$A:$F,3,FALSE)</f>
        <v>#N/A</v>
      </c>
      <c r="AY478" s="471" t="e">
        <f>VLOOKUP($AW478,'Item Master Data'!$A:$F,6,FALSE)</f>
        <v>#N/A</v>
      </c>
      <c r="AZ478" s="471" t="e">
        <f t="shared" si="112"/>
        <v>#N/A</v>
      </c>
      <c r="BA478" s="471" t="e">
        <f>VLOOKUP(AW478,'Item Master Data'!$A:$G,7,FALSE)</f>
        <v>#N/A</v>
      </c>
      <c r="BB478" s="471"/>
      <c r="BC478" s="471" t="e">
        <f t="shared" si="113"/>
        <v>#N/A</v>
      </c>
    </row>
    <row r="479" spans="1:55">
      <c r="A479" s="495"/>
      <c r="B479" s="407"/>
      <c r="C479" s="407"/>
      <c r="D479" s="485" t="s">
        <v>86</v>
      </c>
      <c r="E479" s="474"/>
      <c r="F479" s="486"/>
      <c r="G479" s="380">
        <v>2022</v>
      </c>
      <c r="H479" s="380">
        <v>6</v>
      </c>
      <c r="I479" s="474"/>
      <c r="J479" s="475"/>
      <c r="K479" s="474" t="s">
        <v>5471</v>
      </c>
      <c r="L479" s="474" t="s">
        <v>1878</v>
      </c>
      <c r="M479" s="475">
        <v>44624</v>
      </c>
      <c r="N479" s="475">
        <v>44716</v>
      </c>
      <c r="O479" s="475"/>
      <c r="P479" s="475"/>
      <c r="Q479" s="475"/>
      <c r="R479" s="475"/>
      <c r="S479" s="474" t="s">
        <v>1688</v>
      </c>
      <c r="T479" s="474">
        <v>72</v>
      </c>
      <c r="U479" s="486" t="s">
        <v>1109</v>
      </c>
      <c r="V479" s="474" t="s">
        <v>1070</v>
      </c>
      <c r="W479" s="474">
        <v>480</v>
      </c>
      <c r="X479" s="432">
        <v>406</v>
      </c>
      <c r="Y479" s="389">
        <f t="shared" si="107"/>
        <v>194880</v>
      </c>
      <c r="Z479" s="478">
        <f>240.08/485</f>
        <v>0.49501030927835055</v>
      </c>
      <c r="AA479" s="480">
        <f t="shared" si="108"/>
        <v>96467.609072164953</v>
      </c>
      <c r="AB479" s="480"/>
      <c r="AC479" s="481">
        <f t="shared" si="110"/>
        <v>0</v>
      </c>
      <c r="AD479" s="474"/>
      <c r="AE479" s="474"/>
      <c r="AF479" s="493">
        <f t="shared" si="109"/>
        <v>96467.609072164953</v>
      </c>
      <c r="AG479" s="474" t="s">
        <v>1071</v>
      </c>
      <c r="AH479" s="474"/>
      <c r="AI479" s="474">
        <v>60</v>
      </c>
      <c r="AJ479" s="475" t="s">
        <v>2023</v>
      </c>
      <c r="AK479" s="475" t="s">
        <v>50</v>
      </c>
      <c r="AL479" s="483">
        <v>90221</v>
      </c>
      <c r="AM479" s="474" t="s">
        <v>52</v>
      </c>
      <c r="AN479" s="384"/>
      <c r="AO479" s="474" t="s">
        <v>1076</v>
      </c>
      <c r="AP479" s="482"/>
      <c r="AQ479" s="474" t="s">
        <v>37</v>
      </c>
      <c r="AR479" s="474"/>
      <c r="AS479" s="473"/>
      <c r="AT479" s="346"/>
      <c r="AU479" s="478"/>
      <c r="AV479" s="471" t="str">
        <f t="shared" si="111"/>
        <v>TBD</v>
      </c>
      <c r="AW479" s="471" cm="1">
        <f t="array" ref="AW479">SUM(MID(0&amp;AV479,LARGE(INDEX(ISNUMBER(--MID(AV479,ROW($1:$8),1))*ROW($1:$8),),ROW($1:$8))+1,1)*10^ROW($1:$8)/10)</f>
        <v>0</v>
      </c>
      <c r="AX479" s="471" t="e">
        <f>VLOOKUP($AW479,'Item Master Data'!$A:$F,3,FALSE)</f>
        <v>#N/A</v>
      </c>
      <c r="AY479" s="471" t="e">
        <f>VLOOKUP($AW479,'Item Master Data'!$A:$F,6,FALSE)</f>
        <v>#N/A</v>
      </c>
      <c r="AZ479" s="471" t="e">
        <f t="shared" si="112"/>
        <v>#N/A</v>
      </c>
      <c r="BA479" s="471" t="e">
        <f>VLOOKUP(AW479,'Item Master Data'!$A:$G,7,FALSE)</f>
        <v>#N/A</v>
      </c>
      <c r="BB479" s="471"/>
      <c r="BC479" s="471" t="e">
        <f t="shared" si="113"/>
        <v>#N/A</v>
      </c>
    </row>
    <row r="480" spans="1:55">
      <c r="A480" s="495"/>
      <c r="B480" s="495"/>
      <c r="C480" s="407"/>
      <c r="D480" s="485" t="s">
        <v>86</v>
      </c>
      <c r="E480" s="383" t="s">
        <v>5478</v>
      </c>
      <c r="F480" s="474"/>
      <c r="G480" s="380">
        <v>2022</v>
      </c>
      <c r="H480" s="380">
        <v>10</v>
      </c>
      <c r="I480" s="474"/>
      <c r="J480" s="475"/>
      <c r="K480" s="474" t="s">
        <v>5480</v>
      </c>
      <c r="L480" s="474" t="s">
        <v>2079</v>
      </c>
      <c r="M480" s="475">
        <v>44662</v>
      </c>
      <c r="N480" s="475">
        <v>44835</v>
      </c>
      <c r="O480" s="475"/>
      <c r="P480" s="345"/>
      <c r="Q480" s="475"/>
      <c r="R480" s="475"/>
      <c r="S480" s="474" t="s">
        <v>88</v>
      </c>
      <c r="T480" s="474">
        <v>72</v>
      </c>
      <c r="U480" s="486"/>
      <c r="V480" s="486" t="s">
        <v>2300</v>
      </c>
      <c r="W480" s="474">
        <v>580</v>
      </c>
      <c r="X480" s="432">
        <v>992</v>
      </c>
      <c r="Y480" s="389">
        <f t="shared" si="107"/>
        <v>575360</v>
      </c>
      <c r="Z480" s="478">
        <f>336.4/580</f>
        <v>0.57999999999999996</v>
      </c>
      <c r="AA480" s="479">
        <f t="shared" si="108"/>
        <v>333708.79999999999</v>
      </c>
      <c r="AB480" s="480"/>
      <c r="AC480" s="481">
        <f t="shared" si="110"/>
        <v>0</v>
      </c>
      <c r="AD480" s="474"/>
      <c r="AE480" s="474"/>
      <c r="AF480" s="493">
        <f t="shared" si="109"/>
        <v>333708.79999999999</v>
      </c>
      <c r="AG480" s="474" t="s">
        <v>1071</v>
      </c>
      <c r="AH480" s="474"/>
      <c r="AI480" s="474">
        <v>60</v>
      </c>
      <c r="AJ480" s="475" t="s">
        <v>2075</v>
      </c>
      <c r="AK480" s="475" t="s">
        <v>50</v>
      </c>
      <c r="AL480" s="483" t="s">
        <v>2128</v>
      </c>
      <c r="AM480" s="474" t="s">
        <v>52</v>
      </c>
      <c r="AN480" s="384"/>
      <c r="AO480" s="474" t="s">
        <v>1076</v>
      </c>
      <c r="AP480" s="474"/>
      <c r="AQ480" s="482" t="s">
        <v>37</v>
      </c>
      <c r="AR480" s="474"/>
      <c r="AS480" s="473"/>
      <c r="AT480" s="346"/>
      <c r="AU480" s="478"/>
      <c r="AV480" s="471">
        <f t="shared" si="111"/>
        <v>0</v>
      </c>
      <c r="AW480" s="471" cm="1">
        <f t="array" ref="AW480">SUM(MID(0&amp;AV480,LARGE(INDEX(ISNUMBER(--MID(AV480,ROW($1:$8),1))*ROW($1:$8),),ROW($1:$8))+1,1)*10^ROW($1:$8)/10)</f>
        <v>0</v>
      </c>
      <c r="AX480" s="471" t="e">
        <f>VLOOKUP($AW480,'Item Master Data'!$A:$F,3,FALSE)</f>
        <v>#N/A</v>
      </c>
      <c r="AY480" s="471" t="e">
        <f>VLOOKUP($AW480,'Item Master Data'!$A:$F,6,FALSE)</f>
        <v>#N/A</v>
      </c>
      <c r="AZ480" s="471" t="e">
        <f t="shared" si="112"/>
        <v>#N/A</v>
      </c>
      <c r="BA480" s="471" t="e">
        <f>VLOOKUP(AW480,'Item Master Data'!$A:$G,7,FALSE)</f>
        <v>#N/A</v>
      </c>
      <c r="BB480" s="471"/>
      <c r="BC480" s="471" t="e">
        <f t="shared" si="113"/>
        <v>#N/A</v>
      </c>
    </row>
    <row r="481" spans="1:55">
      <c r="A481" s="495"/>
      <c r="B481" s="407">
        <v>44672</v>
      </c>
      <c r="C481" s="407">
        <v>44676</v>
      </c>
      <c r="D481" s="485" t="s">
        <v>86</v>
      </c>
      <c r="E481" s="383" t="s">
        <v>5400</v>
      </c>
      <c r="F481" s="474"/>
      <c r="G481" s="380">
        <v>2022</v>
      </c>
      <c r="H481" s="380">
        <v>6</v>
      </c>
      <c r="I481" s="474"/>
      <c r="J481" s="475"/>
      <c r="K481" s="474" t="s">
        <v>5401</v>
      </c>
      <c r="L481" s="474" t="s">
        <v>1699</v>
      </c>
      <c r="M481" s="475">
        <v>44666</v>
      </c>
      <c r="N481" s="475">
        <v>44713</v>
      </c>
      <c r="O481" s="475"/>
      <c r="P481" s="345"/>
      <c r="Q481" s="475"/>
      <c r="R481" s="475"/>
      <c r="S481" s="474" t="s">
        <v>88</v>
      </c>
      <c r="T481" s="474">
        <v>60</v>
      </c>
      <c r="U481" s="474"/>
      <c r="V481" s="486" t="s">
        <v>973</v>
      </c>
      <c r="W481" s="474">
        <v>400</v>
      </c>
      <c r="X481" s="432">
        <v>1536</v>
      </c>
      <c r="Y481" s="397">
        <f t="shared" si="107"/>
        <v>614400</v>
      </c>
      <c r="Z481" s="478">
        <v>0.55000000000000004</v>
      </c>
      <c r="AA481" s="479">
        <f t="shared" si="108"/>
        <v>337920</v>
      </c>
      <c r="AB481" s="480"/>
      <c r="AC481" s="481">
        <v>0</v>
      </c>
      <c r="AD481" s="474"/>
      <c r="AE481" s="474"/>
      <c r="AF481" s="493">
        <f>+AE481+AD481+AA481</f>
        <v>337920</v>
      </c>
      <c r="AG481" s="474" t="s">
        <v>1071</v>
      </c>
      <c r="AH481" s="474"/>
      <c r="AI481" s="474">
        <v>60</v>
      </c>
      <c r="AJ481" s="475" t="s">
        <v>1700</v>
      </c>
      <c r="AK481" s="475" t="s">
        <v>50</v>
      </c>
      <c r="AL481" s="483">
        <v>92126</v>
      </c>
      <c r="AM481" s="474" t="s">
        <v>52</v>
      </c>
      <c r="AN481" s="384"/>
      <c r="AO481" s="474" t="s">
        <v>1076</v>
      </c>
      <c r="AP481" s="474"/>
      <c r="AQ481" s="482" t="s">
        <v>37</v>
      </c>
      <c r="AR481" s="474"/>
      <c r="AS481" s="473" t="s">
        <v>1492</v>
      </c>
      <c r="AT481" s="346"/>
      <c r="AU481" s="478">
        <v>0.52</v>
      </c>
      <c r="AV481" s="471">
        <f t="shared" si="111"/>
        <v>0</v>
      </c>
      <c r="AW481" s="471" cm="1">
        <f t="array" ref="AW481">SUM(MID(0&amp;AV481,LARGE(INDEX(ISNUMBER(--MID(AV481,ROW($1:$8),1))*ROW($1:$8),),ROW($1:$8))+1,1)*10^ROW($1:$8)/10)</f>
        <v>0</v>
      </c>
      <c r="AX481" s="471" t="e">
        <f>VLOOKUP($AW481,'Item Master Data'!$A:$F,3,FALSE)</f>
        <v>#N/A</v>
      </c>
      <c r="AY481" s="471" t="e">
        <f>VLOOKUP($AW481,'Item Master Data'!$A:$F,6,FALSE)</f>
        <v>#N/A</v>
      </c>
      <c r="AZ481" s="471" t="e">
        <f t="shared" si="112"/>
        <v>#N/A</v>
      </c>
      <c r="BA481" s="471" t="e">
        <f>VLOOKUP(AW481,'Item Master Data'!$A:$G,7,FALSE)</f>
        <v>#N/A</v>
      </c>
      <c r="BB481" s="471"/>
      <c r="BC481" s="471" t="e">
        <f t="shared" si="113"/>
        <v>#N/A</v>
      </c>
    </row>
    <row r="482" spans="1:55">
      <c r="A482" s="495"/>
      <c r="B482" s="407">
        <v>44672</v>
      </c>
      <c r="C482" s="407">
        <v>44676</v>
      </c>
      <c r="D482" s="485" t="s">
        <v>86</v>
      </c>
      <c r="E482" s="383" t="s">
        <v>5400</v>
      </c>
      <c r="F482" s="474"/>
      <c r="G482" s="380">
        <v>2022</v>
      </c>
      <c r="H482" s="380">
        <v>7</v>
      </c>
      <c r="I482" s="474"/>
      <c r="J482" s="475"/>
      <c r="K482" s="474" t="s">
        <v>5401</v>
      </c>
      <c r="L482" s="474" t="s">
        <v>1699</v>
      </c>
      <c r="M482" s="475">
        <v>44666</v>
      </c>
      <c r="N482" s="475">
        <v>44757</v>
      </c>
      <c r="O482" s="475"/>
      <c r="P482" s="345"/>
      <c r="Q482" s="475"/>
      <c r="R482" s="475"/>
      <c r="S482" s="474" t="s">
        <v>88</v>
      </c>
      <c r="T482" s="474">
        <v>60</v>
      </c>
      <c r="U482" s="474"/>
      <c r="V482" s="486" t="s">
        <v>973</v>
      </c>
      <c r="W482" s="474">
        <v>400</v>
      </c>
      <c r="X482" s="432">
        <v>3072</v>
      </c>
      <c r="Y482" s="397">
        <f t="shared" si="107"/>
        <v>1228800</v>
      </c>
      <c r="Z482" s="478">
        <v>0.55000000000000004</v>
      </c>
      <c r="AA482" s="479">
        <f t="shared" si="108"/>
        <v>675840</v>
      </c>
      <c r="AB482" s="480"/>
      <c r="AC482" s="481">
        <v>0</v>
      </c>
      <c r="AD482" s="474"/>
      <c r="AE482" s="474"/>
      <c r="AF482" s="493">
        <f t="shared" ref="AF482:AF487" si="114">+AE482+AD482+AA482</f>
        <v>675840</v>
      </c>
      <c r="AG482" s="474" t="s">
        <v>1071</v>
      </c>
      <c r="AH482" s="474"/>
      <c r="AI482" s="474">
        <v>60</v>
      </c>
      <c r="AJ482" s="475" t="s">
        <v>1700</v>
      </c>
      <c r="AK482" s="475" t="s">
        <v>50</v>
      </c>
      <c r="AL482" s="483">
        <v>92126</v>
      </c>
      <c r="AM482" s="474" t="s">
        <v>52</v>
      </c>
      <c r="AN482" s="384"/>
      <c r="AO482" s="474" t="s">
        <v>1076</v>
      </c>
      <c r="AP482" s="474"/>
      <c r="AQ482" s="482" t="s">
        <v>37</v>
      </c>
      <c r="AR482" s="474"/>
      <c r="AS482" s="473" t="s">
        <v>1492</v>
      </c>
      <c r="AT482" s="346"/>
      <c r="AU482" s="478">
        <v>0.52</v>
      </c>
      <c r="AV482" s="471">
        <f t="shared" si="111"/>
        <v>0</v>
      </c>
      <c r="AW482" s="471" cm="1">
        <f t="array" ref="AW482">SUM(MID(0&amp;AV482,LARGE(INDEX(ISNUMBER(--MID(AV482,ROW($1:$8),1))*ROW($1:$8),),ROW($1:$8))+1,1)*10^ROW($1:$8)/10)</f>
        <v>0</v>
      </c>
      <c r="AX482" s="471" t="e">
        <f>VLOOKUP($AW482,'Item Master Data'!$A:$F,3,FALSE)</f>
        <v>#N/A</v>
      </c>
      <c r="AY482" s="471" t="e">
        <f>VLOOKUP($AW482,'Item Master Data'!$A:$F,6,FALSE)</f>
        <v>#N/A</v>
      </c>
      <c r="AZ482" s="471" t="e">
        <f t="shared" si="112"/>
        <v>#N/A</v>
      </c>
      <c r="BA482" s="471" t="e">
        <f>VLOOKUP(AW482,'Item Master Data'!$A:$G,7,FALSE)</f>
        <v>#N/A</v>
      </c>
      <c r="BB482" s="471"/>
      <c r="BC482" s="471" t="e">
        <f t="shared" si="113"/>
        <v>#N/A</v>
      </c>
    </row>
    <row r="483" spans="1:55">
      <c r="A483" s="495"/>
      <c r="B483" s="407">
        <v>44672</v>
      </c>
      <c r="C483" s="407">
        <v>44676</v>
      </c>
      <c r="D483" s="485" t="s">
        <v>86</v>
      </c>
      <c r="E483" s="383" t="s">
        <v>5400</v>
      </c>
      <c r="F483" s="474"/>
      <c r="G483" s="380">
        <v>2022</v>
      </c>
      <c r="H483" s="380">
        <v>8</v>
      </c>
      <c r="I483" s="474"/>
      <c r="J483" s="475"/>
      <c r="K483" s="474" t="s">
        <v>5401</v>
      </c>
      <c r="L483" s="474" t="s">
        <v>1699</v>
      </c>
      <c r="M483" s="475">
        <v>44666</v>
      </c>
      <c r="N483" s="475">
        <v>44788</v>
      </c>
      <c r="O483" s="475"/>
      <c r="P483" s="345"/>
      <c r="Q483" s="475"/>
      <c r="R483" s="475"/>
      <c r="S483" s="474" t="s">
        <v>88</v>
      </c>
      <c r="T483" s="474">
        <v>60</v>
      </c>
      <c r="U483" s="474"/>
      <c r="V483" s="486" t="s">
        <v>973</v>
      </c>
      <c r="W483" s="474">
        <v>400</v>
      </c>
      <c r="X483" s="432">
        <v>4608</v>
      </c>
      <c r="Y483" s="397">
        <f t="shared" si="107"/>
        <v>1843200</v>
      </c>
      <c r="Z483" s="478">
        <v>0.55000000000000004</v>
      </c>
      <c r="AA483" s="479">
        <f t="shared" si="108"/>
        <v>1013760.0000000001</v>
      </c>
      <c r="AB483" s="480"/>
      <c r="AC483" s="481">
        <v>0</v>
      </c>
      <c r="AD483" s="474"/>
      <c r="AE483" s="474"/>
      <c r="AF483" s="493">
        <f t="shared" si="114"/>
        <v>1013760.0000000001</v>
      </c>
      <c r="AG483" s="474" t="s">
        <v>1071</v>
      </c>
      <c r="AH483" s="474"/>
      <c r="AI483" s="474">
        <v>60</v>
      </c>
      <c r="AJ483" s="475" t="s">
        <v>1700</v>
      </c>
      <c r="AK483" s="475" t="s">
        <v>50</v>
      </c>
      <c r="AL483" s="483">
        <v>92126</v>
      </c>
      <c r="AM483" s="474" t="s">
        <v>52</v>
      </c>
      <c r="AN483" s="384"/>
      <c r="AO483" s="474" t="s">
        <v>1076</v>
      </c>
      <c r="AP483" s="474"/>
      <c r="AQ483" s="482" t="s">
        <v>37</v>
      </c>
      <c r="AR483" s="474"/>
      <c r="AS483" s="473" t="s">
        <v>1492</v>
      </c>
      <c r="AT483" s="346"/>
      <c r="AU483" s="478">
        <v>0.52</v>
      </c>
      <c r="AV483" s="471"/>
      <c r="AW483" s="471"/>
      <c r="AX483" s="471"/>
      <c r="AY483" s="471"/>
      <c r="AZ483" s="471"/>
      <c r="BA483" s="471"/>
      <c r="BB483" s="471"/>
      <c r="BC483" s="471"/>
    </row>
    <row r="484" spans="1:55">
      <c r="A484" s="495"/>
      <c r="B484" s="407">
        <v>44672</v>
      </c>
      <c r="C484" s="407">
        <v>44676</v>
      </c>
      <c r="D484" s="485" t="s">
        <v>86</v>
      </c>
      <c r="E484" s="383" t="s">
        <v>5400</v>
      </c>
      <c r="F484" s="474"/>
      <c r="G484" s="380">
        <v>2022</v>
      </c>
      <c r="H484" s="380">
        <v>9</v>
      </c>
      <c r="I484" s="474"/>
      <c r="J484" s="475"/>
      <c r="K484" s="474" t="s">
        <v>5401</v>
      </c>
      <c r="L484" s="474" t="s">
        <v>1699</v>
      </c>
      <c r="M484" s="475">
        <v>44666</v>
      </c>
      <c r="N484" s="475">
        <v>44819</v>
      </c>
      <c r="O484" s="475"/>
      <c r="P484" s="345"/>
      <c r="Q484" s="475"/>
      <c r="R484" s="475"/>
      <c r="S484" s="474" t="s">
        <v>88</v>
      </c>
      <c r="T484" s="474">
        <v>60</v>
      </c>
      <c r="U484" s="474"/>
      <c r="V484" s="486" t="s">
        <v>973</v>
      </c>
      <c r="W484" s="474">
        <v>400</v>
      </c>
      <c r="X484" s="432">
        <v>4608</v>
      </c>
      <c r="Y484" s="397">
        <f t="shared" si="107"/>
        <v>1843200</v>
      </c>
      <c r="Z484" s="478">
        <v>0.55000000000000004</v>
      </c>
      <c r="AA484" s="479">
        <f t="shared" si="108"/>
        <v>1013760.0000000001</v>
      </c>
      <c r="AB484" s="480"/>
      <c r="AC484" s="481">
        <v>0</v>
      </c>
      <c r="AD484" s="474"/>
      <c r="AE484" s="474"/>
      <c r="AF484" s="493">
        <f t="shared" si="114"/>
        <v>1013760.0000000001</v>
      </c>
      <c r="AG484" s="474" t="s">
        <v>1071</v>
      </c>
      <c r="AH484" s="474"/>
      <c r="AI484" s="474">
        <v>60</v>
      </c>
      <c r="AJ484" s="475" t="s">
        <v>1700</v>
      </c>
      <c r="AK484" s="475" t="s">
        <v>50</v>
      </c>
      <c r="AL484" s="483">
        <v>92126</v>
      </c>
      <c r="AM484" s="474" t="s">
        <v>52</v>
      </c>
      <c r="AN484" s="384"/>
      <c r="AO484" s="474" t="s">
        <v>1076</v>
      </c>
      <c r="AP484" s="474"/>
      <c r="AQ484" s="482" t="s">
        <v>37</v>
      </c>
      <c r="AR484" s="474"/>
      <c r="AS484" s="473" t="s">
        <v>1492</v>
      </c>
      <c r="AT484" s="346"/>
      <c r="AU484" s="478">
        <v>0.52</v>
      </c>
      <c r="AV484" s="471">
        <f t="shared" ref="AV484:AV505" si="115">U484</f>
        <v>0</v>
      </c>
      <c r="AW484" s="471" cm="1">
        <f t="array" ref="AW484">SUM(MID(0&amp;AV484,LARGE(INDEX(ISNUMBER(--MID(AV484,ROW($1:$8),1))*ROW($1:$8),),ROW($1:$8))+1,1)*10^ROW($1:$8)/10)</f>
        <v>0</v>
      </c>
      <c r="AX484" s="471" t="e">
        <f>VLOOKUP($AW484,'Item Master Data'!$A:$F,3,FALSE)</f>
        <v>#N/A</v>
      </c>
      <c r="AY484" s="471" t="e">
        <f>VLOOKUP($AW484,'Item Master Data'!$A:$F,6,FALSE)</f>
        <v>#N/A</v>
      </c>
      <c r="AZ484" s="471" t="e">
        <f t="shared" ref="AZ484:AZ505" si="116">X484/BA484</f>
        <v>#N/A</v>
      </c>
      <c r="BA484" s="471" t="e">
        <f>VLOOKUP(AW484,'Item Master Data'!$A:$G,7,FALSE)</f>
        <v>#N/A</v>
      </c>
      <c r="BB484" s="471"/>
      <c r="BC484" s="471" t="e">
        <f t="shared" ref="BC484:BC505" si="117">W484-AY484</f>
        <v>#N/A</v>
      </c>
    </row>
    <row r="485" spans="1:55">
      <c r="A485" s="495"/>
      <c r="B485" s="407">
        <v>44676</v>
      </c>
      <c r="C485" s="596">
        <v>44676</v>
      </c>
      <c r="D485" s="485" t="s">
        <v>86</v>
      </c>
      <c r="E485" s="383" t="s">
        <v>5400</v>
      </c>
      <c r="F485" s="474"/>
      <c r="G485" s="380">
        <v>2022</v>
      </c>
      <c r="H485" s="380">
        <v>10</v>
      </c>
      <c r="I485" s="474"/>
      <c r="J485" s="475"/>
      <c r="K485" s="474" t="s">
        <v>5402</v>
      </c>
      <c r="L485" s="474" t="s">
        <v>1699</v>
      </c>
      <c r="M485" s="475">
        <v>44671</v>
      </c>
      <c r="N485" s="475">
        <v>44835</v>
      </c>
      <c r="O485" s="475"/>
      <c r="P485" s="345"/>
      <c r="Q485" s="475"/>
      <c r="R485" s="475"/>
      <c r="S485" s="474" t="s">
        <v>88</v>
      </c>
      <c r="T485" s="474">
        <v>60</v>
      </c>
      <c r="U485" s="474"/>
      <c r="V485" s="486" t="s">
        <v>973</v>
      </c>
      <c r="W485" s="474">
        <v>400</v>
      </c>
      <c r="X485" s="432">
        <v>4608</v>
      </c>
      <c r="Y485" s="397">
        <f t="shared" si="107"/>
        <v>1843200</v>
      </c>
      <c r="Z485" s="478">
        <v>0.55000000000000004</v>
      </c>
      <c r="AA485" s="479">
        <f t="shared" si="108"/>
        <v>1013760.0000000001</v>
      </c>
      <c r="AB485" s="480"/>
      <c r="AC485" s="481">
        <v>0</v>
      </c>
      <c r="AD485" s="474"/>
      <c r="AE485" s="474"/>
      <c r="AF485" s="493">
        <f t="shared" si="114"/>
        <v>1013760.0000000001</v>
      </c>
      <c r="AG485" s="474" t="s">
        <v>1071</v>
      </c>
      <c r="AH485" s="474"/>
      <c r="AI485" s="474">
        <v>60</v>
      </c>
      <c r="AJ485" s="475" t="s">
        <v>1700</v>
      </c>
      <c r="AK485" s="475" t="s">
        <v>50</v>
      </c>
      <c r="AL485" s="483">
        <v>92126</v>
      </c>
      <c r="AM485" s="474" t="s">
        <v>52</v>
      </c>
      <c r="AN485" s="384"/>
      <c r="AO485" s="474" t="s">
        <v>1076</v>
      </c>
      <c r="AP485" s="474"/>
      <c r="AQ485" s="482" t="s">
        <v>37</v>
      </c>
      <c r="AR485" s="474"/>
      <c r="AS485" s="473" t="s">
        <v>1492</v>
      </c>
      <c r="AT485" s="346"/>
      <c r="AU485" s="478">
        <v>0.52</v>
      </c>
      <c r="AV485" s="471">
        <f t="shared" si="115"/>
        <v>0</v>
      </c>
      <c r="AW485" s="471" cm="1">
        <f t="array" ref="AW485">SUM(MID(0&amp;AV485,LARGE(INDEX(ISNUMBER(--MID(AV485,ROW($1:$8),1))*ROW($1:$8),),ROW($1:$8))+1,1)*10^ROW($1:$8)/10)</f>
        <v>0</v>
      </c>
      <c r="AX485" s="471" t="e">
        <f>VLOOKUP($AW485,'Item Master Data'!$A:$F,3,FALSE)</f>
        <v>#N/A</v>
      </c>
      <c r="AY485" s="471" t="e">
        <f>VLOOKUP($AW485,'Item Master Data'!$A:$F,6,FALSE)</f>
        <v>#N/A</v>
      </c>
      <c r="AZ485" s="471" t="e">
        <f t="shared" si="116"/>
        <v>#N/A</v>
      </c>
      <c r="BA485" s="471" t="e">
        <f>VLOOKUP(AW485,'Item Master Data'!$A:$G,7,FALSE)</f>
        <v>#N/A</v>
      </c>
      <c r="BB485" s="471"/>
      <c r="BC485" s="471" t="e">
        <f t="shared" si="117"/>
        <v>#N/A</v>
      </c>
    </row>
    <row r="486" spans="1:55">
      <c r="A486" s="495"/>
      <c r="B486" s="407">
        <v>44676</v>
      </c>
      <c r="C486" s="596">
        <v>44676</v>
      </c>
      <c r="D486" s="485" t="s">
        <v>86</v>
      </c>
      <c r="E486" s="383" t="s">
        <v>5400</v>
      </c>
      <c r="F486" s="474"/>
      <c r="G486" s="380">
        <v>2022</v>
      </c>
      <c r="H486" s="380">
        <v>11</v>
      </c>
      <c r="I486" s="474"/>
      <c r="J486" s="475"/>
      <c r="K486" s="474" t="s">
        <v>5402</v>
      </c>
      <c r="L486" s="474" t="s">
        <v>1699</v>
      </c>
      <c r="M486" s="475">
        <v>44671</v>
      </c>
      <c r="N486" s="475">
        <v>44866</v>
      </c>
      <c r="O486" s="475"/>
      <c r="P486" s="345"/>
      <c r="Q486" s="475"/>
      <c r="R486" s="475"/>
      <c r="S486" s="474" t="s">
        <v>88</v>
      </c>
      <c r="T486" s="474">
        <v>60</v>
      </c>
      <c r="U486" s="474"/>
      <c r="V486" s="486" t="s">
        <v>973</v>
      </c>
      <c r="W486" s="474">
        <v>400</v>
      </c>
      <c r="X486" s="432">
        <v>4608</v>
      </c>
      <c r="Y486" s="397">
        <f t="shared" si="107"/>
        <v>1843200</v>
      </c>
      <c r="Z486" s="478">
        <v>0.55000000000000004</v>
      </c>
      <c r="AA486" s="479">
        <f t="shared" si="108"/>
        <v>1013760.0000000001</v>
      </c>
      <c r="AB486" s="480"/>
      <c r="AC486" s="481">
        <v>0</v>
      </c>
      <c r="AD486" s="474"/>
      <c r="AE486" s="474"/>
      <c r="AF486" s="493">
        <f t="shared" si="114"/>
        <v>1013760.0000000001</v>
      </c>
      <c r="AG486" s="474" t="s">
        <v>1071</v>
      </c>
      <c r="AH486" s="474"/>
      <c r="AI486" s="474">
        <v>60</v>
      </c>
      <c r="AJ486" s="475" t="s">
        <v>1700</v>
      </c>
      <c r="AK486" s="475" t="s">
        <v>50</v>
      </c>
      <c r="AL486" s="483">
        <v>92126</v>
      </c>
      <c r="AM486" s="474" t="s">
        <v>52</v>
      </c>
      <c r="AN486" s="384"/>
      <c r="AO486" s="474" t="s">
        <v>1076</v>
      </c>
      <c r="AP486" s="474"/>
      <c r="AQ486" s="482" t="s">
        <v>37</v>
      </c>
      <c r="AR486" s="474"/>
      <c r="AS486" s="473" t="s">
        <v>1492</v>
      </c>
      <c r="AT486" s="346"/>
      <c r="AU486" s="478">
        <v>0.52</v>
      </c>
      <c r="AV486" s="471">
        <f t="shared" si="115"/>
        <v>0</v>
      </c>
      <c r="AW486" s="471" cm="1">
        <f t="array" ref="AW486">SUM(MID(0&amp;AV486,LARGE(INDEX(ISNUMBER(--MID(AV486,ROW($1:$8),1))*ROW($1:$8),),ROW($1:$8))+1,1)*10^ROW($1:$8)/10)</f>
        <v>0</v>
      </c>
      <c r="AX486" s="471" t="e">
        <f>VLOOKUP($AW486,'Item Master Data'!$A:$F,3,FALSE)</f>
        <v>#N/A</v>
      </c>
      <c r="AY486" s="471" t="e">
        <f>VLOOKUP($AW486,'Item Master Data'!$A:$F,6,FALSE)</f>
        <v>#N/A</v>
      </c>
      <c r="AZ486" s="471" t="e">
        <f t="shared" si="116"/>
        <v>#N/A</v>
      </c>
      <c r="BA486" s="471" t="e">
        <f>VLOOKUP(AW486,'Item Master Data'!$A:$G,7,FALSE)</f>
        <v>#N/A</v>
      </c>
      <c r="BB486" s="471"/>
      <c r="BC486" s="471" t="e">
        <f t="shared" si="117"/>
        <v>#N/A</v>
      </c>
    </row>
    <row r="487" spans="1:55">
      <c r="A487" s="495"/>
      <c r="B487" s="407">
        <v>44676</v>
      </c>
      <c r="C487" s="596">
        <v>44676</v>
      </c>
      <c r="D487" s="485" t="s">
        <v>86</v>
      </c>
      <c r="E487" s="383" t="s">
        <v>5400</v>
      </c>
      <c r="F487" s="474"/>
      <c r="G487" s="380">
        <v>2022</v>
      </c>
      <c r="H487" s="380">
        <v>12</v>
      </c>
      <c r="I487" s="474"/>
      <c r="J487" s="475"/>
      <c r="K487" s="474" t="s">
        <v>5402</v>
      </c>
      <c r="L487" s="474" t="s">
        <v>1699</v>
      </c>
      <c r="M487" s="475">
        <v>44671</v>
      </c>
      <c r="N487" s="475">
        <v>44896</v>
      </c>
      <c r="O487" s="475"/>
      <c r="P487" s="345"/>
      <c r="Q487" s="475"/>
      <c r="R487" s="475"/>
      <c r="S487" s="474" t="s">
        <v>88</v>
      </c>
      <c r="T487" s="474">
        <v>60</v>
      </c>
      <c r="U487" s="474"/>
      <c r="V487" s="486" t="s">
        <v>973</v>
      </c>
      <c r="W487" s="474">
        <v>400</v>
      </c>
      <c r="X487" s="432">
        <v>4608</v>
      </c>
      <c r="Y487" s="397">
        <f t="shared" si="107"/>
        <v>1843200</v>
      </c>
      <c r="Z487" s="478">
        <v>0.55000000000000004</v>
      </c>
      <c r="AA487" s="479">
        <f t="shared" si="108"/>
        <v>1013760.0000000001</v>
      </c>
      <c r="AB487" s="480"/>
      <c r="AC487" s="481">
        <v>0</v>
      </c>
      <c r="AD487" s="474"/>
      <c r="AE487" s="474"/>
      <c r="AF487" s="493">
        <f t="shared" si="114"/>
        <v>1013760.0000000001</v>
      </c>
      <c r="AG487" s="474" t="s">
        <v>1071</v>
      </c>
      <c r="AH487" s="474"/>
      <c r="AI487" s="474">
        <v>60</v>
      </c>
      <c r="AJ487" s="475" t="s">
        <v>1700</v>
      </c>
      <c r="AK487" s="475" t="s">
        <v>50</v>
      </c>
      <c r="AL487" s="483">
        <v>92126</v>
      </c>
      <c r="AM487" s="474" t="s">
        <v>52</v>
      </c>
      <c r="AN487" s="384"/>
      <c r="AO487" s="474" t="s">
        <v>1076</v>
      </c>
      <c r="AP487" s="474"/>
      <c r="AQ487" s="482" t="s">
        <v>37</v>
      </c>
      <c r="AR487" s="474"/>
      <c r="AS487" s="473" t="s">
        <v>1492</v>
      </c>
      <c r="AT487" s="346"/>
      <c r="AU487" s="478">
        <v>0.52</v>
      </c>
      <c r="AV487" s="471">
        <f t="shared" si="115"/>
        <v>0</v>
      </c>
      <c r="AW487" s="471" cm="1">
        <f t="array" ref="AW487">SUM(MID(0&amp;AV487,LARGE(INDEX(ISNUMBER(--MID(AV487,ROW($1:$8),1))*ROW($1:$8),),ROW($1:$8))+1,1)*10^ROW($1:$8)/10)</f>
        <v>0</v>
      </c>
      <c r="AX487" s="471" t="e">
        <f>VLOOKUP($AW487,'Item Master Data'!$A:$F,3,FALSE)</f>
        <v>#N/A</v>
      </c>
      <c r="AY487" s="471" t="e">
        <f>VLOOKUP($AW487,'Item Master Data'!$A:$F,6,FALSE)</f>
        <v>#N/A</v>
      </c>
      <c r="AZ487" s="471" t="e">
        <f t="shared" si="116"/>
        <v>#N/A</v>
      </c>
      <c r="BA487" s="471" t="e">
        <f>VLOOKUP(AW487,'Item Master Data'!$A:$G,7,FALSE)</f>
        <v>#N/A</v>
      </c>
      <c r="BB487" s="471"/>
      <c r="BC487" s="471" t="e">
        <f t="shared" si="117"/>
        <v>#N/A</v>
      </c>
    </row>
    <row r="488" spans="1:55">
      <c r="A488" s="495"/>
      <c r="B488" s="407">
        <v>44641</v>
      </c>
      <c r="C488" s="495"/>
      <c r="D488" s="512" t="s">
        <v>86</v>
      </c>
      <c r="E488" s="352"/>
      <c r="F488" s="501"/>
      <c r="G488" s="371">
        <v>2022</v>
      </c>
      <c r="H488" s="371">
        <v>5</v>
      </c>
      <c r="I488" s="501"/>
      <c r="J488" s="502"/>
      <c r="K488" s="501">
        <v>1156</v>
      </c>
      <c r="L488" s="501" t="s">
        <v>1754</v>
      </c>
      <c r="M488" s="502">
        <v>44488</v>
      </c>
      <c r="N488" s="502">
        <v>44621</v>
      </c>
      <c r="O488" s="502"/>
      <c r="P488" s="353"/>
      <c r="Q488" s="502"/>
      <c r="R488" s="502"/>
      <c r="S488" s="501" t="s">
        <v>1688</v>
      </c>
      <c r="T488" s="501">
        <v>60</v>
      </c>
      <c r="U488" s="501" t="s">
        <v>1281</v>
      </c>
      <c r="V488" s="510" t="s">
        <v>2482</v>
      </c>
      <c r="W488" s="501">
        <v>400</v>
      </c>
      <c r="X488" s="354">
        <v>832</v>
      </c>
      <c r="Y488" s="397">
        <f>W488*X488</f>
        <v>332800</v>
      </c>
      <c r="Z488" s="478">
        <f>224/400</f>
        <v>0.56000000000000005</v>
      </c>
      <c r="AA488" s="479">
        <f>Z488*Y488</f>
        <v>186368.00000000003</v>
      </c>
      <c r="AB488" s="480"/>
      <c r="AC488" s="481">
        <f>AB488*Y488</f>
        <v>0</v>
      </c>
      <c r="AD488" s="474"/>
      <c r="AE488" s="474"/>
      <c r="AF488" s="493">
        <f>AE488+AD488+AA488</f>
        <v>186368.00000000003</v>
      </c>
      <c r="AG488" s="474" t="s">
        <v>1071</v>
      </c>
      <c r="AH488" s="474">
        <v>100</v>
      </c>
      <c r="AI488" s="474">
        <v>0</v>
      </c>
      <c r="AJ488" s="475" t="s">
        <v>1756</v>
      </c>
      <c r="AK488" s="475" t="s">
        <v>50</v>
      </c>
      <c r="AL488" s="483">
        <v>92010</v>
      </c>
      <c r="AM488" s="474" t="s">
        <v>52</v>
      </c>
      <c r="AN488" s="384" t="s">
        <v>50</v>
      </c>
      <c r="AO488" s="474" t="s">
        <v>1076</v>
      </c>
      <c r="AP488" s="474" t="s">
        <v>92</v>
      </c>
      <c r="AQ488" s="482" t="s">
        <v>37</v>
      </c>
      <c r="AR488" s="474" t="s">
        <v>1216</v>
      </c>
      <c r="AS488" s="473"/>
      <c r="AT488" s="346"/>
      <c r="AU488" s="478">
        <f>212/400</f>
        <v>0.53</v>
      </c>
      <c r="AV488" s="471" t="str">
        <f t="shared" si="115"/>
        <v>30390456H</v>
      </c>
      <c r="AW488" s="471" cm="1">
        <f t="array" ref="AW488">SUM(MID(0&amp;AV488,LARGE(INDEX(ISNUMBER(--MID(AV488,ROW($1:$8),1))*ROW($1:$8),),ROW($1:$8))+1,1)*10^ROW($1:$8)/10)</f>
        <v>30390456</v>
      </c>
      <c r="AX488" s="471" t="str">
        <f>VLOOKUP($AW488,'Item Master Data'!$A:$F,3,FALSE)</f>
        <v>Q.PEAK DUO BLK ML G10+</v>
      </c>
      <c r="AY488" s="471">
        <f>VLOOKUP($AW488,'Item Master Data'!$A:$F,6,FALSE)</f>
        <v>400</v>
      </c>
      <c r="AZ488" s="471">
        <f t="shared" si="116"/>
        <v>26</v>
      </c>
      <c r="BA488" s="471">
        <f>VLOOKUP(AW488,'Item Master Data'!$A:$G,7,FALSE)</f>
        <v>32</v>
      </c>
      <c r="BB488" s="471"/>
      <c r="BC488" s="471">
        <f t="shared" si="117"/>
        <v>0</v>
      </c>
    </row>
    <row r="489" spans="1:55">
      <c r="A489" s="495"/>
      <c r="B489" s="407">
        <v>44641</v>
      </c>
      <c r="C489" s="495"/>
      <c r="D489" s="512" t="s">
        <v>86</v>
      </c>
      <c r="E489" s="352"/>
      <c r="F489" s="501"/>
      <c r="G489" s="371">
        <v>2022</v>
      </c>
      <c r="H489" s="371">
        <v>5</v>
      </c>
      <c r="I489" s="501"/>
      <c r="J489" s="502"/>
      <c r="K489" s="501">
        <v>1157</v>
      </c>
      <c r="L489" s="501" t="s">
        <v>1754</v>
      </c>
      <c r="M489" s="502">
        <v>44488</v>
      </c>
      <c r="N489" s="502">
        <v>44621</v>
      </c>
      <c r="O489" s="502"/>
      <c r="P489" s="353"/>
      <c r="Q489" s="502"/>
      <c r="R489" s="502"/>
      <c r="S489" s="501" t="s">
        <v>1688</v>
      </c>
      <c r="T489" s="501">
        <v>60</v>
      </c>
      <c r="U489" s="501" t="s">
        <v>1281</v>
      </c>
      <c r="V489" s="510" t="s">
        <v>2482</v>
      </c>
      <c r="W489" s="501">
        <v>400</v>
      </c>
      <c r="X489" s="354">
        <v>832</v>
      </c>
      <c r="Y489" s="397">
        <f>W489*X489</f>
        <v>332800</v>
      </c>
      <c r="Z489" s="478">
        <f>224/400</f>
        <v>0.56000000000000005</v>
      </c>
      <c r="AA489" s="479">
        <f>Z489*Y489</f>
        <v>186368.00000000003</v>
      </c>
      <c r="AB489" s="480"/>
      <c r="AC489" s="481">
        <f>AB489*Y489</f>
        <v>0</v>
      </c>
      <c r="AD489" s="474"/>
      <c r="AE489" s="474"/>
      <c r="AF489" s="493">
        <f>AE489+AD489+AA489</f>
        <v>186368.00000000003</v>
      </c>
      <c r="AG489" s="474" t="s">
        <v>1071</v>
      </c>
      <c r="AH489" s="474">
        <v>100</v>
      </c>
      <c r="AI489" s="474">
        <v>0</v>
      </c>
      <c r="AJ489" s="475" t="s">
        <v>1756</v>
      </c>
      <c r="AK489" s="475" t="s">
        <v>50</v>
      </c>
      <c r="AL489" s="483">
        <v>92010</v>
      </c>
      <c r="AM489" s="474" t="s">
        <v>52</v>
      </c>
      <c r="AN489" s="384" t="s">
        <v>50</v>
      </c>
      <c r="AO489" s="474" t="s">
        <v>1076</v>
      </c>
      <c r="AP489" s="474" t="s">
        <v>92</v>
      </c>
      <c r="AQ489" s="482" t="s">
        <v>37</v>
      </c>
      <c r="AR489" s="474" t="s">
        <v>1216</v>
      </c>
      <c r="AS489" s="473"/>
      <c r="AT489" s="346"/>
      <c r="AU489" s="478">
        <f>212/400</f>
        <v>0.53</v>
      </c>
      <c r="AV489" s="471" t="str">
        <f t="shared" si="115"/>
        <v>30390456H</v>
      </c>
      <c r="AW489" s="471" cm="1">
        <f t="array" ref="AW489">SUM(MID(0&amp;AV489,LARGE(INDEX(ISNUMBER(--MID(AV489,ROW($1:$8),1))*ROW($1:$8),),ROW($1:$8))+1,1)*10^ROW($1:$8)/10)</f>
        <v>30390456</v>
      </c>
      <c r="AX489" s="471" t="str">
        <f>VLOOKUP($AW489,'Item Master Data'!$A:$F,3,FALSE)</f>
        <v>Q.PEAK DUO BLK ML G10+</v>
      </c>
      <c r="AY489" s="471">
        <f>VLOOKUP($AW489,'Item Master Data'!$A:$F,6,FALSE)</f>
        <v>400</v>
      </c>
      <c r="AZ489" s="471">
        <f t="shared" si="116"/>
        <v>26</v>
      </c>
      <c r="BA489" s="471">
        <f>VLOOKUP(AW489,'Item Master Data'!$A:$G,7,FALSE)</f>
        <v>32</v>
      </c>
      <c r="BB489" s="471"/>
      <c r="BC489" s="471">
        <f t="shared" si="117"/>
        <v>0</v>
      </c>
    </row>
    <row r="490" spans="1:55">
      <c r="A490" s="514"/>
      <c r="B490" s="514"/>
      <c r="C490" s="514"/>
      <c r="D490" s="485" t="s">
        <v>2322</v>
      </c>
      <c r="E490" s="474"/>
      <c r="F490" s="474" t="s">
        <v>1147</v>
      </c>
      <c r="G490" s="474">
        <v>2022</v>
      </c>
      <c r="H490" s="404">
        <v>3</v>
      </c>
      <c r="I490" s="474">
        <v>127186</v>
      </c>
      <c r="J490" s="475">
        <v>44621</v>
      </c>
      <c r="K490" s="483" t="s">
        <v>2323</v>
      </c>
      <c r="L490" s="474" t="s">
        <v>2324</v>
      </c>
      <c r="M490" s="487">
        <v>44341</v>
      </c>
      <c r="N490" s="487">
        <v>44475</v>
      </c>
      <c r="O490" s="487"/>
      <c r="P490" s="475">
        <v>44593</v>
      </c>
      <c r="Q490" s="475">
        <v>44610</v>
      </c>
      <c r="R490" s="475">
        <v>44621</v>
      </c>
      <c r="S490" s="474" t="s">
        <v>1563</v>
      </c>
      <c r="T490" s="474">
        <v>60</v>
      </c>
      <c r="U490" s="474" t="s">
        <v>2325</v>
      </c>
      <c r="V490" s="474" t="s">
        <v>631</v>
      </c>
      <c r="W490" s="474">
        <v>350</v>
      </c>
      <c r="X490" s="476">
        <v>832</v>
      </c>
      <c r="Y490" s="491">
        <f t="shared" ref="Y490:Y553" si="118">X490*W490</f>
        <v>291200</v>
      </c>
      <c r="Z490" s="478">
        <f>145.25/350</f>
        <v>0.41499999999999998</v>
      </c>
      <c r="AA490" s="492">
        <f t="shared" ref="AA490:AA553" si="119">Z490*Y490</f>
        <v>120848</v>
      </c>
      <c r="AB490" s="492"/>
      <c r="AC490" s="481">
        <v>0</v>
      </c>
      <c r="AD490" s="490"/>
      <c r="AE490" s="482"/>
      <c r="AF490" s="493">
        <f t="shared" ref="AF490:AF499" si="120">AA490+AE490</f>
        <v>120848</v>
      </c>
      <c r="AG490" s="474" t="s">
        <v>47</v>
      </c>
      <c r="AH490" s="474"/>
      <c r="AI490" s="483" t="s">
        <v>2326</v>
      </c>
      <c r="AJ490" s="474" t="s">
        <v>2327</v>
      </c>
      <c r="AK490" s="494" t="s">
        <v>50</v>
      </c>
      <c r="AL490" s="474">
        <v>91730</v>
      </c>
      <c r="AM490" s="474" t="s">
        <v>52</v>
      </c>
      <c r="AN490" s="474" t="s">
        <v>50</v>
      </c>
      <c r="AO490" s="474"/>
      <c r="AP490" s="486" t="s">
        <v>92</v>
      </c>
      <c r="AQ490" s="486" t="s">
        <v>37</v>
      </c>
      <c r="AR490" s="486"/>
      <c r="AS490" s="495" t="s">
        <v>1075</v>
      </c>
      <c r="AT490" s="495" t="s">
        <v>1075</v>
      </c>
      <c r="AU490" s="478"/>
      <c r="AV490" s="471" t="str">
        <f t="shared" si="115"/>
        <v>30371611C+</v>
      </c>
      <c r="AW490" s="471" cm="1">
        <f t="array" ref="AW490">SUM(MID(0&amp;AV490,LARGE(INDEX(ISNUMBER(--MID(AV490,ROW($1:$8),1))*ROW($1:$8),),ROW($1:$8))+1,1)*10^ROW($1:$8)/10)</f>
        <v>30371611</v>
      </c>
      <c r="AX490" s="471" t="str">
        <f>VLOOKUP($AW490,'Item Master Data'!$A:$F,3,FALSE)</f>
        <v>Q.PEAK DUO G6+</v>
      </c>
      <c r="AY490" s="471">
        <f>VLOOKUP($AW490,'Item Master Data'!$A:$F,6,FALSE)</f>
        <v>350</v>
      </c>
      <c r="AZ490" s="471">
        <f t="shared" si="116"/>
        <v>26</v>
      </c>
      <c r="BA490" s="471">
        <f>VLOOKUP(AW490,'Item Master Data'!$A:$G,7,FALSE)</f>
        <v>32</v>
      </c>
      <c r="BB490" s="471"/>
      <c r="BC490" s="471">
        <f t="shared" si="117"/>
        <v>0</v>
      </c>
    </row>
    <row r="491" spans="1:55">
      <c r="A491" s="514"/>
      <c r="B491" s="514"/>
      <c r="C491" s="514"/>
      <c r="D491" s="485" t="s">
        <v>2322</v>
      </c>
      <c r="E491" s="474"/>
      <c r="F491" s="474" t="s">
        <v>1147</v>
      </c>
      <c r="G491" s="474">
        <v>2022</v>
      </c>
      <c r="H491" s="404">
        <v>3</v>
      </c>
      <c r="I491" s="474">
        <v>127196</v>
      </c>
      <c r="J491" s="475">
        <v>44628</v>
      </c>
      <c r="K491" s="483" t="s">
        <v>2328</v>
      </c>
      <c r="L491" s="474" t="s">
        <v>2324</v>
      </c>
      <c r="M491" s="487">
        <v>44341</v>
      </c>
      <c r="N491" s="487">
        <v>44504</v>
      </c>
      <c r="O491" s="487"/>
      <c r="P491" s="475">
        <v>44596</v>
      </c>
      <c r="Q491" s="475">
        <v>44627</v>
      </c>
      <c r="R491" s="475">
        <v>44628</v>
      </c>
      <c r="S491" s="474" t="s">
        <v>1563</v>
      </c>
      <c r="T491" s="474">
        <v>60</v>
      </c>
      <c r="U491" s="474" t="s">
        <v>2325</v>
      </c>
      <c r="V491" s="474" t="s">
        <v>631</v>
      </c>
      <c r="W491" s="474">
        <v>350</v>
      </c>
      <c r="X491" s="476">
        <v>8608</v>
      </c>
      <c r="Y491" s="491">
        <f t="shared" si="118"/>
        <v>3012800</v>
      </c>
      <c r="Z491" s="478">
        <v>0.41499999999999998</v>
      </c>
      <c r="AA491" s="479">
        <f t="shared" si="119"/>
        <v>1250312</v>
      </c>
      <c r="AB491" s="479"/>
      <c r="AC491" s="481">
        <v>0</v>
      </c>
      <c r="AD491" s="490"/>
      <c r="AE491" s="482"/>
      <c r="AF491" s="493">
        <f t="shared" si="120"/>
        <v>1250312</v>
      </c>
      <c r="AG491" s="474" t="s">
        <v>47</v>
      </c>
      <c r="AH491" s="474"/>
      <c r="AI491" s="483" t="s">
        <v>2326</v>
      </c>
      <c r="AJ491" s="474" t="s">
        <v>2327</v>
      </c>
      <c r="AK491" s="494" t="s">
        <v>50</v>
      </c>
      <c r="AL491" s="474">
        <v>17402</v>
      </c>
      <c r="AM491" s="474" t="s">
        <v>52</v>
      </c>
      <c r="AN491" s="474" t="s">
        <v>50</v>
      </c>
      <c r="AO491" s="474"/>
      <c r="AP491" s="486" t="s">
        <v>92</v>
      </c>
      <c r="AQ491" s="486" t="s">
        <v>37</v>
      </c>
      <c r="AR491" s="486"/>
      <c r="AS491" s="495" t="s">
        <v>1075</v>
      </c>
      <c r="AT491" s="495" t="s">
        <v>1075</v>
      </c>
      <c r="AU491" s="478"/>
      <c r="AV491" s="471" t="str">
        <f t="shared" si="115"/>
        <v>30371611C+</v>
      </c>
      <c r="AW491" s="471" cm="1">
        <f t="array" ref="AW491">SUM(MID(0&amp;AV491,LARGE(INDEX(ISNUMBER(--MID(AV491,ROW($1:$8),1))*ROW($1:$8),),ROW($1:$8))+1,1)*10^ROW($1:$8)/10)</f>
        <v>30371611</v>
      </c>
      <c r="AX491" s="471" t="str">
        <f>VLOOKUP($AW491,'Item Master Data'!$A:$F,3,FALSE)</f>
        <v>Q.PEAK DUO G6+</v>
      </c>
      <c r="AY491" s="471">
        <f>VLOOKUP($AW491,'Item Master Data'!$A:$F,6,FALSE)</f>
        <v>350</v>
      </c>
      <c r="AZ491" s="471">
        <f t="shared" si="116"/>
        <v>269</v>
      </c>
      <c r="BA491" s="471">
        <f>VLOOKUP(AW491,'Item Master Data'!$A:$G,7,FALSE)</f>
        <v>32</v>
      </c>
      <c r="BB491" s="471"/>
      <c r="BC491" s="471">
        <f t="shared" si="117"/>
        <v>0</v>
      </c>
    </row>
    <row r="492" spans="1:55">
      <c r="A492" s="514"/>
      <c r="B492" s="514"/>
      <c r="C492" s="514"/>
      <c r="D492" s="485" t="s">
        <v>2322</v>
      </c>
      <c r="E492" s="474"/>
      <c r="F492" s="474" t="s">
        <v>1147</v>
      </c>
      <c r="G492" s="474">
        <v>2022</v>
      </c>
      <c r="H492" s="404">
        <v>3</v>
      </c>
      <c r="I492" s="474">
        <v>127572</v>
      </c>
      <c r="J492" s="475">
        <v>44645</v>
      </c>
      <c r="K492" s="483" t="s">
        <v>2329</v>
      </c>
      <c r="L492" s="474" t="s">
        <v>2324</v>
      </c>
      <c r="M492" s="487">
        <v>44341</v>
      </c>
      <c r="N492" s="487">
        <v>44504</v>
      </c>
      <c r="O492" s="487"/>
      <c r="P492" s="475">
        <v>44616</v>
      </c>
      <c r="Q492" s="475">
        <v>44641</v>
      </c>
      <c r="R492" s="475">
        <v>44645</v>
      </c>
      <c r="S492" s="474" t="s">
        <v>1563</v>
      </c>
      <c r="T492" s="474">
        <v>60</v>
      </c>
      <c r="U492" s="474" t="s">
        <v>2330</v>
      </c>
      <c r="V492" s="474" t="s">
        <v>691</v>
      </c>
      <c r="W492" s="474">
        <v>340</v>
      </c>
      <c r="X492" s="476">
        <v>1248</v>
      </c>
      <c r="Y492" s="491">
        <f t="shared" si="118"/>
        <v>424320</v>
      </c>
      <c r="Z492" s="478">
        <f>141.1/340</f>
        <v>0.41499999999999998</v>
      </c>
      <c r="AA492" s="479">
        <f t="shared" si="119"/>
        <v>176092.79999999999</v>
      </c>
      <c r="AB492" s="479"/>
      <c r="AC492" s="481">
        <v>0</v>
      </c>
      <c r="AD492" s="490"/>
      <c r="AE492" s="482"/>
      <c r="AF492" s="493">
        <f t="shared" si="120"/>
        <v>176092.79999999999</v>
      </c>
      <c r="AG492" s="474" t="s">
        <v>47</v>
      </c>
      <c r="AH492" s="474"/>
      <c r="AI492" s="483" t="s">
        <v>2326</v>
      </c>
      <c r="AJ492" s="474" t="s">
        <v>2327</v>
      </c>
      <c r="AK492" s="494" t="s">
        <v>50</v>
      </c>
      <c r="AL492" s="474">
        <v>17402</v>
      </c>
      <c r="AM492" s="474" t="s">
        <v>52</v>
      </c>
      <c r="AN492" s="474" t="s">
        <v>1144</v>
      </c>
      <c r="AO492" s="474"/>
      <c r="AP492" s="486" t="s">
        <v>92</v>
      </c>
      <c r="AQ492" s="486" t="s">
        <v>37</v>
      </c>
      <c r="AR492" s="486"/>
      <c r="AS492" s="495" t="s">
        <v>1075</v>
      </c>
      <c r="AT492" s="495" t="s">
        <v>1075</v>
      </c>
      <c r="AU492" s="478"/>
      <c r="AV492" s="471" t="str">
        <f t="shared" si="115"/>
        <v>30376909H</v>
      </c>
      <c r="AW492" s="471" cm="1">
        <f t="array" ref="AW492">SUM(MID(0&amp;AV492,LARGE(INDEX(ISNUMBER(--MID(AV492,ROW($1:$8),1))*ROW($1:$8),),ROW($1:$8))+1,1)*10^ROW($1:$8)/10)</f>
        <v>30376909</v>
      </c>
      <c r="AX492" s="471" t="str">
        <f>VLOOKUP($AW492,'Item Master Data'!$A:$F,3,FALSE)</f>
        <v>Q.PEAK DUO BLK G6+</v>
      </c>
      <c r="AY492" s="471">
        <f>VLOOKUP($AW492,'Item Master Data'!$A:$F,6,FALSE)</f>
        <v>340</v>
      </c>
      <c r="AZ492" s="471">
        <f t="shared" si="116"/>
        <v>39</v>
      </c>
      <c r="BA492" s="471">
        <f>VLOOKUP(AW492,'Item Master Data'!$A:$G,7,FALSE)</f>
        <v>32</v>
      </c>
      <c r="BB492" s="471"/>
      <c r="BC492" s="471">
        <f t="shared" si="117"/>
        <v>0</v>
      </c>
    </row>
    <row r="493" spans="1:55">
      <c r="A493" s="514"/>
      <c r="B493" s="514"/>
      <c r="C493" s="514"/>
      <c r="D493" s="485" t="s">
        <v>2322</v>
      </c>
      <c r="E493" s="474" t="s">
        <v>2331</v>
      </c>
      <c r="F493" s="474" t="s">
        <v>1147</v>
      </c>
      <c r="G493" s="474">
        <v>2022</v>
      </c>
      <c r="H493" s="404">
        <v>3</v>
      </c>
      <c r="I493" s="474">
        <v>127206</v>
      </c>
      <c r="J493" s="475">
        <v>44630</v>
      </c>
      <c r="K493" s="483" t="s">
        <v>2332</v>
      </c>
      <c r="L493" s="474" t="s">
        <v>2324</v>
      </c>
      <c r="M493" s="487">
        <v>44341</v>
      </c>
      <c r="N493" s="487">
        <v>44504</v>
      </c>
      <c r="O493" s="487" t="s">
        <v>2333</v>
      </c>
      <c r="P493" s="475">
        <v>44623</v>
      </c>
      <c r="Q493" s="475">
        <v>44629</v>
      </c>
      <c r="R493" s="475">
        <v>44629</v>
      </c>
      <c r="S493" s="474" t="s">
        <v>1563</v>
      </c>
      <c r="T493" s="474">
        <v>60</v>
      </c>
      <c r="U493" s="474" t="s">
        <v>2087</v>
      </c>
      <c r="V493" s="474" t="s">
        <v>691</v>
      </c>
      <c r="W493" s="474">
        <v>340</v>
      </c>
      <c r="X493" s="476">
        <v>832</v>
      </c>
      <c r="Y493" s="491">
        <f t="shared" si="118"/>
        <v>282880</v>
      </c>
      <c r="Z493" s="478">
        <f>141.1/340</f>
        <v>0.41499999999999998</v>
      </c>
      <c r="AA493" s="479">
        <f t="shared" si="119"/>
        <v>117395.2</v>
      </c>
      <c r="AB493" s="479"/>
      <c r="AC493" s="481">
        <v>0</v>
      </c>
      <c r="AD493" s="490"/>
      <c r="AE493" s="482"/>
      <c r="AF493" s="493">
        <f t="shared" si="120"/>
        <v>117395.2</v>
      </c>
      <c r="AG493" s="474" t="s">
        <v>47</v>
      </c>
      <c r="AH493" s="474"/>
      <c r="AI493" s="483" t="s">
        <v>2326</v>
      </c>
      <c r="AJ493" s="474" t="s">
        <v>2327</v>
      </c>
      <c r="AK493" s="494" t="s">
        <v>50</v>
      </c>
      <c r="AL493" s="474">
        <v>91730</v>
      </c>
      <c r="AM493" s="474" t="s">
        <v>52</v>
      </c>
      <c r="AN493" s="474" t="s">
        <v>50</v>
      </c>
      <c r="AO493" s="474"/>
      <c r="AP493" s="486" t="s">
        <v>92</v>
      </c>
      <c r="AQ493" s="486" t="s">
        <v>37</v>
      </c>
      <c r="AR493" s="486"/>
      <c r="AS493" s="495" t="s">
        <v>1075</v>
      </c>
      <c r="AT493" s="495" t="s">
        <v>1075</v>
      </c>
      <c r="AU493" s="478"/>
      <c r="AV493" s="471" t="str">
        <f t="shared" si="115"/>
        <v>30376609C</v>
      </c>
      <c r="AW493" s="471" cm="1">
        <f t="array" ref="AW493">SUM(MID(0&amp;AV493,LARGE(INDEX(ISNUMBER(--MID(AV493,ROW($1:$8),1))*ROW($1:$8),),ROW($1:$8))+1,1)*10^ROW($1:$8)/10)</f>
        <v>30376609</v>
      </c>
      <c r="AX493" s="471" t="str">
        <f>VLOOKUP($AW493,'Item Master Data'!$A:$F,3,FALSE)</f>
        <v>Q.PEAK DUO BLK G6+</v>
      </c>
      <c r="AY493" s="471">
        <f>VLOOKUP($AW493,'Item Master Data'!$A:$F,6,FALSE)</f>
        <v>340</v>
      </c>
      <c r="AZ493" s="471">
        <f t="shared" si="116"/>
        <v>26</v>
      </c>
      <c r="BA493" s="471">
        <f>VLOOKUP(AW493,'Item Master Data'!$A:$G,7,FALSE)</f>
        <v>32</v>
      </c>
      <c r="BB493" s="471"/>
      <c r="BC493" s="471">
        <f t="shared" si="117"/>
        <v>0</v>
      </c>
    </row>
    <row r="494" spans="1:55">
      <c r="A494" s="514"/>
      <c r="B494" s="514"/>
      <c r="C494" s="514"/>
      <c r="D494" s="485" t="s">
        <v>2322</v>
      </c>
      <c r="E494" s="474"/>
      <c r="F494" s="474" t="s">
        <v>1147</v>
      </c>
      <c r="G494" s="474">
        <v>2022</v>
      </c>
      <c r="H494" s="404">
        <v>3</v>
      </c>
      <c r="I494" s="474">
        <v>127206</v>
      </c>
      <c r="J494" s="475">
        <v>44630</v>
      </c>
      <c r="K494" s="483" t="s">
        <v>2334</v>
      </c>
      <c r="L494" s="474" t="s">
        <v>2324</v>
      </c>
      <c r="M494" s="487">
        <v>44341</v>
      </c>
      <c r="N494" s="487">
        <v>44504</v>
      </c>
      <c r="O494" s="487" t="s">
        <v>2333</v>
      </c>
      <c r="P494" s="475">
        <v>44628</v>
      </c>
      <c r="Q494" s="475">
        <v>44630</v>
      </c>
      <c r="R494" s="475">
        <v>44630</v>
      </c>
      <c r="S494" s="474" t="s">
        <v>1563</v>
      </c>
      <c r="T494" s="474">
        <v>60</v>
      </c>
      <c r="U494" s="474" t="s">
        <v>2335</v>
      </c>
      <c r="V494" s="474" t="s">
        <v>691</v>
      </c>
      <c r="W494" s="474">
        <v>340</v>
      </c>
      <c r="X494" s="476">
        <v>1664</v>
      </c>
      <c r="Y494" s="491">
        <f t="shared" si="118"/>
        <v>565760</v>
      </c>
      <c r="Z494" s="478">
        <f>141.1/340</f>
        <v>0.41499999999999998</v>
      </c>
      <c r="AA494" s="479">
        <f t="shared" si="119"/>
        <v>234790.39999999999</v>
      </c>
      <c r="AB494" s="479"/>
      <c r="AC494" s="481">
        <v>0</v>
      </c>
      <c r="AD494" s="490"/>
      <c r="AE494" s="482"/>
      <c r="AF494" s="493">
        <f t="shared" si="120"/>
        <v>234790.39999999999</v>
      </c>
      <c r="AG494" s="474" t="s">
        <v>47</v>
      </c>
      <c r="AH494" s="474"/>
      <c r="AI494" s="483" t="s">
        <v>2326</v>
      </c>
      <c r="AJ494" s="474" t="s">
        <v>2327</v>
      </c>
      <c r="AK494" s="494" t="s">
        <v>50</v>
      </c>
      <c r="AL494" s="474">
        <v>91730</v>
      </c>
      <c r="AM494" s="474" t="s">
        <v>52</v>
      </c>
      <c r="AN494" s="474" t="s">
        <v>50</v>
      </c>
      <c r="AO494" s="474"/>
      <c r="AP494" s="486" t="s">
        <v>92</v>
      </c>
      <c r="AQ494" s="486" t="s">
        <v>37</v>
      </c>
      <c r="AR494" s="486"/>
      <c r="AS494" s="495" t="s">
        <v>1075</v>
      </c>
      <c r="AT494" s="495" t="s">
        <v>1075</v>
      </c>
      <c r="AU494" s="478"/>
      <c r="AV494" s="471" t="str">
        <f t="shared" si="115"/>
        <v>30376909C</v>
      </c>
      <c r="AW494" s="471" cm="1">
        <f t="array" ref="AW494">SUM(MID(0&amp;AV494,LARGE(INDEX(ISNUMBER(--MID(AV494,ROW($1:$8),1))*ROW($1:$8),),ROW($1:$8))+1,1)*10^ROW($1:$8)/10)</f>
        <v>30376909</v>
      </c>
      <c r="AX494" s="471" t="str">
        <f>VLOOKUP($AW494,'Item Master Data'!$A:$F,3,FALSE)</f>
        <v>Q.PEAK DUO BLK G6+</v>
      </c>
      <c r="AY494" s="471">
        <f>VLOOKUP($AW494,'Item Master Data'!$A:$F,6,FALSE)</f>
        <v>340</v>
      </c>
      <c r="AZ494" s="471">
        <f t="shared" si="116"/>
        <v>52</v>
      </c>
      <c r="BA494" s="471">
        <f>VLOOKUP(AW494,'Item Master Data'!$A:$G,7,FALSE)</f>
        <v>32</v>
      </c>
      <c r="BB494" s="471"/>
      <c r="BC494" s="471">
        <f t="shared" si="117"/>
        <v>0</v>
      </c>
    </row>
    <row r="495" spans="1:55">
      <c r="A495" s="599"/>
      <c r="B495" s="514"/>
      <c r="C495" s="514"/>
      <c r="D495" s="485" t="s">
        <v>2322</v>
      </c>
      <c r="E495" s="474" t="s">
        <v>2336</v>
      </c>
      <c r="F495" s="474"/>
      <c r="G495" s="474">
        <v>2022</v>
      </c>
      <c r="H495" s="474">
        <v>3</v>
      </c>
      <c r="I495" s="485">
        <v>127682</v>
      </c>
      <c r="J495" s="475">
        <v>44651</v>
      </c>
      <c r="K495" s="483" t="s">
        <v>2337</v>
      </c>
      <c r="L495" s="474" t="s">
        <v>2324</v>
      </c>
      <c r="M495" s="487">
        <v>44456</v>
      </c>
      <c r="N495" s="487">
        <v>44538</v>
      </c>
      <c r="O495" s="487"/>
      <c r="P495" s="377">
        <v>44638</v>
      </c>
      <c r="Q495" s="475">
        <v>44645</v>
      </c>
      <c r="R495" s="475">
        <v>44651</v>
      </c>
      <c r="S495" s="474" t="s">
        <v>1563</v>
      </c>
      <c r="T495" s="474">
        <v>60</v>
      </c>
      <c r="U495" s="474">
        <v>49403140</v>
      </c>
      <c r="V495" s="474" t="s">
        <v>973</v>
      </c>
      <c r="W495" s="474">
        <v>400</v>
      </c>
      <c r="X495" s="476">
        <v>6336</v>
      </c>
      <c r="Y495" s="491">
        <f t="shared" si="118"/>
        <v>2534400</v>
      </c>
      <c r="Z495" s="478">
        <f>194/400</f>
        <v>0.48499999999999999</v>
      </c>
      <c r="AA495" s="479">
        <f t="shared" si="119"/>
        <v>1229184</v>
      </c>
      <c r="AB495" s="480"/>
      <c r="AC495" s="481">
        <v>0</v>
      </c>
      <c r="AD495" s="490"/>
      <c r="AE495" s="482"/>
      <c r="AF495" s="493">
        <f t="shared" si="120"/>
        <v>1229184</v>
      </c>
      <c r="AG495" s="474" t="s">
        <v>47</v>
      </c>
      <c r="AH495" s="474"/>
      <c r="AI495" s="483" t="s">
        <v>2326</v>
      </c>
      <c r="AJ495" s="474" t="s">
        <v>2338</v>
      </c>
      <c r="AK495" s="494" t="s">
        <v>1347</v>
      </c>
      <c r="AL495" s="474">
        <v>17402</v>
      </c>
      <c r="AM495" s="474" t="s">
        <v>52</v>
      </c>
      <c r="AN495" s="474" t="s">
        <v>1074</v>
      </c>
      <c r="AO495" s="474"/>
      <c r="AP495" s="486"/>
      <c r="AQ495" s="486" t="s">
        <v>37</v>
      </c>
      <c r="AR495" s="486"/>
      <c r="AS495" s="495"/>
      <c r="AT495" s="495"/>
      <c r="AU495" s="478"/>
      <c r="AV495" s="471">
        <f t="shared" si="115"/>
        <v>49403140</v>
      </c>
      <c r="AW495" s="471" cm="1">
        <f t="array" ref="AW495">SUM(MID(0&amp;AV495,LARGE(INDEX(ISNUMBER(--MID(AV495,ROW($1:$8),1))*ROW($1:$8),),ROW($1:$8))+1,1)*10^ROW($1:$8)/10)</f>
        <v>49403140</v>
      </c>
      <c r="AX495" s="471" t="str">
        <f>VLOOKUP($AW495,'Item Master Data'!$A:$F,3,FALSE)</f>
        <v>Q.PEAK DUO BLK ML G10+</v>
      </c>
      <c r="AY495" s="471">
        <f>VLOOKUP($AW495,'Item Master Data'!$A:$F,6,FALSE)</f>
        <v>400</v>
      </c>
      <c r="AZ495" s="471">
        <f t="shared" si="116"/>
        <v>198</v>
      </c>
      <c r="BA495" s="471">
        <f>VLOOKUP(AW495,'Item Master Data'!$A:$G,7,FALSE)</f>
        <v>32</v>
      </c>
      <c r="BB495" s="471"/>
      <c r="BC495" s="471">
        <f t="shared" si="117"/>
        <v>0</v>
      </c>
    </row>
    <row r="496" spans="1:55">
      <c r="A496" s="599"/>
      <c r="B496" s="514"/>
      <c r="C496" s="514"/>
      <c r="D496" s="485" t="s">
        <v>2322</v>
      </c>
      <c r="E496" s="474" t="s">
        <v>2336</v>
      </c>
      <c r="F496" s="474"/>
      <c r="G496" s="474">
        <v>2022</v>
      </c>
      <c r="H496" s="474">
        <v>3</v>
      </c>
      <c r="I496" s="485">
        <v>127682</v>
      </c>
      <c r="J496" s="475">
        <v>44651</v>
      </c>
      <c r="K496" s="483" t="s">
        <v>2337</v>
      </c>
      <c r="L496" s="474" t="s">
        <v>2324</v>
      </c>
      <c r="M496" s="487">
        <v>44456</v>
      </c>
      <c r="N496" s="487">
        <v>44538</v>
      </c>
      <c r="O496" s="487"/>
      <c r="P496" s="377">
        <v>44638</v>
      </c>
      <c r="Q496" s="475">
        <v>44645</v>
      </c>
      <c r="R496" s="475">
        <v>44651</v>
      </c>
      <c r="S496" s="474" t="s">
        <v>1563</v>
      </c>
      <c r="T496" s="474">
        <v>60</v>
      </c>
      <c r="U496" s="474">
        <v>49403540</v>
      </c>
      <c r="V496" s="474" t="s">
        <v>973</v>
      </c>
      <c r="W496" s="474">
        <v>400</v>
      </c>
      <c r="X496" s="476">
        <v>1152</v>
      </c>
      <c r="Y496" s="491">
        <f t="shared" si="118"/>
        <v>460800</v>
      </c>
      <c r="Z496" s="478">
        <f>194/400</f>
        <v>0.48499999999999999</v>
      </c>
      <c r="AA496" s="479">
        <f t="shared" si="119"/>
        <v>223488</v>
      </c>
      <c r="AB496" s="480"/>
      <c r="AC496" s="481">
        <v>0</v>
      </c>
      <c r="AD496" s="490"/>
      <c r="AE496" s="482"/>
      <c r="AF496" s="493">
        <f t="shared" si="120"/>
        <v>223488</v>
      </c>
      <c r="AG496" s="474" t="s">
        <v>47</v>
      </c>
      <c r="AH496" s="474"/>
      <c r="AI496" s="483" t="s">
        <v>2326</v>
      </c>
      <c r="AJ496" s="474" t="s">
        <v>2338</v>
      </c>
      <c r="AK496" s="494" t="s">
        <v>1347</v>
      </c>
      <c r="AL496" s="474">
        <v>17402</v>
      </c>
      <c r="AM496" s="474" t="s">
        <v>52</v>
      </c>
      <c r="AN496" s="474" t="s">
        <v>1074</v>
      </c>
      <c r="AO496" s="474"/>
      <c r="AP496" s="486"/>
      <c r="AQ496" s="486" t="s">
        <v>37</v>
      </c>
      <c r="AR496" s="486"/>
      <c r="AS496" s="495"/>
      <c r="AT496" s="495"/>
      <c r="AU496" s="478"/>
      <c r="AV496" s="471">
        <f t="shared" si="115"/>
        <v>49403540</v>
      </c>
      <c r="AW496" s="471" cm="1">
        <f t="array" ref="AW496">SUM(MID(0&amp;AV496,LARGE(INDEX(ISNUMBER(--MID(AV496,ROW($1:$8),1))*ROW($1:$8),),ROW($1:$8))+1,1)*10^ROW($1:$8)/10)</f>
        <v>49403540</v>
      </c>
      <c r="AX496" s="471" t="str">
        <f>VLOOKUP($AW496,'Item Master Data'!$A:$F,3,FALSE)</f>
        <v>Q.PEAK DUO BLK ML G10+</v>
      </c>
      <c r="AY496" s="471">
        <f>VLOOKUP($AW496,'Item Master Data'!$A:$F,6,FALSE)</f>
        <v>400</v>
      </c>
      <c r="AZ496" s="471">
        <f t="shared" si="116"/>
        <v>36</v>
      </c>
      <c r="BA496" s="471">
        <f>VLOOKUP(AW496,'Item Master Data'!$A:$G,7,FALSE)</f>
        <v>32</v>
      </c>
      <c r="BB496" s="471"/>
      <c r="BC496" s="471">
        <f t="shared" si="117"/>
        <v>0</v>
      </c>
    </row>
    <row r="497" spans="1:55">
      <c r="A497" s="472"/>
      <c r="B497" s="514">
        <v>44580</v>
      </c>
      <c r="C497" s="514">
        <v>44615</v>
      </c>
      <c r="D497" s="485" t="s">
        <v>2322</v>
      </c>
      <c r="E497" s="474" t="s">
        <v>2339</v>
      </c>
      <c r="F497" s="474"/>
      <c r="G497" s="474">
        <v>2022</v>
      </c>
      <c r="H497" s="474">
        <v>3</v>
      </c>
      <c r="I497" s="485">
        <v>127886</v>
      </c>
      <c r="J497" s="475">
        <v>44644</v>
      </c>
      <c r="K497" s="483" t="s">
        <v>2340</v>
      </c>
      <c r="L497" s="474" t="s">
        <v>2324</v>
      </c>
      <c r="M497" s="487">
        <v>44524</v>
      </c>
      <c r="N497" s="487">
        <v>44572</v>
      </c>
      <c r="O497" s="487"/>
      <c r="P497" s="475">
        <v>44617</v>
      </c>
      <c r="Q497" s="475">
        <v>44635</v>
      </c>
      <c r="R497" s="475">
        <v>44644</v>
      </c>
      <c r="S497" s="474" t="s">
        <v>1563</v>
      </c>
      <c r="T497" s="474">
        <v>60</v>
      </c>
      <c r="U497" s="474" t="s">
        <v>2087</v>
      </c>
      <c r="V497" s="474" t="s">
        <v>691</v>
      </c>
      <c r="W497" s="474">
        <v>340</v>
      </c>
      <c r="X497" s="476">
        <v>6656</v>
      </c>
      <c r="Y497" s="491">
        <f t="shared" si="118"/>
        <v>2263040</v>
      </c>
      <c r="Z497" s="478">
        <f>153/340</f>
        <v>0.45</v>
      </c>
      <c r="AA497" s="479">
        <f t="shared" si="119"/>
        <v>1018368</v>
      </c>
      <c r="AB497" s="480"/>
      <c r="AC497" s="481">
        <f>AB497*Y497</f>
        <v>0</v>
      </c>
      <c r="AD497" s="490"/>
      <c r="AE497" s="482"/>
      <c r="AF497" s="493">
        <f t="shared" si="120"/>
        <v>1018368</v>
      </c>
      <c r="AG497" s="474" t="s">
        <v>47</v>
      </c>
      <c r="AH497" s="474"/>
      <c r="AI497" s="483" t="s">
        <v>2326</v>
      </c>
      <c r="AJ497" s="474" t="s">
        <v>2338</v>
      </c>
      <c r="AK497" s="494" t="s">
        <v>1347</v>
      </c>
      <c r="AL497" s="474">
        <v>17402</v>
      </c>
      <c r="AM497" s="474" t="s">
        <v>52</v>
      </c>
      <c r="AN497" s="474" t="s">
        <v>1144</v>
      </c>
      <c r="AO497" s="474"/>
      <c r="AP497" s="486" t="s">
        <v>92</v>
      </c>
      <c r="AQ497" s="486" t="s">
        <v>37</v>
      </c>
      <c r="AR497" s="486"/>
      <c r="AS497" s="495"/>
      <c r="AT497" s="495"/>
      <c r="AU497" s="478"/>
      <c r="AV497" s="471" t="str">
        <f t="shared" si="115"/>
        <v>30376609C</v>
      </c>
      <c r="AW497" s="471" cm="1">
        <f t="array" ref="AW497">SUM(MID(0&amp;AV497,LARGE(INDEX(ISNUMBER(--MID(AV497,ROW($1:$8),1))*ROW($1:$8),),ROW($1:$8))+1,1)*10^ROW($1:$8)/10)</f>
        <v>30376609</v>
      </c>
      <c r="AX497" s="471" t="str">
        <f>VLOOKUP($AW497,'Item Master Data'!$A:$F,3,FALSE)</f>
        <v>Q.PEAK DUO BLK G6+</v>
      </c>
      <c r="AY497" s="471">
        <f>VLOOKUP($AW497,'Item Master Data'!$A:$F,6,FALSE)</f>
        <v>340</v>
      </c>
      <c r="AZ497" s="471">
        <f t="shared" si="116"/>
        <v>208</v>
      </c>
      <c r="BA497" s="471">
        <f>VLOOKUP(AW497,'Item Master Data'!$A:$G,7,FALSE)</f>
        <v>32</v>
      </c>
      <c r="BB497" s="471"/>
      <c r="BC497" s="471">
        <f t="shared" si="117"/>
        <v>0</v>
      </c>
    </row>
    <row r="498" spans="1:55">
      <c r="A498" s="472"/>
      <c r="B498" s="514">
        <v>44580</v>
      </c>
      <c r="C498" s="514">
        <v>44615</v>
      </c>
      <c r="D498" s="485" t="s">
        <v>2322</v>
      </c>
      <c r="E498" s="474" t="s">
        <v>2341</v>
      </c>
      <c r="F498" s="474"/>
      <c r="G498" s="474">
        <v>2022</v>
      </c>
      <c r="H498" s="474">
        <v>3</v>
      </c>
      <c r="I498" s="485">
        <v>127853</v>
      </c>
      <c r="J498" s="475">
        <v>44638</v>
      </c>
      <c r="K498" s="483" t="s">
        <v>2340</v>
      </c>
      <c r="L498" s="474" t="s">
        <v>2324</v>
      </c>
      <c r="M498" s="487">
        <v>44524</v>
      </c>
      <c r="N498" s="487">
        <v>44572</v>
      </c>
      <c r="O498" s="487"/>
      <c r="P498" s="475">
        <v>44617</v>
      </c>
      <c r="Q498" s="475">
        <v>44635</v>
      </c>
      <c r="R498" s="475">
        <v>44638</v>
      </c>
      <c r="S498" s="474" t="s">
        <v>1563</v>
      </c>
      <c r="T498" s="474">
        <v>60</v>
      </c>
      <c r="U498" s="474" t="s">
        <v>2342</v>
      </c>
      <c r="V498" s="474" t="s">
        <v>631</v>
      </c>
      <c r="W498" s="474">
        <v>350</v>
      </c>
      <c r="X498" s="476">
        <v>832</v>
      </c>
      <c r="Y498" s="491">
        <f t="shared" si="118"/>
        <v>291200</v>
      </c>
      <c r="Z498" s="478">
        <f>157.5/350</f>
        <v>0.45</v>
      </c>
      <c r="AA498" s="479">
        <f t="shared" si="119"/>
        <v>131040</v>
      </c>
      <c r="AB498" s="480"/>
      <c r="AC498" s="481">
        <f>AB498*Y498</f>
        <v>0</v>
      </c>
      <c r="AD498" s="490"/>
      <c r="AE498" s="482"/>
      <c r="AF498" s="493">
        <f t="shared" si="120"/>
        <v>131040</v>
      </c>
      <c r="AG498" s="474" t="s">
        <v>47</v>
      </c>
      <c r="AH498" s="474"/>
      <c r="AI498" s="483" t="s">
        <v>2326</v>
      </c>
      <c r="AJ498" s="474" t="s">
        <v>2338</v>
      </c>
      <c r="AK498" s="494" t="s">
        <v>1347</v>
      </c>
      <c r="AL498" s="474">
        <v>17402</v>
      </c>
      <c r="AM498" s="474" t="s">
        <v>52</v>
      </c>
      <c r="AN498" s="474" t="s">
        <v>1144</v>
      </c>
      <c r="AO498" s="474"/>
      <c r="AP498" s="486" t="s">
        <v>92</v>
      </c>
      <c r="AQ498" s="486" t="s">
        <v>37</v>
      </c>
      <c r="AR498" s="486"/>
      <c r="AS498" s="495"/>
      <c r="AT498" s="495"/>
      <c r="AU498" s="478"/>
      <c r="AV498" s="471" t="str">
        <f t="shared" si="115"/>
        <v>30371611C</v>
      </c>
      <c r="AW498" s="471" cm="1">
        <f t="array" ref="AW498">SUM(MID(0&amp;AV498,LARGE(INDEX(ISNUMBER(--MID(AV498,ROW($1:$8),1))*ROW($1:$8),),ROW($1:$8))+1,1)*10^ROW($1:$8)/10)</f>
        <v>30371611</v>
      </c>
      <c r="AX498" s="471" t="str">
        <f>VLOOKUP($AW498,'Item Master Data'!$A:$F,3,FALSE)</f>
        <v>Q.PEAK DUO G6+</v>
      </c>
      <c r="AY498" s="471">
        <f>VLOOKUP($AW498,'Item Master Data'!$A:$F,6,FALSE)</f>
        <v>350</v>
      </c>
      <c r="AZ498" s="471">
        <f t="shared" si="116"/>
        <v>26</v>
      </c>
      <c r="BA498" s="471">
        <f>VLOOKUP(AW498,'Item Master Data'!$A:$G,7,FALSE)</f>
        <v>32</v>
      </c>
      <c r="BB498" s="471"/>
      <c r="BC498" s="471">
        <f t="shared" si="117"/>
        <v>0</v>
      </c>
    </row>
    <row r="499" spans="1:55">
      <c r="A499" s="472"/>
      <c r="B499" s="514">
        <v>44580</v>
      </c>
      <c r="C499" s="514">
        <v>44615</v>
      </c>
      <c r="D499" s="485" t="s">
        <v>2322</v>
      </c>
      <c r="E499" s="474"/>
      <c r="F499" s="474"/>
      <c r="G499" s="474">
        <v>2022</v>
      </c>
      <c r="H499" s="474">
        <v>3</v>
      </c>
      <c r="I499" s="485">
        <v>127187</v>
      </c>
      <c r="J499" s="475">
        <v>44624</v>
      </c>
      <c r="K499" s="483" t="s">
        <v>2343</v>
      </c>
      <c r="L499" s="474" t="s">
        <v>2324</v>
      </c>
      <c r="M499" s="487">
        <v>44524</v>
      </c>
      <c r="N499" s="487">
        <v>44571</v>
      </c>
      <c r="O499" s="487"/>
      <c r="P499" s="475">
        <v>44620</v>
      </c>
      <c r="Q499" s="475">
        <v>44623</v>
      </c>
      <c r="R499" s="475">
        <v>44624</v>
      </c>
      <c r="S499" s="474" t="s">
        <v>1563</v>
      </c>
      <c r="T499" s="474">
        <v>60</v>
      </c>
      <c r="U499" s="474" t="s">
        <v>1843</v>
      </c>
      <c r="V499" s="474" t="s">
        <v>691</v>
      </c>
      <c r="W499" s="474">
        <v>340</v>
      </c>
      <c r="X499" s="476">
        <v>7488</v>
      </c>
      <c r="Y499" s="491">
        <f t="shared" si="118"/>
        <v>2545920</v>
      </c>
      <c r="Z499" s="478">
        <f>153/340</f>
        <v>0.45</v>
      </c>
      <c r="AA499" s="479">
        <f t="shared" si="119"/>
        <v>1145664</v>
      </c>
      <c r="AB499" s="480"/>
      <c r="AC499" s="481">
        <f>AB499*Y499</f>
        <v>0</v>
      </c>
      <c r="AD499" s="490"/>
      <c r="AE499" s="482"/>
      <c r="AF499" s="493">
        <f t="shared" si="120"/>
        <v>1145664</v>
      </c>
      <c r="AG499" s="474" t="s">
        <v>47</v>
      </c>
      <c r="AH499" s="474"/>
      <c r="AI499" s="483" t="s">
        <v>2326</v>
      </c>
      <c r="AJ499" s="474" t="s">
        <v>2327</v>
      </c>
      <c r="AK499" s="494" t="s">
        <v>50</v>
      </c>
      <c r="AL499" s="474">
        <v>91730</v>
      </c>
      <c r="AM499" s="474" t="s">
        <v>52</v>
      </c>
      <c r="AN499" s="474" t="s">
        <v>50</v>
      </c>
      <c r="AO499" s="474"/>
      <c r="AP499" s="486" t="s">
        <v>92</v>
      </c>
      <c r="AQ499" s="486" t="s">
        <v>37</v>
      </c>
      <c r="AR499" s="486"/>
      <c r="AS499" s="495"/>
      <c r="AT499" s="495"/>
      <c r="AU499" s="478"/>
      <c r="AV499" s="471" t="str">
        <f t="shared" si="115"/>
        <v>30376609C+</v>
      </c>
      <c r="AW499" s="471" cm="1">
        <f t="array" ref="AW499">SUM(MID(0&amp;AV499,LARGE(INDEX(ISNUMBER(--MID(AV499,ROW($1:$8),1))*ROW($1:$8),),ROW($1:$8))+1,1)*10^ROW($1:$8)/10)</f>
        <v>30376609</v>
      </c>
      <c r="AX499" s="471" t="str">
        <f>VLOOKUP($AW499,'Item Master Data'!$A:$F,3,FALSE)</f>
        <v>Q.PEAK DUO BLK G6+</v>
      </c>
      <c r="AY499" s="471">
        <f>VLOOKUP($AW499,'Item Master Data'!$A:$F,6,FALSE)</f>
        <v>340</v>
      </c>
      <c r="AZ499" s="471">
        <f t="shared" si="116"/>
        <v>234</v>
      </c>
      <c r="BA499" s="471">
        <f>VLOOKUP(AW499,'Item Master Data'!$A:$G,7,FALSE)</f>
        <v>32</v>
      </c>
      <c r="BB499" s="471"/>
      <c r="BC499" s="471">
        <f t="shared" si="117"/>
        <v>0</v>
      </c>
    </row>
    <row r="500" spans="1:55">
      <c r="A500" s="472"/>
      <c r="B500" s="514">
        <v>44580</v>
      </c>
      <c r="C500" s="514">
        <v>44615</v>
      </c>
      <c r="D500" s="485" t="s">
        <v>2322</v>
      </c>
      <c r="E500" s="474"/>
      <c r="F500" s="474"/>
      <c r="G500" s="474">
        <v>2022</v>
      </c>
      <c r="H500" s="474">
        <v>3</v>
      </c>
      <c r="I500" s="485">
        <v>127336</v>
      </c>
      <c r="J500" s="475">
        <v>44637</v>
      </c>
      <c r="K500" s="483" t="s">
        <v>2344</v>
      </c>
      <c r="L500" s="474" t="s">
        <v>2324</v>
      </c>
      <c r="M500" s="487">
        <v>44524</v>
      </c>
      <c r="N500" s="487">
        <v>44573</v>
      </c>
      <c r="O500" s="487"/>
      <c r="P500" s="475">
        <v>44628</v>
      </c>
      <c r="Q500" s="475">
        <v>44636</v>
      </c>
      <c r="R500" s="475">
        <v>44637</v>
      </c>
      <c r="S500" s="474" t="s">
        <v>1563</v>
      </c>
      <c r="T500" s="474">
        <v>60</v>
      </c>
      <c r="U500" s="474" t="s">
        <v>1843</v>
      </c>
      <c r="V500" s="474" t="s">
        <v>691</v>
      </c>
      <c r="W500" s="474">
        <v>340</v>
      </c>
      <c r="X500" s="476">
        <v>4992</v>
      </c>
      <c r="Y500" s="491">
        <f t="shared" si="118"/>
        <v>1697280</v>
      </c>
      <c r="Z500" s="478">
        <v>0.45</v>
      </c>
      <c r="AA500" s="479">
        <f t="shared" si="119"/>
        <v>763776</v>
      </c>
      <c r="AB500" s="480"/>
      <c r="AC500" s="481">
        <v>0</v>
      </c>
      <c r="AD500" s="490"/>
      <c r="AE500" s="482"/>
      <c r="AF500" s="493">
        <v>763776</v>
      </c>
      <c r="AG500" s="474" t="s">
        <v>47</v>
      </c>
      <c r="AH500" s="474"/>
      <c r="AI500" s="483" t="s">
        <v>2326</v>
      </c>
      <c r="AJ500" s="474" t="s">
        <v>2327</v>
      </c>
      <c r="AK500" s="494" t="s">
        <v>50</v>
      </c>
      <c r="AL500" s="474">
        <v>91730</v>
      </c>
      <c r="AM500" s="474" t="s">
        <v>52</v>
      </c>
      <c r="AN500" s="474" t="s">
        <v>50</v>
      </c>
      <c r="AO500" s="474"/>
      <c r="AP500" s="486" t="s">
        <v>92</v>
      </c>
      <c r="AQ500" s="486" t="s">
        <v>37</v>
      </c>
      <c r="AR500" s="486"/>
      <c r="AS500" s="495"/>
      <c r="AT500" s="495"/>
      <c r="AU500" s="478"/>
      <c r="AV500" s="471" t="str">
        <f t="shared" si="115"/>
        <v>30376609C+</v>
      </c>
      <c r="AW500" s="471" cm="1">
        <f t="array" ref="AW500">SUM(MID(0&amp;AV500,LARGE(INDEX(ISNUMBER(--MID(AV500,ROW($1:$8),1))*ROW($1:$8),),ROW($1:$8))+1,1)*10^ROW($1:$8)/10)</f>
        <v>30376609</v>
      </c>
      <c r="AX500" s="471" t="str">
        <f>VLOOKUP($AW500,'Item Master Data'!$A:$F,3,FALSE)</f>
        <v>Q.PEAK DUO BLK G6+</v>
      </c>
      <c r="AY500" s="471">
        <f>VLOOKUP($AW500,'Item Master Data'!$A:$F,6,FALSE)</f>
        <v>340</v>
      </c>
      <c r="AZ500" s="471">
        <f t="shared" si="116"/>
        <v>156</v>
      </c>
      <c r="BA500" s="471">
        <f>VLOOKUP(AW500,'Item Master Data'!$A:$G,7,FALSE)</f>
        <v>32</v>
      </c>
      <c r="BB500" s="471"/>
      <c r="BC500" s="471">
        <f t="shared" si="117"/>
        <v>0</v>
      </c>
    </row>
    <row r="501" spans="1:55">
      <c r="A501" s="472"/>
      <c r="B501" s="514">
        <v>44580</v>
      </c>
      <c r="C501" s="514">
        <v>44615</v>
      </c>
      <c r="D501" s="485" t="s">
        <v>2322</v>
      </c>
      <c r="E501" s="474"/>
      <c r="F501" s="474"/>
      <c r="G501" s="474">
        <v>2022</v>
      </c>
      <c r="H501" s="474">
        <v>3</v>
      </c>
      <c r="I501" s="485">
        <v>127651</v>
      </c>
      <c r="J501" s="475">
        <v>44620</v>
      </c>
      <c r="K501" s="483" t="s">
        <v>2345</v>
      </c>
      <c r="L501" s="474" t="s">
        <v>2324</v>
      </c>
      <c r="M501" s="487">
        <v>44524</v>
      </c>
      <c r="N501" s="487">
        <v>44601</v>
      </c>
      <c r="O501" s="487"/>
      <c r="P501" s="475">
        <v>44638</v>
      </c>
      <c r="Q501" s="475">
        <v>44645</v>
      </c>
      <c r="R501" s="475">
        <v>44648</v>
      </c>
      <c r="S501" s="474" t="s">
        <v>1563</v>
      </c>
      <c r="T501" s="474">
        <v>60</v>
      </c>
      <c r="U501" s="474" t="s">
        <v>1843</v>
      </c>
      <c r="V501" s="474" t="s">
        <v>691</v>
      </c>
      <c r="W501" s="474">
        <v>340</v>
      </c>
      <c r="X501" s="476">
        <v>4992</v>
      </c>
      <c r="Y501" s="491">
        <f t="shared" si="118"/>
        <v>1697280</v>
      </c>
      <c r="Z501" s="478">
        <v>0.45</v>
      </c>
      <c r="AA501" s="479">
        <f t="shared" si="119"/>
        <v>763776</v>
      </c>
      <c r="AB501" s="480"/>
      <c r="AC501" s="481">
        <v>0</v>
      </c>
      <c r="AD501" s="490"/>
      <c r="AE501" s="482"/>
      <c r="AF501" s="493">
        <v>763776</v>
      </c>
      <c r="AG501" s="474" t="s">
        <v>47</v>
      </c>
      <c r="AH501" s="474"/>
      <c r="AI501" s="483" t="s">
        <v>2326</v>
      </c>
      <c r="AJ501" s="474" t="s">
        <v>2327</v>
      </c>
      <c r="AK501" s="494" t="s">
        <v>50</v>
      </c>
      <c r="AL501" s="474">
        <v>91730</v>
      </c>
      <c r="AM501" s="474" t="s">
        <v>52</v>
      </c>
      <c r="AN501" s="474" t="s">
        <v>50</v>
      </c>
      <c r="AO501" s="474"/>
      <c r="AP501" s="486" t="s">
        <v>92</v>
      </c>
      <c r="AQ501" s="486" t="s">
        <v>37</v>
      </c>
      <c r="AR501" s="486"/>
      <c r="AS501" s="495"/>
      <c r="AT501" s="495"/>
      <c r="AU501" s="478"/>
      <c r="AV501" s="471" t="str">
        <f t="shared" si="115"/>
        <v>30376609C+</v>
      </c>
      <c r="AW501" s="471" cm="1">
        <f t="array" ref="AW501">SUM(MID(0&amp;AV501,LARGE(INDEX(ISNUMBER(--MID(AV501,ROW($1:$8),1))*ROW($1:$8),),ROW($1:$8))+1,1)*10^ROW($1:$8)/10)</f>
        <v>30376609</v>
      </c>
      <c r="AX501" s="471" t="str">
        <f>VLOOKUP($AW501,'Item Master Data'!$A:$F,3,FALSE)</f>
        <v>Q.PEAK DUO BLK G6+</v>
      </c>
      <c r="AY501" s="471">
        <f>VLOOKUP($AW501,'Item Master Data'!$A:$F,6,FALSE)</f>
        <v>340</v>
      </c>
      <c r="AZ501" s="471">
        <f t="shared" si="116"/>
        <v>156</v>
      </c>
      <c r="BA501" s="471">
        <f>VLOOKUP(AW501,'Item Master Data'!$A:$G,7,FALSE)</f>
        <v>32</v>
      </c>
      <c r="BB501" s="471"/>
      <c r="BC501" s="471">
        <f t="shared" si="117"/>
        <v>0</v>
      </c>
    </row>
    <row r="502" spans="1:55">
      <c r="A502" s="472"/>
      <c r="B502" s="514">
        <v>44580</v>
      </c>
      <c r="C502" s="514">
        <v>44615</v>
      </c>
      <c r="D502" s="485" t="s">
        <v>2322</v>
      </c>
      <c r="E502" s="474"/>
      <c r="F502" s="474"/>
      <c r="G502" s="474">
        <v>2022</v>
      </c>
      <c r="H502" s="474">
        <v>3</v>
      </c>
      <c r="I502" s="485">
        <v>127652</v>
      </c>
      <c r="J502" s="475">
        <v>44651</v>
      </c>
      <c r="K502" s="483" t="s">
        <v>2346</v>
      </c>
      <c r="L502" s="474" t="s">
        <v>2324</v>
      </c>
      <c r="M502" s="487">
        <v>44524</v>
      </c>
      <c r="N502" s="487">
        <v>44629</v>
      </c>
      <c r="O502" s="487"/>
      <c r="P502" s="475">
        <v>44617</v>
      </c>
      <c r="Q502" s="475">
        <v>44642</v>
      </c>
      <c r="R502" s="475">
        <v>44645</v>
      </c>
      <c r="S502" s="474" t="s">
        <v>1563</v>
      </c>
      <c r="T502" s="474">
        <v>60</v>
      </c>
      <c r="U502" s="474" t="s">
        <v>2342</v>
      </c>
      <c r="V502" s="474" t="s">
        <v>631</v>
      </c>
      <c r="W502" s="474">
        <v>350</v>
      </c>
      <c r="X502" s="476">
        <v>832</v>
      </c>
      <c r="Y502" s="491">
        <f t="shared" si="118"/>
        <v>291200</v>
      </c>
      <c r="Z502" s="478">
        <f>157.5/350</f>
        <v>0.45</v>
      </c>
      <c r="AA502" s="479">
        <f t="shared" si="119"/>
        <v>131040</v>
      </c>
      <c r="AB502" s="480"/>
      <c r="AC502" s="481">
        <f>AB502*Y502</f>
        <v>0</v>
      </c>
      <c r="AD502" s="490"/>
      <c r="AE502" s="482"/>
      <c r="AF502" s="493">
        <f t="shared" ref="AF502:AF510" si="121">AA502+AE502</f>
        <v>131040</v>
      </c>
      <c r="AG502" s="474" t="s">
        <v>47</v>
      </c>
      <c r="AH502" s="474"/>
      <c r="AI502" s="483" t="s">
        <v>2326</v>
      </c>
      <c r="AJ502" s="474" t="s">
        <v>2327</v>
      </c>
      <c r="AK502" s="494" t="s">
        <v>50</v>
      </c>
      <c r="AL502" s="474">
        <v>91730</v>
      </c>
      <c r="AM502" s="474" t="s">
        <v>52</v>
      </c>
      <c r="AN502" s="474" t="s">
        <v>1144</v>
      </c>
      <c r="AO502" s="474"/>
      <c r="AP502" s="486" t="s">
        <v>92</v>
      </c>
      <c r="AQ502" s="486" t="s">
        <v>37</v>
      </c>
      <c r="AR502" s="486"/>
      <c r="AS502" s="495"/>
      <c r="AT502" s="495"/>
      <c r="AU502" s="478"/>
      <c r="AV502" s="471" t="str">
        <f t="shared" si="115"/>
        <v>30371611C</v>
      </c>
      <c r="AW502" s="471" cm="1">
        <f t="array" ref="AW502">SUM(MID(0&amp;AV502,LARGE(INDEX(ISNUMBER(--MID(AV502,ROW($1:$8),1))*ROW($1:$8),),ROW($1:$8))+1,1)*10^ROW($1:$8)/10)</f>
        <v>30371611</v>
      </c>
      <c r="AX502" s="471" t="str">
        <f>VLOOKUP($AW502,'Item Master Data'!$A:$F,3,FALSE)</f>
        <v>Q.PEAK DUO G6+</v>
      </c>
      <c r="AY502" s="471">
        <f>VLOOKUP($AW502,'Item Master Data'!$A:$F,6,FALSE)</f>
        <v>350</v>
      </c>
      <c r="AZ502" s="471">
        <f t="shared" si="116"/>
        <v>26</v>
      </c>
      <c r="BA502" s="471">
        <f>VLOOKUP(AW502,'Item Master Data'!$A:$G,7,FALSE)</f>
        <v>32</v>
      </c>
      <c r="BB502" s="471"/>
      <c r="BC502" s="471">
        <f t="shared" si="117"/>
        <v>0</v>
      </c>
    </row>
    <row r="503" spans="1:55">
      <c r="A503" s="472"/>
      <c r="B503" s="514">
        <v>44580</v>
      </c>
      <c r="C503" s="514">
        <v>44615</v>
      </c>
      <c r="D503" s="485" t="s">
        <v>2322</v>
      </c>
      <c r="E503" s="474"/>
      <c r="F503" s="474"/>
      <c r="G503" s="474">
        <v>2022</v>
      </c>
      <c r="H503" s="474">
        <v>3</v>
      </c>
      <c r="I503" s="485">
        <v>127652</v>
      </c>
      <c r="J503" s="475">
        <v>44651</v>
      </c>
      <c r="K503" s="483" t="s">
        <v>2346</v>
      </c>
      <c r="L503" s="474" t="s">
        <v>2324</v>
      </c>
      <c r="M503" s="487">
        <v>44524</v>
      </c>
      <c r="N503" s="487">
        <v>44629</v>
      </c>
      <c r="O503" s="487"/>
      <c r="P503" s="475">
        <v>44617</v>
      </c>
      <c r="Q503" s="475">
        <v>44642</v>
      </c>
      <c r="R503" s="475">
        <v>44645</v>
      </c>
      <c r="S503" s="474" t="s">
        <v>1563</v>
      </c>
      <c r="T503" s="474">
        <v>60</v>
      </c>
      <c r="U503" s="474" t="s">
        <v>2347</v>
      </c>
      <c r="V503" s="474" t="s">
        <v>631</v>
      </c>
      <c r="W503" s="474">
        <v>350</v>
      </c>
      <c r="X503" s="476">
        <v>1623</v>
      </c>
      <c r="Y503" s="491">
        <f t="shared" si="118"/>
        <v>568050</v>
      </c>
      <c r="Z503" s="478">
        <f>157.5/350</f>
        <v>0.45</v>
      </c>
      <c r="AA503" s="479">
        <f t="shared" si="119"/>
        <v>255622.5</v>
      </c>
      <c r="AB503" s="480"/>
      <c r="AC503" s="481">
        <f>AB503*Y503</f>
        <v>0</v>
      </c>
      <c r="AD503" s="490"/>
      <c r="AE503" s="482"/>
      <c r="AF503" s="493">
        <f t="shared" si="121"/>
        <v>255622.5</v>
      </c>
      <c r="AG503" s="474" t="s">
        <v>47</v>
      </c>
      <c r="AH503" s="474"/>
      <c r="AI503" s="483" t="s">
        <v>2326</v>
      </c>
      <c r="AJ503" s="474" t="s">
        <v>2327</v>
      </c>
      <c r="AK503" s="494" t="s">
        <v>50</v>
      </c>
      <c r="AL503" s="474">
        <v>91730</v>
      </c>
      <c r="AM503" s="474" t="s">
        <v>52</v>
      </c>
      <c r="AN503" s="474" t="s">
        <v>1144</v>
      </c>
      <c r="AO503" s="474"/>
      <c r="AP503" s="486" t="s">
        <v>92</v>
      </c>
      <c r="AQ503" s="486" t="s">
        <v>37</v>
      </c>
      <c r="AR503" s="486"/>
      <c r="AS503" s="495"/>
      <c r="AT503" s="495"/>
      <c r="AU503" s="478"/>
      <c r="AV503" s="471" t="str">
        <f t="shared" si="115"/>
        <v>30371611H</v>
      </c>
      <c r="AW503" s="471" cm="1">
        <f t="array" ref="AW503">SUM(MID(0&amp;AV503,LARGE(INDEX(ISNUMBER(--MID(AV503,ROW($1:$8),1))*ROW($1:$8),),ROW($1:$8))+1,1)*10^ROW($1:$8)/10)</f>
        <v>30371611</v>
      </c>
      <c r="AX503" s="471" t="str">
        <f>VLOOKUP($AW503,'Item Master Data'!$A:$F,3,FALSE)</f>
        <v>Q.PEAK DUO G6+</v>
      </c>
      <c r="AY503" s="471">
        <f>VLOOKUP($AW503,'Item Master Data'!$A:$F,6,FALSE)</f>
        <v>350</v>
      </c>
      <c r="AZ503" s="471">
        <f t="shared" si="116"/>
        <v>50.71875</v>
      </c>
      <c r="BA503" s="471">
        <f>VLOOKUP(AW503,'Item Master Data'!$A:$G,7,FALSE)</f>
        <v>32</v>
      </c>
      <c r="BB503" s="471"/>
      <c r="BC503" s="471">
        <f t="shared" si="117"/>
        <v>0</v>
      </c>
    </row>
    <row r="504" spans="1:55">
      <c r="A504" s="472"/>
      <c r="B504" s="514">
        <v>44580</v>
      </c>
      <c r="C504" s="514">
        <v>44615</v>
      </c>
      <c r="D504" s="485" t="s">
        <v>2322</v>
      </c>
      <c r="E504" s="474"/>
      <c r="F504" s="474"/>
      <c r="G504" s="474">
        <v>2022</v>
      </c>
      <c r="H504" s="474">
        <v>3</v>
      </c>
      <c r="I504" s="485">
        <v>127652</v>
      </c>
      <c r="J504" s="475">
        <v>44651</v>
      </c>
      <c r="K504" s="483" t="s">
        <v>2348</v>
      </c>
      <c r="L504" s="474" t="s">
        <v>2324</v>
      </c>
      <c r="M504" s="487">
        <v>44524</v>
      </c>
      <c r="N504" s="487">
        <v>44629</v>
      </c>
      <c r="O504" s="487"/>
      <c r="P504" s="475">
        <v>44628</v>
      </c>
      <c r="Q504" s="475">
        <v>44637</v>
      </c>
      <c r="R504" s="475">
        <v>44651</v>
      </c>
      <c r="S504" s="474" t="s">
        <v>1563</v>
      </c>
      <c r="T504" s="474">
        <v>60</v>
      </c>
      <c r="U504" s="474" t="s">
        <v>2325</v>
      </c>
      <c r="V504" s="474" t="s">
        <v>631</v>
      </c>
      <c r="W504" s="474">
        <v>350</v>
      </c>
      <c r="X504" s="476">
        <v>873</v>
      </c>
      <c r="Y504" s="477">
        <f t="shared" si="118"/>
        <v>305550</v>
      </c>
      <c r="Z504" s="478">
        <f>157.5/350</f>
        <v>0.45</v>
      </c>
      <c r="AA504" s="479">
        <f t="shared" si="119"/>
        <v>137497.5</v>
      </c>
      <c r="AB504" s="480"/>
      <c r="AC504" s="481">
        <f>AB504*Y504</f>
        <v>0</v>
      </c>
      <c r="AD504" s="490"/>
      <c r="AE504" s="482"/>
      <c r="AF504" s="493">
        <f t="shared" si="121"/>
        <v>137497.5</v>
      </c>
      <c r="AG504" s="474" t="s">
        <v>47</v>
      </c>
      <c r="AH504" s="474"/>
      <c r="AI504" s="483" t="s">
        <v>2326</v>
      </c>
      <c r="AJ504" s="474" t="s">
        <v>2327</v>
      </c>
      <c r="AK504" s="494" t="s">
        <v>50</v>
      </c>
      <c r="AL504" s="474">
        <v>91730</v>
      </c>
      <c r="AM504" s="474" t="s">
        <v>52</v>
      </c>
      <c r="AN504" s="474" t="s">
        <v>50</v>
      </c>
      <c r="AO504" s="474"/>
      <c r="AP504" s="486" t="s">
        <v>92</v>
      </c>
      <c r="AQ504" s="486" t="s">
        <v>37</v>
      </c>
      <c r="AR504" s="486"/>
      <c r="AS504" s="495"/>
      <c r="AT504" s="495"/>
      <c r="AU504" s="478"/>
      <c r="AV504" s="471" t="str">
        <f t="shared" si="115"/>
        <v>30371611C+</v>
      </c>
      <c r="AW504" s="471" cm="1">
        <f t="array" ref="AW504">SUM(MID(0&amp;AV504,LARGE(INDEX(ISNUMBER(--MID(AV504,ROW($1:$8),1))*ROW($1:$8),),ROW($1:$8))+1,1)*10^ROW($1:$8)/10)</f>
        <v>30371611</v>
      </c>
      <c r="AX504" s="471" t="str">
        <f>VLOOKUP($AW504,'Item Master Data'!$A:$F,3,FALSE)</f>
        <v>Q.PEAK DUO G6+</v>
      </c>
      <c r="AY504" s="471">
        <f>VLOOKUP($AW504,'Item Master Data'!$A:$F,6,FALSE)</f>
        <v>350</v>
      </c>
      <c r="AZ504" s="471">
        <f t="shared" si="116"/>
        <v>27.28125</v>
      </c>
      <c r="BA504" s="471">
        <f>VLOOKUP(AW504,'Item Master Data'!$A:$G,7,FALSE)</f>
        <v>32</v>
      </c>
      <c r="BB504" s="471"/>
      <c r="BC504" s="471">
        <f t="shared" si="117"/>
        <v>0</v>
      </c>
    </row>
    <row r="505" spans="1:55">
      <c r="A505" s="472"/>
      <c r="B505" s="514">
        <v>44580</v>
      </c>
      <c r="C505" s="514">
        <v>44615</v>
      </c>
      <c r="D505" s="485" t="s">
        <v>2322</v>
      </c>
      <c r="E505" s="474"/>
      <c r="F505" s="474"/>
      <c r="G505" s="474">
        <v>2022</v>
      </c>
      <c r="H505" s="474">
        <v>3</v>
      </c>
      <c r="I505" s="485">
        <v>127737</v>
      </c>
      <c r="J505" s="475">
        <v>44651</v>
      </c>
      <c r="K505" s="483" t="s">
        <v>2349</v>
      </c>
      <c r="L505" s="474" t="s">
        <v>2324</v>
      </c>
      <c r="M505" s="487">
        <v>44547</v>
      </c>
      <c r="N505" s="487">
        <v>44634</v>
      </c>
      <c r="O505" s="487"/>
      <c r="P505" s="475">
        <v>44638</v>
      </c>
      <c r="Q505" s="475">
        <v>44644</v>
      </c>
      <c r="R505" s="475">
        <v>44651</v>
      </c>
      <c r="S505" s="474" t="s">
        <v>1563</v>
      </c>
      <c r="T505" s="474">
        <v>60</v>
      </c>
      <c r="U505" s="474" t="s">
        <v>2350</v>
      </c>
      <c r="V505" s="474" t="s">
        <v>970</v>
      </c>
      <c r="W505" s="474">
        <v>410</v>
      </c>
      <c r="X505" s="476">
        <v>4160</v>
      </c>
      <c r="Y505" s="477">
        <f t="shared" si="118"/>
        <v>1705600</v>
      </c>
      <c r="Z505" s="478">
        <f>192.7/410</f>
        <v>0.47</v>
      </c>
      <c r="AA505" s="479">
        <f t="shared" si="119"/>
        <v>801632</v>
      </c>
      <c r="AB505" s="480"/>
      <c r="AC505" s="481">
        <f>AB505*Y505</f>
        <v>0</v>
      </c>
      <c r="AD505" s="490"/>
      <c r="AE505" s="482"/>
      <c r="AF505" s="493">
        <f t="shared" si="121"/>
        <v>801632</v>
      </c>
      <c r="AG505" s="474" t="s">
        <v>47</v>
      </c>
      <c r="AH505" s="474"/>
      <c r="AI505" s="483" t="s">
        <v>2326</v>
      </c>
      <c r="AJ505" s="474" t="s">
        <v>2327</v>
      </c>
      <c r="AK505" s="494" t="s">
        <v>50</v>
      </c>
      <c r="AL505" s="474">
        <v>91730</v>
      </c>
      <c r="AM505" s="474" t="s">
        <v>52</v>
      </c>
      <c r="AN505" s="474" t="s">
        <v>50</v>
      </c>
      <c r="AO505" s="474"/>
      <c r="AP505" s="486" t="s">
        <v>92</v>
      </c>
      <c r="AQ505" s="486" t="s">
        <v>37</v>
      </c>
      <c r="AR505" s="486"/>
      <c r="AS505" s="495"/>
      <c r="AT505" s="495"/>
      <c r="AU505" s="478"/>
      <c r="AV505" s="471" t="str">
        <f t="shared" si="115"/>
        <v>30372158H</v>
      </c>
      <c r="AW505" s="471" cm="1">
        <f t="array" ref="AW505">SUM(MID(0&amp;AV505,LARGE(INDEX(ISNUMBER(--MID(AV505,ROW($1:$8),1))*ROW($1:$8),),ROW($1:$8))+1,1)*10^ROW($1:$8)/10)</f>
        <v>30372158</v>
      </c>
      <c r="AX505" s="471" t="e">
        <f>VLOOKUP($AW505,'Item Master Data'!$A:$F,3,FALSE)</f>
        <v>#N/A</v>
      </c>
      <c r="AY505" s="471" t="e">
        <f>VLOOKUP($AW505,'Item Master Data'!$A:$F,6,FALSE)</f>
        <v>#N/A</v>
      </c>
      <c r="AZ505" s="471" t="e">
        <f t="shared" si="116"/>
        <v>#N/A</v>
      </c>
      <c r="BA505" s="471" t="e">
        <f>VLOOKUP(AW505,'Item Master Data'!$A:$G,7,FALSE)</f>
        <v>#N/A</v>
      </c>
      <c r="BB505" s="471"/>
      <c r="BC505" s="471" t="e">
        <f t="shared" si="117"/>
        <v>#N/A</v>
      </c>
    </row>
    <row r="506" spans="1:55">
      <c r="A506" s="599">
        <v>10</v>
      </c>
      <c r="B506" s="514"/>
      <c r="C506" s="514"/>
      <c r="D506" s="485" t="s">
        <v>2322</v>
      </c>
      <c r="E506" s="474"/>
      <c r="F506" s="474"/>
      <c r="G506" s="474">
        <v>2022</v>
      </c>
      <c r="H506" s="404">
        <v>4</v>
      </c>
      <c r="I506" s="474">
        <v>128046</v>
      </c>
      <c r="J506" s="475">
        <v>44655</v>
      </c>
      <c r="K506" s="483" t="s">
        <v>2477</v>
      </c>
      <c r="L506" s="474" t="s">
        <v>2324</v>
      </c>
      <c r="M506" s="487">
        <v>44456</v>
      </c>
      <c r="N506" s="487">
        <v>44490</v>
      </c>
      <c r="O506" s="487"/>
      <c r="P506" s="475">
        <v>44620</v>
      </c>
      <c r="Q506" s="475">
        <v>44631</v>
      </c>
      <c r="R506" s="475">
        <v>44651</v>
      </c>
      <c r="S506" s="474" t="s">
        <v>1563</v>
      </c>
      <c r="T506" s="474">
        <v>60</v>
      </c>
      <c r="U506" s="474" t="s">
        <v>1281</v>
      </c>
      <c r="V506" s="474" t="s">
        <v>973</v>
      </c>
      <c r="W506" s="474">
        <v>400</v>
      </c>
      <c r="X506" s="476">
        <v>5824</v>
      </c>
      <c r="Y506" s="477">
        <f t="shared" si="118"/>
        <v>2329600</v>
      </c>
      <c r="Z506" s="478">
        <f>194/400</f>
        <v>0.48499999999999999</v>
      </c>
      <c r="AA506" s="479">
        <f t="shared" si="119"/>
        <v>1129856</v>
      </c>
      <c r="AB506" s="479"/>
      <c r="AC506" s="481">
        <v>0</v>
      </c>
      <c r="AD506" s="490"/>
      <c r="AE506" s="482"/>
      <c r="AF506" s="493">
        <f t="shared" si="121"/>
        <v>1129856</v>
      </c>
      <c r="AG506" s="474" t="s">
        <v>47</v>
      </c>
      <c r="AH506" s="474"/>
      <c r="AI506" s="483" t="s">
        <v>2326</v>
      </c>
      <c r="AJ506" s="474" t="s">
        <v>2338</v>
      </c>
      <c r="AK506" s="494" t="s">
        <v>1347</v>
      </c>
      <c r="AL506" s="474">
        <v>17402</v>
      </c>
      <c r="AM506" s="474" t="s">
        <v>52</v>
      </c>
      <c r="AN506" s="474" t="s">
        <v>50</v>
      </c>
      <c r="AO506" s="474"/>
      <c r="AP506" s="486" t="s">
        <v>38</v>
      </c>
      <c r="AQ506" s="486" t="s">
        <v>37</v>
      </c>
      <c r="AR506" s="486"/>
      <c r="AS506" s="495"/>
      <c r="AT506" s="495"/>
      <c r="AU506" s="478"/>
      <c r="AV506" s="471"/>
      <c r="AW506" s="471"/>
      <c r="AX506" s="471"/>
      <c r="AY506" s="471"/>
      <c r="AZ506" s="471"/>
      <c r="BA506" s="471"/>
      <c r="BB506" s="471"/>
      <c r="BC506" s="471"/>
    </row>
    <row r="507" spans="1:55">
      <c r="A507" s="599">
        <v>10</v>
      </c>
      <c r="B507" s="514"/>
      <c r="C507" s="514"/>
      <c r="D507" s="485" t="s">
        <v>2322</v>
      </c>
      <c r="E507" s="474"/>
      <c r="F507" s="474"/>
      <c r="G507" s="474">
        <v>2022</v>
      </c>
      <c r="H507" s="404">
        <v>4</v>
      </c>
      <c r="I507" s="474">
        <v>128046</v>
      </c>
      <c r="J507" s="475">
        <v>44655</v>
      </c>
      <c r="K507" s="483" t="s">
        <v>2477</v>
      </c>
      <c r="L507" s="474" t="s">
        <v>2324</v>
      </c>
      <c r="M507" s="487">
        <v>44456</v>
      </c>
      <c r="N507" s="487">
        <v>44490</v>
      </c>
      <c r="O507" s="487"/>
      <c r="P507" s="475">
        <v>44620</v>
      </c>
      <c r="Q507" s="475">
        <v>44650</v>
      </c>
      <c r="R507" s="475">
        <v>44655</v>
      </c>
      <c r="S507" s="474" t="s">
        <v>1563</v>
      </c>
      <c r="T507" s="474">
        <v>60</v>
      </c>
      <c r="U507" s="474" t="s">
        <v>1281</v>
      </c>
      <c r="V507" s="474" t="s">
        <v>973</v>
      </c>
      <c r="W507" s="474">
        <v>400</v>
      </c>
      <c r="X507" s="476">
        <v>1664</v>
      </c>
      <c r="Y507" s="491">
        <f t="shared" si="118"/>
        <v>665600</v>
      </c>
      <c r="Z507" s="478">
        <f>194/400</f>
        <v>0.48499999999999999</v>
      </c>
      <c r="AA507" s="492">
        <f t="shared" si="119"/>
        <v>322816</v>
      </c>
      <c r="AB507" s="492"/>
      <c r="AC507" s="481">
        <v>0</v>
      </c>
      <c r="AD507" s="490"/>
      <c r="AE507" s="482"/>
      <c r="AF507" s="493">
        <f t="shared" si="121"/>
        <v>322816</v>
      </c>
      <c r="AG507" s="474" t="s">
        <v>47</v>
      </c>
      <c r="AH507" s="474"/>
      <c r="AI507" s="483" t="s">
        <v>2326</v>
      </c>
      <c r="AJ507" s="474" t="s">
        <v>2338</v>
      </c>
      <c r="AK507" s="494" t="s">
        <v>1347</v>
      </c>
      <c r="AL507" s="474">
        <v>17402</v>
      </c>
      <c r="AM507" s="474" t="s">
        <v>52</v>
      </c>
      <c r="AN507" s="474" t="s">
        <v>50</v>
      </c>
      <c r="AO507" s="474"/>
      <c r="AP507" s="486" t="s">
        <v>38</v>
      </c>
      <c r="AQ507" s="486" t="s">
        <v>37</v>
      </c>
      <c r="AR507" s="486"/>
      <c r="AS507" s="495"/>
      <c r="AT507" s="495"/>
      <c r="AU507" s="478"/>
      <c r="AV507" s="471" t="str">
        <f t="shared" ref="AV507:AV517" si="122">U507</f>
        <v>30390456H</v>
      </c>
      <c r="AW507" s="471" cm="1">
        <f t="array" ref="AW507">SUM(MID(0&amp;AV507,LARGE(INDEX(ISNUMBER(--MID(AV507,ROW($1:$8),1))*ROW($1:$8),),ROW($1:$8))+1,1)*10^ROW($1:$8)/10)</f>
        <v>30390456</v>
      </c>
      <c r="AX507" s="471" t="str">
        <f>VLOOKUP($AW507,'Item Master Data'!$A:$F,3,FALSE)</f>
        <v>Q.PEAK DUO BLK ML G10+</v>
      </c>
      <c r="AY507" s="471">
        <f>VLOOKUP($AW507,'Item Master Data'!$A:$F,6,FALSE)</f>
        <v>400</v>
      </c>
      <c r="AZ507" s="471">
        <f t="shared" ref="AZ507:AZ517" si="123">X507/BA507</f>
        <v>52</v>
      </c>
      <c r="BA507" s="471">
        <f>VLOOKUP(AW507,'Item Master Data'!$A:$G,7,FALSE)</f>
        <v>32</v>
      </c>
      <c r="BB507" s="471"/>
      <c r="BC507" s="471">
        <f t="shared" ref="BC507:BC517" si="124">W507-AY507</f>
        <v>0</v>
      </c>
    </row>
    <row r="508" spans="1:55">
      <c r="A508" s="599">
        <v>10</v>
      </c>
      <c r="B508" s="514"/>
      <c r="C508" s="514"/>
      <c r="D508" s="485" t="s">
        <v>2322</v>
      </c>
      <c r="E508" s="474" t="s">
        <v>2480</v>
      </c>
      <c r="F508" s="474"/>
      <c r="G508" s="474">
        <v>2022</v>
      </c>
      <c r="H508" s="404">
        <v>4</v>
      </c>
      <c r="I508" s="474">
        <v>128047</v>
      </c>
      <c r="J508" s="475">
        <v>44656</v>
      </c>
      <c r="K508" s="483" t="s">
        <v>2481</v>
      </c>
      <c r="L508" s="474" t="s">
        <v>2324</v>
      </c>
      <c r="M508" s="487">
        <v>44456</v>
      </c>
      <c r="N508" s="487">
        <v>44517</v>
      </c>
      <c r="O508" s="487"/>
      <c r="P508" s="475">
        <v>44628</v>
      </c>
      <c r="Q508" s="475">
        <v>44651</v>
      </c>
      <c r="R508" s="475">
        <v>44656</v>
      </c>
      <c r="S508" s="474" t="s">
        <v>1563</v>
      </c>
      <c r="T508" s="474">
        <v>60</v>
      </c>
      <c r="U508" s="474" t="s">
        <v>1281</v>
      </c>
      <c r="V508" s="474" t="s">
        <v>2482</v>
      </c>
      <c r="W508" s="474">
        <v>400</v>
      </c>
      <c r="X508" s="476">
        <v>2496</v>
      </c>
      <c r="Y508" s="491">
        <f t="shared" si="118"/>
        <v>998400</v>
      </c>
      <c r="Z508" s="478">
        <f>194/400</f>
        <v>0.48499999999999999</v>
      </c>
      <c r="AA508" s="492">
        <f t="shared" si="119"/>
        <v>484224</v>
      </c>
      <c r="AB508" s="492"/>
      <c r="AC508" s="481">
        <v>0</v>
      </c>
      <c r="AD508" s="490"/>
      <c r="AE508" s="482"/>
      <c r="AF508" s="493">
        <f t="shared" si="121"/>
        <v>484224</v>
      </c>
      <c r="AG508" s="474" t="s">
        <v>47</v>
      </c>
      <c r="AH508" s="474"/>
      <c r="AI508" s="483" t="s">
        <v>2326</v>
      </c>
      <c r="AJ508" s="474" t="s">
        <v>2483</v>
      </c>
      <c r="AK508" s="494" t="s">
        <v>1073</v>
      </c>
      <c r="AL508" s="474">
        <v>21075</v>
      </c>
      <c r="AM508" s="474" t="s">
        <v>52</v>
      </c>
      <c r="AN508" s="474" t="s">
        <v>50</v>
      </c>
      <c r="AO508" s="474"/>
      <c r="AP508" s="486" t="s">
        <v>38</v>
      </c>
      <c r="AQ508" s="486" t="s">
        <v>37</v>
      </c>
      <c r="AR508" s="486"/>
      <c r="AS508" s="495"/>
      <c r="AT508" s="495"/>
      <c r="AU508" s="478"/>
      <c r="AV508" s="471" t="str">
        <f t="shared" si="122"/>
        <v>30390456H</v>
      </c>
      <c r="AW508" s="471" cm="1">
        <f t="array" ref="AW508">SUM(MID(0&amp;AV508,LARGE(INDEX(ISNUMBER(--MID(AV508,ROW($1:$8),1))*ROW($1:$8),),ROW($1:$8))+1,1)*10^ROW($1:$8)/10)</f>
        <v>30390456</v>
      </c>
      <c r="AX508" s="471" t="str">
        <f>VLOOKUP($AW508,'Item Master Data'!$A:$F,3,FALSE)</f>
        <v>Q.PEAK DUO BLK ML G10+</v>
      </c>
      <c r="AY508" s="471">
        <f>VLOOKUP($AW508,'Item Master Data'!$A:$F,6,FALSE)</f>
        <v>400</v>
      </c>
      <c r="AZ508" s="471">
        <f t="shared" si="123"/>
        <v>78</v>
      </c>
      <c r="BA508" s="471">
        <f>VLOOKUP(AW508,'Item Master Data'!$A:$G,7,FALSE)</f>
        <v>32</v>
      </c>
      <c r="BB508" s="471"/>
      <c r="BC508" s="471">
        <f t="shared" si="124"/>
        <v>0</v>
      </c>
    </row>
    <row r="509" spans="1:55">
      <c r="A509" s="599"/>
      <c r="B509" s="514"/>
      <c r="C509" s="514"/>
      <c r="D509" s="485" t="s">
        <v>2322</v>
      </c>
      <c r="E509" s="474" t="s">
        <v>2480</v>
      </c>
      <c r="F509" s="474"/>
      <c r="G509" s="474">
        <v>2022</v>
      </c>
      <c r="H509" s="404">
        <v>4</v>
      </c>
      <c r="I509" s="474"/>
      <c r="J509" s="475"/>
      <c r="K509" s="483" t="s">
        <v>2484</v>
      </c>
      <c r="L509" s="474" t="s">
        <v>2324</v>
      </c>
      <c r="M509" s="487">
        <v>44456</v>
      </c>
      <c r="N509" s="487">
        <v>44517</v>
      </c>
      <c r="O509" s="487"/>
      <c r="P509" s="475">
        <v>44665</v>
      </c>
      <c r="Q509" s="475">
        <v>44673</v>
      </c>
      <c r="R509" s="475">
        <v>44680</v>
      </c>
      <c r="S509" s="474" t="s">
        <v>1563</v>
      </c>
      <c r="T509" s="474">
        <v>60</v>
      </c>
      <c r="U509" s="474" t="s">
        <v>1281</v>
      </c>
      <c r="V509" s="474" t="s">
        <v>2482</v>
      </c>
      <c r="W509" s="474">
        <v>400</v>
      </c>
      <c r="X509" s="476">
        <v>4992</v>
      </c>
      <c r="Y509" s="491">
        <f t="shared" si="118"/>
        <v>1996800</v>
      </c>
      <c r="Z509" s="478">
        <f>194/400</f>
        <v>0.48499999999999999</v>
      </c>
      <c r="AA509" s="492">
        <f t="shared" si="119"/>
        <v>968448</v>
      </c>
      <c r="AB509" s="492"/>
      <c r="AC509" s="481">
        <v>0</v>
      </c>
      <c r="AD509" s="490"/>
      <c r="AE509" s="482"/>
      <c r="AF509" s="493">
        <f t="shared" si="121"/>
        <v>968448</v>
      </c>
      <c r="AG509" s="474" t="s">
        <v>47</v>
      </c>
      <c r="AH509" s="474"/>
      <c r="AI509" s="483" t="s">
        <v>2326</v>
      </c>
      <c r="AJ509" s="474" t="s">
        <v>2338</v>
      </c>
      <c r="AK509" s="494" t="s">
        <v>1347</v>
      </c>
      <c r="AL509" s="474">
        <v>17402</v>
      </c>
      <c r="AM509" s="474" t="s">
        <v>52</v>
      </c>
      <c r="AN509" s="474" t="s">
        <v>50</v>
      </c>
      <c r="AO509" s="474"/>
      <c r="AP509" s="486" t="s">
        <v>38</v>
      </c>
      <c r="AQ509" s="486" t="s">
        <v>37</v>
      </c>
      <c r="AR509" s="486"/>
      <c r="AS509" s="495"/>
      <c r="AT509" s="495"/>
      <c r="AU509" s="478"/>
      <c r="AV509" s="471" t="str">
        <f t="shared" si="122"/>
        <v>30390456H</v>
      </c>
      <c r="AW509" s="471" cm="1">
        <f t="array" ref="AW509">SUM(MID(0&amp;AV509,LARGE(INDEX(ISNUMBER(--MID(AV509,ROW($1:$8),1))*ROW($1:$8),),ROW($1:$8))+1,1)*10^ROW($1:$8)/10)</f>
        <v>30390456</v>
      </c>
      <c r="AX509" s="471" t="str">
        <f>VLOOKUP($AW509,'Item Master Data'!$A:$F,3,FALSE)</f>
        <v>Q.PEAK DUO BLK ML G10+</v>
      </c>
      <c r="AY509" s="471">
        <f>VLOOKUP($AW509,'Item Master Data'!$A:$F,6,FALSE)</f>
        <v>400</v>
      </c>
      <c r="AZ509" s="471">
        <f t="shared" si="123"/>
        <v>156</v>
      </c>
      <c r="BA509" s="471">
        <f>VLOOKUP(AW509,'Item Master Data'!$A:$G,7,FALSE)</f>
        <v>32</v>
      </c>
      <c r="BB509" s="471"/>
      <c r="BC509" s="471">
        <f t="shared" si="124"/>
        <v>0</v>
      </c>
    </row>
    <row r="510" spans="1:55">
      <c r="A510" s="472"/>
      <c r="B510" s="514">
        <v>44580</v>
      </c>
      <c r="C510" s="514">
        <v>44615</v>
      </c>
      <c r="D510" s="485" t="s">
        <v>2322</v>
      </c>
      <c r="E510" s="474" t="s">
        <v>2341</v>
      </c>
      <c r="F510" s="474"/>
      <c r="G510" s="474">
        <v>2022</v>
      </c>
      <c r="H510" s="474">
        <v>4</v>
      </c>
      <c r="I510" s="485">
        <v>128069</v>
      </c>
      <c r="J510" s="475">
        <v>44652</v>
      </c>
      <c r="K510" s="483" t="s">
        <v>2340</v>
      </c>
      <c r="L510" s="474" t="s">
        <v>2324</v>
      </c>
      <c r="M510" s="487">
        <v>44524</v>
      </c>
      <c r="N510" s="487">
        <v>44572</v>
      </c>
      <c r="O510" s="487"/>
      <c r="P510" s="475">
        <v>44617</v>
      </c>
      <c r="Q510" s="475">
        <v>44635</v>
      </c>
      <c r="R510" s="475">
        <v>44655</v>
      </c>
      <c r="S510" s="474" t="s">
        <v>1563</v>
      </c>
      <c r="T510" s="474">
        <v>60</v>
      </c>
      <c r="U510" s="474" t="s">
        <v>2087</v>
      </c>
      <c r="V510" s="474" t="s">
        <v>691</v>
      </c>
      <c r="W510" s="474">
        <v>340</v>
      </c>
      <c r="X510" s="476">
        <v>832</v>
      </c>
      <c r="Y510" s="491">
        <f t="shared" si="118"/>
        <v>282880</v>
      </c>
      <c r="Z510" s="478">
        <f>153/340</f>
        <v>0.45</v>
      </c>
      <c r="AA510" s="479">
        <f t="shared" si="119"/>
        <v>127296</v>
      </c>
      <c r="AB510" s="480"/>
      <c r="AC510" s="481">
        <f>AB510*Y510</f>
        <v>0</v>
      </c>
      <c r="AD510" s="490"/>
      <c r="AE510" s="482"/>
      <c r="AF510" s="493">
        <f t="shared" si="121"/>
        <v>127296</v>
      </c>
      <c r="AG510" s="474" t="s">
        <v>47</v>
      </c>
      <c r="AH510" s="474"/>
      <c r="AI510" s="483" t="s">
        <v>2326</v>
      </c>
      <c r="AJ510" s="474" t="s">
        <v>2338</v>
      </c>
      <c r="AK510" s="494" t="s">
        <v>1347</v>
      </c>
      <c r="AL510" s="474">
        <v>17402</v>
      </c>
      <c r="AM510" s="474" t="s">
        <v>52</v>
      </c>
      <c r="AN510" s="474" t="s">
        <v>1144</v>
      </c>
      <c r="AO510" s="474"/>
      <c r="AP510" s="486" t="s">
        <v>92</v>
      </c>
      <c r="AQ510" s="486" t="s">
        <v>37</v>
      </c>
      <c r="AR510" s="486"/>
      <c r="AS510" s="495"/>
      <c r="AT510" s="495"/>
      <c r="AU510" s="478"/>
      <c r="AV510" s="471" t="str">
        <f t="shared" si="122"/>
        <v>30376609C</v>
      </c>
      <c r="AW510" s="471" cm="1">
        <f t="array" ref="AW510">SUM(MID(0&amp;AV510,LARGE(INDEX(ISNUMBER(--MID(AV510,ROW($1:$8),1))*ROW($1:$8),),ROW($1:$8))+1,1)*10^ROW($1:$8)/10)</f>
        <v>30376609</v>
      </c>
      <c r="AX510" s="471" t="str">
        <f>VLOOKUP($AW510,'Item Master Data'!$A:$F,3,FALSE)</f>
        <v>Q.PEAK DUO BLK G6+</v>
      </c>
      <c r="AY510" s="471">
        <f>VLOOKUP($AW510,'Item Master Data'!$A:$F,6,FALSE)</f>
        <v>340</v>
      </c>
      <c r="AZ510" s="471">
        <f t="shared" si="123"/>
        <v>26</v>
      </c>
      <c r="BA510" s="471">
        <f>VLOOKUP(AW510,'Item Master Data'!$A:$G,7,FALSE)</f>
        <v>32</v>
      </c>
      <c r="BB510" s="471"/>
      <c r="BC510" s="471">
        <f t="shared" si="124"/>
        <v>0</v>
      </c>
    </row>
    <row r="511" spans="1:55">
      <c r="A511" s="472"/>
      <c r="B511" s="514">
        <v>44580</v>
      </c>
      <c r="C511" s="514">
        <v>44615</v>
      </c>
      <c r="D511" s="485" t="s">
        <v>2322</v>
      </c>
      <c r="E511" s="474" t="s">
        <v>2485</v>
      </c>
      <c r="F511" s="474"/>
      <c r="G511" s="474">
        <v>2022</v>
      </c>
      <c r="H511" s="474">
        <v>4</v>
      </c>
      <c r="I511" s="485"/>
      <c r="J511" s="475"/>
      <c r="K511" s="483" t="s">
        <v>2486</v>
      </c>
      <c r="L511" s="474" t="s">
        <v>2324</v>
      </c>
      <c r="M511" s="487">
        <v>44524</v>
      </c>
      <c r="N511" s="487">
        <v>44573</v>
      </c>
      <c r="O511" s="487"/>
      <c r="P511" s="475">
        <v>44665</v>
      </c>
      <c r="Q511" s="475">
        <v>44673</v>
      </c>
      <c r="R511" s="475">
        <v>44680</v>
      </c>
      <c r="S511" s="474" t="s">
        <v>1563</v>
      </c>
      <c r="T511" s="474">
        <v>60</v>
      </c>
      <c r="U511" s="474" t="s">
        <v>2330</v>
      </c>
      <c r="V511" s="474" t="s">
        <v>691</v>
      </c>
      <c r="W511" s="474">
        <v>340</v>
      </c>
      <c r="X511" s="476">
        <v>3328</v>
      </c>
      <c r="Y511" s="477">
        <f t="shared" si="118"/>
        <v>1131520</v>
      </c>
      <c r="Z511" s="478">
        <v>0.45</v>
      </c>
      <c r="AA511" s="479">
        <f t="shared" si="119"/>
        <v>509184</v>
      </c>
      <c r="AB511" s="480"/>
      <c r="AC511" s="481">
        <v>0</v>
      </c>
      <c r="AD511" s="490"/>
      <c r="AE511" s="482"/>
      <c r="AF511" s="493">
        <v>891072</v>
      </c>
      <c r="AG511" s="474" t="s">
        <v>47</v>
      </c>
      <c r="AH511" s="474"/>
      <c r="AI511" s="483" t="s">
        <v>2326</v>
      </c>
      <c r="AJ511" s="474" t="s">
        <v>1580</v>
      </c>
      <c r="AK511" s="494" t="s">
        <v>1073</v>
      </c>
      <c r="AL511" s="474">
        <v>21075</v>
      </c>
      <c r="AM511" s="474" t="s">
        <v>52</v>
      </c>
      <c r="AN511" s="474" t="s">
        <v>50</v>
      </c>
      <c r="AO511" s="474"/>
      <c r="AP511" s="486" t="s">
        <v>92</v>
      </c>
      <c r="AQ511" s="486" t="s">
        <v>37</v>
      </c>
      <c r="AR511" s="486"/>
      <c r="AS511" s="495"/>
      <c r="AT511" s="495"/>
      <c r="AU511" s="478"/>
      <c r="AV511" s="471" t="str">
        <f t="shared" si="122"/>
        <v>30376909H</v>
      </c>
      <c r="AW511" s="471" cm="1">
        <f t="array" ref="AW511">SUM(MID(0&amp;AV511,LARGE(INDEX(ISNUMBER(--MID(AV511,ROW($1:$8),1))*ROW($1:$8),),ROW($1:$8))+1,1)*10^ROW($1:$8)/10)</f>
        <v>30376909</v>
      </c>
      <c r="AX511" s="471" t="str">
        <f>VLOOKUP($AW511,'Item Master Data'!$A:$F,3,FALSE)</f>
        <v>Q.PEAK DUO BLK G6+</v>
      </c>
      <c r="AY511" s="471">
        <f>VLOOKUP($AW511,'Item Master Data'!$A:$F,6,FALSE)</f>
        <v>340</v>
      </c>
      <c r="AZ511" s="471">
        <f t="shared" si="123"/>
        <v>104</v>
      </c>
      <c r="BA511" s="471">
        <f>VLOOKUP(AW511,'Item Master Data'!$A:$G,7,FALSE)</f>
        <v>32</v>
      </c>
      <c r="BB511" s="471"/>
      <c r="BC511" s="471">
        <f t="shared" si="124"/>
        <v>0</v>
      </c>
    </row>
    <row r="512" spans="1:55">
      <c r="A512" s="472"/>
      <c r="B512" s="514">
        <v>44580</v>
      </c>
      <c r="C512" s="514">
        <v>44615</v>
      </c>
      <c r="D512" s="485" t="s">
        <v>2322</v>
      </c>
      <c r="E512" s="474" t="s">
        <v>2485</v>
      </c>
      <c r="F512" s="474"/>
      <c r="G512" s="474">
        <v>2022</v>
      </c>
      <c r="H512" s="474">
        <v>4</v>
      </c>
      <c r="I512" s="485" t="s">
        <v>5389</v>
      </c>
      <c r="J512" s="475">
        <v>44678</v>
      </c>
      <c r="K512" s="483" t="s">
        <v>2486</v>
      </c>
      <c r="L512" s="474" t="s">
        <v>2324</v>
      </c>
      <c r="M512" s="487">
        <v>44524</v>
      </c>
      <c r="N512" s="487">
        <v>44573</v>
      </c>
      <c r="O512" s="487"/>
      <c r="P512" s="475">
        <v>44665</v>
      </c>
      <c r="Q512" s="475">
        <v>44672</v>
      </c>
      <c r="R512" s="475">
        <v>44678</v>
      </c>
      <c r="S512" s="474" t="s">
        <v>1563</v>
      </c>
      <c r="T512" s="474">
        <v>60</v>
      </c>
      <c r="U512" s="474" t="s">
        <v>2330</v>
      </c>
      <c r="V512" s="474" t="s">
        <v>691</v>
      </c>
      <c r="W512" s="474">
        <v>340</v>
      </c>
      <c r="X512" s="476">
        <v>2496</v>
      </c>
      <c r="Y512" s="477">
        <f t="shared" si="118"/>
        <v>848640</v>
      </c>
      <c r="Z512" s="478">
        <v>0.45</v>
      </c>
      <c r="AA512" s="479">
        <f t="shared" si="119"/>
        <v>381888</v>
      </c>
      <c r="AB512" s="480"/>
      <c r="AC512" s="481">
        <v>0</v>
      </c>
      <c r="AD512" s="490"/>
      <c r="AE512" s="482"/>
      <c r="AF512" s="493">
        <v>891072</v>
      </c>
      <c r="AG512" s="474" t="s">
        <v>47</v>
      </c>
      <c r="AH512" s="474"/>
      <c r="AI512" s="483" t="s">
        <v>2326</v>
      </c>
      <c r="AJ512" s="474" t="s">
        <v>2338</v>
      </c>
      <c r="AK512" s="494" t="s">
        <v>1347</v>
      </c>
      <c r="AL512" s="474">
        <v>17402</v>
      </c>
      <c r="AM512" s="474" t="s">
        <v>52</v>
      </c>
      <c r="AN512" s="474" t="s">
        <v>50</v>
      </c>
      <c r="AO512" s="474"/>
      <c r="AP512" s="486" t="s">
        <v>92</v>
      </c>
      <c r="AQ512" s="486" t="s">
        <v>37</v>
      </c>
      <c r="AR512" s="486"/>
      <c r="AS512" s="495"/>
      <c r="AT512" s="495"/>
      <c r="AU512" s="478"/>
      <c r="AV512" s="471" t="str">
        <f t="shared" si="122"/>
        <v>30376909H</v>
      </c>
      <c r="AW512" s="471" cm="1">
        <f t="array" ref="AW512">SUM(MID(0&amp;AV512,LARGE(INDEX(ISNUMBER(--MID(AV512,ROW($1:$8),1))*ROW($1:$8),),ROW($1:$8))+1,1)*10^ROW($1:$8)/10)</f>
        <v>30376909</v>
      </c>
      <c r="AX512" s="471" t="str">
        <f>VLOOKUP($AW512,'Item Master Data'!$A:$F,3,FALSE)</f>
        <v>Q.PEAK DUO BLK G6+</v>
      </c>
      <c r="AY512" s="471">
        <f>VLOOKUP($AW512,'Item Master Data'!$A:$F,6,FALSE)</f>
        <v>340</v>
      </c>
      <c r="AZ512" s="471">
        <f t="shared" si="123"/>
        <v>78</v>
      </c>
      <c r="BA512" s="471">
        <f>VLOOKUP(AW512,'Item Master Data'!$A:$G,7,FALSE)</f>
        <v>32</v>
      </c>
      <c r="BB512" s="471"/>
      <c r="BC512" s="471">
        <f t="shared" si="124"/>
        <v>0</v>
      </c>
    </row>
    <row r="513" spans="1:55">
      <c r="A513" s="472"/>
      <c r="B513" s="514">
        <v>44580</v>
      </c>
      <c r="C513" s="514">
        <v>44615</v>
      </c>
      <c r="D513" s="485" t="s">
        <v>2322</v>
      </c>
      <c r="E513" s="474"/>
      <c r="F513" s="474"/>
      <c r="G513" s="474">
        <v>2022</v>
      </c>
      <c r="H513" s="474">
        <v>4</v>
      </c>
      <c r="I513" s="485" t="s">
        <v>1544</v>
      </c>
      <c r="J513" s="475">
        <v>44678</v>
      </c>
      <c r="K513" s="483" t="s">
        <v>2487</v>
      </c>
      <c r="L513" s="474" t="s">
        <v>2324</v>
      </c>
      <c r="M513" s="487">
        <v>44524</v>
      </c>
      <c r="N513" s="487">
        <v>44600</v>
      </c>
      <c r="O513" s="487"/>
      <c r="P513" s="475">
        <v>44665</v>
      </c>
      <c r="Q513" s="475">
        <v>44673</v>
      </c>
      <c r="R513" s="475">
        <v>44678</v>
      </c>
      <c r="S513" s="474" t="s">
        <v>1563</v>
      </c>
      <c r="T513" s="474">
        <v>60</v>
      </c>
      <c r="U513" s="474" t="s">
        <v>2330</v>
      </c>
      <c r="V513" s="474" t="s">
        <v>691</v>
      </c>
      <c r="W513" s="474">
        <v>340</v>
      </c>
      <c r="X513" s="476">
        <v>3328</v>
      </c>
      <c r="Y513" s="477">
        <f t="shared" si="118"/>
        <v>1131520</v>
      </c>
      <c r="Z513" s="478">
        <v>0.45</v>
      </c>
      <c r="AA513" s="479">
        <f t="shared" si="119"/>
        <v>509184</v>
      </c>
      <c r="AB513" s="480"/>
      <c r="AC513" s="481">
        <v>0</v>
      </c>
      <c r="AD513" s="490"/>
      <c r="AE513" s="482"/>
      <c r="AF513" s="493">
        <v>763776</v>
      </c>
      <c r="AG513" s="474" t="s">
        <v>47</v>
      </c>
      <c r="AH513" s="474"/>
      <c r="AI513" s="483" t="s">
        <v>2326</v>
      </c>
      <c r="AJ513" s="474" t="s">
        <v>2338</v>
      </c>
      <c r="AK513" s="494" t="s">
        <v>1347</v>
      </c>
      <c r="AL513" s="474">
        <v>17402</v>
      </c>
      <c r="AM513" s="474" t="s">
        <v>52</v>
      </c>
      <c r="AN513" s="474" t="s">
        <v>50</v>
      </c>
      <c r="AO513" s="474"/>
      <c r="AP513" s="486" t="s">
        <v>92</v>
      </c>
      <c r="AQ513" s="486" t="s">
        <v>37</v>
      </c>
      <c r="AR513" s="486"/>
      <c r="AS513" s="495"/>
      <c r="AT513" s="495"/>
      <c r="AU513" s="478"/>
      <c r="AV513" s="471" t="str">
        <f t="shared" si="122"/>
        <v>30376909H</v>
      </c>
      <c r="AW513" s="471" cm="1">
        <f t="array" ref="AW513">SUM(MID(0&amp;AV513,LARGE(INDEX(ISNUMBER(--MID(AV513,ROW($1:$8),1))*ROW($1:$8),),ROW($1:$8))+1,1)*10^ROW($1:$8)/10)</f>
        <v>30376909</v>
      </c>
      <c r="AX513" s="471" t="str">
        <f>VLOOKUP($AW513,'Item Master Data'!$A:$F,3,FALSE)</f>
        <v>Q.PEAK DUO BLK G6+</v>
      </c>
      <c r="AY513" s="471">
        <f>VLOOKUP($AW513,'Item Master Data'!$A:$F,6,FALSE)</f>
        <v>340</v>
      </c>
      <c r="AZ513" s="471">
        <f t="shared" si="123"/>
        <v>104</v>
      </c>
      <c r="BA513" s="471">
        <f>VLOOKUP(AW513,'Item Master Data'!$A:$G,7,FALSE)</f>
        <v>32</v>
      </c>
      <c r="BB513" s="471"/>
      <c r="BC513" s="471">
        <f t="shared" si="124"/>
        <v>0</v>
      </c>
    </row>
    <row r="514" spans="1:55">
      <c r="A514" s="472"/>
      <c r="B514" s="514">
        <v>44580</v>
      </c>
      <c r="C514" s="514">
        <v>44615</v>
      </c>
      <c r="D514" s="485" t="s">
        <v>2322</v>
      </c>
      <c r="E514" s="474" t="s">
        <v>2485</v>
      </c>
      <c r="F514" s="474"/>
      <c r="G514" s="474">
        <v>2022</v>
      </c>
      <c r="H514" s="474">
        <v>4</v>
      </c>
      <c r="I514" s="485" t="s">
        <v>5389</v>
      </c>
      <c r="J514" s="475">
        <v>44678</v>
      </c>
      <c r="K514" s="483" t="s">
        <v>2489</v>
      </c>
      <c r="L514" s="474" t="s">
        <v>2324</v>
      </c>
      <c r="M514" s="487">
        <v>44524</v>
      </c>
      <c r="N514" s="487">
        <v>44634</v>
      </c>
      <c r="O514" s="487"/>
      <c r="P514" s="475">
        <v>44665</v>
      </c>
      <c r="Q514" s="475">
        <v>44672</v>
      </c>
      <c r="R514" s="475">
        <v>44678</v>
      </c>
      <c r="S514" s="474" t="s">
        <v>1563</v>
      </c>
      <c r="T514" s="474">
        <v>60</v>
      </c>
      <c r="U514" s="474" t="s">
        <v>1281</v>
      </c>
      <c r="V514" s="474" t="s">
        <v>973</v>
      </c>
      <c r="W514" s="474">
        <v>400</v>
      </c>
      <c r="X514" s="476">
        <f>6656-1664</f>
        <v>4992</v>
      </c>
      <c r="Y514" s="477">
        <f t="shared" si="118"/>
        <v>1996800</v>
      </c>
      <c r="Z514" s="478">
        <v>0.47</v>
      </c>
      <c r="AA514" s="479">
        <f t="shared" si="119"/>
        <v>938496</v>
      </c>
      <c r="AB514" s="480"/>
      <c r="AC514" s="481">
        <v>0</v>
      </c>
      <c r="AD514" s="490"/>
      <c r="AE514" s="482"/>
      <c r="AF514" s="493">
        <v>1251328</v>
      </c>
      <c r="AG514" s="474" t="s">
        <v>47</v>
      </c>
      <c r="AH514" s="474"/>
      <c r="AI514" s="483" t="s">
        <v>2326</v>
      </c>
      <c r="AJ514" s="474" t="s">
        <v>1580</v>
      </c>
      <c r="AK514" s="494" t="s">
        <v>1073</v>
      </c>
      <c r="AL514" s="474">
        <v>21075</v>
      </c>
      <c r="AM514" s="474" t="s">
        <v>52</v>
      </c>
      <c r="AN514" s="474" t="s">
        <v>50</v>
      </c>
      <c r="AO514" s="474"/>
      <c r="AP514" s="486" t="s">
        <v>38</v>
      </c>
      <c r="AQ514" s="486" t="s">
        <v>37</v>
      </c>
      <c r="AR514" s="486"/>
      <c r="AS514" s="495"/>
      <c r="AT514" s="495"/>
      <c r="AU514" s="478"/>
      <c r="AV514" s="471" t="str">
        <f t="shared" si="122"/>
        <v>30390456H</v>
      </c>
      <c r="AW514" s="471" cm="1">
        <f t="array" ref="AW514">SUM(MID(0&amp;AV514,LARGE(INDEX(ISNUMBER(--MID(AV514,ROW($1:$8),1))*ROW($1:$8),),ROW($1:$8))+1,1)*10^ROW($1:$8)/10)</f>
        <v>30390456</v>
      </c>
      <c r="AX514" s="471" t="str">
        <f>VLOOKUP($AW514,'Item Master Data'!$A:$F,3,FALSE)</f>
        <v>Q.PEAK DUO BLK ML G10+</v>
      </c>
      <c r="AY514" s="471">
        <f>VLOOKUP($AW514,'Item Master Data'!$A:$F,6,FALSE)</f>
        <v>400</v>
      </c>
      <c r="AZ514" s="471">
        <f t="shared" si="123"/>
        <v>156</v>
      </c>
      <c r="BA514" s="471">
        <f>VLOOKUP(AW514,'Item Master Data'!$A:$G,7,FALSE)</f>
        <v>32</v>
      </c>
      <c r="BB514" s="471"/>
      <c r="BC514" s="471">
        <f t="shared" si="124"/>
        <v>0</v>
      </c>
    </row>
    <row r="515" spans="1:55">
      <c r="A515" s="472"/>
      <c r="B515" s="514">
        <v>44580</v>
      </c>
      <c r="C515" s="514">
        <v>44615</v>
      </c>
      <c r="D515" s="485" t="s">
        <v>2322</v>
      </c>
      <c r="E515" s="474" t="s">
        <v>5649</v>
      </c>
      <c r="F515" s="474"/>
      <c r="G515" s="474">
        <v>2022</v>
      </c>
      <c r="H515" s="474">
        <v>4</v>
      </c>
      <c r="I515" s="485" t="s">
        <v>5389</v>
      </c>
      <c r="J515" s="475">
        <v>44678</v>
      </c>
      <c r="K515" s="483" t="s">
        <v>2489</v>
      </c>
      <c r="L515" s="474" t="s">
        <v>2324</v>
      </c>
      <c r="M515" s="487">
        <v>44524</v>
      </c>
      <c r="N515" s="487">
        <v>44634</v>
      </c>
      <c r="O515" s="487"/>
      <c r="P515" s="475">
        <v>44665</v>
      </c>
      <c r="Q515" s="475">
        <v>44672</v>
      </c>
      <c r="R515" s="475">
        <v>44678</v>
      </c>
      <c r="S515" s="474" t="s">
        <v>1563</v>
      </c>
      <c r="T515" s="474">
        <v>60</v>
      </c>
      <c r="U515" s="474" t="s">
        <v>1281</v>
      </c>
      <c r="V515" s="474" t="s">
        <v>973</v>
      </c>
      <c r="W515" s="474">
        <v>400</v>
      </c>
      <c r="X515" s="476">
        <v>1664</v>
      </c>
      <c r="Y515" s="477">
        <f t="shared" si="118"/>
        <v>665600</v>
      </c>
      <c r="Z515" s="478">
        <v>0.47</v>
      </c>
      <c r="AA515" s="479">
        <f t="shared" si="119"/>
        <v>312832</v>
      </c>
      <c r="AB515" s="480"/>
      <c r="AC515" s="481">
        <v>0</v>
      </c>
      <c r="AD515" s="490"/>
      <c r="AE515" s="482"/>
      <c r="AF515" s="493">
        <v>1251328</v>
      </c>
      <c r="AG515" s="474" t="s">
        <v>47</v>
      </c>
      <c r="AH515" s="474"/>
      <c r="AI515" s="483" t="s">
        <v>2326</v>
      </c>
      <c r="AJ515" s="474" t="s">
        <v>2338</v>
      </c>
      <c r="AK515" s="494" t="s">
        <v>1347</v>
      </c>
      <c r="AL515" s="474">
        <v>17402</v>
      </c>
      <c r="AM515" s="474" t="s">
        <v>52</v>
      </c>
      <c r="AN515" s="474" t="s">
        <v>50</v>
      </c>
      <c r="AO515" s="474"/>
      <c r="AP515" s="486" t="s">
        <v>38</v>
      </c>
      <c r="AQ515" s="486" t="s">
        <v>37</v>
      </c>
      <c r="AR515" s="486"/>
      <c r="AS515" s="495"/>
      <c r="AT515" s="495"/>
      <c r="AU515" s="478"/>
      <c r="AV515" s="471" t="str">
        <f t="shared" si="122"/>
        <v>30390456H</v>
      </c>
      <c r="AW515" s="471" cm="1">
        <f t="array" ref="AW515">SUM(MID(0&amp;AV515,LARGE(INDEX(ISNUMBER(--MID(AV515,ROW($1:$8),1))*ROW($1:$8),),ROW($1:$8))+1,1)*10^ROW($1:$8)/10)</f>
        <v>30390456</v>
      </c>
      <c r="AX515" s="471" t="str">
        <f>VLOOKUP($AW515,'Item Master Data'!$A:$F,3,FALSE)</f>
        <v>Q.PEAK DUO BLK ML G10+</v>
      </c>
      <c r="AY515" s="471">
        <f>VLOOKUP($AW515,'Item Master Data'!$A:$F,6,FALSE)</f>
        <v>400</v>
      </c>
      <c r="AZ515" s="471">
        <f t="shared" si="123"/>
        <v>52</v>
      </c>
      <c r="BA515" s="471">
        <f>VLOOKUP(AW515,'Item Master Data'!$A:$G,7,FALSE)</f>
        <v>32</v>
      </c>
      <c r="BB515" s="471"/>
      <c r="BC515" s="471">
        <f t="shared" si="124"/>
        <v>0</v>
      </c>
    </row>
    <row r="516" spans="1:55">
      <c r="A516" s="472"/>
      <c r="B516" s="514">
        <v>44580</v>
      </c>
      <c r="C516" s="514">
        <v>44615</v>
      </c>
      <c r="D516" s="485" t="s">
        <v>2322</v>
      </c>
      <c r="E516" s="474" t="s">
        <v>2485</v>
      </c>
      <c r="F516" s="474"/>
      <c r="G516" s="474">
        <v>2022</v>
      </c>
      <c r="H516" s="474">
        <v>4</v>
      </c>
      <c r="I516" s="485"/>
      <c r="J516" s="475"/>
      <c r="K516" s="483" t="s">
        <v>2490</v>
      </c>
      <c r="L516" s="474" t="s">
        <v>2324</v>
      </c>
      <c r="M516" s="487">
        <v>44524</v>
      </c>
      <c r="N516" s="487">
        <v>44636</v>
      </c>
      <c r="O516" s="487"/>
      <c r="P516" s="475">
        <v>44665</v>
      </c>
      <c r="Q516" s="475">
        <v>44673</v>
      </c>
      <c r="R516" s="475">
        <v>44680</v>
      </c>
      <c r="S516" s="474" t="s">
        <v>1563</v>
      </c>
      <c r="T516" s="474">
        <v>60</v>
      </c>
      <c r="U516" s="474" t="s">
        <v>1281</v>
      </c>
      <c r="V516" s="474" t="s">
        <v>973</v>
      </c>
      <c r="W516" s="474">
        <v>400</v>
      </c>
      <c r="X516" s="476">
        <v>5824</v>
      </c>
      <c r="Y516" s="477">
        <f t="shared" si="118"/>
        <v>2329600</v>
      </c>
      <c r="Z516" s="478">
        <v>0.47</v>
      </c>
      <c r="AA516" s="479">
        <f t="shared" si="119"/>
        <v>1094912</v>
      </c>
      <c r="AB516" s="480"/>
      <c r="AC516" s="481">
        <v>0</v>
      </c>
      <c r="AD516" s="490"/>
      <c r="AE516" s="482"/>
      <c r="AF516" s="493">
        <v>1251328</v>
      </c>
      <c r="AG516" s="474" t="s">
        <v>47</v>
      </c>
      <c r="AH516" s="474"/>
      <c r="AI516" s="483" t="s">
        <v>2326</v>
      </c>
      <c r="AJ516" s="474" t="s">
        <v>1580</v>
      </c>
      <c r="AK516" s="494" t="s">
        <v>1073</v>
      </c>
      <c r="AL516" s="474">
        <v>21075</v>
      </c>
      <c r="AM516" s="474" t="s">
        <v>52</v>
      </c>
      <c r="AN516" s="474" t="s">
        <v>50</v>
      </c>
      <c r="AO516" s="474"/>
      <c r="AP516" s="486" t="s">
        <v>38</v>
      </c>
      <c r="AQ516" s="486" t="s">
        <v>37</v>
      </c>
      <c r="AR516" s="486"/>
      <c r="AS516" s="495"/>
      <c r="AT516" s="495"/>
      <c r="AU516" s="478"/>
      <c r="AV516" s="471" t="str">
        <f t="shared" si="122"/>
        <v>30390456H</v>
      </c>
      <c r="AW516" s="471" cm="1">
        <f t="array" ref="AW516">SUM(MID(0&amp;AV516,LARGE(INDEX(ISNUMBER(--MID(AV516,ROW($1:$8),1))*ROW($1:$8),),ROW($1:$8))+1,1)*10^ROW($1:$8)/10)</f>
        <v>30390456</v>
      </c>
      <c r="AX516" s="471" t="str">
        <f>VLOOKUP($AW516,'Item Master Data'!$A:$F,3,FALSE)</f>
        <v>Q.PEAK DUO BLK ML G10+</v>
      </c>
      <c r="AY516" s="471">
        <f>VLOOKUP($AW516,'Item Master Data'!$A:$F,6,FALSE)</f>
        <v>400</v>
      </c>
      <c r="AZ516" s="471">
        <f t="shared" si="123"/>
        <v>182</v>
      </c>
      <c r="BA516" s="471">
        <f>VLOOKUP(AW516,'Item Master Data'!$A:$G,7,FALSE)</f>
        <v>32</v>
      </c>
      <c r="BB516" s="471"/>
      <c r="BC516" s="471">
        <f t="shared" si="124"/>
        <v>0</v>
      </c>
    </row>
    <row r="517" spans="1:55">
      <c r="A517" s="472"/>
      <c r="B517" s="514">
        <v>44580</v>
      </c>
      <c r="C517" s="514">
        <v>44615</v>
      </c>
      <c r="D517" s="485" t="s">
        <v>2322</v>
      </c>
      <c r="E517" s="474"/>
      <c r="F517" s="474"/>
      <c r="G517" s="474">
        <v>2022</v>
      </c>
      <c r="H517" s="474">
        <v>4</v>
      </c>
      <c r="I517" s="485" t="s">
        <v>5389</v>
      </c>
      <c r="J517" s="475">
        <v>44678</v>
      </c>
      <c r="K517" s="483" t="s">
        <v>2490</v>
      </c>
      <c r="L517" s="474" t="s">
        <v>2324</v>
      </c>
      <c r="M517" s="487">
        <v>44524</v>
      </c>
      <c r="N517" s="487">
        <v>44636</v>
      </c>
      <c r="O517" s="487"/>
      <c r="P517" s="475">
        <v>44665</v>
      </c>
      <c r="Q517" s="475">
        <v>44673</v>
      </c>
      <c r="R517" s="475">
        <v>44678</v>
      </c>
      <c r="S517" s="474" t="s">
        <v>1563</v>
      </c>
      <c r="T517" s="474">
        <v>60</v>
      </c>
      <c r="U517" s="474" t="s">
        <v>1281</v>
      </c>
      <c r="V517" s="474" t="s">
        <v>973</v>
      </c>
      <c r="W517" s="474">
        <v>400</v>
      </c>
      <c r="X517" s="476">
        <v>832</v>
      </c>
      <c r="Y517" s="477">
        <f t="shared" si="118"/>
        <v>332800</v>
      </c>
      <c r="Z517" s="478">
        <v>0.47</v>
      </c>
      <c r="AA517" s="479">
        <f t="shared" si="119"/>
        <v>156416</v>
      </c>
      <c r="AB517" s="480"/>
      <c r="AC517" s="481">
        <v>0</v>
      </c>
      <c r="AD517" s="490"/>
      <c r="AE517" s="482"/>
      <c r="AF517" s="493">
        <v>1251328</v>
      </c>
      <c r="AG517" s="474" t="s">
        <v>47</v>
      </c>
      <c r="AH517" s="474"/>
      <c r="AI517" s="483" t="s">
        <v>2326</v>
      </c>
      <c r="AJ517" s="474" t="s">
        <v>2338</v>
      </c>
      <c r="AK517" s="494" t="s">
        <v>1347</v>
      </c>
      <c r="AL517" s="474">
        <v>17402</v>
      </c>
      <c r="AM517" s="474" t="s">
        <v>52</v>
      </c>
      <c r="AN517" s="474" t="s">
        <v>50</v>
      </c>
      <c r="AO517" s="474"/>
      <c r="AP517" s="486" t="s">
        <v>38</v>
      </c>
      <c r="AQ517" s="486" t="s">
        <v>37</v>
      </c>
      <c r="AR517" s="486"/>
      <c r="AS517" s="495"/>
      <c r="AT517" s="495"/>
      <c r="AU517" s="478"/>
      <c r="AV517" s="471" t="str">
        <f t="shared" si="122"/>
        <v>30390456H</v>
      </c>
      <c r="AW517" s="471" cm="1">
        <f t="array" ref="AW517">SUM(MID(0&amp;AV517,LARGE(INDEX(ISNUMBER(--MID(AV517,ROW($1:$8),1))*ROW($1:$8),),ROW($1:$8))+1,1)*10^ROW($1:$8)/10)</f>
        <v>30390456</v>
      </c>
      <c r="AX517" s="471" t="str">
        <f>VLOOKUP($AW517,'Item Master Data'!$A:$F,3,FALSE)</f>
        <v>Q.PEAK DUO BLK ML G10+</v>
      </c>
      <c r="AY517" s="471">
        <f>VLOOKUP($AW517,'Item Master Data'!$A:$F,6,FALSE)</f>
        <v>400</v>
      </c>
      <c r="AZ517" s="471">
        <f t="shared" si="123"/>
        <v>26</v>
      </c>
      <c r="BA517" s="471">
        <f>VLOOKUP(AW517,'Item Master Data'!$A:$G,7,FALSE)</f>
        <v>32</v>
      </c>
      <c r="BB517" s="471"/>
      <c r="BC517" s="471">
        <f t="shared" si="124"/>
        <v>0</v>
      </c>
    </row>
    <row r="518" spans="1:55">
      <c r="A518" s="472"/>
      <c r="B518" s="514">
        <v>44580</v>
      </c>
      <c r="C518" s="514">
        <v>44615</v>
      </c>
      <c r="D518" s="485" t="s">
        <v>2322</v>
      </c>
      <c r="E518" s="474"/>
      <c r="F518" s="474"/>
      <c r="G518" s="474">
        <v>2022</v>
      </c>
      <c r="H518" s="474">
        <v>4</v>
      </c>
      <c r="I518" s="485" t="s">
        <v>5419</v>
      </c>
      <c r="J518" s="475"/>
      <c r="K518" s="483" t="s">
        <v>2491</v>
      </c>
      <c r="L518" s="474" t="s">
        <v>2324</v>
      </c>
      <c r="M518" s="487">
        <v>44524</v>
      </c>
      <c r="N518" s="487">
        <v>44599</v>
      </c>
      <c r="O518" s="487"/>
      <c r="P518" s="475">
        <v>44665</v>
      </c>
      <c r="Q518" s="475">
        <v>44680</v>
      </c>
      <c r="R518" s="475">
        <v>44680</v>
      </c>
      <c r="S518" s="474" t="s">
        <v>1563</v>
      </c>
      <c r="T518" s="474">
        <v>60</v>
      </c>
      <c r="U518" s="474" t="s">
        <v>2330</v>
      </c>
      <c r="V518" s="474" t="s">
        <v>691</v>
      </c>
      <c r="W518" s="474">
        <v>340</v>
      </c>
      <c r="X518" s="476">
        <v>3202</v>
      </c>
      <c r="Y518" s="477">
        <f t="shared" si="118"/>
        <v>1088680</v>
      </c>
      <c r="Z518" s="478">
        <v>0.45</v>
      </c>
      <c r="AA518" s="479">
        <f t="shared" si="119"/>
        <v>489906</v>
      </c>
      <c r="AB518" s="480"/>
      <c r="AC518" s="481">
        <v>0</v>
      </c>
      <c r="AD518" s="490"/>
      <c r="AE518" s="482"/>
      <c r="AF518" s="493">
        <v>763776</v>
      </c>
      <c r="AG518" s="474" t="s">
        <v>47</v>
      </c>
      <c r="AH518" s="474"/>
      <c r="AI518" s="483" t="s">
        <v>2326</v>
      </c>
      <c r="AJ518" s="474" t="s">
        <v>2327</v>
      </c>
      <c r="AK518" s="494" t="s">
        <v>50</v>
      </c>
      <c r="AL518" s="474">
        <v>91730</v>
      </c>
      <c r="AM518" s="474" t="s">
        <v>52</v>
      </c>
      <c r="AN518" s="474" t="s">
        <v>50</v>
      </c>
      <c r="AO518" s="474"/>
      <c r="AP518" s="486" t="s">
        <v>92</v>
      </c>
      <c r="AQ518" s="486" t="s">
        <v>37</v>
      </c>
      <c r="AR518" s="486"/>
      <c r="AS518" s="495"/>
      <c r="AT518" s="495"/>
      <c r="AU518" s="478"/>
      <c r="AV518" s="471"/>
      <c r="AW518" s="471"/>
      <c r="AX518" s="471"/>
      <c r="AY518" s="471"/>
      <c r="AZ518" s="471"/>
      <c r="BA518" s="471"/>
      <c r="BB518" s="471"/>
      <c r="BC518" s="471"/>
    </row>
    <row r="519" spans="1:55">
      <c r="A519" s="472"/>
      <c r="B519" s="514">
        <v>44580</v>
      </c>
      <c r="C519" s="514">
        <v>44615</v>
      </c>
      <c r="D519" s="485" t="s">
        <v>2322</v>
      </c>
      <c r="E519" s="474"/>
      <c r="F519" s="474"/>
      <c r="G519" s="474">
        <v>2022</v>
      </c>
      <c r="H519" s="474">
        <v>4</v>
      </c>
      <c r="I519" s="485" t="s">
        <v>5419</v>
      </c>
      <c r="J519" s="475"/>
      <c r="K519" s="483" t="s">
        <v>2491</v>
      </c>
      <c r="L519" s="474" t="s">
        <v>2324</v>
      </c>
      <c r="M519" s="487">
        <v>44524</v>
      </c>
      <c r="N519" s="487">
        <v>44599</v>
      </c>
      <c r="O519" s="487"/>
      <c r="P519" s="475">
        <v>44665</v>
      </c>
      <c r="Q519" s="475">
        <v>44680</v>
      </c>
      <c r="R519" s="475">
        <v>44680</v>
      </c>
      <c r="S519" s="474" t="s">
        <v>1563</v>
      </c>
      <c r="T519" s="474">
        <v>60</v>
      </c>
      <c r="U519" s="474" t="s">
        <v>2492</v>
      </c>
      <c r="V519" s="474" t="s">
        <v>691</v>
      </c>
      <c r="W519" s="474">
        <v>340</v>
      </c>
      <c r="X519" s="476">
        <v>706</v>
      </c>
      <c r="Y519" s="477">
        <f t="shared" si="118"/>
        <v>240040</v>
      </c>
      <c r="Z519" s="478">
        <v>0.45</v>
      </c>
      <c r="AA519" s="479">
        <f t="shared" si="119"/>
        <v>108018</v>
      </c>
      <c r="AB519" s="480"/>
      <c r="AC519" s="481">
        <v>0</v>
      </c>
      <c r="AD519" s="490"/>
      <c r="AE519" s="482"/>
      <c r="AF519" s="493">
        <v>763776</v>
      </c>
      <c r="AG519" s="474" t="s">
        <v>47</v>
      </c>
      <c r="AH519" s="474"/>
      <c r="AI519" s="483" t="s">
        <v>2326</v>
      </c>
      <c r="AJ519" s="474" t="s">
        <v>2327</v>
      </c>
      <c r="AK519" s="494" t="s">
        <v>50</v>
      </c>
      <c r="AL519" s="474">
        <v>91730</v>
      </c>
      <c r="AM519" s="474" t="s">
        <v>52</v>
      </c>
      <c r="AN519" s="474" t="s">
        <v>50</v>
      </c>
      <c r="AO519" s="474"/>
      <c r="AP519" s="486" t="s">
        <v>92</v>
      </c>
      <c r="AQ519" s="486" t="s">
        <v>37</v>
      </c>
      <c r="AR519" s="486"/>
      <c r="AS519" s="495"/>
      <c r="AT519" s="495"/>
      <c r="AU519" s="478"/>
      <c r="AV519" s="471"/>
      <c r="AW519" s="471"/>
      <c r="AX519" s="471"/>
      <c r="AY519" s="471"/>
      <c r="AZ519" s="471"/>
      <c r="BA519" s="471"/>
      <c r="BB519" s="471"/>
      <c r="BC519" s="471"/>
    </row>
    <row r="520" spans="1:55">
      <c r="A520" s="472"/>
      <c r="B520" s="514">
        <v>44580</v>
      </c>
      <c r="C520" s="514">
        <v>44615</v>
      </c>
      <c r="D520" s="485" t="s">
        <v>2322</v>
      </c>
      <c r="E520" s="474"/>
      <c r="F520" s="474"/>
      <c r="G520" s="474">
        <v>2022</v>
      </c>
      <c r="H520" s="474">
        <v>4</v>
      </c>
      <c r="I520" s="485" t="s">
        <v>5419</v>
      </c>
      <c r="J520" s="475"/>
      <c r="K520" s="483" t="s">
        <v>2491</v>
      </c>
      <c r="L520" s="474" t="s">
        <v>2324</v>
      </c>
      <c r="M520" s="487">
        <v>44524</v>
      </c>
      <c r="N520" s="487">
        <v>44599</v>
      </c>
      <c r="O520" s="487"/>
      <c r="P520" s="475">
        <v>44665</v>
      </c>
      <c r="Q520" s="475">
        <v>44680</v>
      </c>
      <c r="R520" s="475">
        <v>44680</v>
      </c>
      <c r="S520" s="474" t="s">
        <v>1563</v>
      </c>
      <c r="T520" s="474">
        <v>60</v>
      </c>
      <c r="U520" s="474" t="s">
        <v>1873</v>
      </c>
      <c r="V520" s="474" t="s">
        <v>691</v>
      </c>
      <c r="W520" s="474">
        <v>340</v>
      </c>
      <c r="X520" s="476">
        <v>182</v>
      </c>
      <c r="Y520" s="477">
        <f t="shared" si="118"/>
        <v>61880</v>
      </c>
      <c r="Z520" s="478">
        <v>0.45</v>
      </c>
      <c r="AA520" s="479">
        <f t="shared" si="119"/>
        <v>27846</v>
      </c>
      <c r="AB520" s="480"/>
      <c r="AC520" s="481">
        <v>0</v>
      </c>
      <c r="AD520" s="490"/>
      <c r="AE520" s="482"/>
      <c r="AF520" s="493">
        <v>763776</v>
      </c>
      <c r="AG520" s="474" t="s">
        <v>47</v>
      </c>
      <c r="AH520" s="474"/>
      <c r="AI520" s="483" t="s">
        <v>2326</v>
      </c>
      <c r="AJ520" s="474" t="s">
        <v>2327</v>
      </c>
      <c r="AK520" s="494" t="s">
        <v>50</v>
      </c>
      <c r="AL520" s="474">
        <v>91730</v>
      </c>
      <c r="AM520" s="474" t="s">
        <v>52</v>
      </c>
      <c r="AN520" s="474" t="s">
        <v>50</v>
      </c>
      <c r="AO520" s="474"/>
      <c r="AP520" s="486" t="s">
        <v>92</v>
      </c>
      <c r="AQ520" s="486" t="s">
        <v>37</v>
      </c>
      <c r="AR520" s="486"/>
      <c r="AS520" s="495"/>
      <c r="AT520" s="495"/>
      <c r="AU520" s="478"/>
      <c r="AV520" s="471" t="str">
        <f t="shared" ref="AV520:AV541" si="125">U520</f>
        <v>30376609H</v>
      </c>
      <c r="AW520" s="471" cm="1">
        <f t="array" ref="AW520">SUM(MID(0&amp;AV520,LARGE(INDEX(ISNUMBER(--MID(AV520,ROW($1:$8),1))*ROW($1:$8),),ROW($1:$8))+1,1)*10^ROW($1:$8)/10)</f>
        <v>30376609</v>
      </c>
      <c r="AX520" s="471" t="str">
        <f>VLOOKUP($AW520,'Item Master Data'!$A:$F,3,FALSE)</f>
        <v>Q.PEAK DUO BLK G6+</v>
      </c>
      <c r="AY520" s="471">
        <f>VLOOKUP($AW520,'Item Master Data'!$A:$F,6,FALSE)</f>
        <v>340</v>
      </c>
      <c r="AZ520" s="471">
        <f t="shared" ref="AZ520:AZ541" si="126">X520/BA520</f>
        <v>5.6875</v>
      </c>
      <c r="BA520" s="471">
        <f>VLOOKUP(AW520,'Item Master Data'!$A:$G,7,FALSE)</f>
        <v>32</v>
      </c>
      <c r="BB520" s="471"/>
      <c r="BC520" s="471">
        <f t="shared" ref="BC520:BC541" si="127">W520-AY520</f>
        <v>0</v>
      </c>
    </row>
    <row r="521" spans="1:55">
      <c r="A521" s="472"/>
      <c r="B521" s="514">
        <v>44580</v>
      </c>
      <c r="C521" s="514">
        <v>44615</v>
      </c>
      <c r="D521" s="485" t="s">
        <v>2322</v>
      </c>
      <c r="E521" s="474"/>
      <c r="F521" s="474"/>
      <c r="G521" s="474">
        <v>2022</v>
      </c>
      <c r="H521" s="474">
        <v>4</v>
      </c>
      <c r="I521" s="485" t="s">
        <v>5419</v>
      </c>
      <c r="J521" s="475"/>
      <c r="K521" s="483" t="s">
        <v>2491</v>
      </c>
      <c r="L521" s="474" t="s">
        <v>2324</v>
      </c>
      <c r="M521" s="487">
        <v>44524</v>
      </c>
      <c r="N521" s="487">
        <v>44599</v>
      </c>
      <c r="O521" s="487"/>
      <c r="P521" s="475">
        <v>44665</v>
      </c>
      <c r="Q521" s="475">
        <v>44680</v>
      </c>
      <c r="R521" s="475">
        <v>44680</v>
      </c>
      <c r="S521" s="474" t="s">
        <v>1563</v>
      </c>
      <c r="T521" s="474">
        <v>60</v>
      </c>
      <c r="U521" s="474" t="s">
        <v>2493</v>
      </c>
      <c r="V521" s="474" t="s">
        <v>691</v>
      </c>
      <c r="W521" s="474">
        <v>340</v>
      </c>
      <c r="X521" s="476">
        <v>64</v>
      </c>
      <c r="Y521" s="477">
        <f t="shared" si="118"/>
        <v>21760</v>
      </c>
      <c r="Z521" s="478">
        <v>0.45</v>
      </c>
      <c r="AA521" s="479">
        <f t="shared" si="119"/>
        <v>9792</v>
      </c>
      <c r="AB521" s="480"/>
      <c r="AC521" s="481">
        <v>0</v>
      </c>
      <c r="AD521" s="490"/>
      <c r="AE521" s="482"/>
      <c r="AF521" s="493">
        <v>763776</v>
      </c>
      <c r="AG521" s="474" t="s">
        <v>47</v>
      </c>
      <c r="AH521" s="474"/>
      <c r="AI521" s="483" t="s">
        <v>2326</v>
      </c>
      <c r="AJ521" s="474" t="s">
        <v>2327</v>
      </c>
      <c r="AK521" s="494" t="s">
        <v>50</v>
      </c>
      <c r="AL521" s="474">
        <v>91730</v>
      </c>
      <c r="AM521" s="474" t="s">
        <v>52</v>
      </c>
      <c r="AN521" s="474" t="s">
        <v>50</v>
      </c>
      <c r="AO521" s="474"/>
      <c r="AP521" s="486" t="s">
        <v>92</v>
      </c>
      <c r="AQ521" s="486" t="s">
        <v>37</v>
      </c>
      <c r="AR521" s="486"/>
      <c r="AS521" s="495"/>
      <c r="AT521" s="495"/>
      <c r="AU521" s="478"/>
      <c r="AV521" s="471" t="str">
        <f t="shared" si="125"/>
        <v>30376609F</v>
      </c>
      <c r="AW521" s="471" cm="1">
        <f t="array" ref="AW521">SUM(MID(0&amp;AV521,LARGE(INDEX(ISNUMBER(--MID(AV521,ROW($1:$8),1))*ROW($1:$8),),ROW($1:$8))+1,1)*10^ROW($1:$8)/10)</f>
        <v>30376609</v>
      </c>
      <c r="AX521" s="471" t="str">
        <f>VLOOKUP($AW521,'Item Master Data'!$A:$F,3,FALSE)</f>
        <v>Q.PEAK DUO BLK G6+</v>
      </c>
      <c r="AY521" s="471">
        <f>VLOOKUP($AW521,'Item Master Data'!$A:$F,6,FALSE)</f>
        <v>340</v>
      </c>
      <c r="AZ521" s="471">
        <f t="shared" si="126"/>
        <v>2</v>
      </c>
      <c r="BA521" s="471">
        <f>VLOOKUP(AW521,'Item Master Data'!$A:$G,7,FALSE)</f>
        <v>32</v>
      </c>
      <c r="BB521" s="471"/>
      <c r="BC521" s="471">
        <f t="shared" si="127"/>
        <v>0</v>
      </c>
    </row>
    <row r="522" spans="1:55">
      <c r="A522" s="472"/>
      <c r="B522" s="514">
        <v>44580</v>
      </c>
      <c r="C522" s="514">
        <v>44615</v>
      </c>
      <c r="D522" s="485" t="s">
        <v>2322</v>
      </c>
      <c r="E522" s="474"/>
      <c r="F522" s="474"/>
      <c r="G522" s="474">
        <v>2022</v>
      </c>
      <c r="H522" s="474">
        <v>4</v>
      </c>
      <c r="I522" s="485" t="s">
        <v>5419</v>
      </c>
      <c r="J522" s="475"/>
      <c r="K522" s="483" t="s">
        <v>2491</v>
      </c>
      <c r="L522" s="474" t="s">
        <v>2324</v>
      </c>
      <c r="M522" s="487">
        <v>44524</v>
      </c>
      <c r="N522" s="487">
        <v>44599</v>
      </c>
      <c r="O522" s="487"/>
      <c r="P522" s="475">
        <v>44665</v>
      </c>
      <c r="Q522" s="475">
        <v>44680</v>
      </c>
      <c r="R522" s="475">
        <v>44680</v>
      </c>
      <c r="S522" s="474" t="s">
        <v>1563</v>
      </c>
      <c r="T522" s="474">
        <v>60</v>
      </c>
      <c r="U522" s="474" t="s">
        <v>2087</v>
      </c>
      <c r="V522" s="474" t="s">
        <v>691</v>
      </c>
      <c r="W522" s="474">
        <v>340</v>
      </c>
      <c r="X522" s="476">
        <v>6</v>
      </c>
      <c r="Y522" s="477">
        <f t="shared" si="118"/>
        <v>2040</v>
      </c>
      <c r="Z522" s="478">
        <v>0.45</v>
      </c>
      <c r="AA522" s="479">
        <f t="shared" si="119"/>
        <v>918</v>
      </c>
      <c r="AB522" s="480"/>
      <c r="AC522" s="481">
        <v>0</v>
      </c>
      <c r="AD522" s="490"/>
      <c r="AE522" s="482"/>
      <c r="AF522" s="493">
        <v>763776</v>
      </c>
      <c r="AG522" s="474" t="s">
        <v>47</v>
      </c>
      <c r="AH522" s="474"/>
      <c r="AI522" s="483" t="s">
        <v>2326</v>
      </c>
      <c r="AJ522" s="474" t="s">
        <v>2327</v>
      </c>
      <c r="AK522" s="494" t="s">
        <v>50</v>
      </c>
      <c r="AL522" s="474">
        <v>91730</v>
      </c>
      <c r="AM522" s="474" t="s">
        <v>52</v>
      </c>
      <c r="AN522" s="474" t="s">
        <v>50</v>
      </c>
      <c r="AO522" s="474"/>
      <c r="AP522" s="486" t="s">
        <v>92</v>
      </c>
      <c r="AQ522" s="486" t="s">
        <v>37</v>
      </c>
      <c r="AR522" s="486"/>
      <c r="AS522" s="495"/>
      <c r="AT522" s="495"/>
      <c r="AU522" s="478"/>
      <c r="AV522" s="471" t="str">
        <f t="shared" si="125"/>
        <v>30376609C</v>
      </c>
      <c r="AW522" s="471" cm="1">
        <f t="array" ref="AW522">SUM(MID(0&amp;AV522,LARGE(INDEX(ISNUMBER(--MID(AV522,ROW($1:$8),1))*ROW($1:$8),),ROW($1:$8))+1,1)*10^ROW($1:$8)/10)</f>
        <v>30376609</v>
      </c>
      <c r="AX522" s="471" t="str">
        <f>VLOOKUP($AW522,'Item Master Data'!$A:$F,3,FALSE)</f>
        <v>Q.PEAK DUO BLK G6+</v>
      </c>
      <c r="AY522" s="471">
        <f>VLOOKUP($AW522,'Item Master Data'!$A:$F,6,FALSE)</f>
        <v>340</v>
      </c>
      <c r="AZ522" s="471">
        <f t="shared" si="126"/>
        <v>0.1875</v>
      </c>
      <c r="BA522" s="471">
        <f>VLOOKUP(AW522,'Item Master Data'!$A:$G,7,FALSE)</f>
        <v>32</v>
      </c>
      <c r="BB522" s="471"/>
      <c r="BC522" s="471">
        <f t="shared" si="127"/>
        <v>0</v>
      </c>
    </row>
    <row r="523" spans="1:55">
      <c r="A523" s="472"/>
      <c r="B523" s="514">
        <v>44580</v>
      </c>
      <c r="C523" s="514">
        <v>44615</v>
      </c>
      <c r="D523" s="485" t="s">
        <v>2322</v>
      </c>
      <c r="E523" s="474" t="s">
        <v>2341</v>
      </c>
      <c r="F523" s="474"/>
      <c r="G523" s="474">
        <v>2022</v>
      </c>
      <c r="H523" s="474">
        <v>4</v>
      </c>
      <c r="I523" s="485">
        <v>128048</v>
      </c>
      <c r="J523" s="475">
        <v>44655</v>
      </c>
      <c r="K523" s="483" t="s">
        <v>2478</v>
      </c>
      <c r="L523" s="474" t="s">
        <v>2324</v>
      </c>
      <c r="M523" s="487">
        <v>44524</v>
      </c>
      <c r="N523" s="487">
        <v>44627</v>
      </c>
      <c r="O523" s="487"/>
      <c r="P523" s="475">
        <v>44616</v>
      </c>
      <c r="Q523" s="475">
        <v>44635</v>
      </c>
      <c r="R523" s="475">
        <v>44644</v>
      </c>
      <c r="S523" s="474" t="s">
        <v>1563</v>
      </c>
      <c r="T523" s="474">
        <v>60</v>
      </c>
      <c r="U523" s="474" t="s">
        <v>2479</v>
      </c>
      <c r="V523" s="474" t="s">
        <v>631</v>
      </c>
      <c r="W523" s="474">
        <v>350</v>
      </c>
      <c r="X523" s="476">
        <v>2496</v>
      </c>
      <c r="Y523" s="491">
        <f t="shared" si="118"/>
        <v>873600</v>
      </c>
      <c r="Z523" s="478">
        <f>157.5/350</f>
        <v>0.45</v>
      </c>
      <c r="AA523" s="479">
        <f t="shared" si="119"/>
        <v>393120</v>
      </c>
      <c r="AB523" s="480"/>
      <c r="AC523" s="481">
        <f>AB523*Y523</f>
        <v>0</v>
      </c>
      <c r="AD523" s="490"/>
      <c r="AE523" s="482"/>
      <c r="AF523" s="493">
        <f>AA523+AE523</f>
        <v>393120</v>
      </c>
      <c r="AG523" s="474" t="s">
        <v>47</v>
      </c>
      <c r="AH523" s="474"/>
      <c r="AI523" s="483" t="s">
        <v>2326</v>
      </c>
      <c r="AJ523" s="474" t="s">
        <v>2327</v>
      </c>
      <c r="AK523" s="494" t="s">
        <v>50</v>
      </c>
      <c r="AL523" s="474">
        <v>91730</v>
      </c>
      <c r="AM523" s="474" t="s">
        <v>52</v>
      </c>
      <c r="AN523" s="474" t="s">
        <v>1144</v>
      </c>
      <c r="AO523" s="474"/>
      <c r="AP523" s="486" t="s">
        <v>92</v>
      </c>
      <c r="AQ523" s="486" t="s">
        <v>37</v>
      </c>
      <c r="AR523" s="486"/>
      <c r="AS523" s="495"/>
      <c r="AT523" s="495"/>
      <c r="AU523" s="478"/>
      <c r="AV523" s="471" t="str">
        <f t="shared" si="125"/>
        <v>30372211H</v>
      </c>
      <c r="AW523" s="471" cm="1">
        <f t="array" ref="AW523">SUM(MID(0&amp;AV523,LARGE(INDEX(ISNUMBER(--MID(AV523,ROW($1:$8),1))*ROW($1:$8),),ROW($1:$8))+1,1)*10^ROW($1:$8)/10)</f>
        <v>30372211</v>
      </c>
      <c r="AX523" s="471" t="str">
        <f>VLOOKUP($AW523,'Item Master Data'!$A:$F,3,FALSE)</f>
        <v>Q.PEAK DUO G6+</v>
      </c>
      <c r="AY523" s="471">
        <f>VLOOKUP($AW523,'Item Master Data'!$A:$F,6,FALSE)</f>
        <v>350</v>
      </c>
      <c r="AZ523" s="471">
        <f t="shared" si="126"/>
        <v>78</v>
      </c>
      <c r="BA523" s="471">
        <f>VLOOKUP(AW523,'Item Master Data'!$A:$G,7,FALSE)</f>
        <v>32</v>
      </c>
      <c r="BB523" s="471"/>
      <c r="BC523" s="471">
        <f t="shared" si="127"/>
        <v>0</v>
      </c>
    </row>
    <row r="524" spans="1:55">
      <c r="A524" s="472"/>
      <c r="B524" s="514">
        <v>44580</v>
      </c>
      <c r="C524" s="514">
        <v>44615</v>
      </c>
      <c r="D524" s="485" t="s">
        <v>2322</v>
      </c>
      <c r="E524" s="474" t="s">
        <v>2341</v>
      </c>
      <c r="F524" s="474"/>
      <c r="G524" s="474">
        <v>2022</v>
      </c>
      <c r="H524" s="474">
        <v>4</v>
      </c>
      <c r="I524" s="485">
        <v>128048</v>
      </c>
      <c r="J524" s="475">
        <v>44655</v>
      </c>
      <c r="K524" s="483" t="s">
        <v>2478</v>
      </c>
      <c r="L524" s="474" t="s">
        <v>2324</v>
      </c>
      <c r="M524" s="487">
        <v>44524</v>
      </c>
      <c r="N524" s="487">
        <v>44627</v>
      </c>
      <c r="O524" s="487"/>
      <c r="P524" s="475">
        <v>44616</v>
      </c>
      <c r="Q524" s="475">
        <v>44635</v>
      </c>
      <c r="R524" s="475">
        <v>44644</v>
      </c>
      <c r="S524" s="474" t="s">
        <v>1563</v>
      </c>
      <c r="T524" s="474">
        <v>60</v>
      </c>
      <c r="U524" s="474" t="s">
        <v>2347</v>
      </c>
      <c r="V524" s="474" t="s">
        <v>631</v>
      </c>
      <c r="W524" s="474">
        <v>350</v>
      </c>
      <c r="X524" s="476">
        <v>3264</v>
      </c>
      <c r="Y524" s="491">
        <f t="shared" si="118"/>
        <v>1142400</v>
      </c>
      <c r="Z524" s="478">
        <f>157.5/350</f>
        <v>0.45</v>
      </c>
      <c r="AA524" s="479">
        <f t="shared" si="119"/>
        <v>514080</v>
      </c>
      <c r="AB524" s="480"/>
      <c r="AC524" s="481">
        <f>AB524*Y524</f>
        <v>0</v>
      </c>
      <c r="AD524" s="490"/>
      <c r="AE524" s="482"/>
      <c r="AF524" s="493">
        <f>AA524+AE524</f>
        <v>514080</v>
      </c>
      <c r="AG524" s="474" t="s">
        <v>47</v>
      </c>
      <c r="AH524" s="474"/>
      <c r="AI524" s="483" t="s">
        <v>2326</v>
      </c>
      <c r="AJ524" s="474" t="s">
        <v>2327</v>
      </c>
      <c r="AK524" s="494" t="s">
        <v>50</v>
      </c>
      <c r="AL524" s="474">
        <v>91730</v>
      </c>
      <c r="AM524" s="474" t="s">
        <v>52</v>
      </c>
      <c r="AN524" s="474" t="s">
        <v>1144</v>
      </c>
      <c r="AO524" s="474"/>
      <c r="AP524" s="486" t="s">
        <v>92</v>
      </c>
      <c r="AQ524" s="486" t="s">
        <v>37</v>
      </c>
      <c r="AR524" s="486"/>
      <c r="AS524" s="495"/>
      <c r="AT524" s="495"/>
      <c r="AU524" s="478"/>
      <c r="AV524" s="471" t="str">
        <f t="shared" si="125"/>
        <v>30371611H</v>
      </c>
      <c r="AW524" s="471" cm="1">
        <f t="array" ref="AW524">SUM(MID(0&amp;AV524,LARGE(INDEX(ISNUMBER(--MID(AV524,ROW($1:$8),1))*ROW($1:$8),),ROW($1:$8))+1,1)*10^ROW($1:$8)/10)</f>
        <v>30371611</v>
      </c>
      <c r="AX524" s="471" t="str">
        <f>VLOOKUP($AW524,'Item Master Data'!$A:$F,3,FALSE)</f>
        <v>Q.PEAK DUO G6+</v>
      </c>
      <c r="AY524" s="471">
        <f>VLOOKUP($AW524,'Item Master Data'!$A:$F,6,FALSE)</f>
        <v>350</v>
      </c>
      <c r="AZ524" s="471">
        <f t="shared" si="126"/>
        <v>102</v>
      </c>
      <c r="BA524" s="471">
        <f>VLOOKUP(AW524,'Item Master Data'!$A:$G,7,FALSE)</f>
        <v>32</v>
      </c>
      <c r="BB524" s="471"/>
      <c r="BC524" s="471">
        <f t="shared" si="127"/>
        <v>0</v>
      </c>
    </row>
    <row r="525" spans="1:55">
      <c r="A525" s="472"/>
      <c r="B525" s="514">
        <v>44580</v>
      </c>
      <c r="C525" s="514">
        <v>44615</v>
      </c>
      <c r="D525" s="485" t="s">
        <v>2322</v>
      </c>
      <c r="E525" s="474" t="s">
        <v>2341</v>
      </c>
      <c r="F525" s="474"/>
      <c r="G525" s="474">
        <v>2022</v>
      </c>
      <c r="H525" s="474">
        <v>4</v>
      </c>
      <c r="I525" s="485">
        <v>128048</v>
      </c>
      <c r="J525" s="475">
        <v>44655</v>
      </c>
      <c r="K525" s="483" t="s">
        <v>2478</v>
      </c>
      <c r="L525" s="474" t="s">
        <v>2324</v>
      </c>
      <c r="M525" s="487">
        <v>44524</v>
      </c>
      <c r="N525" s="487">
        <v>44627</v>
      </c>
      <c r="O525" s="487"/>
      <c r="P525" s="475">
        <v>44616</v>
      </c>
      <c r="Q525" s="475">
        <v>44650</v>
      </c>
      <c r="R525" s="475">
        <v>44655</v>
      </c>
      <c r="S525" s="474" t="s">
        <v>1563</v>
      </c>
      <c r="T525" s="474">
        <v>60</v>
      </c>
      <c r="U525" s="474" t="s">
        <v>2347</v>
      </c>
      <c r="V525" s="474" t="s">
        <v>631</v>
      </c>
      <c r="W525" s="474">
        <v>350</v>
      </c>
      <c r="X525" s="476">
        <v>64</v>
      </c>
      <c r="Y525" s="491">
        <f t="shared" si="118"/>
        <v>22400</v>
      </c>
      <c r="Z525" s="478">
        <f>157.5/350</f>
        <v>0.45</v>
      </c>
      <c r="AA525" s="479">
        <f t="shared" si="119"/>
        <v>10080</v>
      </c>
      <c r="AB525" s="480"/>
      <c r="AC525" s="481">
        <f>AB525*Y525</f>
        <v>0</v>
      </c>
      <c r="AD525" s="490"/>
      <c r="AE525" s="482"/>
      <c r="AF525" s="493">
        <f>AA525+AE525</f>
        <v>10080</v>
      </c>
      <c r="AG525" s="474" t="s">
        <v>47</v>
      </c>
      <c r="AH525" s="474"/>
      <c r="AI525" s="483" t="s">
        <v>2326</v>
      </c>
      <c r="AJ525" s="474" t="s">
        <v>2327</v>
      </c>
      <c r="AK525" s="494" t="s">
        <v>50</v>
      </c>
      <c r="AL525" s="474">
        <v>91730</v>
      </c>
      <c r="AM525" s="474" t="s">
        <v>52</v>
      </c>
      <c r="AN525" s="474" t="s">
        <v>1144</v>
      </c>
      <c r="AO525" s="474"/>
      <c r="AP525" s="486" t="s">
        <v>92</v>
      </c>
      <c r="AQ525" s="486" t="s">
        <v>37</v>
      </c>
      <c r="AR525" s="486"/>
      <c r="AS525" s="495"/>
      <c r="AT525" s="495"/>
      <c r="AU525" s="478"/>
      <c r="AV525" s="471" t="str">
        <f t="shared" si="125"/>
        <v>30371611H</v>
      </c>
      <c r="AW525" s="471" cm="1">
        <f t="array" ref="AW525">SUM(MID(0&amp;AV525,LARGE(INDEX(ISNUMBER(--MID(AV525,ROW($1:$8),1))*ROW($1:$8),),ROW($1:$8))+1,1)*10^ROW($1:$8)/10)</f>
        <v>30371611</v>
      </c>
      <c r="AX525" s="471" t="str">
        <f>VLOOKUP($AW525,'Item Master Data'!$A:$F,3,FALSE)</f>
        <v>Q.PEAK DUO G6+</v>
      </c>
      <c r="AY525" s="471">
        <f>VLOOKUP($AW525,'Item Master Data'!$A:$F,6,FALSE)</f>
        <v>350</v>
      </c>
      <c r="AZ525" s="471">
        <f t="shared" si="126"/>
        <v>2</v>
      </c>
      <c r="BA525" s="471">
        <f>VLOOKUP(AW525,'Item Master Data'!$A:$G,7,FALSE)</f>
        <v>32</v>
      </c>
      <c r="BB525" s="471"/>
      <c r="BC525" s="471">
        <f t="shared" si="127"/>
        <v>0</v>
      </c>
    </row>
    <row r="526" spans="1:55">
      <c r="A526" s="472"/>
      <c r="B526" s="514">
        <v>44580</v>
      </c>
      <c r="C526" s="514">
        <v>44615</v>
      </c>
      <c r="D526" s="485" t="s">
        <v>2322</v>
      </c>
      <c r="E526" s="474"/>
      <c r="F526" s="474"/>
      <c r="G526" s="474">
        <v>2022</v>
      </c>
      <c r="H526" s="474">
        <v>4</v>
      </c>
      <c r="I526" s="485">
        <v>128195</v>
      </c>
      <c r="J526" s="475">
        <v>44676</v>
      </c>
      <c r="K526" s="483" t="s">
        <v>2348</v>
      </c>
      <c r="L526" s="474" t="s">
        <v>2324</v>
      </c>
      <c r="M526" s="487">
        <v>44524</v>
      </c>
      <c r="N526" s="487">
        <v>44629</v>
      </c>
      <c r="O526" s="487"/>
      <c r="P526" s="475">
        <v>44628</v>
      </c>
      <c r="Q526" s="475">
        <v>44676</v>
      </c>
      <c r="R526" s="475">
        <v>44676</v>
      </c>
      <c r="S526" s="474" t="s">
        <v>1563</v>
      </c>
      <c r="T526" s="474">
        <v>60</v>
      </c>
      <c r="U526" s="474" t="s">
        <v>2347</v>
      </c>
      <c r="V526" s="474" t="s">
        <v>631</v>
      </c>
      <c r="W526" s="474">
        <v>350</v>
      </c>
      <c r="X526" s="476">
        <v>1664</v>
      </c>
      <c r="Y526" s="491">
        <f t="shared" si="118"/>
        <v>582400</v>
      </c>
      <c r="Z526" s="478">
        <f>157.5/350</f>
        <v>0.45</v>
      </c>
      <c r="AA526" s="479">
        <f t="shared" si="119"/>
        <v>262080</v>
      </c>
      <c r="AB526" s="480"/>
      <c r="AC526" s="481">
        <f>AB526*Y526</f>
        <v>0</v>
      </c>
      <c r="AD526" s="490"/>
      <c r="AE526" s="482"/>
      <c r="AF526" s="493">
        <f>AA526+AE526</f>
        <v>262080</v>
      </c>
      <c r="AG526" s="474" t="s">
        <v>47</v>
      </c>
      <c r="AH526" s="474"/>
      <c r="AI526" s="483" t="s">
        <v>2326</v>
      </c>
      <c r="AJ526" s="474" t="s">
        <v>2327</v>
      </c>
      <c r="AK526" s="494" t="s">
        <v>50</v>
      </c>
      <c r="AL526" s="474">
        <v>91730</v>
      </c>
      <c r="AM526" s="474" t="s">
        <v>52</v>
      </c>
      <c r="AN526" s="474" t="s">
        <v>50</v>
      </c>
      <c r="AO526" s="474"/>
      <c r="AP526" s="486" t="s">
        <v>92</v>
      </c>
      <c r="AQ526" s="486" t="s">
        <v>37</v>
      </c>
      <c r="AR526" s="486"/>
      <c r="AS526" s="495"/>
      <c r="AT526" s="495"/>
      <c r="AU526" s="478"/>
      <c r="AV526" s="471" t="str">
        <f t="shared" si="125"/>
        <v>30371611H</v>
      </c>
      <c r="AW526" s="471" cm="1">
        <f t="array" ref="AW526">SUM(MID(0&amp;AV526,LARGE(INDEX(ISNUMBER(--MID(AV526,ROW($1:$8),1))*ROW($1:$8),),ROW($1:$8))+1,1)*10^ROW($1:$8)/10)</f>
        <v>30371611</v>
      </c>
      <c r="AX526" s="471" t="str">
        <f>VLOOKUP($AW526,'Item Master Data'!$A:$F,3,FALSE)</f>
        <v>Q.PEAK DUO G6+</v>
      </c>
      <c r="AY526" s="471">
        <f>VLOOKUP($AW526,'Item Master Data'!$A:$F,6,FALSE)</f>
        <v>350</v>
      </c>
      <c r="AZ526" s="471">
        <f t="shared" si="126"/>
        <v>52</v>
      </c>
      <c r="BA526" s="471">
        <f>VLOOKUP(AW526,'Item Master Data'!$A:$G,7,FALSE)</f>
        <v>32</v>
      </c>
      <c r="BB526" s="471"/>
      <c r="BC526" s="471">
        <f t="shared" si="127"/>
        <v>0</v>
      </c>
    </row>
    <row r="527" spans="1:55">
      <c r="A527" s="472"/>
      <c r="B527" s="514">
        <v>44580</v>
      </c>
      <c r="C527" s="514">
        <v>44615</v>
      </c>
      <c r="D527" s="485" t="s">
        <v>2322</v>
      </c>
      <c r="E527" s="474"/>
      <c r="F527" s="474"/>
      <c r="G527" s="474">
        <v>2022</v>
      </c>
      <c r="H527" s="474">
        <v>4</v>
      </c>
      <c r="I527" s="485" t="s">
        <v>5419</v>
      </c>
      <c r="J527" s="475"/>
      <c r="K527" s="483" t="s">
        <v>2494</v>
      </c>
      <c r="L527" s="474" t="s">
        <v>2324</v>
      </c>
      <c r="M527" s="487">
        <v>44524</v>
      </c>
      <c r="N527" s="487">
        <v>44634</v>
      </c>
      <c r="O527" s="487"/>
      <c r="P527" s="475">
        <v>44665</v>
      </c>
      <c r="Q527" s="475">
        <v>44678</v>
      </c>
      <c r="R527" s="475">
        <v>44678</v>
      </c>
      <c r="S527" s="474" t="s">
        <v>1563</v>
      </c>
      <c r="T527" s="474">
        <v>60</v>
      </c>
      <c r="U527" s="474" t="s">
        <v>1281</v>
      </c>
      <c r="V527" s="474" t="s">
        <v>2495</v>
      </c>
      <c r="W527" s="474">
        <v>400</v>
      </c>
      <c r="X527" s="476">
        <v>5824</v>
      </c>
      <c r="Y527" s="477">
        <f t="shared" si="118"/>
        <v>2329600</v>
      </c>
      <c r="Z527" s="478">
        <v>0.47</v>
      </c>
      <c r="AA527" s="479">
        <f t="shared" si="119"/>
        <v>1094912</v>
      </c>
      <c r="AB527" s="480"/>
      <c r="AC527" s="481">
        <v>0</v>
      </c>
      <c r="AD527" s="490"/>
      <c r="AE527" s="482"/>
      <c r="AF527" s="493">
        <v>1251328</v>
      </c>
      <c r="AG527" s="474" t="s">
        <v>47</v>
      </c>
      <c r="AH527" s="474"/>
      <c r="AI527" s="483" t="s">
        <v>2326</v>
      </c>
      <c r="AJ527" s="474" t="s">
        <v>2327</v>
      </c>
      <c r="AK527" s="494" t="s">
        <v>50</v>
      </c>
      <c r="AL527" s="474">
        <v>91730</v>
      </c>
      <c r="AM527" s="474" t="s">
        <v>52</v>
      </c>
      <c r="AN527" s="474" t="s">
        <v>50</v>
      </c>
      <c r="AO527" s="474"/>
      <c r="AP527" s="486" t="s">
        <v>38</v>
      </c>
      <c r="AQ527" s="486" t="s">
        <v>37</v>
      </c>
      <c r="AR527" s="486"/>
      <c r="AS527" s="495"/>
      <c r="AT527" s="495"/>
      <c r="AU527" s="478"/>
      <c r="AV527" s="471" t="str">
        <f t="shared" si="125"/>
        <v>30390456H</v>
      </c>
      <c r="AW527" s="471" cm="1">
        <f t="array" ref="AW527">SUM(MID(0&amp;AV527,LARGE(INDEX(ISNUMBER(--MID(AV527,ROW($1:$8),1))*ROW($1:$8),),ROW($1:$8))+1,1)*10^ROW($1:$8)/10)</f>
        <v>30390456</v>
      </c>
      <c r="AX527" s="471" t="str">
        <f>VLOOKUP($AW527,'Item Master Data'!$A:$F,3,FALSE)</f>
        <v>Q.PEAK DUO BLK ML G10+</v>
      </c>
      <c r="AY527" s="471">
        <f>VLOOKUP($AW527,'Item Master Data'!$A:$F,6,FALSE)</f>
        <v>400</v>
      </c>
      <c r="AZ527" s="471">
        <f t="shared" si="126"/>
        <v>182</v>
      </c>
      <c r="BA527" s="471">
        <f>VLOOKUP(AW527,'Item Master Data'!$A:$G,7,FALSE)</f>
        <v>32</v>
      </c>
      <c r="BB527" s="471"/>
      <c r="BC527" s="471">
        <f t="shared" si="127"/>
        <v>0</v>
      </c>
    </row>
    <row r="528" spans="1:55">
      <c r="A528" s="472"/>
      <c r="B528" s="514">
        <v>44580</v>
      </c>
      <c r="C528" s="514">
        <v>44615</v>
      </c>
      <c r="D528" s="485" t="s">
        <v>2322</v>
      </c>
      <c r="E528" s="474"/>
      <c r="F528" s="474"/>
      <c r="G528" s="474">
        <v>2022</v>
      </c>
      <c r="H528" s="474">
        <v>4</v>
      </c>
      <c r="I528" s="485">
        <v>128241</v>
      </c>
      <c r="J528" s="475">
        <v>44677</v>
      </c>
      <c r="K528" s="483" t="s">
        <v>2349</v>
      </c>
      <c r="L528" s="474" t="s">
        <v>2324</v>
      </c>
      <c r="M528" s="487">
        <v>44547</v>
      </c>
      <c r="N528" s="487">
        <v>44634</v>
      </c>
      <c r="O528" s="487"/>
      <c r="P528" s="475">
        <v>44638</v>
      </c>
      <c r="Q528" s="475">
        <v>44676</v>
      </c>
      <c r="R528" s="475">
        <v>44677</v>
      </c>
      <c r="S528" s="474" t="s">
        <v>1563</v>
      </c>
      <c r="T528" s="474">
        <v>60</v>
      </c>
      <c r="U528" s="474" t="s">
        <v>2350</v>
      </c>
      <c r="V528" s="474" t="s">
        <v>970</v>
      </c>
      <c r="W528" s="474">
        <v>410</v>
      </c>
      <c r="X528" s="476">
        <v>3328</v>
      </c>
      <c r="Y528" s="491">
        <f t="shared" si="118"/>
        <v>1364480</v>
      </c>
      <c r="Z528" s="478">
        <f>192.7/410</f>
        <v>0.47</v>
      </c>
      <c r="AA528" s="479">
        <f t="shared" si="119"/>
        <v>641305.59999999998</v>
      </c>
      <c r="AB528" s="480"/>
      <c r="AC528" s="481">
        <f>AB528*Y528</f>
        <v>0</v>
      </c>
      <c r="AD528" s="490"/>
      <c r="AE528" s="482"/>
      <c r="AF528" s="493">
        <f>AA528+AE528</f>
        <v>641305.59999999998</v>
      </c>
      <c r="AG528" s="474" t="s">
        <v>47</v>
      </c>
      <c r="AH528" s="474"/>
      <c r="AI528" s="483" t="s">
        <v>2326</v>
      </c>
      <c r="AJ528" s="474" t="s">
        <v>2327</v>
      </c>
      <c r="AK528" s="494" t="s">
        <v>50</v>
      </c>
      <c r="AL528" s="474">
        <v>91730</v>
      </c>
      <c r="AM528" s="474" t="s">
        <v>52</v>
      </c>
      <c r="AN528" s="474" t="s">
        <v>50</v>
      </c>
      <c r="AO528" s="474"/>
      <c r="AP528" s="486" t="s">
        <v>92</v>
      </c>
      <c r="AQ528" s="486" t="s">
        <v>37</v>
      </c>
      <c r="AR528" s="486"/>
      <c r="AS528" s="495"/>
      <c r="AT528" s="495"/>
      <c r="AU528" s="478"/>
      <c r="AV528" s="471" t="str">
        <f t="shared" si="125"/>
        <v>30372158H</v>
      </c>
      <c r="AW528" s="471" cm="1">
        <f t="array" ref="AW528">SUM(MID(0&amp;AV528,LARGE(INDEX(ISNUMBER(--MID(AV528,ROW($1:$8),1))*ROW($1:$8),),ROW($1:$8))+1,1)*10^ROW($1:$8)/10)</f>
        <v>30372158</v>
      </c>
      <c r="AX528" s="471" t="e">
        <f>VLOOKUP($AW528,'Item Master Data'!$A:$F,3,FALSE)</f>
        <v>#N/A</v>
      </c>
      <c r="AY528" s="471" t="e">
        <f>VLOOKUP($AW528,'Item Master Data'!$A:$F,6,FALSE)</f>
        <v>#N/A</v>
      </c>
      <c r="AZ528" s="471" t="e">
        <f t="shared" si="126"/>
        <v>#N/A</v>
      </c>
      <c r="BA528" s="471" t="e">
        <f>VLOOKUP(AW528,'Item Master Data'!$A:$G,7,FALSE)</f>
        <v>#N/A</v>
      </c>
      <c r="BB528" s="471"/>
      <c r="BC528" s="471" t="e">
        <f t="shared" si="127"/>
        <v>#N/A</v>
      </c>
    </row>
    <row r="529" spans="1:55">
      <c r="A529" s="472"/>
      <c r="B529" s="514">
        <v>44580</v>
      </c>
      <c r="C529" s="514">
        <v>44615</v>
      </c>
      <c r="D529" s="485" t="s">
        <v>2322</v>
      </c>
      <c r="E529" s="474" t="s">
        <v>2497</v>
      </c>
      <c r="F529" s="474"/>
      <c r="G529" s="474">
        <v>2022</v>
      </c>
      <c r="H529" s="404">
        <v>4</v>
      </c>
      <c r="I529" s="485" t="s">
        <v>5419</v>
      </c>
      <c r="J529" s="475"/>
      <c r="K529" s="483" t="s">
        <v>2498</v>
      </c>
      <c r="L529" s="474" t="s">
        <v>2324</v>
      </c>
      <c r="M529" s="487">
        <v>44547</v>
      </c>
      <c r="N529" s="487">
        <v>44637</v>
      </c>
      <c r="O529" s="487"/>
      <c r="P529" s="475">
        <v>44665</v>
      </c>
      <c r="Q529" s="475">
        <v>44680</v>
      </c>
      <c r="R529" s="475">
        <v>44680</v>
      </c>
      <c r="S529" s="474" t="s">
        <v>1563</v>
      </c>
      <c r="T529" s="474">
        <v>60</v>
      </c>
      <c r="U529" s="474" t="s">
        <v>2350</v>
      </c>
      <c r="V529" s="474" t="s">
        <v>970</v>
      </c>
      <c r="W529" s="474">
        <v>410</v>
      </c>
      <c r="X529" s="476">
        <v>832</v>
      </c>
      <c r="Y529" s="477">
        <f t="shared" si="118"/>
        <v>341120</v>
      </c>
      <c r="Z529" s="478">
        <f>192.7/410</f>
        <v>0.47</v>
      </c>
      <c r="AA529" s="479">
        <f t="shared" si="119"/>
        <v>160326.39999999999</v>
      </c>
      <c r="AB529" s="480"/>
      <c r="AC529" s="481">
        <f>AB529*Y529</f>
        <v>0</v>
      </c>
      <c r="AD529" s="490"/>
      <c r="AE529" s="482"/>
      <c r="AF529" s="493">
        <f>AA529+AE529</f>
        <v>160326.39999999999</v>
      </c>
      <c r="AG529" s="474" t="s">
        <v>47</v>
      </c>
      <c r="AH529" s="474"/>
      <c r="AI529" s="483" t="s">
        <v>2326</v>
      </c>
      <c r="AJ529" s="474" t="s">
        <v>2327</v>
      </c>
      <c r="AK529" s="494" t="s">
        <v>50</v>
      </c>
      <c r="AL529" s="474">
        <v>91730</v>
      </c>
      <c r="AM529" s="474" t="s">
        <v>52</v>
      </c>
      <c r="AN529" s="474" t="s">
        <v>50</v>
      </c>
      <c r="AO529" s="474"/>
      <c r="AP529" s="486" t="s">
        <v>92</v>
      </c>
      <c r="AQ529" s="486" t="s">
        <v>37</v>
      </c>
      <c r="AR529" s="486"/>
      <c r="AS529" s="495"/>
      <c r="AT529" s="495"/>
      <c r="AU529" s="478"/>
      <c r="AV529" s="471" t="str">
        <f t="shared" si="125"/>
        <v>30372158H</v>
      </c>
      <c r="AW529" s="471" cm="1">
        <f t="array" ref="AW529">SUM(MID(0&amp;AV529,LARGE(INDEX(ISNUMBER(--MID(AV529,ROW($1:$8),1))*ROW($1:$8),),ROW($1:$8))+1,1)*10^ROW($1:$8)/10)</f>
        <v>30372158</v>
      </c>
      <c r="AX529" s="471" t="e">
        <f>VLOOKUP($AW529,'Item Master Data'!$A:$F,3,FALSE)</f>
        <v>#N/A</v>
      </c>
      <c r="AY529" s="471" t="e">
        <f>VLOOKUP($AW529,'Item Master Data'!$A:$F,6,FALSE)</f>
        <v>#N/A</v>
      </c>
      <c r="AZ529" s="471" t="e">
        <f t="shared" si="126"/>
        <v>#N/A</v>
      </c>
      <c r="BA529" s="471" t="e">
        <f>VLOOKUP(AW529,'Item Master Data'!$A:$G,7,FALSE)</f>
        <v>#N/A</v>
      </c>
      <c r="BB529" s="471"/>
      <c r="BC529" s="471" t="e">
        <f t="shared" si="127"/>
        <v>#N/A</v>
      </c>
    </row>
    <row r="530" spans="1:55">
      <c r="A530" s="472"/>
      <c r="B530" s="514">
        <v>44580</v>
      </c>
      <c r="C530" s="514">
        <v>44615</v>
      </c>
      <c r="D530" s="485" t="s">
        <v>2322</v>
      </c>
      <c r="E530" s="474"/>
      <c r="F530" s="474"/>
      <c r="G530" s="474">
        <v>2022</v>
      </c>
      <c r="H530" s="474">
        <v>5</v>
      </c>
      <c r="I530" s="485"/>
      <c r="J530" s="475"/>
      <c r="K530" s="483" t="s">
        <v>2348</v>
      </c>
      <c r="L530" s="474" t="s">
        <v>2324</v>
      </c>
      <c r="M530" s="487">
        <v>44524</v>
      </c>
      <c r="N530" s="487">
        <v>44629</v>
      </c>
      <c r="O530" s="487"/>
      <c r="P530" s="475">
        <v>44628</v>
      </c>
      <c r="Q530" s="475"/>
      <c r="R530" s="475"/>
      <c r="S530" s="474" t="s">
        <v>1563</v>
      </c>
      <c r="T530" s="474">
        <v>60</v>
      </c>
      <c r="U530" s="474" t="s">
        <v>2347</v>
      </c>
      <c r="V530" s="474" t="s">
        <v>631</v>
      </c>
      <c r="W530" s="474">
        <v>350</v>
      </c>
      <c r="X530" s="476">
        <v>1664</v>
      </c>
      <c r="Y530" s="491">
        <f t="shared" si="118"/>
        <v>582400</v>
      </c>
      <c r="Z530" s="478">
        <f>157.5/350</f>
        <v>0.45</v>
      </c>
      <c r="AA530" s="479">
        <f t="shared" si="119"/>
        <v>262080</v>
      </c>
      <c r="AB530" s="480"/>
      <c r="AC530" s="481">
        <f>AB530*Y530</f>
        <v>0</v>
      </c>
      <c r="AD530" s="490"/>
      <c r="AE530" s="482"/>
      <c r="AF530" s="493">
        <f>AA530+AE530</f>
        <v>262080</v>
      </c>
      <c r="AG530" s="474" t="s">
        <v>47</v>
      </c>
      <c r="AH530" s="474"/>
      <c r="AI530" s="483" t="s">
        <v>2326</v>
      </c>
      <c r="AJ530" s="474" t="s">
        <v>2327</v>
      </c>
      <c r="AK530" s="494" t="s">
        <v>50</v>
      </c>
      <c r="AL530" s="474">
        <v>91730</v>
      </c>
      <c r="AM530" s="474" t="s">
        <v>52</v>
      </c>
      <c r="AN530" s="474" t="s">
        <v>50</v>
      </c>
      <c r="AO530" s="474"/>
      <c r="AP530" s="486" t="s">
        <v>92</v>
      </c>
      <c r="AQ530" s="486" t="s">
        <v>37</v>
      </c>
      <c r="AR530" s="486"/>
      <c r="AS530" s="495"/>
      <c r="AT530" s="495"/>
      <c r="AU530" s="478"/>
      <c r="AV530" s="471" t="str">
        <f t="shared" si="125"/>
        <v>30371611H</v>
      </c>
      <c r="AW530" s="471" cm="1">
        <f t="array" ref="AW530">SUM(MID(0&amp;AV530,LARGE(INDEX(ISNUMBER(--MID(AV530,ROW($1:$8),1))*ROW($1:$8),),ROW($1:$8))+1,1)*10^ROW($1:$8)/10)</f>
        <v>30371611</v>
      </c>
      <c r="AX530" s="471" t="str">
        <f>VLOOKUP($AW530,'Item Master Data'!$A:$F,3,FALSE)</f>
        <v>Q.PEAK DUO G6+</v>
      </c>
      <c r="AY530" s="471">
        <f>VLOOKUP($AW530,'Item Master Data'!$A:$F,6,FALSE)</f>
        <v>350</v>
      </c>
      <c r="AZ530" s="471">
        <f t="shared" si="126"/>
        <v>52</v>
      </c>
      <c r="BA530" s="471">
        <f>VLOOKUP(AW530,'Item Master Data'!$A:$G,7,FALSE)</f>
        <v>32</v>
      </c>
      <c r="BB530" s="471"/>
      <c r="BC530" s="471">
        <f t="shared" si="127"/>
        <v>0</v>
      </c>
    </row>
    <row r="531" spans="1:55">
      <c r="A531" s="472"/>
      <c r="B531" s="514">
        <v>44580</v>
      </c>
      <c r="C531" s="514">
        <v>44615</v>
      </c>
      <c r="D531" s="485" t="s">
        <v>2322</v>
      </c>
      <c r="E531" s="474" t="s">
        <v>2485</v>
      </c>
      <c r="F531" s="474"/>
      <c r="G531" s="474">
        <v>2022</v>
      </c>
      <c r="H531" s="474">
        <v>5</v>
      </c>
      <c r="I531" s="485" t="s">
        <v>5418</v>
      </c>
      <c r="J531" s="475"/>
      <c r="K531" s="483" t="s">
        <v>2487</v>
      </c>
      <c r="L531" s="474" t="s">
        <v>2324</v>
      </c>
      <c r="M531" s="487">
        <v>44524</v>
      </c>
      <c r="N531" s="487">
        <v>44600</v>
      </c>
      <c r="O531" s="487"/>
      <c r="P531" s="475">
        <v>44665</v>
      </c>
      <c r="Q531" s="475"/>
      <c r="R531" s="475"/>
      <c r="S531" s="474" t="s">
        <v>1563</v>
      </c>
      <c r="T531" s="474">
        <v>60</v>
      </c>
      <c r="U531" s="474" t="s">
        <v>2330</v>
      </c>
      <c r="V531" s="474" t="s">
        <v>691</v>
      </c>
      <c r="W531" s="474">
        <v>340</v>
      </c>
      <c r="X531" s="476">
        <v>1664</v>
      </c>
      <c r="Y531" s="477">
        <f t="shared" si="118"/>
        <v>565760</v>
      </c>
      <c r="Z531" s="478">
        <v>0.45</v>
      </c>
      <c r="AA531" s="479">
        <f t="shared" si="119"/>
        <v>254592</v>
      </c>
      <c r="AB531" s="480"/>
      <c r="AC531" s="481">
        <v>0</v>
      </c>
      <c r="AD531" s="490"/>
      <c r="AE531" s="482"/>
      <c r="AF531" s="493">
        <v>763776</v>
      </c>
      <c r="AG531" s="474" t="s">
        <v>47</v>
      </c>
      <c r="AH531" s="474"/>
      <c r="AI531" s="483" t="s">
        <v>2326</v>
      </c>
      <c r="AJ531" s="474" t="s">
        <v>1580</v>
      </c>
      <c r="AK531" s="494" t="s">
        <v>1073</v>
      </c>
      <c r="AL531" s="474">
        <v>21075</v>
      </c>
      <c r="AM531" s="474" t="s">
        <v>52</v>
      </c>
      <c r="AN531" s="474" t="s">
        <v>50</v>
      </c>
      <c r="AO531" s="474"/>
      <c r="AP531" s="486" t="s">
        <v>92</v>
      </c>
      <c r="AQ531" s="486" t="s">
        <v>37</v>
      </c>
      <c r="AR531" s="486"/>
      <c r="AS531" s="495"/>
      <c r="AT531" s="495"/>
      <c r="AU531" s="478"/>
      <c r="AV531" s="471" t="str">
        <f t="shared" si="125"/>
        <v>30376909H</v>
      </c>
      <c r="AW531" s="471" cm="1">
        <f t="array" ref="AW531">SUM(MID(0&amp;AV531,LARGE(INDEX(ISNUMBER(--MID(AV531,ROW($1:$8),1))*ROW($1:$8),),ROW($1:$8))+1,1)*10^ROW($1:$8)/10)</f>
        <v>30376909</v>
      </c>
      <c r="AX531" s="471" t="str">
        <f>VLOOKUP($AW531,'Item Master Data'!$A:$F,3,FALSE)</f>
        <v>Q.PEAK DUO BLK G6+</v>
      </c>
      <c r="AY531" s="471">
        <f>VLOOKUP($AW531,'Item Master Data'!$A:$F,6,FALSE)</f>
        <v>340</v>
      </c>
      <c r="AZ531" s="471">
        <f t="shared" si="126"/>
        <v>52</v>
      </c>
      <c r="BA531" s="471">
        <f>VLOOKUP(AW531,'Item Master Data'!$A:$G,7,FALSE)</f>
        <v>32</v>
      </c>
      <c r="BB531" s="471"/>
      <c r="BC531" s="471">
        <f t="shared" si="127"/>
        <v>0</v>
      </c>
    </row>
    <row r="532" spans="1:55">
      <c r="A532" s="472"/>
      <c r="B532" s="514">
        <v>44580</v>
      </c>
      <c r="C532" s="514">
        <v>44615</v>
      </c>
      <c r="D532" s="485" t="s">
        <v>2322</v>
      </c>
      <c r="E532" s="474" t="s">
        <v>2485</v>
      </c>
      <c r="F532" s="474"/>
      <c r="G532" s="474">
        <v>2022</v>
      </c>
      <c r="H532" s="474">
        <v>5</v>
      </c>
      <c r="I532" s="485"/>
      <c r="J532" s="475"/>
      <c r="K532" s="483" t="s">
        <v>2488</v>
      </c>
      <c r="L532" s="474" t="s">
        <v>2324</v>
      </c>
      <c r="M532" s="487">
        <v>44524</v>
      </c>
      <c r="N532" s="487">
        <v>44602</v>
      </c>
      <c r="O532" s="487"/>
      <c r="P532" s="475">
        <v>44665</v>
      </c>
      <c r="Q532" s="475"/>
      <c r="R532" s="475"/>
      <c r="S532" s="474" t="s">
        <v>1563</v>
      </c>
      <c r="T532" s="474">
        <v>60</v>
      </c>
      <c r="U532" s="474" t="s">
        <v>2330</v>
      </c>
      <c r="V532" s="474" t="s">
        <v>691</v>
      </c>
      <c r="W532" s="474">
        <v>340</v>
      </c>
      <c r="X532" s="476">
        <v>4992</v>
      </c>
      <c r="Y532" s="477">
        <f t="shared" si="118"/>
        <v>1697280</v>
      </c>
      <c r="Z532" s="478">
        <v>0.45</v>
      </c>
      <c r="AA532" s="479">
        <f t="shared" si="119"/>
        <v>763776</v>
      </c>
      <c r="AB532" s="480"/>
      <c r="AC532" s="481">
        <v>0</v>
      </c>
      <c r="AD532" s="490"/>
      <c r="AE532" s="482"/>
      <c r="AF532" s="493">
        <v>763776</v>
      </c>
      <c r="AG532" s="474" t="s">
        <v>47</v>
      </c>
      <c r="AH532" s="474"/>
      <c r="AI532" s="483" t="s">
        <v>2326</v>
      </c>
      <c r="AJ532" s="474" t="s">
        <v>1580</v>
      </c>
      <c r="AK532" s="494" t="s">
        <v>1073</v>
      </c>
      <c r="AL532" s="474">
        <v>21075</v>
      </c>
      <c r="AM532" s="474" t="s">
        <v>52</v>
      </c>
      <c r="AN532" s="474" t="s">
        <v>50</v>
      </c>
      <c r="AO532" s="474"/>
      <c r="AP532" s="486" t="s">
        <v>92</v>
      </c>
      <c r="AQ532" s="486" t="s">
        <v>37</v>
      </c>
      <c r="AR532" s="486"/>
      <c r="AS532" s="495"/>
      <c r="AT532" s="495"/>
      <c r="AU532" s="478"/>
      <c r="AV532" s="471" t="str">
        <f t="shared" si="125"/>
        <v>30376909H</v>
      </c>
      <c r="AW532" s="471" cm="1">
        <f t="array" ref="AW532">SUM(MID(0&amp;AV532,LARGE(INDEX(ISNUMBER(--MID(AV532,ROW($1:$8),1))*ROW($1:$8),),ROW($1:$8))+1,1)*10^ROW($1:$8)/10)</f>
        <v>30376909</v>
      </c>
      <c r="AX532" s="471" t="str">
        <f>VLOOKUP($AW532,'Item Master Data'!$A:$F,3,FALSE)</f>
        <v>Q.PEAK DUO BLK G6+</v>
      </c>
      <c r="AY532" s="471">
        <f>VLOOKUP($AW532,'Item Master Data'!$A:$F,6,FALSE)</f>
        <v>340</v>
      </c>
      <c r="AZ532" s="471">
        <f t="shared" si="126"/>
        <v>156</v>
      </c>
      <c r="BA532" s="471">
        <f>VLOOKUP(AW532,'Item Master Data'!$A:$G,7,FALSE)</f>
        <v>32</v>
      </c>
      <c r="BB532" s="471"/>
      <c r="BC532" s="471">
        <f t="shared" si="127"/>
        <v>0</v>
      </c>
    </row>
    <row r="533" spans="1:55">
      <c r="A533" s="472"/>
      <c r="B533" s="514">
        <v>44580</v>
      </c>
      <c r="C533" s="514">
        <v>44615</v>
      </c>
      <c r="D533" s="485" t="s">
        <v>2322</v>
      </c>
      <c r="E533" s="474"/>
      <c r="F533" s="474"/>
      <c r="G533" s="474">
        <v>2022</v>
      </c>
      <c r="H533" s="474">
        <v>5</v>
      </c>
      <c r="I533" s="485" t="s">
        <v>5419</v>
      </c>
      <c r="J533" s="475"/>
      <c r="K533" s="483" t="s">
        <v>2491</v>
      </c>
      <c r="L533" s="474" t="s">
        <v>2324</v>
      </c>
      <c r="M533" s="487">
        <v>44524</v>
      </c>
      <c r="N533" s="487">
        <v>44599</v>
      </c>
      <c r="O533" s="487"/>
      <c r="P533" s="475">
        <v>44665</v>
      </c>
      <c r="Q533" s="475">
        <v>44680</v>
      </c>
      <c r="R533" s="475">
        <v>44680</v>
      </c>
      <c r="S533" s="474" t="s">
        <v>1563</v>
      </c>
      <c r="T533" s="474">
        <v>60</v>
      </c>
      <c r="U533" s="474" t="s">
        <v>1873</v>
      </c>
      <c r="V533" s="474" t="s">
        <v>691</v>
      </c>
      <c r="W533" s="474">
        <v>340</v>
      </c>
      <c r="X533" s="476">
        <v>832</v>
      </c>
      <c r="Y533" s="477">
        <f t="shared" si="118"/>
        <v>282880</v>
      </c>
      <c r="Z533" s="478">
        <v>0.45</v>
      </c>
      <c r="AA533" s="479">
        <f t="shared" si="119"/>
        <v>127296</v>
      </c>
      <c r="AB533" s="480"/>
      <c r="AC533" s="481">
        <v>0</v>
      </c>
      <c r="AD533" s="490"/>
      <c r="AE533" s="482"/>
      <c r="AF533" s="493">
        <v>763776</v>
      </c>
      <c r="AG533" s="474" t="s">
        <v>47</v>
      </c>
      <c r="AH533" s="474"/>
      <c r="AI533" s="483" t="s">
        <v>2326</v>
      </c>
      <c r="AJ533" s="474" t="s">
        <v>2327</v>
      </c>
      <c r="AK533" s="494" t="s">
        <v>50</v>
      </c>
      <c r="AL533" s="474">
        <v>91730</v>
      </c>
      <c r="AM533" s="474" t="s">
        <v>52</v>
      </c>
      <c r="AN533" s="474" t="s">
        <v>50</v>
      </c>
      <c r="AO533" s="474"/>
      <c r="AP533" s="486" t="s">
        <v>92</v>
      </c>
      <c r="AQ533" s="486" t="s">
        <v>37</v>
      </c>
      <c r="AR533" s="486"/>
      <c r="AS533" s="495"/>
      <c r="AT533" s="495"/>
      <c r="AU533" s="478"/>
      <c r="AV533" s="471" t="str">
        <f t="shared" si="125"/>
        <v>30376609H</v>
      </c>
      <c r="AW533" s="471" cm="1">
        <f t="array" ref="AW533">SUM(MID(0&amp;AV533,LARGE(INDEX(ISNUMBER(--MID(AV533,ROW($1:$8),1))*ROW($1:$8),),ROW($1:$8))+1,1)*10^ROW($1:$8)/10)</f>
        <v>30376609</v>
      </c>
      <c r="AX533" s="471" t="str">
        <f>VLOOKUP($AW533,'Item Master Data'!$A:$F,3,FALSE)</f>
        <v>Q.PEAK DUO BLK G6+</v>
      </c>
      <c r="AY533" s="471">
        <f>VLOOKUP($AW533,'Item Master Data'!$A:$F,6,FALSE)</f>
        <v>340</v>
      </c>
      <c r="AZ533" s="471">
        <f t="shared" si="126"/>
        <v>26</v>
      </c>
      <c r="BA533" s="471">
        <f>VLOOKUP(AW533,'Item Master Data'!$A:$G,7,FALSE)</f>
        <v>32</v>
      </c>
      <c r="BB533" s="471"/>
      <c r="BC533" s="471">
        <f t="shared" si="127"/>
        <v>0</v>
      </c>
    </row>
    <row r="534" spans="1:55">
      <c r="A534" s="472"/>
      <c r="B534" s="514">
        <v>44580</v>
      </c>
      <c r="C534" s="514">
        <v>44615</v>
      </c>
      <c r="D534" s="485" t="s">
        <v>2322</v>
      </c>
      <c r="E534" s="474"/>
      <c r="F534" s="474"/>
      <c r="G534" s="474">
        <v>2022</v>
      </c>
      <c r="H534" s="474">
        <v>5</v>
      </c>
      <c r="I534" s="485" t="s">
        <v>5419</v>
      </c>
      <c r="J534" s="475"/>
      <c r="K534" s="483" t="s">
        <v>2494</v>
      </c>
      <c r="L534" s="474" t="s">
        <v>2324</v>
      </c>
      <c r="M534" s="487">
        <v>44524</v>
      </c>
      <c r="N534" s="487">
        <v>44634</v>
      </c>
      <c r="O534" s="487"/>
      <c r="P534" s="475">
        <v>44665</v>
      </c>
      <c r="Q534" s="475">
        <v>44678</v>
      </c>
      <c r="R534" s="475">
        <v>44678</v>
      </c>
      <c r="S534" s="474" t="s">
        <v>1563</v>
      </c>
      <c r="T534" s="474">
        <v>60</v>
      </c>
      <c r="U534" s="474" t="s">
        <v>1281</v>
      </c>
      <c r="V534" s="474" t="s">
        <v>2495</v>
      </c>
      <c r="W534" s="474">
        <v>400</v>
      </c>
      <c r="X534" s="476">
        <v>832</v>
      </c>
      <c r="Y534" s="491">
        <f t="shared" si="118"/>
        <v>332800</v>
      </c>
      <c r="Z534" s="478">
        <v>0.47</v>
      </c>
      <c r="AA534" s="492">
        <f t="shared" si="119"/>
        <v>156416</v>
      </c>
      <c r="AB534" s="480"/>
      <c r="AC534" s="481">
        <v>0</v>
      </c>
      <c r="AD534" s="490"/>
      <c r="AE534" s="482"/>
      <c r="AF534" s="493">
        <v>1251328</v>
      </c>
      <c r="AG534" s="474" t="s">
        <v>47</v>
      </c>
      <c r="AH534" s="474"/>
      <c r="AI534" s="483" t="s">
        <v>2326</v>
      </c>
      <c r="AJ534" s="474" t="s">
        <v>2327</v>
      </c>
      <c r="AK534" s="494" t="s">
        <v>50</v>
      </c>
      <c r="AL534" s="474">
        <v>91730</v>
      </c>
      <c r="AM534" s="474" t="s">
        <v>52</v>
      </c>
      <c r="AN534" s="474" t="s">
        <v>50</v>
      </c>
      <c r="AO534" s="474"/>
      <c r="AP534" s="486" t="s">
        <v>38</v>
      </c>
      <c r="AQ534" s="486" t="s">
        <v>37</v>
      </c>
      <c r="AR534" s="486"/>
      <c r="AS534" s="495"/>
      <c r="AT534" s="495"/>
      <c r="AU534" s="478"/>
      <c r="AV534" s="471" t="str">
        <f t="shared" si="125"/>
        <v>30390456H</v>
      </c>
      <c r="AW534" s="471" cm="1">
        <f t="array" ref="AW534">SUM(MID(0&amp;AV534,LARGE(INDEX(ISNUMBER(--MID(AV534,ROW($1:$8),1))*ROW($1:$8),),ROW($1:$8))+1,1)*10^ROW($1:$8)/10)</f>
        <v>30390456</v>
      </c>
      <c r="AX534" s="471" t="str">
        <f>VLOOKUP($AW534,'Item Master Data'!$A:$F,3,FALSE)</f>
        <v>Q.PEAK DUO BLK ML G10+</v>
      </c>
      <c r="AY534" s="471">
        <f>VLOOKUP($AW534,'Item Master Data'!$A:$F,6,FALSE)</f>
        <v>400</v>
      </c>
      <c r="AZ534" s="471">
        <f t="shared" si="126"/>
        <v>26</v>
      </c>
      <c r="BA534" s="471">
        <f>VLOOKUP(AW534,'Item Master Data'!$A:$G,7,FALSE)</f>
        <v>32</v>
      </c>
      <c r="BB534" s="471"/>
      <c r="BC534" s="471">
        <f t="shared" si="127"/>
        <v>0</v>
      </c>
    </row>
    <row r="535" spans="1:55">
      <c r="A535" s="472"/>
      <c r="B535" s="514">
        <v>44580</v>
      </c>
      <c r="C535" s="514">
        <v>44615</v>
      </c>
      <c r="D535" s="485" t="s">
        <v>2322</v>
      </c>
      <c r="E535" s="474"/>
      <c r="F535" s="474"/>
      <c r="G535" s="474">
        <v>2022</v>
      </c>
      <c r="H535" s="474">
        <v>6</v>
      </c>
      <c r="I535" s="485"/>
      <c r="J535" s="475"/>
      <c r="K535" s="483" t="s">
        <v>2590</v>
      </c>
      <c r="L535" s="474" t="s">
        <v>2324</v>
      </c>
      <c r="M535" s="487">
        <v>44524</v>
      </c>
      <c r="N535" s="487">
        <v>44636</v>
      </c>
      <c r="O535" s="487"/>
      <c r="P535" s="475" t="s">
        <v>5733</v>
      </c>
      <c r="Q535" s="475"/>
      <c r="R535" s="475"/>
      <c r="S535" s="474" t="s">
        <v>1563</v>
      </c>
      <c r="T535" s="474">
        <v>60</v>
      </c>
      <c r="U535" s="474" t="s">
        <v>1281</v>
      </c>
      <c r="V535" s="474" t="s">
        <v>2495</v>
      </c>
      <c r="W535" s="474">
        <v>400</v>
      </c>
      <c r="X535" s="476">
        <v>6656</v>
      </c>
      <c r="Y535" s="477">
        <f t="shared" si="118"/>
        <v>2662400</v>
      </c>
      <c r="Z535" s="478">
        <v>0.47</v>
      </c>
      <c r="AA535" s="479">
        <f t="shared" si="119"/>
        <v>1251328</v>
      </c>
      <c r="AB535" s="480"/>
      <c r="AC535" s="481">
        <v>0</v>
      </c>
      <c r="AD535" s="490"/>
      <c r="AE535" s="482"/>
      <c r="AF535" s="493">
        <v>1251328</v>
      </c>
      <c r="AG535" s="474" t="s">
        <v>47</v>
      </c>
      <c r="AH535" s="474"/>
      <c r="AI535" s="483" t="s">
        <v>2326</v>
      </c>
      <c r="AJ535" s="474" t="s">
        <v>2327</v>
      </c>
      <c r="AK535" s="494" t="s">
        <v>50</v>
      </c>
      <c r="AL535" s="474">
        <v>91730</v>
      </c>
      <c r="AM535" s="474" t="s">
        <v>52</v>
      </c>
      <c r="AN535" s="474" t="s">
        <v>50</v>
      </c>
      <c r="AO535" s="474"/>
      <c r="AP535" s="486" t="s">
        <v>92</v>
      </c>
      <c r="AQ535" s="486" t="s">
        <v>37</v>
      </c>
      <c r="AR535" s="486"/>
      <c r="AS535" s="495"/>
      <c r="AT535" s="495"/>
      <c r="AU535" s="478"/>
      <c r="AV535" s="471" t="str">
        <f t="shared" si="125"/>
        <v>30390456H</v>
      </c>
      <c r="AW535" s="471" cm="1">
        <f t="array" ref="AW535">SUM(MID(0&amp;AV535,LARGE(INDEX(ISNUMBER(--MID(AV535,ROW($1:$8),1))*ROW($1:$8),),ROW($1:$8))+1,1)*10^ROW($1:$8)/10)</f>
        <v>30390456</v>
      </c>
      <c r="AX535" s="471" t="str">
        <f>VLOOKUP($AW535,'Item Master Data'!$A:$F,3,FALSE)</f>
        <v>Q.PEAK DUO BLK ML G10+</v>
      </c>
      <c r="AY535" s="471">
        <f>VLOOKUP($AW535,'Item Master Data'!$A:$F,6,FALSE)</f>
        <v>400</v>
      </c>
      <c r="AZ535" s="471">
        <f t="shared" si="126"/>
        <v>208</v>
      </c>
      <c r="BA535" s="471">
        <f>VLOOKUP(AW535,'Item Master Data'!$A:$G,7,FALSE)</f>
        <v>32</v>
      </c>
      <c r="BB535" s="471"/>
      <c r="BC535" s="471">
        <f t="shared" si="127"/>
        <v>0</v>
      </c>
    </row>
    <row r="536" spans="1:55">
      <c r="A536" s="472"/>
      <c r="B536" s="514">
        <v>44580</v>
      </c>
      <c r="C536" s="514">
        <v>44615</v>
      </c>
      <c r="D536" s="485" t="s">
        <v>2322</v>
      </c>
      <c r="E536" s="474"/>
      <c r="F536" s="474"/>
      <c r="G536" s="474">
        <v>2022</v>
      </c>
      <c r="H536" s="474">
        <v>6</v>
      </c>
      <c r="I536" s="485"/>
      <c r="J536" s="475"/>
      <c r="K536" s="483" t="s">
        <v>2591</v>
      </c>
      <c r="L536" s="474" t="s">
        <v>2324</v>
      </c>
      <c r="M536" s="487">
        <v>44540</v>
      </c>
      <c r="N536" s="487">
        <v>44662</v>
      </c>
      <c r="O536" s="487"/>
      <c r="P536" s="475" t="s">
        <v>5733</v>
      </c>
      <c r="Q536" s="475"/>
      <c r="R536" s="475"/>
      <c r="S536" s="474" t="s">
        <v>1563</v>
      </c>
      <c r="T536" s="474">
        <v>60</v>
      </c>
      <c r="U536" s="474" t="s">
        <v>1281</v>
      </c>
      <c r="V536" s="474" t="s">
        <v>973</v>
      </c>
      <c r="W536" s="474">
        <v>400</v>
      </c>
      <c r="X536" s="476">
        <v>6656</v>
      </c>
      <c r="Y536" s="477">
        <f t="shared" si="118"/>
        <v>2662400</v>
      </c>
      <c r="Z536" s="478">
        <v>0.47</v>
      </c>
      <c r="AA536" s="479">
        <f t="shared" si="119"/>
        <v>1251328</v>
      </c>
      <c r="AB536" s="480"/>
      <c r="AC536" s="481">
        <v>0</v>
      </c>
      <c r="AD536" s="490"/>
      <c r="AE536" s="482"/>
      <c r="AF536" s="493">
        <v>1251328</v>
      </c>
      <c r="AG536" s="474" t="s">
        <v>47</v>
      </c>
      <c r="AH536" s="474"/>
      <c r="AI536" s="483" t="s">
        <v>2326</v>
      </c>
      <c r="AJ536" s="474" t="s">
        <v>2327</v>
      </c>
      <c r="AK536" s="494" t="s">
        <v>50</v>
      </c>
      <c r="AL536" s="474">
        <v>91730</v>
      </c>
      <c r="AM536" s="474" t="s">
        <v>52</v>
      </c>
      <c r="AN536" s="474" t="s">
        <v>50</v>
      </c>
      <c r="AO536" s="474"/>
      <c r="AP536" s="486" t="s">
        <v>92</v>
      </c>
      <c r="AQ536" s="486" t="s">
        <v>37</v>
      </c>
      <c r="AR536" s="486"/>
      <c r="AS536" s="495"/>
      <c r="AT536" s="495"/>
      <c r="AU536" s="478"/>
      <c r="AV536" s="471" t="str">
        <f t="shared" si="125"/>
        <v>30390456H</v>
      </c>
      <c r="AW536" s="471" cm="1">
        <f t="array" ref="AW536">SUM(MID(0&amp;AV536,LARGE(INDEX(ISNUMBER(--MID(AV536,ROW($1:$8),1))*ROW($1:$8),),ROW($1:$8))+1,1)*10^ROW($1:$8)/10)</f>
        <v>30390456</v>
      </c>
      <c r="AX536" s="471" t="str">
        <f>VLOOKUP($AW536,'Item Master Data'!$A:$F,3,FALSE)</f>
        <v>Q.PEAK DUO BLK ML G10+</v>
      </c>
      <c r="AY536" s="471">
        <f>VLOOKUP($AW536,'Item Master Data'!$A:$F,6,FALSE)</f>
        <v>400</v>
      </c>
      <c r="AZ536" s="471">
        <f t="shared" si="126"/>
        <v>208</v>
      </c>
      <c r="BA536" s="471">
        <f>VLOOKUP(AW536,'Item Master Data'!$A:$G,7,FALSE)</f>
        <v>32</v>
      </c>
      <c r="BB536" s="471"/>
      <c r="BC536" s="471">
        <f t="shared" si="127"/>
        <v>0</v>
      </c>
    </row>
    <row r="537" spans="1:55">
      <c r="A537" s="472"/>
      <c r="B537" s="514">
        <v>44580</v>
      </c>
      <c r="C537" s="514">
        <v>44615</v>
      </c>
      <c r="D537" s="485" t="s">
        <v>2322</v>
      </c>
      <c r="E537" s="474"/>
      <c r="F537" s="474"/>
      <c r="G537" s="474">
        <v>2022</v>
      </c>
      <c r="H537" s="474">
        <v>6</v>
      </c>
      <c r="I537" s="485"/>
      <c r="J537" s="475"/>
      <c r="K537" s="483" t="s">
        <v>2592</v>
      </c>
      <c r="L537" s="474" t="s">
        <v>2324</v>
      </c>
      <c r="M537" s="487">
        <v>44540</v>
      </c>
      <c r="N537" s="487">
        <v>44664</v>
      </c>
      <c r="O537" s="487"/>
      <c r="P537" s="475" t="s">
        <v>5733</v>
      </c>
      <c r="Q537" s="475"/>
      <c r="R537" s="475"/>
      <c r="S537" s="474" t="s">
        <v>1563</v>
      </c>
      <c r="T537" s="474">
        <v>60</v>
      </c>
      <c r="U537" s="474" t="s">
        <v>1281</v>
      </c>
      <c r="V537" s="474" t="s">
        <v>973</v>
      </c>
      <c r="W537" s="474">
        <v>400</v>
      </c>
      <c r="X537" s="476">
        <v>6656</v>
      </c>
      <c r="Y537" s="477">
        <f t="shared" si="118"/>
        <v>2662400</v>
      </c>
      <c r="Z537" s="478">
        <v>0.47</v>
      </c>
      <c r="AA537" s="479">
        <f t="shared" si="119"/>
        <v>1251328</v>
      </c>
      <c r="AB537" s="480"/>
      <c r="AC537" s="481">
        <v>0</v>
      </c>
      <c r="AD537" s="490"/>
      <c r="AE537" s="482"/>
      <c r="AF537" s="493">
        <v>1251328</v>
      </c>
      <c r="AG537" s="474" t="s">
        <v>47</v>
      </c>
      <c r="AH537" s="474"/>
      <c r="AI537" s="483" t="s">
        <v>2326</v>
      </c>
      <c r="AJ537" s="474" t="s">
        <v>2327</v>
      </c>
      <c r="AK537" s="494" t="s">
        <v>50</v>
      </c>
      <c r="AL537" s="474">
        <v>91730</v>
      </c>
      <c r="AM537" s="474" t="s">
        <v>52</v>
      </c>
      <c r="AN537" s="474" t="s">
        <v>50</v>
      </c>
      <c r="AO537" s="474"/>
      <c r="AP537" s="486" t="s">
        <v>92</v>
      </c>
      <c r="AQ537" s="486" t="s">
        <v>37</v>
      </c>
      <c r="AR537" s="486"/>
      <c r="AS537" s="495"/>
      <c r="AT537" s="495"/>
      <c r="AU537" s="478"/>
      <c r="AV537" s="471" t="str">
        <f t="shared" si="125"/>
        <v>30390456H</v>
      </c>
      <c r="AW537" s="471" cm="1">
        <f t="array" ref="AW537">SUM(MID(0&amp;AV537,LARGE(INDEX(ISNUMBER(--MID(AV537,ROW($1:$8),1))*ROW($1:$8),),ROW($1:$8))+1,1)*10^ROW($1:$8)/10)</f>
        <v>30390456</v>
      </c>
      <c r="AX537" s="471" t="str">
        <f>VLOOKUP($AW537,'Item Master Data'!$A:$F,3,FALSE)</f>
        <v>Q.PEAK DUO BLK ML G10+</v>
      </c>
      <c r="AY537" s="471">
        <f>VLOOKUP($AW537,'Item Master Data'!$A:$F,6,FALSE)</f>
        <v>400</v>
      </c>
      <c r="AZ537" s="471">
        <f t="shared" si="126"/>
        <v>208</v>
      </c>
      <c r="BA537" s="471">
        <f>VLOOKUP(AW537,'Item Master Data'!$A:$G,7,FALSE)</f>
        <v>32</v>
      </c>
      <c r="BB537" s="471"/>
      <c r="BC537" s="471">
        <f t="shared" si="127"/>
        <v>0</v>
      </c>
    </row>
    <row r="538" spans="1:55">
      <c r="A538" s="472"/>
      <c r="B538" s="514">
        <v>44580</v>
      </c>
      <c r="C538" s="514">
        <v>44615</v>
      </c>
      <c r="D538" s="485" t="s">
        <v>2322</v>
      </c>
      <c r="E538" s="474"/>
      <c r="F538" s="474"/>
      <c r="G538" s="474">
        <v>2022</v>
      </c>
      <c r="H538" s="404">
        <v>5</v>
      </c>
      <c r="I538" s="485" t="s">
        <v>5419</v>
      </c>
      <c r="J538" s="475"/>
      <c r="K538" s="483" t="s">
        <v>2498</v>
      </c>
      <c r="L538" s="474" t="s">
        <v>2324</v>
      </c>
      <c r="M538" s="487">
        <v>44547</v>
      </c>
      <c r="N538" s="487">
        <v>44637</v>
      </c>
      <c r="O538" s="487"/>
      <c r="P538" s="475">
        <v>44665</v>
      </c>
      <c r="Q538" s="475"/>
      <c r="R538" s="475"/>
      <c r="S538" s="474" t="s">
        <v>1563</v>
      </c>
      <c r="T538" s="474">
        <v>60</v>
      </c>
      <c r="U538" s="474" t="s">
        <v>2350</v>
      </c>
      <c r="V538" s="474" t="s">
        <v>967</v>
      </c>
      <c r="W538" s="474">
        <v>410</v>
      </c>
      <c r="X538" s="476">
        <v>2496</v>
      </c>
      <c r="Y538" s="491">
        <f t="shared" si="118"/>
        <v>1023360</v>
      </c>
      <c r="Z538" s="478">
        <f>192.7/410</f>
        <v>0.47</v>
      </c>
      <c r="AA538" s="479">
        <f t="shared" si="119"/>
        <v>480979.19999999995</v>
      </c>
      <c r="AB538" s="480"/>
      <c r="AC538" s="481">
        <f>AB538*Y538</f>
        <v>0</v>
      </c>
      <c r="AD538" s="490"/>
      <c r="AE538" s="482"/>
      <c r="AF538" s="493">
        <f>AA538+AE538</f>
        <v>480979.19999999995</v>
      </c>
      <c r="AG538" s="474" t="s">
        <v>47</v>
      </c>
      <c r="AH538" s="474"/>
      <c r="AI538" s="483" t="s">
        <v>2326</v>
      </c>
      <c r="AJ538" s="474" t="s">
        <v>2327</v>
      </c>
      <c r="AK538" s="494" t="s">
        <v>50</v>
      </c>
      <c r="AL538" s="474">
        <v>91730</v>
      </c>
      <c r="AM538" s="474" t="s">
        <v>52</v>
      </c>
      <c r="AN538" s="474" t="s">
        <v>50</v>
      </c>
      <c r="AO538" s="474"/>
      <c r="AP538" s="486" t="s">
        <v>92</v>
      </c>
      <c r="AQ538" s="486" t="s">
        <v>37</v>
      </c>
      <c r="AR538" s="486"/>
      <c r="AS538" s="495"/>
      <c r="AT538" s="495"/>
      <c r="AU538" s="478"/>
      <c r="AV538" s="471" t="str">
        <f t="shared" si="125"/>
        <v>30372158H</v>
      </c>
      <c r="AW538" s="471" cm="1">
        <f t="array" ref="AW538">SUM(MID(0&amp;AV538,LARGE(INDEX(ISNUMBER(--MID(AV538,ROW($1:$8),1))*ROW($1:$8),),ROW($1:$8))+1,1)*10^ROW($1:$8)/10)</f>
        <v>30372158</v>
      </c>
      <c r="AX538" s="471" t="e">
        <f>VLOOKUP($AW538,'Item Master Data'!$A:$F,3,FALSE)</f>
        <v>#N/A</v>
      </c>
      <c r="AY538" s="471" t="e">
        <f>VLOOKUP($AW538,'Item Master Data'!$A:$F,6,FALSE)</f>
        <v>#N/A</v>
      </c>
      <c r="AZ538" s="471" t="e">
        <f t="shared" si="126"/>
        <v>#N/A</v>
      </c>
      <c r="BA538" s="471" t="e">
        <f>VLOOKUP(AW538,'Item Master Data'!$A:$G,7,FALSE)</f>
        <v>#N/A</v>
      </c>
      <c r="BB538" s="471"/>
      <c r="BC538" s="471" t="e">
        <f t="shared" si="127"/>
        <v>#N/A</v>
      </c>
    </row>
    <row r="539" spans="1:55">
      <c r="A539" s="472"/>
      <c r="B539" s="514">
        <v>44580</v>
      </c>
      <c r="C539" s="514">
        <v>44615</v>
      </c>
      <c r="D539" s="485" t="s">
        <v>2322</v>
      </c>
      <c r="E539" s="474" t="s">
        <v>5734</v>
      </c>
      <c r="F539" s="474"/>
      <c r="G539" s="474">
        <v>2022</v>
      </c>
      <c r="H539" s="474">
        <v>5</v>
      </c>
      <c r="I539" s="485"/>
      <c r="J539" s="475"/>
      <c r="K539" s="483" t="s">
        <v>2596</v>
      </c>
      <c r="L539" s="474" t="s">
        <v>2324</v>
      </c>
      <c r="M539" s="487">
        <v>44540</v>
      </c>
      <c r="N539" s="487">
        <v>44666</v>
      </c>
      <c r="O539" s="487"/>
      <c r="P539" s="502">
        <v>44680</v>
      </c>
      <c r="Q539" s="475"/>
      <c r="R539" s="475"/>
      <c r="S539" s="474" t="s">
        <v>1563</v>
      </c>
      <c r="T539" s="474">
        <v>60</v>
      </c>
      <c r="U539" s="474" t="s">
        <v>5735</v>
      </c>
      <c r="V539" s="474" t="s">
        <v>967</v>
      </c>
      <c r="W539" s="474">
        <v>410</v>
      </c>
      <c r="X539" s="476">
        <v>4992</v>
      </c>
      <c r="Y539" s="477">
        <f t="shared" si="118"/>
        <v>2046720</v>
      </c>
      <c r="Z539" s="478">
        <f>192.7/410</f>
        <v>0.47</v>
      </c>
      <c r="AA539" s="479">
        <f t="shared" si="119"/>
        <v>961958.39999999991</v>
      </c>
      <c r="AB539" s="480"/>
      <c r="AC539" s="481">
        <f>AB539*Y539</f>
        <v>0</v>
      </c>
      <c r="AD539" s="490"/>
      <c r="AE539" s="482"/>
      <c r="AF539" s="493">
        <f>AA539+AE539</f>
        <v>961958.39999999991</v>
      </c>
      <c r="AG539" s="474" t="s">
        <v>47</v>
      </c>
      <c r="AH539" s="474"/>
      <c r="AI539" s="483" t="s">
        <v>2326</v>
      </c>
      <c r="AJ539" s="474" t="s">
        <v>2327</v>
      </c>
      <c r="AK539" s="494" t="s">
        <v>50</v>
      </c>
      <c r="AL539" s="474">
        <v>91730</v>
      </c>
      <c r="AM539" s="474" t="s">
        <v>52</v>
      </c>
      <c r="AN539" s="474" t="s">
        <v>50</v>
      </c>
      <c r="AO539" s="474"/>
      <c r="AP539" s="486" t="s">
        <v>92</v>
      </c>
      <c r="AQ539" s="486" t="s">
        <v>37</v>
      </c>
      <c r="AR539" s="486"/>
      <c r="AS539" s="495"/>
      <c r="AT539" s="495"/>
      <c r="AU539" s="478"/>
      <c r="AV539" s="471" t="str">
        <f t="shared" si="125"/>
        <v>30385558H</v>
      </c>
      <c r="AW539" s="471" cm="1">
        <f t="array" ref="AW539">SUM(MID(0&amp;AV539,LARGE(INDEX(ISNUMBER(--MID(AV539,ROW($1:$8),1))*ROW($1:$8),),ROW($1:$8))+1,1)*10^ROW($1:$8)/10)</f>
        <v>30385558</v>
      </c>
      <c r="AX539" s="471" t="str">
        <f>VLOOKUP($AW539,'Item Master Data'!$A:$F,3,FALSE)</f>
        <v>Q.PEAK DUO ML G10+</v>
      </c>
      <c r="AY539" s="471">
        <f>VLOOKUP($AW539,'Item Master Data'!$A:$F,6,FALSE)</f>
        <v>410</v>
      </c>
      <c r="AZ539" s="471">
        <f t="shared" si="126"/>
        <v>156</v>
      </c>
      <c r="BA539" s="471">
        <f>VLOOKUP(AW539,'Item Master Data'!$A:$G,7,FALSE)</f>
        <v>32</v>
      </c>
      <c r="BB539" s="471"/>
      <c r="BC539" s="471">
        <f t="shared" si="127"/>
        <v>0</v>
      </c>
    </row>
    <row r="540" spans="1:55">
      <c r="A540" s="472"/>
      <c r="B540" s="514">
        <v>44580</v>
      </c>
      <c r="C540" s="514">
        <v>44615</v>
      </c>
      <c r="D540" s="485" t="s">
        <v>2322</v>
      </c>
      <c r="E540" s="474"/>
      <c r="F540" s="474"/>
      <c r="G540" s="474">
        <v>2022</v>
      </c>
      <c r="H540" s="474">
        <v>5</v>
      </c>
      <c r="I540" s="485"/>
      <c r="J540" s="475"/>
      <c r="K540" s="483" t="s">
        <v>2593</v>
      </c>
      <c r="L540" s="474" t="s">
        <v>2324</v>
      </c>
      <c r="M540" s="487">
        <v>44540</v>
      </c>
      <c r="N540" s="487">
        <v>44666</v>
      </c>
      <c r="O540" s="487"/>
      <c r="P540" s="475" t="s">
        <v>5733</v>
      </c>
      <c r="Q540" s="475"/>
      <c r="R540" s="475"/>
      <c r="S540" s="474" t="s">
        <v>1563</v>
      </c>
      <c r="T540" s="474">
        <v>60</v>
      </c>
      <c r="U540" s="474" t="s">
        <v>1281</v>
      </c>
      <c r="V540" s="474" t="s">
        <v>973</v>
      </c>
      <c r="W540" s="474">
        <v>400</v>
      </c>
      <c r="X540" s="476">
        <v>6656</v>
      </c>
      <c r="Y540" s="477">
        <f t="shared" si="118"/>
        <v>2662400</v>
      </c>
      <c r="Z540" s="478">
        <v>0.47</v>
      </c>
      <c r="AA540" s="479">
        <f t="shared" si="119"/>
        <v>1251328</v>
      </c>
      <c r="AB540" s="480"/>
      <c r="AC540" s="481">
        <v>0</v>
      </c>
      <c r="AD540" s="490"/>
      <c r="AE540" s="482"/>
      <c r="AF540" s="493">
        <v>1251328</v>
      </c>
      <c r="AG540" s="474" t="s">
        <v>47</v>
      </c>
      <c r="AH540" s="474"/>
      <c r="AI540" s="483" t="s">
        <v>2326</v>
      </c>
      <c r="AJ540" s="474" t="s">
        <v>2327</v>
      </c>
      <c r="AK540" s="494" t="s">
        <v>50</v>
      </c>
      <c r="AL540" s="474">
        <v>91730</v>
      </c>
      <c r="AM540" s="474" t="s">
        <v>52</v>
      </c>
      <c r="AN540" s="474" t="s">
        <v>50</v>
      </c>
      <c r="AO540" s="474"/>
      <c r="AP540" s="486" t="s">
        <v>92</v>
      </c>
      <c r="AQ540" s="486" t="s">
        <v>37</v>
      </c>
      <c r="AR540" s="486"/>
      <c r="AS540" s="495"/>
      <c r="AT540" s="495"/>
      <c r="AU540" s="478"/>
      <c r="AV540" s="471" t="str">
        <f t="shared" si="125"/>
        <v>30390456H</v>
      </c>
      <c r="AW540" s="471" cm="1">
        <f t="array" ref="AW540">SUM(MID(0&amp;AV540,LARGE(INDEX(ISNUMBER(--MID(AV540,ROW($1:$8),1))*ROW($1:$8),),ROW($1:$8))+1,1)*10^ROW($1:$8)/10)</f>
        <v>30390456</v>
      </c>
      <c r="AX540" s="471" t="str">
        <f>VLOOKUP($AW540,'Item Master Data'!$A:$F,3,FALSE)</f>
        <v>Q.PEAK DUO BLK ML G10+</v>
      </c>
      <c r="AY540" s="471">
        <f>VLOOKUP($AW540,'Item Master Data'!$A:$F,6,FALSE)</f>
        <v>400</v>
      </c>
      <c r="AZ540" s="471">
        <f t="shared" si="126"/>
        <v>208</v>
      </c>
      <c r="BA540" s="471">
        <f>VLOOKUP(AW540,'Item Master Data'!$A:$G,7,FALSE)</f>
        <v>32</v>
      </c>
      <c r="BB540" s="471"/>
      <c r="BC540" s="471">
        <f t="shared" si="127"/>
        <v>0</v>
      </c>
    </row>
    <row r="541" spans="1:55">
      <c r="A541" s="472"/>
      <c r="B541" s="514">
        <v>44580</v>
      </c>
      <c r="C541" s="514">
        <v>44615</v>
      </c>
      <c r="D541" s="485" t="s">
        <v>2322</v>
      </c>
      <c r="E541" s="474" t="s">
        <v>5734</v>
      </c>
      <c r="F541" s="474"/>
      <c r="G541" s="474">
        <v>2022</v>
      </c>
      <c r="H541" s="474">
        <v>5</v>
      </c>
      <c r="I541" s="485"/>
      <c r="J541" s="475"/>
      <c r="K541" s="483" t="s">
        <v>2594</v>
      </c>
      <c r="L541" s="474" t="s">
        <v>2324</v>
      </c>
      <c r="M541" s="487">
        <v>44540</v>
      </c>
      <c r="N541" s="487">
        <v>44662</v>
      </c>
      <c r="O541" s="487"/>
      <c r="P541" s="475" t="s">
        <v>5733</v>
      </c>
      <c r="Q541" s="475"/>
      <c r="R541" s="475"/>
      <c r="S541" s="474" t="s">
        <v>1563</v>
      </c>
      <c r="T541" s="474">
        <v>60</v>
      </c>
      <c r="U541" s="474" t="s">
        <v>5735</v>
      </c>
      <c r="V541" s="474" t="s">
        <v>967</v>
      </c>
      <c r="W541" s="474">
        <v>410</v>
      </c>
      <c r="X541" s="476">
        <v>6656</v>
      </c>
      <c r="Y541" s="477">
        <f t="shared" si="118"/>
        <v>2728960</v>
      </c>
      <c r="Z541" s="478">
        <f>192.7/410</f>
        <v>0.47</v>
      </c>
      <c r="AA541" s="479">
        <f t="shared" si="119"/>
        <v>1282611.2</v>
      </c>
      <c r="AB541" s="480"/>
      <c r="AC541" s="481">
        <f>AB541*Y541</f>
        <v>0</v>
      </c>
      <c r="AD541" s="490"/>
      <c r="AE541" s="482"/>
      <c r="AF541" s="493">
        <f>AA541+AE541</f>
        <v>1282611.2</v>
      </c>
      <c r="AG541" s="474" t="s">
        <v>47</v>
      </c>
      <c r="AH541" s="474"/>
      <c r="AI541" s="483" t="s">
        <v>2326</v>
      </c>
      <c r="AJ541" s="474" t="s">
        <v>2327</v>
      </c>
      <c r="AK541" s="494" t="s">
        <v>50</v>
      </c>
      <c r="AL541" s="474">
        <v>91730</v>
      </c>
      <c r="AM541" s="474" t="s">
        <v>52</v>
      </c>
      <c r="AN541" s="474" t="s">
        <v>50</v>
      </c>
      <c r="AO541" s="474"/>
      <c r="AP541" s="486" t="s">
        <v>92</v>
      </c>
      <c r="AQ541" s="486" t="s">
        <v>37</v>
      </c>
      <c r="AR541" s="486"/>
      <c r="AS541" s="495"/>
      <c r="AT541" s="495"/>
      <c r="AU541" s="478"/>
      <c r="AV541" s="471" t="str">
        <f t="shared" si="125"/>
        <v>30385558H</v>
      </c>
      <c r="AW541" s="471" cm="1">
        <f t="array" ref="AW541">SUM(MID(0&amp;AV541,LARGE(INDEX(ISNUMBER(--MID(AV541,ROW($1:$8),1))*ROW($1:$8),),ROW($1:$8))+1,1)*10^ROW($1:$8)/10)</f>
        <v>30385558</v>
      </c>
      <c r="AX541" s="471" t="str">
        <f>VLOOKUP($AW541,'Item Master Data'!$A:$F,3,FALSE)</f>
        <v>Q.PEAK DUO ML G10+</v>
      </c>
      <c r="AY541" s="471">
        <f>VLOOKUP($AW541,'Item Master Data'!$A:$F,6,FALSE)</f>
        <v>410</v>
      </c>
      <c r="AZ541" s="471">
        <f t="shared" si="126"/>
        <v>208</v>
      </c>
      <c r="BA541" s="471">
        <f>VLOOKUP(AW541,'Item Master Data'!$A:$G,7,FALSE)</f>
        <v>32</v>
      </c>
      <c r="BB541" s="471"/>
      <c r="BC541" s="471">
        <f t="shared" si="127"/>
        <v>0</v>
      </c>
    </row>
    <row r="542" spans="1:55">
      <c r="A542" s="472"/>
      <c r="B542" s="514">
        <v>44580</v>
      </c>
      <c r="C542" s="514">
        <v>44615</v>
      </c>
      <c r="D542" s="485" t="s">
        <v>2322</v>
      </c>
      <c r="E542" s="474" t="s">
        <v>5734</v>
      </c>
      <c r="F542" s="474"/>
      <c r="G542" s="474">
        <v>2022</v>
      </c>
      <c r="H542" s="474">
        <v>5</v>
      </c>
      <c r="I542" s="485"/>
      <c r="J542" s="475"/>
      <c r="K542" s="483" t="s">
        <v>2595</v>
      </c>
      <c r="L542" s="474" t="s">
        <v>2324</v>
      </c>
      <c r="M542" s="487">
        <v>44540</v>
      </c>
      <c r="N542" s="487">
        <v>44664</v>
      </c>
      <c r="O542" s="487"/>
      <c r="P542" s="475" t="s">
        <v>5733</v>
      </c>
      <c r="Q542" s="475"/>
      <c r="R542" s="475"/>
      <c r="S542" s="474" t="s">
        <v>1563</v>
      </c>
      <c r="T542" s="474">
        <v>60</v>
      </c>
      <c r="U542" s="474" t="s">
        <v>5735</v>
      </c>
      <c r="V542" s="474" t="s">
        <v>967</v>
      </c>
      <c r="W542" s="474">
        <v>410</v>
      </c>
      <c r="X542" s="476">
        <v>6656</v>
      </c>
      <c r="Y542" s="477">
        <f t="shared" si="118"/>
        <v>2728960</v>
      </c>
      <c r="Z542" s="478">
        <f>192.7/410</f>
        <v>0.47</v>
      </c>
      <c r="AA542" s="479">
        <f t="shared" si="119"/>
        <v>1282611.2</v>
      </c>
      <c r="AB542" s="480"/>
      <c r="AC542" s="481">
        <f>AB542*Y542</f>
        <v>0</v>
      </c>
      <c r="AD542" s="490"/>
      <c r="AE542" s="482"/>
      <c r="AF542" s="493">
        <f>AA542+AE542</f>
        <v>1282611.2</v>
      </c>
      <c r="AG542" s="474" t="s">
        <v>47</v>
      </c>
      <c r="AH542" s="474"/>
      <c r="AI542" s="483" t="s">
        <v>2326</v>
      </c>
      <c r="AJ542" s="474" t="s">
        <v>2327</v>
      </c>
      <c r="AK542" s="494" t="s">
        <v>50</v>
      </c>
      <c r="AL542" s="474">
        <v>91730</v>
      </c>
      <c r="AM542" s="474" t="s">
        <v>52</v>
      </c>
      <c r="AN542" s="474" t="s">
        <v>50</v>
      </c>
      <c r="AO542" s="474"/>
      <c r="AP542" s="486" t="s">
        <v>92</v>
      </c>
      <c r="AQ542" s="486" t="s">
        <v>37</v>
      </c>
      <c r="AR542" s="486"/>
      <c r="AS542" s="495"/>
      <c r="AT542" s="495"/>
      <c r="AU542" s="478"/>
      <c r="AV542" s="471"/>
      <c r="AW542" s="471"/>
      <c r="AX542" s="471"/>
      <c r="AY542" s="471"/>
      <c r="AZ542" s="471"/>
      <c r="BA542" s="471"/>
      <c r="BB542" s="471"/>
      <c r="BC542" s="471"/>
    </row>
    <row r="543" spans="1:55">
      <c r="A543" s="472"/>
      <c r="B543" s="514">
        <v>44580</v>
      </c>
      <c r="C543" s="514">
        <v>44615</v>
      </c>
      <c r="D543" s="485" t="s">
        <v>2322</v>
      </c>
      <c r="E543" s="474" t="s">
        <v>2485</v>
      </c>
      <c r="F543" s="474"/>
      <c r="G543" s="474">
        <v>2022</v>
      </c>
      <c r="H543" s="474">
        <v>5</v>
      </c>
      <c r="I543" s="485"/>
      <c r="J543" s="475"/>
      <c r="K543" s="483" t="s">
        <v>2597</v>
      </c>
      <c r="L543" s="474" t="s">
        <v>2324</v>
      </c>
      <c r="M543" s="487">
        <v>44540</v>
      </c>
      <c r="N543" s="487">
        <v>44662</v>
      </c>
      <c r="O543" s="487"/>
      <c r="P543" s="475" t="s">
        <v>5733</v>
      </c>
      <c r="Q543" s="475"/>
      <c r="R543" s="475"/>
      <c r="S543" s="474" t="s">
        <v>1563</v>
      </c>
      <c r="T543" s="474">
        <v>60</v>
      </c>
      <c r="U543" s="474" t="s">
        <v>1281</v>
      </c>
      <c r="V543" s="474" t="s">
        <v>973</v>
      </c>
      <c r="W543" s="474">
        <v>400</v>
      </c>
      <c r="X543" s="476">
        <v>6656</v>
      </c>
      <c r="Y543" s="477">
        <f t="shared" si="118"/>
        <v>2662400</v>
      </c>
      <c r="Z543" s="478">
        <v>0.47</v>
      </c>
      <c r="AA543" s="479">
        <f t="shared" si="119"/>
        <v>1251328</v>
      </c>
      <c r="AB543" s="480"/>
      <c r="AC543" s="481">
        <v>0</v>
      </c>
      <c r="AD543" s="490"/>
      <c r="AE543" s="482"/>
      <c r="AF543" s="493">
        <v>1251328</v>
      </c>
      <c r="AG543" s="474" t="s">
        <v>47</v>
      </c>
      <c r="AH543" s="474"/>
      <c r="AI543" s="483" t="s">
        <v>2326</v>
      </c>
      <c r="AJ543" s="474" t="s">
        <v>1580</v>
      </c>
      <c r="AK543" s="494" t="s">
        <v>1073</v>
      </c>
      <c r="AL543" s="474">
        <v>21075</v>
      </c>
      <c r="AM543" s="474" t="s">
        <v>52</v>
      </c>
      <c r="AN543" s="474" t="s">
        <v>1085</v>
      </c>
      <c r="AO543" s="474"/>
      <c r="AP543" s="486" t="s">
        <v>92</v>
      </c>
      <c r="AQ543" s="486" t="s">
        <v>37</v>
      </c>
      <c r="AR543" s="486"/>
      <c r="AS543" s="495"/>
      <c r="AT543" s="495"/>
      <c r="AU543" s="478"/>
      <c r="AV543" s="471"/>
      <c r="AW543" s="471"/>
      <c r="AX543" s="471"/>
      <c r="AY543" s="471"/>
      <c r="AZ543" s="471"/>
      <c r="BA543" s="471"/>
      <c r="BB543" s="471"/>
      <c r="BC543" s="471"/>
    </row>
    <row r="544" spans="1:55">
      <c r="A544" s="472"/>
      <c r="B544" s="514">
        <v>44580</v>
      </c>
      <c r="C544" s="514">
        <v>44615</v>
      </c>
      <c r="D544" s="485" t="s">
        <v>2322</v>
      </c>
      <c r="E544" s="474" t="s">
        <v>2485</v>
      </c>
      <c r="F544" s="474"/>
      <c r="G544" s="474">
        <v>2022</v>
      </c>
      <c r="H544" s="474">
        <v>5</v>
      </c>
      <c r="I544" s="485"/>
      <c r="J544" s="475"/>
      <c r="K544" s="483" t="s">
        <v>5691</v>
      </c>
      <c r="L544" s="474" t="s">
        <v>2324</v>
      </c>
      <c r="M544" s="487">
        <v>44540</v>
      </c>
      <c r="N544" s="487">
        <v>44664</v>
      </c>
      <c r="O544" s="487"/>
      <c r="P544" s="475" t="s">
        <v>5733</v>
      </c>
      <c r="Q544" s="475"/>
      <c r="R544" s="475"/>
      <c r="S544" s="474" t="s">
        <v>1563</v>
      </c>
      <c r="T544" s="474">
        <v>60</v>
      </c>
      <c r="U544" s="474" t="s">
        <v>1760</v>
      </c>
      <c r="V544" s="474" t="s">
        <v>973</v>
      </c>
      <c r="W544" s="474">
        <v>400</v>
      </c>
      <c r="X544" s="476">
        <v>4160</v>
      </c>
      <c r="Y544" s="477">
        <f t="shared" si="118"/>
        <v>1664000</v>
      </c>
      <c r="Z544" s="478">
        <v>0.47</v>
      </c>
      <c r="AA544" s="479">
        <f t="shared" si="119"/>
        <v>782080</v>
      </c>
      <c r="AB544" s="480"/>
      <c r="AC544" s="481">
        <v>0</v>
      </c>
      <c r="AD544" s="490"/>
      <c r="AE544" s="482"/>
      <c r="AF544" s="493">
        <v>1251328</v>
      </c>
      <c r="AG544" s="474" t="s">
        <v>47</v>
      </c>
      <c r="AH544" s="474"/>
      <c r="AI544" s="483" t="s">
        <v>2326</v>
      </c>
      <c r="AJ544" s="474" t="s">
        <v>2338</v>
      </c>
      <c r="AK544" s="494" t="s">
        <v>1347</v>
      </c>
      <c r="AL544" s="474">
        <v>17402</v>
      </c>
      <c r="AM544" s="474" t="s">
        <v>52</v>
      </c>
      <c r="AN544" s="474" t="s">
        <v>50</v>
      </c>
      <c r="AO544" s="474"/>
      <c r="AP544" s="486" t="s">
        <v>92</v>
      </c>
      <c r="AQ544" s="486" t="s">
        <v>37</v>
      </c>
      <c r="AR544" s="486"/>
      <c r="AS544" s="495"/>
      <c r="AT544" s="495"/>
      <c r="AU544" s="478"/>
      <c r="AV544" s="471"/>
      <c r="AW544" s="471"/>
      <c r="AX544" s="471"/>
      <c r="AY544" s="471"/>
      <c r="AZ544" s="471"/>
      <c r="BA544" s="471"/>
      <c r="BB544" s="471"/>
      <c r="BC544" s="471"/>
    </row>
    <row r="545" spans="1:55">
      <c r="A545" s="472"/>
      <c r="B545" s="514">
        <v>44580</v>
      </c>
      <c r="C545" s="514">
        <v>44615</v>
      </c>
      <c r="D545" s="485" t="s">
        <v>2322</v>
      </c>
      <c r="E545" s="474"/>
      <c r="F545" s="474"/>
      <c r="G545" s="474">
        <v>2022</v>
      </c>
      <c r="H545" s="474">
        <v>5</v>
      </c>
      <c r="I545" s="485"/>
      <c r="J545" s="475"/>
      <c r="K545" s="483" t="s">
        <v>2598</v>
      </c>
      <c r="L545" s="474" t="s">
        <v>2324</v>
      </c>
      <c r="M545" s="487">
        <v>44547</v>
      </c>
      <c r="N545" s="487">
        <v>44637</v>
      </c>
      <c r="O545" s="487"/>
      <c r="P545" s="475" t="s">
        <v>5733</v>
      </c>
      <c r="Q545" s="475"/>
      <c r="R545" s="475"/>
      <c r="S545" s="474" t="s">
        <v>1563</v>
      </c>
      <c r="T545" s="474">
        <v>60</v>
      </c>
      <c r="U545" s="474" t="s">
        <v>5735</v>
      </c>
      <c r="V545" s="474" t="s">
        <v>967</v>
      </c>
      <c r="W545" s="474">
        <v>410</v>
      </c>
      <c r="X545" s="476">
        <v>1664</v>
      </c>
      <c r="Y545" s="477">
        <f t="shared" si="118"/>
        <v>682240</v>
      </c>
      <c r="Z545" s="478">
        <f>192.7/410</f>
        <v>0.47</v>
      </c>
      <c r="AA545" s="479">
        <f t="shared" si="119"/>
        <v>320652.79999999999</v>
      </c>
      <c r="AB545" s="480"/>
      <c r="AC545" s="481">
        <f>AB545*Y545</f>
        <v>0</v>
      </c>
      <c r="AD545" s="490"/>
      <c r="AE545" s="482"/>
      <c r="AF545" s="493">
        <f>AA545+AE545</f>
        <v>320652.79999999999</v>
      </c>
      <c r="AG545" s="474" t="s">
        <v>47</v>
      </c>
      <c r="AH545" s="474"/>
      <c r="AI545" s="483" t="s">
        <v>2326</v>
      </c>
      <c r="AJ545" s="474" t="s">
        <v>2327</v>
      </c>
      <c r="AK545" s="494" t="s">
        <v>50</v>
      </c>
      <c r="AL545" s="474">
        <v>91730</v>
      </c>
      <c r="AM545" s="474" t="s">
        <v>52</v>
      </c>
      <c r="AN545" s="474" t="s">
        <v>50</v>
      </c>
      <c r="AO545" s="474"/>
      <c r="AP545" s="486" t="s">
        <v>92</v>
      </c>
      <c r="AQ545" s="486" t="s">
        <v>37</v>
      </c>
      <c r="AR545" s="486"/>
      <c r="AS545" s="495"/>
      <c r="AT545" s="495"/>
      <c r="AU545" s="478"/>
      <c r="AV545" s="471"/>
      <c r="AW545" s="471"/>
      <c r="AX545" s="471"/>
      <c r="AY545" s="471"/>
      <c r="AZ545" s="471"/>
      <c r="BA545" s="471"/>
      <c r="BB545" s="471"/>
      <c r="BC545" s="471"/>
    </row>
    <row r="546" spans="1:55">
      <c r="A546" s="472"/>
      <c r="B546" s="514">
        <v>44580</v>
      </c>
      <c r="C546" s="514">
        <v>44615</v>
      </c>
      <c r="D546" s="485" t="s">
        <v>2322</v>
      </c>
      <c r="E546" s="474"/>
      <c r="F546" s="474"/>
      <c r="G546" s="474">
        <v>2022</v>
      </c>
      <c r="H546" s="474">
        <v>6</v>
      </c>
      <c r="I546" s="485"/>
      <c r="J546" s="475"/>
      <c r="K546" s="483" t="s">
        <v>2640</v>
      </c>
      <c r="L546" s="474" t="s">
        <v>2324</v>
      </c>
      <c r="M546" s="487">
        <v>44540</v>
      </c>
      <c r="N546" s="487">
        <v>44690</v>
      </c>
      <c r="O546" s="487"/>
      <c r="P546" s="475"/>
      <c r="Q546" s="475"/>
      <c r="R546" s="475"/>
      <c r="S546" s="474" t="s">
        <v>1563</v>
      </c>
      <c r="T546" s="474">
        <v>60</v>
      </c>
      <c r="U546" s="474" t="s">
        <v>1281</v>
      </c>
      <c r="V546" s="474" t="s">
        <v>973</v>
      </c>
      <c r="W546" s="474">
        <v>400</v>
      </c>
      <c r="X546" s="476">
        <v>6656</v>
      </c>
      <c r="Y546" s="477">
        <f t="shared" si="118"/>
        <v>2662400</v>
      </c>
      <c r="Z546" s="478">
        <v>0.47</v>
      </c>
      <c r="AA546" s="479">
        <f t="shared" si="119"/>
        <v>1251328</v>
      </c>
      <c r="AB546" s="480"/>
      <c r="AC546" s="481">
        <v>0</v>
      </c>
      <c r="AD546" s="490"/>
      <c r="AE546" s="482"/>
      <c r="AF546" s="493">
        <v>1251328</v>
      </c>
      <c r="AG546" s="474" t="s">
        <v>47</v>
      </c>
      <c r="AH546" s="474"/>
      <c r="AI546" s="483" t="s">
        <v>2326</v>
      </c>
      <c r="AJ546" s="474" t="s">
        <v>2327</v>
      </c>
      <c r="AK546" s="494" t="s">
        <v>50</v>
      </c>
      <c r="AL546" s="474">
        <v>91730</v>
      </c>
      <c r="AM546" s="474" t="s">
        <v>52</v>
      </c>
      <c r="AN546" s="474"/>
      <c r="AO546" s="474"/>
      <c r="AP546" s="486"/>
      <c r="AQ546" s="486" t="s">
        <v>37</v>
      </c>
      <c r="AR546" s="486"/>
      <c r="AS546" s="495"/>
      <c r="AT546" s="495"/>
      <c r="AU546" s="478"/>
      <c r="AV546" s="471"/>
      <c r="AW546" s="471"/>
      <c r="AX546" s="471"/>
      <c r="AY546" s="471"/>
      <c r="AZ546" s="471"/>
      <c r="BA546" s="471"/>
      <c r="BB546" s="471"/>
      <c r="BC546" s="471"/>
    </row>
    <row r="547" spans="1:55">
      <c r="A547" s="472"/>
      <c r="B547" s="514">
        <v>44580</v>
      </c>
      <c r="C547" s="514">
        <v>44615</v>
      </c>
      <c r="D547" s="485" t="s">
        <v>2322</v>
      </c>
      <c r="E547" s="474"/>
      <c r="F547" s="474"/>
      <c r="G547" s="474">
        <v>2022</v>
      </c>
      <c r="H547" s="474">
        <v>6</v>
      </c>
      <c r="I547" s="485"/>
      <c r="J547" s="475"/>
      <c r="K547" s="483" t="s">
        <v>2641</v>
      </c>
      <c r="L547" s="474" t="s">
        <v>2324</v>
      </c>
      <c r="M547" s="487">
        <v>44540</v>
      </c>
      <c r="N547" s="487">
        <v>44692</v>
      </c>
      <c r="O547" s="487"/>
      <c r="P547" s="475"/>
      <c r="Q547" s="475"/>
      <c r="R547" s="475"/>
      <c r="S547" s="474" t="s">
        <v>1563</v>
      </c>
      <c r="T547" s="474">
        <v>60</v>
      </c>
      <c r="U547" s="474" t="s">
        <v>1281</v>
      </c>
      <c r="V547" s="474" t="s">
        <v>973</v>
      </c>
      <c r="W547" s="474">
        <v>400</v>
      </c>
      <c r="X547" s="476">
        <v>6656</v>
      </c>
      <c r="Y547" s="477">
        <f t="shared" si="118"/>
        <v>2662400</v>
      </c>
      <c r="Z547" s="478">
        <v>0.47</v>
      </c>
      <c r="AA547" s="479">
        <f t="shared" si="119"/>
        <v>1251328</v>
      </c>
      <c r="AB547" s="480"/>
      <c r="AC547" s="481">
        <v>0</v>
      </c>
      <c r="AD547" s="490"/>
      <c r="AE547" s="482"/>
      <c r="AF547" s="493">
        <v>1251328</v>
      </c>
      <c r="AG547" s="474" t="s">
        <v>47</v>
      </c>
      <c r="AH547" s="474"/>
      <c r="AI547" s="483" t="s">
        <v>2326</v>
      </c>
      <c r="AJ547" s="474" t="s">
        <v>2327</v>
      </c>
      <c r="AK547" s="494" t="s">
        <v>50</v>
      </c>
      <c r="AL547" s="474">
        <v>91730</v>
      </c>
      <c r="AM547" s="474" t="s">
        <v>52</v>
      </c>
      <c r="AN547" s="474"/>
      <c r="AO547" s="474"/>
      <c r="AP547" s="486"/>
      <c r="AQ547" s="486" t="s">
        <v>37</v>
      </c>
      <c r="AR547" s="486"/>
      <c r="AS547" s="495"/>
      <c r="AT547" s="495"/>
      <c r="AU547" s="478"/>
      <c r="AV547" s="471"/>
      <c r="AW547" s="471"/>
      <c r="AX547" s="471"/>
      <c r="AY547" s="471"/>
      <c r="AZ547" s="471"/>
      <c r="BA547" s="471"/>
      <c r="BB547" s="471"/>
      <c r="BC547" s="471"/>
    </row>
    <row r="548" spans="1:55">
      <c r="A548" s="472"/>
      <c r="B548" s="514">
        <v>44580</v>
      </c>
      <c r="C548" s="514">
        <v>44615</v>
      </c>
      <c r="D548" s="485" t="s">
        <v>2322</v>
      </c>
      <c r="E548" s="474"/>
      <c r="F548" s="474"/>
      <c r="G548" s="474">
        <v>2022</v>
      </c>
      <c r="H548" s="474">
        <v>6</v>
      </c>
      <c r="I548" s="485"/>
      <c r="J548" s="475"/>
      <c r="K548" s="483" t="s">
        <v>2642</v>
      </c>
      <c r="L548" s="474" t="s">
        <v>2324</v>
      </c>
      <c r="M548" s="487">
        <v>44540</v>
      </c>
      <c r="N548" s="487">
        <v>44694</v>
      </c>
      <c r="O548" s="487"/>
      <c r="P548" s="475"/>
      <c r="Q548" s="475"/>
      <c r="R548" s="475"/>
      <c r="S548" s="474" t="s">
        <v>1563</v>
      </c>
      <c r="T548" s="474">
        <v>60</v>
      </c>
      <c r="U548" s="474" t="s">
        <v>1281</v>
      </c>
      <c r="V548" s="474" t="s">
        <v>973</v>
      </c>
      <c r="W548" s="474">
        <v>400</v>
      </c>
      <c r="X548" s="476">
        <v>6656</v>
      </c>
      <c r="Y548" s="477">
        <f t="shared" si="118"/>
        <v>2662400</v>
      </c>
      <c r="Z548" s="478">
        <v>0.47</v>
      </c>
      <c r="AA548" s="479">
        <f t="shared" si="119"/>
        <v>1251328</v>
      </c>
      <c r="AB548" s="480"/>
      <c r="AC548" s="481">
        <v>0</v>
      </c>
      <c r="AD548" s="490"/>
      <c r="AE548" s="482"/>
      <c r="AF548" s="493">
        <v>1251328</v>
      </c>
      <c r="AG548" s="474" t="s">
        <v>47</v>
      </c>
      <c r="AH548" s="474"/>
      <c r="AI548" s="483" t="s">
        <v>2326</v>
      </c>
      <c r="AJ548" s="474" t="s">
        <v>2327</v>
      </c>
      <c r="AK548" s="494" t="s">
        <v>50</v>
      </c>
      <c r="AL548" s="474">
        <v>91730</v>
      </c>
      <c r="AM548" s="474" t="s">
        <v>52</v>
      </c>
      <c r="AN548" s="474"/>
      <c r="AO548" s="474"/>
      <c r="AP548" s="486"/>
      <c r="AQ548" s="486" t="s">
        <v>37</v>
      </c>
      <c r="AR548" s="486"/>
      <c r="AS548" s="495"/>
      <c r="AT548" s="495"/>
      <c r="AU548" s="478"/>
      <c r="AV548" s="471"/>
      <c r="AW548" s="471"/>
      <c r="AX548" s="471"/>
      <c r="AY548" s="471"/>
      <c r="AZ548" s="471"/>
      <c r="BA548" s="471"/>
      <c r="BB548" s="471"/>
      <c r="BC548" s="471"/>
    </row>
    <row r="549" spans="1:55">
      <c r="A549" s="472"/>
      <c r="B549" s="514">
        <v>44580</v>
      </c>
      <c r="C549" s="514">
        <v>44615</v>
      </c>
      <c r="D549" s="485" t="s">
        <v>2322</v>
      </c>
      <c r="E549" s="474"/>
      <c r="F549" s="474"/>
      <c r="G549" s="474">
        <v>2022</v>
      </c>
      <c r="H549" s="474">
        <v>6</v>
      </c>
      <c r="I549" s="485"/>
      <c r="J549" s="475"/>
      <c r="K549" s="483" t="s">
        <v>2643</v>
      </c>
      <c r="L549" s="474" t="s">
        <v>2324</v>
      </c>
      <c r="M549" s="487">
        <v>44540</v>
      </c>
      <c r="N549" s="487">
        <v>44690</v>
      </c>
      <c r="O549" s="487"/>
      <c r="P549" s="475"/>
      <c r="Q549" s="475"/>
      <c r="R549" s="475"/>
      <c r="S549" s="474" t="s">
        <v>1563</v>
      </c>
      <c r="T549" s="474">
        <v>60</v>
      </c>
      <c r="U549" s="474" t="s">
        <v>1281</v>
      </c>
      <c r="V549" s="474" t="s">
        <v>967</v>
      </c>
      <c r="W549" s="474">
        <v>410</v>
      </c>
      <c r="X549" s="476">
        <v>6656</v>
      </c>
      <c r="Y549" s="477">
        <f t="shared" si="118"/>
        <v>2728960</v>
      </c>
      <c r="Z549" s="478">
        <f>192.7/410</f>
        <v>0.47</v>
      </c>
      <c r="AA549" s="479">
        <f t="shared" si="119"/>
        <v>1282611.2</v>
      </c>
      <c r="AB549" s="480"/>
      <c r="AC549" s="481">
        <f>AB549*Y549</f>
        <v>0</v>
      </c>
      <c r="AD549" s="490"/>
      <c r="AE549" s="482"/>
      <c r="AF549" s="493">
        <f>AA549+AE549</f>
        <v>1282611.2</v>
      </c>
      <c r="AG549" s="474" t="s">
        <v>47</v>
      </c>
      <c r="AH549" s="474"/>
      <c r="AI549" s="483" t="s">
        <v>2326</v>
      </c>
      <c r="AJ549" s="474" t="s">
        <v>2327</v>
      </c>
      <c r="AK549" s="494" t="s">
        <v>50</v>
      </c>
      <c r="AL549" s="474">
        <v>91730</v>
      </c>
      <c r="AM549" s="474" t="s">
        <v>52</v>
      </c>
      <c r="AN549" s="474" t="s">
        <v>50</v>
      </c>
      <c r="AO549" s="474"/>
      <c r="AP549" s="486" t="s">
        <v>92</v>
      </c>
      <c r="AQ549" s="486" t="s">
        <v>37</v>
      </c>
      <c r="AR549" s="486"/>
      <c r="AS549" s="495"/>
      <c r="AT549" s="495"/>
      <c r="AU549" s="478"/>
      <c r="AV549" s="471"/>
      <c r="AW549" s="471"/>
      <c r="AX549" s="471"/>
      <c r="AY549" s="471"/>
      <c r="AZ549" s="471"/>
      <c r="BA549" s="471"/>
      <c r="BB549" s="471"/>
      <c r="BC549" s="471"/>
    </row>
    <row r="550" spans="1:55">
      <c r="A550" s="472"/>
      <c r="B550" s="514">
        <v>44580</v>
      </c>
      <c r="C550" s="514">
        <v>44615</v>
      </c>
      <c r="D550" s="485" t="s">
        <v>2322</v>
      </c>
      <c r="E550" s="474"/>
      <c r="F550" s="474"/>
      <c r="G550" s="474">
        <v>2022</v>
      </c>
      <c r="H550" s="474">
        <v>6</v>
      </c>
      <c r="I550" s="485"/>
      <c r="J550" s="475"/>
      <c r="K550" s="483" t="s">
        <v>2644</v>
      </c>
      <c r="L550" s="474" t="s">
        <v>2324</v>
      </c>
      <c r="M550" s="487">
        <v>44540</v>
      </c>
      <c r="N550" s="487">
        <v>44692</v>
      </c>
      <c r="O550" s="487"/>
      <c r="P550" s="475"/>
      <c r="Q550" s="475"/>
      <c r="R550" s="475"/>
      <c r="S550" s="474" t="s">
        <v>1563</v>
      </c>
      <c r="T550" s="474">
        <v>60</v>
      </c>
      <c r="U550" s="474" t="s">
        <v>1281</v>
      </c>
      <c r="V550" s="474" t="s">
        <v>967</v>
      </c>
      <c r="W550" s="474">
        <v>410</v>
      </c>
      <c r="X550" s="476">
        <v>5824</v>
      </c>
      <c r="Y550" s="477">
        <f t="shared" si="118"/>
        <v>2387840</v>
      </c>
      <c r="Z550" s="478">
        <f>192.7/410</f>
        <v>0.47</v>
      </c>
      <c r="AA550" s="479">
        <f t="shared" si="119"/>
        <v>1122284.8</v>
      </c>
      <c r="AB550" s="480"/>
      <c r="AC550" s="481">
        <f>AB550*Y550</f>
        <v>0</v>
      </c>
      <c r="AD550" s="490"/>
      <c r="AE550" s="482"/>
      <c r="AF550" s="493">
        <f>AA550+AE550</f>
        <v>1122284.8</v>
      </c>
      <c r="AG550" s="474" t="s">
        <v>47</v>
      </c>
      <c r="AH550" s="474"/>
      <c r="AI550" s="483" t="s">
        <v>2326</v>
      </c>
      <c r="AJ550" s="474" t="s">
        <v>2327</v>
      </c>
      <c r="AK550" s="494" t="s">
        <v>50</v>
      </c>
      <c r="AL550" s="474">
        <v>91730</v>
      </c>
      <c r="AM550" s="474" t="s">
        <v>52</v>
      </c>
      <c r="AN550" s="474" t="s">
        <v>50</v>
      </c>
      <c r="AO550" s="474"/>
      <c r="AP550" s="486" t="s">
        <v>92</v>
      </c>
      <c r="AQ550" s="486" t="s">
        <v>37</v>
      </c>
      <c r="AR550" s="486"/>
      <c r="AS550" s="495"/>
      <c r="AT550" s="495"/>
      <c r="AU550" s="478"/>
      <c r="AV550" s="471" t="str">
        <f>U550</f>
        <v>30390456H</v>
      </c>
      <c r="AW550" s="471" cm="1">
        <f t="array" ref="AW550">SUM(MID(0&amp;AV550,LARGE(INDEX(ISNUMBER(--MID(AV550,ROW($1:$8),1))*ROW($1:$8),),ROW($1:$8))+1,1)*10^ROW($1:$8)/10)</f>
        <v>30390456</v>
      </c>
      <c r="AX550" s="471" t="str">
        <f>VLOOKUP($AW550,'Item Master Data'!$A:$F,3,FALSE)</f>
        <v>Q.PEAK DUO BLK ML G10+</v>
      </c>
      <c r="AY550" s="471">
        <f>VLOOKUP($AW550,'Item Master Data'!$A:$F,6,FALSE)</f>
        <v>400</v>
      </c>
      <c r="AZ550" s="471">
        <f>X550/BA550</f>
        <v>182</v>
      </c>
      <c r="BA550" s="471">
        <f>VLOOKUP(AW550,'Item Master Data'!$A:$G,7,FALSE)</f>
        <v>32</v>
      </c>
      <c r="BB550" s="471"/>
      <c r="BC550" s="471">
        <f>W550-AY550</f>
        <v>10</v>
      </c>
    </row>
    <row r="551" spans="1:55">
      <c r="A551" s="472"/>
      <c r="B551" s="514">
        <v>44580</v>
      </c>
      <c r="C551" s="514">
        <v>44615</v>
      </c>
      <c r="D551" s="485" t="s">
        <v>2322</v>
      </c>
      <c r="E551" s="474"/>
      <c r="F551" s="474"/>
      <c r="G551" s="474">
        <v>2022</v>
      </c>
      <c r="H551" s="474">
        <v>6</v>
      </c>
      <c r="I551" s="485"/>
      <c r="J551" s="475"/>
      <c r="K551" s="483" t="s">
        <v>2645</v>
      </c>
      <c r="L551" s="474" t="s">
        <v>2324</v>
      </c>
      <c r="M551" s="487">
        <v>44540</v>
      </c>
      <c r="N551" s="487">
        <v>44694</v>
      </c>
      <c r="O551" s="487"/>
      <c r="P551" s="475"/>
      <c r="Q551" s="475"/>
      <c r="R551" s="475"/>
      <c r="S551" s="474" t="s">
        <v>1563</v>
      </c>
      <c r="T551" s="474">
        <v>60</v>
      </c>
      <c r="U551" s="474" t="s">
        <v>1281</v>
      </c>
      <c r="V551" s="474" t="s">
        <v>967</v>
      </c>
      <c r="W551" s="474">
        <v>410</v>
      </c>
      <c r="X551" s="476">
        <v>5824</v>
      </c>
      <c r="Y551" s="477">
        <f t="shared" si="118"/>
        <v>2387840</v>
      </c>
      <c r="Z551" s="478">
        <f>192.7/410</f>
        <v>0.47</v>
      </c>
      <c r="AA551" s="479">
        <f t="shared" si="119"/>
        <v>1122284.8</v>
      </c>
      <c r="AB551" s="480"/>
      <c r="AC551" s="481">
        <f>AB551*Y551</f>
        <v>0</v>
      </c>
      <c r="AD551" s="490"/>
      <c r="AE551" s="482"/>
      <c r="AF551" s="493">
        <f>AA551+AE551</f>
        <v>1122284.8</v>
      </c>
      <c r="AG551" s="474" t="s">
        <v>47</v>
      </c>
      <c r="AH551" s="474"/>
      <c r="AI551" s="483" t="s">
        <v>2326</v>
      </c>
      <c r="AJ551" s="474" t="s">
        <v>2327</v>
      </c>
      <c r="AK551" s="494" t="s">
        <v>50</v>
      </c>
      <c r="AL551" s="474">
        <v>91730</v>
      </c>
      <c r="AM551" s="474" t="s">
        <v>52</v>
      </c>
      <c r="AN551" s="474" t="s">
        <v>50</v>
      </c>
      <c r="AO551" s="474"/>
      <c r="AP551" s="486" t="s">
        <v>92</v>
      </c>
      <c r="AQ551" s="486" t="s">
        <v>37</v>
      </c>
      <c r="AR551" s="486"/>
      <c r="AS551" s="495"/>
      <c r="AT551" s="495"/>
      <c r="AU551" s="478"/>
      <c r="AV551" s="471"/>
      <c r="AW551" s="471"/>
      <c r="AX551" s="471"/>
      <c r="AY551" s="471"/>
      <c r="AZ551" s="471"/>
      <c r="BA551" s="471"/>
      <c r="BB551" s="471"/>
      <c r="BC551" s="471"/>
    </row>
    <row r="552" spans="1:55">
      <c r="A552" s="472"/>
      <c r="B552" s="514">
        <v>44580</v>
      </c>
      <c r="C552" s="514">
        <v>44615</v>
      </c>
      <c r="D552" s="485" t="s">
        <v>2322</v>
      </c>
      <c r="E552" s="474"/>
      <c r="F552" s="474"/>
      <c r="G552" s="474">
        <v>2022</v>
      </c>
      <c r="H552" s="474">
        <v>6</v>
      </c>
      <c r="I552" s="485"/>
      <c r="J552" s="475"/>
      <c r="K552" s="483" t="s">
        <v>2646</v>
      </c>
      <c r="L552" s="474" t="s">
        <v>2324</v>
      </c>
      <c r="M552" s="487">
        <v>44540</v>
      </c>
      <c r="N552" s="487">
        <v>44719</v>
      </c>
      <c r="O552" s="487"/>
      <c r="P552" s="475"/>
      <c r="Q552" s="475"/>
      <c r="R552" s="475"/>
      <c r="S552" s="474" t="s">
        <v>1563</v>
      </c>
      <c r="T552" s="474">
        <v>60</v>
      </c>
      <c r="U552" s="474" t="s">
        <v>1281</v>
      </c>
      <c r="V552" s="474" t="s">
        <v>967</v>
      </c>
      <c r="W552" s="474">
        <v>410</v>
      </c>
      <c r="X552" s="476">
        <v>6656</v>
      </c>
      <c r="Y552" s="477">
        <f t="shared" si="118"/>
        <v>2728960</v>
      </c>
      <c r="Z552" s="478">
        <f>192.7/410</f>
        <v>0.47</v>
      </c>
      <c r="AA552" s="479">
        <f t="shared" si="119"/>
        <v>1282611.2</v>
      </c>
      <c r="AB552" s="480"/>
      <c r="AC552" s="481">
        <f>AB552*Y552</f>
        <v>0</v>
      </c>
      <c r="AD552" s="490"/>
      <c r="AE552" s="482"/>
      <c r="AF552" s="493">
        <f>AA552+AE552</f>
        <v>1282611.2</v>
      </c>
      <c r="AG552" s="474" t="s">
        <v>47</v>
      </c>
      <c r="AH552" s="474"/>
      <c r="AI552" s="483" t="s">
        <v>2326</v>
      </c>
      <c r="AJ552" s="474" t="s">
        <v>2327</v>
      </c>
      <c r="AK552" s="494" t="s">
        <v>50</v>
      </c>
      <c r="AL552" s="474">
        <v>91730</v>
      </c>
      <c r="AM552" s="474" t="s">
        <v>52</v>
      </c>
      <c r="AN552" s="474" t="s">
        <v>50</v>
      </c>
      <c r="AO552" s="474"/>
      <c r="AP552" s="486" t="s">
        <v>92</v>
      </c>
      <c r="AQ552" s="486" t="s">
        <v>37</v>
      </c>
      <c r="AR552" s="486"/>
      <c r="AS552" s="495"/>
      <c r="AT552" s="495"/>
      <c r="AU552" s="478"/>
      <c r="AV552" s="471"/>
      <c r="AW552" s="471"/>
      <c r="AX552" s="471"/>
      <c r="AY552" s="471"/>
      <c r="AZ552" s="471"/>
      <c r="BA552" s="471"/>
      <c r="BB552" s="471"/>
      <c r="BC552" s="471"/>
    </row>
    <row r="553" spans="1:55">
      <c r="A553" s="472"/>
      <c r="B553" s="514">
        <v>44580</v>
      </c>
      <c r="C553" s="514">
        <v>44615</v>
      </c>
      <c r="D553" s="485" t="s">
        <v>2322</v>
      </c>
      <c r="E553" s="474"/>
      <c r="F553" s="474"/>
      <c r="G553" s="474">
        <v>2022</v>
      </c>
      <c r="H553" s="474">
        <v>6</v>
      </c>
      <c r="I553" s="485"/>
      <c r="J553" s="475"/>
      <c r="K553" s="483" t="s">
        <v>2647</v>
      </c>
      <c r="L553" s="474" t="s">
        <v>2324</v>
      </c>
      <c r="M553" s="487">
        <v>44540</v>
      </c>
      <c r="N553" s="487">
        <v>44721</v>
      </c>
      <c r="O553" s="487"/>
      <c r="P553" s="475"/>
      <c r="Q553" s="475"/>
      <c r="R553" s="475"/>
      <c r="S553" s="474" t="s">
        <v>1563</v>
      </c>
      <c r="T553" s="474">
        <v>60</v>
      </c>
      <c r="U553" s="474" t="s">
        <v>1281</v>
      </c>
      <c r="V553" s="474" t="s">
        <v>967</v>
      </c>
      <c r="W553" s="474">
        <v>410</v>
      </c>
      <c r="X553" s="476">
        <v>5824</v>
      </c>
      <c r="Y553" s="477">
        <f t="shared" si="118"/>
        <v>2387840</v>
      </c>
      <c r="Z553" s="478">
        <f>192.7/410</f>
        <v>0.47</v>
      </c>
      <c r="AA553" s="479">
        <f t="shared" si="119"/>
        <v>1122284.8</v>
      </c>
      <c r="AB553" s="480"/>
      <c r="AC553" s="481">
        <f>AB553*Y553</f>
        <v>0</v>
      </c>
      <c r="AD553" s="490"/>
      <c r="AE553" s="482"/>
      <c r="AF553" s="493">
        <f>AA553+AE553</f>
        <v>1122284.8</v>
      </c>
      <c r="AG553" s="474" t="s">
        <v>47</v>
      </c>
      <c r="AH553" s="474"/>
      <c r="AI553" s="483" t="s">
        <v>2326</v>
      </c>
      <c r="AJ553" s="474" t="s">
        <v>2327</v>
      </c>
      <c r="AK553" s="494" t="s">
        <v>50</v>
      </c>
      <c r="AL553" s="474">
        <v>91730</v>
      </c>
      <c r="AM553" s="474" t="s">
        <v>52</v>
      </c>
      <c r="AN553" s="474" t="s">
        <v>50</v>
      </c>
      <c r="AO553" s="474"/>
      <c r="AP553" s="486" t="s">
        <v>92</v>
      </c>
      <c r="AQ553" s="486" t="s">
        <v>37</v>
      </c>
      <c r="AR553" s="486"/>
      <c r="AS553" s="495"/>
      <c r="AT553" s="495"/>
      <c r="AU553" s="478"/>
      <c r="AV553" s="471" t="str">
        <f>U553</f>
        <v>30390456H</v>
      </c>
      <c r="AW553" s="471" cm="1">
        <f t="array" ref="AW553">SUM(MID(0&amp;AV553,LARGE(INDEX(ISNUMBER(--MID(AV553,ROW($1:$8),1))*ROW($1:$8),),ROW($1:$8))+1,1)*10^ROW($1:$8)/10)</f>
        <v>30390456</v>
      </c>
      <c r="AX553" s="471" t="str">
        <f>VLOOKUP($AW553,'Item Master Data'!$A:$F,3,FALSE)</f>
        <v>Q.PEAK DUO BLK ML G10+</v>
      </c>
      <c r="AY553" s="471">
        <f>VLOOKUP($AW553,'Item Master Data'!$A:$F,6,FALSE)</f>
        <v>400</v>
      </c>
      <c r="AZ553" s="471">
        <f>X553/BA553</f>
        <v>182</v>
      </c>
      <c r="BA553" s="471">
        <f>VLOOKUP(AW553,'Item Master Data'!$A:$G,7,FALSE)</f>
        <v>32</v>
      </c>
      <c r="BB553" s="471"/>
      <c r="BC553" s="471">
        <f>W553-AY553</f>
        <v>10</v>
      </c>
    </row>
    <row r="554" spans="1:55">
      <c r="A554" s="472"/>
      <c r="B554" s="514">
        <v>44580</v>
      </c>
      <c r="C554" s="514">
        <v>44615</v>
      </c>
      <c r="D554" s="485" t="s">
        <v>2322</v>
      </c>
      <c r="E554" s="474" t="s">
        <v>2485</v>
      </c>
      <c r="F554" s="474"/>
      <c r="G554" s="474">
        <v>2022</v>
      </c>
      <c r="H554" s="474">
        <v>6</v>
      </c>
      <c r="I554" s="485"/>
      <c r="J554" s="475"/>
      <c r="K554" s="483" t="s">
        <v>5692</v>
      </c>
      <c r="L554" s="474" t="s">
        <v>2324</v>
      </c>
      <c r="M554" s="487">
        <v>44540</v>
      </c>
      <c r="N554" s="487">
        <v>44664</v>
      </c>
      <c r="O554" s="487"/>
      <c r="P554" s="475"/>
      <c r="Q554" s="475"/>
      <c r="R554" s="475"/>
      <c r="S554" s="474" t="s">
        <v>1563</v>
      </c>
      <c r="T554" s="474">
        <v>60</v>
      </c>
      <c r="U554" s="474" t="s">
        <v>1760</v>
      </c>
      <c r="V554" s="474" t="s">
        <v>973</v>
      </c>
      <c r="W554" s="474">
        <v>400</v>
      </c>
      <c r="X554" s="476">
        <v>2496</v>
      </c>
      <c r="Y554" s="477">
        <f t="shared" ref="Y554:Y601" si="128">X554*W554</f>
        <v>998400</v>
      </c>
      <c r="Z554" s="478">
        <v>0.47</v>
      </c>
      <c r="AA554" s="479">
        <f t="shared" ref="AA554:AA601" si="129">Z554*Y554</f>
        <v>469248</v>
      </c>
      <c r="AB554" s="480"/>
      <c r="AC554" s="481">
        <v>0</v>
      </c>
      <c r="AD554" s="490"/>
      <c r="AE554" s="482"/>
      <c r="AF554" s="493">
        <v>1251328</v>
      </c>
      <c r="AG554" s="474" t="s">
        <v>47</v>
      </c>
      <c r="AH554" s="474"/>
      <c r="AI554" s="483" t="s">
        <v>2326</v>
      </c>
      <c r="AJ554" s="474" t="s">
        <v>2338</v>
      </c>
      <c r="AK554" s="494" t="s">
        <v>1347</v>
      </c>
      <c r="AL554" s="474">
        <v>17402</v>
      </c>
      <c r="AM554" s="474" t="s">
        <v>52</v>
      </c>
      <c r="AN554" s="474" t="s">
        <v>50</v>
      </c>
      <c r="AO554" s="474"/>
      <c r="AP554" s="486" t="s">
        <v>92</v>
      </c>
      <c r="AQ554" s="486" t="s">
        <v>37</v>
      </c>
      <c r="AR554" s="486"/>
      <c r="AS554" s="495"/>
      <c r="AT554" s="495"/>
      <c r="AU554" s="478"/>
      <c r="AV554" s="471" t="str">
        <f>U554</f>
        <v>30390156H</v>
      </c>
      <c r="AW554" s="471" cm="1">
        <f t="array" ref="AW554">SUM(MID(0&amp;AV554,LARGE(INDEX(ISNUMBER(--MID(AV554,ROW($1:$8),1))*ROW($1:$8),),ROW($1:$8))+1,1)*10^ROW($1:$8)/10)</f>
        <v>30390156</v>
      </c>
      <c r="AX554" s="471" t="str">
        <f>VLOOKUP($AW554,'Item Master Data'!$A:$F,3,FALSE)</f>
        <v>Q.PEAK DUO BLK ML G10+</v>
      </c>
      <c r="AY554" s="471">
        <f>VLOOKUP($AW554,'Item Master Data'!$A:$F,6,FALSE)</f>
        <v>400</v>
      </c>
      <c r="AZ554" s="471">
        <f>X554/BA554</f>
        <v>78</v>
      </c>
      <c r="BA554" s="471">
        <f>VLOOKUP(AW554,'Item Master Data'!$A:$G,7,FALSE)</f>
        <v>32</v>
      </c>
      <c r="BB554" s="471"/>
      <c r="BC554" s="471">
        <f>W554-AY554</f>
        <v>0</v>
      </c>
    </row>
    <row r="555" spans="1:55">
      <c r="A555" s="472"/>
      <c r="B555" s="514">
        <v>44580</v>
      </c>
      <c r="C555" s="514">
        <v>44615</v>
      </c>
      <c r="D555" s="485" t="s">
        <v>2322</v>
      </c>
      <c r="E555" s="474" t="s">
        <v>2485</v>
      </c>
      <c r="F555" s="474"/>
      <c r="G555" s="474">
        <v>2022</v>
      </c>
      <c r="H555" s="474">
        <v>6</v>
      </c>
      <c r="I555" s="485"/>
      <c r="J555" s="475"/>
      <c r="K555" s="483" t="s">
        <v>2648</v>
      </c>
      <c r="L555" s="474" t="s">
        <v>2324</v>
      </c>
      <c r="M555" s="487">
        <v>44540</v>
      </c>
      <c r="N555" s="487">
        <v>44696</v>
      </c>
      <c r="O555" s="487"/>
      <c r="P555" s="475"/>
      <c r="Q555" s="475"/>
      <c r="R555" s="475"/>
      <c r="S555" s="474" t="s">
        <v>1563</v>
      </c>
      <c r="T555" s="474">
        <v>60</v>
      </c>
      <c r="U555" s="474" t="s">
        <v>1281</v>
      </c>
      <c r="V555" s="474" t="s">
        <v>973</v>
      </c>
      <c r="W555" s="474">
        <v>400</v>
      </c>
      <c r="X555" s="476">
        <v>6656</v>
      </c>
      <c r="Y555" s="477">
        <f t="shared" si="128"/>
        <v>2662400</v>
      </c>
      <c r="Z555" s="478">
        <v>0.47</v>
      </c>
      <c r="AA555" s="479">
        <f t="shared" si="129"/>
        <v>1251328</v>
      </c>
      <c r="AB555" s="480"/>
      <c r="AC555" s="481">
        <v>0</v>
      </c>
      <c r="AD555" s="490"/>
      <c r="AE555" s="482"/>
      <c r="AF555" s="493">
        <v>1251328</v>
      </c>
      <c r="AG555" s="474" t="s">
        <v>47</v>
      </c>
      <c r="AH555" s="474"/>
      <c r="AI555" s="483" t="s">
        <v>2326</v>
      </c>
      <c r="AJ555" s="474" t="s">
        <v>2338</v>
      </c>
      <c r="AK555" s="494" t="s">
        <v>1347</v>
      </c>
      <c r="AL555" s="474">
        <v>17402</v>
      </c>
      <c r="AM555" s="474" t="s">
        <v>52</v>
      </c>
      <c r="AN555" s="474"/>
      <c r="AO555" s="474"/>
      <c r="AP555" s="486"/>
      <c r="AQ555" s="486" t="s">
        <v>37</v>
      </c>
      <c r="AR555" s="486"/>
      <c r="AS555" s="495"/>
      <c r="AT555" s="495"/>
      <c r="AU555" s="478"/>
      <c r="AV555" s="471" t="str">
        <f>U555</f>
        <v>30390456H</v>
      </c>
      <c r="AW555" s="471" cm="1">
        <f t="array" ref="AW555">SUM(MID(0&amp;AV555,LARGE(INDEX(ISNUMBER(--MID(AV555,ROW($1:$8),1))*ROW($1:$8),),ROW($1:$8))+1,1)*10^ROW($1:$8)/10)</f>
        <v>30390456</v>
      </c>
      <c r="AX555" s="471" t="str">
        <f>VLOOKUP($AW555,'Item Master Data'!$A:$F,3,FALSE)</f>
        <v>Q.PEAK DUO BLK ML G10+</v>
      </c>
      <c r="AY555" s="471">
        <f>VLOOKUP($AW555,'Item Master Data'!$A:$F,6,FALSE)</f>
        <v>400</v>
      </c>
      <c r="AZ555" s="471">
        <f>X555/BA555</f>
        <v>208</v>
      </c>
      <c r="BA555" s="471">
        <f>VLOOKUP(AW555,'Item Master Data'!$A:$G,7,FALSE)</f>
        <v>32</v>
      </c>
      <c r="BB555" s="471"/>
      <c r="BC555" s="471">
        <f>W555-AY555</f>
        <v>0</v>
      </c>
    </row>
    <row r="556" spans="1:55">
      <c r="A556" s="472"/>
      <c r="B556" s="514">
        <v>44580</v>
      </c>
      <c r="C556" s="514">
        <v>44615</v>
      </c>
      <c r="D556" s="485" t="s">
        <v>2322</v>
      </c>
      <c r="E556" s="474" t="s">
        <v>2485</v>
      </c>
      <c r="F556" s="474"/>
      <c r="G556" s="474">
        <v>2022</v>
      </c>
      <c r="H556" s="474">
        <v>6</v>
      </c>
      <c r="I556" s="485"/>
      <c r="J556" s="475"/>
      <c r="K556" s="483" t="s">
        <v>2649</v>
      </c>
      <c r="L556" s="474" t="s">
        <v>2324</v>
      </c>
      <c r="M556" s="487">
        <v>44540</v>
      </c>
      <c r="N556" s="487">
        <v>44690</v>
      </c>
      <c r="O556" s="487"/>
      <c r="P556" s="475"/>
      <c r="Q556" s="475"/>
      <c r="R556" s="475"/>
      <c r="S556" s="474" t="s">
        <v>1563</v>
      </c>
      <c r="T556" s="474">
        <v>60</v>
      </c>
      <c r="U556" s="474" t="s">
        <v>1281</v>
      </c>
      <c r="V556" s="474" t="s">
        <v>973</v>
      </c>
      <c r="W556" s="474">
        <v>400</v>
      </c>
      <c r="X556" s="476">
        <v>6656</v>
      </c>
      <c r="Y556" s="477">
        <f t="shared" si="128"/>
        <v>2662400</v>
      </c>
      <c r="Z556" s="478">
        <v>0.47</v>
      </c>
      <c r="AA556" s="479">
        <f t="shared" si="129"/>
        <v>1251328</v>
      </c>
      <c r="AB556" s="480"/>
      <c r="AC556" s="481">
        <v>0</v>
      </c>
      <c r="AD556" s="490"/>
      <c r="AE556" s="482"/>
      <c r="AF556" s="493">
        <v>1251328</v>
      </c>
      <c r="AG556" s="474" t="s">
        <v>47</v>
      </c>
      <c r="AH556" s="474"/>
      <c r="AI556" s="483" t="s">
        <v>2326</v>
      </c>
      <c r="AJ556" s="474" t="s">
        <v>2338</v>
      </c>
      <c r="AK556" s="494" t="s">
        <v>1347</v>
      </c>
      <c r="AL556" s="474">
        <v>17402</v>
      </c>
      <c r="AM556" s="474" t="s">
        <v>52</v>
      </c>
      <c r="AN556" s="474"/>
      <c r="AO556" s="474"/>
      <c r="AP556" s="486"/>
      <c r="AQ556" s="486" t="s">
        <v>37</v>
      </c>
      <c r="AR556" s="486"/>
      <c r="AS556" s="495"/>
      <c r="AT556" s="495"/>
      <c r="AU556" s="478"/>
      <c r="AV556" s="471" t="str">
        <f>U556</f>
        <v>30390456H</v>
      </c>
      <c r="AW556" s="471" cm="1">
        <f t="array" ref="AW556">SUM(MID(0&amp;AV556,LARGE(INDEX(ISNUMBER(--MID(AV556,ROW($1:$8),1))*ROW($1:$8),),ROW($1:$8))+1,1)*10^ROW($1:$8)/10)</f>
        <v>30390456</v>
      </c>
      <c r="AX556" s="471" t="str">
        <f>VLOOKUP($AW556,'Item Master Data'!$A:$F,3,FALSE)</f>
        <v>Q.PEAK DUO BLK ML G10+</v>
      </c>
      <c r="AY556" s="471">
        <f>VLOOKUP($AW556,'Item Master Data'!$A:$F,6,FALSE)</f>
        <v>400</v>
      </c>
      <c r="AZ556" s="471">
        <f>X556/BA556</f>
        <v>208</v>
      </c>
      <c r="BA556" s="471">
        <f>VLOOKUP(AW556,'Item Master Data'!$A:$G,7,FALSE)</f>
        <v>32</v>
      </c>
      <c r="BB556" s="471"/>
      <c r="BC556" s="471">
        <f>W556-AY556</f>
        <v>0</v>
      </c>
    </row>
    <row r="557" spans="1:55">
      <c r="A557" s="472"/>
      <c r="B557" s="514">
        <v>44580</v>
      </c>
      <c r="C557" s="514">
        <v>44615</v>
      </c>
      <c r="D557" s="485" t="s">
        <v>2322</v>
      </c>
      <c r="E557" s="474" t="s">
        <v>2485</v>
      </c>
      <c r="F557" s="474"/>
      <c r="G557" s="474">
        <v>2022</v>
      </c>
      <c r="H557" s="474">
        <v>6</v>
      </c>
      <c r="I557" s="485"/>
      <c r="J557" s="475"/>
      <c r="K557" s="483" t="s">
        <v>2650</v>
      </c>
      <c r="L557" s="474" t="s">
        <v>2324</v>
      </c>
      <c r="M557" s="487">
        <v>44543</v>
      </c>
      <c r="N557" s="487">
        <v>44692</v>
      </c>
      <c r="O557" s="487"/>
      <c r="P557" s="475"/>
      <c r="Q557" s="475"/>
      <c r="R557" s="475"/>
      <c r="S557" s="474" t="s">
        <v>1563</v>
      </c>
      <c r="T557" s="474">
        <v>60</v>
      </c>
      <c r="U557" s="474" t="s">
        <v>1281</v>
      </c>
      <c r="V557" s="474" t="s">
        <v>973</v>
      </c>
      <c r="W557" s="474">
        <v>400</v>
      </c>
      <c r="X557" s="476">
        <v>6656</v>
      </c>
      <c r="Y557" s="477">
        <f t="shared" si="128"/>
        <v>2662400</v>
      </c>
      <c r="Z557" s="478">
        <v>0.47</v>
      </c>
      <c r="AA557" s="479">
        <f t="shared" si="129"/>
        <v>1251328</v>
      </c>
      <c r="AB557" s="480"/>
      <c r="AC557" s="481">
        <v>0</v>
      </c>
      <c r="AD557" s="490"/>
      <c r="AE557" s="482"/>
      <c r="AF557" s="493">
        <v>1251328</v>
      </c>
      <c r="AG557" s="474" t="s">
        <v>47</v>
      </c>
      <c r="AH557" s="474"/>
      <c r="AI557" s="483" t="s">
        <v>2326</v>
      </c>
      <c r="AJ557" s="474" t="s">
        <v>1580</v>
      </c>
      <c r="AK557" s="494" t="s">
        <v>1073</v>
      </c>
      <c r="AL557" s="474">
        <v>21075</v>
      </c>
      <c r="AM557" s="474" t="s">
        <v>52</v>
      </c>
      <c r="AN557" s="474"/>
      <c r="AO557" s="474"/>
      <c r="AP557" s="486"/>
      <c r="AQ557" s="486" t="s">
        <v>37</v>
      </c>
      <c r="AR557" s="486"/>
      <c r="AS557" s="495"/>
      <c r="AT557" s="495"/>
      <c r="AU557" s="478"/>
      <c r="AV557" s="471"/>
      <c r="AW557" s="471"/>
      <c r="AX557" s="471"/>
      <c r="AY557" s="471"/>
      <c r="AZ557" s="471"/>
      <c r="BA557" s="471"/>
      <c r="BB557" s="471"/>
      <c r="BC557" s="471"/>
    </row>
    <row r="558" spans="1:55">
      <c r="A558" s="472"/>
      <c r="B558" s="514">
        <v>44580</v>
      </c>
      <c r="C558" s="514">
        <v>44615</v>
      </c>
      <c r="D558" s="485" t="s">
        <v>2322</v>
      </c>
      <c r="E558" s="474" t="s">
        <v>2485</v>
      </c>
      <c r="F558" s="474"/>
      <c r="G558" s="474">
        <v>2022</v>
      </c>
      <c r="H558" s="474">
        <v>6</v>
      </c>
      <c r="I558" s="485"/>
      <c r="J558" s="475"/>
      <c r="K558" s="483" t="s">
        <v>2651</v>
      </c>
      <c r="L558" s="474" t="s">
        <v>2324</v>
      </c>
      <c r="M558" s="487">
        <v>44543</v>
      </c>
      <c r="N558" s="487">
        <v>44694</v>
      </c>
      <c r="O558" s="487"/>
      <c r="P558" s="475"/>
      <c r="Q558" s="475"/>
      <c r="R558" s="475"/>
      <c r="S558" s="474" t="s">
        <v>1563</v>
      </c>
      <c r="T558" s="474">
        <v>60</v>
      </c>
      <c r="U558" s="474" t="s">
        <v>1281</v>
      </c>
      <c r="V558" s="474" t="s">
        <v>973</v>
      </c>
      <c r="W558" s="474">
        <v>400</v>
      </c>
      <c r="X558" s="476">
        <v>6656</v>
      </c>
      <c r="Y558" s="477">
        <f t="shared" si="128"/>
        <v>2662400</v>
      </c>
      <c r="Z558" s="478">
        <v>0.47</v>
      </c>
      <c r="AA558" s="479">
        <f t="shared" si="129"/>
        <v>1251328</v>
      </c>
      <c r="AB558" s="480"/>
      <c r="AC558" s="481">
        <v>0</v>
      </c>
      <c r="AD558" s="490"/>
      <c r="AE558" s="482"/>
      <c r="AF558" s="493">
        <v>1251328</v>
      </c>
      <c r="AG558" s="474" t="s">
        <v>47</v>
      </c>
      <c r="AH558" s="474"/>
      <c r="AI558" s="483" t="s">
        <v>2326</v>
      </c>
      <c r="AJ558" s="474" t="s">
        <v>1580</v>
      </c>
      <c r="AK558" s="494" t="s">
        <v>1073</v>
      </c>
      <c r="AL558" s="474">
        <v>21075</v>
      </c>
      <c r="AM558" s="474" t="s">
        <v>52</v>
      </c>
      <c r="AN558" s="474"/>
      <c r="AO558" s="474"/>
      <c r="AP558" s="486"/>
      <c r="AQ558" s="486" t="s">
        <v>37</v>
      </c>
      <c r="AR558" s="486"/>
      <c r="AS558" s="495"/>
      <c r="AT558" s="495"/>
      <c r="AU558" s="478"/>
      <c r="AV558" s="471"/>
      <c r="AW558" s="471"/>
      <c r="AX558" s="471"/>
      <c r="AY558" s="471"/>
      <c r="AZ558" s="471"/>
      <c r="BA558" s="471"/>
      <c r="BB558" s="471"/>
      <c r="BC558" s="471"/>
    </row>
    <row r="559" spans="1:55">
      <c r="A559" s="472"/>
      <c r="B559" s="514">
        <v>44580</v>
      </c>
      <c r="C559" s="514">
        <v>44615</v>
      </c>
      <c r="D559" s="485" t="s">
        <v>2322</v>
      </c>
      <c r="E559" s="474" t="s">
        <v>2485</v>
      </c>
      <c r="F559" s="474"/>
      <c r="G559" s="474">
        <v>2022</v>
      </c>
      <c r="H559" s="474">
        <v>6</v>
      </c>
      <c r="I559" s="485"/>
      <c r="J559" s="475"/>
      <c r="K559" s="483" t="s">
        <v>2652</v>
      </c>
      <c r="L559" s="474" t="s">
        <v>2324</v>
      </c>
      <c r="M559" s="487">
        <v>44546</v>
      </c>
      <c r="N559" s="487">
        <v>44706</v>
      </c>
      <c r="O559" s="487"/>
      <c r="P559" s="475"/>
      <c r="Q559" s="475"/>
      <c r="R559" s="475"/>
      <c r="S559" s="474" t="s">
        <v>1563</v>
      </c>
      <c r="T559" s="474">
        <v>60</v>
      </c>
      <c r="U559" s="474" t="s">
        <v>1281</v>
      </c>
      <c r="V559" s="474" t="s">
        <v>973</v>
      </c>
      <c r="W559" s="474">
        <v>400</v>
      </c>
      <c r="X559" s="476">
        <v>7488</v>
      </c>
      <c r="Y559" s="477">
        <f t="shared" si="128"/>
        <v>2995200</v>
      </c>
      <c r="Z559" s="478">
        <v>0.48499999999999999</v>
      </c>
      <c r="AA559" s="479">
        <f t="shared" si="129"/>
        <v>1452672</v>
      </c>
      <c r="AB559" s="480"/>
      <c r="AC559" s="481">
        <v>0</v>
      </c>
      <c r="AD559" s="490"/>
      <c r="AE559" s="482"/>
      <c r="AF559" s="493">
        <v>1452672</v>
      </c>
      <c r="AG559" s="474" t="s">
        <v>47</v>
      </c>
      <c r="AH559" s="474"/>
      <c r="AI559" s="483" t="s">
        <v>2326</v>
      </c>
      <c r="AJ559" s="474" t="s">
        <v>2338</v>
      </c>
      <c r="AK559" s="494" t="s">
        <v>1347</v>
      </c>
      <c r="AL559" s="474">
        <v>17402</v>
      </c>
      <c r="AM559" s="474" t="s">
        <v>52</v>
      </c>
      <c r="AN559" s="474"/>
      <c r="AO559" s="474"/>
      <c r="AP559" s="486"/>
      <c r="AQ559" s="486" t="s">
        <v>37</v>
      </c>
      <c r="AR559" s="486"/>
      <c r="AS559" s="495"/>
      <c r="AT559" s="495"/>
      <c r="AU559" s="478"/>
      <c r="AV559" s="471" t="str">
        <f t="shared" ref="AV559:AV568" si="130">U559</f>
        <v>30390456H</v>
      </c>
      <c r="AW559" s="471" cm="1">
        <f t="array" ref="AW559">SUM(MID(0&amp;AV559,LARGE(INDEX(ISNUMBER(--MID(AV559,ROW($1:$8),1))*ROW($1:$8),),ROW($1:$8))+1,1)*10^ROW($1:$8)/10)</f>
        <v>30390456</v>
      </c>
      <c r="AX559" s="471" t="str">
        <f>VLOOKUP($AW559,'Item Master Data'!$A:$F,3,FALSE)</f>
        <v>Q.PEAK DUO BLK ML G10+</v>
      </c>
      <c r="AY559" s="471">
        <f>VLOOKUP($AW559,'Item Master Data'!$A:$F,6,FALSE)</f>
        <v>400</v>
      </c>
      <c r="AZ559" s="471">
        <f t="shared" ref="AZ559:AZ568" si="131">X559/BA559</f>
        <v>234</v>
      </c>
      <c r="BA559" s="471">
        <f>VLOOKUP(AW559,'Item Master Data'!$A:$G,7,FALSE)</f>
        <v>32</v>
      </c>
      <c r="BB559" s="471"/>
      <c r="BC559" s="471">
        <f t="shared" ref="BC559:BC568" si="132">W559-AY559</f>
        <v>0</v>
      </c>
    </row>
    <row r="560" spans="1:55">
      <c r="A560" s="472"/>
      <c r="B560" s="514">
        <v>44580</v>
      </c>
      <c r="C560" s="514">
        <v>44615</v>
      </c>
      <c r="D560" s="485" t="s">
        <v>2322</v>
      </c>
      <c r="E560" s="474"/>
      <c r="F560" s="474"/>
      <c r="G560" s="474">
        <v>2022</v>
      </c>
      <c r="H560" s="474">
        <v>6</v>
      </c>
      <c r="I560" s="485"/>
      <c r="J560" s="475"/>
      <c r="K560" s="483" t="s">
        <v>2598</v>
      </c>
      <c r="L560" s="474" t="s">
        <v>2324</v>
      </c>
      <c r="M560" s="487">
        <v>44547</v>
      </c>
      <c r="N560" s="487">
        <v>44637</v>
      </c>
      <c r="O560" s="487"/>
      <c r="P560" s="475"/>
      <c r="Q560" s="475"/>
      <c r="R560" s="475"/>
      <c r="S560" s="474" t="s">
        <v>1563</v>
      </c>
      <c r="T560" s="474">
        <v>60</v>
      </c>
      <c r="U560" s="474" t="s">
        <v>2496</v>
      </c>
      <c r="V560" s="474" t="s">
        <v>967</v>
      </c>
      <c r="W560" s="474">
        <v>410</v>
      </c>
      <c r="X560" s="476">
        <v>2496</v>
      </c>
      <c r="Y560" s="491">
        <f t="shared" si="128"/>
        <v>1023360</v>
      </c>
      <c r="Z560" s="478">
        <f>192.7/410</f>
        <v>0.47</v>
      </c>
      <c r="AA560" s="479">
        <f t="shared" si="129"/>
        <v>480979.19999999995</v>
      </c>
      <c r="AB560" s="480"/>
      <c r="AC560" s="481">
        <f>AB560*Y560</f>
        <v>0</v>
      </c>
      <c r="AD560" s="490"/>
      <c r="AE560" s="482"/>
      <c r="AF560" s="493">
        <f>AA560+AE560</f>
        <v>480979.19999999995</v>
      </c>
      <c r="AG560" s="474" t="s">
        <v>47</v>
      </c>
      <c r="AH560" s="474"/>
      <c r="AI560" s="483" t="s">
        <v>2326</v>
      </c>
      <c r="AJ560" s="474" t="s">
        <v>2327</v>
      </c>
      <c r="AK560" s="494" t="s">
        <v>50</v>
      </c>
      <c r="AL560" s="474">
        <v>91730</v>
      </c>
      <c r="AM560" s="474" t="s">
        <v>52</v>
      </c>
      <c r="AN560" s="474" t="s">
        <v>50</v>
      </c>
      <c r="AO560" s="474"/>
      <c r="AP560" s="486" t="s">
        <v>92</v>
      </c>
      <c r="AQ560" s="486" t="s">
        <v>37</v>
      </c>
      <c r="AR560" s="486"/>
      <c r="AS560" s="495"/>
      <c r="AT560" s="495"/>
      <c r="AU560" s="478"/>
      <c r="AV560" s="471" t="str">
        <f t="shared" si="130"/>
        <v>30385558F</v>
      </c>
      <c r="AW560" s="471" cm="1">
        <f t="array" ref="AW560">SUM(MID(0&amp;AV560,LARGE(INDEX(ISNUMBER(--MID(AV560,ROW($1:$8),1))*ROW($1:$8),),ROW($1:$8))+1,1)*10^ROW($1:$8)/10)</f>
        <v>30385558</v>
      </c>
      <c r="AX560" s="471" t="str">
        <f>VLOOKUP($AW560,'Item Master Data'!$A:$F,3,FALSE)</f>
        <v>Q.PEAK DUO ML G10+</v>
      </c>
      <c r="AY560" s="471">
        <f>VLOOKUP($AW560,'Item Master Data'!$A:$F,6,FALSE)</f>
        <v>410</v>
      </c>
      <c r="AZ560" s="471">
        <f t="shared" si="131"/>
        <v>78</v>
      </c>
      <c r="BA560" s="471">
        <f>VLOOKUP(AW560,'Item Master Data'!$A:$G,7,FALSE)</f>
        <v>32</v>
      </c>
      <c r="BB560" s="471"/>
      <c r="BC560" s="471">
        <f t="shared" si="132"/>
        <v>0</v>
      </c>
    </row>
    <row r="561" spans="1:55">
      <c r="A561" s="472"/>
      <c r="B561" s="514">
        <v>44580</v>
      </c>
      <c r="C561" s="514">
        <v>44615</v>
      </c>
      <c r="D561" s="485" t="s">
        <v>2322</v>
      </c>
      <c r="E561" s="474"/>
      <c r="F561" s="474"/>
      <c r="G561" s="474">
        <v>2022</v>
      </c>
      <c r="H561" s="474">
        <v>6</v>
      </c>
      <c r="I561" s="485"/>
      <c r="J561" s="475"/>
      <c r="K561" s="483" t="s">
        <v>2599</v>
      </c>
      <c r="L561" s="474" t="s">
        <v>2324</v>
      </c>
      <c r="M561" s="487">
        <v>44547</v>
      </c>
      <c r="N561" s="487">
        <v>44642</v>
      </c>
      <c r="O561" s="487"/>
      <c r="P561" s="475"/>
      <c r="Q561" s="475"/>
      <c r="R561" s="475"/>
      <c r="S561" s="474" t="s">
        <v>1563</v>
      </c>
      <c r="T561" s="474">
        <v>60</v>
      </c>
      <c r="U561" s="474" t="s">
        <v>2496</v>
      </c>
      <c r="V561" s="474" t="s">
        <v>967</v>
      </c>
      <c r="W561" s="474">
        <v>410</v>
      </c>
      <c r="X561" s="476">
        <v>2496</v>
      </c>
      <c r="Y561" s="491">
        <f t="shared" si="128"/>
        <v>1023360</v>
      </c>
      <c r="Z561" s="478">
        <f>192.7/410</f>
        <v>0.47</v>
      </c>
      <c r="AA561" s="479">
        <f t="shared" si="129"/>
        <v>480979.19999999995</v>
      </c>
      <c r="AB561" s="480"/>
      <c r="AC561" s="481">
        <f>AB561*Y561</f>
        <v>0</v>
      </c>
      <c r="AD561" s="490"/>
      <c r="AE561" s="482"/>
      <c r="AF561" s="493">
        <f>AA561+AE561</f>
        <v>480979.19999999995</v>
      </c>
      <c r="AG561" s="474" t="s">
        <v>47</v>
      </c>
      <c r="AH561" s="474"/>
      <c r="AI561" s="483" t="s">
        <v>2326</v>
      </c>
      <c r="AJ561" s="474" t="s">
        <v>2327</v>
      </c>
      <c r="AK561" s="494" t="s">
        <v>50</v>
      </c>
      <c r="AL561" s="474">
        <v>91730</v>
      </c>
      <c r="AM561" s="474" t="s">
        <v>52</v>
      </c>
      <c r="AN561" s="474" t="s">
        <v>50</v>
      </c>
      <c r="AO561" s="474"/>
      <c r="AP561" s="486" t="s">
        <v>92</v>
      </c>
      <c r="AQ561" s="486" t="s">
        <v>37</v>
      </c>
      <c r="AR561" s="486"/>
      <c r="AS561" s="495"/>
      <c r="AT561" s="495"/>
      <c r="AU561" s="478"/>
      <c r="AV561" s="471" t="str">
        <f t="shared" si="130"/>
        <v>30385558F</v>
      </c>
      <c r="AW561" s="471" cm="1">
        <f t="array" ref="AW561">SUM(MID(0&amp;AV561,LARGE(INDEX(ISNUMBER(--MID(AV561,ROW($1:$8),1))*ROW($1:$8),),ROW($1:$8))+1,1)*10^ROW($1:$8)/10)</f>
        <v>30385558</v>
      </c>
      <c r="AX561" s="471" t="str">
        <f>VLOOKUP($AW561,'Item Master Data'!$A:$F,3,FALSE)</f>
        <v>Q.PEAK DUO ML G10+</v>
      </c>
      <c r="AY561" s="471">
        <f>VLOOKUP($AW561,'Item Master Data'!$A:$F,6,FALSE)</f>
        <v>410</v>
      </c>
      <c r="AZ561" s="471">
        <f t="shared" si="131"/>
        <v>78</v>
      </c>
      <c r="BA561" s="471">
        <f>VLOOKUP(AW561,'Item Master Data'!$A:$G,7,FALSE)</f>
        <v>32</v>
      </c>
      <c r="BB561" s="471"/>
      <c r="BC561" s="471">
        <f t="shared" si="132"/>
        <v>0</v>
      </c>
    </row>
    <row r="562" spans="1:55">
      <c r="A562" s="472"/>
      <c r="B562" s="514">
        <v>44580</v>
      </c>
      <c r="C562" s="514">
        <v>44615</v>
      </c>
      <c r="D562" s="485" t="s">
        <v>2322</v>
      </c>
      <c r="E562" s="474" t="s">
        <v>2497</v>
      </c>
      <c r="F562" s="474"/>
      <c r="G562" s="474">
        <v>2022</v>
      </c>
      <c r="H562" s="474">
        <v>6</v>
      </c>
      <c r="I562" s="485"/>
      <c r="J562" s="475"/>
      <c r="K562" s="483" t="s">
        <v>2599</v>
      </c>
      <c r="L562" s="474" t="s">
        <v>2324</v>
      </c>
      <c r="M562" s="487">
        <v>44547</v>
      </c>
      <c r="N562" s="487">
        <v>44642</v>
      </c>
      <c r="O562" s="487"/>
      <c r="P562" s="475"/>
      <c r="Q562" s="475"/>
      <c r="R562" s="475"/>
      <c r="S562" s="474" t="s">
        <v>1563</v>
      </c>
      <c r="T562" s="474">
        <v>60</v>
      </c>
      <c r="U562" s="474" t="s">
        <v>1281</v>
      </c>
      <c r="V562" s="474" t="s">
        <v>967</v>
      </c>
      <c r="W562" s="474">
        <v>410</v>
      </c>
      <c r="X562" s="476">
        <f>9984-2496</f>
        <v>7488</v>
      </c>
      <c r="Y562" s="491">
        <f t="shared" si="128"/>
        <v>3070080</v>
      </c>
      <c r="Z562" s="478">
        <f>192.7/410</f>
        <v>0.47</v>
      </c>
      <c r="AA562" s="479">
        <f t="shared" si="129"/>
        <v>1442937.5999999999</v>
      </c>
      <c r="AB562" s="480"/>
      <c r="AC562" s="481">
        <f>AB562*Y562</f>
        <v>0</v>
      </c>
      <c r="AD562" s="490"/>
      <c r="AE562" s="482"/>
      <c r="AF562" s="493">
        <f>AA562+AE562</f>
        <v>1442937.5999999999</v>
      </c>
      <c r="AG562" s="474" t="s">
        <v>47</v>
      </c>
      <c r="AH562" s="474"/>
      <c r="AI562" s="483" t="s">
        <v>2326</v>
      </c>
      <c r="AJ562" s="474" t="s">
        <v>2327</v>
      </c>
      <c r="AK562" s="494" t="s">
        <v>50</v>
      </c>
      <c r="AL562" s="474">
        <v>91730</v>
      </c>
      <c r="AM562" s="474" t="s">
        <v>52</v>
      </c>
      <c r="AN562" s="474" t="s">
        <v>50</v>
      </c>
      <c r="AO562" s="474"/>
      <c r="AP562" s="486" t="s">
        <v>92</v>
      </c>
      <c r="AQ562" s="486" t="s">
        <v>37</v>
      </c>
      <c r="AR562" s="486"/>
      <c r="AS562" s="495"/>
      <c r="AT562" s="495"/>
      <c r="AU562" s="478"/>
      <c r="AV562" s="471" t="str">
        <f t="shared" si="130"/>
        <v>30390456H</v>
      </c>
      <c r="AW562" s="471" cm="1">
        <f t="array" ref="AW562">SUM(MID(0&amp;AV562,LARGE(INDEX(ISNUMBER(--MID(AV562,ROW($1:$8),1))*ROW($1:$8),),ROW($1:$8))+1,1)*10^ROW($1:$8)/10)</f>
        <v>30390456</v>
      </c>
      <c r="AX562" s="471" t="str">
        <f>VLOOKUP($AW562,'Item Master Data'!$A:$F,3,FALSE)</f>
        <v>Q.PEAK DUO BLK ML G10+</v>
      </c>
      <c r="AY562" s="471">
        <f>VLOOKUP($AW562,'Item Master Data'!$A:$F,6,FALSE)</f>
        <v>400</v>
      </c>
      <c r="AZ562" s="471">
        <f t="shared" si="131"/>
        <v>234</v>
      </c>
      <c r="BA562" s="471">
        <f>VLOOKUP(AW562,'Item Master Data'!$A:$G,7,FALSE)</f>
        <v>32</v>
      </c>
      <c r="BB562" s="471"/>
      <c r="BC562" s="471">
        <f t="shared" si="132"/>
        <v>10</v>
      </c>
    </row>
    <row r="563" spans="1:55">
      <c r="A563" s="472"/>
      <c r="B563" s="514"/>
      <c r="C563" s="514">
        <v>44636</v>
      </c>
      <c r="D563" s="485" t="s">
        <v>2322</v>
      </c>
      <c r="E563" s="474"/>
      <c r="F563" s="474"/>
      <c r="G563" s="474">
        <v>2022</v>
      </c>
      <c r="H563" s="474">
        <v>6</v>
      </c>
      <c r="I563" s="485"/>
      <c r="J563" s="475"/>
      <c r="K563" s="483" t="s">
        <v>2653</v>
      </c>
      <c r="L563" s="474" t="s">
        <v>2654</v>
      </c>
      <c r="M563" s="487">
        <v>44628</v>
      </c>
      <c r="N563" s="487">
        <v>44648</v>
      </c>
      <c r="O563" s="487"/>
      <c r="P563" s="475"/>
      <c r="Q563" s="475"/>
      <c r="R563" s="475"/>
      <c r="S563" s="474" t="s">
        <v>1563</v>
      </c>
      <c r="T563" s="474">
        <v>72</v>
      </c>
      <c r="U563" s="474" t="s">
        <v>1281</v>
      </c>
      <c r="V563" s="474" t="s">
        <v>1110</v>
      </c>
      <c r="W563" s="474">
        <v>480</v>
      </c>
      <c r="X563" s="476">
        <v>832</v>
      </c>
      <c r="Y563" s="477">
        <f t="shared" si="128"/>
        <v>399360</v>
      </c>
      <c r="Z563" s="478">
        <f>237.6/480</f>
        <v>0.495</v>
      </c>
      <c r="AA563" s="479">
        <f t="shared" si="129"/>
        <v>197683.20000000001</v>
      </c>
      <c r="AB563" s="480"/>
      <c r="AC563" s="481">
        <f>AB563*Y563</f>
        <v>0</v>
      </c>
      <c r="AD563" s="490"/>
      <c r="AE563" s="482"/>
      <c r="AF563" s="493">
        <f>AA563+AE563</f>
        <v>197683.20000000001</v>
      </c>
      <c r="AG563" s="474" t="s">
        <v>47</v>
      </c>
      <c r="AH563" s="474"/>
      <c r="AI563" s="483" t="s">
        <v>2326</v>
      </c>
      <c r="AJ563" s="474" t="s">
        <v>2655</v>
      </c>
      <c r="AK563" s="494" t="s">
        <v>1347</v>
      </c>
      <c r="AL563" s="474">
        <v>17026</v>
      </c>
      <c r="AM563" s="474" t="s">
        <v>52</v>
      </c>
      <c r="AN563" s="474" t="s">
        <v>1074</v>
      </c>
      <c r="AO563" s="474"/>
      <c r="AP563" s="486"/>
      <c r="AQ563" s="486" t="s">
        <v>37</v>
      </c>
      <c r="AR563" s="486"/>
      <c r="AS563" s="495"/>
      <c r="AT563" s="495"/>
      <c r="AU563" s="478"/>
      <c r="AV563" s="471" t="str">
        <f t="shared" si="130"/>
        <v>30390456H</v>
      </c>
      <c r="AW563" s="471" cm="1">
        <f t="array" ref="AW563">SUM(MID(0&amp;AV563,LARGE(INDEX(ISNUMBER(--MID(AV563,ROW($1:$8),1))*ROW($1:$8),),ROW($1:$8))+1,1)*10^ROW($1:$8)/10)</f>
        <v>30390456</v>
      </c>
      <c r="AX563" s="471" t="str">
        <f>VLOOKUP($AW563,'Item Master Data'!$A:$F,3,FALSE)</f>
        <v>Q.PEAK DUO BLK ML G10+</v>
      </c>
      <c r="AY563" s="471">
        <f>VLOOKUP($AW563,'Item Master Data'!$A:$F,6,FALSE)</f>
        <v>400</v>
      </c>
      <c r="AZ563" s="471">
        <f t="shared" si="131"/>
        <v>26</v>
      </c>
      <c r="BA563" s="471">
        <f>VLOOKUP(AW563,'Item Master Data'!$A:$G,7,FALSE)</f>
        <v>32</v>
      </c>
      <c r="BB563" s="471"/>
      <c r="BC563" s="471">
        <f t="shared" si="132"/>
        <v>80</v>
      </c>
    </row>
    <row r="564" spans="1:55">
      <c r="A564" s="472"/>
      <c r="B564" s="514"/>
      <c r="C564" s="514">
        <v>44636</v>
      </c>
      <c r="D564" s="485" t="s">
        <v>2322</v>
      </c>
      <c r="E564" s="474"/>
      <c r="F564" s="474"/>
      <c r="G564" s="474">
        <v>2022</v>
      </c>
      <c r="H564" s="474">
        <v>6</v>
      </c>
      <c r="I564" s="485"/>
      <c r="J564" s="475"/>
      <c r="K564" s="483" t="s">
        <v>2656</v>
      </c>
      <c r="L564" s="474" t="s">
        <v>2654</v>
      </c>
      <c r="M564" s="487">
        <v>44628</v>
      </c>
      <c r="N564" s="487">
        <v>44648</v>
      </c>
      <c r="O564" s="487"/>
      <c r="P564" s="475"/>
      <c r="Q564" s="475"/>
      <c r="R564" s="475"/>
      <c r="S564" s="474" t="s">
        <v>1563</v>
      </c>
      <c r="T564" s="474">
        <v>72</v>
      </c>
      <c r="U564" s="474" t="s">
        <v>1281</v>
      </c>
      <c r="V564" s="474" t="s">
        <v>1110</v>
      </c>
      <c r="W564" s="474">
        <v>480</v>
      </c>
      <c r="X564" s="476">
        <v>832</v>
      </c>
      <c r="Y564" s="477">
        <f t="shared" si="128"/>
        <v>399360</v>
      </c>
      <c r="Z564" s="478">
        <f>237.6/480</f>
        <v>0.495</v>
      </c>
      <c r="AA564" s="479">
        <f t="shared" si="129"/>
        <v>197683.20000000001</v>
      </c>
      <c r="AB564" s="480"/>
      <c r="AC564" s="481">
        <f>AB564*Y564</f>
        <v>0</v>
      </c>
      <c r="AD564" s="490"/>
      <c r="AE564" s="482"/>
      <c r="AF564" s="493">
        <f>AA564+AE564</f>
        <v>197683.20000000001</v>
      </c>
      <c r="AG564" s="474" t="s">
        <v>47</v>
      </c>
      <c r="AH564" s="474"/>
      <c r="AI564" s="483" t="s">
        <v>2326</v>
      </c>
      <c r="AJ564" s="474" t="s">
        <v>1844</v>
      </c>
      <c r="AK564" s="494" t="s">
        <v>50</v>
      </c>
      <c r="AL564" s="474">
        <v>93291</v>
      </c>
      <c r="AM564" s="474" t="s">
        <v>52</v>
      </c>
      <c r="AN564" s="474" t="s">
        <v>1074</v>
      </c>
      <c r="AO564" s="474"/>
      <c r="AP564" s="486"/>
      <c r="AQ564" s="486" t="s">
        <v>37</v>
      </c>
      <c r="AR564" s="486"/>
      <c r="AS564" s="495"/>
      <c r="AT564" s="495"/>
      <c r="AU564" s="478"/>
      <c r="AV564" s="471" t="str">
        <f t="shared" si="130"/>
        <v>30390456H</v>
      </c>
      <c r="AW564" s="471" cm="1">
        <f t="array" ref="AW564">SUM(MID(0&amp;AV564,LARGE(INDEX(ISNUMBER(--MID(AV564,ROW($1:$8),1))*ROW($1:$8),),ROW($1:$8))+1,1)*10^ROW($1:$8)/10)</f>
        <v>30390456</v>
      </c>
      <c r="AX564" s="471" t="str">
        <f>VLOOKUP($AW564,'Item Master Data'!$A:$F,3,FALSE)</f>
        <v>Q.PEAK DUO BLK ML G10+</v>
      </c>
      <c r="AY564" s="471">
        <f>VLOOKUP($AW564,'Item Master Data'!$A:$F,6,FALSE)</f>
        <v>400</v>
      </c>
      <c r="AZ564" s="471">
        <f t="shared" si="131"/>
        <v>26</v>
      </c>
      <c r="BA564" s="471">
        <f>VLOOKUP(AW564,'Item Master Data'!$A:$G,7,FALSE)</f>
        <v>32</v>
      </c>
      <c r="BB564" s="471"/>
      <c r="BC564" s="471">
        <f t="shared" si="132"/>
        <v>80</v>
      </c>
    </row>
    <row r="565" spans="1:55">
      <c r="A565" s="472"/>
      <c r="B565" s="514">
        <v>44580</v>
      </c>
      <c r="C565" s="514">
        <v>44615</v>
      </c>
      <c r="D565" s="485" t="s">
        <v>2322</v>
      </c>
      <c r="E565" s="474" t="s">
        <v>2701</v>
      </c>
      <c r="F565" s="474"/>
      <c r="G565" s="474">
        <v>2022</v>
      </c>
      <c r="H565" s="474">
        <v>7</v>
      </c>
      <c r="I565" s="485"/>
      <c r="J565" s="475"/>
      <c r="K565" s="483" t="s">
        <v>2702</v>
      </c>
      <c r="L565" s="474" t="s">
        <v>2324</v>
      </c>
      <c r="M565" s="487">
        <v>44540</v>
      </c>
      <c r="N565" s="487">
        <v>44719</v>
      </c>
      <c r="O565" s="487"/>
      <c r="P565" s="475"/>
      <c r="Q565" s="475"/>
      <c r="R565" s="475"/>
      <c r="S565" s="474" t="s">
        <v>1563</v>
      </c>
      <c r="T565" s="474">
        <v>60</v>
      </c>
      <c r="U565" s="474" t="s">
        <v>1281</v>
      </c>
      <c r="V565" s="474" t="s">
        <v>973</v>
      </c>
      <c r="W565" s="474">
        <v>400</v>
      </c>
      <c r="X565" s="476">
        <v>6656</v>
      </c>
      <c r="Y565" s="477">
        <f t="shared" si="128"/>
        <v>2662400</v>
      </c>
      <c r="Z565" s="478">
        <v>0.47</v>
      </c>
      <c r="AA565" s="479">
        <f t="shared" si="129"/>
        <v>1251328</v>
      </c>
      <c r="AB565" s="480"/>
      <c r="AC565" s="481">
        <v>0</v>
      </c>
      <c r="AD565" s="490"/>
      <c r="AE565" s="482"/>
      <c r="AF565" s="493">
        <v>1251328</v>
      </c>
      <c r="AG565" s="474" t="s">
        <v>47</v>
      </c>
      <c r="AH565" s="474"/>
      <c r="AI565" s="483" t="s">
        <v>2326</v>
      </c>
      <c r="AJ565" s="474" t="s">
        <v>2327</v>
      </c>
      <c r="AK565" s="494" t="s">
        <v>50</v>
      </c>
      <c r="AL565" s="474">
        <v>91730</v>
      </c>
      <c r="AM565" s="474" t="s">
        <v>52</v>
      </c>
      <c r="AN565" s="474"/>
      <c r="AO565" s="474"/>
      <c r="AP565" s="486"/>
      <c r="AQ565" s="486" t="s">
        <v>37</v>
      </c>
      <c r="AR565" s="486"/>
      <c r="AS565" s="495"/>
      <c r="AT565" s="495"/>
      <c r="AU565" s="478"/>
      <c r="AV565" s="471" t="str">
        <f t="shared" si="130"/>
        <v>30390456H</v>
      </c>
      <c r="AW565" s="471" cm="1">
        <f t="array" ref="AW565">SUM(MID(0&amp;AV565,LARGE(INDEX(ISNUMBER(--MID(AV565,ROW($1:$8),1))*ROW($1:$8),),ROW($1:$8))+1,1)*10^ROW($1:$8)/10)</f>
        <v>30390456</v>
      </c>
      <c r="AX565" s="471" t="str">
        <f>VLOOKUP($AW565,'Item Master Data'!$A:$F,3,FALSE)</f>
        <v>Q.PEAK DUO BLK ML G10+</v>
      </c>
      <c r="AY565" s="471">
        <f>VLOOKUP($AW565,'Item Master Data'!$A:$F,6,FALSE)</f>
        <v>400</v>
      </c>
      <c r="AZ565" s="471">
        <f t="shared" si="131"/>
        <v>208</v>
      </c>
      <c r="BA565" s="471">
        <f>VLOOKUP(AW565,'Item Master Data'!$A:$G,7,FALSE)</f>
        <v>32</v>
      </c>
      <c r="BB565" s="471"/>
      <c r="BC565" s="471">
        <f t="shared" si="132"/>
        <v>0</v>
      </c>
    </row>
    <row r="566" spans="1:55">
      <c r="A566" s="472"/>
      <c r="B566" s="514">
        <v>44580</v>
      </c>
      <c r="C566" s="514">
        <v>44615</v>
      </c>
      <c r="D566" s="485" t="s">
        <v>2322</v>
      </c>
      <c r="E566" s="474" t="s">
        <v>2701</v>
      </c>
      <c r="F566" s="474"/>
      <c r="G566" s="474">
        <v>2022</v>
      </c>
      <c r="H566" s="474">
        <v>7</v>
      </c>
      <c r="I566" s="485"/>
      <c r="J566" s="475"/>
      <c r="K566" s="483" t="s">
        <v>2703</v>
      </c>
      <c r="L566" s="474" t="s">
        <v>2324</v>
      </c>
      <c r="M566" s="487">
        <v>44540</v>
      </c>
      <c r="N566" s="487">
        <v>44721</v>
      </c>
      <c r="O566" s="487"/>
      <c r="P566" s="475"/>
      <c r="Q566" s="475"/>
      <c r="R566" s="475"/>
      <c r="S566" s="474" t="s">
        <v>1563</v>
      </c>
      <c r="T566" s="474">
        <v>60</v>
      </c>
      <c r="U566" s="474" t="s">
        <v>1281</v>
      </c>
      <c r="V566" s="474" t="s">
        <v>973</v>
      </c>
      <c r="W566" s="474">
        <v>400</v>
      </c>
      <c r="X566" s="476">
        <v>5824</v>
      </c>
      <c r="Y566" s="477">
        <f t="shared" si="128"/>
        <v>2329600</v>
      </c>
      <c r="Z566" s="478">
        <v>0.47</v>
      </c>
      <c r="AA566" s="479">
        <f t="shared" si="129"/>
        <v>1094912</v>
      </c>
      <c r="AB566" s="480"/>
      <c r="AC566" s="481">
        <v>0</v>
      </c>
      <c r="AD566" s="490"/>
      <c r="AE566" s="482"/>
      <c r="AF566" s="493">
        <v>1094912</v>
      </c>
      <c r="AG566" s="474" t="s">
        <v>47</v>
      </c>
      <c r="AH566" s="474"/>
      <c r="AI566" s="483" t="s">
        <v>2326</v>
      </c>
      <c r="AJ566" s="474" t="s">
        <v>2327</v>
      </c>
      <c r="AK566" s="494" t="s">
        <v>50</v>
      </c>
      <c r="AL566" s="474">
        <v>91730</v>
      </c>
      <c r="AM566" s="474" t="s">
        <v>52</v>
      </c>
      <c r="AN566" s="474"/>
      <c r="AO566" s="474"/>
      <c r="AP566" s="486"/>
      <c r="AQ566" s="486" t="s">
        <v>37</v>
      </c>
      <c r="AR566" s="486"/>
      <c r="AS566" s="495"/>
      <c r="AT566" s="495"/>
      <c r="AU566" s="478"/>
      <c r="AV566" s="471" t="str">
        <f t="shared" si="130"/>
        <v>30390456H</v>
      </c>
      <c r="AW566" s="471" cm="1">
        <f t="array" ref="AW566">SUM(MID(0&amp;AV566,LARGE(INDEX(ISNUMBER(--MID(AV566,ROW($1:$8),1))*ROW($1:$8),),ROW($1:$8))+1,1)*10^ROW($1:$8)/10)</f>
        <v>30390456</v>
      </c>
      <c r="AX566" s="471" t="str">
        <f>VLOOKUP($AW566,'Item Master Data'!$A:$F,3,FALSE)</f>
        <v>Q.PEAK DUO BLK ML G10+</v>
      </c>
      <c r="AY566" s="471">
        <f>VLOOKUP($AW566,'Item Master Data'!$A:$F,6,FALSE)</f>
        <v>400</v>
      </c>
      <c r="AZ566" s="471">
        <f t="shared" si="131"/>
        <v>182</v>
      </c>
      <c r="BA566" s="471">
        <f>VLOOKUP(AW566,'Item Master Data'!$A:$G,7,FALSE)</f>
        <v>32</v>
      </c>
      <c r="BB566" s="471"/>
      <c r="BC566" s="471">
        <f t="shared" si="132"/>
        <v>0</v>
      </c>
    </row>
    <row r="567" spans="1:55">
      <c r="A567" s="472"/>
      <c r="B567" s="514">
        <v>44580</v>
      </c>
      <c r="C567" s="514">
        <v>44615</v>
      </c>
      <c r="D567" s="485" t="s">
        <v>2322</v>
      </c>
      <c r="E567" s="474" t="s">
        <v>2704</v>
      </c>
      <c r="F567" s="474"/>
      <c r="G567" s="474">
        <v>2022</v>
      </c>
      <c r="H567" s="474">
        <v>7</v>
      </c>
      <c r="I567" s="485"/>
      <c r="J567" s="475"/>
      <c r="K567" s="483" t="s">
        <v>2705</v>
      </c>
      <c r="L567" s="474" t="s">
        <v>2324</v>
      </c>
      <c r="M567" s="487">
        <v>44543</v>
      </c>
      <c r="N567" s="487">
        <v>44720</v>
      </c>
      <c r="O567" s="487"/>
      <c r="P567" s="475"/>
      <c r="Q567" s="475"/>
      <c r="R567" s="475"/>
      <c r="S567" s="474" t="s">
        <v>1563</v>
      </c>
      <c r="T567" s="474">
        <v>60</v>
      </c>
      <c r="U567" s="474" t="s">
        <v>1281</v>
      </c>
      <c r="V567" s="474" t="s">
        <v>973</v>
      </c>
      <c r="W567" s="474">
        <v>400</v>
      </c>
      <c r="X567" s="476">
        <v>9152</v>
      </c>
      <c r="Y567" s="477">
        <f t="shared" si="128"/>
        <v>3660800</v>
      </c>
      <c r="Z567" s="478">
        <v>0.47</v>
      </c>
      <c r="AA567" s="479">
        <f t="shared" si="129"/>
        <v>1720576</v>
      </c>
      <c r="AB567" s="480"/>
      <c r="AC567" s="481">
        <v>0</v>
      </c>
      <c r="AD567" s="490"/>
      <c r="AE567" s="482"/>
      <c r="AF567" s="493">
        <v>1720576</v>
      </c>
      <c r="AG567" s="474" t="s">
        <v>47</v>
      </c>
      <c r="AH567" s="474"/>
      <c r="AI567" s="483" t="s">
        <v>2326</v>
      </c>
      <c r="AJ567" s="474" t="s">
        <v>1580</v>
      </c>
      <c r="AK567" s="494" t="s">
        <v>1073</v>
      </c>
      <c r="AL567" s="474">
        <v>21075</v>
      </c>
      <c r="AM567" s="474" t="s">
        <v>52</v>
      </c>
      <c r="AN567" s="474"/>
      <c r="AO567" s="474"/>
      <c r="AP567" s="486"/>
      <c r="AQ567" s="486" t="s">
        <v>37</v>
      </c>
      <c r="AR567" s="486"/>
      <c r="AS567" s="495"/>
      <c r="AT567" s="495"/>
      <c r="AU567" s="478"/>
      <c r="AV567" s="471" t="str">
        <f t="shared" si="130"/>
        <v>30390456H</v>
      </c>
      <c r="AW567" s="471" cm="1">
        <f t="array" ref="AW567">SUM(MID(0&amp;AV567,LARGE(INDEX(ISNUMBER(--MID(AV567,ROW($1:$8),1))*ROW($1:$8),),ROW($1:$8))+1,1)*10^ROW($1:$8)/10)</f>
        <v>30390456</v>
      </c>
      <c r="AX567" s="471" t="str">
        <f>VLOOKUP($AW567,'Item Master Data'!$A:$F,3,FALSE)</f>
        <v>Q.PEAK DUO BLK ML G10+</v>
      </c>
      <c r="AY567" s="471">
        <f>VLOOKUP($AW567,'Item Master Data'!$A:$F,6,FALSE)</f>
        <v>400</v>
      </c>
      <c r="AZ567" s="471">
        <f t="shared" si="131"/>
        <v>286</v>
      </c>
      <c r="BA567" s="471">
        <f>VLOOKUP(AW567,'Item Master Data'!$A:$G,7,FALSE)</f>
        <v>32</v>
      </c>
      <c r="BB567" s="471"/>
      <c r="BC567" s="471">
        <f t="shared" si="132"/>
        <v>0</v>
      </c>
    </row>
    <row r="568" spans="1:55">
      <c r="A568" s="472"/>
      <c r="B568" s="514">
        <v>44580</v>
      </c>
      <c r="C568" s="514">
        <v>44615</v>
      </c>
      <c r="D568" s="485" t="s">
        <v>2322</v>
      </c>
      <c r="E568" s="474" t="s">
        <v>2704</v>
      </c>
      <c r="F568" s="474"/>
      <c r="G568" s="474">
        <v>2022</v>
      </c>
      <c r="H568" s="474">
        <v>7</v>
      </c>
      <c r="I568" s="485"/>
      <c r="J568" s="475"/>
      <c r="K568" s="483" t="s">
        <v>2706</v>
      </c>
      <c r="L568" s="474" t="s">
        <v>2324</v>
      </c>
      <c r="M568" s="487">
        <v>44547</v>
      </c>
      <c r="N568" s="487">
        <v>44704</v>
      </c>
      <c r="O568" s="487"/>
      <c r="P568" s="475"/>
      <c r="Q568" s="475"/>
      <c r="R568" s="475"/>
      <c r="S568" s="474" t="s">
        <v>1563</v>
      </c>
      <c r="T568" s="474">
        <v>60</v>
      </c>
      <c r="U568" s="474" t="s">
        <v>1281</v>
      </c>
      <c r="V568" s="474" t="s">
        <v>973</v>
      </c>
      <c r="W568" s="474">
        <v>400</v>
      </c>
      <c r="X568" s="476">
        <v>8320</v>
      </c>
      <c r="Y568" s="477">
        <f t="shared" si="128"/>
        <v>3328000</v>
      </c>
      <c r="Z568" s="478">
        <v>0.47</v>
      </c>
      <c r="AA568" s="479">
        <f t="shared" si="129"/>
        <v>1564160</v>
      </c>
      <c r="AB568" s="480"/>
      <c r="AC568" s="481">
        <v>0</v>
      </c>
      <c r="AD568" s="490"/>
      <c r="AE568" s="482"/>
      <c r="AF568" s="493">
        <v>1564160</v>
      </c>
      <c r="AG568" s="474" t="s">
        <v>47</v>
      </c>
      <c r="AH568" s="474"/>
      <c r="AI568" s="483" t="s">
        <v>2326</v>
      </c>
      <c r="AJ568" s="474" t="s">
        <v>2338</v>
      </c>
      <c r="AK568" s="494" t="s">
        <v>1347</v>
      </c>
      <c r="AL568" s="474">
        <v>17402</v>
      </c>
      <c r="AM568" s="474" t="s">
        <v>52</v>
      </c>
      <c r="AN568" s="474"/>
      <c r="AO568" s="474"/>
      <c r="AP568" s="486"/>
      <c r="AQ568" s="486" t="s">
        <v>37</v>
      </c>
      <c r="AR568" s="486"/>
      <c r="AS568" s="495"/>
      <c r="AT568" s="495"/>
      <c r="AU568" s="478"/>
      <c r="AV568" s="471" t="str">
        <f t="shared" si="130"/>
        <v>30390456H</v>
      </c>
      <c r="AW568" s="471" cm="1">
        <f t="array" ref="AW568">SUM(MID(0&amp;AV568,LARGE(INDEX(ISNUMBER(--MID(AV568,ROW($1:$8),1))*ROW($1:$8),),ROW($1:$8))+1,1)*10^ROW($1:$8)/10)</f>
        <v>30390456</v>
      </c>
      <c r="AX568" s="471" t="str">
        <f>VLOOKUP($AW568,'Item Master Data'!$A:$F,3,FALSE)</f>
        <v>Q.PEAK DUO BLK ML G10+</v>
      </c>
      <c r="AY568" s="471">
        <f>VLOOKUP($AW568,'Item Master Data'!$A:$F,6,FALSE)</f>
        <v>400</v>
      </c>
      <c r="AZ568" s="471">
        <f t="shared" si="131"/>
        <v>260</v>
      </c>
      <c r="BA568" s="471">
        <f>VLOOKUP(AW568,'Item Master Data'!$A:$G,7,FALSE)</f>
        <v>32</v>
      </c>
      <c r="BB568" s="471"/>
      <c r="BC568" s="471">
        <f t="shared" si="132"/>
        <v>0</v>
      </c>
    </row>
    <row r="569" spans="1:55">
      <c r="A569" s="472"/>
      <c r="B569" s="514">
        <v>44580</v>
      </c>
      <c r="C569" s="514">
        <v>44615</v>
      </c>
      <c r="D569" s="485" t="s">
        <v>2322</v>
      </c>
      <c r="E569" s="474" t="s">
        <v>2704</v>
      </c>
      <c r="F569" s="474"/>
      <c r="G569" s="474">
        <v>2022</v>
      </c>
      <c r="H569" s="474">
        <v>7</v>
      </c>
      <c r="I569" s="485"/>
      <c r="J569" s="475"/>
      <c r="K569" s="483" t="s">
        <v>2707</v>
      </c>
      <c r="L569" s="474" t="s">
        <v>2324</v>
      </c>
      <c r="M569" s="487">
        <v>44547</v>
      </c>
      <c r="N569" s="487">
        <v>44706</v>
      </c>
      <c r="O569" s="487"/>
      <c r="P569" s="475"/>
      <c r="Q569" s="475"/>
      <c r="R569" s="475"/>
      <c r="S569" s="474" t="s">
        <v>1563</v>
      </c>
      <c r="T569" s="474">
        <v>60</v>
      </c>
      <c r="U569" s="474" t="s">
        <v>1281</v>
      </c>
      <c r="V569" s="474" t="s">
        <v>973</v>
      </c>
      <c r="W569" s="474">
        <v>400</v>
      </c>
      <c r="X569" s="476">
        <v>8320</v>
      </c>
      <c r="Y569" s="477">
        <f t="shared" si="128"/>
        <v>3328000</v>
      </c>
      <c r="Z569" s="478">
        <v>0.47</v>
      </c>
      <c r="AA569" s="479">
        <f t="shared" si="129"/>
        <v>1564160</v>
      </c>
      <c r="AB569" s="480"/>
      <c r="AC569" s="481">
        <v>0</v>
      </c>
      <c r="AD569" s="490"/>
      <c r="AE569" s="482"/>
      <c r="AF569" s="493">
        <v>1564160</v>
      </c>
      <c r="AG569" s="474" t="s">
        <v>47</v>
      </c>
      <c r="AH569" s="474"/>
      <c r="AI569" s="483" t="s">
        <v>2326</v>
      </c>
      <c r="AJ569" s="474" t="s">
        <v>2338</v>
      </c>
      <c r="AK569" s="494" t="s">
        <v>1347</v>
      </c>
      <c r="AL569" s="474">
        <v>17402</v>
      </c>
      <c r="AM569" s="474" t="s">
        <v>52</v>
      </c>
      <c r="AN569" s="474"/>
      <c r="AO569" s="474"/>
      <c r="AP569" s="486"/>
      <c r="AQ569" s="486" t="s">
        <v>37</v>
      </c>
      <c r="AR569" s="486"/>
      <c r="AS569" s="495"/>
      <c r="AT569" s="495"/>
      <c r="AU569" s="478"/>
      <c r="AV569" s="471"/>
      <c r="AW569" s="471"/>
      <c r="AX569" s="471"/>
      <c r="AY569" s="471"/>
      <c r="AZ569" s="471"/>
      <c r="BA569" s="471"/>
      <c r="BB569" s="471"/>
      <c r="BC569" s="471"/>
    </row>
    <row r="570" spans="1:55">
      <c r="A570" s="472"/>
      <c r="B570" s="514">
        <v>44580</v>
      </c>
      <c r="C570" s="514">
        <v>44615</v>
      </c>
      <c r="D570" s="485" t="s">
        <v>2322</v>
      </c>
      <c r="E570" s="474" t="s">
        <v>2704</v>
      </c>
      <c r="F570" s="474"/>
      <c r="G570" s="474">
        <v>2022</v>
      </c>
      <c r="H570" s="474">
        <v>7</v>
      </c>
      <c r="I570" s="485"/>
      <c r="J570" s="475"/>
      <c r="K570" s="483" t="s">
        <v>2708</v>
      </c>
      <c r="L570" s="474" t="s">
        <v>2324</v>
      </c>
      <c r="M570" s="487">
        <v>44547</v>
      </c>
      <c r="N570" s="487">
        <v>44708</v>
      </c>
      <c r="O570" s="487"/>
      <c r="P570" s="475"/>
      <c r="Q570" s="475"/>
      <c r="R570" s="475"/>
      <c r="S570" s="474" t="s">
        <v>1563</v>
      </c>
      <c r="T570" s="474">
        <v>60</v>
      </c>
      <c r="U570" s="474" t="s">
        <v>1281</v>
      </c>
      <c r="V570" s="474" t="s">
        <v>973</v>
      </c>
      <c r="W570" s="474">
        <v>400</v>
      </c>
      <c r="X570" s="476">
        <v>8320</v>
      </c>
      <c r="Y570" s="477">
        <f t="shared" si="128"/>
        <v>3328000</v>
      </c>
      <c r="Z570" s="478">
        <v>0.47</v>
      </c>
      <c r="AA570" s="479">
        <f t="shared" si="129"/>
        <v>1564160</v>
      </c>
      <c r="AB570" s="480"/>
      <c r="AC570" s="481">
        <v>0</v>
      </c>
      <c r="AD570" s="490"/>
      <c r="AE570" s="482"/>
      <c r="AF570" s="493">
        <v>1564160</v>
      </c>
      <c r="AG570" s="474" t="s">
        <v>47</v>
      </c>
      <c r="AH570" s="474"/>
      <c r="AI570" s="483" t="s">
        <v>2326</v>
      </c>
      <c r="AJ570" s="474" t="s">
        <v>2338</v>
      </c>
      <c r="AK570" s="494" t="s">
        <v>1347</v>
      </c>
      <c r="AL570" s="474">
        <v>17402</v>
      </c>
      <c r="AM570" s="474" t="s">
        <v>52</v>
      </c>
      <c r="AN570" s="474"/>
      <c r="AO570" s="474"/>
      <c r="AP570" s="486"/>
      <c r="AQ570" s="486" t="s">
        <v>37</v>
      </c>
      <c r="AR570" s="486"/>
      <c r="AS570" s="495"/>
      <c r="AT570" s="495"/>
      <c r="AU570" s="478"/>
      <c r="AV570" s="471" t="str">
        <f t="shared" ref="AV570:AV589" si="133">U570</f>
        <v>30390456H</v>
      </c>
      <c r="AW570" s="471" cm="1">
        <f t="array" ref="AW570">SUM(MID(0&amp;AV570,LARGE(INDEX(ISNUMBER(--MID(AV570,ROW($1:$8),1))*ROW($1:$8),),ROW($1:$8))+1,1)*10^ROW($1:$8)/10)</f>
        <v>30390456</v>
      </c>
      <c r="AX570" s="471" t="str">
        <f>VLOOKUP($AW570,'Item Master Data'!$A:$F,3,FALSE)</f>
        <v>Q.PEAK DUO BLK ML G10+</v>
      </c>
      <c r="AY570" s="471">
        <f>VLOOKUP($AW570,'Item Master Data'!$A:$F,6,FALSE)</f>
        <v>400</v>
      </c>
      <c r="AZ570" s="471">
        <f t="shared" ref="AZ570:AZ589" si="134">X570/BA570</f>
        <v>260</v>
      </c>
      <c r="BA570" s="471">
        <f>VLOOKUP(AW570,'Item Master Data'!$A:$G,7,FALSE)</f>
        <v>32</v>
      </c>
      <c r="BB570" s="471"/>
      <c r="BC570" s="471">
        <f t="shared" ref="BC570:BC589" si="135">W570-AY570</f>
        <v>0</v>
      </c>
    </row>
    <row r="571" spans="1:55">
      <c r="A571" s="472"/>
      <c r="B571" s="514">
        <v>44580</v>
      </c>
      <c r="C571" s="514">
        <v>44615</v>
      </c>
      <c r="D571" s="485" t="s">
        <v>2322</v>
      </c>
      <c r="E571" s="474" t="s">
        <v>2704</v>
      </c>
      <c r="F571" s="474"/>
      <c r="G571" s="474">
        <v>2022</v>
      </c>
      <c r="H571" s="474">
        <v>7</v>
      </c>
      <c r="I571" s="485"/>
      <c r="J571" s="475"/>
      <c r="K571" s="483" t="s">
        <v>2709</v>
      </c>
      <c r="L571" s="474" t="s">
        <v>2324</v>
      </c>
      <c r="M571" s="487">
        <v>44547</v>
      </c>
      <c r="N571" s="487">
        <v>44733</v>
      </c>
      <c r="O571" s="487"/>
      <c r="P571" s="475"/>
      <c r="Q571" s="475"/>
      <c r="R571" s="475"/>
      <c r="S571" s="474" t="s">
        <v>1563</v>
      </c>
      <c r="T571" s="474">
        <v>60</v>
      </c>
      <c r="U571" s="474" t="s">
        <v>1281</v>
      </c>
      <c r="V571" s="474" t="s">
        <v>973</v>
      </c>
      <c r="W571" s="474">
        <v>400</v>
      </c>
      <c r="X571" s="476">
        <v>8320</v>
      </c>
      <c r="Y571" s="477">
        <f t="shared" si="128"/>
        <v>3328000</v>
      </c>
      <c r="Z571" s="478">
        <v>0.47</v>
      </c>
      <c r="AA571" s="479">
        <f t="shared" si="129"/>
        <v>1564160</v>
      </c>
      <c r="AB571" s="480"/>
      <c r="AC571" s="481">
        <v>0</v>
      </c>
      <c r="AD571" s="490"/>
      <c r="AE571" s="482"/>
      <c r="AF571" s="493">
        <v>1564160</v>
      </c>
      <c r="AG571" s="474" t="s">
        <v>47</v>
      </c>
      <c r="AH571" s="474"/>
      <c r="AI571" s="483" t="s">
        <v>2326</v>
      </c>
      <c r="AJ571" s="474" t="s">
        <v>2338</v>
      </c>
      <c r="AK571" s="494" t="s">
        <v>1347</v>
      </c>
      <c r="AL571" s="474">
        <v>17402</v>
      </c>
      <c r="AM571" s="474" t="s">
        <v>52</v>
      </c>
      <c r="AN571" s="474"/>
      <c r="AO571" s="474"/>
      <c r="AP571" s="486"/>
      <c r="AQ571" s="486" t="s">
        <v>37</v>
      </c>
      <c r="AR571" s="486"/>
      <c r="AS571" s="495"/>
      <c r="AT571" s="495"/>
      <c r="AU571" s="478"/>
      <c r="AV571" s="471" t="str">
        <f t="shared" si="133"/>
        <v>30390456H</v>
      </c>
      <c r="AW571" s="471" cm="1">
        <f t="array" ref="AW571">SUM(MID(0&amp;AV571,LARGE(INDEX(ISNUMBER(--MID(AV571,ROW($1:$8),1))*ROW($1:$8),),ROW($1:$8))+1,1)*10^ROW($1:$8)/10)</f>
        <v>30390456</v>
      </c>
      <c r="AX571" s="471" t="str">
        <f>VLOOKUP($AW571,'Item Master Data'!$A:$F,3,FALSE)</f>
        <v>Q.PEAK DUO BLK ML G10+</v>
      </c>
      <c r="AY571" s="471">
        <f>VLOOKUP($AW571,'Item Master Data'!$A:$F,6,FALSE)</f>
        <v>400</v>
      </c>
      <c r="AZ571" s="471">
        <f t="shared" si="134"/>
        <v>260</v>
      </c>
      <c r="BA571" s="471">
        <f>VLOOKUP(AW571,'Item Master Data'!$A:$G,7,FALSE)</f>
        <v>32</v>
      </c>
      <c r="BB571" s="471"/>
      <c r="BC571" s="471">
        <f t="shared" si="135"/>
        <v>0</v>
      </c>
    </row>
    <row r="572" spans="1:55">
      <c r="A572" s="472"/>
      <c r="B572" s="514">
        <v>44580</v>
      </c>
      <c r="C572" s="514">
        <v>44615</v>
      </c>
      <c r="D572" s="485" t="s">
        <v>2322</v>
      </c>
      <c r="E572" s="474" t="s">
        <v>2704</v>
      </c>
      <c r="F572" s="474"/>
      <c r="G572" s="474">
        <v>2022</v>
      </c>
      <c r="H572" s="474">
        <v>7</v>
      </c>
      <c r="I572" s="485"/>
      <c r="J572" s="475"/>
      <c r="K572" s="483" t="s">
        <v>2710</v>
      </c>
      <c r="L572" s="474" t="s">
        <v>2324</v>
      </c>
      <c r="M572" s="487">
        <v>44547</v>
      </c>
      <c r="N572" s="487">
        <v>44765</v>
      </c>
      <c r="O572" s="487"/>
      <c r="P572" s="475"/>
      <c r="Q572" s="475"/>
      <c r="R572" s="475"/>
      <c r="S572" s="474" t="s">
        <v>1563</v>
      </c>
      <c r="T572" s="474">
        <v>60</v>
      </c>
      <c r="U572" s="474" t="s">
        <v>1281</v>
      </c>
      <c r="V572" s="474" t="s">
        <v>973</v>
      </c>
      <c r="W572" s="474">
        <v>400</v>
      </c>
      <c r="X572" s="476">
        <v>8320</v>
      </c>
      <c r="Y572" s="477">
        <f t="shared" si="128"/>
        <v>3328000</v>
      </c>
      <c r="Z572" s="478">
        <v>0.47</v>
      </c>
      <c r="AA572" s="479">
        <f t="shared" si="129"/>
        <v>1564160</v>
      </c>
      <c r="AB572" s="480"/>
      <c r="AC572" s="481">
        <v>0</v>
      </c>
      <c r="AD572" s="490"/>
      <c r="AE572" s="482"/>
      <c r="AF572" s="493">
        <v>1564160</v>
      </c>
      <c r="AG572" s="474" t="s">
        <v>47</v>
      </c>
      <c r="AH572" s="474"/>
      <c r="AI572" s="483" t="s">
        <v>2326</v>
      </c>
      <c r="AJ572" s="474" t="s">
        <v>2338</v>
      </c>
      <c r="AK572" s="494" t="s">
        <v>1347</v>
      </c>
      <c r="AL572" s="474">
        <v>17402</v>
      </c>
      <c r="AM572" s="474" t="s">
        <v>52</v>
      </c>
      <c r="AN572" s="474"/>
      <c r="AO572" s="474"/>
      <c r="AP572" s="486"/>
      <c r="AQ572" s="486" t="s">
        <v>37</v>
      </c>
      <c r="AR572" s="486"/>
      <c r="AS572" s="495"/>
      <c r="AT572" s="495"/>
      <c r="AU572" s="478"/>
      <c r="AV572" s="471" t="str">
        <f t="shared" si="133"/>
        <v>30390456H</v>
      </c>
      <c r="AW572" s="471" cm="1">
        <f t="array" ref="AW572">SUM(MID(0&amp;AV572,LARGE(INDEX(ISNUMBER(--MID(AV572,ROW($1:$8),1))*ROW($1:$8),),ROW($1:$8))+1,1)*10^ROW($1:$8)/10)</f>
        <v>30390456</v>
      </c>
      <c r="AX572" s="471" t="str">
        <f>VLOOKUP($AW572,'Item Master Data'!$A:$F,3,FALSE)</f>
        <v>Q.PEAK DUO BLK ML G10+</v>
      </c>
      <c r="AY572" s="471">
        <f>VLOOKUP($AW572,'Item Master Data'!$A:$F,6,FALSE)</f>
        <v>400</v>
      </c>
      <c r="AZ572" s="471">
        <f t="shared" si="134"/>
        <v>260</v>
      </c>
      <c r="BA572" s="471">
        <f>VLOOKUP(AW572,'Item Master Data'!$A:$G,7,FALSE)</f>
        <v>32</v>
      </c>
      <c r="BB572" s="471"/>
      <c r="BC572" s="471">
        <f t="shared" si="135"/>
        <v>0</v>
      </c>
    </row>
    <row r="573" spans="1:55">
      <c r="A573" s="472"/>
      <c r="B573" s="514"/>
      <c r="C573" s="514">
        <v>44636</v>
      </c>
      <c r="D573" s="485" t="s">
        <v>2322</v>
      </c>
      <c r="E573" s="474"/>
      <c r="F573" s="474"/>
      <c r="G573" s="474">
        <v>2022</v>
      </c>
      <c r="H573" s="474">
        <v>7</v>
      </c>
      <c r="I573" s="485"/>
      <c r="J573" s="475"/>
      <c r="K573" s="483" t="s">
        <v>2653</v>
      </c>
      <c r="L573" s="474" t="s">
        <v>2654</v>
      </c>
      <c r="M573" s="487">
        <v>44628</v>
      </c>
      <c r="N573" s="487">
        <v>44648</v>
      </c>
      <c r="O573" s="487"/>
      <c r="P573" s="475"/>
      <c r="Q573" s="475"/>
      <c r="R573" s="475"/>
      <c r="S573" s="474" t="s">
        <v>1563</v>
      </c>
      <c r="T573" s="474">
        <v>72</v>
      </c>
      <c r="U573" s="474" t="s">
        <v>1281</v>
      </c>
      <c r="V573" s="474" t="s">
        <v>1110</v>
      </c>
      <c r="W573" s="474">
        <v>480</v>
      </c>
      <c r="X573" s="476">
        <v>832</v>
      </c>
      <c r="Y573" s="477">
        <f t="shared" si="128"/>
        <v>399360</v>
      </c>
      <c r="Z573" s="478">
        <f t="shared" ref="Z573:Z580" si="136">237.6/480</f>
        <v>0.495</v>
      </c>
      <c r="AA573" s="479">
        <f t="shared" si="129"/>
        <v>197683.20000000001</v>
      </c>
      <c r="AB573" s="480"/>
      <c r="AC573" s="481">
        <f t="shared" ref="AC573:AC582" si="137">AB573*Y573</f>
        <v>0</v>
      </c>
      <c r="AD573" s="490"/>
      <c r="AE573" s="482"/>
      <c r="AF573" s="493">
        <f t="shared" ref="AF573:AF601" si="138">AA573+AE573</f>
        <v>197683.20000000001</v>
      </c>
      <c r="AG573" s="474" t="s">
        <v>47</v>
      </c>
      <c r="AH573" s="474"/>
      <c r="AI573" s="483" t="s">
        <v>2326</v>
      </c>
      <c r="AJ573" s="474" t="s">
        <v>2655</v>
      </c>
      <c r="AK573" s="494" t="s">
        <v>1347</v>
      </c>
      <c r="AL573" s="474">
        <v>17026</v>
      </c>
      <c r="AM573" s="474" t="s">
        <v>52</v>
      </c>
      <c r="AN573" s="474" t="s">
        <v>1074</v>
      </c>
      <c r="AO573" s="474"/>
      <c r="AP573" s="486"/>
      <c r="AQ573" s="486" t="s">
        <v>37</v>
      </c>
      <c r="AR573" s="486"/>
      <c r="AS573" s="495"/>
      <c r="AT573" s="495"/>
      <c r="AU573" s="478"/>
      <c r="AV573" s="471" t="str">
        <f t="shared" si="133"/>
        <v>30390456H</v>
      </c>
      <c r="AW573" s="471" cm="1">
        <f t="array" ref="AW573">SUM(MID(0&amp;AV573,LARGE(INDEX(ISNUMBER(--MID(AV573,ROW($1:$8),1))*ROW($1:$8),),ROW($1:$8))+1,1)*10^ROW($1:$8)/10)</f>
        <v>30390456</v>
      </c>
      <c r="AX573" s="471" t="str">
        <f>VLOOKUP($AW573,'Item Master Data'!$A:$F,3,FALSE)</f>
        <v>Q.PEAK DUO BLK ML G10+</v>
      </c>
      <c r="AY573" s="471">
        <f>VLOOKUP($AW573,'Item Master Data'!$A:$F,6,FALSE)</f>
        <v>400</v>
      </c>
      <c r="AZ573" s="471">
        <f t="shared" si="134"/>
        <v>26</v>
      </c>
      <c r="BA573" s="471">
        <f>VLOOKUP(AW573,'Item Master Data'!$A:$G,7,FALSE)</f>
        <v>32</v>
      </c>
      <c r="BB573" s="471"/>
      <c r="BC573" s="471">
        <f t="shared" si="135"/>
        <v>80</v>
      </c>
    </row>
    <row r="574" spans="1:55">
      <c r="A574" s="472"/>
      <c r="B574" s="514"/>
      <c r="C574" s="514">
        <v>44636</v>
      </c>
      <c r="D574" s="485" t="s">
        <v>2322</v>
      </c>
      <c r="E574" s="474"/>
      <c r="F574" s="474"/>
      <c r="G574" s="474">
        <v>2022</v>
      </c>
      <c r="H574" s="474">
        <v>7</v>
      </c>
      <c r="I574" s="485"/>
      <c r="J574" s="475"/>
      <c r="K574" s="483" t="s">
        <v>2656</v>
      </c>
      <c r="L574" s="474" t="s">
        <v>2654</v>
      </c>
      <c r="M574" s="487">
        <v>44628</v>
      </c>
      <c r="N574" s="487">
        <v>44648</v>
      </c>
      <c r="O574" s="487"/>
      <c r="P574" s="475"/>
      <c r="Q574" s="475"/>
      <c r="R574" s="475"/>
      <c r="S574" s="474" t="s">
        <v>1563</v>
      </c>
      <c r="T574" s="474">
        <v>72</v>
      </c>
      <c r="U574" s="474" t="s">
        <v>1281</v>
      </c>
      <c r="V574" s="474" t="s">
        <v>1110</v>
      </c>
      <c r="W574" s="474">
        <v>480</v>
      </c>
      <c r="X574" s="476">
        <v>832</v>
      </c>
      <c r="Y574" s="477">
        <f t="shared" si="128"/>
        <v>399360</v>
      </c>
      <c r="Z574" s="478">
        <f t="shared" si="136"/>
        <v>0.495</v>
      </c>
      <c r="AA574" s="479">
        <f t="shared" si="129"/>
        <v>197683.20000000001</v>
      </c>
      <c r="AB574" s="480"/>
      <c r="AC574" s="481">
        <f t="shared" si="137"/>
        <v>0</v>
      </c>
      <c r="AD574" s="490"/>
      <c r="AE574" s="482"/>
      <c r="AF574" s="493">
        <f t="shared" si="138"/>
        <v>197683.20000000001</v>
      </c>
      <c r="AG574" s="474" t="s">
        <v>47</v>
      </c>
      <c r="AH574" s="474"/>
      <c r="AI574" s="483" t="s">
        <v>2326</v>
      </c>
      <c r="AJ574" s="474" t="s">
        <v>1844</v>
      </c>
      <c r="AK574" s="494" t="s">
        <v>50</v>
      </c>
      <c r="AL574" s="474">
        <v>93291</v>
      </c>
      <c r="AM574" s="474" t="s">
        <v>52</v>
      </c>
      <c r="AN574" s="474" t="s">
        <v>1074</v>
      </c>
      <c r="AO574" s="474"/>
      <c r="AP574" s="486"/>
      <c r="AQ574" s="486" t="s">
        <v>37</v>
      </c>
      <c r="AR574" s="486"/>
      <c r="AS574" s="495"/>
      <c r="AT574" s="495"/>
      <c r="AU574" s="478"/>
      <c r="AV574" s="471" t="str">
        <f t="shared" si="133"/>
        <v>30390456H</v>
      </c>
      <c r="AW574" s="471" cm="1">
        <f t="array" ref="AW574">SUM(MID(0&amp;AV574,LARGE(INDEX(ISNUMBER(--MID(AV574,ROW($1:$8),1))*ROW($1:$8),),ROW($1:$8))+1,1)*10^ROW($1:$8)/10)</f>
        <v>30390456</v>
      </c>
      <c r="AX574" s="471" t="str">
        <f>VLOOKUP($AW574,'Item Master Data'!$A:$F,3,FALSE)</f>
        <v>Q.PEAK DUO BLK ML G10+</v>
      </c>
      <c r="AY574" s="471">
        <f>VLOOKUP($AW574,'Item Master Data'!$A:$F,6,FALSE)</f>
        <v>400</v>
      </c>
      <c r="AZ574" s="471">
        <f t="shared" si="134"/>
        <v>26</v>
      </c>
      <c r="BA574" s="471">
        <f>VLOOKUP(AW574,'Item Master Data'!$A:$G,7,FALSE)</f>
        <v>32</v>
      </c>
      <c r="BB574" s="471"/>
      <c r="BC574" s="471">
        <f t="shared" si="135"/>
        <v>80</v>
      </c>
    </row>
    <row r="575" spans="1:55">
      <c r="A575" s="472"/>
      <c r="B575" s="514"/>
      <c r="C575" s="514">
        <v>44636</v>
      </c>
      <c r="D575" s="485" t="s">
        <v>2322</v>
      </c>
      <c r="E575" s="474"/>
      <c r="F575" s="474"/>
      <c r="G575" s="474">
        <v>2022</v>
      </c>
      <c r="H575" s="474">
        <v>7</v>
      </c>
      <c r="I575" s="485"/>
      <c r="J575" s="475"/>
      <c r="K575" s="483" t="s">
        <v>2711</v>
      </c>
      <c r="L575" s="474" t="s">
        <v>2654</v>
      </c>
      <c r="M575" s="487">
        <v>44628</v>
      </c>
      <c r="N575" s="487">
        <v>44753</v>
      </c>
      <c r="O575" s="487"/>
      <c r="P575" s="475"/>
      <c r="Q575" s="475"/>
      <c r="R575" s="475"/>
      <c r="S575" s="474" t="s">
        <v>1563</v>
      </c>
      <c r="T575" s="474">
        <v>72</v>
      </c>
      <c r="U575" s="474" t="s">
        <v>1281</v>
      </c>
      <c r="V575" s="474" t="s">
        <v>1110</v>
      </c>
      <c r="W575" s="474">
        <v>480</v>
      </c>
      <c r="X575" s="476">
        <v>832</v>
      </c>
      <c r="Y575" s="477">
        <f t="shared" si="128"/>
        <v>399360</v>
      </c>
      <c r="Z575" s="478">
        <f t="shared" si="136"/>
        <v>0.495</v>
      </c>
      <c r="AA575" s="479">
        <f t="shared" si="129"/>
        <v>197683.20000000001</v>
      </c>
      <c r="AB575" s="480"/>
      <c r="AC575" s="481">
        <f t="shared" si="137"/>
        <v>0</v>
      </c>
      <c r="AD575" s="490"/>
      <c r="AE575" s="482"/>
      <c r="AF575" s="493">
        <f t="shared" si="138"/>
        <v>197683.20000000001</v>
      </c>
      <c r="AG575" s="474" t="s">
        <v>47</v>
      </c>
      <c r="AH575" s="474"/>
      <c r="AI575" s="483" t="s">
        <v>2326</v>
      </c>
      <c r="AJ575" s="474" t="s">
        <v>1844</v>
      </c>
      <c r="AK575" s="494" t="s">
        <v>50</v>
      </c>
      <c r="AL575" s="474">
        <v>93291</v>
      </c>
      <c r="AM575" s="474" t="s">
        <v>52</v>
      </c>
      <c r="AN575" s="474" t="s">
        <v>1074</v>
      </c>
      <c r="AO575" s="474"/>
      <c r="AP575" s="486"/>
      <c r="AQ575" s="486" t="s">
        <v>37</v>
      </c>
      <c r="AR575" s="486"/>
      <c r="AS575" s="495"/>
      <c r="AT575" s="495"/>
      <c r="AU575" s="478"/>
      <c r="AV575" s="471" t="str">
        <f t="shared" si="133"/>
        <v>30390456H</v>
      </c>
      <c r="AW575" s="471" cm="1">
        <f t="array" ref="AW575">SUM(MID(0&amp;AV575,LARGE(INDEX(ISNUMBER(--MID(AV575,ROW($1:$8),1))*ROW($1:$8),),ROW($1:$8))+1,1)*10^ROW($1:$8)/10)</f>
        <v>30390456</v>
      </c>
      <c r="AX575" s="471" t="str">
        <f>VLOOKUP($AW575,'Item Master Data'!$A:$F,3,FALSE)</f>
        <v>Q.PEAK DUO BLK ML G10+</v>
      </c>
      <c r="AY575" s="471">
        <f>VLOOKUP($AW575,'Item Master Data'!$A:$F,6,FALSE)</f>
        <v>400</v>
      </c>
      <c r="AZ575" s="471">
        <f t="shared" si="134"/>
        <v>26</v>
      </c>
      <c r="BA575" s="471">
        <f>VLOOKUP(AW575,'Item Master Data'!$A:$G,7,FALSE)</f>
        <v>32</v>
      </c>
      <c r="BB575" s="471"/>
      <c r="BC575" s="471">
        <f t="shared" si="135"/>
        <v>80</v>
      </c>
    </row>
    <row r="576" spans="1:55">
      <c r="A576" s="472"/>
      <c r="B576" s="514"/>
      <c r="C576" s="514">
        <v>44636</v>
      </c>
      <c r="D576" s="485" t="s">
        <v>2322</v>
      </c>
      <c r="E576" s="474"/>
      <c r="F576" s="474"/>
      <c r="G576" s="474">
        <v>2022</v>
      </c>
      <c r="H576" s="474">
        <v>8</v>
      </c>
      <c r="I576" s="485"/>
      <c r="J576" s="475"/>
      <c r="K576" s="483" t="s">
        <v>2653</v>
      </c>
      <c r="L576" s="474" t="s">
        <v>2654</v>
      </c>
      <c r="M576" s="487">
        <v>44628</v>
      </c>
      <c r="N576" s="487">
        <v>44753</v>
      </c>
      <c r="O576" s="487"/>
      <c r="P576" s="475"/>
      <c r="Q576" s="475"/>
      <c r="R576" s="475"/>
      <c r="S576" s="474" t="s">
        <v>1563</v>
      </c>
      <c r="T576" s="474">
        <v>72</v>
      </c>
      <c r="U576" s="474" t="s">
        <v>1281</v>
      </c>
      <c r="V576" s="474" t="s">
        <v>1110</v>
      </c>
      <c r="W576" s="474">
        <v>480</v>
      </c>
      <c r="X576" s="476">
        <v>832</v>
      </c>
      <c r="Y576" s="477">
        <f t="shared" si="128"/>
        <v>399360</v>
      </c>
      <c r="Z576" s="478">
        <f t="shared" si="136"/>
        <v>0.495</v>
      </c>
      <c r="AA576" s="479">
        <f t="shared" si="129"/>
        <v>197683.20000000001</v>
      </c>
      <c r="AB576" s="480"/>
      <c r="AC576" s="481">
        <f t="shared" si="137"/>
        <v>0</v>
      </c>
      <c r="AD576" s="490"/>
      <c r="AE576" s="482"/>
      <c r="AF576" s="493">
        <f t="shared" si="138"/>
        <v>197683.20000000001</v>
      </c>
      <c r="AG576" s="474" t="s">
        <v>47</v>
      </c>
      <c r="AH576" s="474"/>
      <c r="AI576" s="483" t="s">
        <v>2326</v>
      </c>
      <c r="AJ576" s="474" t="s">
        <v>2655</v>
      </c>
      <c r="AK576" s="494" t="s">
        <v>1347</v>
      </c>
      <c r="AL576" s="474">
        <v>17026</v>
      </c>
      <c r="AM576" s="474" t="s">
        <v>52</v>
      </c>
      <c r="AN576" s="474" t="s">
        <v>1074</v>
      </c>
      <c r="AO576" s="474"/>
      <c r="AP576" s="486"/>
      <c r="AQ576" s="486" t="s">
        <v>37</v>
      </c>
      <c r="AR576" s="486"/>
      <c r="AS576" s="495"/>
      <c r="AT576" s="495"/>
      <c r="AU576" s="478"/>
      <c r="AV576" s="471" t="str">
        <f t="shared" si="133"/>
        <v>30390456H</v>
      </c>
      <c r="AW576" s="471" cm="1">
        <f t="array" ref="AW576">SUM(MID(0&amp;AV576,LARGE(INDEX(ISNUMBER(--MID(AV576,ROW($1:$8),1))*ROW($1:$8),),ROW($1:$8))+1,1)*10^ROW($1:$8)/10)</f>
        <v>30390456</v>
      </c>
      <c r="AX576" s="471" t="str">
        <f>VLOOKUP($AW576,'Item Master Data'!$A:$F,3,FALSE)</f>
        <v>Q.PEAK DUO BLK ML G10+</v>
      </c>
      <c r="AY576" s="471">
        <f>VLOOKUP($AW576,'Item Master Data'!$A:$F,6,FALSE)</f>
        <v>400</v>
      </c>
      <c r="AZ576" s="471">
        <f t="shared" si="134"/>
        <v>26</v>
      </c>
      <c r="BA576" s="471">
        <f>VLOOKUP(AW576,'Item Master Data'!$A:$G,7,FALSE)</f>
        <v>32</v>
      </c>
      <c r="BB576" s="471"/>
      <c r="BC576" s="471">
        <f t="shared" si="135"/>
        <v>80</v>
      </c>
    </row>
    <row r="577" spans="1:55">
      <c r="A577" s="472"/>
      <c r="B577" s="514"/>
      <c r="C577" s="514">
        <v>44636</v>
      </c>
      <c r="D577" s="485" t="s">
        <v>2322</v>
      </c>
      <c r="E577" s="474"/>
      <c r="F577" s="474"/>
      <c r="G577" s="474">
        <v>2022</v>
      </c>
      <c r="H577" s="474">
        <v>8</v>
      </c>
      <c r="I577" s="485"/>
      <c r="J577" s="475"/>
      <c r="K577" s="483" t="s">
        <v>2656</v>
      </c>
      <c r="L577" s="474" t="s">
        <v>2654</v>
      </c>
      <c r="M577" s="487">
        <v>44628</v>
      </c>
      <c r="N577" s="487">
        <v>44748</v>
      </c>
      <c r="O577" s="487"/>
      <c r="P577" s="475"/>
      <c r="Q577" s="475"/>
      <c r="R577" s="475"/>
      <c r="S577" s="474" t="s">
        <v>1563</v>
      </c>
      <c r="T577" s="474">
        <v>72</v>
      </c>
      <c r="U577" s="474" t="s">
        <v>1281</v>
      </c>
      <c r="V577" s="474" t="s">
        <v>1110</v>
      </c>
      <c r="W577" s="474">
        <v>480</v>
      </c>
      <c r="X577" s="476">
        <v>832</v>
      </c>
      <c r="Y577" s="477">
        <f t="shared" si="128"/>
        <v>399360</v>
      </c>
      <c r="Z577" s="478">
        <f t="shared" si="136"/>
        <v>0.495</v>
      </c>
      <c r="AA577" s="479">
        <f t="shared" si="129"/>
        <v>197683.20000000001</v>
      </c>
      <c r="AB577" s="480"/>
      <c r="AC577" s="481">
        <f t="shared" si="137"/>
        <v>0</v>
      </c>
      <c r="AD577" s="490"/>
      <c r="AE577" s="482"/>
      <c r="AF577" s="493">
        <f t="shared" si="138"/>
        <v>197683.20000000001</v>
      </c>
      <c r="AG577" s="474" t="s">
        <v>47</v>
      </c>
      <c r="AH577" s="474"/>
      <c r="AI577" s="483" t="s">
        <v>2326</v>
      </c>
      <c r="AJ577" s="474" t="s">
        <v>1844</v>
      </c>
      <c r="AK577" s="494" t="s">
        <v>50</v>
      </c>
      <c r="AL577" s="474">
        <v>93291</v>
      </c>
      <c r="AM577" s="474" t="s">
        <v>52</v>
      </c>
      <c r="AN577" s="474" t="s">
        <v>1074</v>
      </c>
      <c r="AO577" s="474"/>
      <c r="AP577" s="486"/>
      <c r="AQ577" s="486" t="s">
        <v>37</v>
      </c>
      <c r="AR577" s="486"/>
      <c r="AS577" s="495"/>
      <c r="AT577" s="495"/>
      <c r="AU577" s="478"/>
      <c r="AV577" s="471" t="str">
        <f t="shared" si="133"/>
        <v>30390456H</v>
      </c>
      <c r="AW577" s="471" cm="1">
        <f t="array" ref="AW577">SUM(MID(0&amp;AV577,LARGE(INDEX(ISNUMBER(--MID(AV577,ROW($1:$8),1))*ROW($1:$8),),ROW($1:$8))+1,1)*10^ROW($1:$8)/10)</f>
        <v>30390456</v>
      </c>
      <c r="AX577" s="471" t="str">
        <f>VLOOKUP($AW577,'Item Master Data'!$A:$F,3,FALSE)</f>
        <v>Q.PEAK DUO BLK ML G10+</v>
      </c>
      <c r="AY577" s="471">
        <f>VLOOKUP($AW577,'Item Master Data'!$A:$F,6,FALSE)</f>
        <v>400</v>
      </c>
      <c r="AZ577" s="471">
        <f t="shared" si="134"/>
        <v>26</v>
      </c>
      <c r="BA577" s="471">
        <f>VLOOKUP(AW577,'Item Master Data'!$A:$G,7,FALSE)</f>
        <v>32</v>
      </c>
      <c r="BB577" s="471"/>
      <c r="BC577" s="471">
        <f t="shared" si="135"/>
        <v>80</v>
      </c>
    </row>
    <row r="578" spans="1:55">
      <c r="A578" s="472"/>
      <c r="B578" s="514"/>
      <c r="C578" s="514">
        <v>44636</v>
      </c>
      <c r="D578" s="485" t="s">
        <v>2322</v>
      </c>
      <c r="E578" s="474"/>
      <c r="F578" s="474"/>
      <c r="G578" s="474">
        <v>2022</v>
      </c>
      <c r="H578" s="474">
        <v>8</v>
      </c>
      <c r="I578" s="485"/>
      <c r="J578" s="475"/>
      <c r="K578" s="483" t="s">
        <v>2711</v>
      </c>
      <c r="L578" s="474" t="s">
        <v>2654</v>
      </c>
      <c r="M578" s="487">
        <v>44628</v>
      </c>
      <c r="N578" s="487">
        <v>44781</v>
      </c>
      <c r="O578" s="487"/>
      <c r="P578" s="475"/>
      <c r="Q578" s="475"/>
      <c r="R578" s="475"/>
      <c r="S578" s="474" t="s">
        <v>1563</v>
      </c>
      <c r="T578" s="474">
        <v>72</v>
      </c>
      <c r="U578" s="474" t="s">
        <v>1281</v>
      </c>
      <c r="V578" s="474" t="s">
        <v>1110</v>
      </c>
      <c r="W578" s="474">
        <v>480</v>
      </c>
      <c r="X578" s="476">
        <v>832</v>
      </c>
      <c r="Y578" s="477">
        <f t="shared" si="128"/>
        <v>399360</v>
      </c>
      <c r="Z578" s="478">
        <f t="shared" si="136"/>
        <v>0.495</v>
      </c>
      <c r="AA578" s="479">
        <f t="shared" si="129"/>
        <v>197683.20000000001</v>
      </c>
      <c r="AB578" s="480"/>
      <c r="AC578" s="481">
        <f t="shared" si="137"/>
        <v>0</v>
      </c>
      <c r="AD578" s="490"/>
      <c r="AE578" s="482"/>
      <c r="AF578" s="493">
        <f t="shared" si="138"/>
        <v>197683.20000000001</v>
      </c>
      <c r="AG578" s="474" t="s">
        <v>47</v>
      </c>
      <c r="AH578" s="474"/>
      <c r="AI578" s="483" t="s">
        <v>2326</v>
      </c>
      <c r="AJ578" s="474" t="s">
        <v>1844</v>
      </c>
      <c r="AK578" s="494" t="s">
        <v>50</v>
      </c>
      <c r="AL578" s="474">
        <v>93291</v>
      </c>
      <c r="AM578" s="474" t="s">
        <v>52</v>
      </c>
      <c r="AN578" s="474" t="s">
        <v>1074</v>
      </c>
      <c r="AO578" s="474"/>
      <c r="AP578" s="486"/>
      <c r="AQ578" s="486" t="s">
        <v>37</v>
      </c>
      <c r="AR578" s="486"/>
      <c r="AS578" s="495"/>
      <c r="AT578" s="495"/>
      <c r="AU578" s="478"/>
      <c r="AV578" s="471" t="str">
        <f t="shared" si="133"/>
        <v>30390456H</v>
      </c>
      <c r="AW578" s="471" cm="1">
        <f t="array" ref="AW578">SUM(MID(0&amp;AV578,LARGE(INDEX(ISNUMBER(--MID(AV578,ROW($1:$8),1))*ROW($1:$8),),ROW($1:$8))+1,1)*10^ROW($1:$8)/10)</f>
        <v>30390456</v>
      </c>
      <c r="AX578" s="471" t="str">
        <f>VLOOKUP($AW578,'Item Master Data'!$A:$F,3,FALSE)</f>
        <v>Q.PEAK DUO BLK ML G10+</v>
      </c>
      <c r="AY578" s="471">
        <f>VLOOKUP($AW578,'Item Master Data'!$A:$F,6,FALSE)</f>
        <v>400</v>
      </c>
      <c r="AZ578" s="471">
        <f t="shared" si="134"/>
        <v>26</v>
      </c>
      <c r="BA578" s="471">
        <f>VLOOKUP(AW578,'Item Master Data'!$A:$G,7,FALSE)</f>
        <v>32</v>
      </c>
      <c r="BB578" s="471"/>
      <c r="BC578" s="471">
        <f t="shared" si="135"/>
        <v>80</v>
      </c>
    </row>
    <row r="579" spans="1:55">
      <c r="A579" s="472"/>
      <c r="B579" s="514"/>
      <c r="C579" s="514">
        <v>44636</v>
      </c>
      <c r="D579" s="485" t="s">
        <v>2322</v>
      </c>
      <c r="E579" s="474"/>
      <c r="F579" s="474"/>
      <c r="G579" s="474">
        <v>2022</v>
      </c>
      <c r="H579" s="474">
        <v>9</v>
      </c>
      <c r="I579" s="485"/>
      <c r="J579" s="475"/>
      <c r="K579" s="483" t="s">
        <v>2653</v>
      </c>
      <c r="L579" s="474" t="s">
        <v>2654</v>
      </c>
      <c r="M579" s="487">
        <v>44628</v>
      </c>
      <c r="N579" s="487">
        <v>44809</v>
      </c>
      <c r="O579" s="487"/>
      <c r="P579" s="475"/>
      <c r="Q579" s="475"/>
      <c r="R579" s="475"/>
      <c r="S579" s="474" t="s">
        <v>1563</v>
      </c>
      <c r="T579" s="474">
        <v>72</v>
      </c>
      <c r="U579" s="474"/>
      <c r="V579" s="474" t="s">
        <v>1110</v>
      </c>
      <c r="W579" s="474">
        <v>480</v>
      </c>
      <c r="X579" s="476">
        <v>832</v>
      </c>
      <c r="Y579" s="477">
        <f t="shared" si="128"/>
        <v>399360</v>
      </c>
      <c r="Z579" s="478">
        <f t="shared" si="136"/>
        <v>0.495</v>
      </c>
      <c r="AA579" s="479">
        <f t="shared" si="129"/>
        <v>197683.20000000001</v>
      </c>
      <c r="AB579" s="480"/>
      <c r="AC579" s="481">
        <f t="shared" si="137"/>
        <v>0</v>
      </c>
      <c r="AD579" s="490"/>
      <c r="AE579" s="482"/>
      <c r="AF579" s="493">
        <f t="shared" si="138"/>
        <v>197683.20000000001</v>
      </c>
      <c r="AG579" s="474" t="s">
        <v>47</v>
      </c>
      <c r="AH579" s="474"/>
      <c r="AI579" s="483" t="s">
        <v>2326</v>
      </c>
      <c r="AJ579" s="474" t="s">
        <v>2655</v>
      </c>
      <c r="AK579" s="494" t="s">
        <v>1347</v>
      </c>
      <c r="AL579" s="474">
        <v>17026</v>
      </c>
      <c r="AM579" s="474" t="s">
        <v>52</v>
      </c>
      <c r="AN579" s="474" t="s">
        <v>1074</v>
      </c>
      <c r="AO579" s="474"/>
      <c r="AP579" s="486"/>
      <c r="AQ579" s="486" t="s">
        <v>37</v>
      </c>
      <c r="AR579" s="486"/>
      <c r="AS579" s="495"/>
      <c r="AT579" s="495"/>
      <c r="AU579" s="478"/>
      <c r="AV579" s="471">
        <f t="shared" si="133"/>
        <v>0</v>
      </c>
      <c r="AW579" s="471" cm="1">
        <f t="array" ref="AW579">SUM(MID(0&amp;AV579,LARGE(INDEX(ISNUMBER(--MID(AV579,ROW($1:$8),1))*ROW($1:$8),),ROW($1:$8))+1,1)*10^ROW($1:$8)/10)</f>
        <v>0</v>
      </c>
      <c r="AX579" s="471" t="e">
        <f>VLOOKUP($AW579,'Item Master Data'!$A:$F,3,FALSE)</f>
        <v>#N/A</v>
      </c>
      <c r="AY579" s="471" t="e">
        <f>VLOOKUP($AW579,'Item Master Data'!$A:$F,6,FALSE)</f>
        <v>#N/A</v>
      </c>
      <c r="AZ579" s="471" t="e">
        <f t="shared" si="134"/>
        <v>#N/A</v>
      </c>
      <c r="BA579" s="471" t="e">
        <f>VLOOKUP(AW579,'Item Master Data'!$A:$G,7,FALSE)</f>
        <v>#N/A</v>
      </c>
      <c r="BB579" s="471"/>
      <c r="BC579" s="471" t="e">
        <f t="shared" si="135"/>
        <v>#N/A</v>
      </c>
    </row>
    <row r="580" spans="1:55">
      <c r="A580" s="472"/>
      <c r="B580" s="514"/>
      <c r="C580" s="514">
        <v>44636</v>
      </c>
      <c r="D580" s="485" t="s">
        <v>2322</v>
      </c>
      <c r="E580" s="474"/>
      <c r="F580" s="474"/>
      <c r="G580" s="474">
        <v>2022</v>
      </c>
      <c r="H580" s="474">
        <v>9</v>
      </c>
      <c r="I580" s="485"/>
      <c r="J580" s="475"/>
      <c r="K580" s="483" t="s">
        <v>2711</v>
      </c>
      <c r="L580" s="474" t="s">
        <v>2654</v>
      </c>
      <c r="M580" s="487">
        <v>44628</v>
      </c>
      <c r="N580" s="487">
        <v>44809</v>
      </c>
      <c r="O580" s="487"/>
      <c r="P580" s="475"/>
      <c r="Q580" s="475"/>
      <c r="R580" s="475"/>
      <c r="S580" s="474" t="s">
        <v>1563</v>
      </c>
      <c r="T580" s="474">
        <v>72</v>
      </c>
      <c r="U580" s="474"/>
      <c r="V580" s="474" t="s">
        <v>1110</v>
      </c>
      <c r="W580" s="474">
        <v>480</v>
      </c>
      <c r="X580" s="476">
        <v>832</v>
      </c>
      <c r="Y580" s="477">
        <f t="shared" si="128"/>
        <v>399360</v>
      </c>
      <c r="Z580" s="478">
        <f t="shared" si="136"/>
        <v>0.495</v>
      </c>
      <c r="AA580" s="479">
        <f t="shared" si="129"/>
        <v>197683.20000000001</v>
      </c>
      <c r="AB580" s="480"/>
      <c r="AC580" s="481">
        <f t="shared" si="137"/>
        <v>0</v>
      </c>
      <c r="AD580" s="490"/>
      <c r="AE580" s="482"/>
      <c r="AF580" s="493">
        <f t="shared" si="138"/>
        <v>197683.20000000001</v>
      </c>
      <c r="AG580" s="474" t="s">
        <v>47</v>
      </c>
      <c r="AH580" s="474"/>
      <c r="AI580" s="483" t="s">
        <v>2326</v>
      </c>
      <c r="AJ580" s="474" t="s">
        <v>1844</v>
      </c>
      <c r="AK580" s="494" t="s">
        <v>50</v>
      </c>
      <c r="AL580" s="474">
        <v>93291</v>
      </c>
      <c r="AM580" s="474" t="s">
        <v>52</v>
      </c>
      <c r="AN580" s="474" t="s">
        <v>1074</v>
      </c>
      <c r="AO580" s="474"/>
      <c r="AP580" s="486"/>
      <c r="AQ580" s="486" t="s">
        <v>37</v>
      </c>
      <c r="AR580" s="486"/>
      <c r="AS580" s="495"/>
      <c r="AT580" s="495"/>
      <c r="AU580" s="478"/>
      <c r="AV580" s="471">
        <f t="shared" si="133"/>
        <v>0</v>
      </c>
      <c r="AW580" s="471" cm="1">
        <f t="array" ref="AW580">SUM(MID(0&amp;AV580,LARGE(INDEX(ISNUMBER(--MID(AV580,ROW($1:$8),1))*ROW($1:$8),),ROW($1:$8))+1,1)*10^ROW($1:$8)/10)</f>
        <v>0</v>
      </c>
      <c r="AX580" s="471" t="e">
        <f>VLOOKUP($AW580,'Item Master Data'!$A:$F,3,FALSE)</f>
        <v>#N/A</v>
      </c>
      <c r="AY580" s="471" t="e">
        <f>VLOOKUP($AW580,'Item Master Data'!$A:$F,6,FALSE)</f>
        <v>#N/A</v>
      </c>
      <c r="AZ580" s="471" t="e">
        <f t="shared" si="134"/>
        <v>#N/A</v>
      </c>
      <c r="BA580" s="471" t="e">
        <f>VLOOKUP(AW580,'Item Master Data'!$A:$G,7,FALSE)</f>
        <v>#N/A</v>
      </c>
      <c r="BB580" s="471"/>
      <c r="BC580" s="471" t="e">
        <f t="shared" si="135"/>
        <v>#N/A</v>
      </c>
    </row>
    <row r="581" spans="1:55">
      <c r="A581" s="472"/>
      <c r="B581" s="514"/>
      <c r="C581" s="514"/>
      <c r="D581" s="485" t="s">
        <v>2322</v>
      </c>
      <c r="E581" s="474" t="s">
        <v>2689</v>
      </c>
      <c r="F581" s="474"/>
      <c r="G581" s="474">
        <v>2023</v>
      </c>
      <c r="H581" s="474">
        <v>1</v>
      </c>
      <c r="I581" s="485"/>
      <c r="J581" s="475"/>
      <c r="K581" s="483" t="s">
        <v>2745</v>
      </c>
      <c r="L581" s="474" t="s">
        <v>1693</v>
      </c>
      <c r="M581" s="487">
        <v>44641</v>
      </c>
      <c r="N581" s="487">
        <v>44774</v>
      </c>
      <c r="O581" s="487"/>
      <c r="P581" s="475"/>
      <c r="Q581" s="475"/>
      <c r="R581" s="475"/>
      <c r="S581" s="474" t="s">
        <v>1563</v>
      </c>
      <c r="T581" s="474">
        <v>60</v>
      </c>
      <c r="U581" s="474" t="s">
        <v>1281</v>
      </c>
      <c r="V581" s="474" t="s">
        <v>973</v>
      </c>
      <c r="W581" s="474">
        <v>400</v>
      </c>
      <c r="X581" s="476">
        <v>768</v>
      </c>
      <c r="Y581" s="477">
        <f t="shared" si="128"/>
        <v>307200</v>
      </c>
      <c r="Z581" s="478">
        <f t="shared" ref="Z581:Z598" si="139">220/400</f>
        <v>0.55000000000000004</v>
      </c>
      <c r="AA581" s="479">
        <f t="shared" si="129"/>
        <v>168960</v>
      </c>
      <c r="AB581" s="480"/>
      <c r="AC581" s="481">
        <f t="shared" si="137"/>
        <v>0</v>
      </c>
      <c r="AD581" s="490"/>
      <c r="AE581" s="482"/>
      <c r="AF581" s="493">
        <f t="shared" si="138"/>
        <v>168960</v>
      </c>
      <c r="AG581" s="474" t="s">
        <v>1071</v>
      </c>
      <c r="AH581" s="474"/>
      <c r="AI581" s="483">
        <v>60</v>
      </c>
      <c r="AJ581" s="474" t="s">
        <v>1694</v>
      </c>
      <c r="AK581" s="494" t="s">
        <v>2321</v>
      </c>
      <c r="AL581" s="474">
        <v>92806</v>
      </c>
      <c r="AM581" s="474" t="s">
        <v>52</v>
      </c>
      <c r="AN581" s="474" t="s">
        <v>1074</v>
      </c>
      <c r="AO581" s="474"/>
      <c r="AP581" s="486"/>
      <c r="AQ581" s="486"/>
      <c r="AR581" s="486" t="s">
        <v>2367</v>
      </c>
      <c r="AS581" s="495"/>
      <c r="AT581" s="495"/>
      <c r="AU581" s="478"/>
      <c r="AV581" s="471" t="str">
        <f t="shared" si="133"/>
        <v>30390456H</v>
      </c>
      <c r="AW581" s="471" cm="1">
        <f t="array" ref="AW581">SUM(MID(0&amp;AV581,LARGE(INDEX(ISNUMBER(--MID(AV581,ROW($1:$8),1))*ROW($1:$8),),ROW($1:$8))+1,1)*10^ROW($1:$8)/10)</f>
        <v>30390456</v>
      </c>
      <c r="AX581" s="471" t="str">
        <f>VLOOKUP($AW581,'Item Master Data'!$A:$F,3,FALSE)</f>
        <v>Q.PEAK DUO BLK ML G10+</v>
      </c>
      <c r="AY581" s="471">
        <f>VLOOKUP($AW581,'Item Master Data'!$A:$F,6,FALSE)</f>
        <v>400</v>
      </c>
      <c r="AZ581" s="471">
        <f t="shared" si="134"/>
        <v>24</v>
      </c>
      <c r="BA581" s="471">
        <f>VLOOKUP(AW581,'Item Master Data'!$A:$G,7,FALSE)</f>
        <v>32</v>
      </c>
      <c r="BB581" s="471"/>
      <c r="BC581" s="471">
        <f t="shared" si="135"/>
        <v>0</v>
      </c>
    </row>
    <row r="582" spans="1:55">
      <c r="A582" s="472"/>
      <c r="B582" s="514"/>
      <c r="C582" s="514"/>
      <c r="D582" s="485" t="s">
        <v>2322</v>
      </c>
      <c r="E582" s="474" t="s">
        <v>2689</v>
      </c>
      <c r="F582" s="474"/>
      <c r="G582" s="474">
        <v>2023</v>
      </c>
      <c r="H582" s="474">
        <v>1</v>
      </c>
      <c r="I582" s="485"/>
      <c r="J582" s="475"/>
      <c r="K582" s="483" t="s">
        <v>2745</v>
      </c>
      <c r="L582" s="474" t="s">
        <v>1693</v>
      </c>
      <c r="M582" s="487">
        <v>44641</v>
      </c>
      <c r="N582" s="487">
        <v>44774</v>
      </c>
      <c r="O582" s="487"/>
      <c r="P582" s="475"/>
      <c r="Q582" s="475"/>
      <c r="R582" s="475"/>
      <c r="S582" s="474" t="s">
        <v>1563</v>
      </c>
      <c r="T582" s="474">
        <v>60</v>
      </c>
      <c r="U582" s="474" t="s">
        <v>1281</v>
      </c>
      <c r="V582" s="474" t="s">
        <v>973</v>
      </c>
      <c r="W582" s="474">
        <v>400</v>
      </c>
      <c r="X582" s="476">
        <f>2304-768</f>
        <v>1536</v>
      </c>
      <c r="Y582" s="477">
        <f t="shared" si="128"/>
        <v>614400</v>
      </c>
      <c r="Z582" s="478">
        <f t="shared" si="139"/>
        <v>0.55000000000000004</v>
      </c>
      <c r="AA582" s="479">
        <f t="shared" si="129"/>
        <v>337920</v>
      </c>
      <c r="AB582" s="480"/>
      <c r="AC582" s="481">
        <f t="shared" si="137"/>
        <v>0</v>
      </c>
      <c r="AD582" s="490"/>
      <c r="AE582" s="482"/>
      <c r="AF582" s="493">
        <f t="shared" si="138"/>
        <v>337920</v>
      </c>
      <c r="AG582" s="474" t="s">
        <v>1071</v>
      </c>
      <c r="AH582" s="474"/>
      <c r="AI582" s="483">
        <v>60</v>
      </c>
      <c r="AJ582" s="474" t="s">
        <v>1694</v>
      </c>
      <c r="AK582" s="494" t="s">
        <v>2321</v>
      </c>
      <c r="AL582" s="474">
        <v>92806</v>
      </c>
      <c r="AM582" s="474" t="s">
        <v>52</v>
      </c>
      <c r="AN582" s="474" t="s">
        <v>1074</v>
      </c>
      <c r="AO582" s="474"/>
      <c r="AP582" s="486"/>
      <c r="AQ582" s="486"/>
      <c r="AR582" s="486" t="s">
        <v>2367</v>
      </c>
      <c r="AS582" s="495"/>
      <c r="AT582" s="495"/>
      <c r="AU582" s="478"/>
      <c r="AV582" s="471" t="str">
        <f t="shared" si="133"/>
        <v>30390456H</v>
      </c>
      <c r="AW582" s="471" cm="1">
        <f t="array" ref="AW582">SUM(MID(0&amp;AV582,LARGE(INDEX(ISNUMBER(--MID(AV582,ROW($1:$8),1))*ROW($1:$8),),ROW($1:$8))+1,1)*10^ROW($1:$8)/10)</f>
        <v>30390456</v>
      </c>
      <c r="AX582" s="471" t="str">
        <f>VLOOKUP($AW582,'Item Master Data'!$A:$F,3,FALSE)</f>
        <v>Q.PEAK DUO BLK ML G10+</v>
      </c>
      <c r="AY582" s="471">
        <f>VLOOKUP($AW582,'Item Master Data'!$A:$F,6,FALSE)</f>
        <v>400</v>
      </c>
      <c r="AZ582" s="471">
        <f t="shared" si="134"/>
        <v>48</v>
      </c>
      <c r="BA582" s="471">
        <f>VLOOKUP(AW582,'Item Master Data'!$A:$G,7,FALSE)</f>
        <v>32</v>
      </c>
      <c r="BB582" s="471"/>
      <c r="BC582" s="471">
        <f t="shared" si="135"/>
        <v>0</v>
      </c>
    </row>
    <row r="583" spans="1:55">
      <c r="A583" s="599">
        <v>10</v>
      </c>
      <c r="B583" s="514"/>
      <c r="C583" s="514"/>
      <c r="D583" s="485" t="s">
        <v>2322</v>
      </c>
      <c r="E583" s="474"/>
      <c r="F583" s="474" t="s">
        <v>1147</v>
      </c>
      <c r="G583" s="474">
        <v>2022</v>
      </c>
      <c r="H583" s="474">
        <v>3</v>
      </c>
      <c r="I583" s="485">
        <v>127207</v>
      </c>
      <c r="J583" s="475">
        <v>44629</v>
      </c>
      <c r="K583" s="483" t="s">
        <v>2351</v>
      </c>
      <c r="L583" s="474" t="s">
        <v>1693</v>
      </c>
      <c r="M583" s="487">
        <v>44504</v>
      </c>
      <c r="N583" s="487">
        <v>44596</v>
      </c>
      <c r="O583" s="487"/>
      <c r="P583" s="475">
        <v>44627</v>
      </c>
      <c r="Q583" s="475">
        <v>44629</v>
      </c>
      <c r="R583" s="475">
        <v>44630</v>
      </c>
      <c r="S583" s="474" t="s">
        <v>2352</v>
      </c>
      <c r="T583" s="474">
        <v>60</v>
      </c>
      <c r="U583" s="474" t="s">
        <v>1247</v>
      </c>
      <c r="V583" s="474" t="s">
        <v>973</v>
      </c>
      <c r="W583" s="474">
        <v>400</v>
      </c>
      <c r="X583" s="476">
        <v>768</v>
      </c>
      <c r="Y583" s="491">
        <f t="shared" si="128"/>
        <v>307200</v>
      </c>
      <c r="Z583" s="478">
        <f t="shared" si="139"/>
        <v>0.55000000000000004</v>
      </c>
      <c r="AA583" s="479">
        <f t="shared" si="129"/>
        <v>168960</v>
      </c>
      <c r="AB583" s="480"/>
      <c r="AC583" s="481">
        <v>0</v>
      </c>
      <c r="AD583" s="490"/>
      <c r="AE583" s="482"/>
      <c r="AF583" s="493">
        <f t="shared" si="138"/>
        <v>168960</v>
      </c>
      <c r="AG583" s="474" t="s">
        <v>1071</v>
      </c>
      <c r="AH583" s="474">
        <v>0</v>
      </c>
      <c r="AI583" s="483">
        <v>60</v>
      </c>
      <c r="AJ583" s="474" t="s">
        <v>2353</v>
      </c>
      <c r="AK583" s="494" t="s">
        <v>50</v>
      </c>
      <c r="AL583" s="474">
        <v>90620</v>
      </c>
      <c r="AM583" s="474" t="s">
        <v>52</v>
      </c>
      <c r="AN583" s="474" t="s">
        <v>50</v>
      </c>
      <c r="AO583" s="474"/>
      <c r="AP583" s="486" t="s">
        <v>38</v>
      </c>
      <c r="AQ583" s="486"/>
      <c r="AR583" s="486" t="s">
        <v>2354</v>
      </c>
      <c r="AS583" s="495"/>
      <c r="AT583" s="495"/>
      <c r="AU583" s="478">
        <v>0.48</v>
      </c>
      <c r="AV583" s="471" t="str">
        <f t="shared" si="133"/>
        <v>30390456C</v>
      </c>
      <c r="AW583" s="471" cm="1">
        <f t="array" ref="AW583">SUM(MID(0&amp;AV583,LARGE(INDEX(ISNUMBER(--MID(AV583,ROW($1:$8),1))*ROW($1:$8),),ROW($1:$8))+1,1)*10^ROW($1:$8)/10)</f>
        <v>30390456</v>
      </c>
      <c r="AX583" s="471" t="str">
        <f>VLOOKUP($AW583,'Item Master Data'!$A:$F,3,FALSE)</f>
        <v>Q.PEAK DUO BLK ML G10+</v>
      </c>
      <c r="AY583" s="471">
        <f>VLOOKUP($AW583,'Item Master Data'!$A:$F,6,FALSE)</f>
        <v>400</v>
      </c>
      <c r="AZ583" s="471">
        <f t="shared" si="134"/>
        <v>24</v>
      </c>
      <c r="BA583" s="471">
        <f>VLOOKUP(AW583,'Item Master Data'!$A:$G,7,FALSE)</f>
        <v>32</v>
      </c>
      <c r="BB583" s="471"/>
      <c r="BC583" s="471">
        <f t="shared" si="135"/>
        <v>0</v>
      </c>
    </row>
    <row r="584" spans="1:55">
      <c r="A584" s="472"/>
      <c r="B584" s="514"/>
      <c r="C584" s="514"/>
      <c r="D584" s="485" t="s">
        <v>2322</v>
      </c>
      <c r="E584" s="474"/>
      <c r="F584" s="474" t="s">
        <v>1147</v>
      </c>
      <c r="G584" s="474">
        <v>2022</v>
      </c>
      <c r="H584" s="474">
        <v>4</v>
      </c>
      <c r="I584" s="485">
        <v>128049</v>
      </c>
      <c r="J584" s="475">
        <v>44662</v>
      </c>
      <c r="K584" s="483" t="s">
        <v>2499</v>
      </c>
      <c r="L584" s="474" t="s">
        <v>1693</v>
      </c>
      <c r="M584" s="487">
        <v>44504</v>
      </c>
      <c r="N584" s="487">
        <v>44624</v>
      </c>
      <c r="O584" s="487"/>
      <c r="P584" s="475">
        <v>44657</v>
      </c>
      <c r="Q584" s="475">
        <v>44662</v>
      </c>
      <c r="R584" s="475">
        <v>44663</v>
      </c>
      <c r="S584" s="474" t="s">
        <v>2352</v>
      </c>
      <c r="T584" s="474">
        <v>60</v>
      </c>
      <c r="U584" s="474" t="s">
        <v>1760</v>
      </c>
      <c r="V584" s="474" t="s">
        <v>973</v>
      </c>
      <c r="W584" s="474">
        <v>400</v>
      </c>
      <c r="X584" s="476">
        <v>768</v>
      </c>
      <c r="Y584" s="477">
        <f t="shared" si="128"/>
        <v>307200</v>
      </c>
      <c r="Z584" s="478">
        <f t="shared" si="139"/>
        <v>0.55000000000000004</v>
      </c>
      <c r="AA584" s="479">
        <f t="shared" si="129"/>
        <v>168960</v>
      </c>
      <c r="AB584" s="480"/>
      <c r="AC584" s="481">
        <v>0</v>
      </c>
      <c r="AD584" s="490"/>
      <c r="AE584" s="482"/>
      <c r="AF584" s="493">
        <f t="shared" si="138"/>
        <v>168960</v>
      </c>
      <c r="AG584" s="474" t="s">
        <v>1071</v>
      </c>
      <c r="AH584" s="474">
        <v>0</v>
      </c>
      <c r="AI584" s="483">
        <v>60</v>
      </c>
      <c r="AJ584" s="474" t="s">
        <v>1694</v>
      </c>
      <c r="AK584" s="494" t="s">
        <v>50</v>
      </c>
      <c r="AL584" s="474" t="s">
        <v>1725</v>
      </c>
      <c r="AM584" s="474" t="s">
        <v>52</v>
      </c>
      <c r="AN584" s="474" t="s">
        <v>50</v>
      </c>
      <c r="AO584" s="474"/>
      <c r="AP584" s="486" t="s">
        <v>92</v>
      </c>
      <c r="AQ584" s="486" t="s">
        <v>37</v>
      </c>
      <c r="AR584" s="486" t="s">
        <v>2354</v>
      </c>
      <c r="AS584" s="495"/>
      <c r="AT584" s="495"/>
      <c r="AU584" s="478">
        <v>0.48</v>
      </c>
      <c r="AV584" s="471" t="str">
        <f t="shared" si="133"/>
        <v>30390156H</v>
      </c>
      <c r="AW584" s="471" cm="1">
        <f t="array" ref="AW584">SUM(MID(0&amp;AV584,LARGE(INDEX(ISNUMBER(--MID(AV584,ROW($1:$8),1))*ROW($1:$8),),ROW($1:$8))+1,1)*10^ROW($1:$8)/10)</f>
        <v>30390156</v>
      </c>
      <c r="AX584" s="471" t="str">
        <f>VLOOKUP($AW584,'Item Master Data'!$A:$F,3,FALSE)</f>
        <v>Q.PEAK DUO BLK ML G10+</v>
      </c>
      <c r="AY584" s="471">
        <f>VLOOKUP($AW584,'Item Master Data'!$A:$F,6,FALSE)</f>
        <v>400</v>
      </c>
      <c r="AZ584" s="471">
        <f t="shared" si="134"/>
        <v>24</v>
      </c>
      <c r="BA584" s="471">
        <f>VLOOKUP(AW584,'Item Master Data'!$A:$G,7,FALSE)</f>
        <v>32</v>
      </c>
      <c r="BB584" s="471"/>
      <c r="BC584" s="471">
        <f t="shared" si="135"/>
        <v>0</v>
      </c>
    </row>
    <row r="585" spans="1:55">
      <c r="A585" s="472"/>
      <c r="B585" s="514"/>
      <c r="C585" s="514"/>
      <c r="D585" s="485" t="s">
        <v>2322</v>
      </c>
      <c r="E585" s="474"/>
      <c r="F585" s="474" t="s">
        <v>1147</v>
      </c>
      <c r="G585" s="474">
        <v>2022</v>
      </c>
      <c r="H585" s="474">
        <v>6</v>
      </c>
      <c r="I585" s="485"/>
      <c r="J585" s="475"/>
      <c r="K585" s="483" t="s">
        <v>2608</v>
      </c>
      <c r="L585" s="474" t="s">
        <v>1693</v>
      </c>
      <c r="M585" s="487">
        <v>44504</v>
      </c>
      <c r="N585" s="487">
        <v>44655</v>
      </c>
      <c r="O585" s="487"/>
      <c r="P585" s="475"/>
      <c r="Q585" s="475"/>
      <c r="R585" s="475"/>
      <c r="S585" s="474" t="s">
        <v>2352</v>
      </c>
      <c r="T585" s="474">
        <v>60</v>
      </c>
      <c r="U585" s="474">
        <v>49401140</v>
      </c>
      <c r="V585" s="474" t="s">
        <v>973</v>
      </c>
      <c r="W585" s="474">
        <v>400</v>
      </c>
      <c r="X585" s="476">
        <v>768</v>
      </c>
      <c r="Y585" s="477">
        <f t="shared" si="128"/>
        <v>307200</v>
      </c>
      <c r="Z585" s="478">
        <f t="shared" si="139"/>
        <v>0.55000000000000004</v>
      </c>
      <c r="AA585" s="479">
        <f t="shared" si="129"/>
        <v>168960</v>
      </c>
      <c r="AB585" s="480"/>
      <c r="AC585" s="481">
        <v>0</v>
      </c>
      <c r="AD585" s="490"/>
      <c r="AE585" s="482"/>
      <c r="AF585" s="493">
        <f t="shared" si="138"/>
        <v>168960</v>
      </c>
      <c r="AG585" s="474" t="s">
        <v>1071</v>
      </c>
      <c r="AH585" s="474">
        <v>0</v>
      </c>
      <c r="AI585" s="483">
        <v>60</v>
      </c>
      <c r="AJ585" s="474" t="s">
        <v>1694</v>
      </c>
      <c r="AK585" s="494" t="s">
        <v>50</v>
      </c>
      <c r="AL585" s="474" t="s">
        <v>1725</v>
      </c>
      <c r="AM585" s="474" t="s">
        <v>52</v>
      </c>
      <c r="AN585" s="474" t="s">
        <v>1074</v>
      </c>
      <c r="AO585" s="474"/>
      <c r="AP585" s="486"/>
      <c r="AQ585" s="486"/>
      <c r="AR585" s="486" t="s">
        <v>2354</v>
      </c>
      <c r="AS585" s="495"/>
      <c r="AT585" s="495"/>
      <c r="AU585" s="478">
        <v>0.48</v>
      </c>
      <c r="AV585" s="471">
        <f t="shared" si="133"/>
        <v>49401140</v>
      </c>
      <c r="AW585" s="471" cm="1">
        <f t="array" ref="AW585">SUM(MID(0&amp;AV585,LARGE(INDEX(ISNUMBER(--MID(AV585,ROW($1:$8),1))*ROW($1:$8),),ROW($1:$8))+1,1)*10^ROW($1:$8)/10)</f>
        <v>49401140</v>
      </c>
      <c r="AX585" s="471" t="str">
        <f>VLOOKUP($AW585,'Item Master Data'!$A:$F,3,FALSE)</f>
        <v>Q.PEAK DUO BLK ML G10.a+</v>
      </c>
      <c r="AY585" s="471">
        <f>VLOOKUP($AW585,'Item Master Data'!$A:$F,6,FALSE)</f>
        <v>400</v>
      </c>
      <c r="AZ585" s="471">
        <f t="shared" si="134"/>
        <v>24</v>
      </c>
      <c r="BA585" s="471">
        <f>VLOOKUP(AW585,'Item Master Data'!$A:$G,7,FALSE)</f>
        <v>32</v>
      </c>
      <c r="BB585" s="471"/>
      <c r="BC585" s="471">
        <f t="shared" si="135"/>
        <v>0</v>
      </c>
    </row>
    <row r="586" spans="1:55">
      <c r="A586" s="472"/>
      <c r="B586" s="514">
        <v>44547</v>
      </c>
      <c r="C586" s="514">
        <v>44593</v>
      </c>
      <c r="D586" s="485" t="s">
        <v>2322</v>
      </c>
      <c r="E586" s="474"/>
      <c r="F586" s="474"/>
      <c r="G586" s="474">
        <v>2022</v>
      </c>
      <c r="H586" s="474">
        <v>6</v>
      </c>
      <c r="I586" s="485"/>
      <c r="J586" s="475"/>
      <c r="K586" s="483" t="s">
        <v>2604</v>
      </c>
      <c r="L586" s="474" t="s">
        <v>1693</v>
      </c>
      <c r="M586" s="487">
        <v>44504</v>
      </c>
      <c r="N586" s="487">
        <v>44613</v>
      </c>
      <c r="O586" s="487"/>
      <c r="P586" s="475"/>
      <c r="Q586" s="475"/>
      <c r="R586" s="475"/>
      <c r="S586" s="474" t="s">
        <v>2352</v>
      </c>
      <c r="T586" s="474">
        <v>60</v>
      </c>
      <c r="U586" s="474" t="s">
        <v>1281</v>
      </c>
      <c r="V586" s="474" t="s">
        <v>973</v>
      </c>
      <c r="W586" s="474">
        <v>400</v>
      </c>
      <c r="X586" s="476">
        <v>768</v>
      </c>
      <c r="Y586" s="477">
        <f t="shared" si="128"/>
        <v>307200</v>
      </c>
      <c r="Z586" s="478">
        <f t="shared" si="139"/>
        <v>0.55000000000000004</v>
      </c>
      <c r="AA586" s="479">
        <f t="shared" si="129"/>
        <v>168960</v>
      </c>
      <c r="AB586" s="480"/>
      <c r="AC586" s="481">
        <f>AB586*Y586</f>
        <v>0</v>
      </c>
      <c r="AD586" s="490"/>
      <c r="AE586" s="482"/>
      <c r="AF586" s="493">
        <f t="shared" si="138"/>
        <v>168960</v>
      </c>
      <c r="AG586" s="474" t="s">
        <v>1071</v>
      </c>
      <c r="AH586" s="474">
        <v>0</v>
      </c>
      <c r="AI586" s="483">
        <v>60</v>
      </c>
      <c r="AJ586" s="474" t="s">
        <v>1694</v>
      </c>
      <c r="AK586" s="494" t="s">
        <v>50</v>
      </c>
      <c r="AL586" s="474" t="s">
        <v>1725</v>
      </c>
      <c r="AM586" s="474" t="s">
        <v>52</v>
      </c>
      <c r="AN586" s="474" t="s">
        <v>1074</v>
      </c>
      <c r="AO586" s="474"/>
      <c r="AP586" s="486"/>
      <c r="AQ586" s="486"/>
      <c r="AR586" s="486" t="s">
        <v>2354</v>
      </c>
      <c r="AS586" s="495"/>
      <c r="AT586" s="495"/>
      <c r="AU586" s="478">
        <v>0.48</v>
      </c>
      <c r="AV586" s="471" t="str">
        <f t="shared" si="133"/>
        <v>30390456H</v>
      </c>
      <c r="AW586" s="471" cm="1">
        <f t="array" ref="AW586">SUM(MID(0&amp;AV586,LARGE(INDEX(ISNUMBER(--MID(AV586,ROW($1:$8),1))*ROW($1:$8),),ROW($1:$8))+1,1)*10^ROW($1:$8)/10)</f>
        <v>30390456</v>
      </c>
      <c r="AX586" s="471" t="str">
        <f>VLOOKUP($AW586,'Item Master Data'!$A:$F,3,FALSE)</f>
        <v>Q.PEAK DUO BLK ML G10+</v>
      </c>
      <c r="AY586" s="471">
        <f>VLOOKUP($AW586,'Item Master Data'!$A:$F,6,FALSE)</f>
        <v>400</v>
      </c>
      <c r="AZ586" s="471">
        <f t="shared" si="134"/>
        <v>24</v>
      </c>
      <c r="BA586" s="471">
        <f>VLOOKUP(AW586,'Item Master Data'!$A:$G,7,FALSE)</f>
        <v>32</v>
      </c>
      <c r="BB586" s="471"/>
      <c r="BC586" s="471">
        <f t="shared" si="135"/>
        <v>0</v>
      </c>
    </row>
    <row r="587" spans="1:55">
      <c r="A587" s="472"/>
      <c r="B587" s="514"/>
      <c r="C587" s="514"/>
      <c r="D587" s="485" t="s">
        <v>2322</v>
      </c>
      <c r="E587" s="474"/>
      <c r="F587" s="474" t="s">
        <v>1147</v>
      </c>
      <c r="G587" s="474">
        <v>2022</v>
      </c>
      <c r="H587" s="474">
        <v>7</v>
      </c>
      <c r="I587" s="485"/>
      <c r="J587" s="475"/>
      <c r="K587" s="483" t="s">
        <v>2657</v>
      </c>
      <c r="L587" s="474" t="s">
        <v>1693</v>
      </c>
      <c r="M587" s="487">
        <v>44504</v>
      </c>
      <c r="N587" s="487">
        <v>44683</v>
      </c>
      <c r="O587" s="487"/>
      <c r="P587" s="475"/>
      <c r="Q587" s="475"/>
      <c r="R587" s="475"/>
      <c r="S587" s="474" t="s">
        <v>2352</v>
      </c>
      <c r="T587" s="474">
        <v>60</v>
      </c>
      <c r="U587" s="474" t="s">
        <v>1281</v>
      </c>
      <c r="V587" s="474" t="s">
        <v>973</v>
      </c>
      <c r="W587" s="474">
        <v>400</v>
      </c>
      <c r="X587" s="476">
        <v>768</v>
      </c>
      <c r="Y587" s="477">
        <f t="shared" si="128"/>
        <v>307200</v>
      </c>
      <c r="Z587" s="478">
        <f t="shared" si="139"/>
        <v>0.55000000000000004</v>
      </c>
      <c r="AA587" s="479">
        <f t="shared" si="129"/>
        <v>168960</v>
      </c>
      <c r="AB587" s="480"/>
      <c r="AC587" s="481">
        <v>0</v>
      </c>
      <c r="AD587" s="490"/>
      <c r="AE587" s="482"/>
      <c r="AF587" s="493">
        <f t="shared" si="138"/>
        <v>168960</v>
      </c>
      <c r="AG587" s="474" t="s">
        <v>1071</v>
      </c>
      <c r="AH587" s="474">
        <v>0</v>
      </c>
      <c r="AI587" s="483">
        <v>60</v>
      </c>
      <c r="AJ587" s="474" t="s">
        <v>1694</v>
      </c>
      <c r="AK587" s="494" t="s">
        <v>50</v>
      </c>
      <c r="AL587" s="474" t="s">
        <v>1725</v>
      </c>
      <c r="AM587" s="474" t="s">
        <v>52</v>
      </c>
      <c r="AN587" s="474" t="s">
        <v>1074</v>
      </c>
      <c r="AO587" s="474"/>
      <c r="AP587" s="486"/>
      <c r="AQ587" s="486"/>
      <c r="AR587" s="486" t="s">
        <v>2354</v>
      </c>
      <c r="AS587" s="495"/>
      <c r="AT587" s="495"/>
      <c r="AU587" s="478">
        <v>0.48</v>
      </c>
      <c r="AV587" s="471" t="str">
        <f t="shared" si="133"/>
        <v>30390456H</v>
      </c>
      <c r="AW587" s="471" cm="1">
        <f t="array" ref="AW587">SUM(MID(0&amp;AV587,LARGE(INDEX(ISNUMBER(--MID(AV587,ROW($1:$8),1))*ROW($1:$8),),ROW($1:$8))+1,1)*10^ROW($1:$8)/10)</f>
        <v>30390456</v>
      </c>
      <c r="AX587" s="471" t="str">
        <f>VLOOKUP($AW587,'Item Master Data'!$A:$F,3,FALSE)</f>
        <v>Q.PEAK DUO BLK ML G10+</v>
      </c>
      <c r="AY587" s="471">
        <f>VLOOKUP($AW587,'Item Master Data'!$A:$F,6,FALSE)</f>
        <v>400</v>
      </c>
      <c r="AZ587" s="471">
        <f t="shared" si="134"/>
        <v>24</v>
      </c>
      <c r="BA587" s="471">
        <f>VLOOKUP(AW587,'Item Master Data'!$A:$G,7,FALSE)</f>
        <v>32</v>
      </c>
      <c r="BB587" s="471"/>
      <c r="BC587" s="471">
        <f t="shared" si="135"/>
        <v>0</v>
      </c>
    </row>
    <row r="588" spans="1:55">
      <c r="A588" s="472"/>
      <c r="B588" s="514"/>
      <c r="C588" s="514"/>
      <c r="D588" s="485" t="s">
        <v>2322</v>
      </c>
      <c r="E588" s="474"/>
      <c r="F588" s="474" t="s">
        <v>1147</v>
      </c>
      <c r="G588" s="474">
        <v>2022</v>
      </c>
      <c r="H588" s="474">
        <v>8</v>
      </c>
      <c r="I588" s="485"/>
      <c r="J588" s="475"/>
      <c r="K588" s="483" t="s">
        <v>2687</v>
      </c>
      <c r="L588" s="474" t="s">
        <v>1693</v>
      </c>
      <c r="M588" s="487">
        <v>44504</v>
      </c>
      <c r="N588" s="487">
        <v>44718</v>
      </c>
      <c r="O588" s="487"/>
      <c r="P588" s="475"/>
      <c r="Q588" s="475"/>
      <c r="R588" s="475"/>
      <c r="S588" s="474" t="s">
        <v>2352</v>
      </c>
      <c r="T588" s="474">
        <v>60</v>
      </c>
      <c r="U588" s="474" t="s">
        <v>1281</v>
      </c>
      <c r="V588" s="474" t="s">
        <v>973</v>
      </c>
      <c r="W588" s="474">
        <v>400</v>
      </c>
      <c r="X588" s="476">
        <v>768</v>
      </c>
      <c r="Y588" s="477">
        <f t="shared" si="128"/>
        <v>307200</v>
      </c>
      <c r="Z588" s="478">
        <f t="shared" si="139"/>
        <v>0.55000000000000004</v>
      </c>
      <c r="AA588" s="479">
        <f t="shared" si="129"/>
        <v>168960</v>
      </c>
      <c r="AB588" s="480"/>
      <c r="AC588" s="481">
        <v>0</v>
      </c>
      <c r="AD588" s="490"/>
      <c r="AE588" s="482"/>
      <c r="AF588" s="493">
        <f t="shared" si="138"/>
        <v>168960</v>
      </c>
      <c r="AG588" s="474" t="s">
        <v>1071</v>
      </c>
      <c r="AH588" s="474">
        <v>0</v>
      </c>
      <c r="AI588" s="483">
        <v>60</v>
      </c>
      <c r="AJ588" s="474" t="s">
        <v>1694</v>
      </c>
      <c r="AK588" s="494" t="s">
        <v>50</v>
      </c>
      <c r="AL588" s="474" t="s">
        <v>1725</v>
      </c>
      <c r="AM588" s="474" t="s">
        <v>52</v>
      </c>
      <c r="AN588" s="474" t="s">
        <v>1074</v>
      </c>
      <c r="AO588" s="474"/>
      <c r="AP588" s="486"/>
      <c r="AQ588" s="486"/>
      <c r="AR588" s="486" t="s">
        <v>2354</v>
      </c>
      <c r="AS588" s="495"/>
      <c r="AT588" s="495"/>
      <c r="AU588" s="478">
        <v>0.48</v>
      </c>
      <c r="AV588" s="471" t="str">
        <f t="shared" si="133"/>
        <v>30390456H</v>
      </c>
      <c r="AW588" s="471" cm="1">
        <f t="array" ref="AW588">SUM(MID(0&amp;AV588,LARGE(INDEX(ISNUMBER(--MID(AV588,ROW($1:$8),1))*ROW($1:$8),),ROW($1:$8))+1,1)*10^ROW($1:$8)/10)</f>
        <v>30390456</v>
      </c>
      <c r="AX588" s="471" t="str">
        <f>VLOOKUP($AW588,'Item Master Data'!$A:$F,3,FALSE)</f>
        <v>Q.PEAK DUO BLK ML G10+</v>
      </c>
      <c r="AY588" s="471">
        <f>VLOOKUP($AW588,'Item Master Data'!$A:$F,6,FALSE)</f>
        <v>400</v>
      </c>
      <c r="AZ588" s="471">
        <f t="shared" si="134"/>
        <v>24</v>
      </c>
      <c r="BA588" s="471">
        <f>VLOOKUP(AW588,'Item Master Data'!$A:$G,7,FALSE)</f>
        <v>32</v>
      </c>
      <c r="BB588" s="471"/>
      <c r="BC588" s="471">
        <f t="shared" si="135"/>
        <v>0</v>
      </c>
    </row>
    <row r="589" spans="1:55">
      <c r="A589" s="472"/>
      <c r="B589" s="514"/>
      <c r="C589" s="514"/>
      <c r="D589" s="485" t="s">
        <v>2322</v>
      </c>
      <c r="E589" s="474" t="s">
        <v>2689</v>
      </c>
      <c r="F589" s="474"/>
      <c r="G589" s="474">
        <v>2022</v>
      </c>
      <c r="H589" s="474">
        <v>8</v>
      </c>
      <c r="I589" s="485"/>
      <c r="J589" s="475"/>
      <c r="K589" s="483" t="s">
        <v>2690</v>
      </c>
      <c r="L589" s="474" t="s">
        <v>1693</v>
      </c>
      <c r="M589" s="487">
        <v>44641</v>
      </c>
      <c r="N589" s="487">
        <v>44743</v>
      </c>
      <c r="O589" s="487"/>
      <c r="P589" s="475"/>
      <c r="Q589" s="475"/>
      <c r="R589" s="475"/>
      <c r="S589" s="474" t="s">
        <v>1563</v>
      </c>
      <c r="T589" s="474">
        <v>60</v>
      </c>
      <c r="U589" s="474" t="s">
        <v>1281</v>
      </c>
      <c r="V589" s="474" t="s">
        <v>973</v>
      </c>
      <c r="W589" s="474">
        <v>400</v>
      </c>
      <c r="X589" s="476">
        <v>1536</v>
      </c>
      <c r="Y589" s="477">
        <f t="shared" si="128"/>
        <v>614400</v>
      </c>
      <c r="Z589" s="478">
        <f t="shared" si="139"/>
        <v>0.55000000000000004</v>
      </c>
      <c r="AA589" s="479">
        <f t="shared" si="129"/>
        <v>337920</v>
      </c>
      <c r="AB589" s="480"/>
      <c r="AC589" s="481">
        <f t="shared" ref="AC589:AC596" si="140">AB589*Y589</f>
        <v>0</v>
      </c>
      <c r="AD589" s="490"/>
      <c r="AE589" s="482"/>
      <c r="AF589" s="493">
        <f t="shared" si="138"/>
        <v>337920</v>
      </c>
      <c r="AG589" s="474" t="s">
        <v>1071</v>
      </c>
      <c r="AH589" s="474"/>
      <c r="AI589" s="483">
        <v>60</v>
      </c>
      <c r="AJ589" s="474" t="s">
        <v>1694</v>
      </c>
      <c r="AK589" s="494" t="s">
        <v>2321</v>
      </c>
      <c r="AL589" s="474">
        <v>92806</v>
      </c>
      <c r="AM589" s="474" t="s">
        <v>52</v>
      </c>
      <c r="AN589" s="474" t="s">
        <v>1074</v>
      </c>
      <c r="AO589" s="474"/>
      <c r="AP589" s="486"/>
      <c r="AQ589" s="486"/>
      <c r="AR589" s="486" t="s">
        <v>2367</v>
      </c>
      <c r="AS589" s="495"/>
      <c r="AT589" s="495"/>
      <c r="AU589" s="478"/>
      <c r="AV589" s="471" t="str">
        <f t="shared" si="133"/>
        <v>30390456H</v>
      </c>
      <c r="AW589" s="471" cm="1">
        <f t="array" ref="AW589">SUM(MID(0&amp;AV589,LARGE(INDEX(ISNUMBER(--MID(AV589,ROW($1:$8),1))*ROW($1:$8),),ROW($1:$8))+1,1)*10^ROW($1:$8)/10)</f>
        <v>30390456</v>
      </c>
      <c r="AX589" s="471" t="str">
        <f>VLOOKUP($AW589,'Item Master Data'!$A:$F,3,FALSE)</f>
        <v>Q.PEAK DUO BLK ML G10+</v>
      </c>
      <c r="AY589" s="471">
        <f>VLOOKUP($AW589,'Item Master Data'!$A:$F,6,FALSE)</f>
        <v>400</v>
      </c>
      <c r="AZ589" s="471">
        <f t="shared" si="134"/>
        <v>48</v>
      </c>
      <c r="BA589" s="471">
        <f>VLOOKUP(AW589,'Item Master Data'!$A:$G,7,FALSE)</f>
        <v>32</v>
      </c>
      <c r="BB589" s="471"/>
      <c r="BC589" s="471">
        <f t="shared" si="135"/>
        <v>0</v>
      </c>
    </row>
    <row r="590" spans="1:55">
      <c r="A590" s="472"/>
      <c r="B590" s="514"/>
      <c r="C590" s="514"/>
      <c r="D590" s="485" t="s">
        <v>2322</v>
      </c>
      <c r="E590" s="474" t="s">
        <v>2689</v>
      </c>
      <c r="F590" s="474"/>
      <c r="G590" s="474">
        <v>2022</v>
      </c>
      <c r="H590" s="474">
        <v>8</v>
      </c>
      <c r="I590" s="485"/>
      <c r="J590" s="475"/>
      <c r="K590" s="483" t="s">
        <v>2712</v>
      </c>
      <c r="L590" s="474" t="s">
        <v>1693</v>
      </c>
      <c r="M590" s="487">
        <v>44641</v>
      </c>
      <c r="N590" s="487">
        <v>44743</v>
      </c>
      <c r="O590" s="487"/>
      <c r="P590" s="475"/>
      <c r="Q590" s="475"/>
      <c r="R590" s="475"/>
      <c r="S590" s="474" t="s">
        <v>1563</v>
      </c>
      <c r="T590" s="474">
        <v>60</v>
      </c>
      <c r="U590" s="474" t="s">
        <v>1281</v>
      </c>
      <c r="V590" s="474" t="s">
        <v>973</v>
      </c>
      <c r="W590" s="474">
        <v>400</v>
      </c>
      <c r="X590" s="476">
        <f>3552-768-768</f>
        <v>2016</v>
      </c>
      <c r="Y590" s="477">
        <f t="shared" si="128"/>
        <v>806400</v>
      </c>
      <c r="Z590" s="478">
        <f t="shared" si="139"/>
        <v>0.55000000000000004</v>
      </c>
      <c r="AA590" s="479">
        <f t="shared" si="129"/>
        <v>443520.00000000006</v>
      </c>
      <c r="AB590" s="480"/>
      <c r="AC590" s="481">
        <f t="shared" si="140"/>
        <v>0</v>
      </c>
      <c r="AD590" s="490"/>
      <c r="AE590" s="482"/>
      <c r="AF590" s="493">
        <f t="shared" si="138"/>
        <v>443520.00000000006</v>
      </c>
      <c r="AG590" s="474" t="s">
        <v>1071</v>
      </c>
      <c r="AH590" s="474"/>
      <c r="AI590" s="483">
        <v>60</v>
      </c>
      <c r="AJ590" s="474" t="s">
        <v>1694</v>
      </c>
      <c r="AK590" s="494" t="s">
        <v>2321</v>
      </c>
      <c r="AL590" s="474">
        <v>92806</v>
      </c>
      <c r="AM590" s="474" t="s">
        <v>52</v>
      </c>
      <c r="AN590" s="474" t="s">
        <v>1074</v>
      </c>
      <c r="AO590" s="474"/>
      <c r="AP590" s="486"/>
      <c r="AQ590" s="486"/>
      <c r="AR590" s="486" t="s">
        <v>2367</v>
      </c>
      <c r="AS590" s="495"/>
      <c r="AT590" s="495"/>
      <c r="AU590" s="478"/>
      <c r="AV590" s="471"/>
      <c r="AW590" s="471"/>
      <c r="AX590" s="471"/>
      <c r="AY590" s="471"/>
      <c r="AZ590" s="471"/>
      <c r="BA590" s="471"/>
      <c r="BB590" s="471"/>
      <c r="BC590" s="471"/>
    </row>
    <row r="591" spans="1:55">
      <c r="A591" s="472"/>
      <c r="B591" s="514">
        <v>44547</v>
      </c>
      <c r="C591" s="514">
        <v>44593</v>
      </c>
      <c r="D591" s="485" t="s">
        <v>2322</v>
      </c>
      <c r="E591" s="474"/>
      <c r="F591" s="474"/>
      <c r="G591" s="474">
        <v>2022</v>
      </c>
      <c r="H591" s="474">
        <v>9</v>
      </c>
      <c r="I591" s="485"/>
      <c r="J591" s="475"/>
      <c r="K591" s="483" t="s">
        <v>2744</v>
      </c>
      <c r="L591" s="474" t="s">
        <v>1693</v>
      </c>
      <c r="M591" s="487">
        <v>44504</v>
      </c>
      <c r="N591" s="487">
        <v>44683</v>
      </c>
      <c r="O591" s="487"/>
      <c r="P591" s="475"/>
      <c r="Q591" s="475"/>
      <c r="R591" s="475"/>
      <c r="S591" s="474" t="s">
        <v>2352</v>
      </c>
      <c r="T591" s="474">
        <v>60</v>
      </c>
      <c r="U591" s="474" t="s">
        <v>1281</v>
      </c>
      <c r="V591" s="474" t="s">
        <v>973</v>
      </c>
      <c r="W591" s="474">
        <v>400</v>
      </c>
      <c r="X591" s="476">
        <v>768</v>
      </c>
      <c r="Y591" s="477">
        <f t="shared" si="128"/>
        <v>307200</v>
      </c>
      <c r="Z591" s="478">
        <f t="shared" si="139"/>
        <v>0.55000000000000004</v>
      </c>
      <c r="AA591" s="479">
        <f t="shared" si="129"/>
        <v>168960</v>
      </c>
      <c r="AB591" s="480"/>
      <c r="AC591" s="481">
        <f t="shared" si="140"/>
        <v>0</v>
      </c>
      <c r="AD591" s="490"/>
      <c r="AE591" s="482"/>
      <c r="AF591" s="493">
        <f t="shared" si="138"/>
        <v>168960</v>
      </c>
      <c r="AG591" s="474" t="s">
        <v>1071</v>
      </c>
      <c r="AH591" s="474">
        <v>0</v>
      </c>
      <c r="AI591" s="483">
        <v>60</v>
      </c>
      <c r="AJ591" s="474" t="s">
        <v>1694</v>
      </c>
      <c r="AK591" s="494" t="s">
        <v>50</v>
      </c>
      <c r="AL591" s="474" t="s">
        <v>1725</v>
      </c>
      <c r="AM591" s="474" t="s">
        <v>52</v>
      </c>
      <c r="AN591" s="474" t="s">
        <v>1074</v>
      </c>
      <c r="AO591" s="474"/>
      <c r="AP591" s="486"/>
      <c r="AQ591" s="486"/>
      <c r="AR591" s="486" t="s">
        <v>2354</v>
      </c>
      <c r="AS591" s="495"/>
      <c r="AT591" s="495"/>
      <c r="AU591" s="478">
        <v>0.48</v>
      </c>
      <c r="AV591" s="471" t="str">
        <f t="shared" ref="AV591:AV597" si="141">U591</f>
        <v>30390456H</v>
      </c>
      <c r="AW591" s="471" cm="1">
        <f t="array" ref="AW591">SUM(MID(0&amp;AV591,LARGE(INDEX(ISNUMBER(--MID(AV591,ROW($1:$8),1))*ROW($1:$8),),ROW($1:$8))+1,1)*10^ROW($1:$8)/10)</f>
        <v>30390456</v>
      </c>
      <c r="AX591" s="471" t="str">
        <f>VLOOKUP($AW591,'Item Master Data'!$A:$F,3,FALSE)</f>
        <v>Q.PEAK DUO BLK ML G10+</v>
      </c>
      <c r="AY591" s="471">
        <f>VLOOKUP($AW591,'Item Master Data'!$A:$F,6,FALSE)</f>
        <v>400</v>
      </c>
      <c r="AZ591" s="471">
        <f t="shared" ref="AZ591:AZ597" si="142">X591/BA591</f>
        <v>24</v>
      </c>
      <c r="BA591" s="471">
        <f>VLOOKUP(AW591,'Item Master Data'!$A:$G,7,FALSE)</f>
        <v>32</v>
      </c>
      <c r="BB591" s="471"/>
      <c r="BC591" s="471">
        <f t="shared" ref="BC591:BC597" si="143">W591-AY591</f>
        <v>0</v>
      </c>
    </row>
    <row r="592" spans="1:55">
      <c r="A592" s="472"/>
      <c r="B592" s="514"/>
      <c r="C592" s="514"/>
      <c r="D592" s="485" t="s">
        <v>2322</v>
      </c>
      <c r="E592" s="474" t="s">
        <v>2689</v>
      </c>
      <c r="F592" s="474"/>
      <c r="G592" s="474">
        <v>2022</v>
      </c>
      <c r="H592" s="474">
        <v>10</v>
      </c>
      <c r="I592" s="485"/>
      <c r="J592" s="475"/>
      <c r="K592" s="483" t="s">
        <v>2745</v>
      </c>
      <c r="L592" s="474" t="s">
        <v>1693</v>
      </c>
      <c r="M592" s="487">
        <v>44641</v>
      </c>
      <c r="N592" s="487">
        <v>44774</v>
      </c>
      <c r="O592" s="487"/>
      <c r="P592" s="475"/>
      <c r="Q592" s="475"/>
      <c r="R592" s="475"/>
      <c r="S592" s="474" t="s">
        <v>1563</v>
      </c>
      <c r="T592" s="474">
        <v>60</v>
      </c>
      <c r="U592" s="474" t="s">
        <v>1281</v>
      </c>
      <c r="V592" s="474" t="s">
        <v>973</v>
      </c>
      <c r="W592" s="474">
        <v>400</v>
      </c>
      <c r="X592" s="476">
        <f>4320-2304</f>
        <v>2016</v>
      </c>
      <c r="Y592" s="477">
        <f t="shared" si="128"/>
        <v>806400</v>
      </c>
      <c r="Z592" s="478">
        <f t="shared" si="139"/>
        <v>0.55000000000000004</v>
      </c>
      <c r="AA592" s="479">
        <f t="shared" si="129"/>
        <v>443520.00000000006</v>
      </c>
      <c r="AB592" s="480"/>
      <c r="AC592" s="481">
        <f t="shared" si="140"/>
        <v>0</v>
      </c>
      <c r="AD592" s="490"/>
      <c r="AE592" s="482"/>
      <c r="AF592" s="493">
        <f t="shared" si="138"/>
        <v>443520.00000000006</v>
      </c>
      <c r="AG592" s="474" t="s">
        <v>1071</v>
      </c>
      <c r="AH592" s="474"/>
      <c r="AI592" s="483">
        <v>60</v>
      </c>
      <c r="AJ592" s="474" t="s">
        <v>1694</v>
      </c>
      <c r="AK592" s="494" t="s">
        <v>2321</v>
      </c>
      <c r="AL592" s="474">
        <v>92806</v>
      </c>
      <c r="AM592" s="474" t="s">
        <v>52</v>
      </c>
      <c r="AN592" s="474" t="s">
        <v>1074</v>
      </c>
      <c r="AO592" s="474"/>
      <c r="AP592" s="486"/>
      <c r="AQ592" s="486"/>
      <c r="AR592" s="486" t="s">
        <v>2367</v>
      </c>
      <c r="AS592" s="495"/>
      <c r="AT592" s="495"/>
      <c r="AU592" s="478"/>
      <c r="AV592" s="471" t="str">
        <f t="shared" si="141"/>
        <v>30390456H</v>
      </c>
      <c r="AW592" s="471" cm="1">
        <f t="array" ref="AW592">SUM(MID(0&amp;AV592,LARGE(INDEX(ISNUMBER(--MID(AV592,ROW($1:$8),1))*ROW($1:$8),),ROW($1:$8))+1,1)*10^ROW($1:$8)/10)</f>
        <v>30390456</v>
      </c>
      <c r="AX592" s="471" t="str">
        <f>VLOOKUP($AW592,'Item Master Data'!$A:$F,3,FALSE)</f>
        <v>Q.PEAK DUO BLK ML G10+</v>
      </c>
      <c r="AY592" s="471">
        <f>VLOOKUP($AW592,'Item Master Data'!$A:$F,6,FALSE)</f>
        <v>400</v>
      </c>
      <c r="AZ592" s="471">
        <f t="shared" si="142"/>
        <v>63</v>
      </c>
      <c r="BA592" s="471">
        <f>VLOOKUP(AW592,'Item Master Data'!$A:$G,7,FALSE)</f>
        <v>32</v>
      </c>
      <c r="BB592" s="471"/>
      <c r="BC592" s="471">
        <f t="shared" si="143"/>
        <v>0</v>
      </c>
    </row>
    <row r="593" spans="1:55">
      <c r="A593" s="472"/>
      <c r="B593" s="514"/>
      <c r="C593" s="514"/>
      <c r="D593" s="485" t="s">
        <v>2322</v>
      </c>
      <c r="E593" s="474" t="s">
        <v>2689</v>
      </c>
      <c r="F593" s="474"/>
      <c r="G593" s="474">
        <v>2022</v>
      </c>
      <c r="H593" s="474">
        <v>10</v>
      </c>
      <c r="I593" s="485"/>
      <c r="J593" s="475"/>
      <c r="K593" s="483" t="s">
        <v>2777</v>
      </c>
      <c r="L593" s="474" t="s">
        <v>1693</v>
      </c>
      <c r="M593" s="487">
        <v>44641</v>
      </c>
      <c r="N593" s="487">
        <v>44805</v>
      </c>
      <c r="O593" s="487"/>
      <c r="P593" s="475"/>
      <c r="Q593" s="475"/>
      <c r="R593" s="475"/>
      <c r="S593" s="474" t="s">
        <v>1563</v>
      </c>
      <c r="T593" s="474">
        <v>60</v>
      </c>
      <c r="U593" s="474">
        <v>49403140</v>
      </c>
      <c r="V593" s="474" t="s">
        <v>973</v>
      </c>
      <c r="W593" s="474">
        <v>400</v>
      </c>
      <c r="X593" s="476">
        <v>3936</v>
      </c>
      <c r="Y593" s="477">
        <f t="shared" si="128"/>
        <v>1574400</v>
      </c>
      <c r="Z593" s="478">
        <f t="shared" si="139"/>
        <v>0.55000000000000004</v>
      </c>
      <c r="AA593" s="479">
        <f t="shared" si="129"/>
        <v>865920.00000000012</v>
      </c>
      <c r="AB593" s="480"/>
      <c r="AC593" s="481">
        <f t="shared" si="140"/>
        <v>0</v>
      </c>
      <c r="AD593" s="490"/>
      <c r="AE593" s="482"/>
      <c r="AF593" s="493">
        <f t="shared" si="138"/>
        <v>865920.00000000012</v>
      </c>
      <c r="AG593" s="474" t="s">
        <v>1071</v>
      </c>
      <c r="AH593" s="474"/>
      <c r="AI593" s="483">
        <v>60</v>
      </c>
      <c r="AJ593" s="474" t="s">
        <v>1694</v>
      </c>
      <c r="AK593" s="494" t="s">
        <v>2321</v>
      </c>
      <c r="AL593" s="474">
        <v>92806</v>
      </c>
      <c r="AM593" s="474" t="s">
        <v>52</v>
      </c>
      <c r="AN593" s="474" t="s">
        <v>1074</v>
      </c>
      <c r="AO593" s="474"/>
      <c r="AP593" s="486"/>
      <c r="AQ593" s="486"/>
      <c r="AR593" s="486" t="s">
        <v>2367</v>
      </c>
      <c r="AS593" s="495"/>
      <c r="AT593" s="495"/>
      <c r="AU593" s="478"/>
      <c r="AV593" s="471">
        <f t="shared" si="141"/>
        <v>49403140</v>
      </c>
      <c r="AW593" s="471" cm="1">
        <f t="array" ref="AW593">SUM(MID(0&amp;AV593,LARGE(INDEX(ISNUMBER(--MID(AV593,ROW($1:$8),1))*ROW($1:$8),),ROW($1:$8))+1,1)*10^ROW($1:$8)/10)</f>
        <v>49403140</v>
      </c>
      <c r="AX593" s="471" t="str">
        <f>VLOOKUP($AW593,'Item Master Data'!$A:$F,3,FALSE)</f>
        <v>Q.PEAK DUO BLK ML G10+</v>
      </c>
      <c r="AY593" s="471">
        <f>VLOOKUP($AW593,'Item Master Data'!$A:$F,6,FALSE)</f>
        <v>400</v>
      </c>
      <c r="AZ593" s="471">
        <f t="shared" si="142"/>
        <v>123</v>
      </c>
      <c r="BA593" s="471">
        <f>VLOOKUP(AW593,'Item Master Data'!$A:$G,7,FALSE)</f>
        <v>32</v>
      </c>
      <c r="BB593" s="471"/>
      <c r="BC593" s="471">
        <f t="shared" si="143"/>
        <v>0</v>
      </c>
    </row>
    <row r="594" spans="1:55">
      <c r="A594" s="472"/>
      <c r="B594" s="514"/>
      <c r="C594" s="514"/>
      <c r="D594" s="485" t="s">
        <v>2322</v>
      </c>
      <c r="E594" s="474" t="s">
        <v>2689</v>
      </c>
      <c r="F594" s="474"/>
      <c r="G594" s="474">
        <v>2022</v>
      </c>
      <c r="H594" s="474">
        <v>12</v>
      </c>
      <c r="I594" s="485"/>
      <c r="J594" s="475"/>
      <c r="K594" s="483" t="s">
        <v>2877</v>
      </c>
      <c r="L594" s="474" t="s">
        <v>1693</v>
      </c>
      <c r="M594" s="487">
        <v>44641</v>
      </c>
      <c r="N594" s="487">
        <v>44896</v>
      </c>
      <c r="O594" s="487"/>
      <c r="P594" s="475"/>
      <c r="Q594" s="475"/>
      <c r="R594" s="475"/>
      <c r="S594" s="474" t="s">
        <v>1563</v>
      </c>
      <c r="T594" s="474">
        <v>60</v>
      </c>
      <c r="U594" s="474">
        <v>49403140</v>
      </c>
      <c r="V594" s="474" t="s">
        <v>973</v>
      </c>
      <c r="W594" s="474">
        <v>400</v>
      </c>
      <c r="X594" s="476">
        <v>6144</v>
      </c>
      <c r="Y594" s="477">
        <f t="shared" si="128"/>
        <v>2457600</v>
      </c>
      <c r="Z594" s="478">
        <f t="shared" si="139"/>
        <v>0.55000000000000004</v>
      </c>
      <c r="AA594" s="479">
        <f t="shared" si="129"/>
        <v>1351680</v>
      </c>
      <c r="AB594" s="480"/>
      <c r="AC594" s="481">
        <f t="shared" si="140"/>
        <v>0</v>
      </c>
      <c r="AD594" s="490"/>
      <c r="AE594" s="482"/>
      <c r="AF594" s="493">
        <f t="shared" si="138"/>
        <v>1351680</v>
      </c>
      <c r="AG594" s="474" t="s">
        <v>1071</v>
      </c>
      <c r="AH594" s="474"/>
      <c r="AI594" s="483">
        <v>60</v>
      </c>
      <c r="AJ594" s="474" t="s">
        <v>1694</v>
      </c>
      <c r="AK594" s="494" t="s">
        <v>2321</v>
      </c>
      <c r="AL594" s="474">
        <v>92806</v>
      </c>
      <c r="AM594" s="474" t="s">
        <v>52</v>
      </c>
      <c r="AN594" s="474" t="s">
        <v>1074</v>
      </c>
      <c r="AO594" s="474"/>
      <c r="AP594" s="486"/>
      <c r="AQ594" s="486"/>
      <c r="AR594" s="486" t="s">
        <v>2367</v>
      </c>
      <c r="AS594" s="495"/>
      <c r="AT594" s="495"/>
      <c r="AU594" s="478"/>
      <c r="AV594" s="471">
        <f t="shared" si="141"/>
        <v>49403140</v>
      </c>
      <c r="AW594" s="471" cm="1">
        <f t="array" ref="AW594">SUM(MID(0&amp;AV594,LARGE(INDEX(ISNUMBER(--MID(AV594,ROW($1:$8),1))*ROW($1:$8),),ROW($1:$8))+1,1)*10^ROW($1:$8)/10)</f>
        <v>49403140</v>
      </c>
      <c r="AX594" s="471" t="str">
        <f>VLOOKUP($AW594,'Item Master Data'!$A:$F,3,FALSE)</f>
        <v>Q.PEAK DUO BLK ML G10+</v>
      </c>
      <c r="AY594" s="471">
        <f>VLOOKUP($AW594,'Item Master Data'!$A:$F,6,FALSE)</f>
        <v>400</v>
      </c>
      <c r="AZ594" s="471">
        <f t="shared" si="142"/>
        <v>192</v>
      </c>
      <c r="BA594" s="471">
        <f>VLOOKUP(AW594,'Item Master Data'!$A:$G,7,FALSE)</f>
        <v>32</v>
      </c>
      <c r="BB594" s="471"/>
      <c r="BC594" s="471">
        <f t="shared" si="143"/>
        <v>0</v>
      </c>
    </row>
    <row r="595" spans="1:55">
      <c r="A595" s="472"/>
      <c r="B595" s="514"/>
      <c r="C595" s="514"/>
      <c r="D595" s="485" t="s">
        <v>2322</v>
      </c>
      <c r="E595" s="474" t="s">
        <v>2689</v>
      </c>
      <c r="F595" s="474"/>
      <c r="G595" s="474">
        <v>2023</v>
      </c>
      <c r="H595" s="474"/>
      <c r="I595" s="485"/>
      <c r="J595" s="475"/>
      <c r="K595" s="483" t="s">
        <v>2809</v>
      </c>
      <c r="L595" s="474" t="s">
        <v>1693</v>
      </c>
      <c r="M595" s="487">
        <v>44641</v>
      </c>
      <c r="N595" s="487">
        <v>44837</v>
      </c>
      <c r="O595" s="487"/>
      <c r="P595" s="475"/>
      <c r="Q595" s="475"/>
      <c r="R595" s="475"/>
      <c r="S595" s="474" t="s">
        <v>1563</v>
      </c>
      <c r="T595" s="474">
        <v>60</v>
      </c>
      <c r="U595" s="474">
        <v>49403140</v>
      </c>
      <c r="V595" s="474" t="s">
        <v>973</v>
      </c>
      <c r="W595" s="474">
        <v>400</v>
      </c>
      <c r="X595" s="476">
        <v>3872</v>
      </c>
      <c r="Y595" s="477">
        <f t="shared" si="128"/>
        <v>1548800</v>
      </c>
      <c r="Z595" s="478">
        <f t="shared" si="139"/>
        <v>0.55000000000000004</v>
      </c>
      <c r="AA595" s="479">
        <f t="shared" si="129"/>
        <v>851840.00000000012</v>
      </c>
      <c r="AB595" s="480"/>
      <c r="AC595" s="481">
        <f t="shared" si="140"/>
        <v>0</v>
      </c>
      <c r="AD595" s="490"/>
      <c r="AE595" s="482"/>
      <c r="AF595" s="493">
        <f t="shared" si="138"/>
        <v>851840.00000000012</v>
      </c>
      <c r="AG595" s="474" t="s">
        <v>1071</v>
      </c>
      <c r="AH595" s="474"/>
      <c r="AI595" s="483">
        <v>60</v>
      </c>
      <c r="AJ595" s="474" t="s">
        <v>1694</v>
      </c>
      <c r="AK595" s="494" t="s">
        <v>2321</v>
      </c>
      <c r="AL595" s="474">
        <v>92806</v>
      </c>
      <c r="AM595" s="474" t="s">
        <v>52</v>
      </c>
      <c r="AN595" s="474" t="s">
        <v>1074</v>
      </c>
      <c r="AO595" s="474"/>
      <c r="AP595" s="486"/>
      <c r="AQ595" s="486"/>
      <c r="AR595" s="486" t="s">
        <v>2367</v>
      </c>
      <c r="AS595" s="495"/>
      <c r="AT595" s="495"/>
      <c r="AU595" s="478"/>
      <c r="AV595" s="471">
        <f t="shared" si="141"/>
        <v>49403140</v>
      </c>
      <c r="AW595" s="471" cm="1">
        <f t="array" ref="AW595">SUM(MID(0&amp;AV595,LARGE(INDEX(ISNUMBER(--MID(AV595,ROW($1:$8),1))*ROW($1:$8),),ROW($1:$8))+1,1)*10^ROW($1:$8)/10)</f>
        <v>49403140</v>
      </c>
      <c r="AX595" s="471" t="str">
        <f>VLOOKUP($AW595,'Item Master Data'!$A:$F,3,FALSE)</f>
        <v>Q.PEAK DUO BLK ML G10+</v>
      </c>
      <c r="AY595" s="471">
        <f>VLOOKUP($AW595,'Item Master Data'!$A:$F,6,FALSE)</f>
        <v>400</v>
      </c>
      <c r="AZ595" s="471">
        <f t="shared" si="142"/>
        <v>121</v>
      </c>
      <c r="BA595" s="471">
        <f>VLOOKUP(AW595,'Item Master Data'!$A:$G,7,FALSE)</f>
        <v>32</v>
      </c>
      <c r="BB595" s="471"/>
      <c r="BC595" s="471">
        <f t="shared" si="143"/>
        <v>0</v>
      </c>
    </row>
    <row r="596" spans="1:55">
      <c r="A596" s="472"/>
      <c r="B596" s="514"/>
      <c r="C596" s="514"/>
      <c r="D596" s="485" t="s">
        <v>2322</v>
      </c>
      <c r="E596" s="474" t="s">
        <v>2689</v>
      </c>
      <c r="F596" s="474"/>
      <c r="G596" s="474">
        <v>2023</v>
      </c>
      <c r="H596" s="474"/>
      <c r="I596" s="485"/>
      <c r="J596" s="475"/>
      <c r="K596" s="483" t="s">
        <v>2842</v>
      </c>
      <c r="L596" s="474" t="s">
        <v>1693</v>
      </c>
      <c r="M596" s="487">
        <v>44641</v>
      </c>
      <c r="N596" s="487">
        <v>44866</v>
      </c>
      <c r="O596" s="487"/>
      <c r="P596" s="475"/>
      <c r="Q596" s="475"/>
      <c r="R596" s="475"/>
      <c r="S596" s="474" t="s">
        <v>1563</v>
      </c>
      <c r="T596" s="474">
        <v>60</v>
      </c>
      <c r="U596" s="474">
        <v>49403140</v>
      </c>
      <c r="V596" s="474" t="s">
        <v>973</v>
      </c>
      <c r="W596" s="474">
        <v>400</v>
      </c>
      <c r="X596" s="476">
        <v>5728</v>
      </c>
      <c r="Y596" s="477">
        <f t="shared" si="128"/>
        <v>2291200</v>
      </c>
      <c r="Z596" s="478">
        <f t="shared" si="139"/>
        <v>0.55000000000000004</v>
      </c>
      <c r="AA596" s="479">
        <f t="shared" si="129"/>
        <v>1260160</v>
      </c>
      <c r="AB596" s="480"/>
      <c r="AC596" s="481">
        <f t="shared" si="140"/>
        <v>0</v>
      </c>
      <c r="AD596" s="490"/>
      <c r="AE596" s="482"/>
      <c r="AF596" s="493">
        <f t="shared" si="138"/>
        <v>1260160</v>
      </c>
      <c r="AG596" s="474" t="s">
        <v>1071</v>
      </c>
      <c r="AH596" s="474"/>
      <c r="AI596" s="483">
        <v>60</v>
      </c>
      <c r="AJ596" s="474" t="s">
        <v>1694</v>
      </c>
      <c r="AK596" s="494" t="s">
        <v>2321</v>
      </c>
      <c r="AL596" s="474">
        <v>92806</v>
      </c>
      <c r="AM596" s="474" t="s">
        <v>52</v>
      </c>
      <c r="AN596" s="474" t="s">
        <v>1074</v>
      </c>
      <c r="AO596" s="474"/>
      <c r="AP596" s="486"/>
      <c r="AQ596" s="486"/>
      <c r="AR596" s="486" t="s">
        <v>2367</v>
      </c>
      <c r="AS596" s="495"/>
      <c r="AT596" s="495"/>
      <c r="AU596" s="478"/>
      <c r="AV596" s="471">
        <f t="shared" si="141"/>
        <v>49403140</v>
      </c>
      <c r="AW596" s="471" cm="1">
        <f t="array" ref="AW596">SUM(MID(0&amp;AV596,LARGE(INDEX(ISNUMBER(--MID(AV596,ROW($1:$8),1))*ROW($1:$8),),ROW($1:$8))+1,1)*10^ROW($1:$8)/10)</f>
        <v>49403140</v>
      </c>
      <c r="AX596" s="471" t="str">
        <f>VLOOKUP($AW596,'Item Master Data'!$A:$F,3,FALSE)</f>
        <v>Q.PEAK DUO BLK ML G10+</v>
      </c>
      <c r="AY596" s="471">
        <f>VLOOKUP($AW596,'Item Master Data'!$A:$F,6,FALSE)</f>
        <v>400</v>
      </c>
      <c r="AZ596" s="471">
        <f t="shared" si="142"/>
        <v>179</v>
      </c>
      <c r="BA596" s="471">
        <f>VLOOKUP(AW596,'Item Master Data'!$A:$G,7,FALSE)</f>
        <v>32</v>
      </c>
      <c r="BB596" s="471"/>
      <c r="BC596" s="471">
        <f t="shared" si="143"/>
        <v>0</v>
      </c>
    </row>
    <row r="597" spans="1:55">
      <c r="A597" s="599">
        <v>10</v>
      </c>
      <c r="B597" s="514"/>
      <c r="C597" s="514"/>
      <c r="D597" s="485" t="s">
        <v>2322</v>
      </c>
      <c r="E597" s="474"/>
      <c r="F597" s="474"/>
      <c r="G597" s="474">
        <v>2022</v>
      </c>
      <c r="H597" s="474">
        <v>3</v>
      </c>
      <c r="I597" s="485">
        <v>127439</v>
      </c>
      <c r="J597" s="475">
        <v>44637</v>
      </c>
      <c r="K597" s="483" t="s">
        <v>2355</v>
      </c>
      <c r="L597" s="474" t="s">
        <v>2356</v>
      </c>
      <c r="M597" s="487">
        <v>44504</v>
      </c>
      <c r="N597" s="487">
        <v>44593</v>
      </c>
      <c r="O597" s="487"/>
      <c r="P597" s="475">
        <v>44621</v>
      </c>
      <c r="Q597" s="475">
        <v>44637</v>
      </c>
      <c r="R597" s="475">
        <v>44638</v>
      </c>
      <c r="S597" s="474" t="s">
        <v>2352</v>
      </c>
      <c r="T597" s="474">
        <v>60</v>
      </c>
      <c r="U597" s="474" t="s">
        <v>1247</v>
      </c>
      <c r="V597" s="474" t="s">
        <v>973</v>
      </c>
      <c r="W597" s="474">
        <v>400</v>
      </c>
      <c r="X597" s="476">
        <v>832</v>
      </c>
      <c r="Y597" s="491">
        <f t="shared" si="128"/>
        <v>332800</v>
      </c>
      <c r="Z597" s="478">
        <f t="shared" si="139"/>
        <v>0.55000000000000004</v>
      </c>
      <c r="AA597" s="479">
        <f t="shared" si="129"/>
        <v>183040.00000000003</v>
      </c>
      <c r="AB597" s="480"/>
      <c r="AC597" s="481">
        <v>0</v>
      </c>
      <c r="AD597" s="490"/>
      <c r="AE597" s="482"/>
      <c r="AF597" s="493">
        <f t="shared" si="138"/>
        <v>183040.00000000003</v>
      </c>
      <c r="AG597" s="474" t="s">
        <v>1071</v>
      </c>
      <c r="AH597" s="474"/>
      <c r="AI597" s="483">
        <v>60</v>
      </c>
      <c r="AJ597" s="474" t="s">
        <v>2357</v>
      </c>
      <c r="AK597" s="494" t="s">
        <v>1144</v>
      </c>
      <c r="AL597" s="474">
        <v>78744</v>
      </c>
      <c r="AM597" s="474" t="s">
        <v>52</v>
      </c>
      <c r="AN597" s="474" t="s">
        <v>1074</v>
      </c>
      <c r="AO597" s="474"/>
      <c r="AP597" s="486" t="s">
        <v>92</v>
      </c>
      <c r="AQ597" s="486" t="s">
        <v>37</v>
      </c>
      <c r="AR597" s="486" t="s">
        <v>2354</v>
      </c>
      <c r="AS597" s="495"/>
      <c r="AT597" s="495"/>
      <c r="AU597" s="478">
        <v>0.48</v>
      </c>
      <c r="AV597" s="471" t="str">
        <f t="shared" si="141"/>
        <v>30390456C</v>
      </c>
      <c r="AW597" s="471" cm="1">
        <f t="array" ref="AW597">SUM(MID(0&amp;AV597,LARGE(INDEX(ISNUMBER(--MID(AV597,ROW($1:$8),1))*ROW($1:$8),),ROW($1:$8))+1,1)*10^ROW($1:$8)/10)</f>
        <v>30390456</v>
      </c>
      <c r="AX597" s="471" t="str">
        <f>VLOOKUP($AW597,'Item Master Data'!$A:$F,3,FALSE)</f>
        <v>Q.PEAK DUO BLK ML G10+</v>
      </c>
      <c r="AY597" s="471">
        <f>VLOOKUP($AW597,'Item Master Data'!$A:$F,6,FALSE)</f>
        <v>400</v>
      </c>
      <c r="AZ597" s="471">
        <f t="shared" si="142"/>
        <v>26</v>
      </c>
      <c r="BA597" s="471">
        <f>VLOOKUP(AW597,'Item Master Data'!$A:$G,7,FALSE)</f>
        <v>32</v>
      </c>
      <c r="BB597" s="471"/>
      <c r="BC597" s="471">
        <f t="shared" si="143"/>
        <v>0</v>
      </c>
    </row>
    <row r="598" spans="1:55">
      <c r="A598" s="599">
        <v>10</v>
      </c>
      <c r="B598" s="514"/>
      <c r="C598" s="514"/>
      <c r="D598" s="485" t="s">
        <v>2322</v>
      </c>
      <c r="E598" s="474"/>
      <c r="F598" s="474"/>
      <c r="G598" s="474">
        <v>2022</v>
      </c>
      <c r="H598" s="474">
        <v>4</v>
      </c>
      <c r="I598" s="485">
        <v>128050</v>
      </c>
      <c r="J598" s="475">
        <v>44652</v>
      </c>
      <c r="K598" s="483" t="s">
        <v>2500</v>
      </c>
      <c r="L598" s="474" t="s">
        <v>2356</v>
      </c>
      <c r="M598" s="487">
        <v>44504</v>
      </c>
      <c r="N598" s="487">
        <v>44621</v>
      </c>
      <c r="O598" s="487"/>
      <c r="P598" s="475">
        <v>44628</v>
      </c>
      <c r="Q598" s="475">
        <v>44652</v>
      </c>
      <c r="R598" s="475">
        <v>44655</v>
      </c>
      <c r="S598" s="474" t="s">
        <v>2352</v>
      </c>
      <c r="T598" s="474">
        <v>60</v>
      </c>
      <c r="U598" s="474" t="s">
        <v>1281</v>
      </c>
      <c r="V598" s="474" t="s">
        <v>973</v>
      </c>
      <c r="W598" s="474">
        <v>400</v>
      </c>
      <c r="X598" s="476">
        <v>1664</v>
      </c>
      <c r="Y598" s="491">
        <f t="shared" si="128"/>
        <v>665600</v>
      </c>
      <c r="Z598" s="478">
        <f t="shared" si="139"/>
        <v>0.55000000000000004</v>
      </c>
      <c r="AA598" s="479">
        <f t="shared" si="129"/>
        <v>366080.00000000006</v>
      </c>
      <c r="AB598" s="480"/>
      <c r="AC598" s="481">
        <v>0</v>
      </c>
      <c r="AD598" s="490"/>
      <c r="AE598" s="482"/>
      <c r="AF598" s="493">
        <f t="shared" si="138"/>
        <v>366080.00000000006</v>
      </c>
      <c r="AG598" s="474" t="s">
        <v>1071</v>
      </c>
      <c r="AH598" s="474"/>
      <c r="AI598" s="483">
        <v>60</v>
      </c>
      <c r="AJ598" s="474" t="s">
        <v>2357</v>
      </c>
      <c r="AK598" s="494" t="s">
        <v>1144</v>
      </c>
      <c r="AL598" s="474">
        <v>78744</v>
      </c>
      <c r="AM598" s="474" t="s">
        <v>52</v>
      </c>
      <c r="AN598" s="474" t="s">
        <v>50</v>
      </c>
      <c r="AO598" s="474"/>
      <c r="AP598" s="486" t="s">
        <v>38</v>
      </c>
      <c r="AQ598" s="486" t="s">
        <v>37</v>
      </c>
      <c r="AR598" s="486" t="s">
        <v>2354</v>
      </c>
      <c r="AS598" s="495"/>
      <c r="AT598" s="495"/>
      <c r="AU598" s="478">
        <v>0.48</v>
      </c>
      <c r="AV598" s="471"/>
      <c r="AW598" s="471"/>
      <c r="AX598" s="471"/>
      <c r="AY598" s="471"/>
      <c r="AZ598" s="471"/>
      <c r="BA598" s="471"/>
      <c r="BB598" s="471"/>
      <c r="BC598" s="471"/>
    </row>
    <row r="599" spans="1:55">
      <c r="A599" s="472"/>
      <c r="B599" s="514"/>
      <c r="C599" s="514"/>
      <c r="D599" s="485" t="s">
        <v>2322</v>
      </c>
      <c r="E599" s="474"/>
      <c r="F599" s="474"/>
      <c r="G599" s="474">
        <v>2022</v>
      </c>
      <c r="H599" s="474">
        <v>5</v>
      </c>
      <c r="I599" s="485"/>
      <c r="J599" s="475"/>
      <c r="K599" s="483" t="s">
        <v>2603</v>
      </c>
      <c r="L599" s="474" t="s">
        <v>2356</v>
      </c>
      <c r="M599" s="487">
        <v>44504</v>
      </c>
      <c r="N599" s="487">
        <v>44652</v>
      </c>
      <c r="O599" s="487"/>
      <c r="P599" s="475">
        <v>44680</v>
      </c>
      <c r="Q599" s="475"/>
      <c r="R599" s="475"/>
      <c r="S599" s="474" t="s">
        <v>2352</v>
      </c>
      <c r="T599" s="474">
        <v>60</v>
      </c>
      <c r="U599" s="474" t="s">
        <v>1760</v>
      </c>
      <c r="V599" s="474" t="s">
        <v>973</v>
      </c>
      <c r="W599" s="474">
        <v>400</v>
      </c>
      <c r="X599" s="476">
        <v>1664</v>
      </c>
      <c r="Y599" s="477">
        <f t="shared" si="128"/>
        <v>665600</v>
      </c>
      <c r="Z599" s="478">
        <v>0.55000000000000004</v>
      </c>
      <c r="AA599" s="479">
        <f t="shared" si="129"/>
        <v>366080.00000000006</v>
      </c>
      <c r="AB599" s="480"/>
      <c r="AC599" s="481">
        <v>0</v>
      </c>
      <c r="AD599" s="490"/>
      <c r="AE599" s="482"/>
      <c r="AF599" s="493">
        <f t="shared" si="138"/>
        <v>366080.00000000006</v>
      </c>
      <c r="AG599" s="474" t="s">
        <v>1071</v>
      </c>
      <c r="AH599" s="474"/>
      <c r="AI599" s="483">
        <v>60</v>
      </c>
      <c r="AJ599" s="474" t="s">
        <v>2357</v>
      </c>
      <c r="AK599" s="494" t="s">
        <v>1144</v>
      </c>
      <c r="AL599" s="474">
        <v>78744</v>
      </c>
      <c r="AM599" s="474" t="s">
        <v>52</v>
      </c>
      <c r="AN599" s="474" t="s">
        <v>50</v>
      </c>
      <c r="AO599" s="474"/>
      <c r="AP599" s="486" t="s">
        <v>38</v>
      </c>
      <c r="AQ599" s="486"/>
      <c r="AR599" s="486" t="s">
        <v>2354</v>
      </c>
      <c r="AS599" s="495"/>
      <c r="AT599" s="495"/>
      <c r="AU599" s="478">
        <v>0.48</v>
      </c>
      <c r="AV599" s="471"/>
      <c r="AW599" s="471"/>
      <c r="AX599" s="471"/>
      <c r="AY599" s="471"/>
      <c r="AZ599" s="471"/>
      <c r="BA599" s="471"/>
      <c r="BB599" s="471"/>
      <c r="BC599" s="471"/>
    </row>
    <row r="600" spans="1:55">
      <c r="A600" s="472"/>
      <c r="B600" s="514"/>
      <c r="C600" s="514"/>
      <c r="D600" s="485" t="s">
        <v>2322</v>
      </c>
      <c r="E600" s="474" t="s">
        <v>2602</v>
      </c>
      <c r="F600" s="474"/>
      <c r="G600" s="474">
        <v>2022</v>
      </c>
      <c r="H600" s="474">
        <v>8</v>
      </c>
      <c r="I600" s="485"/>
      <c r="J600" s="475"/>
      <c r="K600" s="483" t="s">
        <v>2658</v>
      </c>
      <c r="L600" s="474" t="s">
        <v>2356</v>
      </c>
      <c r="M600" s="487">
        <v>44504</v>
      </c>
      <c r="N600" s="487">
        <v>44682</v>
      </c>
      <c r="O600" s="487"/>
      <c r="P600" s="475"/>
      <c r="Q600" s="475"/>
      <c r="R600" s="475"/>
      <c r="S600" s="474" t="s">
        <v>2352</v>
      </c>
      <c r="T600" s="474">
        <v>60</v>
      </c>
      <c r="U600" s="474">
        <v>49401140</v>
      </c>
      <c r="V600" s="474" t="s">
        <v>973</v>
      </c>
      <c r="W600" s="474">
        <v>400</v>
      </c>
      <c r="X600" s="476">
        <v>832</v>
      </c>
      <c r="Y600" s="477">
        <f t="shared" si="128"/>
        <v>332800</v>
      </c>
      <c r="Z600" s="478">
        <v>0.48</v>
      </c>
      <c r="AA600" s="479">
        <f t="shared" si="129"/>
        <v>159744</v>
      </c>
      <c r="AB600" s="480"/>
      <c r="AC600" s="481">
        <v>0</v>
      </c>
      <c r="AD600" s="490"/>
      <c r="AE600" s="482"/>
      <c r="AF600" s="493">
        <f t="shared" si="138"/>
        <v>159744</v>
      </c>
      <c r="AG600" s="474" t="s">
        <v>1071</v>
      </c>
      <c r="AH600" s="474"/>
      <c r="AI600" s="483">
        <v>60</v>
      </c>
      <c r="AJ600" s="474" t="s">
        <v>2357</v>
      </c>
      <c r="AK600" s="494" t="s">
        <v>1144</v>
      </c>
      <c r="AL600" s="474">
        <v>78744</v>
      </c>
      <c r="AM600" s="474" t="s">
        <v>52</v>
      </c>
      <c r="AN600" s="474" t="s">
        <v>1074</v>
      </c>
      <c r="AO600" s="474"/>
      <c r="AP600" s="486"/>
      <c r="AQ600" s="486"/>
      <c r="AR600" s="486" t="s">
        <v>2354</v>
      </c>
      <c r="AS600" s="495"/>
      <c r="AT600" s="495"/>
      <c r="AU600" s="478">
        <v>0.48</v>
      </c>
      <c r="AV600" s="471"/>
      <c r="AW600" s="471"/>
      <c r="AX600" s="471"/>
      <c r="AY600" s="471"/>
      <c r="AZ600" s="471"/>
      <c r="BA600" s="471"/>
      <c r="BB600" s="471"/>
      <c r="BC600" s="471"/>
    </row>
    <row r="601" spans="1:55">
      <c r="A601" s="599">
        <v>10</v>
      </c>
      <c r="B601" s="514">
        <v>44508</v>
      </c>
      <c r="C601" s="514">
        <v>44593</v>
      </c>
      <c r="D601" s="485" t="s">
        <v>2322</v>
      </c>
      <c r="E601" s="474"/>
      <c r="F601" s="474"/>
      <c r="G601" s="474">
        <v>2022</v>
      </c>
      <c r="H601" s="474">
        <v>3</v>
      </c>
      <c r="I601" s="485">
        <v>127208</v>
      </c>
      <c r="J601" s="475">
        <v>44629</v>
      </c>
      <c r="K601" s="483" t="s">
        <v>2358</v>
      </c>
      <c r="L601" s="474" t="s">
        <v>2359</v>
      </c>
      <c r="M601" s="487">
        <v>44505</v>
      </c>
      <c r="N601" s="487">
        <v>44564</v>
      </c>
      <c r="O601" s="487" t="s">
        <v>2360</v>
      </c>
      <c r="P601" s="475">
        <v>44627</v>
      </c>
      <c r="Q601" s="475">
        <v>44629</v>
      </c>
      <c r="R601" s="475">
        <v>44631</v>
      </c>
      <c r="S601" s="474" t="s">
        <v>2352</v>
      </c>
      <c r="T601" s="474">
        <v>60</v>
      </c>
      <c r="U601" s="474" t="s">
        <v>1247</v>
      </c>
      <c r="V601" s="474" t="s">
        <v>973</v>
      </c>
      <c r="W601" s="474">
        <v>400</v>
      </c>
      <c r="X601" s="476">
        <v>640</v>
      </c>
      <c r="Y601" s="491">
        <f t="shared" si="128"/>
        <v>256000</v>
      </c>
      <c r="Z601" s="478">
        <f t="shared" ref="Z601:Z606" si="144">220/400</f>
        <v>0.55000000000000004</v>
      </c>
      <c r="AA601" s="479">
        <f t="shared" si="129"/>
        <v>140800</v>
      </c>
      <c r="AB601" s="480"/>
      <c r="AC601" s="481">
        <v>0</v>
      </c>
      <c r="AD601" s="490"/>
      <c r="AE601" s="482"/>
      <c r="AF601" s="493">
        <f t="shared" si="138"/>
        <v>140800</v>
      </c>
      <c r="AG601" s="474" t="s">
        <v>1071</v>
      </c>
      <c r="AH601" s="474"/>
      <c r="AI601" s="483">
        <v>60</v>
      </c>
      <c r="AJ601" s="474" t="s">
        <v>2361</v>
      </c>
      <c r="AK601" s="494" t="s">
        <v>2362</v>
      </c>
      <c r="AL601" s="474">
        <v>80223</v>
      </c>
      <c r="AM601" s="474" t="s">
        <v>52</v>
      </c>
      <c r="AN601" s="474" t="s">
        <v>50</v>
      </c>
      <c r="AO601" s="474"/>
      <c r="AP601" s="486" t="s">
        <v>38</v>
      </c>
      <c r="AQ601" s="486"/>
      <c r="AR601" s="486" t="s">
        <v>2354</v>
      </c>
      <c r="AS601" s="495"/>
      <c r="AT601" s="495"/>
      <c r="AU601" s="478">
        <v>0.48</v>
      </c>
      <c r="AV601" s="471"/>
      <c r="AW601" s="471"/>
      <c r="AX601" s="471"/>
      <c r="AY601" s="471"/>
      <c r="AZ601" s="471"/>
      <c r="BA601" s="471"/>
      <c r="BB601" s="471"/>
      <c r="BC601" s="471"/>
    </row>
    <row r="602" spans="1:55">
      <c r="A602" s="472"/>
      <c r="B602" s="514">
        <v>44508</v>
      </c>
      <c r="C602" s="514">
        <v>44593</v>
      </c>
      <c r="D602" s="485" t="s">
        <v>2322</v>
      </c>
      <c r="E602" s="474"/>
      <c r="F602" s="474"/>
      <c r="G602" s="474">
        <v>2022</v>
      </c>
      <c r="H602" s="474">
        <v>5</v>
      </c>
      <c r="I602" s="485"/>
      <c r="J602" s="475"/>
      <c r="K602" s="483" t="s">
        <v>2600</v>
      </c>
      <c r="L602" s="474" t="s">
        <v>2359</v>
      </c>
      <c r="M602" s="487">
        <v>44505</v>
      </c>
      <c r="N602" s="487">
        <v>44593</v>
      </c>
      <c r="O602" s="487"/>
      <c r="P602" s="502">
        <v>44680</v>
      </c>
      <c r="Q602" s="475"/>
      <c r="R602" s="475"/>
      <c r="S602" s="474" t="s">
        <v>2352</v>
      </c>
      <c r="T602" s="474">
        <v>60</v>
      </c>
      <c r="U602" s="474" t="s">
        <v>1760</v>
      </c>
      <c r="V602" s="474" t="s">
        <v>973</v>
      </c>
      <c r="W602" s="474">
        <v>400</v>
      </c>
      <c r="X602" s="476">
        <v>1376</v>
      </c>
      <c r="Y602" s="477">
        <v>550400</v>
      </c>
      <c r="Z602" s="478">
        <f t="shared" si="144"/>
        <v>0.55000000000000004</v>
      </c>
      <c r="AA602" s="479">
        <v>264192</v>
      </c>
      <c r="AB602" s="480"/>
      <c r="AC602" s="481">
        <v>0</v>
      </c>
      <c r="AD602" s="490"/>
      <c r="AE602" s="482"/>
      <c r="AF602" s="493">
        <v>264192</v>
      </c>
      <c r="AG602" s="474" t="s">
        <v>1071</v>
      </c>
      <c r="AH602" s="474"/>
      <c r="AI602" s="483">
        <v>60</v>
      </c>
      <c r="AJ602" s="474" t="s">
        <v>2361</v>
      </c>
      <c r="AK602" s="494" t="s">
        <v>2362</v>
      </c>
      <c r="AL602" s="474">
        <v>80223</v>
      </c>
      <c r="AM602" s="474" t="s">
        <v>52</v>
      </c>
      <c r="AN602" s="474" t="s">
        <v>50</v>
      </c>
      <c r="AO602" s="474"/>
      <c r="AP602" s="486" t="s">
        <v>38</v>
      </c>
      <c r="AQ602" s="486"/>
      <c r="AR602" s="486" t="s">
        <v>2354</v>
      </c>
      <c r="AS602" s="495"/>
      <c r="AT602" s="495"/>
      <c r="AU602" s="478">
        <v>0.48</v>
      </c>
      <c r="AV602" s="471"/>
      <c r="AW602" s="471"/>
      <c r="AX602" s="471"/>
      <c r="AY602" s="471"/>
      <c r="AZ602" s="471"/>
      <c r="BA602" s="471"/>
      <c r="BB602" s="471"/>
      <c r="BC602" s="471"/>
    </row>
    <row r="603" spans="1:55">
      <c r="A603" s="472"/>
      <c r="B603" s="514">
        <v>44508</v>
      </c>
      <c r="C603" s="514">
        <v>44593</v>
      </c>
      <c r="D603" s="485" t="s">
        <v>2322</v>
      </c>
      <c r="E603" s="474"/>
      <c r="F603" s="474"/>
      <c r="G603" s="474">
        <v>2022</v>
      </c>
      <c r="H603" s="474">
        <v>6</v>
      </c>
      <c r="I603" s="485"/>
      <c r="J603" s="475"/>
      <c r="K603" s="483" t="s">
        <v>2606</v>
      </c>
      <c r="L603" s="474" t="s">
        <v>2359</v>
      </c>
      <c r="M603" s="487">
        <v>44505</v>
      </c>
      <c r="N603" s="487">
        <v>44621</v>
      </c>
      <c r="O603" s="487"/>
      <c r="P603" s="475"/>
      <c r="Q603" s="475"/>
      <c r="R603" s="475"/>
      <c r="S603" s="474" t="s">
        <v>2352</v>
      </c>
      <c r="T603" s="474">
        <v>60</v>
      </c>
      <c r="U603" s="474" t="s">
        <v>1281</v>
      </c>
      <c r="V603" s="474" t="s">
        <v>985</v>
      </c>
      <c r="W603" s="474">
        <v>400</v>
      </c>
      <c r="X603" s="476">
        <v>1344</v>
      </c>
      <c r="Y603" s="477">
        <v>537600</v>
      </c>
      <c r="Z603" s="478">
        <f t="shared" si="144"/>
        <v>0.55000000000000004</v>
      </c>
      <c r="AA603" s="479">
        <v>258048</v>
      </c>
      <c r="AB603" s="480"/>
      <c r="AC603" s="481">
        <v>0</v>
      </c>
      <c r="AD603" s="490"/>
      <c r="AE603" s="482"/>
      <c r="AF603" s="493">
        <v>258048</v>
      </c>
      <c r="AG603" s="474" t="s">
        <v>1071</v>
      </c>
      <c r="AH603" s="474"/>
      <c r="AI603" s="483">
        <v>60</v>
      </c>
      <c r="AJ603" s="474" t="s">
        <v>2361</v>
      </c>
      <c r="AK603" s="494" t="s">
        <v>2362</v>
      </c>
      <c r="AL603" s="474">
        <v>80223</v>
      </c>
      <c r="AM603" s="474" t="s">
        <v>52</v>
      </c>
      <c r="AN603" s="474" t="s">
        <v>1074</v>
      </c>
      <c r="AO603" s="474"/>
      <c r="AP603" s="486"/>
      <c r="AQ603" s="486"/>
      <c r="AR603" s="486" t="s">
        <v>2354</v>
      </c>
      <c r="AS603" s="495"/>
      <c r="AT603" s="495"/>
      <c r="AU603" s="478">
        <v>0.48</v>
      </c>
      <c r="AV603" s="471" t="str">
        <f t="shared" ref="AV603:AV634" si="145">U603</f>
        <v>30390456H</v>
      </c>
      <c r="AW603" s="471" cm="1">
        <f t="array" ref="AW603">SUM(MID(0&amp;AV603,LARGE(INDEX(ISNUMBER(--MID(AV603,ROW($1:$8),1))*ROW($1:$8),),ROW($1:$8))+1,1)*10^ROW($1:$8)/10)</f>
        <v>30390456</v>
      </c>
      <c r="AX603" s="471" t="str">
        <f>VLOOKUP($AW603,'Item Master Data'!$A:$F,3,FALSE)</f>
        <v>Q.PEAK DUO BLK ML G10+</v>
      </c>
      <c r="AY603" s="471">
        <f>VLOOKUP($AW603,'Item Master Data'!$A:$F,6,FALSE)</f>
        <v>400</v>
      </c>
      <c r="AZ603" s="471">
        <f t="shared" ref="AZ603:AZ634" si="146">X603/BA603</f>
        <v>42</v>
      </c>
      <c r="BA603" s="471">
        <f>VLOOKUP(AW603,'Item Master Data'!$A:$G,7,FALSE)</f>
        <v>32</v>
      </c>
      <c r="BB603" s="471"/>
      <c r="BC603" s="471">
        <f t="shared" ref="BC603:BC634" si="147">W603-AY603</f>
        <v>0</v>
      </c>
    </row>
    <row r="604" spans="1:55">
      <c r="A604" s="472"/>
      <c r="B604" s="514">
        <v>44508</v>
      </c>
      <c r="C604" s="514">
        <v>44593</v>
      </c>
      <c r="D604" s="485" t="s">
        <v>2322</v>
      </c>
      <c r="E604" s="474" t="s">
        <v>1283</v>
      </c>
      <c r="F604" s="381"/>
      <c r="G604" s="474">
        <v>2022</v>
      </c>
      <c r="H604" s="474">
        <v>7</v>
      </c>
      <c r="I604" s="485"/>
      <c r="J604" s="475"/>
      <c r="K604" s="483" t="s">
        <v>2639</v>
      </c>
      <c r="L604" s="474" t="s">
        <v>2359</v>
      </c>
      <c r="M604" s="487">
        <v>44505</v>
      </c>
      <c r="N604" s="487">
        <v>44652</v>
      </c>
      <c r="O604" s="487"/>
      <c r="P604" s="475"/>
      <c r="Q604" s="475"/>
      <c r="R604" s="475"/>
      <c r="S604" s="474" t="s">
        <v>2352</v>
      </c>
      <c r="T604" s="474">
        <v>60</v>
      </c>
      <c r="U604" s="474" t="s">
        <v>1281</v>
      </c>
      <c r="V604" s="474" t="s">
        <v>985</v>
      </c>
      <c r="W604" s="474">
        <v>400</v>
      </c>
      <c r="X604" s="476">
        <v>1280</v>
      </c>
      <c r="Y604" s="477">
        <v>512000</v>
      </c>
      <c r="Z604" s="478">
        <f t="shared" si="144"/>
        <v>0.55000000000000004</v>
      </c>
      <c r="AA604" s="479">
        <v>245760</v>
      </c>
      <c r="AB604" s="480"/>
      <c r="AC604" s="481">
        <v>0</v>
      </c>
      <c r="AD604" s="490"/>
      <c r="AE604" s="482"/>
      <c r="AF604" s="493">
        <v>245760</v>
      </c>
      <c r="AG604" s="474" t="s">
        <v>1071</v>
      </c>
      <c r="AH604" s="474"/>
      <c r="AI604" s="483">
        <v>60</v>
      </c>
      <c r="AJ604" s="474" t="s">
        <v>2361</v>
      </c>
      <c r="AK604" s="494" t="s">
        <v>2362</v>
      </c>
      <c r="AL604" s="474">
        <v>80223</v>
      </c>
      <c r="AM604" s="474" t="s">
        <v>52</v>
      </c>
      <c r="AN604" s="474" t="s">
        <v>1074</v>
      </c>
      <c r="AO604" s="474"/>
      <c r="AP604" s="486"/>
      <c r="AQ604" s="486"/>
      <c r="AR604" s="486" t="s">
        <v>2354</v>
      </c>
      <c r="AS604" s="495"/>
      <c r="AT604" s="495"/>
      <c r="AU604" s="478">
        <v>0.48</v>
      </c>
      <c r="AV604" s="471" t="str">
        <f t="shared" si="145"/>
        <v>30390456H</v>
      </c>
      <c r="AW604" s="471" cm="1">
        <f t="array" ref="AW604">SUM(MID(0&amp;AV604,LARGE(INDEX(ISNUMBER(--MID(AV604,ROW($1:$8),1))*ROW($1:$8),),ROW($1:$8))+1,1)*10^ROW($1:$8)/10)</f>
        <v>30390456</v>
      </c>
      <c r="AX604" s="471" t="str">
        <f>VLOOKUP($AW604,'Item Master Data'!$A:$F,3,FALSE)</f>
        <v>Q.PEAK DUO BLK ML G10+</v>
      </c>
      <c r="AY604" s="471">
        <f>VLOOKUP($AW604,'Item Master Data'!$A:$F,6,FALSE)</f>
        <v>400</v>
      </c>
      <c r="AZ604" s="471">
        <f t="shared" si="146"/>
        <v>40</v>
      </c>
      <c r="BA604" s="471">
        <f>VLOOKUP(AW604,'Item Master Data'!$A:$G,7,FALSE)</f>
        <v>32</v>
      </c>
      <c r="BB604" s="471"/>
      <c r="BC604" s="471">
        <f t="shared" si="147"/>
        <v>0</v>
      </c>
    </row>
    <row r="605" spans="1:55">
      <c r="A605" s="599">
        <v>10</v>
      </c>
      <c r="B605" s="514"/>
      <c r="C605" s="514"/>
      <c r="D605" s="485" t="s">
        <v>2322</v>
      </c>
      <c r="E605" s="474"/>
      <c r="F605" s="474"/>
      <c r="G605" s="474">
        <v>2022</v>
      </c>
      <c r="H605" s="474">
        <v>3</v>
      </c>
      <c r="I605" s="485">
        <v>127209</v>
      </c>
      <c r="J605" s="475">
        <v>44629</v>
      </c>
      <c r="K605" s="483" t="s">
        <v>2363</v>
      </c>
      <c r="L605" s="474" t="s">
        <v>2364</v>
      </c>
      <c r="M605" s="487">
        <v>44504</v>
      </c>
      <c r="N605" s="487">
        <v>44566</v>
      </c>
      <c r="O605" s="487" t="s">
        <v>2365</v>
      </c>
      <c r="P605" s="475">
        <v>44627</v>
      </c>
      <c r="Q605" s="475">
        <v>44629</v>
      </c>
      <c r="R605" s="475">
        <v>44631</v>
      </c>
      <c r="S605" s="474" t="s">
        <v>1563</v>
      </c>
      <c r="T605" s="474">
        <v>60</v>
      </c>
      <c r="U605" s="474" t="s">
        <v>1247</v>
      </c>
      <c r="V605" s="474" t="s">
        <v>973</v>
      </c>
      <c r="W605" s="474">
        <v>400</v>
      </c>
      <c r="X605" s="476">
        <v>1664</v>
      </c>
      <c r="Y605" s="491">
        <f>X605*W605</f>
        <v>665600</v>
      </c>
      <c r="Z605" s="478">
        <f t="shared" si="144"/>
        <v>0.55000000000000004</v>
      </c>
      <c r="AA605" s="479">
        <f>Z605*Y605</f>
        <v>366080.00000000006</v>
      </c>
      <c r="AB605" s="480"/>
      <c r="AC605" s="481">
        <v>0</v>
      </c>
      <c r="AD605" s="490"/>
      <c r="AE605" s="482"/>
      <c r="AF605" s="493">
        <f>AA605+AE605</f>
        <v>366080.00000000006</v>
      </c>
      <c r="AG605" s="474" t="s">
        <v>1071</v>
      </c>
      <c r="AH605" s="474"/>
      <c r="AI605" s="483">
        <v>60</v>
      </c>
      <c r="AJ605" s="474" t="s">
        <v>2366</v>
      </c>
      <c r="AK605" s="494" t="s">
        <v>1395</v>
      </c>
      <c r="AL605" s="474">
        <v>89118</v>
      </c>
      <c r="AM605" s="474" t="s">
        <v>52</v>
      </c>
      <c r="AN605" s="474" t="s">
        <v>50</v>
      </c>
      <c r="AO605" s="474"/>
      <c r="AP605" s="486" t="s">
        <v>38</v>
      </c>
      <c r="AQ605" s="486" t="s">
        <v>37</v>
      </c>
      <c r="AR605" s="486" t="s">
        <v>2367</v>
      </c>
      <c r="AS605" s="495"/>
      <c r="AT605" s="495"/>
      <c r="AU605" s="478">
        <f>192/400</f>
        <v>0.48</v>
      </c>
      <c r="AV605" s="471" t="str">
        <f t="shared" si="145"/>
        <v>30390456C</v>
      </c>
      <c r="AW605" s="471" cm="1">
        <f t="array" ref="AW605">SUM(MID(0&amp;AV605,LARGE(INDEX(ISNUMBER(--MID(AV605,ROW($1:$8),1))*ROW($1:$8),),ROW($1:$8))+1,1)*10^ROW($1:$8)/10)</f>
        <v>30390456</v>
      </c>
      <c r="AX605" s="471" t="str">
        <f>VLOOKUP($AW605,'Item Master Data'!$A:$F,3,FALSE)</f>
        <v>Q.PEAK DUO BLK ML G10+</v>
      </c>
      <c r="AY605" s="471">
        <f>VLOOKUP($AW605,'Item Master Data'!$A:$F,6,FALSE)</f>
        <v>400</v>
      </c>
      <c r="AZ605" s="471">
        <f t="shared" si="146"/>
        <v>52</v>
      </c>
      <c r="BA605" s="471">
        <f>VLOOKUP(AW605,'Item Master Data'!$A:$G,7,FALSE)</f>
        <v>32</v>
      </c>
      <c r="BB605" s="471"/>
      <c r="BC605" s="471">
        <f t="shared" si="147"/>
        <v>0</v>
      </c>
    </row>
    <row r="606" spans="1:55">
      <c r="A606" s="472"/>
      <c r="B606" s="514"/>
      <c r="C606" s="514"/>
      <c r="D606" s="485" t="s">
        <v>2322</v>
      </c>
      <c r="E606" s="474"/>
      <c r="F606" s="474"/>
      <c r="G606" s="474">
        <v>2022</v>
      </c>
      <c r="H606" s="474">
        <v>4</v>
      </c>
      <c r="I606" s="485">
        <v>128051</v>
      </c>
      <c r="J606" s="475">
        <v>44664</v>
      </c>
      <c r="K606" s="483" t="s">
        <v>2501</v>
      </c>
      <c r="L606" s="474" t="s">
        <v>2364</v>
      </c>
      <c r="M606" s="487">
        <v>44504</v>
      </c>
      <c r="N606" s="487">
        <v>44599</v>
      </c>
      <c r="O606" s="487" t="s">
        <v>2365</v>
      </c>
      <c r="P606" s="475">
        <v>44657</v>
      </c>
      <c r="Q606" s="475">
        <v>44664</v>
      </c>
      <c r="R606" s="475">
        <v>44665</v>
      </c>
      <c r="S606" s="474" t="s">
        <v>1563</v>
      </c>
      <c r="T606" s="474">
        <v>60</v>
      </c>
      <c r="U606" s="474" t="s">
        <v>1281</v>
      </c>
      <c r="V606" s="474" t="s">
        <v>973</v>
      </c>
      <c r="W606" s="474">
        <v>400</v>
      </c>
      <c r="X606" s="476">
        <v>1664</v>
      </c>
      <c r="Y606" s="477">
        <f>X606*W606</f>
        <v>665600</v>
      </c>
      <c r="Z606" s="478">
        <f t="shared" si="144"/>
        <v>0.55000000000000004</v>
      </c>
      <c r="AA606" s="479">
        <f>Z606*Y606</f>
        <v>366080.00000000006</v>
      </c>
      <c r="AB606" s="480"/>
      <c r="AC606" s="481">
        <v>0</v>
      </c>
      <c r="AD606" s="490"/>
      <c r="AE606" s="482"/>
      <c r="AF606" s="493">
        <f>AA606+AE606</f>
        <v>366080.00000000006</v>
      </c>
      <c r="AG606" s="474" t="s">
        <v>1071</v>
      </c>
      <c r="AH606" s="474"/>
      <c r="AI606" s="483">
        <v>60</v>
      </c>
      <c r="AJ606" s="474" t="s">
        <v>2366</v>
      </c>
      <c r="AK606" s="494" t="s">
        <v>1395</v>
      </c>
      <c r="AL606" s="474">
        <v>89118</v>
      </c>
      <c r="AM606" s="474" t="s">
        <v>52</v>
      </c>
      <c r="AN606" s="474" t="s">
        <v>50</v>
      </c>
      <c r="AO606" s="474"/>
      <c r="AP606" s="486" t="s">
        <v>38</v>
      </c>
      <c r="AQ606" s="486" t="s">
        <v>37</v>
      </c>
      <c r="AR606" s="486" t="s">
        <v>2367</v>
      </c>
      <c r="AS606" s="495"/>
      <c r="AT606" s="495"/>
      <c r="AU606" s="478">
        <f>192/400</f>
        <v>0.48</v>
      </c>
      <c r="AV606" s="471" t="str">
        <f t="shared" si="145"/>
        <v>30390456H</v>
      </c>
      <c r="AW606" s="471" cm="1">
        <f t="array" ref="AW606">SUM(MID(0&amp;AV606,LARGE(INDEX(ISNUMBER(--MID(AV606,ROW($1:$8),1))*ROW($1:$8),),ROW($1:$8))+1,1)*10^ROW($1:$8)/10)</f>
        <v>30390456</v>
      </c>
      <c r="AX606" s="471" t="str">
        <f>VLOOKUP($AW606,'Item Master Data'!$A:$F,3,FALSE)</f>
        <v>Q.PEAK DUO BLK ML G10+</v>
      </c>
      <c r="AY606" s="471">
        <f>VLOOKUP($AW606,'Item Master Data'!$A:$F,6,FALSE)</f>
        <v>400</v>
      </c>
      <c r="AZ606" s="471">
        <f t="shared" si="146"/>
        <v>52</v>
      </c>
      <c r="BA606" s="471">
        <f>VLOOKUP(AW606,'Item Master Data'!$A:$G,7,FALSE)</f>
        <v>32</v>
      </c>
      <c r="BB606" s="471"/>
      <c r="BC606" s="471">
        <f t="shared" si="147"/>
        <v>0</v>
      </c>
    </row>
    <row r="607" spans="1:55">
      <c r="A607" s="472"/>
      <c r="B607" s="514"/>
      <c r="C607" s="514"/>
      <c r="D607" s="485" t="s">
        <v>2322</v>
      </c>
      <c r="E607" s="474"/>
      <c r="F607" s="474" t="s">
        <v>1147</v>
      </c>
      <c r="G607" s="474">
        <v>2022</v>
      </c>
      <c r="H607" s="474">
        <v>5</v>
      </c>
      <c r="I607" s="485"/>
      <c r="J607" s="475"/>
      <c r="K607" s="483" t="s">
        <v>2555</v>
      </c>
      <c r="L607" s="474" t="s">
        <v>2364</v>
      </c>
      <c r="M607" s="487">
        <v>44432</v>
      </c>
      <c r="N607" s="487">
        <v>44531</v>
      </c>
      <c r="O607" s="487"/>
      <c r="P607" s="475" t="s">
        <v>1093</v>
      </c>
      <c r="Q607" s="475"/>
      <c r="R607" s="475"/>
      <c r="S607" s="474" t="s">
        <v>2352</v>
      </c>
      <c r="T607" s="474">
        <v>60</v>
      </c>
      <c r="U607" s="474" t="s">
        <v>2493</v>
      </c>
      <c r="V607" s="474" t="s">
        <v>691</v>
      </c>
      <c r="W607" s="474">
        <v>340</v>
      </c>
      <c r="X607" s="476">
        <v>832</v>
      </c>
      <c r="Y607" s="477">
        <f>X607*W607</f>
        <v>282880</v>
      </c>
      <c r="Z607" s="478">
        <v>0.45500000000000002</v>
      </c>
      <c r="AA607" s="479">
        <f>Z607*Y607</f>
        <v>128710.40000000001</v>
      </c>
      <c r="AB607" s="480"/>
      <c r="AC607" s="481">
        <v>0</v>
      </c>
      <c r="AD607" s="490"/>
      <c r="AE607" s="482"/>
      <c r="AF607" s="493">
        <f>AA607+AE607</f>
        <v>128710.40000000001</v>
      </c>
      <c r="AG607" s="474" t="s">
        <v>1071</v>
      </c>
      <c r="AH607" s="474"/>
      <c r="AI607" s="483">
        <v>60</v>
      </c>
      <c r="AJ607" s="474" t="s">
        <v>2366</v>
      </c>
      <c r="AK607" s="494" t="s">
        <v>1395</v>
      </c>
      <c r="AL607" s="474" t="s">
        <v>2556</v>
      </c>
      <c r="AM607" s="474" t="s">
        <v>52</v>
      </c>
      <c r="AN607" s="474" t="s">
        <v>50</v>
      </c>
      <c r="AO607" s="474"/>
      <c r="AP607" s="486" t="s">
        <v>38</v>
      </c>
      <c r="AQ607" s="486"/>
      <c r="AR607" s="486" t="s">
        <v>2354</v>
      </c>
      <c r="AS607" s="495"/>
      <c r="AT607" s="495"/>
      <c r="AU607" s="478">
        <v>0.45500000000000002</v>
      </c>
      <c r="AV607" s="471" t="str">
        <f t="shared" si="145"/>
        <v>30376609F</v>
      </c>
      <c r="AW607" s="471" cm="1">
        <f t="array" ref="AW607">SUM(MID(0&amp;AV607,LARGE(INDEX(ISNUMBER(--MID(AV607,ROW($1:$8),1))*ROW($1:$8),),ROW($1:$8))+1,1)*10^ROW($1:$8)/10)</f>
        <v>30376609</v>
      </c>
      <c r="AX607" s="471" t="str">
        <f>VLOOKUP($AW607,'Item Master Data'!$A:$F,3,FALSE)</f>
        <v>Q.PEAK DUO BLK G6+</v>
      </c>
      <c r="AY607" s="471">
        <f>VLOOKUP($AW607,'Item Master Data'!$A:$F,6,FALSE)</f>
        <v>340</v>
      </c>
      <c r="AZ607" s="471">
        <f t="shared" si="146"/>
        <v>26</v>
      </c>
      <c r="BA607" s="471">
        <f>VLOOKUP(AW607,'Item Master Data'!$A:$G,7,FALSE)</f>
        <v>32</v>
      </c>
      <c r="BB607" s="471"/>
      <c r="BC607" s="471">
        <f t="shared" si="147"/>
        <v>0</v>
      </c>
    </row>
    <row r="608" spans="1:55">
      <c r="A608" s="472"/>
      <c r="B608" s="514"/>
      <c r="C608" s="514"/>
      <c r="D608" s="485" t="s">
        <v>2322</v>
      </c>
      <c r="E608" s="474"/>
      <c r="F608" s="474"/>
      <c r="G608" s="474">
        <v>2022</v>
      </c>
      <c r="H608" s="474">
        <v>5</v>
      </c>
      <c r="I608" s="485"/>
      <c r="J608" s="475"/>
      <c r="K608" s="483" t="s">
        <v>2601</v>
      </c>
      <c r="L608" s="474" t="s">
        <v>2364</v>
      </c>
      <c r="M608" s="487">
        <v>44504</v>
      </c>
      <c r="N608" s="487">
        <v>44627</v>
      </c>
      <c r="O608" s="487" t="s">
        <v>2365</v>
      </c>
      <c r="P608" s="502">
        <v>44680</v>
      </c>
      <c r="Q608" s="475"/>
      <c r="R608" s="475"/>
      <c r="S608" s="474" t="s">
        <v>1563</v>
      </c>
      <c r="T608" s="474">
        <v>60</v>
      </c>
      <c r="U608" s="474" t="s">
        <v>1281</v>
      </c>
      <c r="V608" s="474" t="s">
        <v>973</v>
      </c>
      <c r="W608" s="474">
        <v>400</v>
      </c>
      <c r="X608" s="476">
        <v>1664</v>
      </c>
      <c r="Y608" s="477">
        <f>X608*W608</f>
        <v>665600</v>
      </c>
      <c r="Z608" s="478">
        <f>220/400</f>
        <v>0.55000000000000004</v>
      </c>
      <c r="AA608" s="479">
        <f>Z608*Y608</f>
        <v>366080.00000000006</v>
      </c>
      <c r="AB608" s="480"/>
      <c r="AC608" s="481">
        <v>0</v>
      </c>
      <c r="AD608" s="490"/>
      <c r="AE608" s="482"/>
      <c r="AF608" s="493">
        <f>AA608+AE608</f>
        <v>366080.00000000006</v>
      </c>
      <c r="AG608" s="474" t="s">
        <v>1071</v>
      </c>
      <c r="AH608" s="474"/>
      <c r="AI608" s="483">
        <v>60</v>
      </c>
      <c r="AJ608" s="474" t="s">
        <v>2366</v>
      </c>
      <c r="AK608" s="494" t="s">
        <v>1395</v>
      </c>
      <c r="AL608" s="474">
        <v>89118</v>
      </c>
      <c r="AM608" s="474" t="s">
        <v>52</v>
      </c>
      <c r="AN608" s="474" t="s">
        <v>50</v>
      </c>
      <c r="AO608" s="474"/>
      <c r="AP608" s="486" t="s">
        <v>38</v>
      </c>
      <c r="AQ608" s="486" t="s">
        <v>37</v>
      </c>
      <c r="AR608" s="486" t="s">
        <v>2367</v>
      </c>
      <c r="AS608" s="495"/>
      <c r="AT608" s="495"/>
      <c r="AU608" s="478">
        <f>192/400</f>
        <v>0.48</v>
      </c>
      <c r="AV608" s="471" t="str">
        <f t="shared" si="145"/>
        <v>30390456H</v>
      </c>
      <c r="AW608" s="471" cm="1">
        <f t="array" ref="AW608">SUM(MID(0&amp;AV608,LARGE(INDEX(ISNUMBER(--MID(AV608,ROW($1:$8),1))*ROW($1:$8),),ROW($1:$8))+1,1)*10^ROW($1:$8)/10)</f>
        <v>30390456</v>
      </c>
      <c r="AX608" s="471" t="str">
        <f>VLOOKUP($AW608,'Item Master Data'!$A:$F,3,FALSE)</f>
        <v>Q.PEAK DUO BLK ML G10+</v>
      </c>
      <c r="AY608" s="471">
        <f>VLOOKUP($AW608,'Item Master Data'!$A:$F,6,FALSE)</f>
        <v>400</v>
      </c>
      <c r="AZ608" s="471">
        <f t="shared" si="146"/>
        <v>52</v>
      </c>
      <c r="BA608" s="471">
        <f>VLOOKUP(AW608,'Item Master Data'!$A:$G,7,FALSE)</f>
        <v>32</v>
      </c>
      <c r="BB608" s="471"/>
      <c r="BC608" s="471">
        <f t="shared" si="147"/>
        <v>0</v>
      </c>
    </row>
    <row r="609" spans="1:55">
      <c r="A609" s="472"/>
      <c r="B609" s="514"/>
      <c r="C609" s="514"/>
      <c r="D609" s="485" t="s">
        <v>2322</v>
      </c>
      <c r="E609" s="474"/>
      <c r="F609" s="474"/>
      <c r="G609" s="474">
        <v>2022</v>
      </c>
      <c r="H609" s="474">
        <v>6</v>
      </c>
      <c r="I609" s="485"/>
      <c r="J609" s="475"/>
      <c r="K609" s="483" t="s">
        <v>2636</v>
      </c>
      <c r="L609" s="474" t="s">
        <v>2364</v>
      </c>
      <c r="M609" s="487">
        <v>44504</v>
      </c>
      <c r="N609" s="487">
        <v>44655</v>
      </c>
      <c r="O609" s="487" t="s">
        <v>2365</v>
      </c>
      <c r="P609" s="502" t="s">
        <v>5736</v>
      </c>
      <c r="Q609" s="475"/>
      <c r="R609" s="475"/>
      <c r="S609" s="474" t="s">
        <v>1563</v>
      </c>
      <c r="T609" s="474">
        <v>60</v>
      </c>
      <c r="U609" s="474" t="s">
        <v>1281</v>
      </c>
      <c r="V609" s="474" t="s">
        <v>973</v>
      </c>
      <c r="W609" s="474">
        <v>400</v>
      </c>
      <c r="X609" s="476">
        <v>1664</v>
      </c>
      <c r="Y609" s="477">
        <f>X609*W609</f>
        <v>665600</v>
      </c>
      <c r="Z609" s="478">
        <f>220/400</f>
        <v>0.55000000000000004</v>
      </c>
      <c r="AA609" s="479">
        <f>Z609*Y609</f>
        <v>366080.00000000006</v>
      </c>
      <c r="AB609" s="480"/>
      <c r="AC609" s="481">
        <v>0</v>
      </c>
      <c r="AD609" s="490"/>
      <c r="AE609" s="482"/>
      <c r="AF609" s="493">
        <f>AA609+AE609</f>
        <v>366080.00000000006</v>
      </c>
      <c r="AG609" s="474" t="s">
        <v>1071</v>
      </c>
      <c r="AH609" s="474"/>
      <c r="AI609" s="483">
        <v>60</v>
      </c>
      <c r="AJ609" s="474" t="s">
        <v>2366</v>
      </c>
      <c r="AK609" s="494" t="s">
        <v>1395</v>
      </c>
      <c r="AL609" s="474">
        <v>89118</v>
      </c>
      <c r="AM609" s="474" t="s">
        <v>52</v>
      </c>
      <c r="AN609" s="474" t="s">
        <v>50</v>
      </c>
      <c r="AO609" s="474"/>
      <c r="AP609" s="486" t="s">
        <v>38</v>
      </c>
      <c r="AQ609" s="486" t="s">
        <v>37</v>
      </c>
      <c r="AR609" s="486" t="s">
        <v>2367</v>
      </c>
      <c r="AS609" s="495"/>
      <c r="AT609" s="495"/>
      <c r="AU609" s="478">
        <f>192/400</f>
        <v>0.48</v>
      </c>
      <c r="AV609" s="471" t="str">
        <f t="shared" si="145"/>
        <v>30390456H</v>
      </c>
      <c r="AW609" s="471" cm="1">
        <f t="array" ref="AW609">SUM(MID(0&amp;AV609,LARGE(INDEX(ISNUMBER(--MID(AV609,ROW($1:$8),1))*ROW($1:$8),),ROW($1:$8))+1,1)*10^ROW($1:$8)/10)</f>
        <v>30390456</v>
      </c>
      <c r="AX609" s="471" t="str">
        <f>VLOOKUP($AW609,'Item Master Data'!$A:$F,3,FALSE)</f>
        <v>Q.PEAK DUO BLK ML G10+</v>
      </c>
      <c r="AY609" s="471">
        <f>VLOOKUP($AW609,'Item Master Data'!$A:$F,6,FALSE)</f>
        <v>400</v>
      </c>
      <c r="AZ609" s="471">
        <f t="shared" si="146"/>
        <v>52</v>
      </c>
      <c r="BA609" s="471">
        <f>VLOOKUP(AW609,'Item Master Data'!$A:$G,7,FALSE)</f>
        <v>32</v>
      </c>
      <c r="BB609" s="471"/>
      <c r="BC609" s="471">
        <f t="shared" si="147"/>
        <v>0</v>
      </c>
    </row>
    <row r="610" spans="1:55">
      <c r="A610" s="599">
        <v>10</v>
      </c>
      <c r="B610" s="514"/>
      <c r="C610" s="514"/>
      <c r="D610" s="485" t="s">
        <v>2322</v>
      </c>
      <c r="E610" s="474"/>
      <c r="F610" s="474" t="s">
        <v>1147</v>
      </c>
      <c r="G610" s="474">
        <v>2022</v>
      </c>
      <c r="H610" s="474">
        <v>3</v>
      </c>
      <c r="I610" s="485">
        <v>127589</v>
      </c>
      <c r="J610" s="475">
        <v>44649</v>
      </c>
      <c r="K610" s="483" t="s">
        <v>2368</v>
      </c>
      <c r="L610" s="474" t="s">
        <v>1956</v>
      </c>
      <c r="M610" s="487">
        <v>44505</v>
      </c>
      <c r="N610" s="487">
        <v>44565</v>
      </c>
      <c r="O610" s="487"/>
      <c r="P610" s="475">
        <v>44628</v>
      </c>
      <c r="Q610" s="475">
        <v>44648</v>
      </c>
      <c r="R610" s="475">
        <v>44650</v>
      </c>
      <c r="S610" s="474" t="s">
        <v>2352</v>
      </c>
      <c r="T610" s="474">
        <v>60</v>
      </c>
      <c r="U610" s="474" t="s">
        <v>1281</v>
      </c>
      <c r="V610" s="474" t="s">
        <v>973</v>
      </c>
      <c r="W610" s="474">
        <v>400</v>
      </c>
      <c r="X610" s="476">
        <v>2304</v>
      </c>
      <c r="Y610" s="491">
        <f t="shared" ref="Y610:Y626" si="148">X610*W610</f>
        <v>921600</v>
      </c>
      <c r="Z610" s="478">
        <f t="shared" ref="Z610:Z626" si="149">220/400</f>
        <v>0.55000000000000004</v>
      </c>
      <c r="AA610" s="479">
        <f t="shared" ref="AA610:AA626" si="150">Z610*Y610</f>
        <v>506880.00000000006</v>
      </c>
      <c r="AB610" s="480"/>
      <c r="AC610" s="481">
        <v>0</v>
      </c>
      <c r="AD610" s="490"/>
      <c r="AE610" s="482"/>
      <c r="AF610" s="493">
        <f t="shared" ref="AF610:AF626" si="151">AA610+AE610</f>
        <v>506880.00000000006</v>
      </c>
      <c r="AG610" s="474" t="s">
        <v>1071</v>
      </c>
      <c r="AH610" s="474">
        <v>0</v>
      </c>
      <c r="AI610" s="483">
        <v>60</v>
      </c>
      <c r="AJ610" s="474" t="s">
        <v>1958</v>
      </c>
      <c r="AK610" s="494" t="s">
        <v>50</v>
      </c>
      <c r="AL610" s="474" t="s">
        <v>1959</v>
      </c>
      <c r="AM610" s="474" t="s">
        <v>52</v>
      </c>
      <c r="AN610" s="474" t="s">
        <v>1074</v>
      </c>
      <c r="AO610" s="474"/>
      <c r="AP610" s="486" t="s">
        <v>92</v>
      </c>
      <c r="AQ610" s="486" t="s">
        <v>37</v>
      </c>
      <c r="AR610" s="486" t="s">
        <v>2354</v>
      </c>
      <c r="AS610" s="495"/>
      <c r="AT610" s="495"/>
      <c r="AU610" s="478">
        <v>0.48</v>
      </c>
      <c r="AV610" s="471" t="str">
        <f t="shared" si="145"/>
        <v>30390456H</v>
      </c>
      <c r="AW610" s="471" cm="1">
        <f t="array" ref="AW610">SUM(MID(0&amp;AV610,LARGE(INDEX(ISNUMBER(--MID(AV610,ROW($1:$8),1))*ROW($1:$8),),ROW($1:$8))+1,1)*10^ROW($1:$8)/10)</f>
        <v>30390456</v>
      </c>
      <c r="AX610" s="471" t="str">
        <f>VLOOKUP($AW610,'Item Master Data'!$A:$F,3,FALSE)</f>
        <v>Q.PEAK DUO BLK ML G10+</v>
      </c>
      <c r="AY610" s="471">
        <f>VLOOKUP($AW610,'Item Master Data'!$A:$F,6,FALSE)</f>
        <v>400</v>
      </c>
      <c r="AZ610" s="471">
        <f t="shared" si="146"/>
        <v>72</v>
      </c>
      <c r="BA610" s="471">
        <f>VLOOKUP(AW610,'Item Master Data'!$A:$G,7,FALSE)</f>
        <v>32</v>
      </c>
      <c r="BB610" s="471"/>
      <c r="BC610" s="471">
        <f t="shared" si="147"/>
        <v>0</v>
      </c>
    </row>
    <row r="611" spans="1:55">
      <c r="A611" s="472"/>
      <c r="B611" s="514"/>
      <c r="C611" s="514"/>
      <c r="D611" s="485" t="s">
        <v>2322</v>
      </c>
      <c r="E611" s="474"/>
      <c r="F611" s="474" t="s">
        <v>1147</v>
      </c>
      <c r="G611" s="474">
        <v>2022</v>
      </c>
      <c r="H611" s="474">
        <v>4</v>
      </c>
      <c r="I611" s="485">
        <v>128052</v>
      </c>
      <c r="J611" s="475">
        <v>44663</v>
      </c>
      <c r="K611" s="483" t="s">
        <v>2502</v>
      </c>
      <c r="L611" s="474" t="s">
        <v>1956</v>
      </c>
      <c r="M611" s="487">
        <v>44505</v>
      </c>
      <c r="N611" s="487">
        <v>44594</v>
      </c>
      <c r="O611" s="487"/>
      <c r="P611" s="475">
        <v>44657</v>
      </c>
      <c r="Q611" s="475">
        <v>44663</v>
      </c>
      <c r="R611" s="475">
        <v>44664</v>
      </c>
      <c r="S611" s="474" t="s">
        <v>2352</v>
      </c>
      <c r="T611" s="474">
        <v>60</v>
      </c>
      <c r="U611" s="474" t="s">
        <v>1760</v>
      </c>
      <c r="V611" s="474" t="s">
        <v>973</v>
      </c>
      <c r="W611" s="474">
        <v>400</v>
      </c>
      <c r="X611" s="476">
        <v>768</v>
      </c>
      <c r="Y611" s="477">
        <f t="shared" si="148"/>
        <v>307200</v>
      </c>
      <c r="Z611" s="478">
        <f t="shared" si="149"/>
        <v>0.55000000000000004</v>
      </c>
      <c r="AA611" s="479">
        <f t="shared" si="150"/>
        <v>168960</v>
      </c>
      <c r="AB611" s="480"/>
      <c r="AC611" s="481">
        <v>0</v>
      </c>
      <c r="AD611" s="490"/>
      <c r="AE611" s="482"/>
      <c r="AF611" s="493">
        <f t="shared" si="151"/>
        <v>168960</v>
      </c>
      <c r="AG611" s="474" t="s">
        <v>1071</v>
      </c>
      <c r="AH611" s="474">
        <v>0</v>
      </c>
      <c r="AI611" s="483">
        <v>60</v>
      </c>
      <c r="AJ611" s="474" t="s">
        <v>1958</v>
      </c>
      <c r="AK611" s="494" t="s">
        <v>50</v>
      </c>
      <c r="AL611" s="474" t="s">
        <v>1959</v>
      </c>
      <c r="AM611" s="474" t="s">
        <v>52</v>
      </c>
      <c r="AN611" s="474" t="s">
        <v>50</v>
      </c>
      <c r="AO611" s="474"/>
      <c r="AP611" s="486" t="s">
        <v>38</v>
      </c>
      <c r="AQ611" s="486" t="s">
        <v>37</v>
      </c>
      <c r="AR611" s="486" t="s">
        <v>2354</v>
      </c>
      <c r="AS611" s="495"/>
      <c r="AT611" s="495"/>
      <c r="AU611" s="478">
        <v>0.48</v>
      </c>
      <c r="AV611" s="471" t="str">
        <f t="shared" si="145"/>
        <v>30390156H</v>
      </c>
      <c r="AW611" s="471" cm="1">
        <f t="array" ref="AW611">SUM(MID(0&amp;AV611,LARGE(INDEX(ISNUMBER(--MID(AV611,ROW($1:$8),1))*ROW($1:$8),),ROW($1:$8))+1,1)*10^ROW($1:$8)/10)</f>
        <v>30390156</v>
      </c>
      <c r="AX611" s="471" t="str">
        <f>VLOOKUP($AW611,'Item Master Data'!$A:$F,3,FALSE)</f>
        <v>Q.PEAK DUO BLK ML G10+</v>
      </c>
      <c r="AY611" s="471">
        <f>VLOOKUP($AW611,'Item Master Data'!$A:$F,6,FALSE)</f>
        <v>400</v>
      </c>
      <c r="AZ611" s="471">
        <f t="shared" si="146"/>
        <v>24</v>
      </c>
      <c r="BA611" s="471">
        <f>VLOOKUP(AW611,'Item Master Data'!$A:$G,7,FALSE)</f>
        <v>32</v>
      </c>
      <c r="BB611" s="471"/>
      <c r="BC611" s="471">
        <f t="shared" si="147"/>
        <v>0</v>
      </c>
    </row>
    <row r="612" spans="1:55">
      <c r="A612" s="472"/>
      <c r="B612" s="514"/>
      <c r="C612" s="514"/>
      <c r="D612" s="485" t="s">
        <v>2322</v>
      </c>
      <c r="E612" s="474"/>
      <c r="F612" s="474" t="s">
        <v>1147</v>
      </c>
      <c r="G612" s="474">
        <v>2022</v>
      </c>
      <c r="H612" s="474">
        <v>4</v>
      </c>
      <c r="I612" s="485">
        <v>128187</v>
      </c>
      <c r="J612" s="475">
        <v>44677</v>
      </c>
      <c r="K612" s="483" t="s">
        <v>2503</v>
      </c>
      <c r="L612" s="474" t="s">
        <v>1956</v>
      </c>
      <c r="M612" s="487">
        <v>44505</v>
      </c>
      <c r="N612" s="487">
        <v>44594</v>
      </c>
      <c r="O612" s="487"/>
      <c r="P612" s="475">
        <v>44665</v>
      </c>
      <c r="Q612" s="475">
        <v>44677</v>
      </c>
      <c r="R612" s="475">
        <v>44678</v>
      </c>
      <c r="S612" s="474" t="s">
        <v>2352</v>
      </c>
      <c r="T612" s="474">
        <v>60</v>
      </c>
      <c r="U612" s="474" t="s">
        <v>1760</v>
      </c>
      <c r="V612" s="474" t="s">
        <v>973</v>
      </c>
      <c r="W612" s="474">
        <v>400</v>
      </c>
      <c r="X612" s="476">
        <v>1152</v>
      </c>
      <c r="Y612" s="477">
        <f t="shared" si="148"/>
        <v>460800</v>
      </c>
      <c r="Z612" s="478">
        <f t="shared" si="149"/>
        <v>0.55000000000000004</v>
      </c>
      <c r="AA612" s="479">
        <f t="shared" si="150"/>
        <v>253440.00000000003</v>
      </c>
      <c r="AB612" s="480"/>
      <c r="AC612" s="481">
        <v>0</v>
      </c>
      <c r="AD612" s="490"/>
      <c r="AE612" s="482"/>
      <c r="AF612" s="493">
        <f t="shared" si="151"/>
        <v>253440.00000000003</v>
      </c>
      <c r="AG612" s="474" t="s">
        <v>1071</v>
      </c>
      <c r="AH612" s="474">
        <v>0</v>
      </c>
      <c r="AI612" s="483">
        <v>60</v>
      </c>
      <c r="AJ612" s="474" t="s">
        <v>5244</v>
      </c>
      <c r="AK612" s="494" t="s">
        <v>50</v>
      </c>
      <c r="AL612" s="474">
        <v>95691</v>
      </c>
      <c r="AM612" s="474" t="s">
        <v>52</v>
      </c>
      <c r="AN612" s="474" t="s">
        <v>50</v>
      </c>
      <c r="AO612" s="474"/>
      <c r="AP612" s="486" t="s">
        <v>38</v>
      </c>
      <c r="AQ612" s="486"/>
      <c r="AR612" s="486" t="s">
        <v>2354</v>
      </c>
      <c r="AS612" s="495"/>
      <c r="AT612" s="495"/>
      <c r="AU612" s="478">
        <v>0.48</v>
      </c>
      <c r="AV612" s="471" t="str">
        <f t="shared" si="145"/>
        <v>30390156H</v>
      </c>
      <c r="AW612" s="471" cm="1">
        <f t="array" ref="AW612">SUM(MID(0&amp;AV612,LARGE(INDEX(ISNUMBER(--MID(AV612,ROW($1:$8),1))*ROW($1:$8),),ROW($1:$8))+1,1)*10^ROW($1:$8)/10)</f>
        <v>30390156</v>
      </c>
      <c r="AX612" s="471" t="str">
        <f>VLOOKUP($AW612,'Item Master Data'!$A:$F,3,FALSE)</f>
        <v>Q.PEAK DUO BLK ML G10+</v>
      </c>
      <c r="AY612" s="471">
        <f>VLOOKUP($AW612,'Item Master Data'!$A:$F,6,FALSE)</f>
        <v>400</v>
      </c>
      <c r="AZ612" s="471">
        <f t="shared" si="146"/>
        <v>36</v>
      </c>
      <c r="BA612" s="471">
        <f>VLOOKUP(AW612,'Item Master Data'!$A:$G,7,FALSE)</f>
        <v>32</v>
      </c>
      <c r="BB612" s="471"/>
      <c r="BC612" s="471">
        <f t="shared" si="147"/>
        <v>0</v>
      </c>
    </row>
    <row r="613" spans="1:55">
      <c r="A613" s="472"/>
      <c r="B613" s="514"/>
      <c r="C613" s="514"/>
      <c r="D613" s="485" t="s">
        <v>2322</v>
      </c>
      <c r="E613" s="474"/>
      <c r="F613" s="474" t="s">
        <v>1147</v>
      </c>
      <c r="G613" s="474">
        <v>2022</v>
      </c>
      <c r="H613" s="474">
        <v>4</v>
      </c>
      <c r="I613" s="485">
        <v>128159</v>
      </c>
      <c r="J613" s="475">
        <v>44676</v>
      </c>
      <c r="K613" s="483" t="s">
        <v>2504</v>
      </c>
      <c r="L613" s="474" t="s">
        <v>1956</v>
      </c>
      <c r="M613" s="487">
        <v>44505</v>
      </c>
      <c r="N613" s="487">
        <v>44622</v>
      </c>
      <c r="O613" s="487"/>
      <c r="P613" s="475">
        <v>44665</v>
      </c>
      <c r="Q613" s="475">
        <v>44676</v>
      </c>
      <c r="R613" s="475">
        <v>44677</v>
      </c>
      <c r="S613" s="474" t="s">
        <v>2352</v>
      </c>
      <c r="T613" s="474">
        <v>60</v>
      </c>
      <c r="U613" s="474" t="s">
        <v>1760</v>
      </c>
      <c r="V613" s="474" t="s">
        <v>973</v>
      </c>
      <c r="W613" s="474">
        <v>400</v>
      </c>
      <c r="X613" s="476">
        <v>1920</v>
      </c>
      <c r="Y613" s="477">
        <f t="shared" si="148"/>
        <v>768000</v>
      </c>
      <c r="Z613" s="478">
        <f t="shared" si="149"/>
        <v>0.55000000000000004</v>
      </c>
      <c r="AA613" s="479">
        <f t="shared" si="150"/>
        <v>422400.00000000006</v>
      </c>
      <c r="AB613" s="480"/>
      <c r="AC613" s="481">
        <v>0</v>
      </c>
      <c r="AD613" s="490"/>
      <c r="AE613" s="482"/>
      <c r="AF613" s="493">
        <f t="shared" si="151"/>
        <v>422400.00000000006</v>
      </c>
      <c r="AG613" s="474" t="s">
        <v>1071</v>
      </c>
      <c r="AH613" s="474">
        <v>0</v>
      </c>
      <c r="AI613" s="483">
        <v>60</v>
      </c>
      <c r="AJ613" s="474" t="s">
        <v>5244</v>
      </c>
      <c r="AK613" s="494" t="s">
        <v>50</v>
      </c>
      <c r="AL613" s="474">
        <v>95691</v>
      </c>
      <c r="AM613" s="474" t="s">
        <v>52</v>
      </c>
      <c r="AN613" s="474" t="s">
        <v>50</v>
      </c>
      <c r="AO613" s="474"/>
      <c r="AP613" s="486" t="s">
        <v>38</v>
      </c>
      <c r="AQ613" s="486"/>
      <c r="AR613" s="486" t="s">
        <v>2354</v>
      </c>
      <c r="AS613" s="495"/>
      <c r="AT613" s="495"/>
      <c r="AU613" s="478">
        <v>0.48</v>
      </c>
      <c r="AV613" s="471" t="str">
        <f t="shared" si="145"/>
        <v>30390156H</v>
      </c>
      <c r="AW613" s="471" cm="1">
        <f t="array" ref="AW613">SUM(MID(0&amp;AV613,LARGE(INDEX(ISNUMBER(--MID(AV613,ROW($1:$8),1))*ROW($1:$8),),ROW($1:$8))+1,1)*10^ROW($1:$8)/10)</f>
        <v>30390156</v>
      </c>
      <c r="AX613" s="471" t="str">
        <f>VLOOKUP($AW613,'Item Master Data'!$A:$F,3,FALSE)</f>
        <v>Q.PEAK DUO BLK ML G10+</v>
      </c>
      <c r="AY613" s="471">
        <f>VLOOKUP($AW613,'Item Master Data'!$A:$F,6,FALSE)</f>
        <v>400</v>
      </c>
      <c r="AZ613" s="471">
        <f t="shared" si="146"/>
        <v>60</v>
      </c>
      <c r="BA613" s="471">
        <f>VLOOKUP(AW613,'Item Master Data'!$A:$G,7,FALSE)</f>
        <v>32</v>
      </c>
      <c r="BB613" s="471"/>
      <c r="BC613" s="471">
        <f t="shared" si="147"/>
        <v>0</v>
      </c>
    </row>
    <row r="614" spans="1:55">
      <c r="A614" s="472"/>
      <c r="B614" s="514"/>
      <c r="C614" s="514"/>
      <c r="D614" s="485" t="s">
        <v>2322</v>
      </c>
      <c r="E614" s="474"/>
      <c r="F614" s="474" t="s">
        <v>1147</v>
      </c>
      <c r="G614" s="474">
        <v>2022</v>
      </c>
      <c r="H614" s="474">
        <v>5</v>
      </c>
      <c r="I614" s="485"/>
      <c r="J614" s="475"/>
      <c r="K614" s="483" t="s">
        <v>2605</v>
      </c>
      <c r="L614" s="474" t="s">
        <v>1956</v>
      </c>
      <c r="M614" s="487">
        <v>44505</v>
      </c>
      <c r="N614" s="487">
        <v>44655</v>
      </c>
      <c r="O614" s="487"/>
      <c r="P614" s="502">
        <v>44680</v>
      </c>
      <c r="Q614" s="475"/>
      <c r="R614" s="475"/>
      <c r="S614" s="474" t="s">
        <v>2352</v>
      </c>
      <c r="T614" s="474">
        <v>60</v>
      </c>
      <c r="U614" s="474" t="s">
        <v>1760</v>
      </c>
      <c r="V614" s="474" t="s">
        <v>973</v>
      </c>
      <c r="W614" s="474">
        <v>400</v>
      </c>
      <c r="X614" s="476">
        <v>768</v>
      </c>
      <c r="Y614" s="477">
        <f t="shared" si="148"/>
        <v>307200</v>
      </c>
      <c r="Z614" s="478">
        <f t="shared" si="149"/>
        <v>0.55000000000000004</v>
      </c>
      <c r="AA614" s="479">
        <f t="shared" si="150"/>
        <v>168960</v>
      </c>
      <c r="AB614" s="480"/>
      <c r="AC614" s="481">
        <v>0</v>
      </c>
      <c r="AD614" s="490"/>
      <c r="AE614" s="482"/>
      <c r="AF614" s="493">
        <f t="shared" si="151"/>
        <v>168960</v>
      </c>
      <c r="AG614" s="474" t="s">
        <v>1071</v>
      </c>
      <c r="AH614" s="474">
        <v>0</v>
      </c>
      <c r="AI614" s="483">
        <v>60</v>
      </c>
      <c r="AJ614" s="474" t="s">
        <v>1958</v>
      </c>
      <c r="AK614" s="494" t="s">
        <v>50</v>
      </c>
      <c r="AL614" s="474" t="s">
        <v>1959</v>
      </c>
      <c r="AM614" s="474" t="s">
        <v>52</v>
      </c>
      <c r="AN614" s="474" t="s">
        <v>50</v>
      </c>
      <c r="AO614" s="474"/>
      <c r="AP614" s="486" t="s">
        <v>38</v>
      </c>
      <c r="AQ614" s="486"/>
      <c r="AR614" s="486" t="s">
        <v>2354</v>
      </c>
      <c r="AS614" s="495"/>
      <c r="AT614" s="495"/>
      <c r="AU614" s="478">
        <v>0.48</v>
      </c>
      <c r="AV614" s="471" t="str">
        <f t="shared" si="145"/>
        <v>30390156H</v>
      </c>
      <c r="AW614" s="471" cm="1">
        <f t="array" ref="AW614">SUM(MID(0&amp;AV614,LARGE(INDEX(ISNUMBER(--MID(AV614,ROW($1:$8),1))*ROW($1:$8),),ROW($1:$8))+1,1)*10^ROW($1:$8)/10)</f>
        <v>30390156</v>
      </c>
      <c r="AX614" s="471" t="str">
        <f>VLOOKUP($AW614,'Item Master Data'!$A:$F,3,FALSE)</f>
        <v>Q.PEAK DUO BLK ML G10+</v>
      </c>
      <c r="AY614" s="471">
        <f>VLOOKUP($AW614,'Item Master Data'!$A:$F,6,FALSE)</f>
        <v>400</v>
      </c>
      <c r="AZ614" s="471">
        <f t="shared" si="146"/>
        <v>24</v>
      </c>
      <c r="BA614" s="471">
        <f>VLOOKUP(AW614,'Item Master Data'!$A:$G,7,FALSE)</f>
        <v>32</v>
      </c>
      <c r="BB614" s="471"/>
      <c r="BC614" s="471">
        <f t="shared" si="147"/>
        <v>0</v>
      </c>
    </row>
    <row r="615" spans="1:55">
      <c r="A615" s="472"/>
      <c r="B615" s="514"/>
      <c r="C615" s="514"/>
      <c r="D615" s="485" t="s">
        <v>2322</v>
      </c>
      <c r="E615" s="474"/>
      <c r="F615" s="474" t="s">
        <v>1147</v>
      </c>
      <c r="G615" s="474">
        <v>2022</v>
      </c>
      <c r="H615" s="474">
        <v>7</v>
      </c>
      <c r="I615" s="485"/>
      <c r="J615" s="475"/>
      <c r="K615" s="483" t="s">
        <v>2638</v>
      </c>
      <c r="L615" s="474" t="s">
        <v>1956</v>
      </c>
      <c r="M615" s="487">
        <v>44505</v>
      </c>
      <c r="N615" s="487">
        <v>44655</v>
      </c>
      <c r="O615" s="487"/>
      <c r="P615" s="475"/>
      <c r="Q615" s="475"/>
      <c r="R615" s="475"/>
      <c r="S615" s="474" t="s">
        <v>2352</v>
      </c>
      <c r="T615" s="474">
        <v>60</v>
      </c>
      <c r="U615" s="474">
        <v>49401140</v>
      </c>
      <c r="V615" s="474" t="s">
        <v>973</v>
      </c>
      <c r="W615" s="474">
        <v>400</v>
      </c>
      <c r="X615" s="476">
        <v>768</v>
      </c>
      <c r="Y615" s="477">
        <f t="shared" si="148"/>
        <v>307200</v>
      </c>
      <c r="Z615" s="478">
        <f t="shared" si="149"/>
        <v>0.55000000000000004</v>
      </c>
      <c r="AA615" s="479">
        <f t="shared" si="150"/>
        <v>168960</v>
      </c>
      <c r="AB615" s="480"/>
      <c r="AC615" s="481">
        <v>0</v>
      </c>
      <c r="AD615" s="490"/>
      <c r="AE615" s="482"/>
      <c r="AF615" s="493">
        <f t="shared" si="151"/>
        <v>168960</v>
      </c>
      <c r="AG615" s="474" t="s">
        <v>1071</v>
      </c>
      <c r="AH615" s="474">
        <v>0</v>
      </c>
      <c r="AI615" s="483">
        <v>60</v>
      </c>
      <c r="AJ615" s="474" t="s">
        <v>1958</v>
      </c>
      <c r="AK615" s="494" t="s">
        <v>50</v>
      </c>
      <c r="AL615" s="474" t="s">
        <v>1959</v>
      </c>
      <c r="AM615" s="474" t="s">
        <v>52</v>
      </c>
      <c r="AN615" s="474" t="s">
        <v>1074</v>
      </c>
      <c r="AO615" s="474"/>
      <c r="AP615" s="486"/>
      <c r="AQ615" s="486"/>
      <c r="AR615" s="486" t="s">
        <v>2354</v>
      </c>
      <c r="AS615" s="495"/>
      <c r="AT615" s="495"/>
      <c r="AU615" s="478">
        <v>0.48</v>
      </c>
      <c r="AV615" s="471">
        <f t="shared" si="145"/>
        <v>49401140</v>
      </c>
      <c r="AW615" s="471" cm="1">
        <f t="array" ref="AW615">SUM(MID(0&amp;AV615,LARGE(INDEX(ISNUMBER(--MID(AV615,ROW($1:$8),1))*ROW($1:$8),),ROW($1:$8))+1,1)*10^ROW($1:$8)/10)</f>
        <v>49401140</v>
      </c>
      <c r="AX615" s="471" t="str">
        <f>VLOOKUP($AW615,'Item Master Data'!$A:$F,3,FALSE)</f>
        <v>Q.PEAK DUO BLK ML G10.a+</v>
      </c>
      <c r="AY615" s="471">
        <f>VLOOKUP($AW615,'Item Master Data'!$A:$F,6,FALSE)</f>
        <v>400</v>
      </c>
      <c r="AZ615" s="471">
        <f t="shared" si="146"/>
        <v>24</v>
      </c>
      <c r="BA615" s="471">
        <f>VLOOKUP(AW615,'Item Master Data'!$A:$G,7,FALSE)</f>
        <v>32</v>
      </c>
      <c r="BB615" s="471"/>
      <c r="BC615" s="471">
        <f t="shared" si="147"/>
        <v>0</v>
      </c>
    </row>
    <row r="616" spans="1:55">
      <c r="A616" s="472"/>
      <c r="B616" s="514"/>
      <c r="C616" s="514"/>
      <c r="D616" s="485" t="s">
        <v>2322</v>
      </c>
      <c r="E616" s="474"/>
      <c r="F616" s="474" t="s">
        <v>1147</v>
      </c>
      <c r="G616" s="474">
        <v>2022</v>
      </c>
      <c r="H616" s="474">
        <v>7</v>
      </c>
      <c r="I616" s="485"/>
      <c r="J616" s="475"/>
      <c r="K616" s="483" t="s">
        <v>2685</v>
      </c>
      <c r="L616" s="474" t="s">
        <v>1956</v>
      </c>
      <c r="M616" s="487">
        <v>44505</v>
      </c>
      <c r="N616" s="487">
        <v>44684</v>
      </c>
      <c r="O616" s="487"/>
      <c r="P616" s="475"/>
      <c r="Q616" s="475"/>
      <c r="R616" s="475"/>
      <c r="S616" s="474" t="s">
        <v>2352</v>
      </c>
      <c r="T616" s="474">
        <v>60</v>
      </c>
      <c r="U616" s="474" t="s">
        <v>1281</v>
      </c>
      <c r="V616" s="474" t="s">
        <v>973</v>
      </c>
      <c r="W616" s="474">
        <v>400</v>
      </c>
      <c r="X616" s="476">
        <v>1920</v>
      </c>
      <c r="Y616" s="477">
        <f t="shared" si="148"/>
        <v>768000</v>
      </c>
      <c r="Z616" s="478">
        <f t="shared" si="149"/>
        <v>0.55000000000000004</v>
      </c>
      <c r="AA616" s="479">
        <f t="shared" si="150"/>
        <v>422400.00000000006</v>
      </c>
      <c r="AB616" s="480"/>
      <c r="AC616" s="481">
        <v>0</v>
      </c>
      <c r="AD616" s="490"/>
      <c r="AE616" s="482"/>
      <c r="AF616" s="493">
        <f t="shared" si="151"/>
        <v>422400.00000000006</v>
      </c>
      <c r="AG616" s="474" t="s">
        <v>1071</v>
      </c>
      <c r="AH616" s="474">
        <v>0</v>
      </c>
      <c r="AI616" s="483">
        <v>60</v>
      </c>
      <c r="AJ616" s="474" t="s">
        <v>1958</v>
      </c>
      <c r="AK616" s="494" t="s">
        <v>50</v>
      </c>
      <c r="AL616" s="474" t="s">
        <v>1959</v>
      </c>
      <c r="AM616" s="474" t="s">
        <v>52</v>
      </c>
      <c r="AN616" s="474" t="s">
        <v>1074</v>
      </c>
      <c r="AO616" s="474"/>
      <c r="AP616" s="486"/>
      <c r="AQ616" s="486"/>
      <c r="AR616" s="486" t="s">
        <v>2354</v>
      </c>
      <c r="AS616" s="495"/>
      <c r="AT616" s="495"/>
      <c r="AU616" s="478">
        <v>0.48</v>
      </c>
      <c r="AV616" s="471" t="str">
        <f t="shared" si="145"/>
        <v>30390456H</v>
      </c>
      <c r="AW616" s="471" cm="1">
        <f t="array" ref="AW616">SUM(MID(0&amp;AV616,LARGE(INDEX(ISNUMBER(--MID(AV616,ROW($1:$8),1))*ROW($1:$8),),ROW($1:$8))+1,1)*10^ROW($1:$8)/10)</f>
        <v>30390456</v>
      </c>
      <c r="AX616" s="471" t="str">
        <f>VLOOKUP($AW616,'Item Master Data'!$A:$F,3,FALSE)</f>
        <v>Q.PEAK DUO BLK ML G10+</v>
      </c>
      <c r="AY616" s="471">
        <f>VLOOKUP($AW616,'Item Master Data'!$A:$F,6,FALSE)</f>
        <v>400</v>
      </c>
      <c r="AZ616" s="471">
        <f t="shared" si="146"/>
        <v>60</v>
      </c>
      <c r="BA616" s="471">
        <f>VLOOKUP(AW616,'Item Master Data'!$A:$G,7,FALSE)</f>
        <v>32</v>
      </c>
      <c r="BB616" s="471"/>
      <c r="BC616" s="471">
        <f t="shared" si="147"/>
        <v>0</v>
      </c>
    </row>
    <row r="617" spans="1:55">
      <c r="A617" s="472"/>
      <c r="B617" s="514"/>
      <c r="C617" s="514"/>
      <c r="D617" s="485" t="s">
        <v>2322</v>
      </c>
      <c r="E617" s="474"/>
      <c r="F617" s="474" t="s">
        <v>1147</v>
      </c>
      <c r="G617" s="474">
        <v>2022</v>
      </c>
      <c r="H617" s="474">
        <v>8</v>
      </c>
      <c r="I617" s="485"/>
      <c r="J617" s="475"/>
      <c r="K617" s="483" t="s">
        <v>2686</v>
      </c>
      <c r="L617" s="474" t="s">
        <v>1956</v>
      </c>
      <c r="M617" s="487">
        <v>44505</v>
      </c>
      <c r="N617" s="487">
        <v>44718</v>
      </c>
      <c r="O617" s="487"/>
      <c r="P617" s="475"/>
      <c r="Q617" s="475"/>
      <c r="R617" s="475"/>
      <c r="S617" s="474" t="s">
        <v>2352</v>
      </c>
      <c r="T617" s="474">
        <v>60</v>
      </c>
      <c r="U617" s="474" t="s">
        <v>1281</v>
      </c>
      <c r="V617" s="474" t="s">
        <v>973</v>
      </c>
      <c r="W617" s="474">
        <v>400</v>
      </c>
      <c r="X617" s="476">
        <v>768</v>
      </c>
      <c r="Y617" s="477">
        <f t="shared" si="148"/>
        <v>307200</v>
      </c>
      <c r="Z617" s="478">
        <f t="shared" si="149"/>
        <v>0.55000000000000004</v>
      </c>
      <c r="AA617" s="479">
        <f t="shared" si="150"/>
        <v>168960</v>
      </c>
      <c r="AB617" s="480"/>
      <c r="AC617" s="481">
        <v>0</v>
      </c>
      <c r="AD617" s="490"/>
      <c r="AE617" s="482"/>
      <c r="AF617" s="493">
        <f t="shared" si="151"/>
        <v>168960</v>
      </c>
      <c r="AG617" s="474" t="s">
        <v>1071</v>
      </c>
      <c r="AH617" s="474">
        <v>0</v>
      </c>
      <c r="AI617" s="483">
        <v>60</v>
      </c>
      <c r="AJ617" s="474" t="s">
        <v>1958</v>
      </c>
      <c r="AK617" s="494" t="s">
        <v>50</v>
      </c>
      <c r="AL617" s="474" t="s">
        <v>1959</v>
      </c>
      <c r="AM617" s="474" t="s">
        <v>52</v>
      </c>
      <c r="AN617" s="474" t="s">
        <v>1074</v>
      </c>
      <c r="AO617" s="474"/>
      <c r="AP617" s="486"/>
      <c r="AQ617" s="486"/>
      <c r="AR617" s="486" t="s">
        <v>2354</v>
      </c>
      <c r="AS617" s="495"/>
      <c r="AT617" s="495"/>
      <c r="AU617" s="478">
        <v>0.48</v>
      </c>
      <c r="AV617" s="471" t="str">
        <f t="shared" si="145"/>
        <v>30390456H</v>
      </c>
      <c r="AW617" s="471" cm="1">
        <f t="array" ref="AW617">SUM(MID(0&amp;AV617,LARGE(INDEX(ISNUMBER(--MID(AV617,ROW($1:$8),1))*ROW($1:$8),),ROW($1:$8))+1,1)*10^ROW($1:$8)/10)</f>
        <v>30390456</v>
      </c>
      <c r="AX617" s="471" t="str">
        <f>VLOOKUP($AW617,'Item Master Data'!$A:$F,3,FALSE)</f>
        <v>Q.PEAK DUO BLK ML G10+</v>
      </c>
      <c r="AY617" s="471">
        <f>VLOOKUP($AW617,'Item Master Data'!$A:$F,6,FALSE)</f>
        <v>400</v>
      </c>
      <c r="AZ617" s="471">
        <f t="shared" si="146"/>
        <v>24</v>
      </c>
      <c r="BA617" s="471">
        <f>VLOOKUP(AW617,'Item Master Data'!$A:$G,7,FALSE)</f>
        <v>32</v>
      </c>
      <c r="BB617" s="471"/>
      <c r="BC617" s="471">
        <f t="shared" si="147"/>
        <v>0</v>
      </c>
    </row>
    <row r="618" spans="1:55">
      <c r="A618" s="472"/>
      <c r="B618" s="514"/>
      <c r="C618" s="514"/>
      <c r="D618" s="485" t="s">
        <v>2322</v>
      </c>
      <c r="E618" s="474"/>
      <c r="F618" s="474" t="s">
        <v>1147</v>
      </c>
      <c r="G618" s="474">
        <v>2022</v>
      </c>
      <c r="H618" s="474">
        <v>9</v>
      </c>
      <c r="I618" s="485"/>
      <c r="J618" s="475"/>
      <c r="K618" s="483" t="s">
        <v>2688</v>
      </c>
      <c r="L618" s="474" t="s">
        <v>1956</v>
      </c>
      <c r="M618" s="487">
        <v>44505</v>
      </c>
      <c r="N618" s="487">
        <v>44718</v>
      </c>
      <c r="O618" s="487"/>
      <c r="P618" s="475"/>
      <c r="Q618" s="475"/>
      <c r="R618" s="475"/>
      <c r="S618" s="474" t="s">
        <v>2352</v>
      </c>
      <c r="T618" s="474">
        <v>60</v>
      </c>
      <c r="U618" s="474" t="s">
        <v>1281</v>
      </c>
      <c r="V618" s="474" t="s">
        <v>973</v>
      </c>
      <c r="W618" s="474">
        <v>400</v>
      </c>
      <c r="X618" s="476">
        <v>768</v>
      </c>
      <c r="Y618" s="477">
        <f t="shared" si="148"/>
        <v>307200</v>
      </c>
      <c r="Z618" s="478">
        <f t="shared" si="149"/>
        <v>0.55000000000000004</v>
      </c>
      <c r="AA618" s="479">
        <f t="shared" si="150"/>
        <v>168960</v>
      </c>
      <c r="AB618" s="480"/>
      <c r="AC618" s="481">
        <v>0</v>
      </c>
      <c r="AD618" s="490"/>
      <c r="AE618" s="482"/>
      <c r="AF618" s="493">
        <f t="shared" si="151"/>
        <v>168960</v>
      </c>
      <c r="AG618" s="474" t="s">
        <v>1071</v>
      </c>
      <c r="AH618" s="474">
        <v>0</v>
      </c>
      <c r="AI618" s="483">
        <v>60</v>
      </c>
      <c r="AJ618" s="474" t="s">
        <v>1958</v>
      </c>
      <c r="AK618" s="494" t="s">
        <v>50</v>
      </c>
      <c r="AL618" s="474" t="s">
        <v>1959</v>
      </c>
      <c r="AM618" s="474" t="s">
        <v>52</v>
      </c>
      <c r="AN618" s="474" t="s">
        <v>1074</v>
      </c>
      <c r="AO618" s="474"/>
      <c r="AP618" s="486"/>
      <c r="AQ618" s="486"/>
      <c r="AR618" s="486" t="s">
        <v>2354</v>
      </c>
      <c r="AS618" s="495"/>
      <c r="AT618" s="495"/>
      <c r="AU618" s="478">
        <v>0.48</v>
      </c>
      <c r="AV618" s="471" t="str">
        <f t="shared" si="145"/>
        <v>30390456H</v>
      </c>
      <c r="AW618" s="471" cm="1">
        <f t="array" ref="AW618">SUM(MID(0&amp;AV618,LARGE(INDEX(ISNUMBER(--MID(AV618,ROW($1:$8),1))*ROW($1:$8),),ROW($1:$8))+1,1)*10^ROW($1:$8)/10)</f>
        <v>30390456</v>
      </c>
      <c r="AX618" s="471" t="str">
        <f>VLOOKUP($AW618,'Item Master Data'!$A:$F,3,FALSE)</f>
        <v>Q.PEAK DUO BLK ML G10+</v>
      </c>
      <c r="AY618" s="471">
        <f>VLOOKUP($AW618,'Item Master Data'!$A:$F,6,FALSE)</f>
        <v>400</v>
      </c>
      <c r="AZ618" s="471">
        <f t="shared" si="146"/>
        <v>24</v>
      </c>
      <c r="BA618" s="471">
        <f>VLOOKUP(AW618,'Item Master Data'!$A:$G,7,FALSE)</f>
        <v>32</v>
      </c>
      <c r="BB618" s="471"/>
      <c r="BC618" s="471">
        <f t="shared" si="147"/>
        <v>0</v>
      </c>
    </row>
    <row r="619" spans="1:55">
      <c r="A619" s="472"/>
      <c r="B619" s="514"/>
      <c r="C619" s="514"/>
      <c r="D619" s="485" t="s">
        <v>2322</v>
      </c>
      <c r="E619" s="474" t="s">
        <v>2689</v>
      </c>
      <c r="F619" s="474"/>
      <c r="G619" s="474">
        <v>2022</v>
      </c>
      <c r="H619" s="474">
        <v>9</v>
      </c>
      <c r="I619" s="485"/>
      <c r="J619" s="475"/>
      <c r="K619" s="483" t="s">
        <v>2713</v>
      </c>
      <c r="L619" s="474" t="s">
        <v>1956</v>
      </c>
      <c r="M619" s="487">
        <v>44642</v>
      </c>
      <c r="N619" s="487">
        <v>44746</v>
      </c>
      <c r="O619" s="487"/>
      <c r="P619" s="475"/>
      <c r="Q619" s="475"/>
      <c r="R619" s="475"/>
      <c r="S619" s="474" t="s">
        <v>1563</v>
      </c>
      <c r="T619" s="474">
        <v>60</v>
      </c>
      <c r="U619" s="474" t="s">
        <v>1281</v>
      </c>
      <c r="V619" s="474" t="s">
        <v>973</v>
      </c>
      <c r="W619" s="474">
        <v>400</v>
      </c>
      <c r="X619" s="476">
        <v>2496</v>
      </c>
      <c r="Y619" s="477">
        <f t="shared" si="148"/>
        <v>998400</v>
      </c>
      <c r="Z619" s="478">
        <f t="shared" si="149"/>
        <v>0.55000000000000004</v>
      </c>
      <c r="AA619" s="479">
        <f t="shared" si="150"/>
        <v>549120</v>
      </c>
      <c r="AB619" s="480"/>
      <c r="AC619" s="481">
        <f t="shared" ref="AC619:AC626" si="152">AB619*Y619</f>
        <v>0</v>
      </c>
      <c r="AD619" s="490"/>
      <c r="AE619" s="482"/>
      <c r="AF619" s="493">
        <f t="shared" si="151"/>
        <v>549120</v>
      </c>
      <c r="AG619" s="474" t="s">
        <v>1071</v>
      </c>
      <c r="AH619" s="474"/>
      <c r="AI619" s="483">
        <v>60</v>
      </c>
      <c r="AJ619" s="474" t="s">
        <v>1790</v>
      </c>
      <c r="AK619" s="494" t="s">
        <v>50</v>
      </c>
      <c r="AL619" s="474">
        <v>95834</v>
      </c>
      <c r="AM619" s="474" t="s">
        <v>52</v>
      </c>
      <c r="AN619" s="474" t="s">
        <v>1074</v>
      </c>
      <c r="AO619" s="474"/>
      <c r="AP619" s="486"/>
      <c r="AQ619" s="486"/>
      <c r="AR619" s="486" t="s">
        <v>2367</v>
      </c>
      <c r="AS619" s="495"/>
      <c r="AT619" s="495"/>
      <c r="AU619" s="478"/>
      <c r="AV619" s="471" t="str">
        <f t="shared" si="145"/>
        <v>30390456H</v>
      </c>
      <c r="AW619" s="471" cm="1">
        <f t="array" ref="AW619">SUM(MID(0&amp;AV619,LARGE(INDEX(ISNUMBER(--MID(AV619,ROW($1:$8),1))*ROW($1:$8),),ROW($1:$8))+1,1)*10^ROW($1:$8)/10)</f>
        <v>30390456</v>
      </c>
      <c r="AX619" s="471" t="str">
        <f>VLOOKUP($AW619,'Item Master Data'!$A:$F,3,FALSE)</f>
        <v>Q.PEAK DUO BLK ML G10+</v>
      </c>
      <c r="AY619" s="471">
        <f>VLOOKUP($AW619,'Item Master Data'!$A:$F,6,FALSE)</f>
        <v>400</v>
      </c>
      <c r="AZ619" s="471">
        <f t="shared" si="146"/>
        <v>78</v>
      </c>
      <c r="BA619" s="471">
        <f>VLOOKUP(AW619,'Item Master Data'!$A:$G,7,FALSE)</f>
        <v>32</v>
      </c>
      <c r="BB619" s="471"/>
      <c r="BC619" s="471">
        <f t="shared" si="147"/>
        <v>0</v>
      </c>
    </row>
    <row r="620" spans="1:55">
      <c r="A620" s="472"/>
      <c r="B620" s="514"/>
      <c r="C620" s="514"/>
      <c r="D620" s="485" t="s">
        <v>2322</v>
      </c>
      <c r="E620" s="474" t="s">
        <v>2689</v>
      </c>
      <c r="F620" s="474"/>
      <c r="G620" s="474">
        <v>2022</v>
      </c>
      <c r="H620" s="474">
        <v>9</v>
      </c>
      <c r="I620" s="485"/>
      <c r="J620" s="475"/>
      <c r="K620" s="483" t="s">
        <v>2714</v>
      </c>
      <c r="L620" s="474" t="s">
        <v>1956</v>
      </c>
      <c r="M620" s="487">
        <v>44642</v>
      </c>
      <c r="N620" s="487">
        <v>44746</v>
      </c>
      <c r="O620" s="487"/>
      <c r="P620" s="475"/>
      <c r="Q620" s="475"/>
      <c r="R620" s="475"/>
      <c r="S620" s="474" t="s">
        <v>1563</v>
      </c>
      <c r="T620" s="474">
        <v>60</v>
      </c>
      <c r="U620" s="474" t="s">
        <v>1281</v>
      </c>
      <c r="V620" s="474" t="s">
        <v>973</v>
      </c>
      <c r="W620" s="474">
        <v>400</v>
      </c>
      <c r="X620" s="476">
        <v>1344</v>
      </c>
      <c r="Y620" s="477">
        <f t="shared" si="148"/>
        <v>537600</v>
      </c>
      <c r="Z620" s="478">
        <f t="shared" si="149"/>
        <v>0.55000000000000004</v>
      </c>
      <c r="AA620" s="479">
        <f t="shared" si="150"/>
        <v>295680</v>
      </c>
      <c r="AB620" s="480"/>
      <c r="AC620" s="481">
        <f t="shared" si="152"/>
        <v>0</v>
      </c>
      <c r="AD620" s="490"/>
      <c r="AE620" s="482"/>
      <c r="AF620" s="493">
        <f t="shared" si="151"/>
        <v>295680</v>
      </c>
      <c r="AG620" s="474" t="s">
        <v>1071</v>
      </c>
      <c r="AH620" s="474"/>
      <c r="AI620" s="483">
        <v>60</v>
      </c>
      <c r="AJ620" s="474" t="s">
        <v>1790</v>
      </c>
      <c r="AK620" s="494" t="s">
        <v>50</v>
      </c>
      <c r="AL620" s="474">
        <v>95834</v>
      </c>
      <c r="AM620" s="474" t="s">
        <v>52</v>
      </c>
      <c r="AN620" s="474" t="s">
        <v>1074</v>
      </c>
      <c r="AO620" s="474"/>
      <c r="AP620" s="486"/>
      <c r="AQ620" s="486"/>
      <c r="AR620" s="486" t="s">
        <v>2367</v>
      </c>
      <c r="AS620" s="495"/>
      <c r="AT620" s="495"/>
      <c r="AU620" s="478"/>
      <c r="AV620" s="471" t="str">
        <f t="shared" si="145"/>
        <v>30390456H</v>
      </c>
      <c r="AW620" s="471" cm="1">
        <f t="array" ref="AW620">SUM(MID(0&amp;AV620,LARGE(INDEX(ISNUMBER(--MID(AV620,ROW($1:$8),1))*ROW($1:$8),),ROW($1:$8))+1,1)*10^ROW($1:$8)/10)</f>
        <v>30390456</v>
      </c>
      <c r="AX620" s="471" t="str">
        <f>VLOOKUP($AW620,'Item Master Data'!$A:$F,3,FALSE)</f>
        <v>Q.PEAK DUO BLK ML G10+</v>
      </c>
      <c r="AY620" s="471">
        <f>VLOOKUP($AW620,'Item Master Data'!$A:$F,6,FALSE)</f>
        <v>400</v>
      </c>
      <c r="AZ620" s="471">
        <f t="shared" si="146"/>
        <v>42</v>
      </c>
      <c r="BA620" s="471">
        <f>VLOOKUP(AW620,'Item Master Data'!$A:$G,7,FALSE)</f>
        <v>32</v>
      </c>
      <c r="BB620" s="471"/>
      <c r="BC620" s="471">
        <f t="shared" si="147"/>
        <v>0</v>
      </c>
    </row>
    <row r="621" spans="1:55">
      <c r="A621" s="472"/>
      <c r="B621" s="514"/>
      <c r="C621" s="514"/>
      <c r="D621" s="485" t="s">
        <v>2322</v>
      </c>
      <c r="E621" s="474" t="s">
        <v>2689</v>
      </c>
      <c r="F621" s="474"/>
      <c r="G621" s="474">
        <v>2022</v>
      </c>
      <c r="H621" s="474">
        <v>11</v>
      </c>
      <c r="I621" s="485"/>
      <c r="J621" s="475"/>
      <c r="K621" s="483" t="s">
        <v>2746</v>
      </c>
      <c r="L621" s="474" t="s">
        <v>1956</v>
      </c>
      <c r="M621" s="487">
        <v>44642</v>
      </c>
      <c r="N621" s="487">
        <v>44776</v>
      </c>
      <c r="O621" s="487"/>
      <c r="P621" s="475"/>
      <c r="Q621" s="475"/>
      <c r="R621" s="475"/>
      <c r="S621" s="474" t="s">
        <v>1563</v>
      </c>
      <c r="T621" s="474">
        <v>60</v>
      </c>
      <c r="U621" s="474" t="s">
        <v>1281</v>
      </c>
      <c r="V621" s="474" t="s">
        <v>973</v>
      </c>
      <c r="W621" s="474">
        <v>400</v>
      </c>
      <c r="X621" s="476">
        <v>4680</v>
      </c>
      <c r="Y621" s="477">
        <f t="shared" si="148"/>
        <v>1872000</v>
      </c>
      <c r="Z621" s="478">
        <f t="shared" si="149"/>
        <v>0.55000000000000004</v>
      </c>
      <c r="AA621" s="479">
        <f t="shared" si="150"/>
        <v>1029600.0000000001</v>
      </c>
      <c r="AB621" s="480"/>
      <c r="AC621" s="481">
        <f t="shared" si="152"/>
        <v>0</v>
      </c>
      <c r="AD621" s="490"/>
      <c r="AE621" s="482"/>
      <c r="AF621" s="493">
        <f t="shared" si="151"/>
        <v>1029600.0000000001</v>
      </c>
      <c r="AG621" s="474" t="s">
        <v>1071</v>
      </c>
      <c r="AH621" s="474"/>
      <c r="AI621" s="483">
        <v>60</v>
      </c>
      <c r="AJ621" s="474" t="s">
        <v>1790</v>
      </c>
      <c r="AK621" s="494" t="s">
        <v>50</v>
      </c>
      <c r="AL621" s="474">
        <v>95834</v>
      </c>
      <c r="AM621" s="474" t="s">
        <v>52</v>
      </c>
      <c r="AN621" s="474" t="s">
        <v>1074</v>
      </c>
      <c r="AO621" s="474"/>
      <c r="AP621" s="486"/>
      <c r="AQ621" s="486"/>
      <c r="AR621" s="486" t="s">
        <v>2367</v>
      </c>
      <c r="AS621" s="495"/>
      <c r="AT621" s="495"/>
      <c r="AU621" s="478"/>
      <c r="AV621" s="471" t="str">
        <f t="shared" si="145"/>
        <v>30390456H</v>
      </c>
      <c r="AW621" s="471" cm="1">
        <f t="array" ref="AW621">SUM(MID(0&amp;AV621,LARGE(INDEX(ISNUMBER(--MID(AV621,ROW($1:$8),1))*ROW($1:$8),),ROW($1:$8))+1,1)*10^ROW($1:$8)/10)</f>
        <v>30390456</v>
      </c>
      <c r="AX621" s="471" t="str">
        <f>VLOOKUP($AW621,'Item Master Data'!$A:$F,3,FALSE)</f>
        <v>Q.PEAK DUO BLK ML G10+</v>
      </c>
      <c r="AY621" s="471">
        <f>VLOOKUP($AW621,'Item Master Data'!$A:$F,6,FALSE)</f>
        <v>400</v>
      </c>
      <c r="AZ621" s="471">
        <f t="shared" si="146"/>
        <v>146.25</v>
      </c>
      <c r="BA621" s="471">
        <f>VLOOKUP(AW621,'Item Master Data'!$A:$G,7,FALSE)</f>
        <v>32</v>
      </c>
      <c r="BB621" s="471"/>
      <c r="BC621" s="471">
        <f t="shared" si="147"/>
        <v>0</v>
      </c>
    </row>
    <row r="622" spans="1:55">
      <c r="A622" s="472"/>
      <c r="B622" s="514"/>
      <c r="C622" s="514"/>
      <c r="D622" s="485" t="s">
        <v>2322</v>
      </c>
      <c r="E622" s="474" t="s">
        <v>2689</v>
      </c>
      <c r="F622" s="474"/>
      <c r="G622" s="474">
        <v>2022</v>
      </c>
      <c r="H622" s="474">
        <v>11</v>
      </c>
      <c r="I622" s="485"/>
      <c r="J622" s="475"/>
      <c r="K622" s="483" t="s">
        <v>2778</v>
      </c>
      <c r="L622" s="474" t="s">
        <v>1956</v>
      </c>
      <c r="M622" s="487">
        <v>44642</v>
      </c>
      <c r="N622" s="487">
        <v>44809</v>
      </c>
      <c r="O622" s="487"/>
      <c r="P622" s="475"/>
      <c r="Q622" s="475"/>
      <c r="R622" s="475"/>
      <c r="S622" s="474" t="s">
        <v>1563</v>
      </c>
      <c r="T622" s="474">
        <v>60</v>
      </c>
      <c r="U622" s="474">
        <v>49403140</v>
      </c>
      <c r="V622" s="474" t="s">
        <v>973</v>
      </c>
      <c r="W622" s="474">
        <v>400</v>
      </c>
      <c r="X622" s="476">
        <v>1536</v>
      </c>
      <c r="Y622" s="477">
        <f t="shared" si="148"/>
        <v>614400</v>
      </c>
      <c r="Z622" s="478">
        <f t="shared" si="149"/>
        <v>0.55000000000000004</v>
      </c>
      <c r="AA622" s="479">
        <f t="shared" si="150"/>
        <v>337920</v>
      </c>
      <c r="AB622" s="480"/>
      <c r="AC622" s="481">
        <f t="shared" si="152"/>
        <v>0</v>
      </c>
      <c r="AD622" s="490"/>
      <c r="AE622" s="482"/>
      <c r="AF622" s="493">
        <f t="shared" si="151"/>
        <v>337920</v>
      </c>
      <c r="AG622" s="474" t="s">
        <v>1071</v>
      </c>
      <c r="AH622" s="474"/>
      <c r="AI622" s="483">
        <v>60</v>
      </c>
      <c r="AJ622" s="474" t="s">
        <v>1790</v>
      </c>
      <c r="AK622" s="494" t="s">
        <v>50</v>
      </c>
      <c r="AL622" s="474">
        <v>95834</v>
      </c>
      <c r="AM622" s="474" t="s">
        <v>52</v>
      </c>
      <c r="AN622" s="474" t="s">
        <v>1074</v>
      </c>
      <c r="AO622" s="474"/>
      <c r="AP622" s="486"/>
      <c r="AQ622" s="486"/>
      <c r="AR622" s="486" t="s">
        <v>2367</v>
      </c>
      <c r="AS622" s="495"/>
      <c r="AT622" s="495"/>
      <c r="AU622" s="478"/>
      <c r="AV622" s="471">
        <f t="shared" si="145"/>
        <v>49403140</v>
      </c>
      <c r="AW622" s="471" cm="1">
        <f t="array" ref="AW622">SUM(MID(0&amp;AV622,LARGE(INDEX(ISNUMBER(--MID(AV622,ROW($1:$8),1))*ROW($1:$8),),ROW($1:$8))+1,1)*10^ROW($1:$8)/10)</f>
        <v>49403140</v>
      </c>
      <c r="AX622" s="471" t="str">
        <f>VLOOKUP($AW622,'Item Master Data'!$A:$F,3,FALSE)</f>
        <v>Q.PEAK DUO BLK ML G10+</v>
      </c>
      <c r="AY622" s="471">
        <f>VLOOKUP($AW622,'Item Master Data'!$A:$F,6,FALSE)</f>
        <v>400</v>
      </c>
      <c r="AZ622" s="471">
        <f t="shared" si="146"/>
        <v>48</v>
      </c>
      <c r="BA622" s="471">
        <f>VLOOKUP(AW622,'Item Master Data'!$A:$G,7,FALSE)</f>
        <v>32</v>
      </c>
      <c r="BB622" s="471"/>
      <c r="BC622" s="471">
        <f t="shared" si="147"/>
        <v>0</v>
      </c>
    </row>
    <row r="623" spans="1:55">
      <c r="A623" s="472"/>
      <c r="B623" s="514"/>
      <c r="C623" s="514"/>
      <c r="D623" s="485" t="s">
        <v>2322</v>
      </c>
      <c r="E623" s="474" t="s">
        <v>2689</v>
      </c>
      <c r="F623" s="474"/>
      <c r="G623" s="474">
        <v>2023</v>
      </c>
      <c r="H623" s="474"/>
      <c r="I623" s="485"/>
      <c r="J623" s="475"/>
      <c r="K623" s="483" t="s">
        <v>2778</v>
      </c>
      <c r="L623" s="474" t="s">
        <v>1956</v>
      </c>
      <c r="M623" s="487">
        <v>44642</v>
      </c>
      <c r="N623" s="487">
        <v>44809</v>
      </c>
      <c r="O623" s="487"/>
      <c r="P623" s="475"/>
      <c r="Q623" s="475"/>
      <c r="R623" s="475"/>
      <c r="S623" s="474" t="s">
        <v>1563</v>
      </c>
      <c r="T623" s="474">
        <v>60</v>
      </c>
      <c r="U623" s="474">
        <v>49403140</v>
      </c>
      <c r="V623" s="474" t="s">
        <v>973</v>
      </c>
      <c r="W623" s="474">
        <v>400</v>
      </c>
      <c r="X623" s="476">
        <f>4608-1536</f>
        <v>3072</v>
      </c>
      <c r="Y623" s="477">
        <f t="shared" si="148"/>
        <v>1228800</v>
      </c>
      <c r="Z623" s="478">
        <f t="shared" si="149"/>
        <v>0.55000000000000004</v>
      </c>
      <c r="AA623" s="479">
        <f t="shared" si="150"/>
        <v>675840</v>
      </c>
      <c r="AB623" s="480"/>
      <c r="AC623" s="481">
        <f t="shared" si="152"/>
        <v>0</v>
      </c>
      <c r="AD623" s="490"/>
      <c r="AE623" s="482"/>
      <c r="AF623" s="493">
        <f t="shared" si="151"/>
        <v>675840</v>
      </c>
      <c r="AG623" s="474" t="s">
        <v>1071</v>
      </c>
      <c r="AH623" s="474"/>
      <c r="AI623" s="483">
        <v>60</v>
      </c>
      <c r="AJ623" s="474" t="s">
        <v>1790</v>
      </c>
      <c r="AK623" s="494" t="s">
        <v>50</v>
      </c>
      <c r="AL623" s="474">
        <v>95834</v>
      </c>
      <c r="AM623" s="474" t="s">
        <v>52</v>
      </c>
      <c r="AN623" s="474" t="s">
        <v>1074</v>
      </c>
      <c r="AO623" s="474"/>
      <c r="AP623" s="486"/>
      <c r="AQ623" s="486"/>
      <c r="AR623" s="486" t="s">
        <v>2367</v>
      </c>
      <c r="AS623" s="495"/>
      <c r="AT623" s="495"/>
      <c r="AU623" s="478"/>
      <c r="AV623" s="471">
        <f t="shared" si="145"/>
        <v>49403140</v>
      </c>
      <c r="AW623" s="471" cm="1">
        <f t="array" ref="AW623">SUM(MID(0&amp;AV623,LARGE(INDEX(ISNUMBER(--MID(AV623,ROW($1:$8),1))*ROW($1:$8),),ROW($1:$8))+1,1)*10^ROW($1:$8)/10)</f>
        <v>49403140</v>
      </c>
      <c r="AX623" s="471" t="str">
        <f>VLOOKUP($AW623,'Item Master Data'!$A:$F,3,FALSE)</f>
        <v>Q.PEAK DUO BLK ML G10+</v>
      </c>
      <c r="AY623" s="471">
        <f>VLOOKUP($AW623,'Item Master Data'!$A:$F,6,FALSE)</f>
        <v>400</v>
      </c>
      <c r="AZ623" s="471">
        <f t="shared" si="146"/>
        <v>96</v>
      </c>
      <c r="BA623" s="471">
        <f>VLOOKUP(AW623,'Item Master Data'!$A:$G,7,FALSE)</f>
        <v>32</v>
      </c>
      <c r="BB623" s="471"/>
      <c r="BC623" s="471">
        <f t="shared" si="147"/>
        <v>0</v>
      </c>
    </row>
    <row r="624" spans="1:55">
      <c r="A624" s="472"/>
      <c r="B624" s="514"/>
      <c r="C624" s="514"/>
      <c r="D624" s="485" t="s">
        <v>2322</v>
      </c>
      <c r="E624" s="474" t="s">
        <v>2689</v>
      </c>
      <c r="F624" s="474"/>
      <c r="G624" s="474">
        <v>2023</v>
      </c>
      <c r="H624" s="474"/>
      <c r="I624" s="485"/>
      <c r="J624" s="475"/>
      <c r="K624" s="483" t="s">
        <v>2810</v>
      </c>
      <c r="L624" s="474" t="s">
        <v>1956</v>
      </c>
      <c r="M624" s="487">
        <v>44642</v>
      </c>
      <c r="N624" s="487">
        <v>44837</v>
      </c>
      <c r="O624" s="487"/>
      <c r="P624" s="475"/>
      <c r="Q624" s="475"/>
      <c r="R624" s="475"/>
      <c r="S624" s="474" t="s">
        <v>1563</v>
      </c>
      <c r="T624" s="474">
        <v>60</v>
      </c>
      <c r="U624" s="474">
        <v>49403140</v>
      </c>
      <c r="V624" s="474" t="s">
        <v>973</v>
      </c>
      <c r="W624" s="474">
        <v>400</v>
      </c>
      <c r="X624" s="476">
        <v>4608</v>
      </c>
      <c r="Y624" s="477">
        <f t="shared" si="148"/>
        <v>1843200</v>
      </c>
      <c r="Z624" s="478">
        <f t="shared" si="149"/>
        <v>0.55000000000000004</v>
      </c>
      <c r="AA624" s="479">
        <f t="shared" si="150"/>
        <v>1013760.0000000001</v>
      </c>
      <c r="AB624" s="480"/>
      <c r="AC624" s="481">
        <f t="shared" si="152"/>
        <v>0</v>
      </c>
      <c r="AD624" s="490"/>
      <c r="AE624" s="482"/>
      <c r="AF624" s="493">
        <f t="shared" si="151"/>
        <v>1013760.0000000001</v>
      </c>
      <c r="AG624" s="474" t="s">
        <v>1071</v>
      </c>
      <c r="AH624" s="474"/>
      <c r="AI624" s="483">
        <v>60</v>
      </c>
      <c r="AJ624" s="474" t="s">
        <v>1790</v>
      </c>
      <c r="AK624" s="494" t="s">
        <v>50</v>
      </c>
      <c r="AL624" s="474">
        <v>95834</v>
      </c>
      <c r="AM624" s="474" t="s">
        <v>52</v>
      </c>
      <c r="AN624" s="474" t="s">
        <v>1074</v>
      </c>
      <c r="AO624" s="474"/>
      <c r="AP624" s="486"/>
      <c r="AQ624" s="486"/>
      <c r="AR624" s="486" t="s">
        <v>2367</v>
      </c>
      <c r="AS624" s="495"/>
      <c r="AT624" s="495"/>
      <c r="AU624" s="478"/>
      <c r="AV624" s="471">
        <f t="shared" si="145"/>
        <v>49403140</v>
      </c>
      <c r="AW624" s="471" cm="1">
        <f t="array" ref="AW624">SUM(MID(0&amp;AV624,LARGE(INDEX(ISNUMBER(--MID(AV624,ROW($1:$8),1))*ROW($1:$8),),ROW($1:$8))+1,1)*10^ROW($1:$8)/10)</f>
        <v>49403140</v>
      </c>
      <c r="AX624" s="471" t="str">
        <f>VLOOKUP($AW624,'Item Master Data'!$A:$F,3,FALSE)</f>
        <v>Q.PEAK DUO BLK ML G10+</v>
      </c>
      <c r="AY624" s="471">
        <f>VLOOKUP($AW624,'Item Master Data'!$A:$F,6,FALSE)</f>
        <v>400</v>
      </c>
      <c r="AZ624" s="471">
        <f t="shared" si="146"/>
        <v>144</v>
      </c>
      <c r="BA624" s="471">
        <f>VLOOKUP(AW624,'Item Master Data'!$A:$G,7,FALSE)</f>
        <v>32</v>
      </c>
      <c r="BB624" s="471"/>
      <c r="BC624" s="471">
        <f t="shared" si="147"/>
        <v>0</v>
      </c>
    </row>
    <row r="625" spans="1:55">
      <c r="A625" s="472"/>
      <c r="B625" s="514"/>
      <c r="C625" s="514"/>
      <c r="D625" s="485" t="s">
        <v>2322</v>
      </c>
      <c r="E625" s="474" t="s">
        <v>2689</v>
      </c>
      <c r="F625" s="474"/>
      <c r="G625" s="474">
        <v>2023</v>
      </c>
      <c r="H625" s="474"/>
      <c r="I625" s="485"/>
      <c r="J625" s="475"/>
      <c r="K625" s="483" t="s">
        <v>2843</v>
      </c>
      <c r="L625" s="474" t="s">
        <v>1956</v>
      </c>
      <c r="M625" s="487">
        <v>44642</v>
      </c>
      <c r="N625" s="487">
        <v>44872</v>
      </c>
      <c r="O625" s="487"/>
      <c r="P625" s="475"/>
      <c r="Q625" s="475"/>
      <c r="R625" s="475"/>
      <c r="S625" s="474" t="s">
        <v>1563</v>
      </c>
      <c r="T625" s="474">
        <v>60</v>
      </c>
      <c r="U625" s="474">
        <v>49403140</v>
      </c>
      <c r="V625" s="474" t="s">
        <v>973</v>
      </c>
      <c r="W625" s="474">
        <v>400</v>
      </c>
      <c r="X625" s="476">
        <v>5376</v>
      </c>
      <c r="Y625" s="477">
        <f t="shared" si="148"/>
        <v>2150400</v>
      </c>
      <c r="Z625" s="478">
        <f t="shared" si="149"/>
        <v>0.55000000000000004</v>
      </c>
      <c r="AA625" s="479">
        <f t="shared" si="150"/>
        <v>1182720</v>
      </c>
      <c r="AB625" s="480"/>
      <c r="AC625" s="481">
        <f t="shared" si="152"/>
        <v>0</v>
      </c>
      <c r="AD625" s="490"/>
      <c r="AE625" s="482"/>
      <c r="AF625" s="493">
        <f t="shared" si="151"/>
        <v>1182720</v>
      </c>
      <c r="AG625" s="474" t="s">
        <v>1071</v>
      </c>
      <c r="AH625" s="474"/>
      <c r="AI625" s="483">
        <v>60</v>
      </c>
      <c r="AJ625" s="474" t="s">
        <v>1790</v>
      </c>
      <c r="AK625" s="494" t="s">
        <v>50</v>
      </c>
      <c r="AL625" s="474">
        <v>95834</v>
      </c>
      <c r="AM625" s="474" t="s">
        <v>52</v>
      </c>
      <c r="AN625" s="474" t="s">
        <v>1074</v>
      </c>
      <c r="AO625" s="474"/>
      <c r="AP625" s="486"/>
      <c r="AQ625" s="486"/>
      <c r="AR625" s="486" t="s">
        <v>2367</v>
      </c>
      <c r="AS625" s="495"/>
      <c r="AT625" s="495"/>
      <c r="AU625" s="478"/>
      <c r="AV625" s="471">
        <f t="shared" si="145"/>
        <v>49403140</v>
      </c>
      <c r="AW625" s="471" cm="1">
        <f t="array" ref="AW625">SUM(MID(0&amp;AV625,LARGE(INDEX(ISNUMBER(--MID(AV625,ROW($1:$8),1))*ROW($1:$8),),ROW($1:$8))+1,1)*10^ROW($1:$8)/10)</f>
        <v>49403140</v>
      </c>
      <c r="AX625" s="471" t="str">
        <f>VLOOKUP($AW625,'Item Master Data'!$A:$F,3,FALSE)</f>
        <v>Q.PEAK DUO BLK ML G10+</v>
      </c>
      <c r="AY625" s="471">
        <f>VLOOKUP($AW625,'Item Master Data'!$A:$F,6,FALSE)</f>
        <v>400</v>
      </c>
      <c r="AZ625" s="471">
        <f t="shared" si="146"/>
        <v>168</v>
      </c>
      <c r="BA625" s="471">
        <f>VLOOKUP(AW625,'Item Master Data'!$A:$G,7,FALSE)</f>
        <v>32</v>
      </c>
      <c r="BB625" s="471"/>
      <c r="BC625" s="471">
        <f t="shared" si="147"/>
        <v>0</v>
      </c>
    </row>
    <row r="626" spans="1:55">
      <c r="A626" s="472"/>
      <c r="B626" s="514"/>
      <c r="C626" s="514"/>
      <c r="D626" s="485" t="s">
        <v>2322</v>
      </c>
      <c r="E626" s="474" t="s">
        <v>2689</v>
      </c>
      <c r="F626" s="474"/>
      <c r="G626" s="474">
        <v>2023</v>
      </c>
      <c r="H626" s="474"/>
      <c r="I626" s="485"/>
      <c r="J626" s="475"/>
      <c r="K626" s="483" t="s">
        <v>2878</v>
      </c>
      <c r="L626" s="474" t="s">
        <v>1956</v>
      </c>
      <c r="M626" s="487">
        <v>44642</v>
      </c>
      <c r="N626" s="487">
        <v>44900</v>
      </c>
      <c r="O626" s="487"/>
      <c r="P626" s="475"/>
      <c r="Q626" s="475"/>
      <c r="R626" s="475"/>
      <c r="S626" s="474" t="s">
        <v>1563</v>
      </c>
      <c r="T626" s="474">
        <v>60</v>
      </c>
      <c r="U626" s="474">
        <v>49403140</v>
      </c>
      <c r="V626" s="474" t="s">
        <v>973</v>
      </c>
      <c r="W626" s="474">
        <v>400</v>
      </c>
      <c r="X626" s="476">
        <v>5376</v>
      </c>
      <c r="Y626" s="477">
        <f t="shared" si="148"/>
        <v>2150400</v>
      </c>
      <c r="Z626" s="478">
        <f t="shared" si="149"/>
        <v>0.55000000000000004</v>
      </c>
      <c r="AA626" s="479">
        <f t="shared" si="150"/>
        <v>1182720</v>
      </c>
      <c r="AB626" s="480"/>
      <c r="AC626" s="481">
        <f t="shared" si="152"/>
        <v>0</v>
      </c>
      <c r="AD626" s="490"/>
      <c r="AE626" s="482"/>
      <c r="AF626" s="493">
        <f t="shared" si="151"/>
        <v>1182720</v>
      </c>
      <c r="AG626" s="474" t="s">
        <v>1071</v>
      </c>
      <c r="AH626" s="474"/>
      <c r="AI626" s="483">
        <v>60</v>
      </c>
      <c r="AJ626" s="474" t="s">
        <v>1790</v>
      </c>
      <c r="AK626" s="494" t="s">
        <v>50</v>
      </c>
      <c r="AL626" s="474">
        <v>95834</v>
      </c>
      <c r="AM626" s="474" t="s">
        <v>52</v>
      </c>
      <c r="AN626" s="474" t="s">
        <v>1074</v>
      </c>
      <c r="AO626" s="474"/>
      <c r="AP626" s="486"/>
      <c r="AQ626" s="486"/>
      <c r="AR626" s="486" t="s">
        <v>2367</v>
      </c>
      <c r="AS626" s="495"/>
      <c r="AT626" s="495"/>
      <c r="AU626" s="478"/>
      <c r="AV626" s="471">
        <f t="shared" si="145"/>
        <v>49403140</v>
      </c>
      <c r="AW626" s="471" cm="1">
        <f t="array" ref="AW626">SUM(MID(0&amp;AV626,LARGE(INDEX(ISNUMBER(--MID(AV626,ROW($1:$8),1))*ROW($1:$8),),ROW($1:$8))+1,1)*10^ROW($1:$8)/10)</f>
        <v>49403140</v>
      </c>
      <c r="AX626" s="471" t="str">
        <f>VLOOKUP($AW626,'Item Master Data'!$A:$F,3,FALSE)</f>
        <v>Q.PEAK DUO BLK ML G10+</v>
      </c>
      <c r="AY626" s="471">
        <f>VLOOKUP($AW626,'Item Master Data'!$A:$F,6,FALSE)</f>
        <v>400</v>
      </c>
      <c r="AZ626" s="471">
        <f t="shared" si="146"/>
        <v>168</v>
      </c>
      <c r="BA626" s="471">
        <f>VLOOKUP(AW626,'Item Master Data'!$A:$G,7,FALSE)</f>
        <v>32</v>
      </c>
      <c r="BB626" s="471"/>
      <c r="BC626" s="471">
        <f t="shared" si="147"/>
        <v>0</v>
      </c>
    </row>
    <row r="627" spans="1:55">
      <c r="A627" s="472"/>
      <c r="B627" s="514">
        <v>44566</v>
      </c>
      <c r="C627" s="514">
        <v>44593</v>
      </c>
      <c r="D627" s="485" t="s">
        <v>2322</v>
      </c>
      <c r="E627" s="474" t="s">
        <v>2565</v>
      </c>
      <c r="F627" s="474"/>
      <c r="G627" s="474">
        <v>2022</v>
      </c>
      <c r="H627" s="474">
        <v>6</v>
      </c>
      <c r="I627" s="485"/>
      <c r="J627" s="475"/>
      <c r="K627" s="483" t="s">
        <v>2566</v>
      </c>
      <c r="L627" s="474" t="s">
        <v>2567</v>
      </c>
      <c r="M627" s="487">
        <v>44510</v>
      </c>
      <c r="N627" s="487">
        <v>44593</v>
      </c>
      <c r="O627" s="487"/>
      <c r="P627" s="475"/>
      <c r="Q627" s="475"/>
      <c r="R627" s="475"/>
      <c r="S627" s="474" t="s">
        <v>2352</v>
      </c>
      <c r="T627" s="474">
        <v>60</v>
      </c>
      <c r="U627" s="474" t="s">
        <v>1281</v>
      </c>
      <c r="V627" s="474" t="s">
        <v>973</v>
      </c>
      <c r="W627" s="474">
        <v>400</v>
      </c>
      <c r="X627" s="476">
        <v>832</v>
      </c>
      <c r="Y627" s="477">
        <v>332800</v>
      </c>
      <c r="Z627" s="478">
        <v>0.49</v>
      </c>
      <c r="AA627" s="479">
        <v>163072</v>
      </c>
      <c r="AB627" s="480"/>
      <c r="AC627" s="481">
        <v>0</v>
      </c>
      <c r="AD627" s="490"/>
      <c r="AE627" s="482"/>
      <c r="AF627" s="493">
        <v>163072</v>
      </c>
      <c r="AG627" s="474" t="s">
        <v>1071</v>
      </c>
      <c r="AH627" s="474"/>
      <c r="AI627" s="483">
        <v>60</v>
      </c>
      <c r="AJ627" s="474" t="s">
        <v>2568</v>
      </c>
      <c r="AK627" s="494" t="s">
        <v>1084</v>
      </c>
      <c r="AL627" s="474" t="s">
        <v>2569</v>
      </c>
      <c r="AM627" s="474" t="s">
        <v>52</v>
      </c>
      <c r="AN627" s="474" t="s">
        <v>1074</v>
      </c>
      <c r="AO627" s="474"/>
      <c r="AP627" s="486"/>
      <c r="AQ627" s="486" t="s">
        <v>37</v>
      </c>
      <c r="AR627" s="486" t="s">
        <v>2354</v>
      </c>
      <c r="AS627" s="495"/>
      <c r="AT627" s="495"/>
      <c r="AU627" s="478">
        <v>0.49</v>
      </c>
      <c r="AV627" s="471" t="str">
        <f t="shared" si="145"/>
        <v>30390456H</v>
      </c>
      <c r="AW627" s="471" cm="1">
        <f t="array" ref="AW627">SUM(MID(0&amp;AV627,LARGE(INDEX(ISNUMBER(--MID(AV627,ROW($1:$8),1))*ROW($1:$8),),ROW($1:$8))+1,1)*10^ROW($1:$8)/10)</f>
        <v>30390456</v>
      </c>
      <c r="AX627" s="471" t="str">
        <f>VLOOKUP($AW627,'Item Master Data'!$A:$F,3,FALSE)</f>
        <v>Q.PEAK DUO BLK ML G10+</v>
      </c>
      <c r="AY627" s="471">
        <f>VLOOKUP($AW627,'Item Master Data'!$A:$F,6,FALSE)</f>
        <v>400</v>
      </c>
      <c r="AZ627" s="471">
        <f t="shared" si="146"/>
        <v>26</v>
      </c>
      <c r="BA627" s="471">
        <f>VLOOKUP(AW627,'Item Master Data'!$A:$G,7,FALSE)</f>
        <v>32</v>
      </c>
      <c r="BB627" s="471"/>
      <c r="BC627" s="471">
        <f t="shared" si="147"/>
        <v>0</v>
      </c>
    </row>
    <row r="628" spans="1:55">
      <c r="A628" s="472"/>
      <c r="B628" s="514">
        <v>44566</v>
      </c>
      <c r="C628" s="514">
        <v>44593</v>
      </c>
      <c r="D628" s="485" t="s">
        <v>2322</v>
      </c>
      <c r="E628" s="474" t="s">
        <v>2565</v>
      </c>
      <c r="F628" s="474"/>
      <c r="G628" s="474">
        <v>2022</v>
      </c>
      <c r="H628" s="474">
        <v>6</v>
      </c>
      <c r="I628" s="485"/>
      <c r="J628" s="475"/>
      <c r="K628" s="483" t="s">
        <v>2607</v>
      </c>
      <c r="L628" s="474" t="s">
        <v>2567</v>
      </c>
      <c r="M628" s="487">
        <v>44510</v>
      </c>
      <c r="N628" s="487">
        <v>44652</v>
      </c>
      <c r="O628" s="487"/>
      <c r="P628" s="475"/>
      <c r="Q628" s="475"/>
      <c r="R628" s="475"/>
      <c r="S628" s="474" t="s">
        <v>2352</v>
      </c>
      <c r="T628" s="474">
        <v>60</v>
      </c>
      <c r="U628" s="474" t="s">
        <v>1281</v>
      </c>
      <c r="V628" s="474" t="s">
        <v>973</v>
      </c>
      <c r="W628" s="474">
        <v>400</v>
      </c>
      <c r="X628" s="476">
        <v>832</v>
      </c>
      <c r="Y628" s="477">
        <v>332800</v>
      </c>
      <c r="Z628" s="478">
        <v>0.49</v>
      </c>
      <c r="AA628" s="479">
        <v>163072</v>
      </c>
      <c r="AB628" s="480"/>
      <c r="AC628" s="481">
        <v>0</v>
      </c>
      <c r="AD628" s="490"/>
      <c r="AE628" s="482"/>
      <c r="AF628" s="493">
        <v>163072</v>
      </c>
      <c r="AG628" s="474" t="s">
        <v>1071</v>
      </c>
      <c r="AH628" s="474"/>
      <c r="AI628" s="483">
        <v>60</v>
      </c>
      <c r="AJ628" s="474" t="s">
        <v>2568</v>
      </c>
      <c r="AK628" s="494" t="s">
        <v>1084</v>
      </c>
      <c r="AL628" s="474" t="s">
        <v>2569</v>
      </c>
      <c r="AM628" s="474" t="s">
        <v>52</v>
      </c>
      <c r="AN628" s="474" t="s">
        <v>1074</v>
      </c>
      <c r="AO628" s="474"/>
      <c r="AP628" s="486"/>
      <c r="AQ628" s="486" t="s">
        <v>37</v>
      </c>
      <c r="AR628" s="486" t="s">
        <v>2354</v>
      </c>
      <c r="AS628" s="495"/>
      <c r="AT628" s="495"/>
      <c r="AU628" s="478">
        <v>0.49</v>
      </c>
      <c r="AV628" s="471" t="str">
        <f t="shared" si="145"/>
        <v>30390456H</v>
      </c>
      <c r="AW628" s="471" cm="1">
        <f t="array" ref="AW628">SUM(MID(0&amp;AV628,LARGE(INDEX(ISNUMBER(--MID(AV628,ROW($1:$8),1))*ROW($1:$8),),ROW($1:$8))+1,1)*10^ROW($1:$8)/10)</f>
        <v>30390456</v>
      </c>
      <c r="AX628" s="471" t="str">
        <f>VLOOKUP($AW628,'Item Master Data'!$A:$F,3,FALSE)</f>
        <v>Q.PEAK DUO BLK ML G10+</v>
      </c>
      <c r="AY628" s="471">
        <f>VLOOKUP($AW628,'Item Master Data'!$A:$F,6,FALSE)</f>
        <v>400</v>
      </c>
      <c r="AZ628" s="471">
        <f t="shared" si="146"/>
        <v>26</v>
      </c>
      <c r="BA628" s="471">
        <f>VLOOKUP(AW628,'Item Master Data'!$A:$G,7,FALSE)</f>
        <v>32</v>
      </c>
      <c r="BB628" s="471"/>
      <c r="BC628" s="471">
        <f t="shared" si="147"/>
        <v>0</v>
      </c>
    </row>
    <row r="629" spans="1:55">
      <c r="A629" s="472"/>
      <c r="B629" s="514"/>
      <c r="C629" s="514"/>
      <c r="D629" s="485" t="s">
        <v>2322</v>
      </c>
      <c r="E629" s="474" t="s">
        <v>2659</v>
      </c>
      <c r="F629" s="474"/>
      <c r="G629" s="474">
        <v>2022</v>
      </c>
      <c r="H629" s="474">
        <v>6</v>
      </c>
      <c r="I629" s="485"/>
      <c r="J629" s="475"/>
      <c r="K629" s="483" t="s">
        <v>2660</v>
      </c>
      <c r="L629" s="474" t="s">
        <v>2371</v>
      </c>
      <c r="M629" s="487">
        <v>44539</v>
      </c>
      <c r="N629" s="487">
        <v>44652</v>
      </c>
      <c r="O629" s="487"/>
      <c r="P629" s="475"/>
      <c r="Q629" s="475"/>
      <c r="R629" s="475"/>
      <c r="S629" s="474" t="s">
        <v>1563</v>
      </c>
      <c r="T629" s="474">
        <v>60</v>
      </c>
      <c r="U629" s="474" t="s">
        <v>1281</v>
      </c>
      <c r="V629" s="474" t="s">
        <v>973</v>
      </c>
      <c r="W629" s="474">
        <v>400</v>
      </c>
      <c r="X629" s="476">
        <v>832</v>
      </c>
      <c r="Y629" s="477">
        <f t="shared" ref="Y629:Y692" si="153">X629*W629</f>
        <v>332800</v>
      </c>
      <c r="Z629" s="478">
        <f>216/400</f>
        <v>0.54</v>
      </c>
      <c r="AA629" s="479">
        <f t="shared" ref="AA629:AA692" si="154">Z629*Y629</f>
        <v>179712</v>
      </c>
      <c r="AB629" s="480"/>
      <c r="AC629" s="481">
        <v>0</v>
      </c>
      <c r="AD629" s="490"/>
      <c r="AE629" s="482"/>
      <c r="AF629" s="493">
        <f t="shared" ref="AF629:AF692" si="155">AA629+AE629</f>
        <v>179712</v>
      </c>
      <c r="AG629" s="474" t="s">
        <v>1071</v>
      </c>
      <c r="AH629" s="474"/>
      <c r="AI629" s="483" t="s">
        <v>2374</v>
      </c>
      <c r="AJ629" s="474" t="s">
        <v>1790</v>
      </c>
      <c r="AK629" s="494" t="s">
        <v>50</v>
      </c>
      <c r="AL629" s="474">
        <v>95838</v>
      </c>
      <c r="AM629" s="474" t="s">
        <v>52</v>
      </c>
      <c r="AN629" s="474" t="s">
        <v>1074</v>
      </c>
      <c r="AO629" s="474"/>
      <c r="AP629" s="486"/>
      <c r="AQ629" s="486" t="s">
        <v>37</v>
      </c>
      <c r="AR629" s="486"/>
      <c r="AS629" s="495"/>
      <c r="AT629" s="495"/>
      <c r="AU629" s="478"/>
      <c r="AV629" s="471" t="str">
        <f t="shared" si="145"/>
        <v>30390456H</v>
      </c>
      <c r="AW629" s="471" cm="1">
        <f t="array" ref="AW629">SUM(MID(0&amp;AV629,LARGE(INDEX(ISNUMBER(--MID(AV629,ROW($1:$8),1))*ROW($1:$8),),ROW($1:$8))+1,1)*10^ROW($1:$8)/10)</f>
        <v>30390456</v>
      </c>
      <c r="AX629" s="471" t="str">
        <f>VLOOKUP($AW629,'Item Master Data'!$A:$F,3,FALSE)</f>
        <v>Q.PEAK DUO BLK ML G10+</v>
      </c>
      <c r="AY629" s="471">
        <f>VLOOKUP($AW629,'Item Master Data'!$A:$F,6,FALSE)</f>
        <v>400</v>
      </c>
      <c r="AZ629" s="471">
        <f t="shared" si="146"/>
        <v>26</v>
      </c>
      <c r="BA629" s="471">
        <f>VLOOKUP(AW629,'Item Master Data'!$A:$G,7,FALSE)</f>
        <v>32</v>
      </c>
      <c r="BB629" s="471"/>
      <c r="BC629" s="471">
        <f t="shared" si="147"/>
        <v>0</v>
      </c>
    </row>
    <row r="630" spans="1:55">
      <c r="A630" s="472"/>
      <c r="B630" s="514">
        <v>44575</v>
      </c>
      <c r="C630" s="514">
        <v>44643</v>
      </c>
      <c r="D630" s="485" t="s">
        <v>2322</v>
      </c>
      <c r="E630" s="474" t="s">
        <v>2369</v>
      </c>
      <c r="F630" s="485">
        <v>1</v>
      </c>
      <c r="G630" s="474">
        <v>2022</v>
      </c>
      <c r="H630" s="474">
        <v>3</v>
      </c>
      <c r="I630" s="415">
        <v>127794</v>
      </c>
      <c r="J630" s="538">
        <v>44650</v>
      </c>
      <c r="K630" s="523" t="s">
        <v>2370</v>
      </c>
      <c r="L630" s="524" t="s">
        <v>2371</v>
      </c>
      <c r="M630" s="487">
        <v>44574</v>
      </c>
      <c r="N630" s="487">
        <v>44601</v>
      </c>
      <c r="O630" s="487"/>
      <c r="P630" s="475">
        <v>44616</v>
      </c>
      <c r="Q630" s="475">
        <v>44650</v>
      </c>
      <c r="R630" s="475">
        <v>44655</v>
      </c>
      <c r="S630" s="474" t="s">
        <v>1563</v>
      </c>
      <c r="T630" s="474">
        <v>60</v>
      </c>
      <c r="U630" s="474">
        <v>49201132</v>
      </c>
      <c r="V630" s="474" t="s">
        <v>986</v>
      </c>
      <c r="W630" s="474">
        <v>360</v>
      </c>
      <c r="X630" s="476">
        <v>832</v>
      </c>
      <c r="Y630" s="477">
        <f t="shared" si="153"/>
        <v>299520</v>
      </c>
      <c r="Z630" s="478">
        <f>198/360</f>
        <v>0.55000000000000004</v>
      </c>
      <c r="AA630" s="492">
        <f t="shared" si="154"/>
        <v>164736</v>
      </c>
      <c r="AB630" s="480"/>
      <c r="AC630" s="481">
        <f>AB630*Y630</f>
        <v>0</v>
      </c>
      <c r="AD630" s="490"/>
      <c r="AE630" s="482"/>
      <c r="AF630" s="493">
        <f t="shared" si="155"/>
        <v>164736</v>
      </c>
      <c r="AG630" s="474" t="s">
        <v>1071</v>
      </c>
      <c r="AH630" s="474"/>
      <c r="AI630" s="483">
        <v>30</v>
      </c>
      <c r="AJ630" s="474" t="s">
        <v>1790</v>
      </c>
      <c r="AK630" s="494" t="s">
        <v>50</v>
      </c>
      <c r="AL630" s="474">
        <v>95838</v>
      </c>
      <c r="AM630" s="474" t="s">
        <v>52</v>
      </c>
      <c r="AN630" s="474" t="s">
        <v>1106</v>
      </c>
      <c r="AO630" s="474"/>
      <c r="AP630" s="486"/>
      <c r="AQ630" s="486" t="s">
        <v>37</v>
      </c>
      <c r="AR630" s="486"/>
      <c r="AS630" s="495"/>
      <c r="AT630" s="495"/>
      <c r="AU630" s="478"/>
      <c r="AV630" s="471">
        <f t="shared" si="145"/>
        <v>49201132</v>
      </c>
      <c r="AW630" s="471" cm="1">
        <f t="array" ref="AW630">SUM(MID(0&amp;AV630,LARGE(INDEX(ISNUMBER(--MID(AV630,ROW($1:$8),1))*ROW($1:$8),),ROW($1:$8))+1,1)*10^ROW($1:$8)/10)</f>
        <v>49201132</v>
      </c>
      <c r="AX630" s="471" t="str">
        <f>VLOOKUP($AW630,'Item Master Data'!$A:$F,3,FALSE)</f>
        <v>Q.PEAK DUO BLK G10+</v>
      </c>
      <c r="AY630" s="471">
        <f>VLOOKUP($AW630,'Item Master Data'!$A:$F,6,FALSE)</f>
        <v>360</v>
      </c>
      <c r="AZ630" s="471">
        <f t="shared" si="146"/>
        <v>26</v>
      </c>
      <c r="BA630" s="471">
        <f>VLOOKUP(AW630,'Item Master Data'!$A:$G,7,FALSE)</f>
        <v>32</v>
      </c>
      <c r="BB630" s="471"/>
      <c r="BC630" s="471">
        <f t="shared" si="147"/>
        <v>0</v>
      </c>
    </row>
    <row r="631" spans="1:55">
      <c r="A631" s="599">
        <v>10</v>
      </c>
      <c r="B631" s="514"/>
      <c r="C631" s="514"/>
      <c r="D631" s="485" t="s">
        <v>2322</v>
      </c>
      <c r="E631" s="474"/>
      <c r="F631" s="474"/>
      <c r="G631" s="474">
        <v>2022</v>
      </c>
      <c r="H631" s="474">
        <v>3</v>
      </c>
      <c r="I631" s="485">
        <v>127431</v>
      </c>
      <c r="J631" s="475">
        <v>44642</v>
      </c>
      <c r="K631" s="483" t="s">
        <v>2372</v>
      </c>
      <c r="L631" s="474" t="s">
        <v>2373</v>
      </c>
      <c r="M631" s="487">
        <v>44523</v>
      </c>
      <c r="N631" s="487">
        <v>44563</v>
      </c>
      <c r="O631" s="487"/>
      <c r="P631" s="475">
        <v>44630</v>
      </c>
      <c r="Q631" s="475">
        <v>44642</v>
      </c>
      <c r="R631" s="475">
        <v>44645</v>
      </c>
      <c r="S631" s="474" t="s">
        <v>1563</v>
      </c>
      <c r="T631" s="474">
        <v>60</v>
      </c>
      <c r="U631" s="474" t="s">
        <v>2184</v>
      </c>
      <c r="V631" s="474" t="s">
        <v>973</v>
      </c>
      <c r="W631" s="474">
        <v>400</v>
      </c>
      <c r="X631" s="476">
        <v>768</v>
      </c>
      <c r="Y631" s="491">
        <f t="shared" si="153"/>
        <v>307200</v>
      </c>
      <c r="Z631" s="478">
        <f>222/400</f>
        <v>0.55500000000000005</v>
      </c>
      <c r="AA631" s="479">
        <f t="shared" si="154"/>
        <v>170496.00000000003</v>
      </c>
      <c r="AB631" s="480"/>
      <c r="AC631" s="481">
        <v>0</v>
      </c>
      <c r="AD631" s="490"/>
      <c r="AE631" s="482"/>
      <c r="AF631" s="493">
        <f t="shared" si="155"/>
        <v>170496.00000000003</v>
      </c>
      <c r="AG631" s="474" t="s">
        <v>1071</v>
      </c>
      <c r="AH631" s="474"/>
      <c r="AI631" s="483" t="s">
        <v>2374</v>
      </c>
      <c r="AJ631" s="474" t="s">
        <v>1593</v>
      </c>
      <c r="AK631" s="494" t="s">
        <v>1144</v>
      </c>
      <c r="AL631" s="474">
        <v>78744</v>
      </c>
      <c r="AM631" s="474" t="s">
        <v>52</v>
      </c>
      <c r="AN631" s="474" t="s">
        <v>50</v>
      </c>
      <c r="AO631" s="474"/>
      <c r="AP631" s="486" t="s">
        <v>38</v>
      </c>
      <c r="AQ631" s="486" t="s">
        <v>37</v>
      </c>
      <c r="AR631" s="486"/>
      <c r="AS631" s="495"/>
      <c r="AT631" s="495"/>
      <c r="AU631" s="478"/>
      <c r="AV631" s="471" t="str">
        <f t="shared" si="145"/>
        <v>30390456C+</v>
      </c>
      <c r="AW631" s="471" cm="1">
        <f t="array" ref="AW631">SUM(MID(0&amp;AV631,LARGE(INDEX(ISNUMBER(--MID(AV631,ROW($1:$8),1))*ROW($1:$8),),ROW($1:$8))+1,1)*10^ROW($1:$8)/10)</f>
        <v>30390456</v>
      </c>
      <c r="AX631" s="471" t="str">
        <f>VLOOKUP($AW631,'Item Master Data'!$A:$F,3,FALSE)</f>
        <v>Q.PEAK DUO BLK ML G10+</v>
      </c>
      <c r="AY631" s="471">
        <f>VLOOKUP($AW631,'Item Master Data'!$A:$F,6,FALSE)</f>
        <v>400</v>
      </c>
      <c r="AZ631" s="471">
        <f t="shared" si="146"/>
        <v>24</v>
      </c>
      <c r="BA631" s="471">
        <f>VLOOKUP(AW631,'Item Master Data'!$A:$G,7,FALSE)</f>
        <v>32</v>
      </c>
      <c r="BB631" s="471"/>
      <c r="BC631" s="471">
        <f t="shared" si="147"/>
        <v>0</v>
      </c>
    </row>
    <row r="632" spans="1:55">
      <c r="A632" s="599">
        <v>10</v>
      </c>
      <c r="B632" s="514"/>
      <c r="C632" s="514"/>
      <c r="D632" s="485" t="s">
        <v>2322</v>
      </c>
      <c r="E632" s="474"/>
      <c r="F632" s="474"/>
      <c r="G632" s="474">
        <v>2022</v>
      </c>
      <c r="H632" s="474">
        <v>3</v>
      </c>
      <c r="I632" s="485">
        <v>127440</v>
      </c>
      <c r="J632" s="475">
        <v>44643</v>
      </c>
      <c r="K632" s="483" t="s">
        <v>2375</v>
      </c>
      <c r="L632" s="474" t="s">
        <v>2373</v>
      </c>
      <c r="M632" s="487">
        <v>44523</v>
      </c>
      <c r="N632" s="487">
        <v>44563</v>
      </c>
      <c r="O632" s="487"/>
      <c r="P632" s="475">
        <v>44629</v>
      </c>
      <c r="Q632" s="475">
        <v>44643</v>
      </c>
      <c r="R632" s="475">
        <v>44644</v>
      </c>
      <c r="S632" s="474" t="s">
        <v>1563</v>
      </c>
      <c r="T632" s="474">
        <v>60</v>
      </c>
      <c r="U632" s="474" t="s">
        <v>1247</v>
      </c>
      <c r="V632" s="474" t="s">
        <v>973</v>
      </c>
      <c r="W632" s="474">
        <v>400</v>
      </c>
      <c r="X632" s="476">
        <v>768</v>
      </c>
      <c r="Y632" s="491">
        <f t="shared" si="153"/>
        <v>307200</v>
      </c>
      <c r="Z632" s="478">
        <f>222/400</f>
        <v>0.55500000000000005</v>
      </c>
      <c r="AA632" s="479">
        <f t="shared" si="154"/>
        <v>170496.00000000003</v>
      </c>
      <c r="AB632" s="480"/>
      <c r="AC632" s="481">
        <v>0</v>
      </c>
      <c r="AD632" s="490"/>
      <c r="AE632" s="482"/>
      <c r="AF632" s="493">
        <f t="shared" si="155"/>
        <v>170496.00000000003</v>
      </c>
      <c r="AG632" s="474" t="s">
        <v>1071</v>
      </c>
      <c r="AH632" s="474"/>
      <c r="AI632" s="483" t="s">
        <v>2374</v>
      </c>
      <c r="AJ632" s="474" t="s">
        <v>2376</v>
      </c>
      <c r="AK632" s="494" t="s">
        <v>50</v>
      </c>
      <c r="AL632" s="474">
        <v>93065</v>
      </c>
      <c r="AM632" s="474" t="s">
        <v>52</v>
      </c>
      <c r="AN632" s="474" t="s">
        <v>50</v>
      </c>
      <c r="AO632" s="474"/>
      <c r="AP632" s="486" t="s">
        <v>38</v>
      </c>
      <c r="AQ632" s="486" t="s">
        <v>37</v>
      </c>
      <c r="AR632" s="486"/>
      <c r="AS632" s="495"/>
      <c r="AT632" s="495"/>
      <c r="AU632" s="478"/>
      <c r="AV632" s="471" t="str">
        <f t="shared" si="145"/>
        <v>30390456C</v>
      </c>
      <c r="AW632" s="471" cm="1">
        <f t="array" ref="AW632">SUM(MID(0&amp;AV632,LARGE(INDEX(ISNUMBER(--MID(AV632,ROW($1:$8),1))*ROW($1:$8),),ROW($1:$8))+1,1)*10^ROW($1:$8)/10)</f>
        <v>30390456</v>
      </c>
      <c r="AX632" s="471" t="str">
        <f>VLOOKUP($AW632,'Item Master Data'!$A:$F,3,FALSE)</f>
        <v>Q.PEAK DUO BLK ML G10+</v>
      </c>
      <c r="AY632" s="471">
        <f>VLOOKUP($AW632,'Item Master Data'!$A:$F,6,FALSE)</f>
        <v>400</v>
      </c>
      <c r="AZ632" s="471">
        <f t="shared" si="146"/>
        <v>24</v>
      </c>
      <c r="BA632" s="471">
        <f>VLOOKUP(AW632,'Item Master Data'!$A:$G,7,FALSE)</f>
        <v>32</v>
      </c>
      <c r="BB632" s="471"/>
      <c r="BC632" s="471">
        <f t="shared" si="147"/>
        <v>0</v>
      </c>
    </row>
    <row r="633" spans="1:55">
      <c r="A633" s="599"/>
      <c r="B633" s="514"/>
      <c r="C633" s="514"/>
      <c r="D633" s="485" t="s">
        <v>2322</v>
      </c>
      <c r="E633" s="474"/>
      <c r="F633" s="474"/>
      <c r="G633" s="474">
        <v>2022</v>
      </c>
      <c r="H633" s="404">
        <v>4</v>
      </c>
      <c r="I633" s="485">
        <v>128135</v>
      </c>
      <c r="J633" s="475">
        <v>44664</v>
      </c>
      <c r="K633" s="483" t="s">
        <v>2514</v>
      </c>
      <c r="L633" s="474" t="s">
        <v>2373</v>
      </c>
      <c r="M633" s="487">
        <v>44523</v>
      </c>
      <c r="N633" s="487">
        <v>44563</v>
      </c>
      <c r="O633" s="487"/>
      <c r="P633" s="475">
        <v>44659</v>
      </c>
      <c r="Q633" s="475">
        <v>44664</v>
      </c>
      <c r="R633" s="475">
        <v>44666</v>
      </c>
      <c r="S633" s="474" t="s">
        <v>1563</v>
      </c>
      <c r="T633" s="474">
        <v>60</v>
      </c>
      <c r="U633" s="474">
        <v>49405140</v>
      </c>
      <c r="V633" s="474" t="s">
        <v>973</v>
      </c>
      <c r="W633" s="474">
        <v>400</v>
      </c>
      <c r="X633" s="476">
        <v>768</v>
      </c>
      <c r="Y633" s="477">
        <f t="shared" si="153"/>
        <v>307200</v>
      </c>
      <c r="Z633" s="478">
        <f>222/400</f>
        <v>0.55500000000000005</v>
      </c>
      <c r="AA633" s="479">
        <f t="shared" si="154"/>
        <v>170496.00000000003</v>
      </c>
      <c r="AB633" s="480"/>
      <c r="AC633" s="481">
        <v>0</v>
      </c>
      <c r="AD633" s="490"/>
      <c r="AE633" s="482"/>
      <c r="AF633" s="493">
        <f t="shared" si="155"/>
        <v>170496.00000000003</v>
      </c>
      <c r="AG633" s="474" t="s">
        <v>1071</v>
      </c>
      <c r="AH633" s="474"/>
      <c r="AI633" s="483" t="s">
        <v>2374</v>
      </c>
      <c r="AJ633" s="474" t="s">
        <v>2515</v>
      </c>
      <c r="AK633" s="494" t="s">
        <v>1085</v>
      </c>
      <c r="AL633" s="483" t="s">
        <v>5495</v>
      </c>
      <c r="AM633" s="474" t="s">
        <v>52</v>
      </c>
      <c r="AN633" s="474" t="s">
        <v>1106</v>
      </c>
      <c r="AO633" s="474"/>
      <c r="AP633" s="486"/>
      <c r="AQ633" s="486" t="s">
        <v>37</v>
      </c>
      <c r="AR633" s="486"/>
      <c r="AS633" s="495"/>
      <c r="AT633" s="495"/>
      <c r="AU633" s="478"/>
      <c r="AV633" s="471">
        <f t="shared" si="145"/>
        <v>49405140</v>
      </c>
      <c r="AW633" s="471" cm="1">
        <f t="array" ref="AW633">SUM(MID(0&amp;AV633,LARGE(INDEX(ISNUMBER(--MID(AV633,ROW($1:$8),1))*ROW($1:$8),),ROW($1:$8))+1,1)*10^ROW($1:$8)/10)</f>
        <v>49405140</v>
      </c>
      <c r="AX633" s="471" t="str">
        <f>VLOOKUP($AW633,'Item Master Data'!$A:$F,3,FALSE)</f>
        <v>Q.PEAK DUO BLK ML G10+</v>
      </c>
      <c r="AY633" s="471">
        <f>VLOOKUP($AW633,'Item Master Data'!$A:$F,6,FALSE)</f>
        <v>400</v>
      </c>
      <c r="AZ633" s="471">
        <f t="shared" si="146"/>
        <v>24</v>
      </c>
      <c r="BA633" s="471">
        <f>VLOOKUP(AW633,'Item Master Data'!$A:$G,7,FALSE)</f>
        <v>32</v>
      </c>
      <c r="BB633" s="471"/>
      <c r="BC633" s="471">
        <f t="shared" si="147"/>
        <v>0</v>
      </c>
    </row>
    <row r="634" spans="1:55">
      <c r="A634" s="599"/>
      <c r="B634" s="514"/>
      <c r="C634" s="514"/>
      <c r="D634" s="485" t="s">
        <v>2322</v>
      </c>
      <c r="E634" s="474"/>
      <c r="F634" s="474"/>
      <c r="G634" s="474">
        <v>2022</v>
      </c>
      <c r="H634" s="404">
        <v>4</v>
      </c>
      <c r="I634" s="485">
        <v>128057</v>
      </c>
      <c r="J634" s="475">
        <v>44666</v>
      </c>
      <c r="K634" s="483" t="s">
        <v>2372</v>
      </c>
      <c r="L634" s="474" t="s">
        <v>2373</v>
      </c>
      <c r="M634" s="487">
        <v>44523</v>
      </c>
      <c r="N634" s="487">
        <v>44563</v>
      </c>
      <c r="O634" s="487"/>
      <c r="P634" s="475">
        <v>44659</v>
      </c>
      <c r="Q634" s="475">
        <v>44666</v>
      </c>
      <c r="R634" s="475">
        <v>44669</v>
      </c>
      <c r="S634" s="474" t="s">
        <v>1563</v>
      </c>
      <c r="T634" s="474">
        <v>60</v>
      </c>
      <c r="U634" s="474" t="s">
        <v>1760</v>
      </c>
      <c r="V634" s="474" t="s">
        <v>973</v>
      </c>
      <c r="W634" s="474">
        <v>400</v>
      </c>
      <c r="X634" s="476">
        <v>768</v>
      </c>
      <c r="Y634" s="477">
        <f t="shared" si="153"/>
        <v>307200</v>
      </c>
      <c r="Z634" s="478">
        <f>222/400</f>
        <v>0.55500000000000005</v>
      </c>
      <c r="AA634" s="479">
        <f t="shared" si="154"/>
        <v>170496.00000000003</v>
      </c>
      <c r="AB634" s="480"/>
      <c r="AC634" s="481">
        <v>0</v>
      </c>
      <c r="AD634" s="490"/>
      <c r="AE634" s="482"/>
      <c r="AF634" s="493">
        <f t="shared" si="155"/>
        <v>170496.00000000003</v>
      </c>
      <c r="AG634" s="474" t="s">
        <v>1071</v>
      </c>
      <c r="AH634" s="474"/>
      <c r="AI634" s="483" t="s">
        <v>2374</v>
      </c>
      <c r="AJ634" s="474" t="s">
        <v>1593</v>
      </c>
      <c r="AK634" s="494" t="s">
        <v>1144</v>
      </c>
      <c r="AL634" s="474">
        <v>78744</v>
      </c>
      <c r="AM634" s="474" t="s">
        <v>52</v>
      </c>
      <c r="AN634" s="474" t="s">
        <v>50</v>
      </c>
      <c r="AO634" s="474"/>
      <c r="AP634" s="486" t="s">
        <v>38</v>
      </c>
      <c r="AQ634" s="486" t="s">
        <v>37</v>
      </c>
      <c r="AR634" s="486"/>
      <c r="AS634" s="495"/>
      <c r="AT634" s="495"/>
      <c r="AU634" s="478"/>
      <c r="AV634" s="471" t="str">
        <f t="shared" si="145"/>
        <v>30390156H</v>
      </c>
      <c r="AW634" s="471" cm="1">
        <f t="array" ref="AW634">SUM(MID(0&amp;AV634,LARGE(INDEX(ISNUMBER(--MID(AV634,ROW($1:$8),1))*ROW($1:$8),),ROW($1:$8))+1,1)*10^ROW($1:$8)/10)</f>
        <v>30390156</v>
      </c>
      <c r="AX634" s="471" t="str">
        <f>VLOOKUP($AW634,'Item Master Data'!$A:$F,3,FALSE)</f>
        <v>Q.PEAK DUO BLK ML G10+</v>
      </c>
      <c r="AY634" s="471">
        <f>VLOOKUP($AW634,'Item Master Data'!$A:$F,6,FALSE)</f>
        <v>400</v>
      </c>
      <c r="AZ634" s="471">
        <f t="shared" si="146"/>
        <v>24</v>
      </c>
      <c r="BA634" s="471">
        <f>VLOOKUP(AW634,'Item Master Data'!$A:$G,7,FALSE)</f>
        <v>32</v>
      </c>
      <c r="BB634" s="471"/>
      <c r="BC634" s="471">
        <f t="shared" si="147"/>
        <v>0</v>
      </c>
    </row>
    <row r="635" spans="1:55">
      <c r="A635" s="472"/>
      <c r="B635" s="514"/>
      <c r="C635" s="514"/>
      <c r="D635" s="485" t="s">
        <v>2322</v>
      </c>
      <c r="E635" s="474"/>
      <c r="F635" s="474"/>
      <c r="G635" s="474">
        <v>2022</v>
      </c>
      <c r="H635" s="474">
        <v>4</v>
      </c>
      <c r="I635" s="485">
        <v>128053</v>
      </c>
      <c r="J635" s="475">
        <v>44665</v>
      </c>
      <c r="K635" s="483" t="s">
        <v>5388</v>
      </c>
      <c r="L635" s="474" t="s">
        <v>2373</v>
      </c>
      <c r="M635" s="487">
        <v>44523</v>
      </c>
      <c r="N635" s="487">
        <v>44594</v>
      </c>
      <c r="O635" s="487"/>
      <c r="P635" s="475">
        <v>44659</v>
      </c>
      <c r="Q635" s="475">
        <v>44665</v>
      </c>
      <c r="R635" s="475">
        <v>44666</v>
      </c>
      <c r="S635" s="474" t="s">
        <v>1563</v>
      </c>
      <c r="T635" s="474">
        <v>60</v>
      </c>
      <c r="U635" s="474" t="s">
        <v>1760</v>
      </c>
      <c r="V635" s="474" t="s">
        <v>973</v>
      </c>
      <c r="W635" s="474">
        <v>400</v>
      </c>
      <c r="X635" s="476">
        <v>768</v>
      </c>
      <c r="Y635" s="477">
        <f t="shared" si="153"/>
        <v>307200</v>
      </c>
      <c r="Z635" s="478">
        <v>0.55500000000000005</v>
      </c>
      <c r="AA635" s="479">
        <f t="shared" si="154"/>
        <v>170496.00000000003</v>
      </c>
      <c r="AB635" s="480"/>
      <c r="AC635" s="481">
        <v>0</v>
      </c>
      <c r="AD635" s="490"/>
      <c r="AE635" s="482"/>
      <c r="AF635" s="493">
        <f t="shared" si="155"/>
        <v>170496.00000000003</v>
      </c>
      <c r="AG635" s="474" t="s">
        <v>1071</v>
      </c>
      <c r="AH635" s="474"/>
      <c r="AI635" s="483" t="s">
        <v>2374</v>
      </c>
      <c r="AJ635" s="474" t="s">
        <v>1790</v>
      </c>
      <c r="AK635" s="494" t="s">
        <v>50</v>
      </c>
      <c r="AL635" s="474">
        <v>95834</v>
      </c>
      <c r="AM635" s="474" t="s">
        <v>52</v>
      </c>
      <c r="AN635" s="474" t="s">
        <v>50</v>
      </c>
      <c r="AO635" s="474"/>
      <c r="AP635" s="486" t="s">
        <v>38</v>
      </c>
      <c r="AQ635" s="486" t="s">
        <v>37</v>
      </c>
      <c r="AR635" s="486"/>
      <c r="AS635" s="495"/>
      <c r="AT635" s="495"/>
      <c r="AU635" s="478"/>
      <c r="AV635" s="471" t="str">
        <f t="shared" ref="AV635:AV671" si="156">U635</f>
        <v>30390156H</v>
      </c>
      <c r="AW635" s="471" cm="1">
        <f t="array" ref="AW635">SUM(MID(0&amp;AV635,LARGE(INDEX(ISNUMBER(--MID(AV635,ROW($1:$8),1))*ROW($1:$8),),ROW($1:$8))+1,1)*10^ROW($1:$8)/10)</f>
        <v>30390156</v>
      </c>
      <c r="AX635" s="471" t="str">
        <f>VLOOKUP($AW635,'Item Master Data'!$A:$F,3,FALSE)</f>
        <v>Q.PEAK DUO BLK ML G10+</v>
      </c>
      <c r="AY635" s="471">
        <f>VLOOKUP($AW635,'Item Master Data'!$A:$F,6,FALSE)</f>
        <v>400</v>
      </c>
      <c r="AZ635" s="471">
        <f t="shared" ref="AZ635:AZ666" si="157">X635/BA635</f>
        <v>24</v>
      </c>
      <c r="BA635" s="471">
        <f>VLOOKUP(AW635,'Item Master Data'!$A:$G,7,FALSE)</f>
        <v>32</v>
      </c>
      <c r="BB635" s="471"/>
      <c r="BC635" s="471">
        <f t="shared" ref="BC635:BC671" si="158">W635-AY635</f>
        <v>0</v>
      </c>
    </row>
    <row r="636" spans="1:55">
      <c r="A636" s="599"/>
      <c r="B636" s="514"/>
      <c r="C636" s="514"/>
      <c r="D636" s="485" t="s">
        <v>2322</v>
      </c>
      <c r="E636" s="474"/>
      <c r="F636" s="474"/>
      <c r="G636" s="474">
        <v>2022</v>
      </c>
      <c r="H636" s="404">
        <v>4</v>
      </c>
      <c r="I636" s="485">
        <v>128222</v>
      </c>
      <c r="J636" s="475">
        <v>44665</v>
      </c>
      <c r="K636" s="483" t="s">
        <v>2516</v>
      </c>
      <c r="L636" s="474" t="s">
        <v>2373</v>
      </c>
      <c r="M636" s="487">
        <v>44523</v>
      </c>
      <c r="N636" s="487">
        <v>44563</v>
      </c>
      <c r="O636" s="487"/>
      <c r="P636" s="475">
        <v>44659</v>
      </c>
      <c r="Q636" s="475">
        <v>44665</v>
      </c>
      <c r="R636" s="475">
        <v>44666</v>
      </c>
      <c r="S636" s="474" t="s">
        <v>1563</v>
      </c>
      <c r="T636" s="474">
        <v>60</v>
      </c>
      <c r="U636" s="474" t="s">
        <v>1760</v>
      </c>
      <c r="V636" s="474" t="s">
        <v>973</v>
      </c>
      <c r="W636" s="474">
        <v>400</v>
      </c>
      <c r="X636" s="476">
        <v>768</v>
      </c>
      <c r="Y636" s="491">
        <f t="shared" si="153"/>
        <v>307200</v>
      </c>
      <c r="Z636" s="478">
        <f>222/400</f>
        <v>0.55500000000000005</v>
      </c>
      <c r="AA636" s="479">
        <f t="shared" si="154"/>
        <v>170496.00000000003</v>
      </c>
      <c r="AB636" s="480"/>
      <c r="AC636" s="481">
        <v>0</v>
      </c>
      <c r="AD636" s="490"/>
      <c r="AE636" s="482"/>
      <c r="AF636" s="493">
        <f t="shared" si="155"/>
        <v>170496.00000000003</v>
      </c>
      <c r="AG636" s="474" t="s">
        <v>1071</v>
      </c>
      <c r="AH636" s="474"/>
      <c r="AI636" s="483" t="s">
        <v>2374</v>
      </c>
      <c r="AJ636" s="474" t="s">
        <v>2376</v>
      </c>
      <c r="AK636" s="494" t="s">
        <v>50</v>
      </c>
      <c r="AL636" s="474">
        <v>93065</v>
      </c>
      <c r="AM636" s="474" t="s">
        <v>52</v>
      </c>
      <c r="AN636" s="474" t="s">
        <v>50</v>
      </c>
      <c r="AO636" s="474"/>
      <c r="AP636" s="486" t="s">
        <v>38</v>
      </c>
      <c r="AQ636" s="486" t="s">
        <v>37</v>
      </c>
      <c r="AR636" s="486"/>
      <c r="AS636" s="495"/>
      <c r="AT636" s="495"/>
      <c r="AU636" s="478"/>
      <c r="AV636" s="471" t="str">
        <f t="shared" si="156"/>
        <v>30390156H</v>
      </c>
      <c r="AW636" s="471" cm="1">
        <f t="array" ref="AW636">SUM(MID(0&amp;AV636,LARGE(INDEX(ISNUMBER(--MID(AV636,ROW($1:$8),1))*ROW($1:$8),),ROW($1:$8))+1,1)*10^ROW($1:$8)/10)</f>
        <v>30390156</v>
      </c>
      <c r="AX636" s="471" t="str">
        <f>VLOOKUP($AW636,'Item Master Data'!$A:$F,3,FALSE)</f>
        <v>Q.PEAK DUO BLK ML G10+</v>
      </c>
      <c r="AY636" s="471">
        <f>VLOOKUP($AW636,'Item Master Data'!$A:$F,6,FALSE)</f>
        <v>400</v>
      </c>
      <c r="AZ636" s="471">
        <f t="shared" si="157"/>
        <v>24</v>
      </c>
      <c r="BA636" s="471">
        <f>VLOOKUP(AW636,'Item Master Data'!$A:$G,7,FALSE)</f>
        <v>32</v>
      </c>
      <c r="BB636" s="471"/>
      <c r="BC636" s="471">
        <f t="shared" si="158"/>
        <v>0</v>
      </c>
    </row>
    <row r="637" spans="1:55">
      <c r="A637" s="599">
        <v>10</v>
      </c>
      <c r="B637" s="514"/>
      <c r="C637" s="514"/>
      <c r="D637" s="485" t="s">
        <v>2322</v>
      </c>
      <c r="E637" s="474"/>
      <c r="F637" s="474"/>
      <c r="G637" s="474">
        <v>2022</v>
      </c>
      <c r="H637" s="474">
        <v>4</v>
      </c>
      <c r="I637" s="485"/>
      <c r="J637" s="475"/>
      <c r="K637" s="483" t="s">
        <v>2505</v>
      </c>
      <c r="L637" s="474" t="s">
        <v>2373</v>
      </c>
      <c r="M637" s="487">
        <v>44523</v>
      </c>
      <c r="N637" s="487">
        <v>44563</v>
      </c>
      <c r="O637" s="487"/>
      <c r="P637" s="475">
        <v>44677</v>
      </c>
      <c r="Q637" s="475"/>
      <c r="R637" s="475"/>
      <c r="S637" s="474" t="s">
        <v>1563</v>
      </c>
      <c r="T637" s="474">
        <v>60</v>
      </c>
      <c r="U637" s="474" t="s">
        <v>1760</v>
      </c>
      <c r="V637" s="474" t="s">
        <v>973</v>
      </c>
      <c r="W637" s="474">
        <v>400</v>
      </c>
      <c r="X637" s="476">
        <v>384</v>
      </c>
      <c r="Y637" s="491">
        <f t="shared" si="153"/>
        <v>153600</v>
      </c>
      <c r="Z637" s="478">
        <f>222/400</f>
        <v>0.55500000000000005</v>
      </c>
      <c r="AA637" s="479">
        <f t="shared" si="154"/>
        <v>85248.000000000015</v>
      </c>
      <c r="AB637" s="480"/>
      <c r="AC637" s="481">
        <v>0</v>
      </c>
      <c r="AD637" s="490"/>
      <c r="AE637" s="482"/>
      <c r="AF637" s="493">
        <f t="shared" si="155"/>
        <v>85248.000000000015</v>
      </c>
      <c r="AG637" s="474" t="s">
        <v>1071</v>
      </c>
      <c r="AH637" s="474"/>
      <c r="AI637" s="483" t="s">
        <v>2374</v>
      </c>
      <c r="AJ637" s="474" t="s">
        <v>2506</v>
      </c>
      <c r="AK637" s="494" t="s">
        <v>1084</v>
      </c>
      <c r="AL637" s="474">
        <v>3360</v>
      </c>
      <c r="AM637" s="474" t="s">
        <v>52</v>
      </c>
      <c r="AN637" s="474" t="s">
        <v>50</v>
      </c>
      <c r="AO637" s="474"/>
      <c r="AP637" s="486"/>
      <c r="AQ637" s="486" t="s">
        <v>37</v>
      </c>
      <c r="AR637" s="486"/>
      <c r="AS637" s="495"/>
      <c r="AT637" s="495"/>
      <c r="AU637" s="478"/>
      <c r="AV637" s="471" t="str">
        <f t="shared" si="156"/>
        <v>30390156H</v>
      </c>
      <c r="AW637" s="471" cm="1">
        <f t="array" ref="AW637">SUM(MID(0&amp;AV637,LARGE(INDEX(ISNUMBER(--MID(AV637,ROW($1:$8),1))*ROW($1:$8),),ROW($1:$8))+1,1)*10^ROW($1:$8)/10)</f>
        <v>30390156</v>
      </c>
      <c r="AX637" s="471" t="str">
        <f>VLOOKUP($AW637,'Item Master Data'!$A:$F,3,FALSE)</f>
        <v>Q.PEAK DUO BLK ML G10+</v>
      </c>
      <c r="AY637" s="471">
        <f>VLOOKUP($AW637,'Item Master Data'!$A:$F,6,FALSE)</f>
        <v>400</v>
      </c>
      <c r="AZ637" s="471">
        <f t="shared" si="157"/>
        <v>12</v>
      </c>
      <c r="BA637" s="471">
        <f>VLOOKUP(AW637,'Item Master Data'!$A:$G,7,FALSE)</f>
        <v>32</v>
      </c>
      <c r="BB637" s="471"/>
      <c r="BC637" s="471">
        <f t="shared" si="158"/>
        <v>0</v>
      </c>
    </row>
    <row r="638" spans="1:55">
      <c r="A638" s="472"/>
      <c r="B638" s="514"/>
      <c r="C638" s="514"/>
      <c r="D638" s="485" t="s">
        <v>2322</v>
      </c>
      <c r="E638" s="474"/>
      <c r="F638" s="474"/>
      <c r="G638" s="474">
        <v>2022</v>
      </c>
      <c r="H638" s="474">
        <v>4</v>
      </c>
      <c r="I638" s="485">
        <v>128055</v>
      </c>
      <c r="J638" s="475">
        <v>44666</v>
      </c>
      <c r="K638" s="483" t="s">
        <v>2509</v>
      </c>
      <c r="L638" s="474" t="s">
        <v>2373</v>
      </c>
      <c r="M638" s="487">
        <v>44523</v>
      </c>
      <c r="N638" s="487">
        <v>44594</v>
      </c>
      <c r="O638" s="487"/>
      <c r="P638" s="475">
        <v>44659</v>
      </c>
      <c r="Q638" s="475">
        <v>44666</v>
      </c>
      <c r="R638" s="475">
        <v>44669</v>
      </c>
      <c r="S638" s="474" t="s">
        <v>1563</v>
      </c>
      <c r="T638" s="474">
        <v>60</v>
      </c>
      <c r="U638" s="474" t="s">
        <v>1760</v>
      </c>
      <c r="V638" s="474" t="s">
        <v>973</v>
      </c>
      <c r="W638" s="474">
        <v>400</v>
      </c>
      <c r="X638" s="476">
        <v>768</v>
      </c>
      <c r="Y638" s="477">
        <f t="shared" si="153"/>
        <v>307200</v>
      </c>
      <c r="Z638" s="478">
        <v>0.55500000000000005</v>
      </c>
      <c r="AA638" s="479">
        <f t="shared" si="154"/>
        <v>170496.00000000003</v>
      </c>
      <c r="AB638" s="480"/>
      <c r="AC638" s="481">
        <v>0</v>
      </c>
      <c r="AD638" s="490"/>
      <c r="AE638" s="482"/>
      <c r="AF638" s="493">
        <f t="shared" si="155"/>
        <v>170496.00000000003</v>
      </c>
      <c r="AG638" s="474" t="s">
        <v>1071</v>
      </c>
      <c r="AH638" s="474"/>
      <c r="AI638" s="483" t="s">
        <v>2374</v>
      </c>
      <c r="AJ638" s="474" t="s">
        <v>2510</v>
      </c>
      <c r="AK638" s="494" t="s">
        <v>1144</v>
      </c>
      <c r="AL638" s="474">
        <v>75061</v>
      </c>
      <c r="AM638" s="474" t="s">
        <v>52</v>
      </c>
      <c r="AN638" s="474" t="s">
        <v>50</v>
      </c>
      <c r="AO638" s="474"/>
      <c r="AP638" s="486" t="s">
        <v>38</v>
      </c>
      <c r="AQ638" s="486" t="s">
        <v>37</v>
      </c>
      <c r="AR638" s="486"/>
      <c r="AS638" s="495"/>
      <c r="AT638" s="495"/>
      <c r="AU638" s="478"/>
      <c r="AV638" s="471" t="str">
        <f t="shared" si="156"/>
        <v>30390156H</v>
      </c>
      <c r="AW638" s="471" cm="1">
        <f t="array" ref="AW638">SUM(MID(0&amp;AV638,LARGE(INDEX(ISNUMBER(--MID(AV638,ROW($1:$8),1))*ROW($1:$8),),ROW($1:$8))+1,1)*10^ROW($1:$8)/10)</f>
        <v>30390156</v>
      </c>
      <c r="AX638" s="471" t="str">
        <f>VLOOKUP($AW638,'Item Master Data'!$A:$F,3,FALSE)</f>
        <v>Q.PEAK DUO BLK ML G10+</v>
      </c>
      <c r="AY638" s="471">
        <f>VLOOKUP($AW638,'Item Master Data'!$A:$F,6,FALSE)</f>
        <v>400</v>
      </c>
      <c r="AZ638" s="471">
        <f t="shared" si="157"/>
        <v>24</v>
      </c>
      <c r="BA638" s="471">
        <f>VLOOKUP(AW638,'Item Master Data'!$A:$G,7,FALSE)</f>
        <v>32</v>
      </c>
      <c r="BB638" s="471"/>
      <c r="BC638" s="471">
        <f t="shared" si="158"/>
        <v>0</v>
      </c>
    </row>
    <row r="639" spans="1:55">
      <c r="A639" s="472"/>
      <c r="B639" s="514"/>
      <c r="C639" s="514"/>
      <c r="D639" s="485" t="s">
        <v>2322</v>
      </c>
      <c r="E639" s="474"/>
      <c r="F639" s="474"/>
      <c r="G639" s="474">
        <v>2022</v>
      </c>
      <c r="H639" s="474">
        <v>4</v>
      </c>
      <c r="I639" s="485">
        <v>128056</v>
      </c>
      <c r="J639" s="475">
        <v>44669</v>
      </c>
      <c r="K639" s="483" t="s">
        <v>2513</v>
      </c>
      <c r="L639" s="474" t="s">
        <v>2373</v>
      </c>
      <c r="M639" s="487">
        <v>44523</v>
      </c>
      <c r="N639" s="487">
        <v>44594</v>
      </c>
      <c r="O639" s="487"/>
      <c r="P639" s="475">
        <v>44664</v>
      </c>
      <c r="Q639" s="475">
        <v>44669</v>
      </c>
      <c r="R639" s="475">
        <v>44670</v>
      </c>
      <c r="S639" s="474" t="s">
        <v>1563</v>
      </c>
      <c r="T639" s="474">
        <v>60</v>
      </c>
      <c r="U639" s="474" t="s">
        <v>1760</v>
      </c>
      <c r="V639" s="474" t="s">
        <v>973</v>
      </c>
      <c r="W639" s="474">
        <v>400</v>
      </c>
      <c r="X639" s="476">
        <v>1024</v>
      </c>
      <c r="Y639" s="477">
        <f t="shared" si="153"/>
        <v>409600</v>
      </c>
      <c r="Z639" s="478">
        <v>0.55500000000000005</v>
      </c>
      <c r="AA639" s="479">
        <f t="shared" si="154"/>
        <v>227328.00000000003</v>
      </c>
      <c r="AB639" s="480"/>
      <c r="AC639" s="481">
        <v>0</v>
      </c>
      <c r="AD639" s="490"/>
      <c r="AE639" s="482"/>
      <c r="AF639" s="493">
        <f t="shared" si="155"/>
        <v>227328.00000000003</v>
      </c>
      <c r="AG639" s="474" t="s">
        <v>1071</v>
      </c>
      <c r="AH639" s="474"/>
      <c r="AI639" s="483" t="s">
        <v>2374</v>
      </c>
      <c r="AJ639" s="474" t="s">
        <v>2376</v>
      </c>
      <c r="AK639" s="494" t="s">
        <v>50</v>
      </c>
      <c r="AL639" s="474">
        <v>93065</v>
      </c>
      <c r="AM639" s="474" t="s">
        <v>52</v>
      </c>
      <c r="AN639" s="474" t="s">
        <v>50</v>
      </c>
      <c r="AO639" s="474"/>
      <c r="AP639" s="486" t="s">
        <v>38</v>
      </c>
      <c r="AQ639" s="486" t="s">
        <v>37</v>
      </c>
      <c r="AR639" s="486"/>
      <c r="AS639" s="495"/>
      <c r="AT639" s="495"/>
      <c r="AU639" s="478"/>
      <c r="AV639" s="471" t="str">
        <f t="shared" si="156"/>
        <v>30390156H</v>
      </c>
      <c r="AW639" s="471" cm="1">
        <f t="array" ref="AW639">SUM(MID(0&amp;AV639,LARGE(INDEX(ISNUMBER(--MID(AV639,ROW($1:$8),1))*ROW($1:$8),),ROW($1:$8))+1,1)*10^ROW($1:$8)/10)</f>
        <v>30390156</v>
      </c>
      <c r="AX639" s="471" t="str">
        <f>VLOOKUP($AW639,'Item Master Data'!$A:$F,3,FALSE)</f>
        <v>Q.PEAK DUO BLK ML G10+</v>
      </c>
      <c r="AY639" s="471">
        <f>VLOOKUP($AW639,'Item Master Data'!$A:$F,6,FALSE)</f>
        <v>400</v>
      </c>
      <c r="AZ639" s="471">
        <f t="shared" si="157"/>
        <v>32</v>
      </c>
      <c r="BA639" s="471">
        <f>VLOOKUP(AW639,'Item Master Data'!$A:$G,7,FALSE)</f>
        <v>32</v>
      </c>
      <c r="BB639" s="471"/>
      <c r="BC639" s="471">
        <f t="shared" si="158"/>
        <v>0</v>
      </c>
    </row>
    <row r="640" spans="1:55">
      <c r="A640" s="472"/>
      <c r="B640" s="514"/>
      <c r="C640" s="514"/>
      <c r="D640" s="485" t="s">
        <v>2322</v>
      </c>
      <c r="E640" s="474"/>
      <c r="F640" s="474"/>
      <c r="G640" s="474">
        <v>2022</v>
      </c>
      <c r="H640" s="474">
        <v>4</v>
      </c>
      <c r="I640" s="485">
        <v>128054</v>
      </c>
      <c r="J640" s="475">
        <v>44670</v>
      </c>
      <c r="K640" s="483" t="s">
        <v>2508</v>
      </c>
      <c r="L640" s="474" t="s">
        <v>2373</v>
      </c>
      <c r="M640" s="487">
        <v>44523</v>
      </c>
      <c r="N640" s="487">
        <v>44594</v>
      </c>
      <c r="O640" s="487"/>
      <c r="P640" s="475">
        <v>44659</v>
      </c>
      <c r="Q640" s="475">
        <v>44670</v>
      </c>
      <c r="R640" s="475">
        <v>44672</v>
      </c>
      <c r="S640" s="474" t="s">
        <v>1563</v>
      </c>
      <c r="T640" s="474">
        <v>60</v>
      </c>
      <c r="U640" s="474">
        <v>49405140</v>
      </c>
      <c r="V640" s="474" t="s">
        <v>973</v>
      </c>
      <c r="W640" s="474">
        <v>400</v>
      </c>
      <c r="X640" s="476">
        <v>768</v>
      </c>
      <c r="Y640" s="477">
        <f t="shared" si="153"/>
        <v>307200</v>
      </c>
      <c r="Z640" s="478">
        <v>0.55500000000000005</v>
      </c>
      <c r="AA640" s="479">
        <f t="shared" si="154"/>
        <v>170496.00000000003</v>
      </c>
      <c r="AB640" s="480"/>
      <c r="AC640" s="481">
        <v>0</v>
      </c>
      <c r="AD640" s="490"/>
      <c r="AE640" s="482"/>
      <c r="AF640" s="493">
        <f t="shared" si="155"/>
        <v>170496.00000000003</v>
      </c>
      <c r="AG640" s="474" t="s">
        <v>1071</v>
      </c>
      <c r="AH640" s="474"/>
      <c r="AI640" s="483" t="s">
        <v>2374</v>
      </c>
      <c r="AJ640" s="474" t="s">
        <v>2506</v>
      </c>
      <c r="AK640" s="494" t="s">
        <v>1084</v>
      </c>
      <c r="AL640" s="474">
        <v>33605</v>
      </c>
      <c r="AM640" s="474" t="s">
        <v>52</v>
      </c>
      <c r="AN640" s="474" t="s">
        <v>1106</v>
      </c>
      <c r="AO640" s="474"/>
      <c r="AP640" s="486"/>
      <c r="AQ640" s="486" t="s">
        <v>37</v>
      </c>
      <c r="AR640" s="486"/>
      <c r="AS640" s="495"/>
      <c r="AT640" s="495"/>
      <c r="AU640" s="478"/>
      <c r="AV640" s="471">
        <f t="shared" si="156"/>
        <v>49405140</v>
      </c>
      <c r="AW640" s="471" cm="1">
        <f t="array" ref="AW640">SUM(MID(0&amp;AV640,LARGE(INDEX(ISNUMBER(--MID(AV640,ROW($1:$8),1))*ROW($1:$8),),ROW($1:$8))+1,1)*10^ROW($1:$8)/10)</f>
        <v>49405140</v>
      </c>
      <c r="AX640" s="471" t="str">
        <f>VLOOKUP($AW640,'Item Master Data'!$A:$F,3,FALSE)</f>
        <v>Q.PEAK DUO BLK ML G10+</v>
      </c>
      <c r="AY640" s="471">
        <f>VLOOKUP($AW640,'Item Master Data'!$A:$F,6,FALSE)</f>
        <v>400</v>
      </c>
      <c r="AZ640" s="471">
        <f t="shared" si="157"/>
        <v>24</v>
      </c>
      <c r="BA640" s="471">
        <f>VLOOKUP(AW640,'Item Master Data'!$A:$G,7,FALSE)</f>
        <v>32</v>
      </c>
      <c r="BB640" s="471"/>
      <c r="BC640" s="471">
        <f t="shared" si="158"/>
        <v>0</v>
      </c>
    </row>
    <row r="641" spans="1:55">
      <c r="A641" s="472"/>
      <c r="B641" s="514"/>
      <c r="C641" s="514"/>
      <c r="D641" s="485" t="s">
        <v>2322</v>
      </c>
      <c r="E641" s="474"/>
      <c r="F641" s="474"/>
      <c r="G641" s="474">
        <v>2022</v>
      </c>
      <c r="H641" s="474">
        <v>4</v>
      </c>
      <c r="I641" s="485">
        <v>128201</v>
      </c>
      <c r="J641" s="475">
        <v>44671</v>
      </c>
      <c r="K641" s="483" t="s">
        <v>2511</v>
      </c>
      <c r="L641" s="474" t="s">
        <v>2373</v>
      </c>
      <c r="M641" s="487">
        <v>44523</v>
      </c>
      <c r="N641" s="487">
        <v>44594</v>
      </c>
      <c r="O641" s="487"/>
      <c r="P641" s="475">
        <v>44664</v>
      </c>
      <c r="Q641" s="475">
        <v>44671</v>
      </c>
      <c r="R641" s="475">
        <v>44672</v>
      </c>
      <c r="S641" s="474" t="s">
        <v>1563</v>
      </c>
      <c r="T641" s="474">
        <v>60</v>
      </c>
      <c r="U641" s="474">
        <v>49405140</v>
      </c>
      <c r="V641" s="474" t="s">
        <v>973</v>
      </c>
      <c r="W641" s="474">
        <v>400</v>
      </c>
      <c r="X641" s="476">
        <v>768</v>
      </c>
      <c r="Y641" s="477">
        <f t="shared" si="153"/>
        <v>307200</v>
      </c>
      <c r="Z641" s="478">
        <v>0.55500000000000005</v>
      </c>
      <c r="AA641" s="479">
        <f t="shared" si="154"/>
        <v>170496.00000000003</v>
      </c>
      <c r="AB641" s="480"/>
      <c r="AC641" s="481">
        <v>0</v>
      </c>
      <c r="AD641" s="490"/>
      <c r="AE641" s="482"/>
      <c r="AF641" s="493">
        <f t="shared" si="155"/>
        <v>170496.00000000003</v>
      </c>
      <c r="AG641" s="474" t="s">
        <v>1071</v>
      </c>
      <c r="AH641" s="474"/>
      <c r="AI641" s="483" t="s">
        <v>2374</v>
      </c>
      <c r="AJ641" s="474" t="s">
        <v>2512</v>
      </c>
      <c r="AK641" s="494" t="s">
        <v>1096</v>
      </c>
      <c r="AL641" s="474">
        <v>2780</v>
      </c>
      <c r="AM641" s="474" t="s">
        <v>52</v>
      </c>
      <c r="AN641" s="474" t="s">
        <v>1106</v>
      </c>
      <c r="AO641" s="474"/>
      <c r="AP641" s="486" t="s">
        <v>38</v>
      </c>
      <c r="AQ641" s="486" t="s">
        <v>37</v>
      </c>
      <c r="AR641" s="486"/>
      <c r="AS641" s="495"/>
      <c r="AT641" s="495"/>
      <c r="AU641" s="478"/>
      <c r="AV641" s="471">
        <f t="shared" si="156"/>
        <v>49405140</v>
      </c>
      <c r="AW641" s="471" cm="1">
        <f t="array" ref="AW641">SUM(MID(0&amp;AV641,LARGE(INDEX(ISNUMBER(--MID(AV641,ROW($1:$8),1))*ROW($1:$8),),ROW($1:$8))+1,1)*10^ROW($1:$8)/10)</f>
        <v>49405140</v>
      </c>
      <c r="AX641" s="471" t="str">
        <f>VLOOKUP($AW641,'Item Master Data'!$A:$F,3,FALSE)</f>
        <v>Q.PEAK DUO BLK ML G10+</v>
      </c>
      <c r="AY641" s="471">
        <f>VLOOKUP($AW641,'Item Master Data'!$A:$F,6,FALSE)</f>
        <v>400</v>
      </c>
      <c r="AZ641" s="471">
        <f t="shared" si="157"/>
        <v>24</v>
      </c>
      <c r="BA641" s="471">
        <f>VLOOKUP(AW641,'Item Master Data'!$A:$G,7,FALSE)</f>
        <v>32</v>
      </c>
      <c r="BB641" s="471"/>
      <c r="BC641" s="471">
        <f t="shared" si="158"/>
        <v>0</v>
      </c>
    </row>
    <row r="642" spans="1:55">
      <c r="A642" s="472"/>
      <c r="B642" s="514"/>
      <c r="C642" s="514"/>
      <c r="D642" s="485" t="s">
        <v>2322</v>
      </c>
      <c r="E642" s="474" t="s">
        <v>2637</v>
      </c>
      <c r="F642" s="474"/>
      <c r="G642" s="474">
        <v>2022</v>
      </c>
      <c r="H642" s="474">
        <v>5</v>
      </c>
      <c r="I642" s="485"/>
      <c r="J642" s="475"/>
      <c r="K642" s="483" t="s">
        <v>5563</v>
      </c>
      <c r="L642" s="474" t="s">
        <v>2373</v>
      </c>
      <c r="M642" s="487">
        <v>44523</v>
      </c>
      <c r="N642" s="487">
        <v>44622</v>
      </c>
      <c r="O642" s="487"/>
      <c r="P642" s="502">
        <v>44679</v>
      </c>
      <c r="Q642" s="475"/>
      <c r="R642" s="475"/>
      <c r="S642" s="474" t="s">
        <v>1563</v>
      </c>
      <c r="T642" s="474">
        <v>60</v>
      </c>
      <c r="U642" s="474" t="s">
        <v>1281</v>
      </c>
      <c r="V642" s="474" t="s">
        <v>973</v>
      </c>
      <c r="W642" s="474">
        <v>400</v>
      </c>
      <c r="X642" s="476">
        <v>832</v>
      </c>
      <c r="Y642" s="477">
        <f t="shared" si="153"/>
        <v>332800</v>
      </c>
      <c r="Z642" s="478">
        <v>0.55500000000000005</v>
      </c>
      <c r="AA642" s="479">
        <f t="shared" si="154"/>
        <v>184704.00000000003</v>
      </c>
      <c r="AB642" s="480"/>
      <c r="AC642" s="481">
        <v>0</v>
      </c>
      <c r="AD642" s="490"/>
      <c r="AE642" s="482"/>
      <c r="AF642" s="493">
        <f t="shared" si="155"/>
        <v>184704.00000000003</v>
      </c>
      <c r="AG642" s="474" t="s">
        <v>1071</v>
      </c>
      <c r="AH642" s="474"/>
      <c r="AI642" s="483" t="s">
        <v>2374</v>
      </c>
      <c r="AJ642" s="474" t="s">
        <v>2376</v>
      </c>
      <c r="AK642" s="494" t="s">
        <v>50</v>
      </c>
      <c r="AL642" s="474">
        <v>93065</v>
      </c>
      <c r="AM642" s="474" t="s">
        <v>52</v>
      </c>
      <c r="AN642" s="474" t="s">
        <v>50</v>
      </c>
      <c r="AO642" s="474"/>
      <c r="AP642" s="486"/>
      <c r="AQ642" s="486" t="s">
        <v>37</v>
      </c>
      <c r="AR642" s="486"/>
      <c r="AS642" s="495"/>
      <c r="AT642" s="495"/>
      <c r="AU642" s="478"/>
      <c r="AV642" s="471" t="str">
        <f t="shared" si="156"/>
        <v>30390456H</v>
      </c>
      <c r="AW642" s="471" cm="1">
        <f t="array" ref="AW642">SUM(MID(0&amp;AV642,LARGE(INDEX(ISNUMBER(--MID(AV642,ROW($1:$8),1))*ROW($1:$8),),ROW($1:$8))+1,1)*10^ROW($1:$8)/10)</f>
        <v>30390456</v>
      </c>
      <c r="AX642" s="471" t="str">
        <f>VLOOKUP($AW642,'Item Master Data'!$A:$F,3,FALSE)</f>
        <v>Q.PEAK DUO BLK ML G10+</v>
      </c>
      <c r="AY642" s="471">
        <f>VLOOKUP($AW642,'Item Master Data'!$A:$F,6,FALSE)</f>
        <v>400</v>
      </c>
      <c r="AZ642" s="471">
        <f t="shared" si="157"/>
        <v>26</v>
      </c>
      <c r="BA642" s="471">
        <f>VLOOKUP(AW642,'Item Master Data'!$A:$G,7,FALSE)</f>
        <v>32</v>
      </c>
      <c r="BB642" s="471"/>
      <c r="BC642" s="471">
        <f t="shared" si="158"/>
        <v>0</v>
      </c>
    </row>
    <row r="643" spans="1:55">
      <c r="A643" s="472"/>
      <c r="B643" s="514"/>
      <c r="C643" s="514"/>
      <c r="D643" s="485" t="s">
        <v>2322</v>
      </c>
      <c r="E643" s="474" t="s">
        <v>2637</v>
      </c>
      <c r="F643" s="474"/>
      <c r="G643" s="474">
        <v>2022</v>
      </c>
      <c r="H643" s="474">
        <v>5</v>
      </c>
      <c r="I643" s="485"/>
      <c r="J643" s="475"/>
      <c r="K643" s="483" t="s">
        <v>5564</v>
      </c>
      <c r="L643" s="474" t="s">
        <v>2373</v>
      </c>
      <c r="M643" s="487">
        <v>44523</v>
      </c>
      <c r="N643" s="487">
        <v>44622</v>
      </c>
      <c r="O643" s="487"/>
      <c r="P643" s="502">
        <v>44679</v>
      </c>
      <c r="Q643" s="475"/>
      <c r="R643" s="475"/>
      <c r="S643" s="474" t="s">
        <v>1563</v>
      </c>
      <c r="T643" s="474">
        <v>60</v>
      </c>
      <c r="U643" s="474" t="s">
        <v>1281</v>
      </c>
      <c r="V643" s="474" t="s">
        <v>973</v>
      </c>
      <c r="W643" s="474">
        <v>400</v>
      </c>
      <c r="X643" s="476">
        <v>832</v>
      </c>
      <c r="Y643" s="477">
        <f t="shared" si="153"/>
        <v>332800</v>
      </c>
      <c r="Z643" s="478">
        <v>0.55500000000000005</v>
      </c>
      <c r="AA643" s="479">
        <f t="shared" si="154"/>
        <v>184704.00000000003</v>
      </c>
      <c r="AB643" s="480"/>
      <c r="AC643" s="481">
        <v>0</v>
      </c>
      <c r="AD643" s="490"/>
      <c r="AE643" s="482"/>
      <c r="AF643" s="493">
        <f t="shared" si="155"/>
        <v>184704.00000000003</v>
      </c>
      <c r="AG643" s="474" t="s">
        <v>1071</v>
      </c>
      <c r="AH643" s="474"/>
      <c r="AI643" s="483" t="s">
        <v>2374</v>
      </c>
      <c r="AJ643" s="474" t="s">
        <v>1593</v>
      </c>
      <c r="AK643" s="494" t="s">
        <v>1144</v>
      </c>
      <c r="AL643" s="474">
        <v>78744</v>
      </c>
      <c r="AM643" s="474" t="s">
        <v>52</v>
      </c>
      <c r="AN643" s="474" t="s">
        <v>50</v>
      </c>
      <c r="AO643" s="474"/>
      <c r="AP643" s="486"/>
      <c r="AQ643" s="486" t="s">
        <v>37</v>
      </c>
      <c r="AR643" s="486"/>
      <c r="AS643" s="495"/>
      <c r="AT643" s="495"/>
      <c r="AU643" s="478"/>
      <c r="AV643" s="471" t="str">
        <f t="shared" si="156"/>
        <v>30390456H</v>
      </c>
      <c r="AW643" s="471" cm="1">
        <f t="array" ref="AW643">SUM(MID(0&amp;AV643,LARGE(INDEX(ISNUMBER(--MID(AV643,ROW($1:$8),1))*ROW($1:$8),),ROW($1:$8))+1,1)*10^ROW($1:$8)/10)</f>
        <v>30390456</v>
      </c>
      <c r="AX643" s="471" t="str">
        <f>VLOOKUP($AW643,'Item Master Data'!$A:$F,3,FALSE)</f>
        <v>Q.PEAK DUO BLK ML G10+</v>
      </c>
      <c r="AY643" s="471">
        <f>VLOOKUP($AW643,'Item Master Data'!$A:$F,6,FALSE)</f>
        <v>400</v>
      </c>
      <c r="AZ643" s="471">
        <f t="shared" si="157"/>
        <v>26</v>
      </c>
      <c r="BA643" s="471">
        <f>VLOOKUP(AW643,'Item Master Data'!$A:$G,7,FALSE)</f>
        <v>32</v>
      </c>
      <c r="BB643" s="471"/>
      <c r="BC643" s="471">
        <f t="shared" si="158"/>
        <v>0</v>
      </c>
    </row>
    <row r="644" spans="1:55">
      <c r="A644" s="472"/>
      <c r="B644" s="514"/>
      <c r="C644" s="514"/>
      <c r="D644" s="485" t="s">
        <v>2322</v>
      </c>
      <c r="E644" s="474" t="s">
        <v>2637</v>
      </c>
      <c r="F644" s="474"/>
      <c r="G644" s="474">
        <v>2022</v>
      </c>
      <c r="H644" s="474">
        <v>5</v>
      </c>
      <c r="I644" s="485"/>
      <c r="J644" s="475"/>
      <c r="K644" s="483" t="s">
        <v>5565</v>
      </c>
      <c r="L644" s="474" t="s">
        <v>2373</v>
      </c>
      <c r="M644" s="487">
        <v>44523</v>
      </c>
      <c r="N644" s="487">
        <v>44622</v>
      </c>
      <c r="O644" s="487"/>
      <c r="P644" s="502">
        <v>44679</v>
      </c>
      <c r="Q644" s="475"/>
      <c r="R644" s="475"/>
      <c r="S644" s="474" t="s">
        <v>1563</v>
      </c>
      <c r="T644" s="474">
        <v>60</v>
      </c>
      <c r="U644" s="474" t="s">
        <v>1281</v>
      </c>
      <c r="V644" s="474" t="s">
        <v>973</v>
      </c>
      <c r="W644" s="474">
        <v>400</v>
      </c>
      <c r="X644" s="476">
        <v>832</v>
      </c>
      <c r="Y644" s="477">
        <f t="shared" si="153"/>
        <v>332800</v>
      </c>
      <c r="Z644" s="478">
        <v>0.55500000000000005</v>
      </c>
      <c r="AA644" s="479">
        <f t="shared" si="154"/>
        <v>184704.00000000003</v>
      </c>
      <c r="AB644" s="480"/>
      <c r="AC644" s="481">
        <v>0</v>
      </c>
      <c r="AD644" s="490"/>
      <c r="AE644" s="482"/>
      <c r="AF644" s="493">
        <f t="shared" si="155"/>
        <v>184704.00000000003</v>
      </c>
      <c r="AG644" s="474" t="s">
        <v>1071</v>
      </c>
      <c r="AH644" s="474"/>
      <c r="AI644" s="483" t="s">
        <v>2374</v>
      </c>
      <c r="AJ644" s="474" t="s">
        <v>2515</v>
      </c>
      <c r="AK644" s="494" t="s">
        <v>1085</v>
      </c>
      <c r="AL644" s="474">
        <v>8077</v>
      </c>
      <c r="AM644" s="474" t="s">
        <v>52</v>
      </c>
      <c r="AN644" s="474" t="s">
        <v>1085</v>
      </c>
      <c r="AO644" s="474"/>
      <c r="AP644" s="486"/>
      <c r="AQ644" s="486" t="s">
        <v>37</v>
      </c>
      <c r="AR644" s="486"/>
      <c r="AS644" s="495"/>
      <c r="AT644" s="495"/>
      <c r="AU644" s="478"/>
      <c r="AV644" s="471" t="str">
        <f t="shared" si="156"/>
        <v>30390456H</v>
      </c>
      <c r="AW644" s="471" cm="1">
        <f t="array" ref="AW644">SUM(MID(0&amp;AV644,LARGE(INDEX(ISNUMBER(--MID(AV644,ROW($1:$8),1))*ROW($1:$8),),ROW($1:$8))+1,1)*10^ROW($1:$8)/10)</f>
        <v>30390456</v>
      </c>
      <c r="AX644" s="471" t="str">
        <f>VLOOKUP($AW644,'Item Master Data'!$A:$F,3,FALSE)</f>
        <v>Q.PEAK DUO BLK ML G10+</v>
      </c>
      <c r="AY644" s="471">
        <f>VLOOKUP($AW644,'Item Master Data'!$A:$F,6,FALSE)</f>
        <v>400</v>
      </c>
      <c r="AZ644" s="471">
        <f t="shared" si="157"/>
        <v>26</v>
      </c>
      <c r="BA644" s="471">
        <f>VLOOKUP(AW644,'Item Master Data'!$A:$G,7,FALSE)</f>
        <v>32</v>
      </c>
      <c r="BB644" s="471"/>
      <c r="BC644" s="471">
        <f t="shared" si="158"/>
        <v>0</v>
      </c>
    </row>
    <row r="645" spans="1:55">
      <c r="A645" s="472"/>
      <c r="B645" s="514"/>
      <c r="C645" s="514"/>
      <c r="D645" s="485" t="s">
        <v>2322</v>
      </c>
      <c r="E645" s="474" t="s">
        <v>2637</v>
      </c>
      <c r="F645" s="474"/>
      <c r="G645" s="474">
        <v>2022</v>
      </c>
      <c r="H645" s="474">
        <v>5</v>
      </c>
      <c r="I645" s="485"/>
      <c r="J645" s="475"/>
      <c r="K645" s="483" t="s">
        <v>5566</v>
      </c>
      <c r="L645" s="474" t="s">
        <v>2373</v>
      </c>
      <c r="M645" s="487">
        <v>44523</v>
      </c>
      <c r="N645" s="487">
        <v>44622</v>
      </c>
      <c r="O645" s="487"/>
      <c r="P645" s="502">
        <v>44679</v>
      </c>
      <c r="Q645" s="475"/>
      <c r="R645" s="475"/>
      <c r="S645" s="474" t="s">
        <v>1563</v>
      </c>
      <c r="T645" s="474">
        <v>60</v>
      </c>
      <c r="U645" s="474" t="s">
        <v>1281</v>
      </c>
      <c r="V645" s="474" t="s">
        <v>973</v>
      </c>
      <c r="W645" s="474">
        <v>400</v>
      </c>
      <c r="X645" s="476">
        <v>832</v>
      </c>
      <c r="Y645" s="477">
        <f t="shared" si="153"/>
        <v>332800</v>
      </c>
      <c r="Z645" s="478">
        <v>0.55500000000000005</v>
      </c>
      <c r="AA645" s="479">
        <f t="shared" si="154"/>
        <v>184704.00000000003</v>
      </c>
      <c r="AB645" s="480"/>
      <c r="AC645" s="481">
        <v>0</v>
      </c>
      <c r="AD645" s="490"/>
      <c r="AE645" s="482"/>
      <c r="AF645" s="493">
        <f t="shared" si="155"/>
        <v>184704.00000000003</v>
      </c>
      <c r="AG645" s="474" t="s">
        <v>1071</v>
      </c>
      <c r="AH645" s="474"/>
      <c r="AI645" s="483" t="s">
        <v>2374</v>
      </c>
      <c r="AJ645" s="474" t="s">
        <v>2506</v>
      </c>
      <c r="AK645" s="494" t="s">
        <v>1084</v>
      </c>
      <c r="AL645" s="474">
        <v>33605</v>
      </c>
      <c r="AM645" s="474" t="s">
        <v>52</v>
      </c>
      <c r="AN645" s="474" t="s">
        <v>1085</v>
      </c>
      <c r="AO645" s="474"/>
      <c r="AP645" s="486"/>
      <c r="AQ645" s="486" t="s">
        <v>37</v>
      </c>
      <c r="AR645" s="486"/>
      <c r="AS645" s="495"/>
      <c r="AT645" s="495"/>
      <c r="AU645" s="478"/>
      <c r="AV645" s="471" t="str">
        <f t="shared" si="156"/>
        <v>30390456H</v>
      </c>
      <c r="AW645" s="471" cm="1">
        <f t="array" ref="AW645">SUM(MID(0&amp;AV645,LARGE(INDEX(ISNUMBER(--MID(AV645,ROW($1:$8),1))*ROW($1:$8),),ROW($1:$8))+1,1)*10^ROW($1:$8)/10)</f>
        <v>30390456</v>
      </c>
      <c r="AX645" s="471" t="str">
        <f>VLOOKUP($AW645,'Item Master Data'!$A:$F,3,FALSE)</f>
        <v>Q.PEAK DUO BLK ML G10+</v>
      </c>
      <c r="AY645" s="471">
        <f>VLOOKUP($AW645,'Item Master Data'!$A:$F,6,FALSE)</f>
        <v>400</v>
      </c>
      <c r="AZ645" s="471">
        <f t="shared" si="157"/>
        <v>26</v>
      </c>
      <c r="BA645" s="471">
        <f>VLOOKUP(AW645,'Item Master Data'!$A:$G,7,FALSE)</f>
        <v>32</v>
      </c>
      <c r="BB645" s="471"/>
      <c r="BC645" s="471">
        <f t="shared" si="158"/>
        <v>0</v>
      </c>
    </row>
    <row r="646" spans="1:55">
      <c r="A646" s="472"/>
      <c r="B646" s="514"/>
      <c r="C646" s="514"/>
      <c r="D646" s="485" t="s">
        <v>2322</v>
      </c>
      <c r="E646" s="474" t="s">
        <v>2637</v>
      </c>
      <c r="F646" s="474"/>
      <c r="G646" s="474">
        <v>2022</v>
      </c>
      <c r="H646" s="474">
        <v>5</v>
      </c>
      <c r="I646" s="485"/>
      <c r="J646" s="475"/>
      <c r="K646" s="483" t="s">
        <v>5567</v>
      </c>
      <c r="L646" s="474" t="s">
        <v>2373</v>
      </c>
      <c r="M646" s="487">
        <v>44523</v>
      </c>
      <c r="N646" s="487">
        <v>44622</v>
      </c>
      <c r="O646" s="487"/>
      <c r="P646" s="502">
        <v>44679</v>
      </c>
      <c r="Q646" s="475"/>
      <c r="R646" s="475"/>
      <c r="S646" s="474" t="s">
        <v>1563</v>
      </c>
      <c r="T646" s="474">
        <v>60</v>
      </c>
      <c r="U646" s="474" t="s">
        <v>1281</v>
      </c>
      <c r="V646" s="474" t="s">
        <v>973</v>
      </c>
      <c r="W646" s="474">
        <v>400</v>
      </c>
      <c r="X646" s="476">
        <v>832</v>
      </c>
      <c r="Y646" s="477">
        <f t="shared" si="153"/>
        <v>332800</v>
      </c>
      <c r="Z646" s="478">
        <v>0.55500000000000005</v>
      </c>
      <c r="AA646" s="479">
        <f t="shared" si="154"/>
        <v>184704.00000000003</v>
      </c>
      <c r="AB646" s="480"/>
      <c r="AC646" s="481">
        <v>0</v>
      </c>
      <c r="AD646" s="490"/>
      <c r="AE646" s="482"/>
      <c r="AF646" s="493">
        <f t="shared" si="155"/>
        <v>184704.00000000003</v>
      </c>
      <c r="AG646" s="474" t="s">
        <v>1071</v>
      </c>
      <c r="AH646" s="474"/>
      <c r="AI646" s="483" t="s">
        <v>2374</v>
      </c>
      <c r="AJ646" s="474" t="s">
        <v>2384</v>
      </c>
      <c r="AK646" s="494" t="s">
        <v>1144</v>
      </c>
      <c r="AL646" s="474">
        <v>75061</v>
      </c>
      <c r="AM646" s="474" t="s">
        <v>52</v>
      </c>
      <c r="AN646" s="474" t="s">
        <v>50</v>
      </c>
      <c r="AO646" s="474"/>
      <c r="AP646" s="486"/>
      <c r="AQ646" s="486" t="s">
        <v>37</v>
      </c>
      <c r="AR646" s="486"/>
      <c r="AS646" s="495"/>
      <c r="AT646" s="495"/>
      <c r="AU646" s="478"/>
      <c r="AV646" s="471" t="str">
        <f t="shared" si="156"/>
        <v>30390456H</v>
      </c>
      <c r="AW646" s="471" cm="1">
        <f t="array" ref="AW646">SUM(MID(0&amp;AV646,LARGE(INDEX(ISNUMBER(--MID(AV646,ROW($1:$8),1))*ROW($1:$8),),ROW($1:$8))+1,1)*10^ROW($1:$8)/10)</f>
        <v>30390456</v>
      </c>
      <c r="AX646" s="471" t="str">
        <f>VLOOKUP($AW646,'Item Master Data'!$A:$F,3,FALSE)</f>
        <v>Q.PEAK DUO BLK ML G10+</v>
      </c>
      <c r="AY646" s="471">
        <f>VLOOKUP($AW646,'Item Master Data'!$A:$F,6,FALSE)</f>
        <v>400</v>
      </c>
      <c r="AZ646" s="471">
        <f t="shared" si="157"/>
        <v>26</v>
      </c>
      <c r="BA646" s="471">
        <f>VLOOKUP(AW646,'Item Master Data'!$A:$G,7,FALSE)</f>
        <v>32</v>
      </c>
      <c r="BB646" s="471"/>
      <c r="BC646" s="471">
        <f t="shared" si="158"/>
        <v>0</v>
      </c>
    </row>
    <row r="647" spans="1:55">
      <c r="A647" s="472"/>
      <c r="B647" s="514"/>
      <c r="C647" s="514"/>
      <c r="D647" s="485" t="s">
        <v>2322</v>
      </c>
      <c r="E647" s="474"/>
      <c r="F647" s="474"/>
      <c r="G647" s="474">
        <v>2022</v>
      </c>
      <c r="H647" s="474">
        <v>6</v>
      </c>
      <c r="I647" s="485"/>
      <c r="J647" s="475"/>
      <c r="K647" s="483" t="s">
        <v>2691</v>
      </c>
      <c r="L647" s="474" t="s">
        <v>2373</v>
      </c>
      <c r="M647" s="487">
        <v>44530</v>
      </c>
      <c r="N647" s="487">
        <v>44653</v>
      </c>
      <c r="O647" s="487"/>
      <c r="P647" s="475"/>
      <c r="Q647" s="475"/>
      <c r="R647" s="475"/>
      <c r="S647" s="474" t="s">
        <v>1563</v>
      </c>
      <c r="T647" s="474">
        <v>60</v>
      </c>
      <c r="U647" s="474" t="s">
        <v>1281</v>
      </c>
      <c r="V647" s="474" t="s">
        <v>985</v>
      </c>
      <c r="W647" s="474">
        <v>400</v>
      </c>
      <c r="X647" s="476">
        <v>4160</v>
      </c>
      <c r="Y647" s="477">
        <f t="shared" si="153"/>
        <v>1664000</v>
      </c>
      <c r="Z647" s="478">
        <f>184/400</f>
        <v>0.46</v>
      </c>
      <c r="AA647" s="479">
        <f t="shared" si="154"/>
        <v>765440</v>
      </c>
      <c r="AB647" s="480"/>
      <c r="AC647" s="481">
        <v>0</v>
      </c>
      <c r="AD647" s="490"/>
      <c r="AE647" s="482"/>
      <c r="AF647" s="493">
        <f t="shared" si="155"/>
        <v>765440</v>
      </c>
      <c r="AG647" s="474" t="s">
        <v>1071</v>
      </c>
      <c r="AH647" s="474"/>
      <c r="AI647" s="483">
        <v>60</v>
      </c>
      <c r="AJ647" s="474" t="s">
        <v>2376</v>
      </c>
      <c r="AK647" s="494" t="s">
        <v>50</v>
      </c>
      <c r="AL647" s="474">
        <v>93065</v>
      </c>
      <c r="AM647" s="474" t="s">
        <v>52</v>
      </c>
      <c r="AN647" s="474"/>
      <c r="AO647" s="474"/>
      <c r="AP647" s="486"/>
      <c r="AQ647" s="486" t="s">
        <v>37</v>
      </c>
      <c r="AR647" s="486"/>
      <c r="AS647" s="495"/>
      <c r="AT647" s="495"/>
      <c r="AU647" s="478"/>
      <c r="AV647" s="471" t="str">
        <f t="shared" si="156"/>
        <v>30390456H</v>
      </c>
      <c r="AW647" s="471" cm="1">
        <f t="array" ref="AW647">SUM(MID(0&amp;AV647,LARGE(INDEX(ISNUMBER(--MID(AV647,ROW($1:$8),1))*ROW($1:$8),),ROW($1:$8))+1,1)*10^ROW($1:$8)/10)</f>
        <v>30390456</v>
      </c>
      <c r="AX647" s="471" t="str">
        <f>VLOOKUP($AW647,'Item Master Data'!$A:$F,3,FALSE)</f>
        <v>Q.PEAK DUO BLK ML G10+</v>
      </c>
      <c r="AY647" s="471">
        <f>VLOOKUP($AW647,'Item Master Data'!$A:$F,6,FALSE)</f>
        <v>400</v>
      </c>
      <c r="AZ647" s="471">
        <f t="shared" si="157"/>
        <v>130</v>
      </c>
      <c r="BA647" s="471">
        <f>VLOOKUP(AW647,'Item Master Data'!$A:$G,7,FALSE)</f>
        <v>32</v>
      </c>
      <c r="BB647" s="471"/>
      <c r="BC647" s="471">
        <f t="shared" si="158"/>
        <v>0</v>
      </c>
    </row>
    <row r="648" spans="1:55">
      <c r="A648" s="472"/>
      <c r="B648" s="514"/>
      <c r="C648" s="514"/>
      <c r="D648" s="485" t="s">
        <v>2322</v>
      </c>
      <c r="E648" s="474"/>
      <c r="F648" s="474"/>
      <c r="G648" s="474">
        <v>2022</v>
      </c>
      <c r="H648" s="474">
        <v>7</v>
      </c>
      <c r="I648" s="485"/>
      <c r="J648" s="475"/>
      <c r="K648" s="483" t="s">
        <v>2739</v>
      </c>
      <c r="L648" s="474" t="s">
        <v>2373</v>
      </c>
      <c r="M648" s="487">
        <v>44530</v>
      </c>
      <c r="N648" s="487">
        <v>44683</v>
      </c>
      <c r="O648" s="487"/>
      <c r="P648" s="475"/>
      <c r="Q648" s="475"/>
      <c r="R648" s="475"/>
      <c r="S648" s="474" t="s">
        <v>1563</v>
      </c>
      <c r="T648" s="474">
        <v>60</v>
      </c>
      <c r="U648" s="474" t="s">
        <v>1281</v>
      </c>
      <c r="V648" s="474" t="s">
        <v>985</v>
      </c>
      <c r="W648" s="474">
        <v>400</v>
      </c>
      <c r="X648" s="476">
        <v>4160</v>
      </c>
      <c r="Y648" s="477">
        <f t="shared" si="153"/>
        <v>1664000</v>
      </c>
      <c r="Z648" s="478">
        <f>184/400</f>
        <v>0.46</v>
      </c>
      <c r="AA648" s="479">
        <f t="shared" si="154"/>
        <v>765440</v>
      </c>
      <c r="AB648" s="480"/>
      <c r="AC648" s="481">
        <v>0</v>
      </c>
      <c r="AD648" s="490"/>
      <c r="AE648" s="482"/>
      <c r="AF648" s="493">
        <f t="shared" si="155"/>
        <v>765440</v>
      </c>
      <c r="AG648" s="474" t="s">
        <v>1071</v>
      </c>
      <c r="AH648" s="474"/>
      <c r="AI648" s="483">
        <v>60</v>
      </c>
      <c r="AJ648" s="474" t="s">
        <v>2376</v>
      </c>
      <c r="AK648" s="494" t="s">
        <v>50</v>
      </c>
      <c r="AL648" s="474">
        <v>93065</v>
      </c>
      <c r="AM648" s="474" t="s">
        <v>52</v>
      </c>
      <c r="AN648" s="474"/>
      <c r="AO648" s="474"/>
      <c r="AP648" s="486"/>
      <c r="AQ648" s="486" t="s">
        <v>37</v>
      </c>
      <c r="AR648" s="486"/>
      <c r="AS648" s="495"/>
      <c r="AT648" s="495"/>
      <c r="AU648" s="478"/>
      <c r="AV648" s="471" t="str">
        <f t="shared" si="156"/>
        <v>30390456H</v>
      </c>
      <c r="AW648" s="471" cm="1">
        <f t="array" ref="AW648">SUM(MID(0&amp;AV648,LARGE(INDEX(ISNUMBER(--MID(AV648,ROW($1:$8),1))*ROW($1:$8),),ROW($1:$8))+1,1)*10^ROW($1:$8)/10)</f>
        <v>30390456</v>
      </c>
      <c r="AX648" s="471" t="str">
        <f>VLOOKUP($AW648,'Item Master Data'!$A:$F,3,FALSE)</f>
        <v>Q.PEAK DUO BLK ML G10+</v>
      </c>
      <c r="AY648" s="471">
        <f>VLOOKUP($AW648,'Item Master Data'!$A:$F,6,FALSE)</f>
        <v>400</v>
      </c>
      <c r="AZ648" s="471">
        <f t="shared" si="157"/>
        <v>130</v>
      </c>
      <c r="BA648" s="471">
        <f>VLOOKUP(AW648,'Item Master Data'!$A:$G,7,FALSE)</f>
        <v>32</v>
      </c>
      <c r="BB648" s="471"/>
      <c r="BC648" s="471">
        <f t="shared" si="158"/>
        <v>0</v>
      </c>
    </row>
    <row r="649" spans="1:55">
      <c r="A649" s="472"/>
      <c r="B649" s="514"/>
      <c r="C649" s="514"/>
      <c r="D649" s="485" t="s">
        <v>2322</v>
      </c>
      <c r="E649" s="474"/>
      <c r="F649" s="474"/>
      <c r="G649" s="474">
        <v>2022</v>
      </c>
      <c r="H649" s="474">
        <v>8</v>
      </c>
      <c r="I649" s="485"/>
      <c r="J649" s="475"/>
      <c r="K649" s="483" t="s">
        <v>2776</v>
      </c>
      <c r="L649" s="474" t="s">
        <v>2373</v>
      </c>
      <c r="M649" s="487">
        <v>44530</v>
      </c>
      <c r="N649" s="487">
        <v>44714</v>
      </c>
      <c r="O649" s="487"/>
      <c r="P649" s="475"/>
      <c r="Q649" s="475"/>
      <c r="R649" s="475"/>
      <c r="S649" s="474" t="s">
        <v>1563</v>
      </c>
      <c r="T649" s="474">
        <v>60</v>
      </c>
      <c r="U649" s="474">
        <v>49401140</v>
      </c>
      <c r="V649" s="474" t="s">
        <v>985</v>
      </c>
      <c r="W649" s="474">
        <v>400</v>
      </c>
      <c r="X649" s="476">
        <v>4160</v>
      </c>
      <c r="Y649" s="477">
        <f t="shared" si="153"/>
        <v>1664000</v>
      </c>
      <c r="Z649" s="478">
        <f>184/400</f>
        <v>0.46</v>
      </c>
      <c r="AA649" s="479">
        <f t="shared" si="154"/>
        <v>765440</v>
      </c>
      <c r="AB649" s="480"/>
      <c r="AC649" s="481">
        <v>0</v>
      </c>
      <c r="AD649" s="490"/>
      <c r="AE649" s="482"/>
      <c r="AF649" s="493">
        <f t="shared" si="155"/>
        <v>765440</v>
      </c>
      <c r="AG649" s="474" t="s">
        <v>1071</v>
      </c>
      <c r="AH649" s="474"/>
      <c r="AI649" s="483">
        <v>60</v>
      </c>
      <c r="AJ649" s="474" t="s">
        <v>2376</v>
      </c>
      <c r="AK649" s="494" t="s">
        <v>50</v>
      </c>
      <c r="AL649" s="474">
        <v>93065</v>
      </c>
      <c r="AM649" s="474" t="s">
        <v>52</v>
      </c>
      <c r="AN649" s="474"/>
      <c r="AO649" s="474"/>
      <c r="AP649" s="486"/>
      <c r="AQ649" s="486" t="s">
        <v>37</v>
      </c>
      <c r="AR649" s="486"/>
      <c r="AS649" s="495"/>
      <c r="AT649" s="495"/>
      <c r="AU649" s="478"/>
      <c r="AV649" s="471">
        <f t="shared" si="156"/>
        <v>49401140</v>
      </c>
      <c r="AW649" s="471" cm="1">
        <f t="array" ref="AW649">SUM(MID(0&amp;AV649,LARGE(INDEX(ISNUMBER(--MID(AV649,ROW($1:$8),1))*ROW($1:$8),),ROW($1:$8))+1,1)*10^ROW($1:$8)/10)</f>
        <v>49401140</v>
      </c>
      <c r="AX649" s="471" t="str">
        <f>VLOOKUP($AW649,'Item Master Data'!$A:$F,3,FALSE)</f>
        <v>Q.PEAK DUO BLK ML G10.a+</v>
      </c>
      <c r="AY649" s="471">
        <f>VLOOKUP($AW649,'Item Master Data'!$A:$F,6,FALSE)</f>
        <v>400</v>
      </c>
      <c r="AZ649" s="471">
        <f t="shared" si="157"/>
        <v>130</v>
      </c>
      <c r="BA649" s="471">
        <f>VLOOKUP(AW649,'Item Master Data'!$A:$G,7,FALSE)</f>
        <v>32</v>
      </c>
      <c r="BB649" s="471"/>
      <c r="BC649" s="471">
        <f t="shared" si="158"/>
        <v>0</v>
      </c>
    </row>
    <row r="650" spans="1:55">
      <c r="A650" s="472"/>
      <c r="B650" s="514"/>
      <c r="C650" s="514"/>
      <c r="D650" s="485" t="s">
        <v>2322</v>
      </c>
      <c r="E650" s="474"/>
      <c r="F650" s="474"/>
      <c r="G650" s="474">
        <v>2022</v>
      </c>
      <c r="H650" s="474">
        <v>4</v>
      </c>
      <c r="I650" s="485">
        <v>128131</v>
      </c>
      <c r="J650" s="475">
        <v>44655</v>
      </c>
      <c r="K650" s="483" t="s">
        <v>2517</v>
      </c>
      <c r="L650" s="474" t="s">
        <v>2518</v>
      </c>
      <c r="M650" s="487">
        <v>44553</v>
      </c>
      <c r="N650" s="487">
        <v>44607</v>
      </c>
      <c r="O650" s="487">
        <v>44640</v>
      </c>
      <c r="P650" s="475">
        <v>44635</v>
      </c>
      <c r="Q650" s="475">
        <v>44655</v>
      </c>
      <c r="R650" s="475">
        <v>44655</v>
      </c>
      <c r="S650" s="474" t="s">
        <v>1563</v>
      </c>
      <c r="T650" s="474">
        <v>72</v>
      </c>
      <c r="U650" s="474" t="s">
        <v>1302</v>
      </c>
      <c r="V650" s="474" t="s">
        <v>1104</v>
      </c>
      <c r="W650" s="474">
        <v>480</v>
      </c>
      <c r="X650" s="476">
        <v>290</v>
      </c>
      <c r="Y650" s="491">
        <f t="shared" si="153"/>
        <v>139200</v>
      </c>
      <c r="Z650" s="478">
        <f>235.2/480</f>
        <v>0.49</v>
      </c>
      <c r="AA650" s="479">
        <f t="shared" si="154"/>
        <v>68208</v>
      </c>
      <c r="AB650" s="480"/>
      <c r="AC650" s="481">
        <v>0</v>
      </c>
      <c r="AD650" s="490"/>
      <c r="AE650" s="482"/>
      <c r="AF650" s="493">
        <f t="shared" si="155"/>
        <v>68208</v>
      </c>
      <c r="AG650" s="474" t="s">
        <v>1071</v>
      </c>
      <c r="AH650" s="474"/>
      <c r="AI650" s="483" t="s">
        <v>2442</v>
      </c>
      <c r="AJ650" s="474" t="s">
        <v>2519</v>
      </c>
      <c r="AK650" s="494" t="s">
        <v>50</v>
      </c>
      <c r="AL650" s="474">
        <v>95776</v>
      </c>
      <c r="AM650" s="474" t="s">
        <v>52</v>
      </c>
      <c r="AN650" s="474" t="s">
        <v>50</v>
      </c>
      <c r="AO650" s="474"/>
      <c r="AP650" s="486" t="s">
        <v>92</v>
      </c>
      <c r="AQ650" s="486" t="s">
        <v>37</v>
      </c>
      <c r="AR650" s="486"/>
      <c r="AS650" s="495"/>
      <c r="AT650" s="495"/>
      <c r="AU650" s="478"/>
      <c r="AV650" s="471" t="str">
        <f t="shared" si="156"/>
        <v>30397472C</v>
      </c>
      <c r="AW650" s="471" cm="1">
        <f t="array" ref="AW650">SUM(MID(0&amp;AV650,LARGE(INDEX(ISNUMBER(--MID(AV650,ROW($1:$8),1))*ROW($1:$8),),ROW($1:$8))+1,1)*10^ROW($1:$8)/10)</f>
        <v>30397472</v>
      </c>
      <c r="AX650" s="471" t="str">
        <f>VLOOKUP($AW650,'Item Master Data'!$A:$F,3,FALSE)</f>
        <v>Q.PEAK DUO XL G10</v>
      </c>
      <c r="AY650" s="471">
        <f>VLOOKUP($AW650,'Item Master Data'!$A:$F,6,FALSE)</f>
        <v>480</v>
      </c>
      <c r="AZ650" s="471">
        <f t="shared" si="157"/>
        <v>10</v>
      </c>
      <c r="BA650" s="471">
        <f>VLOOKUP(AW650,'Item Master Data'!$A:$G,7,FALSE)</f>
        <v>29</v>
      </c>
      <c r="BB650" s="471"/>
      <c r="BC650" s="471">
        <f t="shared" si="158"/>
        <v>0</v>
      </c>
    </row>
    <row r="651" spans="1:55">
      <c r="A651" s="472"/>
      <c r="B651" s="514">
        <v>44616</v>
      </c>
      <c r="C651" s="514">
        <v>44616</v>
      </c>
      <c r="D651" s="485" t="s">
        <v>2322</v>
      </c>
      <c r="E651" s="474"/>
      <c r="F651" s="474"/>
      <c r="G651" s="474">
        <v>2022</v>
      </c>
      <c r="H651" s="474">
        <v>3</v>
      </c>
      <c r="I651" s="485">
        <v>127193</v>
      </c>
      <c r="J651" s="475">
        <v>44624</v>
      </c>
      <c r="K651" s="483" t="s">
        <v>2377</v>
      </c>
      <c r="L651" s="474" t="s">
        <v>2378</v>
      </c>
      <c r="M651" s="487">
        <v>44519</v>
      </c>
      <c r="N651" s="487">
        <v>44563</v>
      </c>
      <c r="O651" s="487"/>
      <c r="P651" s="475">
        <v>44621</v>
      </c>
      <c r="Q651" s="475">
        <v>44622</v>
      </c>
      <c r="R651" s="475">
        <v>44624</v>
      </c>
      <c r="S651" s="474" t="s">
        <v>2379</v>
      </c>
      <c r="T651" s="474">
        <v>60</v>
      </c>
      <c r="U651" s="474">
        <v>49403139</v>
      </c>
      <c r="V651" s="474" t="s">
        <v>973</v>
      </c>
      <c r="W651" s="474">
        <v>395</v>
      </c>
      <c r="X651" s="476">
        <v>416</v>
      </c>
      <c r="Y651" s="491">
        <f t="shared" si="153"/>
        <v>164320</v>
      </c>
      <c r="Z651" s="478">
        <f t="shared" ref="Z651:Z657" si="159">186/400</f>
        <v>0.46500000000000002</v>
      </c>
      <c r="AA651" s="479">
        <f t="shared" si="154"/>
        <v>76408.800000000003</v>
      </c>
      <c r="AB651" s="480"/>
      <c r="AC651" s="481">
        <v>0</v>
      </c>
      <c r="AD651" s="490"/>
      <c r="AE651" s="482"/>
      <c r="AF651" s="493">
        <f t="shared" si="155"/>
        <v>76408.800000000003</v>
      </c>
      <c r="AG651" s="474" t="s">
        <v>47</v>
      </c>
      <c r="AH651" s="474"/>
      <c r="AI651" s="483" t="s">
        <v>2374</v>
      </c>
      <c r="AJ651" s="474" t="s">
        <v>2380</v>
      </c>
      <c r="AK651" s="494" t="s">
        <v>2381</v>
      </c>
      <c r="AL651" s="474">
        <v>87107</v>
      </c>
      <c r="AM651" s="474" t="s">
        <v>52</v>
      </c>
      <c r="AN651" s="474" t="s">
        <v>1074</v>
      </c>
      <c r="AO651" s="474"/>
      <c r="AP651" s="486"/>
      <c r="AQ651" s="486" t="s">
        <v>37</v>
      </c>
      <c r="AR651" s="486"/>
      <c r="AS651" s="495"/>
      <c r="AT651" s="495"/>
      <c r="AU651" s="478"/>
      <c r="AV651" s="471">
        <f t="shared" si="156"/>
        <v>49403139</v>
      </c>
      <c r="AW651" s="471" cm="1">
        <f t="array" ref="AW651">SUM(MID(0&amp;AV651,LARGE(INDEX(ISNUMBER(--MID(AV651,ROW($1:$8),1))*ROW($1:$8),),ROW($1:$8))+1,1)*10^ROW($1:$8)/10)</f>
        <v>49403139</v>
      </c>
      <c r="AX651" s="471" t="str">
        <f>VLOOKUP($AW651,'Item Master Data'!$A:$F,3,FALSE)</f>
        <v>Q.PEAK DUO BLK ML G10+</v>
      </c>
      <c r="AY651" s="471">
        <f>VLOOKUP($AW651,'Item Master Data'!$A:$F,6,FALSE)</f>
        <v>395</v>
      </c>
      <c r="AZ651" s="471">
        <f t="shared" si="157"/>
        <v>13</v>
      </c>
      <c r="BA651" s="471">
        <f>VLOOKUP(AW651,'Item Master Data'!$A:$G,7,FALSE)</f>
        <v>32</v>
      </c>
      <c r="BB651" s="471"/>
      <c r="BC651" s="471">
        <f t="shared" si="158"/>
        <v>0</v>
      </c>
    </row>
    <row r="652" spans="1:55">
      <c r="A652" s="472"/>
      <c r="B652" s="514">
        <v>44616</v>
      </c>
      <c r="C652" s="514">
        <v>44616</v>
      </c>
      <c r="D652" s="485" t="s">
        <v>2322</v>
      </c>
      <c r="E652" s="474"/>
      <c r="F652" s="474"/>
      <c r="G652" s="474">
        <v>2022</v>
      </c>
      <c r="H652" s="474">
        <v>3</v>
      </c>
      <c r="I652" s="485">
        <v>127372</v>
      </c>
      <c r="J652" s="475">
        <v>44636</v>
      </c>
      <c r="K652" s="483" t="s">
        <v>2382</v>
      </c>
      <c r="L652" s="474" t="s">
        <v>2378</v>
      </c>
      <c r="M652" s="487">
        <v>44519</v>
      </c>
      <c r="N652" s="487">
        <v>44563</v>
      </c>
      <c r="O652" s="487"/>
      <c r="P652" s="475">
        <v>44631</v>
      </c>
      <c r="Q652" s="475">
        <v>44634</v>
      </c>
      <c r="R652" s="475">
        <v>44636</v>
      </c>
      <c r="S652" s="474" t="s">
        <v>2379</v>
      </c>
      <c r="T652" s="474">
        <v>60</v>
      </c>
      <c r="U652" s="474" t="s">
        <v>2383</v>
      </c>
      <c r="V652" s="474" t="s">
        <v>973</v>
      </c>
      <c r="W652" s="474">
        <v>395</v>
      </c>
      <c r="X652" s="476">
        <v>768</v>
      </c>
      <c r="Y652" s="491">
        <f t="shared" si="153"/>
        <v>303360</v>
      </c>
      <c r="Z652" s="478">
        <f t="shared" si="159"/>
        <v>0.46500000000000002</v>
      </c>
      <c r="AA652" s="479">
        <f t="shared" si="154"/>
        <v>141062.39999999999</v>
      </c>
      <c r="AB652" s="480"/>
      <c r="AC652" s="481">
        <v>0</v>
      </c>
      <c r="AD652" s="490"/>
      <c r="AE652" s="482">
        <v>11637.65</v>
      </c>
      <c r="AF652" s="493">
        <f t="shared" si="155"/>
        <v>152700.04999999999</v>
      </c>
      <c r="AG652" s="474" t="s">
        <v>47</v>
      </c>
      <c r="AH652" s="474"/>
      <c r="AI652" s="483" t="s">
        <v>2374</v>
      </c>
      <c r="AJ652" s="474" t="s">
        <v>2384</v>
      </c>
      <c r="AK652" s="494" t="s">
        <v>1144</v>
      </c>
      <c r="AL652" s="474">
        <v>75061</v>
      </c>
      <c r="AM652" s="474" t="s">
        <v>52</v>
      </c>
      <c r="AN652" s="474" t="s">
        <v>50</v>
      </c>
      <c r="AO652" s="474"/>
      <c r="AP652" s="486" t="s">
        <v>92</v>
      </c>
      <c r="AQ652" s="486" t="s">
        <v>37</v>
      </c>
      <c r="AR652" s="486"/>
      <c r="AS652" s="495"/>
      <c r="AT652" s="495"/>
      <c r="AU652" s="478"/>
      <c r="AV652" s="471" t="str">
        <f t="shared" si="156"/>
        <v>30390455H</v>
      </c>
      <c r="AW652" s="471" cm="1">
        <f t="array" ref="AW652">SUM(MID(0&amp;AV652,LARGE(INDEX(ISNUMBER(--MID(AV652,ROW($1:$8),1))*ROW($1:$8),),ROW($1:$8))+1,1)*10^ROW($1:$8)/10)</f>
        <v>30390455</v>
      </c>
      <c r="AX652" s="471" t="str">
        <f>VLOOKUP($AW652,'Item Master Data'!$A:$F,3,FALSE)</f>
        <v>Q.PEAK DUO BLK ML G10+</v>
      </c>
      <c r="AY652" s="471">
        <f>VLOOKUP($AW652,'Item Master Data'!$A:$F,6,FALSE)</f>
        <v>395</v>
      </c>
      <c r="AZ652" s="471">
        <f t="shared" si="157"/>
        <v>24</v>
      </c>
      <c r="BA652" s="471">
        <f>VLOOKUP(AW652,'Item Master Data'!$A:$G,7,FALSE)</f>
        <v>32</v>
      </c>
      <c r="BB652" s="471"/>
      <c r="BC652" s="471">
        <f t="shared" si="158"/>
        <v>0</v>
      </c>
    </row>
    <row r="653" spans="1:55">
      <c r="A653" s="472"/>
      <c r="B653" s="514">
        <v>44616</v>
      </c>
      <c r="C653" s="514">
        <v>44616</v>
      </c>
      <c r="D653" s="485" t="s">
        <v>2322</v>
      </c>
      <c r="E653" s="474"/>
      <c r="F653" s="474"/>
      <c r="G653" s="474">
        <v>2022</v>
      </c>
      <c r="H653" s="474">
        <v>3</v>
      </c>
      <c r="I653" s="485">
        <v>127319</v>
      </c>
      <c r="J653" s="475">
        <v>44636</v>
      </c>
      <c r="K653" s="483" t="s">
        <v>2385</v>
      </c>
      <c r="L653" s="474" t="s">
        <v>2378</v>
      </c>
      <c r="M653" s="487">
        <v>44519</v>
      </c>
      <c r="N653" s="487">
        <v>44563</v>
      </c>
      <c r="O653" s="487"/>
      <c r="P653" s="475">
        <v>44631</v>
      </c>
      <c r="Q653" s="475">
        <v>44634</v>
      </c>
      <c r="R653" s="475">
        <v>44636</v>
      </c>
      <c r="S653" s="474" t="s">
        <v>2379</v>
      </c>
      <c r="T653" s="474">
        <v>60</v>
      </c>
      <c r="U653" s="474" t="s">
        <v>2383</v>
      </c>
      <c r="V653" s="474" t="s">
        <v>973</v>
      </c>
      <c r="W653" s="474">
        <v>395</v>
      </c>
      <c r="X653" s="476">
        <v>768</v>
      </c>
      <c r="Y653" s="491">
        <f t="shared" si="153"/>
        <v>303360</v>
      </c>
      <c r="Z653" s="478">
        <f t="shared" si="159"/>
        <v>0.46500000000000002</v>
      </c>
      <c r="AA653" s="479">
        <f t="shared" si="154"/>
        <v>141062.39999999999</v>
      </c>
      <c r="AB653" s="480"/>
      <c r="AC653" s="481">
        <v>0</v>
      </c>
      <c r="AD653" s="490"/>
      <c r="AE653" s="482">
        <v>11637.65</v>
      </c>
      <c r="AF653" s="493">
        <f t="shared" si="155"/>
        <v>152700.04999999999</v>
      </c>
      <c r="AG653" s="474" t="s">
        <v>47</v>
      </c>
      <c r="AH653" s="474"/>
      <c r="AI653" s="483" t="s">
        <v>2374</v>
      </c>
      <c r="AJ653" s="474" t="s">
        <v>1384</v>
      </c>
      <c r="AK653" s="494" t="s">
        <v>1144</v>
      </c>
      <c r="AL653" s="474">
        <v>77041</v>
      </c>
      <c r="AM653" s="474" t="s">
        <v>52</v>
      </c>
      <c r="AN653" s="474" t="s">
        <v>50</v>
      </c>
      <c r="AO653" s="474"/>
      <c r="AP653" s="486" t="s">
        <v>92</v>
      </c>
      <c r="AQ653" s="486" t="s">
        <v>37</v>
      </c>
      <c r="AR653" s="486"/>
      <c r="AS653" s="495"/>
      <c r="AT653" s="495"/>
      <c r="AU653" s="478"/>
      <c r="AV653" s="471" t="str">
        <f t="shared" si="156"/>
        <v>30390455H</v>
      </c>
      <c r="AW653" s="471" cm="1">
        <f t="array" ref="AW653">SUM(MID(0&amp;AV653,LARGE(INDEX(ISNUMBER(--MID(AV653,ROW($1:$8),1))*ROW($1:$8),),ROW($1:$8))+1,1)*10^ROW($1:$8)/10)</f>
        <v>30390455</v>
      </c>
      <c r="AX653" s="471" t="str">
        <f>VLOOKUP($AW653,'Item Master Data'!$A:$F,3,FALSE)</f>
        <v>Q.PEAK DUO BLK ML G10+</v>
      </c>
      <c r="AY653" s="471">
        <f>VLOOKUP($AW653,'Item Master Data'!$A:$F,6,FALSE)</f>
        <v>395</v>
      </c>
      <c r="AZ653" s="471">
        <f t="shared" si="157"/>
        <v>24</v>
      </c>
      <c r="BA653" s="471">
        <f>VLOOKUP(AW653,'Item Master Data'!$A:$G,7,FALSE)</f>
        <v>32</v>
      </c>
      <c r="BB653" s="471"/>
      <c r="BC653" s="471">
        <f t="shared" si="158"/>
        <v>0</v>
      </c>
    </row>
    <row r="654" spans="1:55">
      <c r="A654" s="472"/>
      <c r="B654" s="514">
        <v>44616</v>
      </c>
      <c r="C654" s="514">
        <v>44616</v>
      </c>
      <c r="D654" s="485" t="s">
        <v>2322</v>
      </c>
      <c r="E654" s="474"/>
      <c r="F654" s="474"/>
      <c r="G654" s="474">
        <v>2022</v>
      </c>
      <c r="H654" s="474">
        <v>3</v>
      </c>
      <c r="I654" s="485">
        <v>127320</v>
      </c>
      <c r="J654" s="475">
        <v>44636</v>
      </c>
      <c r="K654" s="483" t="s">
        <v>2386</v>
      </c>
      <c r="L654" s="474" t="s">
        <v>2378</v>
      </c>
      <c r="M654" s="487">
        <v>44519</v>
      </c>
      <c r="N654" s="487">
        <v>44563</v>
      </c>
      <c r="O654" s="487"/>
      <c r="P654" s="475">
        <v>44631</v>
      </c>
      <c r="Q654" s="475">
        <v>44635</v>
      </c>
      <c r="R654" s="475">
        <v>44636</v>
      </c>
      <c r="S654" s="474" t="s">
        <v>2379</v>
      </c>
      <c r="T654" s="474">
        <v>60</v>
      </c>
      <c r="U654" s="474" t="s">
        <v>2383</v>
      </c>
      <c r="V654" s="474" t="s">
        <v>973</v>
      </c>
      <c r="W654" s="474">
        <v>395</v>
      </c>
      <c r="X654" s="476">
        <v>768</v>
      </c>
      <c r="Y654" s="491">
        <f t="shared" si="153"/>
        <v>303360</v>
      </c>
      <c r="Z654" s="478">
        <f t="shared" si="159"/>
        <v>0.46500000000000002</v>
      </c>
      <c r="AA654" s="479">
        <f t="shared" si="154"/>
        <v>141062.39999999999</v>
      </c>
      <c r="AB654" s="480"/>
      <c r="AC654" s="481">
        <v>0</v>
      </c>
      <c r="AD654" s="490"/>
      <c r="AE654" s="482"/>
      <c r="AF654" s="493">
        <f t="shared" si="155"/>
        <v>141062.39999999999</v>
      </c>
      <c r="AG654" s="474" t="s">
        <v>47</v>
      </c>
      <c r="AH654" s="474"/>
      <c r="AI654" s="483" t="s">
        <v>2374</v>
      </c>
      <c r="AJ654" s="474" t="s">
        <v>1132</v>
      </c>
      <c r="AK654" s="494" t="s">
        <v>1133</v>
      </c>
      <c r="AL654" s="474">
        <v>85210</v>
      </c>
      <c r="AM654" s="474" t="s">
        <v>52</v>
      </c>
      <c r="AN654" s="474" t="s">
        <v>50</v>
      </c>
      <c r="AO654" s="474"/>
      <c r="AP654" s="486" t="s">
        <v>92</v>
      </c>
      <c r="AQ654" s="486" t="s">
        <v>37</v>
      </c>
      <c r="AR654" s="486"/>
      <c r="AS654" s="495"/>
      <c r="AT654" s="495"/>
      <c r="AU654" s="478"/>
      <c r="AV654" s="471" t="str">
        <f t="shared" si="156"/>
        <v>30390455H</v>
      </c>
      <c r="AW654" s="471" cm="1">
        <f t="array" ref="AW654">SUM(MID(0&amp;AV654,LARGE(INDEX(ISNUMBER(--MID(AV654,ROW($1:$8),1))*ROW($1:$8),),ROW($1:$8))+1,1)*10^ROW($1:$8)/10)</f>
        <v>30390455</v>
      </c>
      <c r="AX654" s="471" t="str">
        <f>VLOOKUP($AW654,'Item Master Data'!$A:$F,3,FALSE)</f>
        <v>Q.PEAK DUO BLK ML G10+</v>
      </c>
      <c r="AY654" s="471">
        <f>VLOOKUP($AW654,'Item Master Data'!$A:$F,6,FALSE)</f>
        <v>395</v>
      </c>
      <c r="AZ654" s="471">
        <f t="shared" si="157"/>
        <v>24</v>
      </c>
      <c r="BA654" s="471">
        <f>VLOOKUP(AW654,'Item Master Data'!$A:$G,7,FALSE)</f>
        <v>32</v>
      </c>
      <c r="BB654" s="471"/>
      <c r="BC654" s="471">
        <f t="shared" si="158"/>
        <v>0</v>
      </c>
    </row>
    <row r="655" spans="1:55">
      <c r="A655" s="472"/>
      <c r="B655" s="514">
        <v>44616</v>
      </c>
      <c r="C655" s="514">
        <v>44616</v>
      </c>
      <c r="D655" s="485" t="s">
        <v>2322</v>
      </c>
      <c r="E655" s="474"/>
      <c r="F655" s="474"/>
      <c r="G655" s="474">
        <v>2022</v>
      </c>
      <c r="H655" s="474">
        <v>3</v>
      </c>
      <c r="I655" s="485">
        <v>127492</v>
      </c>
      <c r="J655" s="475">
        <v>44644</v>
      </c>
      <c r="K655" s="483" t="s">
        <v>2386</v>
      </c>
      <c r="L655" s="474" t="s">
        <v>2378</v>
      </c>
      <c r="M655" s="487">
        <v>44519</v>
      </c>
      <c r="N655" s="487">
        <v>44563</v>
      </c>
      <c r="O655" s="487"/>
      <c r="P655" s="475">
        <v>44641</v>
      </c>
      <c r="Q655" s="475">
        <v>44643</v>
      </c>
      <c r="R655" s="475">
        <v>44644</v>
      </c>
      <c r="S655" s="474" t="s">
        <v>2379</v>
      </c>
      <c r="T655" s="474">
        <v>60</v>
      </c>
      <c r="U655" s="474" t="s">
        <v>1718</v>
      </c>
      <c r="V655" s="474" t="s">
        <v>973</v>
      </c>
      <c r="W655" s="474">
        <v>395</v>
      </c>
      <c r="X655" s="476">
        <v>768</v>
      </c>
      <c r="Y655" s="491">
        <f t="shared" si="153"/>
        <v>303360</v>
      </c>
      <c r="Z655" s="478">
        <f t="shared" si="159"/>
        <v>0.46500000000000002</v>
      </c>
      <c r="AA655" s="479">
        <f t="shared" si="154"/>
        <v>141062.39999999999</v>
      </c>
      <c r="AB655" s="480"/>
      <c r="AC655" s="481">
        <v>0</v>
      </c>
      <c r="AD655" s="490"/>
      <c r="AE655" s="482"/>
      <c r="AF655" s="493">
        <f t="shared" si="155"/>
        <v>141062.39999999999</v>
      </c>
      <c r="AG655" s="474" t="s">
        <v>47</v>
      </c>
      <c r="AH655" s="474"/>
      <c r="AI655" s="483" t="s">
        <v>2374</v>
      </c>
      <c r="AJ655" s="474" t="s">
        <v>1132</v>
      </c>
      <c r="AK655" s="494" t="s">
        <v>1133</v>
      </c>
      <c r="AL655" s="474">
        <v>85210</v>
      </c>
      <c r="AM655" s="474" t="s">
        <v>52</v>
      </c>
      <c r="AN655" s="474" t="s">
        <v>50</v>
      </c>
      <c r="AO655" s="474"/>
      <c r="AP655" s="486" t="s">
        <v>92</v>
      </c>
      <c r="AQ655" s="486" t="s">
        <v>37</v>
      </c>
      <c r="AR655" s="486"/>
      <c r="AS655" s="495"/>
      <c r="AT655" s="495"/>
      <c r="AU655" s="478"/>
      <c r="AV655" s="471" t="str">
        <f t="shared" si="156"/>
        <v>30390155H</v>
      </c>
      <c r="AW655" s="471" cm="1">
        <f t="array" ref="AW655">SUM(MID(0&amp;AV655,LARGE(INDEX(ISNUMBER(--MID(AV655,ROW($1:$8),1))*ROW($1:$8),),ROW($1:$8))+1,1)*10^ROW($1:$8)/10)</f>
        <v>30390155</v>
      </c>
      <c r="AX655" s="471" t="str">
        <f>VLOOKUP($AW655,'Item Master Data'!$A:$F,3,FALSE)</f>
        <v>Q.PEAK DUO BLK ML G10+</v>
      </c>
      <c r="AY655" s="471">
        <f>VLOOKUP($AW655,'Item Master Data'!$A:$F,6,FALSE)</f>
        <v>395</v>
      </c>
      <c r="AZ655" s="471">
        <f t="shared" si="157"/>
        <v>24</v>
      </c>
      <c r="BA655" s="471">
        <f>VLOOKUP(AW655,'Item Master Data'!$A:$G,7,FALSE)</f>
        <v>32</v>
      </c>
      <c r="BB655" s="471"/>
      <c r="BC655" s="471">
        <f t="shared" si="158"/>
        <v>0</v>
      </c>
    </row>
    <row r="656" spans="1:55">
      <c r="A656" s="472"/>
      <c r="B656" s="514">
        <v>44616</v>
      </c>
      <c r="C656" s="514">
        <v>44616</v>
      </c>
      <c r="D656" s="485" t="s">
        <v>2322</v>
      </c>
      <c r="E656" s="474"/>
      <c r="F656" s="474"/>
      <c r="G656" s="474">
        <v>2022</v>
      </c>
      <c r="H656" s="474">
        <v>3</v>
      </c>
      <c r="I656" s="485">
        <v>127404</v>
      </c>
      <c r="J656" s="475">
        <v>44642</v>
      </c>
      <c r="K656" s="483" t="s">
        <v>2387</v>
      </c>
      <c r="L656" s="474" t="s">
        <v>2378</v>
      </c>
      <c r="M656" s="487">
        <v>44519</v>
      </c>
      <c r="N656" s="487">
        <v>44563</v>
      </c>
      <c r="O656" s="487"/>
      <c r="P656" s="475">
        <v>44631</v>
      </c>
      <c r="Q656" s="475">
        <v>44636</v>
      </c>
      <c r="R656" s="475">
        <v>44642</v>
      </c>
      <c r="S656" s="474" t="s">
        <v>2379</v>
      </c>
      <c r="T656" s="474">
        <v>60</v>
      </c>
      <c r="U656" s="474" t="s">
        <v>2383</v>
      </c>
      <c r="V656" s="474" t="s">
        <v>973</v>
      </c>
      <c r="W656" s="474">
        <v>395</v>
      </c>
      <c r="X656" s="476">
        <v>416</v>
      </c>
      <c r="Y656" s="491">
        <f t="shared" si="153"/>
        <v>164320</v>
      </c>
      <c r="Z656" s="478">
        <f t="shared" si="159"/>
        <v>0.46500000000000002</v>
      </c>
      <c r="AA656" s="479">
        <f t="shared" si="154"/>
        <v>76408.800000000003</v>
      </c>
      <c r="AB656" s="480"/>
      <c r="AC656" s="481">
        <v>0</v>
      </c>
      <c r="AD656" s="490"/>
      <c r="AE656" s="482">
        <v>4584.53</v>
      </c>
      <c r="AF656" s="493">
        <f t="shared" si="155"/>
        <v>80993.33</v>
      </c>
      <c r="AG656" s="474" t="s">
        <v>47</v>
      </c>
      <c r="AH656" s="474"/>
      <c r="AI656" s="483" t="s">
        <v>2374</v>
      </c>
      <c r="AJ656" s="474" t="s">
        <v>2388</v>
      </c>
      <c r="AK656" s="494" t="s">
        <v>1375</v>
      </c>
      <c r="AL656" s="474">
        <v>23502</v>
      </c>
      <c r="AM656" s="474" t="s">
        <v>52</v>
      </c>
      <c r="AN656" s="474" t="s">
        <v>50</v>
      </c>
      <c r="AO656" s="474"/>
      <c r="AP656" s="486" t="s">
        <v>92</v>
      </c>
      <c r="AQ656" s="486" t="s">
        <v>37</v>
      </c>
      <c r="AR656" s="486"/>
      <c r="AS656" s="495"/>
      <c r="AT656" s="495"/>
      <c r="AU656" s="478"/>
      <c r="AV656" s="471" t="str">
        <f t="shared" si="156"/>
        <v>30390455H</v>
      </c>
      <c r="AW656" s="471" cm="1">
        <f t="array" ref="AW656">SUM(MID(0&amp;AV656,LARGE(INDEX(ISNUMBER(--MID(AV656,ROW($1:$8),1))*ROW($1:$8),),ROW($1:$8))+1,1)*10^ROW($1:$8)/10)</f>
        <v>30390455</v>
      </c>
      <c r="AX656" s="471" t="str">
        <f>VLOOKUP($AW656,'Item Master Data'!$A:$F,3,FALSE)</f>
        <v>Q.PEAK DUO BLK ML G10+</v>
      </c>
      <c r="AY656" s="471">
        <f>VLOOKUP($AW656,'Item Master Data'!$A:$F,6,FALSE)</f>
        <v>395</v>
      </c>
      <c r="AZ656" s="471">
        <f t="shared" si="157"/>
        <v>13</v>
      </c>
      <c r="BA656" s="471">
        <f>VLOOKUP(AW656,'Item Master Data'!$A:$G,7,FALSE)</f>
        <v>32</v>
      </c>
      <c r="BB656" s="471"/>
      <c r="BC656" s="471">
        <f t="shared" si="158"/>
        <v>0</v>
      </c>
    </row>
    <row r="657" spans="1:55">
      <c r="A657" s="472"/>
      <c r="B657" s="514">
        <v>44616</v>
      </c>
      <c r="C657" s="514">
        <v>44616</v>
      </c>
      <c r="D657" s="485" t="s">
        <v>2322</v>
      </c>
      <c r="E657" s="474"/>
      <c r="F657" s="474"/>
      <c r="G657" s="474">
        <v>2022</v>
      </c>
      <c r="H657" s="474">
        <v>3</v>
      </c>
      <c r="I657" s="485">
        <v>127605</v>
      </c>
      <c r="J657" s="475">
        <v>44648</v>
      </c>
      <c r="K657" s="483" t="s">
        <v>2389</v>
      </c>
      <c r="L657" s="474" t="s">
        <v>2378</v>
      </c>
      <c r="M657" s="487">
        <v>44519</v>
      </c>
      <c r="N657" s="487">
        <v>44563</v>
      </c>
      <c r="O657" s="487"/>
      <c r="P657" s="475">
        <v>44641</v>
      </c>
      <c r="Q657" s="475">
        <v>44645</v>
      </c>
      <c r="R657" s="475">
        <v>44648</v>
      </c>
      <c r="S657" s="474" t="s">
        <v>2379</v>
      </c>
      <c r="T657" s="474">
        <v>60</v>
      </c>
      <c r="U657" s="474" t="s">
        <v>1718</v>
      </c>
      <c r="V657" s="474" t="s">
        <v>973</v>
      </c>
      <c r="W657" s="474">
        <v>395</v>
      </c>
      <c r="X657" s="476">
        <v>768</v>
      </c>
      <c r="Y657" s="491">
        <f t="shared" si="153"/>
        <v>303360</v>
      </c>
      <c r="Z657" s="478">
        <f t="shared" si="159"/>
        <v>0.46500000000000002</v>
      </c>
      <c r="AA657" s="479">
        <f t="shared" si="154"/>
        <v>141062.39999999999</v>
      </c>
      <c r="AB657" s="480"/>
      <c r="AC657" s="481">
        <v>0</v>
      </c>
      <c r="AD657" s="490"/>
      <c r="AE657" s="482"/>
      <c r="AF657" s="493">
        <f t="shared" si="155"/>
        <v>141062.39999999999</v>
      </c>
      <c r="AG657" s="474" t="s">
        <v>47</v>
      </c>
      <c r="AH657" s="474"/>
      <c r="AI657" s="483" t="s">
        <v>2374</v>
      </c>
      <c r="AJ657" s="474" t="s">
        <v>2390</v>
      </c>
      <c r="AK657" s="494" t="s">
        <v>2362</v>
      </c>
      <c r="AL657" s="474">
        <v>80239</v>
      </c>
      <c r="AM657" s="474" t="s">
        <v>52</v>
      </c>
      <c r="AN657" s="474" t="s">
        <v>50</v>
      </c>
      <c r="AO657" s="474"/>
      <c r="AP657" s="486" t="s">
        <v>92</v>
      </c>
      <c r="AQ657" s="486" t="s">
        <v>37</v>
      </c>
      <c r="AR657" s="486"/>
      <c r="AS657" s="495"/>
      <c r="AT657" s="495"/>
      <c r="AU657" s="478"/>
      <c r="AV657" s="471" t="str">
        <f t="shared" si="156"/>
        <v>30390155H</v>
      </c>
      <c r="AW657" s="471" cm="1">
        <f t="array" ref="AW657">SUM(MID(0&amp;AV657,LARGE(INDEX(ISNUMBER(--MID(AV657,ROW($1:$8),1))*ROW($1:$8),),ROW($1:$8))+1,1)*10^ROW($1:$8)/10)</f>
        <v>30390155</v>
      </c>
      <c r="AX657" s="471" t="str">
        <f>VLOOKUP($AW657,'Item Master Data'!$A:$F,3,FALSE)</f>
        <v>Q.PEAK DUO BLK ML G10+</v>
      </c>
      <c r="AY657" s="471">
        <f>VLOOKUP($AW657,'Item Master Data'!$A:$F,6,FALSE)</f>
        <v>395</v>
      </c>
      <c r="AZ657" s="471">
        <f t="shared" si="157"/>
        <v>24</v>
      </c>
      <c r="BA657" s="471">
        <f>VLOOKUP(AW657,'Item Master Data'!$A:$G,7,FALSE)</f>
        <v>32</v>
      </c>
      <c r="BB657" s="471"/>
      <c r="BC657" s="471">
        <f t="shared" si="158"/>
        <v>0</v>
      </c>
    </row>
    <row r="658" spans="1:55">
      <c r="A658" s="472"/>
      <c r="B658" s="514">
        <v>44616</v>
      </c>
      <c r="C658" s="514">
        <v>44616</v>
      </c>
      <c r="D658" s="485" t="s">
        <v>2322</v>
      </c>
      <c r="E658" s="474"/>
      <c r="F658" s="474"/>
      <c r="G658" s="474">
        <v>2022</v>
      </c>
      <c r="H658" s="474">
        <v>3</v>
      </c>
      <c r="I658" s="485">
        <v>127410</v>
      </c>
      <c r="J658" s="475">
        <v>44642</v>
      </c>
      <c r="K658" s="483" t="s">
        <v>2391</v>
      </c>
      <c r="L658" s="474" t="s">
        <v>2378</v>
      </c>
      <c r="M658" s="487">
        <v>44519</v>
      </c>
      <c r="N658" s="487">
        <v>44563</v>
      </c>
      <c r="O658" s="487"/>
      <c r="P658" s="475">
        <v>44631</v>
      </c>
      <c r="Q658" s="475">
        <v>44636</v>
      </c>
      <c r="R658" s="475">
        <v>44642</v>
      </c>
      <c r="S658" s="474" t="s">
        <v>2379</v>
      </c>
      <c r="T658" s="474">
        <v>60</v>
      </c>
      <c r="U658" s="474" t="s">
        <v>2383</v>
      </c>
      <c r="V658" s="474" t="s">
        <v>973</v>
      </c>
      <c r="W658" s="474">
        <v>395</v>
      </c>
      <c r="X658" s="476">
        <v>416</v>
      </c>
      <c r="Y658" s="491">
        <f t="shared" si="153"/>
        <v>164320</v>
      </c>
      <c r="Z658" s="478">
        <f>183.675/395</f>
        <v>0.46500000000000002</v>
      </c>
      <c r="AA658" s="479">
        <f t="shared" si="154"/>
        <v>76408.800000000003</v>
      </c>
      <c r="AB658" s="480"/>
      <c r="AC658" s="481">
        <v>0</v>
      </c>
      <c r="AD658" s="490"/>
      <c r="AE658" s="482"/>
      <c r="AF658" s="493">
        <f t="shared" si="155"/>
        <v>76408.800000000003</v>
      </c>
      <c r="AG658" s="474" t="s">
        <v>47</v>
      </c>
      <c r="AH658" s="474"/>
      <c r="AI658" s="483" t="s">
        <v>2374</v>
      </c>
      <c r="AJ658" s="474" t="s">
        <v>2392</v>
      </c>
      <c r="AK658" s="494" t="s">
        <v>1084</v>
      </c>
      <c r="AL658" s="474">
        <v>33762</v>
      </c>
      <c r="AM658" s="474" t="s">
        <v>52</v>
      </c>
      <c r="AN658" s="474" t="s">
        <v>50</v>
      </c>
      <c r="AO658" s="474"/>
      <c r="AP658" s="486" t="s">
        <v>92</v>
      </c>
      <c r="AQ658" s="486" t="s">
        <v>37</v>
      </c>
      <c r="AR658" s="486"/>
      <c r="AS658" s="495"/>
      <c r="AT658" s="495"/>
      <c r="AU658" s="478"/>
      <c r="AV658" s="471" t="str">
        <f t="shared" si="156"/>
        <v>30390455H</v>
      </c>
      <c r="AW658" s="471" cm="1">
        <f t="array" ref="AW658">SUM(MID(0&amp;AV658,LARGE(INDEX(ISNUMBER(--MID(AV658,ROW($1:$8),1))*ROW($1:$8),),ROW($1:$8))+1,1)*10^ROW($1:$8)/10)</f>
        <v>30390455</v>
      </c>
      <c r="AX658" s="471" t="str">
        <f>VLOOKUP($AW658,'Item Master Data'!$A:$F,3,FALSE)</f>
        <v>Q.PEAK DUO BLK ML G10+</v>
      </c>
      <c r="AY658" s="471">
        <f>VLOOKUP($AW658,'Item Master Data'!$A:$F,6,FALSE)</f>
        <v>395</v>
      </c>
      <c r="AZ658" s="471">
        <f t="shared" si="157"/>
        <v>13</v>
      </c>
      <c r="BA658" s="471">
        <f>VLOOKUP(AW658,'Item Master Data'!$A:$G,7,FALSE)</f>
        <v>32</v>
      </c>
      <c r="BB658" s="471"/>
      <c r="BC658" s="471">
        <f t="shared" si="158"/>
        <v>0</v>
      </c>
    </row>
    <row r="659" spans="1:55">
      <c r="A659" s="472"/>
      <c r="B659" s="514">
        <v>44616</v>
      </c>
      <c r="C659" s="514">
        <v>44616</v>
      </c>
      <c r="D659" s="485" t="s">
        <v>2322</v>
      </c>
      <c r="E659" s="474"/>
      <c r="F659" s="474"/>
      <c r="G659" s="474">
        <v>2022</v>
      </c>
      <c r="H659" s="474">
        <v>3</v>
      </c>
      <c r="I659" s="485">
        <v>127192</v>
      </c>
      <c r="J659" s="475">
        <v>44624</v>
      </c>
      <c r="K659" s="483" t="s">
        <v>2393</v>
      </c>
      <c r="L659" s="474" t="s">
        <v>2378</v>
      </c>
      <c r="M659" s="487">
        <v>44519</v>
      </c>
      <c r="N659" s="487">
        <v>44563</v>
      </c>
      <c r="O659" s="487"/>
      <c r="P659" s="475">
        <v>44621</v>
      </c>
      <c r="Q659" s="475">
        <v>44622</v>
      </c>
      <c r="R659" s="475">
        <v>44624</v>
      </c>
      <c r="S659" s="474" t="s">
        <v>2379</v>
      </c>
      <c r="T659" s="474">
        <v>60</v>
      </c>
      <c r="U659" s="474">
        <v>49403139</v>
      </c>
      <c r="V659" s="474" t="s">
        <v>973</v>
      </c>
      <c r="W659" s="474">
        <v>395</v>
      </c>
      <c r="X659" s="476">
        <v>416</v>
      </c>
      <c r="Y659" s="491">
        <f t="shared" si="153"/>
        <v>164320</v>
      </c>
      <c r="Z659" s="478">
        <f t="shared" ref="Z659:Z707" si="160">186/400</f>
        <v>0.46500000000000002</v>
      </c>
      <c r="AA659" s="479">
        <f t="shared" si="154"/>
        <v>76408.800000000003</v>
      </c>
      <c r="AB659" s="480"/>
      <c r="AC659" s="481">
        <v>0</v>
      </c>
      <c r="AD659" s="490"/>
      <c r="AE659" s="482"/>
      <c r="AF659" s="493">
        <f t="shared" si="155"/>
        <v>76408.800000000003</v>
      </c>
      <c r="AG659" s="474" t="s">
        <v>47</v>
      </c>
      <c r="AH659" s="474"/>
      <c r="AI659" s="483" t="s">
        <v>2374</v>
      </c>
      <c r="AJ659" s="474" t="s">
        <v>2394</v>
      </c>
      <c r="AK659" s="494" t="s">
        <v>1133</v>
      </c>
      <c r="AL659" s="474">
        <v>85714</v>
      </c>
      <c r="AM659" s="474" t="s">
        <v>52</v>
      </c>
      <c r="AN659" s="474" t="s">
        <v>1074</v>
      </c>
      <c r="AO659" s="474"/>
      <c r="AP659" s="486"/>
      <c r="AQ659" s="486" t="s">
        <v>37</v>
      </c>
      <c r="AR659" s="486"/>
      <c r="AS659" s="495"/>
      <c r="AT659" s="495"/>
      <c r="AU659" s="478"/>
      <c r="AV659" s="471">
        <f t="shared" si="156"/>
        <v>49403139</v>
      </c>
      <c r="AW659" s="471" cm="1">
        <f t="array" ref="AW659">SUM(MID(0&amp;AV659,LARGE(INDEX(ISNUMBER(--MID(AV659,ROW($1:$8),1))*ROW($1:$8),),ROW($1:$8))+1,1)*10^ROW($1:$8)/10)</f>
        <v>49403139</v>
      </c>
      <c r="AX659" s="471" t="str">
        <f>VLOOKUP($AW659,'Item Master Data'!$A:$F,3,FALSE)</f>
        <v>Q.PEAK DUO BLK ML G10+</v>
      </c>
      <c r="AY659" s="471">
        <f>VLOOKUP($AW659,'Item Master Data'!$A:$F,6,FALSE)</f>
        <v>395</v>
      </c>
      <c r="AZ659" s="471">
        <f t="shared" si="157"/>
        <v>13</v>
      </c>
      <c r="BA659" s="471">
        <f>VLOOKUP(AW659,'Item Master Data'!$A:$G,7,FALSE)</f>
        <v>32</v>
      </c>
      <c r="BB659" s="471"/>
      <c r="BC659" s="471">
        <f t="shared" si="158"/>
        <v>0</v>
      </c>
    </row>
    <row r="660" spans="1:55">
      <c r="A660" s="472"/>
      <c r="B660" s="514">
        <v>44616</v>
      </c>
      <c r="C660" s="514">
        <v>44616</v>
      </c>
      <c r="D660" s="485" t="s">
        <v>2322</v>
      </c>
      <c r="E660" s="474"/>
      <c r="F660" s="474"/>
      <c r="G660" s="474">
        <v>2022</v>
      </c>
      <c r="H660" s="474">
        <v>3</v>
      </c>
      <c r="I660" s="485">
        <v>127650</v>
      </c>
      <c r="J660" s="475">
        <v>44651</v>
      </c>
      <c r="K660" s="483" t="s">
        <v>2393</v>
      </c>
      <c r="L660" s="474" t="s">
        <v>2378</v>
      </c>
      <c r="M660" s="487">
        <v>44519</v>
      </c>
      <c r="N660" s="487">
        <v>44563</v>
      </c>
      <c r="O660" s="487"/>
      <c r="P660" s="475">
        <v>44641</v>
      </c>
      <c r="Q660" s="475">
        <v>44650</v>
      </c>
      <c r="R660" s="475">
        <v>44651</v>
      </c>
      <c r="S660" s="474" t="s">
        <v>2379</v>
      </c>
      <c r="T660" s="474">
        <v>60</v>
      </c>
      <c r="U660" s="474" t="s">
        <v>1718</v>
      </c>
      <c r="V660" s="474" t="s">
        <v>973</v>
      </c>
      <c r="W660" s="474">
        <v>395</v>
      </c>
      <c r="X660" s="476">
        <v>384</v>
      </c>
      <c r="Y660" s="491">
        <f t="shared" si="153"/>
        <v>151680</v>
      </c>
      <c r="Z660" s="478">
        <f t="shared" si="160"/>
        <v>0.46500000000000002</v>
      </c>
      <c r="AA660" s="479">
        <f t="shared" si="154"/>
        <v>70531.199999999997</v>
      </c>
      <c r="AB660" s="480"/>
      <c r="AC660" s="481">
        <v>0</v>
      </c>
      <c r="AD660" s="490"/>
      <c r="AE660" s="482"/>
      <c r="AF660" s="493">
        <f t="shared" si="155"/>
        <v>70531.199999999997</v>
      </c>
      <c r="AG660" s="474" t="s">
        <v>47</v>
      </c>
      <c r="AH660" s="474"/>
      <c r="AI660" s="483" t="s">
        <v>2374</v>
      </c>
      <c r="AJ660" s="474" t="s">
        <v>2394</v>
      </c>
      <c r="AK660" s="494" t="s">
        <v>1133</v>
      </c>
      <c r="AL660" s="474">
        <v>95714</v>
      </c>
      <c r="AM660" s="474" t="s">
        <v>52</v>
      </c>
      <c r="AN660" s="474" t="s">
        <v>50</v>
      </c>
      <c r="AO660" s="474"/>
      <c r="AP660" s="486" t="s">
        <v>92</v>
      </c>
      <c r="AQ660" s="486" t="s">
        <v>37</v>
      </c>
      <c r="AR660" s="486"/>
      <c r="AS660" s="495"/>
      <c r="AT660" s="495"/>
      <c r="AU660" s="478"/>
      <c r="AV660" s="471" t="str">
        <f t="shared" si="156"/>
        <v>30390155H</v>
      </c>
      <c r="AW660" s="471" cm="1">
        <f t="array" ref="AW660">SUM(MID(0&amp;AV660,LARGE(INDEX(ISNUMBER(--MID(AV660,ROW($1:$8),1))*ROW($1:$8),),ROW($1:$8))+1,1)*10^ROW($1:$8)/10)</f>
        <v>30390155</v>
      </c>
      <c r="AX660" s="471" t="str">
        <f>VLOOKUP($AW660,'Item Master Data'!$A:$F,3,FALSE)</f>
        <v>Q.PEAK DUO BLK ML G10+</v>
      </c>
      <c r="AY660" s="471">
        <f>VLOOKUP($AW660,'Item Master Data'!$A:$F,6,FALSE)</f>
        <v>395</v>
      </c>
      <c r="AZ660" s="471">
        <f t="shared" si="157"/>
        <v>12</v>
      </c>
      <c r="BA660" s="471">
        <f>VLOOKUP(AW660,'Item Master Data'!$A:$G,7,FALSE)</f>
        <v>32</v>
      </c>
      <c r="BB660" s="471"/>
      <c r="BC660" s="471">
        <f t="shared" si="158"/>
        <v>0</v>
      </c>
    </row>
    <row r="661" spans="1:55">
      <c r="A661" s="472"/>
      <c r="B661" s="514">
        <v>44616</v>
      </c>
      <c r="C661" s="514">
        <v>44616</v>
      </c>
      <c r="D661" s="485" t="s">
        <v>2322</v>
      </c>
      <c r="E661" s="474"/>
      <c r="F661" s="474"/>
      <c r="G661" s="474">
        <v>2022</v>
      </c>
      <c r="H661" s="474">
        <v>3</v>
      </c>
      <c r="I661" s="485">
        <v>127189</v>
      </c>
      <c r="J661" s="475">
        <v>44624</v>
      </c>
      <c r="K661" s="483" t="s">
        <v>2395</v>
      </c>
      <c r="L661" s="474" t="s">
        <v>2378</v>
      </c>
      <c r="M661" s="487">
        <v>44519</v>
      </c>
      <c r="N661" s="487">
        <v>44563</v>
      </c>
      <c r="O661" s="487"/>
      <c r="P661" s="475">
        <v>44621</v>
      </c>
      <c r="Q661" s="475">
        <v>44623</v>
      </c>
      <c r="R661" s="475">
        <v>44624</v>
      </c>
      <c r="S661" s="474" t="s">
        <v>2379</v>
      </c>
      <c r="T661" s="474">
        <v>60</v>
      </c>
      <c r="U661" s="474" t="s">
        <v>2396</v>
      </c>
      <c r="V661" s="474" t="s">
        <v>973</v>
      </c>
      <c r="W661" s="474">
        <v>395</v>
      </c>
      <c r="X661" s="476">
        <v>640</v>
      </c>
      <c r="Y661" s="491">
        <f t="shared" si="153"/>
        <v>252800</v>
      </c>
      <c r="Z661" s="478">
        <f t="shared" si="160"/>
        <v>0.46500000000000002</v>
      </c>
      <c r="AA661" s="479">
        <f t="shared" si="154"/>
        <v>117552</v>
      </c>
      <c r="AB661" s="480"/>
      <c r="AC661" s="481">
        <v>0</v>
      </c>
      <c r="AD661" s="490"/>
      <c r="AE661" s="482"/>
      <c r="AF661" s="493">
        <f t="shared" si="155"/>
        <v>117552</v>
      </c>
      <c r="AG661" s="474" t="s">
        <v>47</v>
      </c>
      <c r="AH661" s="474"/>
      <c r="AI661" s="483" t="s">
        <v>2374</v>
      </c>
      <c r="AJ661" s="474" t="s">
        <v>2397</v>
      </c>
      <c r="AK661" s="494" t="s">
        <v>1133</v>
      </c>
      <c r="AL661" s="474">
        <v>85365</v>
      </c>
      <c r="AM661" s="474" t="s">
        <v>52</v>
      </c>
      <c r="AN661" s="474" t="s">
        <v>50</v>
      </c>
      <c r="AO661" s="474"/>
      <c r="AP661" s="486" t="s">
        <v>92</v>
      </c>
      <c r="AQ661" s="486" t="s">
        <v>37</v>
      </c>
      <c r="AR661" s="486"/>
      <c r="AS661" s="495"/>
      <c r="AT661" s="495"/>
      <c r="AU661" s="478"/>
      <c r="AV661" s="471" t="str">
        <f t="shared" si="156"/>
        <v>30390455C+</v>
      </c>
      <c r="AW661" s="471" cm="1">
        <f t="array" ref="AW661">SUM(MID(0&amp;AV661,LARGE(INDEX(ISNUMBER(--MID(AV661,ROW($1:$8),1))*ROW($1:$8),),ROW($1:$8))+1,1)*10^ROW($1:$8)/10)</f>
        <v>30390455</v>
      </c>
      <c r="AX661" s="471" t="str">
        <f>VLOOKUP($AW661,'Item Master Data'!$A:$F,3,FALSE)</f>
        <v>Q.PEAK DUO BLK ML G10+</v>
      </c>
      <c r="AY661" s="471">
        <f>VLOOKUP($AW661,'Item Master Data'!$A:$F,6,FALSE)</f>
        <v>395</v>
      </c>
      <c r="AZ661" s="471">
        <f t="shared" si="157"/>
        <v>20</v>
      </c>
      <c r="BA661" s="471">
        <f>VLOOKUP(AW661,'Item Master Data'!$A:$G,7,FALSE)</f>
        <v>32</v>
      </c>
      <c r="BB661" s="471"/>
      <c r="BC661" s="471">
        <f t="shared" si="158"/>
        <v>0</v>
      </c>
    </row>
    <row r="662" spans="1:55">
      <c r="A662" s="599">
        <v>10</v>
      </c>
      <c r="B662" s="514">
        <v>44616</v>
      </c>
      <c r="C662" s="514">
        <v>44616</v>
      </c>
      <c r="D662" s="485" t="s">
        <v>2322</v>
      </c>
      <c r="E662" s="474"/>
      <c r="F662" s="474"/>
      <c r="G662" s="474">
        <v>2022</v>
      </c>
      <c r="H662" s="474">
        <v>3</v>
      </c>
      <c r="I662" s="485">
        <v>127694</v>
      </c>
      <c r="J662" s="475">
        <v>44648</v>
      </c>
      <c r="K662" s="483" t="s">
        <v>2398</v>
      </c>
      <c r="L662" s="474" t="s">
        <v>2378</v>
      </c>
      <c r="M662" s="487">
        <v>44519</v>
      </c>
      <c r="N662" s="487">
        <v>44563</v>
      </c>
      <c r="O662" s="487"/>
      <c r="P662" s="475">
        <v>44617</v>
      </c>
      <c r="Q662" s="475">
        <v>44644</v>
      </c>
      <c r="R662" s="475">
        <v>44648</v>
      </c>
      <c r="S662" s="474" t="s">
        <v>2379</v>
      </c>
      <c r="T662" s="474">
        <v>60</v>
      </c>
      <c r="U662" s="474">
        <v>49405140</v>
      </c>
      <c r="V662" s="474" t="s">
        <v>973</v>
      </c>
      <c r="W662" s="474">
        <v>400</v>
      </c>
      <c r="X662" s="476">
        <v>320</v>
      </c>
      <c r="Y662" s="491">
        <f t="shared" si="153"/>
        <v>128000</v>
      </c>
      <c r="Z662" s="478">
        <f t="shared" si="160"/>
        <v>0.46500000000000002</v>
      </c>
      <c r="AA662" s="479">
        <f t="shared" si="154"/>
        <v>59520</v>
      </c>
      <c r="AB662" s="480"/>
      <c r="AC662" s="481">
        <v>0</v>
      </c>
      <c r="AD662" s="490"/>
      <c r="AE662" s="482"/>
      <c r="AF662" s="493">
        <f t="shared" si="155"/>
        <v>59520</v>
      </c>
      <c r="AG662" s="474" t="s">
        <v>47</v>
      </c>
      <c r="AH662" s="474"/>
      <c r="AI662" s="483" t="s">
        <v>2374</v>
      </c>
      <c r="AJ662" s="474" t="s">
        <v>2380</v>
      </c>
      <c r="AK662" s="494" t="s">
        <v>2381</v>
      </c>
      <c r="AL662" s="474">
        <v>87107</v>
      </c>
      <c r="AM662" s="474" t="s">
        <v>52</v>
      </c>
      <c r="AN662" s="474" t="s">
        <v>1106</v>
      </c>
      <c r="AO662" s="474"/>
      <c r="AP662" s="486"/>
      <c r="AQ662" s="486" t="s">
        <v>37</v>
      </c>
      <c r="AR662" s="486"/>
      <c r="AS662" s="495"/>
      <c r="AT662" s="495"/>
      <c r="AU662" s="478"/>
      <c r="AV662" s="471">
        <f t="shared" si="156"/>
        <v>49405140</v>
      </c>
      <c r="AW662" s="471" cm="1">
        <f t="array" ref="AW662">SUM(MID(0&amp;AV662,LARGE(INDEX(ISNUMBER(--MID(AV662,ROW($1:$8),1))*ROW($1:$8),),ROW($1:$8))+1,1)*10^ROW($1:$8)/10)</f>
        <v>49405140</v>
      </c>
      <c r="AX662" s="471" t="str">
        <f>VLOOKUP($AW662,'Item Master Data'!$A:$F,3,FALSE)</f>
        <v>Q.PEAK DUO BLK ML G10+</v>
      </c>
      <c r="AY662" s="471">
        <f>VLOOKUP($AW662,'Item Master Data'!$A:$F,6,FALSE)</f>
        <v>400</v>
      </c>
      <c r="AZ662" s="471">
        <f t="shared" si="157"/>
        <v>10</v>
      </c>
      <c r="BA662" s="471">
        <f>VLOOKUP(AW662,'Item Master Data'!$A:$G,7,FALSE)</f>
        <v>32</v>
      </c>
      <c r="BB662" s="471"/>
      <c r="BC662" s="471">
        <f t="shared" si="158"/>
        <v>0</v>
      </c>
    </row>
    <row r="663" spans="1:55">
      <c r="A663" s="599">
        <v>10</v>
      </c>
      <c r="B663" s="514">
        <v>44616</v>
      </c>
      <c r="C663" s="514">
        <v>44616</v>
      </c>
      <c r="D663" s="485" t="s">
        <v>2322</v>
      </c>
      <c r="E663" s="474"/>
      <c r="F663" s="474"/>
      <c r="G663" s="474">
        <v>2022</v>
      </c>
      <c r="H663" s="474">
        <v>3</v>
      </c>
      <c r="I663" s="485">
        <v>127248</v>
      </c>
      <c r="J663" s="475">
        <v>44631</v>
      </c>
      <c r="K663" s="483" t="s">
        <v>2399</v>
      </c>
      <c r="L663" s="474" t="s">
        <v>2378</v>
      </c>
      <c r="M663" s="487">
        <v>44519</v>
      </c>
      <c r="N663" s="487">
        <v>44563</v>
      </c>
      <c r="O663" s="487"/>
      <c r="P663" s="475">
        <v>44617</v>
      </c>
      <c r="Q663" s="475">
        <v>44630</v>
      </c>
      <c r="R663" s="475">
        <v>44631</v>
      </c>
      <c r="S663" s="474" t="s">
        <v>2379</v>
      </c>
      <c r="T663" s="474">
        <v>60</v>
      </c>
      <c r="U663" s="474">
        <v>49403140</v>
      </c>
      <c r="V663" s="474" t="s">
        <v>973</v>
      </c>
      <c r="W663" s="474">
        <v>400</v>
      </c>
      <c r="X663" s="476">
        <v>320</v>
      </c>
      <c r="Y663" s="491">
        <f t="shared" si="153"/>
        <v>128000</v>
      </c>
      <c r="Z663" s="478">
        <f t="shared" si="160"/>
        <v>0.46500000000000002</v>
      </c>
      <c r="AA663" s="479">
        <f t="shared" si="154"/>
        <v>59520</v>
      </c>
      <c r="AB663" s="480"/>
      <c r="AC663" s="481">
        <v>0</v>
      </c>
      <c r="AD663" s="490"/>
      <c r="AE663" s="482">
        <v>4761.6000000000004</v>
      </c>
      <c r="AF663" s="493">
        <f t="shared" si="155"/>
        <v>64281.599999999999</v>
      </c>
      <c r="AG663" s="474" t="s">
        <v>47</v>
      </c>
      <c r="AH663" s="474"/>
      <c r="AI663" s="483" t="s">
        <v>2374</v>
      </c>
      <c r="AJ663" s="474" t="s">
        <v>2400</v>
      </c>
      <c r="AK663" s="494" t="s">
        <v>1074</v>
      </c>
      <c r="AL663" s="474">
        <v>30360</v>
      </c>
      <c r="AM663" s="474" t="s">
        <v>52</v>
      </c>
      <c r="AN663" s="474" t="s">
        <v>1074</v>
      </c>
      <c r="AO663" s="474"/>
      <c r="AP663" s="486"/>
      <c r="AQ663" s="486" t="s">
        <v>37</v>
      </c>
      <c r="AR663" s="486"/>
      <c r="AS663" s="495"/>
      <c r="AT663" s="495"/>
      <c r="AU663" s="478"/>
      <c r="AV663" s="471">
        <f t="shared" si="156"/>
        <v>49403140</v>
      </c>
      <c r="AW663" s="471" cm="1">
        <f t="array" ref="AW663">SUM(MID(0&amp;AV663,LARGE(INDEX(ISNUMBER(--MID(AV663,ROW($1:$8),1))*ROW($1:$8),),ROW($1:$8))+1,1)*10^ROW($1:$8)/10)</f>
        <v>49403140</v>
      </c>
      <c r="AX663" s="471" t="str">
        <f>VLOOKUP($AW663,'Item Master Data'!$A:$F,3,FALSE)</f>
        <v>Q.PEAK DUO BLK ML G10+</v>
      </c>
      <c r="AY663" s="471">
        <f>VLOOKUP($AW663,'Item Master Data'!$A:$F,6,FALSE)</f>
        <v>400</v>
      </c>
      <c r="AZ663" s="471">
        <f t="shared" si="157"/>
        <v>10</v>
      </c>
      <c r="BA663" s="471">
        <f>VLOOKUP(AW663,'Item Master Data'!$A:$G,7,FALSE)</f>
        <v>32</v>
      </c>
      <c r="BB663" s="471"/>
      <c r="BC663" s="471">
        <f t="shared" si="158"/>
        <v>0</v>
      </c>
    </row>
    <row r="664" spans="1:55">
      <c r="A664" s="599">
        <v>10</v>
      </c>
      <c r="B664" s="514">
        <v>44616</v>
      </c>
      <c r="C664" s="514">
        <v>44616</v>
      </c>
      <c r="D664" s="485" t="s">
        <v>2322</v>
      </c>
      <c r="E664" s="474"/>
      <c r="F664" s="474"/>
      <c r="G664" s="474">
        <v>2022</v>
      </c>
      <c r="H664" s="474">
        <v>3</v>
      </c>
      <c r="I664" s="485">
        <v>127684</v>
      </c>
      <c r="J664" s="475">
        <v>44651</v>
      </c>
      <c r="K664" s="483" t="s">
        <v>2399</v>
      </c>
      <c r="L664" s="474" t="s">
        <v>2378</v>
      </c>
      <c r="M664" s="487">
        <v>44519</v>
      </c>
      <c r="N664" s="487">
        <v>44563</v>
      </c>
      <c r="O664" s="487"/>
      <c r="P664" s="475">
        <v>44617</v>
      </c>
      <c r="Q664" s="475">
        <v>44650</v>
      </c>
      <c r="R664" s="475">
        <v>44651</v>
      </c>
      <c r="S664" s="474" t="s">
        <v>2379</v>
      </c>
      <c r="T664" s="474">
        <v>60</v>
      </c>
      <c r="U664" s="474">
        <v>49405140</v>
      </c>
      <c r="V664" s="474" t="s">
        <v>973</v>
      </c>
      <c r="W664" s="474">
        <v>400</v>
      </c>
      <c r="X664" s="476">
        <v>512</v>
      </c>
      <c r="Y664" s="491">
        <f t="shared" si="153"/>
        <v>204800</v>
      </c>
      <c r="Z664" s="478">
        <f t="shared" si="160"/>
        <v>0.46500000000000002</v>
      </c>
      <c r="AA664" s="479">
        <f t="shared" si="154"/>
        <v>95232</v>
      </c>
      <c r="AB664" s="480"/>
      <c r="AC664" s="481">
        <v>0</v>
      </c>
      <c r="AD664" s="490"/>
      <c r="AE664" s="482">
        <v>7618.56</v>
      </c>
      <c r="AF664" s="493">
        <f t="shared" si="155"/>
        <v>102850.56</v>
      </c>
      <c r="AG664" s="474" t="s">
        <v>47</v>
      </c>
      <c r="AH664" s="474"/>
      <c r="AI664" s="483" t="s">
        <v>2374</v>
      </c>
      <c r="AJ664" s="474" t="s">
        <v>2400</v>
      </c>
      <c r="AK664" s="494" t="s">
        <v>1074</v>
      </c>
      <c r="AL664" s="474">
        <v>30360</v>
      </c>
      <c r="AM664" s="474" t="s">
        <v>52</v>
      </c>
      <c r="AN664" s="474" t="s">
        <v>1074</v>
      </c>
      <c r="AO664" s="474"/>
      <c r="AP664" s="486"/>
      <c r="AQ664" s="486" t="s">
        <v>37</v>
      </c>
      <c r="AR664" s="486"/>
      <c r="AS664" s="495"/>
      <c r="AT664" s="495"/>
      <c r="AU664" s="478"/>
      <c r="AV664" s="471">
        <f t="shared" si="156"/>
        <v>49405140</v>
      </c>
      <c r="AW664" s="471" cm="1">
        <f t="array" ref="AW664">SUM(MID(0&amp;AV664,LARGE(INDEX(ISNUMBER(--MID(AV664,ROW($1:$8),1))*ROW($1:$8),),ROW($1:$8))+1,1)*10^ROW($1:$8)/10)</f>
        <v>49405140</v>
      </c>
      <c r="AX664" s="471" t="str">
        <f>VLOOKUP($AW664,'Item Master Data'!$A:$F,3,FALSE)</f>
        <v>Q.PEAK DUO BLK ML G10+</v>
      </c>
      <c r="AY664" s="471">
        <f>VLOOKUP($AW664,'Item Master Data'!$A:$F,6,FALSE)</f>
        <v>400</v>
      </c>
      <c r="AZ664" s="471">
        <f t="shared" si="157"/>
        <v>16</v>
      </c>
      <c r="BA664" s="471">
        <f>VLOOKUP(AW664,'Item Master Data'!$A:$G,7,FALSE)</f>
        <v>32</v>
      </c>
      <c r="BB664" s="471"/>
      <c r="BC664" s="471">
        <f t="shared" si="158"/>
        <v>0</v>
      </c>
    </row>
    <row r="665" spans="1:55">
      <c r="A665" s="599">
        <v>10</v>
      </c>
      <c r="B665" s="514">
        <v>44616</v>
      </c>
      <c r="C665" s="514">
        <v>44616</v>
      </c>
      <c r="D665" s="485" t="s">
        <v>2322</v>
      </c>
      <c r="E665" s="474"/>
      <c r="F665" s="474"/>
      <c r="G665" s="474">
        <v>2022</v>
      </c>
      <c r="H665" s="474">
        <v>3</v>
      </c>
      <c r="I665" s="485">
        <v>127561</v>
      </c>
      <c r="J665" s="475">
        <v>44648</v>
      </c>
      <c r="K665" s="483" t="s">
        <v>2401</v>
      </c>
      <c r="L665" s="474" t="s">
        <v>2378</v>
      </c>
      <c r="M665" s="487">
        <v>44519</v>
      </c>
      <c r="N665" s="487">
        <v>44563</v>
      </c>
      <c r="O665" s="487"/>
      <c r="P665" s="475">
        <v>44617</v>
      </c>
      <c r="Q665" s="475">
        <v>44643</v>
      </c>
      <c r="R665" s="475">
        <v>44648</v>
      </c>
      <c r="S665" s="474" t="s">
        <v>2379</v>
      </c>
      <c r="T665" s="474">
        <v>60</v>
      </c>
      <c r="U665" s="474">
        <v>49405140</v>
      </c>
      <c r="V665" s="474" t="s">
        <v>973</v>
      </c>
      <c r="W665" s="474">
        <v>400</v>
      </c>
      <c r="X665" s="476">
        <v>320</v>
      </c>
      <c r="Y665" s="491">
        <f t="shared" si="153"/>
        <v>128000</v>
      </c>
      <c r="Z665" s="478">
        <f t="shared" si="160"/>
        <v>0.46500000000000002</v>
      </c>
      <c r="AA665" s="479">
        <f t="shared" si="154"/>
        <v>59520</v>
      </c>
      <c r="AB665" s="480"/>
      <c r="AC665" s="481">
        <v>0</v>
      </c>
      <c r="AD665" s="490"/>
      <c r="AE665" s="482">
        <v>4910.3999999999996</v>
      </c>
      <c r="AF665" s="493">
        <f t="shared" si="155"/>
        <v>64430.400000000001</v>
      </c>
      <c r="AG665" s="474" t="s">
        <v>47</v>
      </c>
      <c r="AH665" s="474"/>
      <c r="AI665" s="483" t="s">
        <v>2374</v>
      </c>
      <c r="AJ665" s="474" t="s">
        <v>2402</v>
      </c>
      <c r="AK665" s="494" t="s">
        <v>1144</v>
      </c>
      <c r="AL665" s="474">
        <v>78610</v>
      </c>
      <c r="AM665" s="474" t="s">
        <v>52</v>
      </c>
      <c r="AN665" s="474" t="s">
        <v>1074</v>
      </c>
      <c r="AO665" s="474"/>
      <c r="AP665" s="486"/>
      <c r="AQ665" s="486" t="s">
        <v>37</v>
      </c>
      <c r="AR665" s="486"/>
      <c r="AS665" s="495"/>
      <c r="AT665" s="495"/>
      <c r="AU665" s="478"/>
      <c r="AV665" s="471">
        <f t="shared" si="156"/>
        <v>49405140</v>
      </c>
      <c r="AW665" s="471" cm="1">
        <f t="array" ref="AW665">SUM(MID(0&amp;AV665,LARGE(INDEX(ISNUMBER(--MID(AV665,ROW($1:$8),1))*ROW($1:$8),),ROW($1:$8))+1,1)*10^ROW($1:$8)/10)</f>
        <v>49405140</v>
      </c>
      <c r="AX665" s="471" t="str">
        <f>VLOOKUP($AW665,'Item Master Data'!$A:$F,3,FALSE)</f>
        <v>Q.PEAK DUO BLK ML G10+</v>
      </c>
      <c r="AY665" s="471">
        <f>VLOOKUP($AW665,'Item Master Data'!$A:$F,6,FALSE)</f>
        <v>400</v>
      </c>
      <c r="AZ665" s="471">
        <f t="shared" si="157"/>
        <v>10</v>
      </c>
      <c r="BA665" s="471">
        <f>VLOOKUP(AW665,'Item Master Data'!$A:$G,7,FALSE)</f>
        <v>32</v>
      </c>
      <c r="BB665" s="471"/>
      <c r="BC665" s="471">
        <f t="shared" si="158"/>
        <v>0</v>
      </c>
    </row>
    <row r="666" spans="1:55">
      <c r="A666" s="599">
        <v>10</v>
      </c>
      <c r="B666" s="514">
        <v>44616</v>
      </c>
      <c r="C666" s="514">
        <v>44616</v>
      </c>
      <c r="D666" s="485" t="s">
        <v>2322</v>
      </c>
      <c r="E666" s="474"/>
      <c r="F666" s="474"/>
      <c r="G666" s="474">
        <v>2022</v>
      </c>
      <c r="H666" s="474">
        <v>3</v>
      </c>
      <c r="I666" s="485">
        <v>127583</v>
      </c>
      <c r="J666" s="475">
        <v>44648</v>
      </c>
      <c r="K666" s="483" t="s">
        <v>2403</v>
      </c>
      <c r="L666" s="474" t="s">
        <v>2378</v>
      </c>
      <c r="M666" s="487">
        <v>44519</v>
      </c>
      <c r="N666" s="487">
        <v>44563</v>
      </c>
      <c r="O666" s="487"/>
      <c r="P666" s="475">
        <v>44617</v>
      </c>
      <c r="Q666" s="475">
        <v>44645</v>
      </c>
      <c r="R666" s="475">
        <v>44648</v>
      </c>
      <c r="S666" s="474" t="s">
        <v>2379</v>
      </c>
      <c r="T666" s="474">
        <v>60</v>
      </c>
      <c r="U666" s="474">
        <v>49405140</v>
      </c>
      <c r="V666" s="474" t="s">
        <v>973</v>
      </c>
      <c r="W666" s="474">
        <v>400</v>
      </c>
      <c r="X666" s="476">
        <v>416</v>
      </c>
      <c r="Y666" s="491">
        <f t="shared" si="153"/>
        <v>166400</v>
      </c>
      <c r="Z666" s="478">
        <f t="shared" si="160"/>
        <v>0.46500000000000002</v>
      </c>
      <c r="AA666" s="479">
        <f t="shared" si="154"/>
        <v>77376</v>
      </c>
      <c r="AB666" s="480"/>
      <c r="AC666" s="481">
        <v>0</v>
      </c>
      <c r="AD666" s="490"/>
      <c r="AE666" s="482"/>
      <c r="AF666" s="493">
        <f t="shared" si="155"/>
        <v>77376</v>
      </c>
      <c r="AG666" s="474" t="s">
        <v>47</v>
      </c>
      <c r="AH666" s="474"/>
      <c r="AI666" s="483" t="s">
        <v>2374</v>
      </c>
      <c r="AJ666" s="474" t="s">
        <v>2390</v>
      </c>
      <c r="AK666" s="494" t="s">
        <v>2362</v>
      </c>
      <c r="AL666" s="474">
        <v>80239</v>
      </c>
      <c r="AM666" s="474" t="s">
        <v>52</v>
      </c>
      <c r="AN666" s="474" t="s">
        <v>1074</v>
      </c>
      <c r="AO666" s="474"/>
      <c r="AP666" s="486"/>
      <c r="AQ666" s="486" t="s">
        <v>37</v>
      </c>
      <c r="AR666" s="486"/>
      <c r="AS666" s="495"/>
      <c r="AT666" s="495"/>
      <c r="AU666" s="478"/>
      <c r="AV666" s="471">
        <f t="shared" si="156"/>
        <v>49405140</v>
      </c>
      <c r="AW666" s="471" cm="1">
        <f t="array" ref="AW666">SUM(MID(0&amp;AV666,LARGE(INDEX(ISNUMBER(--MID(AV666,ROW($1:$8),1))*ROW($1:$8),),ROW($1:$8))+1,1)*10^ROW($1:$8)/10)</f>
        <v>49405140</v>
      </c>
      <c r="AX666" s="471" t="str">
        <f>VLOOKUP($AW666,'Item Master Data'!$A:$F,3,FALSE)</f>
        <v>Q.PEAK DUO BLK ML G10+</v>
      </c>
      <c r="AY666" s="471">
        <f>VLOOKUP($AW666,'Item Master Data'!$A:$F,6,FALSE)</f>
        <v>400</v>
      </c>
      <c r="AZ666" s="471">
        <f t="shared" si="157"/>
        <v>13</v>
      </c>
      <c r="BA666" s="471">
        <f>VLOOKUP(AW666,'Item Master Data'!$A:$G,7,FALSE)</f>
        <v>32</v>
      </c>
      <c r="BB666" s="471"/>
      <c r="BC666" s="471">
        <f t="shared" si="158"/>
        <v>0</v>
      </c>
    </row>
    <row r="667" spans="1:55">
      <c r="A667" s="599">
        <v>10</v>
      </c>
      <c r="B667" s="514">
        <v>44616</v>
      </c>
      <c r="C667" s="514">
        <v>44616</v>
      </c>
      <c r="D667" s="485" t="s">
        <v>2322</v>
      </c>
      <c r="E667" s="474"/>
      <c r="F667" s="474"/>
      <c r="G667" s="474">
        <v>2022</v>
      </c>
      <c r="H667" s="474">
        <v>3</v>
      </c>
      <c r="I667" s="485">
        <v>127252</v>
      </c>
      <c r="J667" s="475">
        <v>44631</v>
      </c>
      <c r="K667" s="483" t="s">
        <v>2404</v>
      </c>
      <c r="L667" s="474" t="s">
        <v>2378</v>
      </c>
      <c r="M667" s="487">
        <v>44519</v>
      </c>
      <c r="N667" s="487">
        <v>44563</v>
      </c>
      <c r="O667" s="487"/>
      <c r="P667" s="475">
        <v>44617</v>
      </c>
      <c r="Q667" s="475">
        <v>44630</v>
      </c>
      <c r="R667" s="475">
        <v>44631</v>
      </c>
      <c r="S667" s="474" t="s">
        <v>2379</v>
      </c>
      <c r="T667" s="474">
        <v>60</v>
      </c>
      <c r="U667" s="474">
        <v>49403140</v>
      </c>
      <c r="V667" s="474" t="s">
        <v>973</v>
      </c>
      <c r="W667" s="474">
        <v>400</v>
      </c>
      <c r="X667" s="476">
        <v>320</v>
      </c>
      <c r="Y667" s="491">
        <f t="shared" si="153"/>
        <v>128000</v>
      </c>
      <c r="Z667" s="478">
        <f t="shared" si="160"/>
        <v>0.46500000000000002</v>
      </c>
      <c r="AA667" s="479">
        <f t="shared" si="154"/>
        <v>59520</v>
      </c>
      <c r="AB667" s="480"/>
      <c r="AC667" s="481">
        <v>0</v>
      </c>
      <c r="AD667" s="490"/>
      <c r="AE667" s="482">
        <v>4166.3999999999996</v>
      </c>
      <c r="AF667" s="493">
        <f t="shared" si="155"/>
        <v>63686.400000000001</v>
      </c>
      <c r="AG667" s="474" t="s">
        <v>47</v>
      </c>
      <c r="AH667" s="474"/>
      <c r="AI667" s="483" t="s">
        <v>2374</v>
      </c>
      <c r="AJ667" s="474" t="s">
        <v>2405</v>
      </c>
      <c r="AK667" s="494" t="s">
        <v>2406</v>
      </c>
      <c r="AL667" s="474">
        <v>29673</v>
      </c>
      <c r="AM667" s="474" t="s">
        <v>52</v>
      </c>
      <c r="AN667" s="474" t="s">
        <v>1074</v>
      </c>
      <c r="AO667" s="474"/>
      <c r="AP667" s="486"/>
      <c r="AQ667" s="486" t="s">
        <v>37</v>
      </c>
      <c r="AR667" s="486"/>
      <c r="AS667" s="495"/>
      <c r="AT667" s="495"/>
      <c r="AU667" s="478"/>
      <c r="AV667" s="471">
        <f t="shared" si="156"/>
        <v>49403140</v>
      </c>
      <c r="AW667" s="471" cm="1">
        <f t="array" ref="AW667">SUM(MID(0&amp;AV667,LARGE(INDEX(ISNUMBER(--MID(AV667,ROW($1:$8),1))*ROW($1:$8),),ROW($1:$8))+1,1)*10^ROW($1:$8)/10)</f>
        <v>49403140</v>
      </c>
      <c r="AX667" s="471" t="str">
        <f>VLOOKUP($AW667,'Item Master Data'!$A:$F,3,FALSE)</f>
        <v>Q.PEAK DUO BLK ML G10+</v>
      </c>
      <c r="AY667" s="471">
        <f>VLOOKUP($AW667,'Item Master Data'!$A:$F,6,FALSE)</f>
        <v>400</v>
      </c>
      <c r="AZ667" s="471">
        <f t="shared" ref="AZ667:AZ698" si="161">X667/BA667</f>
        <v>10</v>
      </c>
      <c r="BA667" s="471">
        <f>VLOOKUP(AW667,'Item Master Data'!$A:$G,7,FALSE)</f>
        <v>32</v>
      </c>
      <c r="BB667" s="471"/>
      <c r="BC667" s="471">
        <f t="shared" si="158"/>
        <v>0</v>
      </c>
    </row>
    <row r="668" spans="1:55">
      <c r="A668" s="599"/>
      <c r="B668" s="514">
        <v>44616</v>
      </c>
      <c r="C668" s="514">
        <v>44616</v>
      </c>
      <c r="D668" s="485" t="s">
        <v>2322</v>
      </c>
      <c r="E668" s="474"/>
      <c r="F668" s="474"/>
      <c r="G668" s="474">
        <v>2022</v>
      </c>
      <c r="H668" s="474">
        <v>3</v>
      </c>
      <c r="I668" s="485">
        <v>127688</v>
      </c>
      <c r="J668" s="475">
        <v>44651</v>
      </c>
      <c r="K668" s="483" t="s">
        <v>2404</v>
      </c>
      <c r="L668" s="474" t="s">
        <v>2378</v>
      </c>
      <c r="M668" s="487">
        <v>44519</v>
      </c>
      <c r="N668" s="487">
        <v>44563</v>
      </c>
      <c r="O668" s="487"/>
      <c r="P668" s="475">
        <v>44617</v>
      </c>
      <c r="Q668" s="475">
        <v>44650</v>
      </c>
      <c r="R668" s="475">
        <v>44650</v>
      </c>
      <c r="S668" s="474" t="s">
        <v>2379</v>
      </c>
      <c r="T668" s="474">
        <v>60</v>
      </c>
      <c r="U668" s="474">
        <v>49405140</v>
      </c>
      <c r="V668" s="474" t="s">
        <v>973</v>
      </c>
      <c r="W668" s="474">
        <v>400</v>
      </c>
      <c r="X668" s="476">
        <v>320</v>
      </c>
      <c r="Y668" s="491">
        <f t="shared" si="153"/>
        <v>128000</v>
      </c>
      <c r="Z668" s="478">
        <f t="shared" si="160"/>
        <v>0.46500000000000002</v>
      </c>
      <c r="AA668" s="479">
        <f t="shared" si="154"/>
        <v>59520</v>
      </c>
      <c r="AB668" s="480"/>
      <c r="AC668" s="481">
        <v>0</v>
      </c>
      <c r="AD668" s="490"/>
      <c r="AE668" s="482">
        <v>4166.3999999999996</v>
      </c>
      <c r="AF668" s="493">
        <f t="shared" si="155"/>
        <v>63686.400000000001</v>
      </c>
      <c r="AG668" s="474" t="s">
        <v>47</v>
      </c>
      <c r="AH668" s="474"/>
      <c r="AI668" s="483" t="s">
        <v>2374</v>
      </c>
      <c r="AJ668" s="474" t="s">
        <v>2405</v>
      </c>
      <c r="AK668" s="494" t="s">
        <v>2406</v>
      </c>
      <c r="AL668" s="474">
        <v>29673</v>
      </c>
      <c r="AM668" s="474" t="s">
        <v>52</v>
      </c>
      <c r="AN668" s="474" t="s">
        <v>1074</v>
      </c>
      <c r="AO668" s="474"/>
      <c r="AP668" s="486"/>
      <c r="AQ668" s="486" t="s">
        <v>37</v>
      </c>
      <c r="AR668" s="486"/>
      <c r="AS668" s="495"/>
      <c r="AT668" s="495"/>
      <c r="AU668" s="478"/>
      <c r="AV668" s="471">
        <f t="shared" si="156"/>
        <v>49405140</v>
      </c>
      <c r="AW668" s="471" cm="1">
        <f t="array" ref="AW668">SUM(MID(0&amp;AV668,LARGE(INDEX(ISNUMBER(--MID(AV668,ROW($1:$8),1))*ROW($1:$8),),ROW($1:$8))+1,1)*10^ROW($1:$8)/10)</f>
        <v>49405140</v>
      </c>
      <c r="AX668" s="471" t="str">
        <f>VLOOKUP($AW668,'Item Master Data'!$A:$F,3,FALSE)</f>
        <v>Q.PEAK DUO BLK ML G10+</v>
      </c>
      <c r="AY668" s="471">
        <f>VLOOKUP($AW668,'Item Master Data'!$A:$F,6,FALSE)</f>
        <v>400</v>
      </c>
      <c r="AZ668" s="471">
        <f t="shared" si="161"/>
        <v>10</v>
      </c>
      <c r="BA668" s="471">
        <f>VLOOKUP(AW668,'Item Master Data'!$A:$G,7,FALSE)</f>
        <v>32</v>
      </c>
      <c r="BB668" s="471"/>
      <c r="BC668" s="471">
        <f t="shared" si="158"/>
        <v>0</v>
      </c>
    </row>
    <row r="669" spans="1:55">
      <c r="A669" s="599"/>
      <c r="B669" s="514">
        <v>44616</v>
      </c>
      <c r="C669" s="514">
        <v>44616</v>
      </c>
      <c r="D669" s="485" t="s">
        <v>2322</v>
      </c>
      <c r="E669" s="474"/>
      <c r="F669" s="474"/>
      <c r="G669" s="474">
        <v>2022</v>
      </c>
      <c r="H669" s="474">
        <v>3</v>
      </c>
      <c r="I669" s="485">
        <v>127695</v>
      </c>
      <c r="J669" s="475">
        <v>44645</v>
      </c>
      <c r="K669" s="483" t="s">
        <v>2407</v>
      </c>
      <c r="L669" s="474" t="s">
        <v>2378</v>
      </c>
      <c r="M669" s="487">
        <v>44519</v>
      </c>
      <c r="N669" s="487">
        <v>44563</v>
      </c>
      <c r="O669" s="487"/>
      <c r="P669" s="475">
        <v>44617</v>
      </c>
      <c r="Q669" s="475">
        <v>44644</v>
      </c>
      <c r="R669" s="475">
        <v>44648</v>
      </c>
      <c r="S669" s="474" t="s">
        <v>2379</v>
      </c>
      <c r="T669" s="474">
        <v>60</v>
      </c>
      <c r="U669" s="474">
        <v>49405140</v>
      </c>
      <c r="V669" s="474" t="s">
        <v>973</v>
      </c>
      <c r="W669" s="474">
        <v>400</v>
      </c>
      <c r="X669" s="476">
        <v>320</v>
      </c>
      <c r="Y669" s="491">
        <f t="shared" si="153"/>
        <v>128000</v>
      </c>
      <c r="Z669" s="478">
        <f t="shared" si="160"/>
        <v>0.46500000000000002</v>
      </c>
      <c r="AA669" s="479">
        <f t="shared" si="154"/>
        <v>59520</v>
      </c>
      <c r="AB669" s="480"/>
      <c r="AC669" s="481">
        <v>0</v>
      </c>
      <c r="AD669" s="490"/>
      <c r="AE669" s="482">
        <v>5208</v>
      </c>
      <c r="AF669" s="493">
        <f t="shared" si="155"/>
        <v>64728</v>
      </c>
      <c r="AG669" s="474" t="s">
        <v>47</v>
      </c>
      <c r="AH669" s="474"/>
      <c r="AI669" s="483" t="s">
        <v>2374</v>
      </c>
      <c r="AJ669" s="474" t="s">
        <v>1121</v>
      </c>
      <c r="AK669" s="494" t="s">
        <v>1117</v>
      </c>
      <c r="AL669" s="474">
        <v>60436</v>
      </c>
      <c r="AM669" s="474" t="s">
        <v>52</v>
      </c>
      <c r="AN669" s="474" t="s">
        <v>1106</v>
      </c>
      <c r="AO669" s="474"/>
      <c r="AP669" s="486"/>
      <c r="AQ669" s="486" t="s">
        <v>37</v>
      </c>
      <c r="AR669" s="486"/>
      <c r="AS669" s="495"/>
      <c r="AT669" s="495"/>
      <c r="AU669" s="478"/>
      <c r="AV669" s="471">
        <f t="shared" si="156"/>
        <v>49405140</v>
      </c>
      <c r="AW669" s="471" cm="1">
        <f t="array" ref="AW669">SUM(MID(0&amp;AV669,LARGE(INDEX(ISNUMBER(--MID(AV669,ROW($1:$8),1))*ROW($1:$8),),ROW($1:$8))+1,1)*10^ROW($1:$8)/10)</f>
        <v>49405140</v>
      </c>
      <c r="AX669" s="471" t="str">
        <f>VLOOKUP($AW669,'Item Master Data'!$A:$F,3,FALSE)</f>
        <v>Q.PEAK DUO BLK ML G10+</v>
      </c>
      <c r="AY669" s="471">
        <f>VLOOKUP($AW669,'Item Master Data'!$A:$F,6,FALSE)</f>
        <v>400</v>
      </c>
      <c r="AZ669" s="471">
        <f t="shared" si="161"/>
        <v>10</v>
      </c>
      <c r="BA669" s="471">
        <f>VLOOKUP(AW669,'Item Master Data'!$A:$G,7,FALSE)</f>
        <v>32</v>
      </c>
      <c r="BB669" s="471"/>
      <c r="BC669" s="471">
        <f t="shared" si="158"/>
        <v>0</v>
      </c>
    </row>
    <row r="670" spans="1:55">
      <c r="A670" s="599">
        <v>10</v>
      </c>
      <c r="B670" s="514">
        <v>44616</v>
      </c>
      <c r="C670" s="514">
        <v>44616</v>
      </c>
      <c r="D670" s="485" t="s">
        <v>2322</v>
      </c>
      <c r="E670" s="474"/>
      <c r="F670" s="474"/>
      <c r="G670" s="474">
        <v>2022</v>
      </c>
      <c r="H670" s="474">
        <v>3</v>
      </c>
      <c r="I670" s="485">
        <v>127249</v>
      </c>
      <c r="J670" s="475">
        <v>44631</v>
      </c>
      <c r="K670" s="483" t="s">
        <v>2408</v>
      </c>
      <c r="L670" s="474" t="s">
        <v>2378</v>
      </c>
      <c r="M670" s="487">
        <v>44519</v>
      </c>
      <c r="N670" s="487">
        <v>44563</v>
      </c>
      <c r="O670" s="487"/>
      <c r="P670" s="475">
        <v>44617</v>
      </c>
      <c r="Q670" s="475">
        <v>44630</v>
      </c>
      <c r="R670" s="475">
        <v>44631</v>
      </c>
      <c r="S670" s="474" t="s">
        <v>2379</v>
      </c>
      <c r="T670" s="474">
        <v>60</v>
      </c>
      <c r="U670" s="474">
        <v>49403140</v>
      </c>
      <c r="V670" s="474" t="s">
        <v>973</v>
      </c>
      <c r="W670" s="474">
        <v>400</v>
      </c>
      <c r="X670" s="476">
        <v>320</v>
      </c>
      <c r="Y670" s="491">
        <f t="shared" si="153"/>
        <v>128000</v>
      </c>
      <c r="Z670" s="478">
        <f t="shared" si="160"/>
        <v>0.46500000000000002</v>
      </c>
      <c r="AA670" s="479">
        <f t="shared" si="154"/>
        <v>59520</v>
      </c>
      <c r="AB670" s="480"/>
      <c r="AC670" s="481">
        <v>0</v>
      </c>
      <c r="AD670" s="490"/>
      <c r="AE670" s="482"/>
      <c r="AF670" s="493">
        <f t="shared" si="155"/>
        <v>59520</v>
      </c>
      <c r="AG670" s="474" t="s">
        <v>47</v>
      </c>
      <c r="AH670" s="474"/>
      <c r="AI670" s="483" t="s">
        <v>2374</v>
      </c>
      <c r="AJ670" s="474" t="s">
        <v>1083</v>
      </c>
      <c r="AK670" s="494" t="s">
        <v>1084</v>
      </c>
      <c r="AL670" s="474">
        <v>32205</v>
      </c>
      <c r="AM670" s="474" t="s">
        <v>52</v>
      </c>
      <c r="AN670" s="474" t="s">
        <v>1074</v>
      </c>
      <c r="AO670" s="474"/>
      <c r="AP670" s="486"/>
      <c r="AQ670" s="486" t="s">
        <v>37</v>
      </c>
      <c r="AR670" s="486"/>
      <c r="AS670" s="495"/>
      <c r="AT670" s="495"/>
      <c r="AU670" s="478"/>
      <c r="AV670" s="471">
        <f t="shared" si="156"/>
        <v>49403140</v>
      </c>
      <c r="AW670" s="471" cm="1">
        <f t="array" ref="AW670">SUM(MID(0&amp;AV670,LARGE(INDEX(ISNUMBER(--MID(AV670,ROW($1:$8),1))*ROW($1:$8),),ROW($1:$8))+1,1)*10^ROW($1:$8)/10)</f>
        <v>49403140</v>
      </c>
      <c r="AX670" s="471" t="str">
        <f>VLOOKUP($AW670,'Item Master Data'!$A:$F,3,FALSE)</f>
        <v>Q.PEAK DUO BLK ML G10+</v>
      </c>
      <c r="AY670" s="471">
        <f>VLOOKUP($AW670,'Item Master Data'!$A:$F,6,FALSE)</f>
        <v>400</v>
      </c>
      <c r="AZ670" s="471">
        <f t="shared" si="161"/>
        <v>10</v>
      </c>
      <c r="BA670" s="471">
        <f>VLOOKUP(AW670,'Item Master Data'!$A:$G,7,FALSE)</f>
        <v>32</v>
      </c>
      <c r="BB670" s="471"/>
      <c r="BC670" s="471">
        <f t="shared" si="158"/>
        <v>0</v>
      </c>
    </row>
    <row r="671" spans="1:55">
      <c r="A671" s="599">
        <v>10</v>
      </c>
      <c r="B671" s="514">
        <v>44616</v>
      </c>
      <c r="C671" s="514">
        <v>44616</v>
      </c>
      <c r="D671" s="485" t="s">
        <v>2322</v>
      </c>
      <c r="E671" s="474"/>
      <c r="F671" s="474"/>
      <c r="G671" s="474">
        <v>2022</v>
      </c>
      <c r="H671" s="474">
        <v>3</v>
      </c>
      <c r="I671" s="485">
        <v>127562</v>
      </c>
      <c r="J671" s="475">
        <v>44645</v>
      </c>
      <c r="K671" s="483" t="s">
        <v>2409</v>
      </c>
      <c r="L671" s="474" t="s">
        <v>2378</v>
      </c>
      <c r="M671" s="487">
        <v>44519</v>
      </c>
      <c r="N671" s="487">
        <v>44563</v>
      </c>
      <c r="O671" s="487"/>
      <c r="P671" s="475">
        <v>44617</v>
      </c>
      <c r="Q671" s="475">
        <v>44643</v>
      </c>
      <c r="R671" s="475">
        <v>44645</v>
      </c>
      <c r="S671" s="474" t="s">
        <v>2379</v>
      </c>
      <c r="T671" s="474">
        <v>60</v>
      </c>
      <c r="U671" s="474">
        <v>49405140</v>
      </c>
      <c r="V671" s="474" t="s">
        <v>973</v>
      </c>
      <c r="W671" s="474">
        <v>400</v>
      </c>
      <c r="X671" s="476">
        <v>320</v>
      </c>
      <c r="Y671" s="491">
        <f t="shared" si="153"/>
        <v>128000</v>
      </c>
      <c r="Z671" s="478">
        <f t="shared" si="160"/>
        <v>0.46500000000000002</v>
      </c>
      <c r="AA671" s="479">
        <f t="shared" si="154"/>
        <v>59520</v>
      </c>
      <c r="AB671" s="480"/>
      <c r="AC671" s="481">
        <v>0</v>
      </c>
      <c r="AD671" s="490"/>
      <c r="AE671" s="482"/>
      <c r="AF671" s="493">
        <f t="shared" si="155"/>
        <v>59520</v>
      </c>
      <c r="AG671" s="474" t="s">
        <v>47</v>
      </c>
      <c r="AH671" s="474"/>
      <c r="AI671" s="483" t="s">
        <v>2374</v>
      </c>
      <c r="AJ671" s="474" t="s">
        <v>2410</v>
      </c>
      <c r="AK671" s="494" t="s">
        <v>2411</v>
      </c>
      <c r="AL671" s="474">
        <v>66214</v>
      </c>
      <c r="AM671" s="474" t="s">
        <v>52</v>
      </c>
      <c r="AN671" s="474" t="s">
        <v>1074</v>
      </c>
      <c r="AO671" s="474"/>
      <c r="AP671" s="486"/>
      <c r="AQ671" s="486" t="s">
        <v>37</v>
      </c>
      <c r="AR671" s="486"/>
      <c r="AS671" s="495"/>
      <c r="AT671" s="495"/>
      <c r="AU671" s="478"/>
      <c r="AV671" s="471">
        <f t="shared" si="156"/>
        <v>49405140</v>
      </c>
      <c r="AW671" s="471" cm="1">
        <f t="array" ref="AW671">SUM(MID(0&amp;AV671,LARGE(INDEX(ISNUMBER(--MID(AV671,ROW($1:$8),1))*ROW($1:$8),),ROW($1:$8))+1,1)*10^ROW($1:$8)/10)</f>
        <v>49405140</v>
      </c>
      <c r="AX671" s="471" t="str">
        <f>VLOOKUP($AW671,'Item Master Data'!$A:$F,3,FALSE)</f>
        <v>Q.PEAK DUO BLK ML G10+</v>
      </c>
      <c r="AY671" s="471">
        <f>VLOOKUP($AW671,'Item Master Data'!$A:$F,6,FALSE)</f>
        <v>400</v>
      </c>
      <c r="AZ671" s="471">
        <f t="shared" si="161"/>
        <v>10</v>
      </c>
      <c r="BA671" s="471">
        <f>VLOOKUP(AW671,'Item Master Data'!$A:$G,7,FALSE)</f>
        <v>32</v>
      </c>
      <c r="BB671" s="471"/>
      <c r="BC671" s="471">
        <f t="shared" si="158"/>
        <v>0</v>
      </c>
    </row>
    <row r="672" spans="1:55">
      <c r="A672" s="599">
        <v>10</v>
      </c>
      <c r="B672" s="514">
        <v>44616</v>
      </c>
      <c r="C672" s="514">
        <v>44616</v>
      </c>
      <c r="D672" s="485" t="s">
        <v>2322</v>
      </c>
      <c r="E672" s="474" t="s">
        <v>2412</v>
      </c>
      <c r="F672" s="474"/>
      <c r="G672" s="474">
        <v>2022</v>
      </c>
      <c r="H672" s="474">
        <v>3</v>
      </c>
      <c r="I672" s="415">
        <v>127793</v>
      </c>
      <c r="J672" s="538">
        <v>44648</v>
      </c>
      <c r="K672" s="523" t="s">
        <v>2413</v>
      </c>
      <c r="L672" s="524" t="s">
        <v>2378</v>
      </c>
      <c r="M672" s="487">
        <v>44519</v>
      </c>
      <c r="N672" s="487">
        <v>44563</v>
      </c>
      <c r="O672" s="487"/>
      <c r="P672" s="475">
        <v>44617</v>
      </c>
      <c r="Q672" s="475">
        <v>44644</v>
      </c>
      <c r="R672" s="475">
        <v>44648</v>
      </c>
      <c r="S672" s="474" t="s">
        <v>2379</v>
      </c>
      <c r="T672" s="474">
        <v>60</v>
      </c>
      <c r="U672" s="474">
        <v>49405140</v>
      </c>
      <c r="V672" s="474" t="s">
        <v>973</v>
      </c>
      <c r="W672" s="474">
        <v>400</v>
      </c>
      <c r="X672" s="476">
        <v>832</v>
      </c>
      <c r="Y672" s="491">
        <f t="shared" si="153"/>
        <v>332800</v>
      </c>
      <c r="Z672" s="478">
        <f t="shared" si="160"/>
        <v>0.46500000000000002</v>
      </c>
      <c r="AA672" s="479">
        <f t="shared" si="154"/>
        <v>154752</v>
      </c>
      <c r="AB672" s="480"/>
      <c r="AC672" s="481">
        <v>0</v>
      </c>
      <c r="AD672" s="490"/>
      <c r="AE672" s="482"/>
      <c r="AF672" s="493">
        <f t="shared" si="155"/>
        <v>154752</v>
      </c>
      <c r="AG672" s="474" t="s">
        <v>47</v>
      </c>
      <c r="AH672" s="474"/>
      <c r="AI672" s="483" t="s">
        <v>2374</v>
      </c>
      <c r="AJ672" s="474" t="s">
        <v>1132</v>
      </c>
      <c r="AK672" s="494" t="s">
        <v>1133</v>
      </c>
      <c r="AL672" s="474">
        <v>85210</v>
      </c>
      <c r="AM672" s="474" t="s">
        <v>52</v>
      </c>
      <c r="AN672" s="474" t="s">
        <v>1106</v>
      </c>
      <c r="AO672" s="474"/>
      <c r="AP672" s="486"/>
      <c r="AQ672" s="486" t="s">
        <v>37</v>
      </c>
      <c r="AR672" s="486"/>
      <c r="AS672" s="495"/>
      <c r="AT672" s="495"/>
      <c r="AU672" s="478"/>
      <c r="AV672" s="471"/>
      <c r="AW672" s="471"/>
      <c r="AX672" s="471"/>
      <c r="AY672" s="471"/>
      <c r="AZ672" s="471"/>
      <c r="BA672" s="471"/>
      <c r="BB672" s="471"/>
      <c r="BC672" s="471"/>
    </row>
    <row r="673" spans="1:55">
      <c r="A673" s="599">
        <v>10</v>
      </c>
      <c r="B673" s="514">
        <v>44616</v>
      </c>
      <c r="C673" s="514">
        <v>44616</v>
      </c>
      <c r="D673" s="485" t="s">
        <v>2322</v>
      </c>
      <c r="E673" s="474" t="s">
        <v>2414</v>
      </c>
      <c r="F673" s="474"/>
      <c r="G673" s="474">
        <v>2022</v>
      </c>
      <c r="H673" s="474">
        <v>3</v>
      </c>
      <c r="I673" s="415">
        <v>127793</v>
      </c>
      <c r="J673" s="538">
        <v>44648</v>
      </c>
      <c r="K673" s="523" t="s">
        <v>2413</v>
      </c>
      <c r="L673" s="524" t="s">
        <v>2378</v>
      </c>
      <c r="M673" s="487">
        <v>44519</v>
      </c>
      <c r="N673" s="487">
        <v>44563</v>
      </c>
      <c r="O673" s="487"/>
      <c r="P673" s="475">
        <v>44617</v>
      </c>
      <c r="Q673" s="475">
        <v>44644</v>
      </c>
      <c r="R673" s="475">
        <v>44648</v>
      </c>
      <c r="S673" s="474" t="s">
        <v>2379</v>
      </c>
      <c r="T673" s="474">
        <v>60</v>
      </c>
      <c r="U673" s="474">
        <v>49403540</v>
      </c>
      <c r="V673" s="474" t="s">
        <v>973</v>
      </c>
      <c r="W673" s="474">
        <v>400</v>
      </c>
      <c r="X673" s="476">
        <v>800</v>
      </c>
      <c r="Y673" s="491">
        <f t="shared" si="153"/>
        <v>320000</v>
      </c>
      <c r="Z673" s="478">
        <f t="shared" si="160"/>
        <v>0.46500000000000002</v>
      </c>
      <c r="AA673" s="479">
        <f t="shared" si="154"/>
        <v>148800</v>
      </c>
      <c r="AB673" s="480"/>
      <c r="AC673" s="481">
        <v>0</v>
      </c>
      <c r="AD673" s="490"/>
      <c r="AE673" s="482"/>
      <c r="AF673" s="493">
        <f t="shared" si="155"/>
        <v>148800</v>
      </c>
      <c r="AG673" s="474" t="s">
        <v>47</v>
      </c>
      <c r="AH673" s="474"/>
      <c r="AI673" s="483" t="s">
        <v>2374</v>
      </c>
      <c r="AJ673" s="474" t="s">
        <v>1132</v>
      </c>
      <c r="AK673" s="494" t="s">
        <v>1133</v>
      </c>
      <c r="AL673" s="474">
        <v>85210</v>
      </c>
      <c r="AM673" s="474" t="s">
        <v>52</v>
      </c>
      <c r="AN673" s="474" t="s">
        <v>1106</v>
      </c>
      <c r="AO673" s="474"/>
      <c r="AP673" s="486"/>
      <c r="AQ673" s="486" t="s">
        <v>37</v>
      </c>
      <c r="AR673" s="486"/>
      <c r="AS673" s="495"/>
      <c r="AT673" s="495"/>
      <c r="AU673" s="478"/>
      <c r="AV673" s="471"/>
      <c r="AW673" s="471"/>
      <c r="AX673" s="471"/>
      <c r="AY673" s="471"/>
      <c r="AZ673" s="471"/>
      <c r="BA673" s="471"/>
      <c r="BB673" s="471"/>
      <c r="BC673" s="471"/>
    </row>
    <row r="674" spans="1:55">
      <c r="A674" s="599">
        <v>10</v>
      </c>
      <c r="B674" s="514">
        <v>44616</v>
      </c>
      <c r="C674" s="514">
        <v>44616</v>
      </c>
      <c r="D674" s="485" t="s">
        <v>2322</v>
      </c>
      <c r="E674" s="474"/>
      <c r="F674" s="474"/>
      <c r="G674" s="474">
        <v>2022</v>
      </c>
      <c r="H674" s="474">
        <v>3</v>
      </c>
      <c r="I674" s="485">
        <v>127278</v>
      </c>
      <c r="J674" s="475">
        <v>44635</v>
      </c>
      <c r="K674" s="483" t="s">
        <v>2413</v>
      </c>
      <c r="L674" s="474" t="s">
        <v>2378</v>
      </c>
      <c r="M674" s="487">
        <v>44519</v>
      </c>
      <c r="N674" s="487">
        <v>44563</v>
      </c>
      <c r="O674" s="487"/>
      <c r="P674" s="475">
        <v>44617</v>
      </c>
      <c r="Q674" s="475">
        <v>44630</v>
      </c>
      <c r="R674" s="475">
        <v>44635</v>
      </c>
      <c r="S674" s="474" t="s">
        <v>2379</v>
      </c>
      <c r="T674" s="474">
        <v>60</v>
      </c>
      <c r="U674" s="474">
        <v>49403140</v>
      </c>
      <c r="V674" s="474" t="s">
        <v>973</v>
      </c>
      <c r="W674" s="474">
        <v>400</v>
      </c>
      <c r="X674" s="476">
        <v>1536</v>
      </c>
      <c r="Y674" s="491">
        <f t="shared" si="153"/>
        <v>614400</v>
      </c>
      <c r="Z674" s="478">
        <f t="shared" si="160"/>
        <v>0.46500000000000002</v>
      </c>
      <c r="AA674" s="479">
        <f t="shared" si="154"/>
        <v>285696</v>
      </c>
      <c r="AB674" s="480"/>
      <c r="AC674" s="481">
        <v>0</v>
      </c>
      <c r="AD674" s="490"/>
      <c r="AE674" s="482"/>
      <c r="AF674" s="493">
        <f t="shared" si="155"/>
        <v>285696</v>
      </c>
      <c r="AG674" s="474" t="s">
        <v>47</v>
      </c>
      <c r="AH674" s="474"/>
      <c r="AI674" s="483" t="s">
        <v>2374</v>
      </c>
      <c r="AJ674" s="474" t="s">
        <v>1132</v>
      </c>
      <c r="AK674" s="494" t="s">
        <v>1133</v>
      </c>
      <c r="AL674" s="474">
        <v>85210</v>
      </c>
      <c r="AM674" s="474" t="s">
        <v>52</v>
      </c>
      <c r="AN674" s="474" t="s">
        <v>1074</v>
      </c>
      <c r="AO674" s="474"/>
      <c r="AP674" s="486"/>
      <c r="AQ674" s="486" t="s">
        <v>37</v>
      </c>
      <c r="AR674" s="486"/>
      <c r="AS674" s="495"/>
      <c r="AT674" s="495"/>
      <c r="AU674" s="478"/>
      <c r="AV674" s="471"/>
      <c r="AW674" s="471"/>
      <c r="AX674" s="471"/>
      <c r="AY674" s="471"/>
      <c r="AZ674" s="471"/>
      <c r="BA674" s="471"/>
      <c r="BB674" s="471"/>
      <c r="BC674" s="471"/>
    </row>
    <row r="675" spans="1:55">
      <c r="A675" s="599">
        <v>10</v>
      </c>
      <c r="B675" s="514">
        <v>44616</v>
      </c>
      <c r="C675" s="514">
        <v>44616</v>
      </c>
      <c r="D675" s="485" t="s">
        <v>2322</v>
      </c>
      <c r="E675" s="474"/>
      <c r="F675" s="474"/>
      <c r="G675" s="474">
        <v>2022</v>
      </c>
      <c r="H675" s="474">
        <v>3</v>
      </c>
      <c r="I675" s="485">
        <v>127438</v>
      </c>
      <c r="J675" s="475">
        <v>44635</v>
      </c>
      <c r="K675" s="483" t="s">
        <v>2413</v>
      </c>
      <c r="L675" s="474" t="s">
        <v>2378</v>
      </c>
      <c r="M675" s="487">
        <v>44519</v>
      </c>
      <c r="N675" s="487">
        <v>44563</v>
      </c>
      <c r="O675" s="487"/>
      <c r="P675" s="475">
        <v>44617</v>
      </c>
      <c r="Q675" s="475">
        <v>44634</v>
      </c>
      <c r="R675" s="475">
        <v>44635</v>
      </c>
      <c r="S675" s="474" t="s">
        <v>2379</v>
      </c>
      <c r="T675" s="474">
        <v>60</v>
      </c>
      <c r="U675" s="474">
        <v>49403140</v>
      </c>
      <c r="V675" s="474" t="s">
        <v>973</v>
      </c>
      <c r="W675" s="474">
        <v>400</v>
      </c>
      <c r="X675" s="476">
        <v>384</v>
      </c>
      <c r="Y675" s="491">
        <f t="shared" si="153"/>
        <v>153600</v>
      </c>
      <c r="Z675" s="478">
        <f t="shared" si="160"/>
        <v>0.46500000000000002</v>
      </c>
      <c r="AA675" s="479">
        <f t="shared" si="154"/>
        <v>71424</v>
      </c>
      <c r="AB675" s="480"/>
      <c r="AC675" s="481">
        <v>0</v>
      </c>
      <c r="AD675" s="490"/>
      <c r="AE675" s="482">
        <v>4285.4399999999996</v>
      </c>
      <c r="AF675" s="493">
        <f t="shared" si="155"/>
        <v>75709.440000000002</v>
      </c>
      <c r="AG675" s="474" t="s">
        <v>47</v>
      </c>
      <c r="AH675" s="474"/>
      <c r="AI675" s="483" t="s">
        <v>2374</v>
      </c>
      <c r="AJ675" s="474" t="s">
        <v>2388</v>
      </c>
      <c r="AK675" s="494" t="s">
        <v>1375</v>
      </c>
      <c r="AL675" s="474">
        <v>23502</v>
      </c>
      <c r="AM675" s="474" t="s">
        <v>52</v>
      </c>
      <c r="AN675" s="474" t="s">
        <v>1074</v>
      </c>
      <c r="AO675" s="474"/>
      <c r="AP675" s="486"/>
      <c r="AQ675" s="486" t="s">
        <v>37</v>
      </c>
      <c r="AR675" s="486"/>
      <c r="AS675" s="495"/>
      <c r="AT675" s="495"/>
      <c r="AU675" s="478"/>
      <c r="AV675" s="471"/>
      <c r="AW675" s="471"/>
      <c r="AX675" s="471"/>
      <c r="AY675" s="471"/>
      <c r="AZ675" s="471"/>
      <c r="BA675" s="471"/>
      <c r="BB675" s="471"/>
      <c r="BC675" s="471"/>
    </row>
    <row r="676" spans="1:55">
      <c r="A676" s="599">
        <v>10</v>
      </c>
      <c r="B676" s="514">
        <v>44616</v>
      </c>
      <c r="C676" s="514">
        <v>44616</v>
      </c>
      <c r="D676" s="485" t="s">
        <v>2322</v>
      </c>
      <c r="E676" s="474"/>
      <c r="F676" s="474"/>
      <c r="G676" s="474">
        <v>2022</v>
      </c>
      <c r="H676" s="474">
        <v>3</v>
      </c>
      <c r="I676" s="485">
        <v>127462</v>
      </c>
      <c r="J676" s="475">
        <v>44636</v>
      </c>
      <c r="K676" s="483" t="s">
        <v>2413</v>
      </c>
      <c r="L676" s="474" t="s">
        <v>2378</v>
      </c>
      <c r="M676" s="487">
        <v>44519</v>
      </c>
      <c r="N676" s="487">
        <v>44563</v>
      </c>
      <c r="O676" s="487"/>
      <c r="P676" s="475">
        <v>44617</v>
      </c>
      <c r="Q676" s="475">
        <v>44635</v>
      </c>
      <c r="R676" s="475">
        <v>44636</v>
      </c>
      <c r="S676" s="474" t="s">
        <v>2379</v>
      </c>
      <c r="T676" s="474">
        <v>60</v>
      </c>
      <c r="U676" s="474">
        <v>49403140</v>
      </c>
      <c r="V676" s="474" t="s">
        <v>973</v>
      </c>
      <c r="W676" s="474">
        <v>400</v>
      </c>
      <c r="X676" s="476">
        <v>384</v>
      </c>
      <c r="Y676" s="491">
        <f t="shared" si="153"/>
        <v>153600</v>
      </c>
      <c r="Z676" s="478">
        <f t="shared" si="160"/>
        <v>0.46500000000000002</v>
      </c>
      <c r="AA676" s="479">
        <f t="shared" si="154"/>
        <v>71424</v>
      </c>
      <c r="AB676" s="480"/>
      <c r="AC676" s="481">
        <v>0</v>
      </c>
      <c r="AD676" s="490"/>
      <c r="AE676" s="482"/>
      <c r="AF676" s="493">
        <f t="shared" si="155"/>
        <v>71424</v>
      </c>
      <c r="AG676" s="474" t="s">
        <v>47</v>
      </c>
      <c r="AH676" s="474"/>
      <c r="AI676" s="483" t="s">
        <v>2374</v>
      </c>
      <c r="AJ676" s="474" t="s">
        <v>2392</v>
      </c>
      <c r="AK676" s="494" t="s">
        <v>1084</v>
      </c>
      <c r="AL676" s="474">
        <v>33762</v>
      </c>
      <c r="AM676" s="474" t="s">
        <v>52</v>
      </c>
      <c r="AN676" s="474" t="s">
        <v>1074</v>
      </c>
      <c r="AO676" s="474"/>
      <c r="AP676" s="486"/>
      <c r="AQ676" s="486" t="s">
        <v>37</v>
      </c>
      <c r="AR676" s="486"/>
      <c r="AS676" s="495"/>
      <c r="AT676" s="495"/>
      <c r="AU676" s="478"/>
      <c r="AV676" s="471"/>
      <c r="AW676" s="471"/>
      <c r="AX676" s="471"/>
      <c r="AY676" s="471"/>
      <c r="AZ676" s="471"/>
      <c r="BA676" s="471"/>
      <c r="BB676" s="471"/>
      <c r="BC676" s="471"/>
    </row>
    <row r="677" spans="1:55">
      <c r="A677" s="599">
        <v>10</v>
      </c>
      <c r="B677" s="514">
        <v>44616</v>
      </c>
      <c r="C677" s="514">
        <v>44616</v>
      </c>
      <c r="D677" s="485" t="s">
        <v>2322</v>
      </c>
      <c r="E677" s="474"/>
      <c r="F677" s="474"/>
      <c r="G677" s="474">
        <v>2022</v>
      </c>
      <c r="H677" s="474">
        <v>3</v>
      </c>
      <c r="I677" s="485">
        <v>127238</v>
      </c>
      <c r="J677" s="475">
        <v>44628</v>
      </c>
      <c r="K677" s="483" t="s">
        <v>2413</v>
      </c>
      <c r="L677" s="474" t="s">
        <v>2378</v>
      </c>
      <c r="M677" s="487">
        <v>44519</v>
      </c>
      <c r="N677" s="487">
        <v>44563</v>
      </c>
      <c r="O677" s="487"/>
      <c r="P677" s="475">
        <v>44617</v>
      </c>
      <c r="Q677" s="475">
        <v>44623</v>
      </c>
      <c r="R677" s="475">
        <v>44628</v>
      </c>
      <c r="S677" s="474" t="s">
        <v>2379</v>
      </c>
      <c r="T677" s="474">
        <v>60</v>
      </c>
      <c r="U677" s="474">
        <v>49403140</v>
      </c>
      <c r="V677" s="474" t="s">
        <v>973</v>
      </c>
      <c r="W677" s="474">
        <v>400</v>
      </c>
      <c r="X677" s="476">
        <v>1664</v>
      </c>
      <c r="Y677" s="491">
        <f t="shared" si="153"/>
        <v>665600</v>
      </c>
      <c r="Z677" s="478">
        <f t="shared" si="160"/>
        <v>0.46500000000000002</v>
      </c>
      <c r="AA677" s="479">
        <f t="shared" si="154"/>
        <v>309504</v>
      </c>
      <c r="AB677" s="480"/>
      <c r="AC677" s="481">
        <v>0</v>
      </c>
      <c r="AD677" s="490"/>
      <c r="AE677" s="482"/>
      <c r="AF677" s="493">
        <f t="shared" si="155"/>
        <v>309504</v>
      </c>
      <c r="AG677" s="474" t="s">
        <v>47</v>
      </c>
      <c r="AH677" s="474"/>
      <c r="AI677" s="483" t="s">
        <v>2374</v>
      </c>
      <c r="AJ677" s="474" t="s">
        <v>1132</v>
      </c>
      <c r="AK677" s="494" t="s">
        <v>1133</v>
      </c>
      <c r="AL677" s="474">
        <v>85210</v>
      </c>
      <c r="AM677" s="474" t="s">
        <v>52</v>
      </c>
      <c r="AN677" s="474" t="s">
        <v>1074</v>
      </c>
      <c r="AO677" s="474"/>
      <c r="AP677" s="486"/>
      <c r="AQ677" s="486" t="s">
        <v>37</v>
      </c>
      <c r="AR677" s="486"/>
      <c r="AS677" s="495"/>
      <c r="AT677" s="495"/>
      <c r="AU677" s="478"/>
      <c r="AV677" s="471"/>
      <c r="AW677" s="471"/>
      <c r="AX677" s="471"/>
      <c r="AY677" s="471"/>
      <c r="AZ677" s="471"/>
      <c r="BA677" s="471"/>
      <c r="BB677" s="471"/>
      <c r="BC677" s="471"/>
    </row>
    <row r="678" spans="1:55">
      <c r="A678" s="599">
        <v>10</v>
      </c>
      <c r="B678" s="514">
        <v>44616</v>
      </c>
      <c r="C678" s="514">
        <v>44616</v>
      </c>
      <c r="D678" s="485" t="s">
        <v>2322</v>
      </c>
      <c r="E678" s="474"/>
      <c r="F678" s="474"/>
      <c r="G678" s="474">
        <v>2022</v>
      </c>
      <c r="H678" s="474">
        <v>3</v>
      </c>
      <c r="I678" s="485">
        <v>127188</v>
      </c>
      <c r="J678" s="475">
        <v>44624</v>
      </c>
      <c r="K678" s="483" t="s">
        <v>2413</v>
      </c>
      <c r="L678" s="474" t="s">
        <v>2378</v>
      </c>
      <c r="M678" s="487">
        <v>44519</v>
      </c>
      <c r="N678" s="487">
        <v>44563</v>
      </c>
      <c r="O678" s="487"/>
      <c r="P678" s="475">
        <v>44621</v>
      </c>
      <c r="Q678" s="475">
        <v>44623</v>
      </c>
      <c r="R678" s="475">
        <v>44624</v>
      </c>
      <c r="S678" s="474" t="s">
        <v>2379</v>
      </c>
      <c r="T678" s="474">
        <v>60</v>
      </c>
      <c r="U678" s="474" t="s">
        <v>2184</v>
      </c>
      <c r="V678" s="474" t="s">
        <v>973</v>
      </c>
      <c r="W678" s="474">
        <v>400</v>
      </c>
      <c r="X678" s="476">
        <v>768</v>
      </c>
      <c r="Y678" s="491">
        <f t="shared" si="153"/>
        <v>307200</v>
      </c>
      <c r="Z678" s="478">
        <f t="shared" si="160"/>
        <v>0.46500000000000002</v>
      </c>
      <c r="AA678" s="479">
        <f t="shared" si="154"/>
        <v>142848</v>
      </c>
      <c r="AB678" s="480"/>
      <c r="AC678" s="481">
        <v>0</v>
      </c>
      <c r="AD678" s="490"/>
      <c r="AE678" s="482"/>
      <c r="AF678" s="493">
        <f t="shared" si="155"/>
        <v>142848</v>
      </c>
      <c r="AG678" s="474" t="s">
        <v>47</v>
      </c>
      <c r="AH678" s="474"/>
      <c r="AI678" s="483" t="s">
        <v>2374</v>
      </c>
      <c r="AJ678" s="474" t="s">
        <v>1132</v>
      </c>
      <c r="AK678" s="494" t="s">
        <v>1133</v>
      </c>
      <c r="AL678" s="474">
        <v>85210</v>
      </c>
      <c r="AM678" s="474" t="s">
        <v>52</v>
      </c>
      <c r="AN678" s="474" t="s">
        <v>50</v>
      </c>
      <c r="AO678" s="474"/>
      <c r="AP678" s="486" t="s">
        <v>92</v>
      </c>
      <c r="AQ678" s="486" t="s">
        <v>37</v>
      </c>
      <c r="AR678" s="486"/>
      <c r="AS678" s="495"/>
      <c r="AT678" s="495"/>
      <c r="AU678" s="478"/>
      <c r="AV678" s="471"/>
      <c r="AW678" s="471"/>
      <c r="AX678" s="471"/>
      <c r="AY678" s="471"/>
      <c r="AZ678" s="471"/>
      <c r="BA678" s="471"/>
      <c r="BB678" s="471"/>
      <c r="BC678" s="471"/>
    </row>
    <row r="679" spans="1:55">
      <c r="A679" s="599">
        <v>10</v>
      </c>
      <c r="B679" s="514">
        <v>44616</v>
      </c>
      <c r="C679" s="514">
        <v>44616</v>
      </c>
      <c r="D679" s="485" t="s">
        <v>2322</v>
      </c>
      <c r="E679" s="474"/>
      <c r="F679" s="474"/>
      <c r="G679" s="474">
        <v>2022</v>
      </c>
      <c r="H679" s="474">
        <v>3</v>
      </c>
      <c r="I679" s="485">
        <v>127194</v>
      </c>
      <c r="J679" s="475">
        <v>44627</v>
      </c>
      <c r="K679" s="483" t="s">
        <v>2415</v>
      </c>
      <c r="L679" s="474" t="s">
        <v>2378</v>
      </c>
      <c r="M679" s="487">
        <v>44519</v>
      </c>
      <c r="N679" s="487">
        <v>44563</v>
      </c>
      <c r="O679" s="487"/>
      <c r="P679" s="475">
        <v>44617</v>
      </c>
      <c r="Q679" s="475">
        <v>44624</v>
      </c>
      <c r="R679" s="475">
        <v>44627</v>
      </c>
      <c r="S679" s="474" t="s">
        <v>2379</v>
      </c>
      <c r="T679" s="474">
        <v>60</v>
      </c>
      <c r="U679" s="474">
        <v>49403140</v>
      </c>
      <c r="V679" s="474" t="s">
        <v>973</v>
      </c>
      <c r="W679" s="474">
        <v>400</v>
      </c>
      <c r="X679" s="476">
        <v>416</v>
      </c>
      <c r="Y679" s="491">
        <f t="shared" si="153"/>
        <v>166400</v>
      </c>
      <c r="Z679" s="478">
        <f t="shared" si="160"/>
        <v>0.46500000000000002</v>
      </c>
      <c r="AA679" s="479">
        <f t="shared" si="154"/>
        <v>77376</v>
      </c>
      <c r="AB679" s="480"/>
      <c r="AC679" s="481">
        <v>0</v>
      </c>
      <c r="AD679" s="490"/>
      <c r="AE679" s="482">
        <v>4642.5600000000004</v>
      </c>
      <c r="AF679" s="493">
        <f t="shared" si="155"/>
        <v>82018.559999999998</v>
      </c>
      <c r="AG679" s="474" t="s">
        <v>47</v>
      </c>
      <c r="AH679" s="474"/>
      <c r="AI679" s="483" t="s">
        <v>2374</v>
      </c>
      <c r="AJ679" s="474" t="s">
        <v>2388</v>
      </c>
      <c r="AK679" s="494" t="s">
        <v>1375</v>
      </c>
      <c r="AL679" s="474">
        <v>23502</v>
      </c>
      <c r="AM679" s="474" t="s">
        <v>52</v>
      </c>
      <c r="AN679" s="474" t="s">
        <v>1074</v>
      </c>
      <c r="AO679" s="474"/>
      <c r="AP679" s="486"/>
      <c r="AQ679" s="486" t="s">
        <v>37</v>
      </c>
      <c r="AR679" s="486"/>
      <c r="AS679" s="495"/>
      <c r="AT679" s="495"/>
      <c r="AU679" s="478"/>
      <c r="AV679" s="471"/>
      <c r="AW679" s="471"/>
      <c r="AX679" s="471"/>
      <c r="AY679" s="471"/>
      <c r="AZ679" s="471"/>
      <c r="BA679" s="471"/>
      <c r="BB679" s="471"/>
      <c r="BC679" s="471"/>
    </row>
    <row r="680" spans="1:55">
      <c r="A680" s="599">
        <v>10</v>
      </c>
      <c r="B680" s="514">
        <v>44616</v>
      </c>
      <c r="C680" s="514">
        <v>44616</v>
      </c>
      <c r="D680" s="485" t="s">
        <v>2322</v>
      </c>
      <c r="E680" s="474"/>
      <c r="F680" s="474"/>
      <c r="G680" s="474">
        <v>2022</v>
      </c>
      <c r="H680" s="474">
        <v>3</v>
      </c>
      <c r="I680" s="485">
        <v>127689</v>
      </c>
      <c r="J680" s="475">
        <v>44648</v>
      </c>
      <c r="K680" s="483" t="s">
        <v>2415</v>
      </c>
      <c r="L680" s="474" t="s">
        <v>2378</v>
      </c>
      <c r="M680" s="487">
        <v>44519</v>
      </c>
      <c r="N680" s="487">
        <v>44563</v>
      </c>
      <c r="O680" s="487"/>
      <c r="P680" s="475">
        <v>44617</v>
      </c>
      <c r="Q680" s="475">
        <v>44645</v>
      </c>
      <c r="R680" s="475">
        <v>44648</v>
      </c>
      <c r="S680" s="474" t="s">
        <v>2379</v>
      </c>
      <c r="T680" s="474">
        <v>60</v>
      </c>
      <c r="U680" s="474">
        <v>49405140</v>
      </c>
      <c r="V680" s="474" t="s">
        <v>973</v>
      </c>
      <c r="W680" s="474">
        <v>400</v>
      </c>
      <c r="X680" s="476">
        <v>416</v>
      </c>
      <c r="Y680" s="491">
        <f t="shared" si="153"/>
        <v>166400</v>
      </c>
      <c r="Z680" s="478">
        <f t="shared" si="160"/>
        <v>0.46500000000000002</v>
      </c>
      <c r="AA680" s="479">
        <f t="shared" si="154"/>
        <v>77376</v>
      </c>
      <c r="AB680" s="480"/>
      <c r="AC680" s="481">
        <v>0</v>
      </c>
      <c r="AD680" s="490"/>
      <c r="AE680" s="482">
        <v>4642.5600000000004</v>
      </c>
      <c r="AF680" s="493">
        <f t="shared" si="155"/>
        <v>82018.559999999998</v>
      </c>
      <c r="AG680" s="474" t="s">
        <v>47</v>
      </c>
      <c r="AH680" s="474"/>
      <c r="AI680" s="483" t="s">
        <v>2374</v>
      </c>
      <c r="AJ680" s="474" t="s">
        <v>2388</v>
      </c>
      <c r="AK680" s="494" t="s">
        <v>1375</v>
      </c>
      <c r="AL680" s="474">
        <v>23502</v>
      </c>
      <c r="AM680" s="474" t="s">
        <v>52</v>
      </c>
      <c r="AN680" s="474" t="s">
        <v>1106</v>
      </c>
      <c r="AO680" s="474"/>
      <c r="AP680" s="486"/>
      <c r="AQ680" s="486" t="s">
        <v>37</v>
      </c>
      <c r="AR680" s="486"/>
      <c r="AS680" s="495"/>
      <c r="AT680" s="495"/>
      <c r="AU680" s="478"/>
      <c r="AV680" s="471"/>
      <c r="AW680" s="471"/>
      <c r="AX680" s="471"/>
      <c r="AY680" s="471"/>
      <c r="AZ680" s="471"/>
      <c r="BA680" s="471"/>
      <c r="BB680" s="471"/>
      <c r="BC680" s="471"/>
    </row>
    <row r="681" spans="1:55">
      <c r="A681" s="599">
        <v>10</v>
      </c>
      <c r="B681" s="514">
        <v>44616</v>
      </c>
      <c r="C681" s="514">
        <v>44616</v>
      </c>
      <c r="D681" s="485" t="s">
        <v>2322</v>
      </c>
      <c r="E681" s="474"/>
      <c r="F681" s="474"/>
      <c r="G681" s="474">
        <v>2022</v>
      </c>
      <c r="H681" s="474">
        <v>3</v>
      </c>
      <c r="I681" s="485">
        <v>127795</v>
      </c>
      <c r="J681" s="475">
        <v>44648</v>
      </c>
      <c r="K681" s="483" t="s">
        <v>2416</v>
      </c>
      <c r="L681" s="474" t="s">
        <v>2378</v>
      </c>
      <c r="M681" s="487">
        <v>44519</v>
      </c>
      <c r="N681" s="487">
        <v>44563</v>
      </c>
      <c r="O681" s="487"/>
      <c r="P681" s="475">
        <v>44617</v>
      </c>
      <c r="Q681" s="475">
        <v>44644</v>
      </c>
      <c r="R681" s="475">
        <v>44648</v>
      </c>
      <c r="S681" s="474" t="s">
        <v>2379</v>
      </c>
      <c r="T681" s="474">
        <v>60</v>
      </c>
      <c r="U681" s="474">
        <v>49405140</v>
      </c>
      <c r="V681" s="474" t="s">
        <v>973</v>
      </c>
      <c r="W681" s="474">
        <v>400</v>
      </c>
      <c r="X681" s="476">
        <v>256</v>
      </c>
      <c r="Y681" s="491">
        <f t="shared" si="153"/>
        <v>102400</v>
      </c>
      <c r="Z681" s="478">
        <f t="shared" si="160"/>
        <v>0.46500000000000002</v>
      </c>
      <c r="AA681" s="479">
        <f t="shared" si="154"/>
        <v>47616</v>
      </c>
      <c r="AB681" s="480"/>
      <c r="AC681" s="481">
        <v>0</v>
      </c>
      <c r="AD681" s="490"/>
      <c r="AE681" s="482">
        <v>3690.24</v>
      </c>
      <c r="AF681" s="493">
        <f t="shared" si="155"/>
        <v>51306.239999999998</v>
      </c>
      <c r="AG681" s="474" t="s">
        <v>47</v>
      </c>
      <c r="AH681" s="474"/>
      <c r="AI681" s="483" t="s">
        <v>2374</v>
      </c>
      <c r="AJ681" s="474" t="s">
        <v>1950</v>
      </c>
      <c r="AK681" s="494" t="s">
        <v>50</v>
      </c>
      <c r="AL681" s="474">
        <v>91764</v>
      </c>
      <c r="AM681" s="474" t="s">
        <v>52</v>
      </c>
      <c r="AN681" s="474" t="s">
        <v>1106</v>
      </c>
      <c r="AO681" s="474"/>
      <c r="AP681" s="486"/>
      <c r="AQ681" s="486" t="s">
        <v>37</v>
      </c>
      <c r="AR681" s="486"/>
      <c r="AS681" s="495"/>
      <c r="AT681" s="495"/>
      <c r="AU681" s="478"/>
      <c r="AV681" s="471"/>
      <c r="AW681" s="471"/>
      <c r="AX681" s="471"/>
      <c r="AY681" s="471"/>
      <c r="AZ681" s="471"/>
      <c r="BA681" s="471"/>
      <c r="BB681" s="471"/>
      <c r="BC681" s="471"/>
    </row>
    <row r="682" spans="1:55">
      <c r="A682" s="599">
        <v>10</v>
      </c>
      <c r="B682" s="514">
        <v>44616</v>
      </c>
      <c r="C682" s="514">
        <v>44616</v>
      </c>
      <c r="D682" s="485" t="s">
        <v>2322</v>
      </c>
      <c r="E682" s="474" t="s">
        <v>2417</v>
      </c>
      <c r="F682" s="474"/>
      <c r="G682" s="474">
        <v>2022</v>
      </c>
      <c r="H682" s="474">
        <v>3</v>
      </c>
      <c r="I682" s="415">
        <v>127856</v>
      </c>
      <c r="J682" s="538">
        <v>44648</v>
      </c>
      <c r="K682" s="523" t="s">
        <v>2416</v>
      </c>
      <c r="L682" s="524" t="s">
        <v>2378</v>
      </c>
      <c r="M682" s="487">
        <v>44519</v>
      </c>
      <c r="N682" s="487">
        <v>44563</v>
      </c>
      <c r="O682" s="487"/>
      <c r="P682" s="475">
        <v>44617</v>
      </c>
      <c r="Q682" s="475">
        <v>44644</v>
      </c>
      <c r="R682" s="475">
        <v>44648</v>
      </c>
      <c r="S682" s="474" t="s">
        <v>2379</v>
      </c>
      <c r="T682" s="474">
        <v>60</v>
      </c>
      <c r="U682" s="474">
        <v>49405140</v>
      </c>
      <c r="V682" s="474" t="s">
        <v>973</v>
      </c>
      <c r="W682" s="474">
        <v>400</v>
      </c>
      <c r="X682" s="476">
        <v>64</v>
      </c>
      <c r="Y682" s="491">
        <f t="shared" si="153"/>
        <v>25600</v>
      </c>
      <c r="Z682" s="478">
        <f t="shared" si="160"/>
        <v>0.46500000000000002</v>
      </c>
      <c r="AA682" s="479">
        <f t="shared" si="154"/>
        <v>11904</v>
      </c>
      <c r="AB682" s="480"/>
      <c r="AC682" s="481">
        <v>0</v>
      </c>
      <c r="AD682" s="490"/>
      <c r="AE682" s="482">
        <v>922.56</v>
      </c>
      <c r="AF682" s="493">
        <f t="shared" si="155"/>
        <v>12826.56</v>
      </c>
      <c r="AG682" s="474" t="s">
        <v>47</v>
      </c>
      <c r="AH682" s="474"/>
      <c r="AI682" s="483" t="s">
        <v>2374</v>
      </c>
      <c r="AJ682" s="474" t="s">
        <v>1950</v>
      </c>
      <c r="AK682" s="494" t="s">
        <v>50</v>
      </c>
      <c r="AL682" s="474">
        <v>91764</v>
      </c>
      <c r="AM682" s="474" t="s">
        <v>52</v>
      </c>
      <c r="AN682" s="474" t="s">
        <v>1106</v>
      </c>
      <c r="AO682" s="474"/>
      <c r="AP682" s="486"/>
      <c r="AQ682" s="486" t="s">
        <v>37</v>
      </c>
      <c r="AR682" s="486"/>
      <c r="AS682" s="495"/>
      <c r="AT682" s="495"/>
      <c r="AU682" s="478"/>
      <c r="AV682" s="471"/>
      <c r="AW682" s="471"/>
      <c r="AX682" s="471"/>
      <c r="AY682" s="471"/>
      <c r="AZ682" s="471"/>
      <c r="BA682" s="471"/>
      <c r="BB682" s="471"/>
      <c r="BC682" s="471"/>
    </row>
    <row r="683" spans="1:55">
      <c r="A683" s="599">
        <v>10</v>
      </c>
      <c r="B683" s="514">
        <v>44616</v>
      </c>
      <c r="C683" s="514">
        <v>44616</v>
      </c>
      <c r="D683" s="485" t="s">
        <v>2322</v>
      </c>
      <c r="E683" s="474"/>
      <c r="F683" s="474"/>
      <c r="G683" s="474">
        <v>2022</v>
      </c>
      <c r="H683" s="474">
        <v>3</v>
      </c>
      <c r="I683" s="485">
        <v>127210</v>
      </c>
      <c r="J683" s="475">
        <v>44629</v>
      </c>
      <c r="K683" s="483" t="s">
        <v>2416</v>
      </c>
      <c r="L683" s="474" t="s">
        <v>2378</v>
      </c>
      <c r="M683" s="487">
        <v>44519</v>
      </c>
      <c r="N683" s="487">
        <v>44563</v>
      </c>
      <c r="O683" s="487"/>
      <c r="P683" s="475">
        <v>44617</v>
      </c>
      <c r="Q683" s="475">
        <v>44624</v>
      </c>
      <c r="R683" s="475">
        <v>44629</v>
      </c>
      <c r="S683" s="474" t="s">
        <v>2379</v>
      </c>
      <c r="T683" s="474">
        <v>60</v>
      </c>
      <c r="U683" s="474">
        <v>49403140</v>
      </c>
      <c r="V683" s="474" t="s">
        <v>973</v>
      </c>
      <c r="W683" s="474">
        <v>400</v>
      </c>
      <c r="X683" s="476">
        <v>416</v>
      </c>
      <c r="Y683" s="491">
        <f t="shared" si="153"/>
        <v>166400</v>
      </c>
      <c r="Z683" s="478">
        <f t="shared" si="160"/>
        <v>0.46500000000000002</v>
      </c>
      <c r="AA683" s="479">
        <f t="shared" si="154"/>
        <v>77376</v>
      </c>
      <c r="AB683" s="480"/>
      <c r="AC683" s="481">
        <v>0</v>
      </c>
      <c r="AD683" s="490"/>
      <c r="AE683" s="482">
        <v>5996.64</v>
      </c>
      <c r="AF683" s="493">
        <f t="shared" si="155"/>
        <v>83372.639999999999</v>
      </c>
      <c r="AG683" s="474" t="s">
        <v>47</v>
      </c>
      <c r="AH683" s="474"/>
      <c r="AI683" s="483" t="s">
        <v>2374</v>
      </c>
      <c r="AJ683" s="474" t="s">
        <v>1950</v>
      </c>
      <c r="AK683" s="494" t="s">
        <v>50</v>
      </c>
      <c r="AL683" s="474">
        <v>91764</v>
      </c>
      <c r="AM683" s="474" t="s">
        <v>52</v>
      </c>
      <c r="AN683" s="474" t="s">
        <v>50</v>
      </c>
      <c r="AO683" s="474"/>
      <c r="AP683" s="486"/>
      <c r="AQ683" s="486" t="s">
        <v>37</v>
      </c>
      <c r="AR683" s="486"/>
      <c r="AS683" s="495"/>
      <c r="AT683" s="495"/>
      <c r="AU683" s="478"/>
      <c r="AV683" s="471"/>
      <c r="AW683" s="471"/>
      <c r="AX683" s="471"/>
      <c r="AY683" s="471"/>
      <c r="AZ683" s="471"/>
      <c r="BA683" s="471"/>
      <c r="BB683" s="471"/>
      <c r="BC683" s="471"/>
    </row>
    <row r="684" spans="1:55">
      <c r="A684" s="599">
        <v>10</v>
      </c>
      <c r="B684" s="514">
        <v>44616</v>
      </c>
      <c r="C684" s="514">
        <v>44616</v>
      </c>
      <c r="D684" s="485" t="s">
        <v>2322</v>
      </c>
      <c r="E684" s="474"/>
      <c r="F684" s="474"/>
      <c r="G684" s="474">
        <v>2022</v>
      </c>
      <c r="H684" s="474">
        <v>3</v>
      </c>
      <c r="I684" s="485">
        <v>127250</v>
      </c>
      <c r="J684" s="475">
        <v>44631</v>
      </c>
      <c r="K684" s="483" t="s">
        <v>2418</v>
      </c>
      <c r="L684" s="474" t="s">
        <v>2378</v>
      </c>
      <c r="M684" s="487">
        <v>44519</v>
      </c>
      <c r="N684" s="487">
        <v>44563</v>
      </c>
      <c r="O684" s="487"/>
      <c r="P684" s="475">
        <v>44617</v>
      </c>
      <c r="Q684" s="475">
        <v>44630</v>
      </c>
      <c r="R684" s="475">
        <v>44631</v>
      </c>
      <c r="S684" s="474" t="s">
        <v>2379</v>
      </c>
      <c r="T684" s="474">
        <v>60</v>
      </c>
      <c r="U684" s="474">
        <v>49403140</v>
      </c>
      <c r="V684" s="474" t="s">
        <v>973</v>
      </c>
      <c r="W684" s="474">
        <v>400</v>
      </c>
      <c r="X684" s="476">
        <v>320</v>
      </c>
      <c r="Y684" s="491">
        <f t="shared" si="153"/>
        <v>128000</v>
      </c>
      <c r="Z684" s="478">
        <f t="shared" si="160"/>
        <v>0.46500000000000002</v>
      </c>
      <c r="AA684" s="479">
        <f t="shared" si="154"/>
        <v>59520</v>
      </c>
      <c r="AB684" s="480"/>
      <c r="AC684" s="481">
        <v>0</v>
      </c>
      <c r="AD684" s="490"/>
      <c r="AE684" s="482"/>
      <c r="AF684" s="493">
        <f t="shared" si="155"/>
        <v>59520</v>
      </c>
      <c r="AG684" s="474" t="s">
        <v>47</v>
      </c>
      <c r="AH684" s="474"/>
      <c r="AI684" s="483" t="s">
        <v>2374</v>
      </c>
      <c r="AJ684" s="474" t="s">
        <v>2419</v>
      </c>
      <c r="AK684" s="494" t="s">
        <v>1084</v>
      </c>
      <c r="AL684" s="474">
        <v>32583</v>
      </c>
      <c r="AM684" s="474" t="s">
        <v>52</v>
      </c>
      <c r="AN684" s="474" t="s">
        <v>1074</v>
      </c>
      <c r="AO684" s="474"/>
      <c r="AP684" s="486"/>
      <c r="AQ684" s="486" t="s">
        <v>37</v>
      </c>
      <c r="AR684" s="486"/>
      <c r="AS684" s="495"/>
      <c r="AT684" s="495"/>
      <c r="AU684" s="478"/>
      <c r="AV684" s="471"/>
      <c r="AW684" s="471"/>
      <c r="AX684" s="471"/>
      <c r="AY684" s="471"/>
      <c r="AZ684" s="471"/>
      <c r="BA684" s="471"/>
      <c r="BB684" s="471"/>
      <c r="BC684" s="471"/>
    </row>
    <row r="685" spans="1:55">
      <c r="A685" s="599">
        <v>10</v>
      </c>
      <c r="B685" s="514">
        <v>44616</v>
      </c>
      <c r="C685" s="514">
        <v>44616</v>
      </c>
      <c r="D685" s="485" t="s">
        <v>2322</v>
      </c>
      <c r="E685" s="474"/>
      <c r="F685" s="474"/>
      <c r="G685" s="474">
        <v>2022</v>
      </c>
      <c r="H685" s="474">
        <v>3</v>
      </c>
      <c r="I685" s="485">
        <v>127685</v>
      </c>
      <c r="J685" s="475">
        <v>44651</v>
      </c>
      <c r="K685" s="483" t="s">
        <v>2418</v>
      </c>
      <c r="L685" s="474" t="s">
        <v>2378</v>
      </c>
      <c r="M685" s="487">
        <v>44519</v>
      </c>
      <c r="N685" s="487">
        <v>44563</v>
      </c>
      <c r="O685" s="487"/>
      <c r="P685" s="475">
        <v>44617</v>
      </c>
      <c r="Q685" s="475">
        <v>44650</v>
      </c>
      <c r="R685" s="475">
        <v>44651</v>
      </c>
      <c r="S685" s="474" t="s">
        <v>2379</v>
      </c>
      <c r="T685" s="474">
        <v>60</v>
      </c>
      <c r="U685" s="474">
        <v>49405140</v>
      </c>
      <c r="V685" s="474" t="s">
        <v>973</v>
      </c>
      <c r="W685" s="474">
        <v>400</v>
      </c>
      <c r="X685" s="476">
        <v>512</v>
      </c>
      <c r="Y685" s="491">
        <f t="shared" si="153"/>
        <v>204800</v>
      </c>
      <c r="Z685" s="478">
        <f t="shared" si="160"/>
        <v>0.46500000000000002</v>
      </c>
      <c r="AA685" s="479">
        <f t="shared" si="154"/>
        <v>95232</v>
      </c>
      <c r="AB685" s="480"/>
      <c r="AC685" s="481">
        <v>0</v>
      </c>
      <c r="AD685" s="490"/>
      <c r="AE685" s="482"/>
      <c r="AF685" s="493">
        <f t="shared" si="155"/>
        <v>95232</v>
      </c>
      <c r="AG685" s="474" t="s">
        <v>47</v>
      </c>
      <c r="AH685" s="474"/>
      <c r="AI685" s="483" t="s">
        <v>2374</v>
      </c>
      <c r="AJ685" s="474" t="s">
        <v>2419</v>
      </c>
      <c r="AK685" s="494" t="s">
        <v>1084</v>
      </c>
      <c r="AL685" s="474">
        <v>32583</v>
      </c>
      <c r="AM685" s="474" t="s">
        <v>52</v>
      </c>
      <c r="AN685" s="474" t="s">
        <v>1074</v>
      </c>
      <c r="AO685" s="474"/>
      <c r="AP685" s="486"/>
      <c r="AQ685" s="486" t="s">
        <v>37</v>
      </c>
      <c r="AR685" s="486"/>
      <c r="AS685" s="495"/>
      <c r="AT685" s="495"/>
      <c r="AU685" s="478"/>
      <c r="AV685" s="471"/>
      <c r="AW685" s="471"/>
      <c r="AX685" s="471"/>
      <c r="AY685" s="471"/>
      <c r="AZ685" s="471"/>
      <c r="BA685" s="471"/>
      <c r="BB685" s="471"/>
      <c r="BC685" s="471"/>
    </row>
    <row r="686" spans="1:55">
      <c r="A686" s="599">
        <v>10</v>
      </c>
      <c r="B686" s="514">
        <v>44616</v>
      </c>
      <c r="C686" s="514">
        <v>44616</v>
      </c>
      <c r="D686" s="485" t="s">
        <v>2322</v>
      </c>
      <c r="E686" s="474"/>
      <c r="F686" s="474"/>
      <c r="G686" s="474">
        <v>2022</v>
      </c>
      <c r="H686" s="474">
        <v>3</v>
      </c>
      <c r="I686" s="485">
        <v>127585</v>
      </c>
      <c r="J686" s="475">
        <v>44644</v>
      </c>
      <c r="K686" s="483" t="s">
        <v>2420</v>
      </c>
      <c r="L686" s="474" t="s">
        <v>2378</v>
      </c>
      <c r="M686" s="487">
        <v>44519</v>
      </c>
      <c r="N686" s="487">
        <v>44563</v>
      </c>
      <c r="O686" s="487"/>
      <c r="P686" s="475">
        <v>44617</v>
      </c>
      <c r="Q686" s="475">
        <v>44643</v>
      </c>
      <c r="R686" s="475">
        <v>44644</v>
      </c>
      <c r="S686" s="474" t="s">
        <v>2379</v>
      </c>
      <c r="T686" s="474">
        <v>60</v>
      </c>
      <c r="U686" s="474">
        <v>49405140</v>
      </c>
      <c r="V686" s="474" t="s">
        <v>973</v>
      </c>
      <c r="W686" s="474">
        <v>400</v>
      </c>
      <c r="X686" s="476">
        <v>320</v>
      </c>
      <c r="Y686" s="491">
        <f t="shared" si="153"/>
        <v>128000</v>
      </c>
      <c r="Z686" s="478">
        <f t="shared" si="160"/>
        <v>0.46500000000000002</v>
      </c>
      <c r="AA686" s="479">
        <f t="shared" si="154"/>
        <v>59520</v>
      </c>
      <c r="AB686" s="480"/>
      <c r="AC686" s="481">
        <v>0</v>
      </c>
      <c r="AD686" s="490"/>
      <c r="AE686" s="482">
        <v>4315.2</v>
      </c>
      <c r="AF686" s="493">
        <f t="shared" si="155"/>
        <v>63835.199999999997</v>
      </c>
      <c r="AG686" s="474" t="s">
        <v>47</v>
      </c>
      <c r="AH686" s="474"/>
      <c r="AI686" s="483" t="s">
        <v>2374</v>
      </c>
      <c r="AJ686" s="474" t="s">
        <v>2421</v>
      </c>
      <c r="AK686" s="494" t="s">
        <v>1158</v>
      </c>
      <c r="AL686" s="474">
        <v>27560</v>
      </c>
      <c r="AM686" s="474" t="s">
        <v>52</v>
      </c>
      <c r="AN686" s="474" t="s">
        <v>1074</v>
      </c>
      <c r="AO686" s="474"/>
      <c r="AP686" s="486"/>
      <c r="AQ686" s="486" t="s">
        <v>37</v>
      </c>
      <c r="AR686" s="486"/>
      <c r="AS686" s="495"/>
      <c r="AT686" s="495"/>
      <c r="AU686" s="478"/>
      <c r="AV686" s="471"/>
      <c r="AW686" s="471"/>
      <c r="AX686" s="471"/>
      <c r="AY686" s="471"/>
      <c r="AZ686" s="471"/>
      <c r="BA686" s="471"/>
      <c r="BB686" s="471"/>
      <c r="BC686" s="471"/>
    </row>
    <row r="687" spans="1:55">
      <c r="A687" s="599">
        <v>10</v>
      </c>
      <c r="B687" s="514">
        <v>44616</v>
      </c>
      <c r="C687" s="514">
        <v>44616</v>
      </c>
      <c r="D687" s="485" t="s">
        <v>2322</v>
      </c>
      <c r="E687" s="474"/>
      <c r="F687" s="474"/>
      <c r="G687" s="474">
        <v>2022</v>
      </c>
      <c r="H687" s="474">
        <v>3</v>
      </c>
      <c r="I687" s="485">
        <v>127253</v>
      </c>
      <c r="J687" s="475">
        <v>44634</v>
      </c>
      <c r="K687" s="483" t="s">
        <v>2422</v>
      </c>
      <c r="L687" s="474" t="s">
        <v>2378</v>
      </c>
      <c r="M687" s="487">
        <v>44519</v>
      </c>
      <c r="N687" s="487">
        <v>44563</v>
      </c>
      <c r="O687" s="487"/>
      <c r="P687" s="475">
        <v>44617</v>
      </c>
      <c r="Q687" s="475">
        <v>44630</v>
      </c>
      <c r="R687" s="475">
        <v>44634</v>
      </c>
      <c r="S687" s="474" t="s">
        <v>2379</v>
      </c>
      <c r="T687" s="474">
        <v>60</v>
      </c>
      <c r="U687" s="474">
        <v>49403140</v>
      </c>
      <c r="V687" s="474" t="s">
        <v>973</v>
      </c>
      <c r="W687" s="474">
        <v>400</v>
      </c>
      <c r="X687" s="476">
        <v>320</v>
      </c>
      <c r="Y687" s="491">
        <f t="shared" si="153"/>
        <v>128000</v>
      </c>
      <c r="Z687" s="478">
        <f t="shared" si="160"/>
        <v>0.46500000000000002</v>
      </c>
      <c r="AA687" s="479">
        <f t="shared" si="154"/>
        <v>59520</v>
      </c>
      <c r="AB687" s="480"/>
      <c r="AC687" s="481">
        <v>0</v>
      </c>
      <c r="AD687" s="490"/>
      <c r="AE687" s="482"/>
      <c r="AF687" s="493">
        <f t="shared" si="155"/>
        <v>59520</v>
      </c>
      <c r="AG687" s="474" t="s">
        <v>47</v>
      </c>
      <c r="AH687" s="474"/>
      <c r="AI687" s="483" t="s">
        <v>2374</v>
      </c>
      <c r="AJ687" s="474" t="s">
        <v>1394</v>
      </c>
      <c r="AK687" s="494" t="s">
        <v>1395</v>
      </c>
      <c r="AL687" s="474">
        <v>89431</v>
      </c>
      <c r="AM687" s="474" t="s">
        <v>52</v>
      </c>
      <c r="AN687" s="474" t="s">
        <v>50</v>
      </c>
      <c r="AO687" s="474"/>
      <c r="AP687" s="486"/>
      <c r="AQ687" s="486" t="s">
        <v>37</v>
      </c>
      <c r="AR687" s="486"/>
      <c r="AS687" s="495"/>
      <c r="AT687" s="495"/>
      <c r="AU687" s="478"/>
      <c r="AV687" s="471"/>
      <c r="AW687" s="471"/>
      <c r="AX687" s="471"/>
      <c r="AY687" s="471"/>
      <c r="AZ687" s="471"/>
      <c r="BA687" s="471"/>
      <c r="BB687" s="471"/>
      <c r="BC687" s="471"/>
    </row>
    <row r="688" spans="1:55">
      <c r="A688" s="599">
        <v>10</v>
      </c>
      <c r="B688" s="514">
        <v>44616</v>
      </c>
      <c r="C688" s="514">
        <v>44616</v>
      </c>
      <c r="D688" s="485" t="s">
        <v>2322</v>
      </c>
      <c r="E688" s="474" t="s">
        <v>2423</v>
      </c>
      <c r="F688" s="474"/>
      <c r="G688" s="474">
        <v>2022</v>
      </c>
      <c r="H688" s="474">
        <v>3</v>
      </c>
      <c r="I688" s="415">
        <v>127796</v>
      </c>
      <c r="J688" s="538">
        <v>44649</v>
      </c>
      <c r="K688" s="523" t="s">
        <v>2422</v>
      </c>
      <c r="L688" s="524" t="s">
        <v>2378</v>
      </c>
      <c r="M688" s="487">
        <v>44519</v>
      </c>
      <c r="N688" s="487">
        <v>44563</v>
      </c>
      <c r="O688" s="487"/>
      <c r="P688" s="475">
        <v>44617</v>
      </c>
      <c r="Q688" s="475">
        <v>44644</v>
      </c>
      <c r="R688" s="475">
        <v>44649</v>
      </c>
      <c r="S688" s="474" t="s">
        <v>2379</v>
      </c>
      <c r="T688" s="474">
        <v>60</v>
      </c>
      <c r="U688" s="474">
        <v>49403540</v>
      </c>
      <c r="V688" s="474" t="s">
        <v>973</v>
      </c>
      <c r="W688" s="474">
        <v>400</v>
      </c>
      <c r="X688" s="476">
        <v>192</v>
      </c>
      <c r="Y688" s="491">
        <f t="shared" si="153"/>
        <v>76800</v>
      </c>
      <c r="Z688" s="478">
        <f t="shared" si="160"/>
        <v>0.46500000000000002</v>
      </c>
      <c r="AA688" s="479">
        <f t="shared" si="154"/>
        <v>35712</v>
      </c>
      <c r="AB688" s="480"/>
      <c r="AC688" s="481">
        <v>0</v>
      </c>
      <c r="AD688" s="490"/>
      <c r="AE688" s="482"/>
      <c r="AF688" s="493">
        <f t="shared" si="155"/>
        <v>35712</v>
      </c>
      <c r="AG688" s="474" t="s">
        <v>47</v>
      </c>
      <c r="AH688" s="474"/>
      <c r="AI688" s="483" t="s">
        <v>2374</v>
      </c>
      <c r="AJ688" s="474" t="s">
        <v>1394</v>
      </c>
      <c r="AK688" s="494" t="s">
        <v>1395</v>
      </c>
      <c r="AL688" s="474">
        <v>89431</v>
      </c>
      <c r="AM688" s="474" t="s">
        <v>52</v>
      </c>
      <c r="AN688" s="474" t="s">
        <v>1106</v>
      </c>
      <c r="AO688" s="474"/>
      <c r="AP688" s="486"/>
      <c r="AQ688" s="486" t="s">
        <v>37</v>
      </c>
      <c r="AR688" s="486"/>
      <c r="AS688" s="495"/>
      <c r="AT688" s="495"/>
      <c r="AU688" s="478"/>
      <c r="AV688" s="471"/>
      <c r="AW688" s="471"/>
      <c r="AX688" s="471"/>
      <c r="AY688" s="471"/>
      <c r="AZ688" s="471"/>
      <c r="BA688" s="471"/>
      <c r="BB688" s="471"/>
      <c r="BC688" s="471"/>
    </row>
    <row r="689" spans="1:55">
      <c r="A689" s="599">
        <v>10</v>
      </c>
      <c r="B689" s="514">
        <v>44616</v>
      </c>
      <c r="C689" s="514">
        <v>44616</v>
      </c>
      <c r="D689" s="485" t="s">
        <v>2322</v>
      </c>
      <c r="E689" s="474" t="s">
        <v>2424</v>
      </c>
      <c r="F689" s="474"/>
      <c r="G689" s="474">
        <v>2022</v>
      </c>
      <c r="H689" s="474">
        <v>3</v>
      </c>
      <c r="I689" s="415">
        <v>127796</v>
      </c>
      <c r="J689" s="538">
        <v>44649</v>
      </c>
      <c r="K689" s="523" t="s">
        <v>2422</v>
      </c>
      <c r="L689" s="524" t="s">
        <v>2378</v>
      </c>
      <c r="M689" s="487">
        <v>44519</v>
      </c>
      <c r="N689" s="487">
        <v>44563</v>
      </c>
      <c r="O689" s="487"/>
      <c r="P689" s="475">
        <v>44617</v>
      </c>
      <c r="Q689" s="475">
        <v>44644</v>
      </c>
      <c r="R689" s="475">
        <v>44649</v>
      </c>
      <c r="S689" s="474" t="s">
        <v>2379</v>
      </c>
      <c r="T689" s="474">
        <v>60</v>
      </c>
      <c r="U689" s="474">
        <v>49405140</v>
      </c>
      <c r="V689" s="474" t="s">
        <v>973</v>
      </c>
      <c r="W689" s="474">
        <v>400</v>
      </c>
      <c r="X689" s="476">
        <v>128</v>
      </c>
      <c r="Y689" s="491">
        <f t="shared" si="153"/>
        <v>51200</v>
      </c>
      <c r="Z689" s="478">
        <f t="shared" si="160"/>
        <v>0.46500000000000002</v>
      </c>
      <c r="AA689" s="479">
        <f t="shared" si="154"/>
        <v>23808</v>
      </c>
      <c r="AB689" s="480"/>
      <c r="AC689" s="481">
        <v>0</v>
      </c>
      <c r="AD689" s="490"/>
      <c r="AE689" s="482"/>
      <c r="AF689" s="493">
        <f t="shared" si="155"/>
        <v>23808</v>
      </c>
      <c r="AG689" s="474" t="s">
        <v>47</v>
      </c>
      <c r="AH689" s="474"/>
      <c r="AI689" s="483" t="s">
        <v>2374</v>
      </c>
      <c r="AJ689" s="474" t="s">
        <v>1394</v>
      </c>
      <c r="AK689" s="494" t="s">
        <v>1395</v>
      </c>
      <c r="AL689" s="474">
        <v>89431</v>
      </c>
      <c r="AM689" s="474" t="s">
        <v>52</v>
      </c>
      <c r="AN689" s="474" t="s">
        <v>1106</v>
      </c>
      <c r="AO689" s="474"/>
      <c r="AP689" s="486"/>
      <c r="AQ689" s="486" t="s">
        <v>37</v>
      </c>
      <c r="AR689" s="486"/>
      <c r="AS689" s="495"/>
      <c r="AT689" s="495"/>
      <c r="AU689" s="478"/>
      <c r="AV689" s="471"/>
      <c r="AW689" s="471"/>
      <c r="AX689" s="471"/>
      <c r="AY689" s="471"/>
      <c r="AZ689" s="471"/>
      <c r="BA689" s="471"/>
      <c r="BB689" s="471"/>
      <c r="BC689" s="471"/>
    </row>
    <row r="690" spans="1:55">
      <c r="A690" s="599"/>
      <c r="B690" s="514">
        <v>44616</v>
      </c>
      <c r="C690" s="514">
        <v>44616</v>
      </c>
      <c r="D690" s="485" t="s">
        <v>2322</v>
      </c>
      <c r="E690" s="474"/>
      <c r="F690" s="474"/>
      <c r="G690" s="474">
        <v>2022</v>
      </c>
      <c r="H690" s="474">
        <v>3</v>
      </c>
      <c r="I690" s="485">
        <v>127563</v>
      </c>
      <c r="J690" s="475">
        <v>44645</v>
      </c>
      <c r="K690" s="483" t="s">
        <v>2425</v>
      </c>
      <c r="L690" s="474" t="s">
        <v>2378</v>
      </c>
      <c r="M690" s="487">
        <v>44519</v>
      </c>
      <c r="N690" s="487">
        <v>44563</v>
      </c>
      <c r="O690" s="487"/>
      <c r="P690" s="475">
        <v>44617</v>
      </c>
      <c r="Q690" s="475">
        <v>44643</v>
      </c>
      <c r="R690" s="475">
        <v>44645</v>
      </c>
      <c r="S690" s="474" t="s">
        <v>2379</v>
      </c>
      <c r="T690" s="474">
        <v>60</v>
      </c>
      <c r="U690" s="474">
        <v>49405140</v>
      </c>
      <c r="V690" s="474" t="s">
        <v>973</v>
      </c>
      <c r="W690" s="474">
        <v>400</v>
      </c>
      <c r="X690" s="476">
        <v>320</v>
      </c>
      <c r="Y690" s="491">
        <f t="shared" si="153"/>
        <v>128000</v>
      </c>
      <c r="Z690" s="478">
        <f t="shared" si="160"/>
        <v>0.46500000000000002</v>
      </c>
      <c r="AA690" s="479">
        <f t="shared" si="154"/>
        <v>59520</v>
      </c>
      <c r="AB690" s="480"/>
      <c r="AC690" s="481">
        <v>0</v>
      </c>
      <c r="AD690" s="490"/>
      <c r="AE690" s="482">
        <v>4910.3999999999996</v>
      </c>
      <c r="AF690" s="493">
        <f t="shared" si="155"/>
        <v>64430.400000000001</v>
      </c>
      <c r="AG690" s="474" t="s">
        <v>47</v>
      </c>
      <c r="AH690" s="474"/>
      <c r="AI690" s="483" t="s">
        <v>2374</v>
      </c>
      <c r="AJ690" s="474" t="s">
        <v>2426</v>
      </c>
      <c r="AK690" s="494" t="s">
        <v>1144</v>
      </c>
      <c r="AL690" s="474">
        <v>78219</v>
      </c>
      <c r="AM690" s="474" t="s">
        <v>52</v>
      </c>
      <c r="AN690" s="474" t="s">
        <v>1074</v>
      </c>
      <c r="AO690" s="474"/>
      <c r="AP690" s="486"/>
      <c r="AQ690" s="486" t="s">
        <v>37</v>
      </c>
      <c r="AR690" s="486"/>
      <c r="AS690" s="495"/>
      <c r="AT690" s="495"/>
      <c r="AU690" s="478"/>
      <c r="AV690" s="471"/>
      <c r="AW690" s="471"/>
      <c r="AX690" s="471"/>
      <c r="AY690" s="471"/>
      <c r="AZ690" s="471"/>
      <c r="BA690" s="471"/>
      <c r="BB690" s="471"/>
      <c r="BC690" s="471"/>
    </row>
    <row r="691" spans="1:55">
      <c r="A691" s="599"/>
      <c r="B691" s="514">
        <v>44616</v>
      </c>
      <c r="C691" s="514">
        <v>44616</v>
      </c>
      <c r="D691" s="485" t="s">
        <v>2322</v>
      </c>
      <c r="E691" s="474"/>
      <c r="F691" s="474"/>
      <c r="G691" s="474">
        <v>2022</v>
      </c>
      <c r="H691" s="474">
        <v>3</v>
      </c>
      <c r="I691" s="485">
        <v>127277</v>
      </c>
      <c r="J691" s="475">
        <v>44634</v>
      </c>
      <c r="K691" s="483" t="s">
        <v>2427</v>
      </c>
      <c r="L691" s="474" t="s">
        <v>2378</v>
      </c>
      <c r="M691" s="487">
        <v>44519</v>
      </c>
      <c r="N691" s="487">
        <v>44563</v>
      </c>
      <c r="O691" s="487"/>
      <c r="P691" s="475">
        <v>44617</v>
      </c>
      <c r="Q691" s="475">
        <v>44631</v>
      </c>
      <c r="R691" s="475">
        <v>44634</v>
      </c>
      <c r="S691" s="474" t="s">
        <v>2379</v>
      </c>
      <c r="T691" s="474">
        <v>60</v>
      </c>
      <c r="U691" s="474">
        <v>49403140</v>
      </c>
      <c r="V691" s="474" t="s">
        <v>973</v>
      </c>
      <c r="W691" s="474">
        <v>400</v>
      </c>
      <c r="X691" s="476">
        <v>416</v>
      </c>
      <c r="Y691" s="491">
        <f t="shared" si="153"/>
        <v>166400</v>
      </c>
      <c r="Z691" s="478">
        <f t="shared" si="160"/>
        <v>0.46500000000000002</v>
      </c>
      <c r="AA691" s="479">
        <f t="shared" si="154"/>
        <v>77376</v>
      </c>
      <c r="AB691" s="480"/>
      <c r="AC691" s="481">
        <v>0</v>
      </c>
      <c r="AD691" s="490"/>
      <c r="AE691" s="482">
        <v>6963.84</v>
      </c>
      <c r="AF691" s="493">
        <f t="shared" si="155"/>
        <v>84339.839999999997</v>
      </c>
      <c r="AG691" s="474" t="s">
        <v>47</v>
      </c>
      <c r="AH691" s="474"/>
      <c r="AI691" s="483" t="s">
        <v>2374</v>
      </c>
      <c r="AJ691" s="474" t="s">
        <v>2077</v>
      </c>
      <c r="AK691" s="494" t="s">
        <v>50</v>
      </c>
      <c r="AL691" s="474">
        <v>95206</v>
      </c>
      <c r="AM691" s="474" t="s">
        <v>52</v>
      </c>
      <c r="AN691" s="474" t="s">
        <v>50</v>
      </c>
      <c r="AO691" s="474"/>
      <c r="AP691" s="486"/>
      <c r="AQ691" s="486" t="s">
        <v>37</v>
      </c>
      <c r="AR691" s="486"/>
      <c r="AS691" s="495"/>
      <c r="AT691" s="495"/>
      <c r="AU691" s="478"/>
      <c r="AV691" s="471"/>
      <c r="AW691" s="471"/>
      <c r="AX691" s="471"/>
      <c r="AY691" s="471"/>
      <c r="AZ691" s="471"/>
      <c r="BA691" s="471"/>
      <c r="BB691" s="471"/>
      <c r="BC691" s="471"/>
    </row>
    <row r="692" spans="1:55">
      <c r="A692" s="599"/>
      <c r="B692" s="514">
        <v>44616</v>
      </c>
      <c r="C692" s="514">
        <v>44616</v>
      </c>
      <c r="D692" s="485" t="s">
        <v>2322</v>
      </c>
      <c r="E692" s="474"/>
      <c r="F692" s="474"/>
      <c r="G692" s="474">
        <v>2022</v>
      </c>
      <c r="H692" s="474">
        <v>3</v>
      </c>
      <c r="I692" s="485">
        <v>127690</v>
      </c>
      <c r="J692" s="475">
        <v>44651</v>
      </c>
      <c r="K692" s="483" t="s">
        <v>2428</v>
      </c>
      <c r="L692" s="474" t="s">
        <v>2378</v>
      </c>
      <c r="M692" s="487">
        <v>44519</v>
      </c>
      <c r="N692" s="487">
        <v>44563</v>
      </c>
      <c r="O692" s="487"/>
      <c r="P692" s="475">
        <v>44617</v>
      </c>
      <c r="Q692" s="475">
        <v>44644</v>
      </c>
      <c r="R692" s="475">
        <v>44651</v>
      </c>
      <c r="S692" s="474" t="s">
        <v>2379</v>
      </c>
      <c r="T692" s="474">
        <v>60</v>
      </c>
      <c r="U692" s="474">
        <v>49405140</v>
      </c>
      <c r="V692" s="474" t="s">
        <v>973</v>
      </c>
      <c r="W692" s="474">
        <v>400</v>
      </c>
      <c r="X692" s="476">
        <v>480</v>
      </c>
      <c r="Y692" s="491">
        <f t="shared" si="153"/>
        <v>192000</v>
      </c>
      <c r="Z692" s="478">
        <f t="shared" si="160"/>
        <v>0.46500000000000002</v>
      </c>
      <c r="AA692" s="479">
        <f t="shared" si="154"/>
        <v>89280</v>
      </c>
      <c r="AB692" s="480"/>
      <c r="AC692" s="481">
        <v>0</v>
      </c>
      <c r="AD692" s="490"/>
      <c r="AE692" s="482"/>
      <c r="AF692" s="493">
        <f t="shared" si="155"/>
        <v>89280</v>
      </c>
      <c r="AG692" s="474" t="s">
        <v>47</v>
      </c>
      <c r="AH692" s="474"/>
      <c r="AI692" s="483" t="s">
        <v>2374</v>
      </c>
      <c r="AJ692" s="474" t="s">
        <v>2392</v>
      </c>
      <c r="AK692" s="494" t="s">
        <v>1084</v>
      </c>
      <c r="AL692" s="474">
        <v>33762</v>
      </c>
      <c r="AM692" s="474" t="s">
        <v>52</v>
      </c>
      <c r="AN692" s="474" t="s">
        <v>1106</v>
      </c>
      <c r="AO692" s="474"/>
      <c r="AP692" s="486"/>
      <c r="AQ692" s="486" t="s">
        <v>37</v>
      </c>
      <c r="AR692" s="486"/>
      <c r="AS692" s="495"/>
      <c r="AT692" s="495"/>
      <c r="AU692" s="478"/>
      <c r="AV692" s="471"/>
      <c r="AW692" s="471"/>
      <c r="AX692" s="471"/>
      <c r="AY692" s="471"/>
      <c r="AZ692" s="471"/>
      <c r="BA692" s="471"/>
      <c r="BB692" s="471"/>
      <c r="BC692" s="471"/>
    </row>
    <row r="693" spans="1:55">
      <c r="A693" s="599"/>
      <c r="B693" s="514">
        <v>44616</v>
      </c>
      <c r="C693" s="514">
        <v>44616</v>
      </c>
      <c r="D693" s="485" t="s">
        <v>2322</v>
      </c>
      <c r="E693" s="474"/>
      <c r="F693" s="474"/>
      <c r="G693" s="474">
        <v>2022</v>
      </c>
      <c r="H693" s="474">
        <v>3</v>
      </c>
      <c r="I693" s="485">
        <v>127254</v>
      </c>
      <c r="J693" s="475">
        <v>44634</v>
      </c>
      <c r="K693" s="483" t="s">
        <v>2429</v>
      </c>
      <c r="L693" s="474" t="s">
        <v>2378</v>
      </c>
      <c r="M693" s="487">
        <v>44519</v>
      </c>
      <c r="N693" s="487">
        <v>44563</v>
      </c>
      <c r="O693" s="487"/>
      <c r="P693" s="475">
        <v>44617</v>
      </c>
      <c r="Q693" s="475">
        <v>44630</v>
      </c>
      <c r="R693" s="475">
        <v>44634</v>
      </c>
      <c r="S693" s="474" t="s">
        <v>2379</v>
      </c>
      <c r="T693" s="474">
        <v>60</v>
      </c>
      <c r="U693" s="474">
        <v>49403140</v>
      </c>
      <c r="V693" s="474" t="s">
        <v>973</v>
      </c>
      <c r="W693" s="474">
        <v>400</v>
      </c>
      <c r="X693" s="476">
        <v>640</v>
      </c>
      <c r="Y693" s="491">
        <f t="shared" ref="Y693:Y743" si="162">X693*W693</f>
        <v>256000</v>
      </c>
      <c r="Z693" s="478">
        <f t="shared" si="160"/>
        <v>0.46500000000000002</v>
      </c>
      <c r="AA693" s="479">
        <f t="shared" ref="AA693:AA743" si="163">Z693*Y693</f>
        <v>119040</v>
      </c>
      <c r="AB693" s="480"/>
      <c r="AC693" s="481">
        <v>0</v>
      </c>
      <c r="AD693" s="490"/>
      <c r="AE693" s="482"/>
      <c r="AF693" s="493">
        <f t="shared" ref="AF693:AF743" si="164">AA693+AE693</f>
        <v>119040</v>
      </c>
      <c r="AG693" s="474" t="s">
        <v>47</v>
      </c>
      <c r="AH693" s="474"/>
      <c r="AI693" s="483" t="s">
        <v>2374</v>
      </c>
      <c r="AJ693" s="474" t="s">
        <v>2394</v>
      </c>
      <c r="AK693" s="494" t="s">
        <v>1133</v>
      </c>
      <c r="AL693" s="474">
        <v>85714</v>
      </c>
      <c r="AM693" s="474" t="s">
        <v>52</v>
      </c>
      <c r="AN693" s="474" t="s">
        <v>1074</v>
      </c>
      <c r="AO693" s="474"/>
      <c r="AP693" s="486"/>
      <c r="AQ693" s="486" t="s">
        <v>37</v>
      </c>
      <c r="AR693" s="486"/>
      <c r="AS693" s="495"/>
      <c r="AT693" s="495"/>
      <c r="AU693" s="478"/>
      <c r="AV693" s="471"/>
      <c r="AW693" s="471"/>
      <c r="AX693" s="471"/>
      <c r="AY693" s="471"/>
      <c r="AZ693" s="471"/>
      <c r="BA693" s="471"/>
      <c r="BB693" s="471"/>
      <c r="BC693" s="471"/>
    </row>
    <row r="694" spans="1:55">
      <c r="A694" s="599"/>
      <c r="B694" s="514">
        <v>44616</v>
      </c>
      <c r="C694" s="514">
        <v>44616</v>
      </c>
      <c r="D694" s="485" t="s">
        <v>2322</v>
      </c>
      <c r="E694" s="474"/>
      <c r="F694" s="474"/>
      <c r="G694" s="474">
        <v>2022</v>
      </c>
      <c r="H694" s="474">
        <v>3</v>
      </c>
      <c r="I694" s="485">
        <v>127691</v>
      </c>
      <c r="J694" s="475">
        <v>44648</v>
      </c>
      <c r="K694" s="483" t="s">
        <v>2429</v>
      </c>
      <c r="L694" s="474" t="s">
        <v>2378</v>
      </c>
      <c r="M694" s="487">
        <v>44519</v>
      </c>
      <c r="N694" s="487">
        <v>44563</v>
      </c>
      <c r="O694" s="487"/>
      <c r="P694" s="475">
        <v>44617</v>
      </c>
      <c r="Q694" s="475">
        <v>44644</v>
      </c>
      <c r="R694" s="475">
        <v>44649</v>
      </c>
      <c r="S694" s="474" t="s">
        <v>2379</v>
      </c>
      <c r="T694" s="474">
        <v>60</v>
      </c>
      <c r="U694" s="474">
        <v>49403540</v>
      </c>
      <c r="V694" s="474" t="s">
        <v>973</v>
      </c>
      <c r="W694" s="474">
        <v>400</v>
      </c>
      <c r="X694" s="476">
        <v>608</v>
      </c>
      <c r="Y694" s="491">
        <f t="shared" si="162"/>
        <v>243200</v>
      </c>
      <c r="Z694" s="478">
        <f t="shared" si="160"/>
        <v>0.46500000000000002</v>
      </c>
      <c r="AA694" s="479">
        <f t="shared" si="163"/>
        <v>113088</v>
      </c>
      <c r="AB694" s="480"/>
      <c r="AC694" s="481">
        <v>0</v>
      </c>
      <c r="AD694" s="490"/>
      <c r="AE694" s="482"/>
      <c r="AF694" s="493">
        <f t="shared" si="164"/>
        <v>113088</v>
      </c>
      <c r="AG694" s="474" t="s">
        <v>47</v>
      </c>
      <c r="AH694" s="474"/>
      <c r="AI694" s="483" t="s">
        <v>2374</v>
      </c>
      <c r="AJ694" s="474" t="s">
        <v>2394</v>
      </c>
      <c r="AK694" s="494" t="s">
        <v>1133</v>
      </c>
      <c r="AL694" s="474">
        <v>85714</v>
      </c>
      <c r="AM694" s="474" t="s">
        <v>52</v>
      </c>
      <c r="AN694" s="474" t="s">
        <v>1106</v>
      </c>
      <c r="AO694" s="474"/>
      <c r="AP694" s="486"/>
      <c r="AQ694" s="486" t="s">
        <v>37</v>
      </c>
      <c r="AR694" s="486"/>
      <c r="AS694" s="495"/>
      <c r="AT694" s="495"/>
      <c r="AU694" s="478"/>
      <c r="AV694" s="471"/>
      <c r="AW694" s="471"/>
      <c r="AX694" s="471"/>
      <c r="AY694" s="471"/>
      <c r="AZ694" s="471"/>
      <c r="BA694" s="471"/>
      <c r="BB694" s="471"/>
      <c r="BC694" s="471"/>
    </row>
    <row r="695" spans="1:55">
      <c r="A695" s="599"/>
      <c r="B695" s="514">
        <v>44616</v>
      </c>
      <c r="C695" s="514">
        <v>44616</v>
      </c>
      <c r="D695" s="485" t="s">
        <v>2322</v>
      </c>
      <c r="E695" s="474"/>
      <c r="F695" s="474"/>
      <c r="G695" s="474">
        <v>2022</v>
      </c>
      <c r="H695" s="474">
        <v>3</v>
      </c>
      <c r="I695" s="485">
        <v>127692</v>
      </c>
      <c r="J695" s="475">
        <v>44649</v>
      </c>
      <c r="K695" s="483" t="s">
        <v>2430</v>
      </c>
      <c r="L695" s="474" t="s">
        <v>2378</v>
      </c>
      <c r="M695" s="487">
        <v>44519</v>
      </c>
      <c r="N695" s="487">
        <v>44563</v>
      </c>
      <c r="O695" s="487"/>
      <c r="P695" s="475">
        <v>44617</v>
      </c>
      <c r="Q695" s="475">
        <v>44644</v>
      </c>
      <c r="R695" s="475">
        <v>44649</v>
      </c>
      <c r="S695" s="474" t="s">
        <v>2379</v>
      </c>
      <c r="T695" s="474">
        <v>60</v>
      </c>
      <c r="U695" s="474">
        <v>49403540</v>
      </c>
      <c r="V695" s="474" t="s">
        <v>973</v>
      </c>
      <c r="W695" s="474">
        <v>400</v>
      </c>
      <c r="X695" s="476">
        <v>768</v>
      </c>
      <c r="Y695" s="491">
        <f t="shared" si="162"/>
        <v>307200</v>
      </c>
      <c r="Z695" s="478">
        <f t="shared" si="160"/>
        <v>0.46500000000000002</v>
      </c>
      <c r="AA695" s="479">
        <f t="shared" si="163"/>
        <v>142848</v>
      </c>
      <c r="AB695" s="480"/>
      <c r="AC695" s="481">
        <v>0</v>
      </c>
      <c r="AD695" s="490"/>
      <c r="AE695" s="482"/>
      <c r="AF695" s="493">
        <f t="shared" si="164"/>
        <v>142848</v>
      </c>
      <c r="AG695" s="474" t="s">
        <v>47</v>
      </c>
      <c r="AH695" s="474"/>
      <c r="AI695" s="483" t="s">
        <v>2374</v>
      </c>
      <c r="AJ695" s="474" t="s">
        <v>2366</v>
      </c>
      <c r="AK695" s="494" t="s">
        <v>1395</v>
      </c>
      <c r="AL695" s="474">
        <v>89118</v>
      </c>
      <c r="AM695" s="474" t="s">
        <v>52</v>
      </c>
      <c r="AN695" s="474" t="s">
        <v>1106</v>
      </c>
      <c r="AO695" s="474"/>
      <c r="AP695" s="486"/>
      <c r="AQ695" s="486" t="s">
        <v>37</v>
      </c>
      <c r="AR695" s="486"/>
      <c r="AS695" s="495"/>
      <c r="AT695" s="495"/>
      <c r="AU695" s="478"/>
      <c r="AV695" s="471"/>
      <c r="AW695" s="471"/>
      <c r="AX695" s="471"/>
      <c r="AY695" s="471"/>
      <c r="AZ695" s="471"/>
      <c r="BA695" s="471"/>
      <c r="BB695" s="471"/>
      <c r="BC695" s="471"/>
    </row>
    <row r="696" spans="1:55">
      <c r="A696" s="599"/>
      <c r="B696" s="514">
        <v>44616</v>
      </c>
      <c r="C696" s="514">
        <v>44616</v>
      </c>
      <c r="D696" s="485" t="s">
        <v>2322</v>
      </c>
      <c r="E696" s="474"/>
      <c r="F696" s="474"/>
      <c r="G696" s="474">
        <v>2022</v>
      </c>
      <c r="H696" s="474">
        <v>3</v>
      </c>
      <c r="I696" s="485">
        <v>127255</v>
      </c>
      <c r="J696" s="475">
        <v>44634</v>
      </c>
      <c r="K696" s="483" t="s">
        <v>2430</v>
      </c>
      <c r="L696" s="474" t="s">
        <v>2378</v>
      </c>
      <c r="M696" s="487">
        <v>44519</v>
      </c>
      <c r="N696" s="487">
        <v>44563</v>
      </c>
      <c r="O696" s="487"/>
      <c r="P696" s="475">
        <v>44617</v>
      </c>
      <c r="Q696" s="475">
        <v>44630</v>
      </c>
      <c r="R696" s="475">
        <v>44634</v>
      </c>
      <c r="S696" s="474" t="s">
        <v>2379</v>
      </c>
      <c r="T696" s="474">
        <v>60</v>
      </c>
      <c r="U696" s="474">
        <v>49403140</v>
      </c>
      <c r="V696" s="474" t="s">
        <v>973</v>
      </c>
      <c r="W696" s="474">
        <v>400</v>
      </c>
      <c r="X696" s="476">
        <v>1536</v>
      </c>
      <c r="Y696" s="491">
        <f t="shared" si="162"/>
        <v>614400</v>
      </c>
      <c r="Z696" s="478">
        <f t="shared" si="160"/>
        <v>0.46500000000000002</v>
      </c>
      <c r="AA696" s="479">
        <f t="shared" si="163"/>
        <v>285696</v>
      </c>
      <c r="AB696" s="480"/>
      <c r="AC696" s="481">
        <v>0</v>
      </c>
      <c r="AD696" s="490"/>
      <c r="AE696" s="482"/>
      <c r="AF696" s="493">
        <f t="shared" si="164"/>
        <v>285696</v>
      </c>
      <c r="AG696" s="474" t="s">
        <v>47</v>
      </c>
      <c r="AH696" s="474"/>
      <c r="AI696" s="483" t="s">
        <v>2374</v>
      </c>
      <c r="AJ696" s="474" t="s">
        <v>2366</v>
      </c>
      <c r="AK696" s="494" t="s">
        <v>1395</v>
      </c>
      <c r="AL696" s="474">
        <v>89118</v>
      </c>
      <c r="AM696" s="474" t="s">
        <v>52</v>
      </c>
      <c r="AN696" s="474" t="s">
        <v>1074</v>
      </c>
      <c r="AO696" s="474"/>
      <c r="AP696" s="486"/>
      <c r="AQ696" s="486" t="s">
        <v>37</v>
      </c>
      <c r="AR696" s="486"/>
      <c r="AS696" s="495"/>
      <c r="AT696" s="495"/>
      <c r="AU696" s="478"/>
      <c r="AV696" s="471"/>
      <c r="AW696" s="471"/>
      <c r="AX696" s="471"/>
      <c r="AY696" s="471"/>
      <c r="AZ696" s="471"/>
      <c r="BA696" s="471"/>
      <c r="BB696" s="471"/>
      <c r="BC696" s="471"/>
    </row>
    <row r="697" spans="1:55">
      <c r="A697" s="599"/>
      <c r="B697" s="514">
        <v>44616</v>
      </c>
      <c r="C697" s="514">
        <v>44616</v>
      </c>
      <c r="D697" s="485" t="s">
        <v>2322</v>
      </c>
      <c r="E697" s="474"/>
      <c r="F697" s="474"/>
      <c r="G697" s="474">
        <v>2022</v>
      </c>
      <c r="H697" s="474">
        <v>3</v>
      </c>
      <c r="I697" s="485">
        <v>127215</v>
      </c>
      <c r="J697" s="475">
        <v>44624</v>
      </c>
      <c r="K697" s="483" t="s">
        <v>2430</v>
      </c>
      <c r="L697" s="474" t="s">
        <v>2378</v>
      </c>
      <c r="M697" s="487">
        <v>44519</v>
      </c>
      <c r="N697" s="487">
        <v>44563</v>
      </c>
      <c r="O697" s="487"/>
      <c r="P697" s="475">
        <v>44622</v>
      </c>
      <c r="Q697" s="475">
        <v>44623</v>
      </c>
      <c r="R697" s="475">
        <v>44624</v>
      </c>
      <c r="S697" s="474" t="s">
        <v>2379</v>
      </c>
      <c r="T697" s="474">
        <v>60</v>
      </c>
      <c r="U697" s="474" t="s">
        <v>2315</v>
      </c>
      <c r="V697" s="474" t="s">
        <v>973</v>
      </c>
      <c r="W697" s="474">
        <v>400</v>
      </c>
      <c r="X697" s="476">
        <v>236</v>
      </c>
      <c r="Y697" s="491">
        <f t="shared" si="162"/>
        <v>94400</v>
      </c>
      <c r="Z697" s="478">
        <f t="shared" si="160"/>
        <v>0.46500000000000002</v>
      </c>
      <c r="AA697" s="479">
        <f t="shared" si="163"/>
        <v>43896</v>
      </c>
      <c r="AB697" s="480"/>
      <c r="AC697" s="481">
        <v>0</v>
      </c>
      <c r="AD697" s="490"/>
      <c r="AE697" s="482"/>
      <c r="AF697" s="493">
        <f t="shared" si="164"/>
        <v>43896</v>
      </c>
      <c r="AG697" s="474" t="s">
        <v>47</v>
      </c>
      <c r="AH697" s="474"/>
      <c r="AI697" s="483" t="s">
        <v>2374</v>
      </c>
      <c r="AJ697" s="474" t="s">
        <v>2366</v>
      </c>
      <c r="AK697" s="494" t="s">
        <v>1395</v>
      </c>
      <c r="AL697" s="474">
        <v>89118</v>
      </c>
      <c r="AM697" s="474" t="s">
        <v>52</v>
      </c>
      <c r="AN697" s="474" t="s">
        <v>50</v>
      </c>
      <c r="AO697" s="474"/>
      <c r="AP697" s="486" t="s">
        <v>92</v>
      </c>
      <c r="AQ697" s="486" t="s">
        <v>37</v>
      </c>
      <c r="AR697" s="486"/>
      <c r="AS697" s="495"/>
      <c r="AT697" s="495"/>
      <c r="AU697" s="478"/>
      <c r="AV697" s="471"/>
      <c r="AW697" s="471"/>
      <c r="AX697" s="471"/>
      <c r="AY697" s="471"/>
      <c r="AZ697" s="471"/>
      <c r="BA697" s="471"/>
      <c r="BB697" s="471"/>
      <c r="BC697" s="471"/>
    </row>
    <row r="698" spans="1:55">
      <c r="A698" s="599"/>
      <c r="B698" s="514">
        <v>44616</v>
      </c>
      <c r="C698" s="514">
        <v>44616</v>
      </c>
      <c r="D698" s="485" t="s">
        <v>2322</v>
      </c>
      <c r="E698" s="474"/>
      <c r="F698" s="474"/>
      <c r="G698" s="474">
        <v>2022</v>
      </c>
      <c r="H698" s="474">
        <v>3</v>
      </c>
      <c r="I698" s="485">
        <v>127215</v>
      </c>
      <c r="J698" s="475">
        <v>44624</v>
      </c>
      <c r="K698" s="483" t="s">
        <v>2430</v>
      </c>
      <c r="L698" s="474" t="s">
        <v>2378</v>
      </c>
      <c r="M698" s="487">
        <v>44519</v>
      </c>
      <c r="N698" s="487">
        <v>44563</v>
      </c>
      <c r="O698" s="487"/>
      <c r="P698" s="475">
        <v>44622</v>
      </c>
      <c r="Q698" s="475">
        <v>44623</v>
      </c>
      <c r="R698" s="475">
        <v>44624</v>
      </c>
      <c r="S698" s="474" t="s">
        <v>2379</v>
      </c>
      <c r="T698" s="474">
        <v>60</v>
      </c>
      <c r="U698" s="474" t="s">
        <v>2210</v>
      </c>
      <c r="V698" s="474" t="s">
        <v>973</v>
      </c>
      <c r="W698" s="474">
        <v>400</v>
      </c>
      <c r="X698" s="476">
        <v>768</v>
      </c>
      <c r="Y698" s="491">
        <f t="shared" si="162"/>
        <v>307200</v>
      </c>
      <c r="Z698" s="478">
        <f t="shared" si="160"/>
        <v>0.46500000000000002</v>
      </c>
      <c r="AA698" s="479">
        <f t="shared" si="163"/>
        <v>142848</v>
      </c>
      <c r="AB698" s="480"/>
      <c r="AC698" s="481">
        <v>0</v>
      </c>
      <c r="AD698" s="490"/>
      <c r="AE698" s="482"/>
      <c r="AF698" s="493">
        <f t="shared" si="164"/>
        <v>142848</v>
      </c>
      <c r="AG698" s="474" t="s">
        <v>47</v>
      </c>
      <c r="AH698" s="474"/>
      <c r="AI698" s="483" t="s">
        <v>2374</v>
      </c>
      <c r="AJ698" s="474" t="s">
        <v>2366</v>
      </c>
      <c r="AK698" s="494" t="s">
        <v>1395</v>
      </c>
      <c r="AL698" s="474">
        <v>89118</v>
      </c>
      <c r="AM698" s="474" t="s">
        <v>52</v>
      </c>
      <c r="AN698" s="474" t="s">
        <v>50</v>
      </c>
      <c r="AO698" s="474"/>
      <c r="AP698" s="486" t="s">
        <v>92</v>
      </c>
      <c r="AQ698" s="486" t="s">
        <v>37</v>
      </c>
      <c r="AR698" s="486"/>
      <c r="AS698" s="495"/>
      <c r="AT698" s="495"/>
      <c r="AU698" s="478"/>
      <c r="AV698" s="471"/>
      <c r="AW698" s="471"/>
      <c r="AX698" s="471"/>
      <c r="AY698" s="471"/>
      <c r="AZ698" s="471"/>
      <c r="BA698" s="471"/>
      <c r="BB698" s="471"/>
      <c r="BC698" s="471"/>
    </row>
    <row r="699" spans="1:55">
      <c r="A699" s="599"/>
      <c r="B699" s="514">
        <v>44616</v>
      </c>
      <c r="C699" s="514">
        <v>44616</v>
      </c>
      <c r="D699" s="485" t="s">
        <v>2322</v>
      </c>
      <c r="E699" s="474"/>
      <c r="F699" s="474"/>
      <c r="G699" s="474">
        <v>2022</v>
      </c>
      <c r="H699" s="474">
        <v>3</v>
      </c>
      <c r="I699" s="485">
        <v>127215</v>
      </c>
      <c r="J699" s="475">
        <v>44624</v>
      </c>
      <c r="K699" s="483" t="s">
        <v>2430</v>
      </c>
      <c r="L699" s="474" t="s">
        <v>2378</v>
      </c>
      <c r="M699" s="487">
        <v>44519</v>
      </c>
      <c r="N699" s="487">
        <v>44563</v>
      </c>
      <c r="O699" s="487"/>
      <c r="P699" s="475">
        <v>44622</v>
      </c>
      <c r="Q699" s="475">
        <v>44623</v>
      </c>
      <c r="R699" s="475">
        <v>44624</v>
      </c>
      <c r="S699" s="474" t="s">
        <v>2379</v>
      </c>
      <c r="T699" s="474">
        <v>60</v>
      </c>
      <c r="U699" s="474" t="s">
        <v>1760</v>
      </c>
      <c r="V699" s="474" t="s">
        <v>973</v>
      </c>
      <c r="W699" s="474">
        <v>400</v>
      </c>
      <c r="X699" s="476">
        <v>148</v>
      </c>
      <c r="Y699" s="491">
        <f t="shared" si="162"/>
        <v>59200</v>
      </c>
      <c r="Z699" s="478">
        <f t="shared" si="160"/>
        <v>0.46500000000000002</v>
      </c>
      <c r="AA699" s="479">
        <f t="shared" si="163"/>
        <v>27528</v>
      </c>
      <c r="AB699" s="480"/>
      <c r="AC699" s="481">
        <v>0</v>
      </c>
      <c r="AD699" s="490"/>
      <c r="AE699" s="482"/>
      <c r="AF699" s="493">
        <f t="shared" si="164"/>
        <v>27528</v>
      </c>
      <c r="AG699" s="474" t="s">
        <v>47</v>
      </c>
      <c r="AH699" s="474"/>
      <c r="AI699" s="483" t="s">
        <v>2374</v>
      </c>
      <c r="AJ699" s="474" t="s">
        <v>2366</v>
      </c>
      <c r="AK699" s="494" t="s">
        <v>1395</v>
      </c>
      <c r="AL699" s="474">
        <v>89118</v>
      </c>
      <c r="AM699" s="474" t="s">
        <v>52</v>
      </c>
      <c r="AN699" s="474" t="s">
        <v>50</v>
      </c>
      <c r="AO699" s="474"/>
      <c r="AP699" s="486" t="s">
        <v>92</v>
      </c>
      <c r="AQ699" s="486" t="s">
        <v>37</v>
      </c>
      <c r="AR699" s="486"/>
      <c r="AS699" s="495"/>
      <c r="AT699" s="495"/>
      <c r="AU699" s="478"/>
      <c r="AV699" s="471"/>
      <c r="AW699" s="471"/>
      <c r="AX699" s="471"/>
      <c r="AY699" s="471"/>
      <c r="AZ699" s="471"/>
      <c r="BA699" s="471"/>
      <c r="BB699" s="471"/>
      <c r="BC699" s="471"/>
    </row>
    <row r="700" spans="1:55">
      <c r="A700" s="436">
        <v>10</v>
      </c>
      <c r="B700" s="514">
        <v>44616</v>
      </c>
      <c r="C700" s="514">
        <v>44616</v>
      </c>
      <c r="D700" s="485" t="s">
        <v>2322</v>
      </c>
      <c r="E700" s="474"/>
      <c r="F700" s="474"/>
      <c r="G700" s="474">
        <v>2022</v>
      </c>
      <c r="H700" s="474">
        <v>3</v>
      </c>
      <c r="I700" s="485">
        <v>127256</v>
      </c>
      <c r="J700" s="475">
        <v>44634</v>
      </c>
      <c r="K700" s="483" t="s">
        <v>2431</v>
      </c>
      <c r="L700" s="474" t="s">
        <v>2378</v>
      </c>
      <c r="M700" s="487">
        <v>44519</v>
      </c>
      <c r="N700" s="487">
        <v>44563</v>
      </c>
      <c r="O700" s="487"/>
      <c r="P700" s="475">
        <v>44617</v>
      </c>
      <c r="Q700" s="475">
        <v>44630</v>
      </c>
      <c r="R700" s="475">
        <v>44634</v>
      </c>
      <c r="S700" s="474" t="s">
        <v>2379</v>
      </c>
      <c r="T700" s="474">
        <v>60</v>
      </c>
      <c r="U700" s="474">
        <v>49403140</v>
      </c>
      <c r="V700" s="474" t="s">
        <v>973</v>
      </c>
      <c r="W700" s="474">
        <v>400</v>
      </c>
      <c r="X700" s="476">
        <v>416</v>
      </c>
      <c r="Y700" s="477">
        <f t="shared" si="162"/>
        <v>166400</v>
      </c>
      <c r="Z700" s="478">
        <f t="shared" si="160"/>
        <v>0.46500000000000002</v>
      </c>
      <c r="AA700" s="479">
        <f t="shared" si="163"/>
        <v>77376</v>
      </c>
      <c r="AB700" s="480"/>
      <c r="AC700" s="481">
        <v>0</v>
      </c>
      <c r="AD700" s="490"/>
      <c r="AE700" s="482"/>
      <c r="AF700" s="493">
        <f t="shared" si="164"/>
        <v>77376</v>
      </c>
      <c r="AG700" s="474" t="s">
        <v>47</v>
      </c>
      <c r="AH700" s="474"/>
      <c r="AI700" s="483" t="s">
        <v>2374</v>
      </c>
      <c r="AJ700" s="474" t="s">
        <v>2397</v>
      </c>
      <c r="AK700" s="494" t="s">
        <v>1133</v>
      </c>
      <c r="AL700" s="474">
        <v>85365</v>
      </c>
      <c r="AM700" s="474" t="s">
        <v>52</v>
      </c>
      <c r="AN700" s="474" t="s">
        <v>1074</v>
      </c>
      <c r="AO700" s="474"/>
      <c r="AP700" s="486"/>
      <c r="AQ700" s="486" t="s">
        <v>37</v>
      </c>
      <c r="AR700" s="486"/>
      <c r="AS700" s="495"/>
      <c r="AT700" s="495"/>
      <c r="AU700" s="478"/>
      <c r="AV700" s="471"/>
      <c r="AW700" s="471"/>
      <c r="AX700" s="471"/>
      <c r="AY700" s="471"/>
      <c r="AZ700" s="471"/>
      <c r="BA700" s="471"/>
      <c r="BB700" s="471"/>
      <c r="BC700" s="471"/>
    </row>
    <row r="701" spans="1:55">
      <c r="A701" s="472">
        <v>10</v>
      </c>
      <c r="B701" s="514">
        <v>44616</v>
      </c>
      <c r="C701" s="514">
        <v>44616</v>
      </c>
      <c r="D701" s="485" t="s">
        <v>2322</v>
      </c>
      <c r="E701" s="474" t="s">
        <v>2432</v>
      </c>
      <c r="F701" s="474"/>
      <c r="G701" s="474">
        <v>2022</v>
      </c>
      <c r="H701" s="474">
        <v>3</v>
      </c>
      <c r="I701" s="415">
        <v>127840</v>
      </c>
      <c r="J701" s="538">
        <v>44649</v>
      </c>
      <c r="K701" s="523" t="s">
        <v>2431</v>
      </c>
      <c r="L701" s="524" t="s">
        <v>2378</v>
      </c>
      <c r="M701" s="487">
        <v>44519</v>
      </c>
      <c r="N701" s="487">
        <v>44563</v>
      </c>
      <c r="O701" s="487"/>
      <c r="P701" s="475">
        <v>44617</v>
      </c>
      <c r="Q701" s="475">
        <v>44644</v>
      </c>
      <c r="R701" s="475">
        <v>44649</v>
      </c>
      <c r="S701" s="474" t="s">
        <v>2379</v>
      </c>
      <c r="T701" s="474">
        <v>60</v>
      </c>
      <c r="U701" s="474">
        <v>49403540</v>
      </c>
      <c r="V701" s="474" t="s">
        <v>973</v>
      </c>
      <c r="W701" s="474">
        <v>400</v>
      </c>
      <c r="X701" s="476">
        <v>416</v>
      </c>
      <c r="Y701" s="477">
        <f t="shared" si="162"/>
        <v>166400</v>
      </c>
      <c r="Z701" s="478">
        <f t="shared" si="160"/>
        <v>0.46500000000000002</v>
      </c>
      <c r="AA701" s="479">
        <f t="shared" si="163"/>
        <v>77376</v>
      </c>
      <c r="AB701" s="480"/>
      <c r="AC701" s="481">
        <v>0</v>
      </c>
      <c r="AD701" s="490"/>
      <c r="AE701" s="482"/>
      <c r="AF701" s="493">
        <f t="shared" si="164"/>
        <v>77376</v>
      </c>
      <c r="AG701" s="474" t="s">
        <v>47</v>
      </c>
      <c r="AH701" s="474"/>
      <c r="AI701" s="483" t="s">
        <v>2374</v>
      </c>
      <c r="AJ701" s="474" t="s">
        <v>2397</v>
      </c>
      <c r="AK701" s="494" t="s">
        <v>1133</v>
      </c>
      <c r="AL701" s="474">
        <v>85365</v>
      </c>
      <c r="AM701" s="474" t="s">
        <v>52</v>
      </c>
      <c r="AN701" s="474" t="s">
        <v>1106</v>
      </c>
      <c r="AO701" s="474"/>
      <c r="AP701" s="486"/>
      <c r="AQ701" s="486" t="s">
        <v>37</v>
      </c>
      <c r="AR701" s="486"/>
      <c r="AS701" s="495"/>
      <c r="AT701" s="495"/>
      <c r="AU701" s="478"/>
      <c r="AV701" s="471"/>
      <c r="AW701" s="471"/>
      <c r="AX701" s="471"/>
      <c r="AY701" s="471"/>
      <c r="AZ701" s="471"/>
      <c r="BA701" s="471"/>
      <c r="BB701" s="471"/>
      <c r="BC701" s="471"/>
    </row>
    <row r="702" spans="1:55">
      <c r="A702" s="472"/>
      <c r="B702" s="514">
        <v>44616</v>
      </c>
      <c r="C702" s="514">
        <v>44616</v>
      </c>
      <c r="D702" s="485" t="s">
        <v>2322</v>
      </c>
      <c r="E702" s="474"/>
      <c r="F702" s="474"/>
      <c r="G702" s="474">
        <v>2022</v>
      </c>
      <c r="H702" s="474">
        <v>3</v>
      </c>
      <c r="I702" s="485">
        <v>127693</v>
      </c>
      <c r="J702" s="475">
        <v>44645</v>
      </c>
      <c r="K702" s="483" t="s">
        <v>2433</v>
      </c>
      <c r="L702" s="474" t="s">
        <v>2378</v>
      </c>
      <c r="M702" s="487">
        <v>44519</v>
      </c>
      <c r="N702" s="487">
        <v>44563</v>
      </c>
      <c r="O702" s="487"/>
      <c r="P702" s="475">
        <v>44617</v>
      </c>
      <c r="Q702" s="475">
        <v>44644</v>
      </c>
      <c r="R702" s="475">
        <v>44645</v>
      </c>
      <c r="S702" s="474" t="s">
        <v>2379</v>
      </c>
      <c r="T702" s="474">
        <v>60</v>
      </c>
      <c r="U702" s="474">
        <v>49405140</v>
      </c>
      <c r="V702" s="474" t="s">
        <v>973</v>
      </c>
      <c r="W702" s="474">
        <v>400</v>
      </c>
      <c r="X702" s="476">
        <v>320</v>
      </c>
      <c r="Y702" s="477">
        <f t="shared" si="162"/>
        <v>128000</v>
      </c>
      <c r="Z702" s="478">
        <f t="shared" si="160"/>
        <v>0.46500000000000002</v>
      </c>
      <c r="AA702" s="479">
        <f t="shared" si="163"/>
        <v>59520</v>
      </c>
      <c r="AB702" s="480"/>
      <c r="AC702" s="481">
        <v>0</v>
      </c>
      <c r="AD702" s="490"/>
      <c r="AE702" s="482">
        <v>4315.2</v>
      </c>
      <c r="AF702" s="493">
        <f t="shared" si="164"/>
        <v>63835.199999999997</v>
      </c>
      <c r="AG702" s="474" t="s">
        <v>47</v>
      </c>
      <c r="AH702" s="474"/>
      <c r="AI702" s="483" t="s">
        <v>2374</v>
      </c>
      <c r="AJ702" s="474" t="s">
        <v>1162</v>
      </c>
      <c r="AK702" s="494" t="s">
        <v>1158</v>
      </c>
      <c r="AL702" s="474">
        <v>28216</v>
      </c>
      <c r="AM702" s="474" t="s">
        <v>52</v>
      </c>
      <c r="AN702" s="474" t="s">
        <v>1106</v>
      </c>
      <c r="AO702" s="474"/>
      <c r="AP702" s="486"/>
      <c r="AQ702" s="486" t="s">
        <v>37</v>
      </c>
      <c r="AR702" s="486"/>
      <c r="AS702" s="495"/>
      <c r="AT702" s="495"/>
      <c r="AU702" s="478"/>
      <c r="AV702" s="471"/>
      <c r="AW702" s="471"/>
      <c r="AX702" s="471"/>
      <c r="AY702" s="471"/>
      <c r="AZ702" s="471"/>
      <c r="BA702" s="471"/>
      <c r="BB702" s="471"/>
      <c r="BC702" s="471"/>
    </row>
    <row r="703" spans="1:55">
      <c r="A703" s="472"/>
      <c r="B703" s="514">
        <v>44616</v>
      </c>
      <c r="C703" s="514">
        <v>44616</v>
      </c>
      <c r="D703" s="485" t="s">
        <v>2322</v>
      </c>
      <c r="E703" s="474"/>
      <c r="F703" s="474"/>
      <c r="G703" s="474">
        <v>2022</v>
      </c>
      <c r="H703" s="474">
        <v>3</v>
      </c>
      <c r="I703" s="485">
        <v>127686</v>
      </c>
      <c r="J703" s="475">
        <v>44651</v>
      </c>
      <c r="K703" s="483" t="s">
        <v>2433</v>
      </c>
      <c r="L703" s="474" t="s">
        <v>2378</v>
      </c>
      <c r="M703" s="487">
        <v>44519</v>
      </c>
      <c r="N703" s="487">
        <v>44563</v>
      </c>
      <c r="O703" s="487"/>
      <c r="P703" s="475">
        <v>44617</v>
      </c>
      <c r="Q703" s="475">
        <v>44650</v>
      </c>
      <c r="R703" s="475">
        <v>44651</v>
      </c>
      <c r="S703" s="474" t="s">
        <v>2379</v>
      </c>
      <c r="T703" s="474">
        <v>60</v>
      </c>
      <c r="U703" s="474">
        <v>49405140</v>
      </c>
      <c r="V703" s="474" t="s">
        <v>973</v>
      </c>
      <c r="W703" s="474">
        <v>400</v>
      </c>
      <c r="X703" s="476">
        <v>480</v>
      </c>
      <c r="Y703" s="477">
        <f t="shared" si="162"/>
        <v>192000</v>
      </c>
      <c r="Z703" s="478">
        <f t="shared" si="160"/>
        <v>0.46500000000000002</v>
      </c>
      <c r="AA703" s="479">
        <f t="shared" si="163"/>
        <v>89280</v>
      </c>
      <c r="AB703" s="480"/>
      <c r="AC703" s="481">
        <v>0</v>
      </c>
      <c r="AD703" s="490"/>
      <c r="AE703" s="482">
        <f>6472.8</f>
        <v>6472.8</v>
      </c>
      <c r="AF703" s="493">
        <f t="shared" si="164"/>
        <v>95752.8</v>
      </c>
      <c r="AG703" s="474" t="s">
        <v>47</v>
      </c>
      <c r="AH703" s="474"/>
      <c r="AI703" s="483" t="s">
        <v>2374</v>
      </c>
      <c r="AJ703" s="474" t="s">
        <v>1162</v>
      </c>
      <c r="AK703" s="494" t="s">
        <v>1158</v>
      </c>
      <c r="AL703" s="474">
        <v>28216</v>
      </c>
      <c r="AM703" s="474" t="s">
        <v>52</v>
      </c>
      <c r="AN703" s="474" t="s">
        <v>1074</v>
      </c>
      <c r="AO703" s="474"/>
      <c r="AP703" s="486"/>
      <c r="AQ703" s="486" t="s">
        <v>37</v>
      </c>
      <c r="AR703" s="486"/>
      <c r="AS703" s="495"/>
      <c r="AT703" s="495"/>
      <c r="AU703" s="478"/>
      <c r="AV703" s="471">
        <f t="shared" ref="AV703:AV710" si="165">U703</f>
        <v>49405140</v>
      </c>
      <c r="AW703" s="471" cm="1">
        <f t="array" ref="AW703">SUM(MID(0&amp;AV703,LARGE(INDEX(ISNUMBER(--MID(AV703,ROW($1:$8),1))*ROW($1:$8),),ROW($1:$8))+1,1)*10^ROW($1:$8)/10)</f>
        <v>49405140</v>
      </c>
      <c r="AX703" s="471" t="str">
        <f>VLOOKUP($AW703,'Item Master Data'!$A:$F,3,FALSE)</f>
        <v>Q.PEAK DUO BLK ML G10+</v>
      </c>
      <c r="AY703" s="471">
        <f>VLOOKUP($AW703,'Item Master Data'!$A:$F,6,FALSE)</f>
        <v>400</v>
      </c>
      <c r="AZ703" s="471">
        <f t="shared" ref="AZ703:AZ710" si="166">X703/BA703</f>
        <v>15</v>
      </c>
      <c r="BA703" s="471">
        <f>VLOOKUP(AW703,'Item Master Data'!$A:$G,7,FALSE)</f>
        <v>32</v>
      </c>
      <c r="BB703" s="471"/>
      <c r="BC703" s="471">
        <f t="shared" ref="BC703:BC710" si="167">W703-AY703</f>
        <v>0</v>
      </c>
    </row>
    <row r="704" spans="1:55">
      <c r="A704" s="472">
        <v>10</v>
      </c>
      <c r="B704" s="514">
        <v>44616</v>
      </c>
      <c r="C704" s="514">
        <v>44616</v>
      </c>
      <c r="D704" s="485" t="s">
        <v>2322</v>
      </c>
      <c r="E704" s="474"/>
      <c r="F704" s="474"/>
      <c r="G704" s="474">
        <v>2022</v>
      </c>
      <c r="H704" s="474">
        <v>3</v>
      </c>
      <c r="I704" s="485">
        <v>127566</v>
      </c>
      <c r="J704" s="475">
        <v>44644</v>
      </c>
      <c r="K704" s="483" t="s">
        <v>2434</v>
      </c>
      <c r="L704" s="474" t="s">
        <v>2378</v>
      </c>
      <c r="M704" s="487">
        <v>44519</v>
      </c>
      <c r="N704" s="487">
        <v>44563</v>
      </c>
      <c r="O704" s="487"/>
      <c r="P704" s="475">
        <v>44617</v>
      </c>
      <c r="Q704" s="475">
        <v>44643</v>
      </c>
      <c r="R704" s="475">
        <v>44644</v>
      </c>
      <c r="S704" s="474" t="s">
        <v>2379</v>
      </c>
      <c r="T704" s="474">
        <v>60</v>
      </c>
      <c r="U704" s="474">
        <v>49405140</v>
      </c>
      <c r="V704" s="474" t="s">
        <v>973</v>
      </c>
      <c r="W704" s="474">
        <v>400</v>
      </c>
      <c r="X704" s="476">
        <v>608</v>
      </c>
      <c r="Y704" s="477">
        <f t="shared" si="162"/>
        <v>243200</v>
      </c>
      <c r="Z704" s="478">
        <f t="shared" si="160"/>
        <v>0.46500000000000002</v>
      </c>
      <c r="AA704" s="479">
        <f t="shared" si="163"/>
        <v>113088</v>
      </c>
      <c r="AB704" s="480"/>
      <c r="AC704" s="481">
        <v>0</v>
      </c>
      <c r="AD704" s="490"/>
      <c r="AE704" s="482">
        <v>9329.76</v>
      </c>
      <c r="AF704" s="493">
        <f t="shared" si="164"/>
        <v>122417.76</v>
      </c>
      <c r="AG704" s="474" t="s">
        <v>47</v>
      </c>
      <c r="AH704" s="474"/>
      <c r="AI704" s="483" t="s">
        <v>2374</v>
      </c>
      <c r="AJ704" s="474" t="s">
        <v>2384</v>
      </c>
      <c r="AK704" s="494" t="s">
        <v>1144</v>
      </c>
      <c r="AL704" s="474">
        <v>75061</v>
      </c>
      <c r="AM704" s="474" t="s">
        <v>52</v>
      </c>
      <c r="AN704" s="474" t="s">
        <v>1074</v>
      </c>
      <c r="AO704" s="474"/>
      <c r="AP704" s="486"/>
      <c r="AQ704" s="486" t="s">
        <v>37</v>
      </c>
      <c r="AR704" s="486"/>
      <c r="AS704" s="495"/>
      <c r="AT704" s="495"/>
      <c r="AU704" s="478"/>
      <c r="AV704" s="471">
        <f t="shared" si="165"/>
        <v>49405140</v>
      </c>
      <c r="AW704" s="471" cm="1">
        <f t="array" ref="AW704">SUM(MID(0&amp;AV704,LARGE(INDEX(ISNUMBER(--MID(AV704,ROW($1:$8),1))*ROW($1:$8),),ROW($1:$8))+1,1)*10^ROW($1:$8)/10)</f>
        <v>49405140</v>
      </c>
      <c r="AX704" s="471" t="str">
        <f>VLOOKUP($AW704,'Item Master Data'!$A:$F,3,FALSE)</f>
        <v>Q.PEAK DUO BLK ML G10+</v>
      </c>
      <c r="AY704" s="471">
        <f>VLOOKUP($AW704,'Item Master Data'!$A:$F,6,FALSE)</f>
        <v>400</v>
      </c>
      <c r="AZ704" s="471">
        <f t="shared" si="166"/>
        <v>19</v>
      </c>
      <c r="BA704" s="471">
        <f>VLOOKUP(AW704,'Item Master Data'!$A:$G,7,FALSE)</f>
        <v>32</v>
      </c>
      <c r="BB704" s="471"/>
      <c r="BC704" s="471">
        <f t="shared" si="167"/>
        <v>0</v>
      </c>
    </row>
    <row r="705" spans="1:55">
      <c r="A705" s="472">
        <v>10</v>
      </c>
      <c r="B705" s="514">
        <v>44616</v>
      </c>
      <c r="C705" s="514">
        <v>44616</v>
      </c>
      <c r="D705" s="485" t="s">
        <v>2322</v>
      </c>
      <c r="E705" s="474"/>
      <c r="F705" s="474"/>
      <c r="G705" s="474">
        <v>2022</v>
      </c>
      <c r="H705" s="474">
        <v>3</v>
      </c>
      <c r="I705" s="485">
        <v>127567</v>
      </c>
      <c r="J705" s="475">
        <v>44645</v>
      </c>
      <c r="K705" s="483" t="s">
        <v>2435</v>
      </c>
      <c r="L705" s="474" t="s">
        <v>2378</v>
      </c>
      <c r="M705" s="487">
        <v>44519</v>
      </c>
      <c r="N705" s="487">
        <v>44563</v>
      </c>
      <c r="O705" s="487"/>
      <c r="P705" s="475">
        <v>44617</v>
      </c>
      <c r="Q705" s="475">
        <v>44643</v>
      </c>
      <c r="R705" s="475">
        <v>44645</v>
      </c>
      <c r="S705" s="474" t="s">
        <v>2379</v>
      </c>
      <c r="T705" s="474">
        <v>60</v>
      </c>
      <c r="U705" s="474">
        <v>49405140</v>
      </c>
      <c r="V705" s="474" t="s">
        <v>973</v>
      </c>
      <c r="W705" s="474">
        <v>400</v>
      </c>
      <c r="X705" s="476">
        <v>320</v>
      </c>
      <c r="Y705" s="477">
        <f t="shared" si="162"/>
        <v>128000</v>
      </c>
      <c r="Z705" s="478">
        <f t="shared" si="160"/>
        <v>0.46500000000000002</v>
      </c>
      <c r="AA705" s="479">
        <f t="shared" si="163"/>
        <v>59520</v>
      </c>
      <c r="AB705" s="480"/>
      <c r="AC705" s="481">
        <v>0</v>
      </c>
      <c r="AD705" s="490"/>
      <c r="AE705" s="482">
        <v>4910.3999999999996</v>
      </c>
      <c r="AF705" s="493">
        <f t="shared" si="164"/>
        <v>64430.400000000001</v>
      </c>
      <c r="AG705" s="474" t="s">
        <v>47</v>
      </c>
      <c r="AH705" s="474"/>
      <c r="AI705" s="483" t="s">
        <v>2374</v>
      </c>
      <c r="AJ705" s="474" t="s">
        <v>1384</v>
      </c>
      <c r="AK705" s="494" t="s">
        <v>1144</v>
      </c>
      <c r="AL705" s="474">
        <v>77041</v>
      </c>
      <c r="AM705" s="474" t="s">
        <v>52</v>
      </c>
      <c r="AN705" s="474" t="s">
        <v>1074</v>
      </c>
      <c r="AO705" s="474"/>
      <c r="AP705" s="486"/>
      <c r="AQ705" s="486" t="s">
        <v>37</v>
      </c>
      <c r="AR705" s="486"/>
      <c r="AS705" s="495"/>
      <c r="AT705" s="495"/>
      <c r="AU705" s="478"/>
      <c r="AV705" s="471">
        <f t="shared" si="165"/>
        <v>49405140</v>
      </c>
      <c r="AW705" s="471" cm="1">
        <f t="array" ref="AW705">SUM(MID(0&amp;AV705,LARGE(INDEX(ISNUMBER(--MID(AV705,ROW($1:$8),1))*ROW($1:$8),),ROW($1:$8))+1,1)*10^ROW($1:$8)/10)</f>
        <v>49405140</v>
      </c>
      <c r="AX705" s="471" t="str">
        <f>VLOOKUP($AW705,'Item Master Data'!$A:$F,3,FALSE)</f>
        <v>Q.PEAK DUO BLK ML G10+</v>
      </c>
      <c r="AY705" s="471">
        <f>VLOOKUP($AW705,'Item Master Data'!$A:$F,6,FALSE)</f>
        <v>400</v>
      </c>
      <c r="AZ705" s="471">
        <f t="shared" si="166"/>
        <v>10</v>
      </c>
      <c r="BA705" s="471">
        <f>VLOOKUP(AW705,'Item Master Data'!$A:$G,7,FALSE)</f>
        <v>32</v>
      </c>
      <c r="BB705" s="471"/>
      <c r="BC705" s="471">
        <f t="shared" si="167"/>
        <v>0</v>
      </c>
    </row>
    <row r="706" spans="1:55">
      <c r="A706" s="436">
        <v>10</v>
      </c>
      <c r="B706" s="514">
        <v>44616</v>
      </c>
      <c r="C706" s="514">
        <v>44616</v>
      </c>
      <c r="D706" s="485" t="s">
        <v>2322</v>
      </c>
      <c r="E706" s="474"/>
      <c r="F706" s="474"/>
      <c r="G706" s="474">
        <v>2022</v>
      </c>
      <c r="H706" s="474">
        <v>3</v>
      </c>
      <c r="I706" s="485">
        <v>127251</v>
      </c>
      <c r="J706" s="475">
        <v>44631</v>
      </c>
      <c r="K706" s="483" t="s">
        <v>2436</v>
      </c>
      <c r="L706" s="474" t="s">
        <v>2378</v>
      </c>
      <c r="M706" s="487">
        <v>44519</v>
      </c>
      <c r="N706" s="487">
        <v>44563</v>
      </c>
      <c r="O706" s="487"/>
      <c r="P706" s="475">
        <v>44617</v>
      </c>
      <c r="Q706" s="475">
        <v>44630</v>
      </c>
      <c r="R706" s="475">
        <v>44631</v>
      </c>
      <c r="S706" s="474" t="s">
        <v>2379</v>
      </c>
      <c r="T706" s="474">
        <v>60</v>
      </c>
      <c r="U706" s="474">
        <v>49403140</v>
      </c>
      <c r="V706" s="474" t="s">
        <v>973</v>
      </c>
      <c r="W706" s="474">
        <v>400</v>
      </c>
      <c r="X706" s="476">
        <v>640</v>
      </c>
      <c r="Y706" s="477">
        <f t="shared" si="162"/>
        <v>256000</v>
      </c>
      <c r="Z706" s="478">
        <f t="shared" si="160"/>
        <v>0.46500000000000002</v>
      </c>
      <c r="AA706" s="479">
        <f t="shared" si="163"/>
        <v>119040</v>
      </c>
      <c r="AB706" s="480"/>
      <c r="AC706" s="481">
        <v>0</v>
      </c>
      <c r="AD706" s="490"/>
      <c r="AE706" s="482"/>
      <c r="AF706" s="493">
        <f t="shared" si="164"/>
        <v>119040</v>
      </c>
      <c r="AG706" s="474" t="s">
        <v>47</v>
      </c>
      <c r="AH706" s="474"/>
      <c r="AI706" s="483" t="s">
        <v>2374</v>
      </c>
      <c r="AJ706" s="474" t="s">
        <v>2437</v>
      </c>
      <c r="AK706" s="494" t="s">
        <v>1084</v>
      </c>
      <c r="AL706" s="474">
        <v>34741</v>
      </c>
      <c r="AM706" s="474" t="s">
        <v>52</v>
      </c>
      <c r="AN706" s="474" t="s">
        <v>1074</v>
      </c>
      <c r="AO706" s="474"/>
      <c r="AP706" s="486"/>
      <c r="AQ706" s="486" t="s">
        <v>37</v>
      </c>
      <c r="AR706" s="486"/>
      <c r="AS706" s="495"/>
      <c r="AT706" s="495"/>
      <c r="AU706" s="478"/>
      <c r="AV706" s="471">
        <f t="shared" si="165"/>
        <v>49403140</v>
      </c>
      <c r="AW706" s="471" cm="1">
        <f t="array" ref="AW706">SUM(MID(0&amp;AV706,LARGE(INDEX(ISNUMBER(--MID(AV706,ROW($1:$8),1))*ROW($1:$8),),ROW($1:$8))+1,1)*10^ROW($1:$8)/10)</f>
        <v>49403140</v>
      </c>
      <c r="AX706" s="471" t="str">
        <f>VLOOKUP($AW706,'Item Master Data'!$A:$F,3,FALSE)</f>
        <v>Q.PEAK DUO BLK ML G10+</v>
      </c>
      <c r="AY706" s="471">
        <f>VLOOKUP($AW706,'Item Master Data'!$A:$F,6,FALSE)</f>
        <v>400</v>
      </c>
      <c r="AZ706" s="471">
        <f t="shared" si="166"/>
        <v>20</v>
      </c>
      <c r="BA706" s="471">
        <f>VLOOKUP(AW706,'Item Master Data'!$A:$G,7,FALSE)</f>
        <v>32</v>
      </c>
      <c r="BB706" s="471"/>
      <c r="BC706" s="471">
        <f t="shared" si="167"/>
        <v>0</v>
      </c>
    </row>
    <row r="707" spans="1:55">
      <c r="A707" s="472"/>
      <c r="B707" s="514">
        <v>44616</v>
      </c>
      <c r="C707" s="514">
        <v>44616</v>
      </c>
      <c r="D707" s="485" t="s">
        <v>2322</v>
      </c>
      <c r="E707" s="474"/>
      <c r="F707" s="474"/>
      <c r="G707" s="474">
        <v>2022</v>
      </c>
      <c r="H707" s="474">
        <v>3</v>
      </c>
      <c r="I707" s="485">
        <v>127687</v>
      </c>
      <c r="J707" s="475">
        <v>44651</v>
      </c>
      <c r="K707" s="483" t="s">
        <v>2436</v>
      </c>
      <c r="L707" s="474" t="s">
        <v>2378</v>
      </c>
      <c r="M707" s="487">
        <v>44519</v>
      </c>
      <c r="N707" s="487">
        <v>44563</v>
      </c>
      <c r="O707" s="487"/>
      <c r="P707" s="475">
        <v>44617</v>
      </c>
      <c r="Q707" s="475">
        <v>44650</v>
      </c>
      <c r="R707" s="475">
        <v>44651</v>
      </c>
      <c r="S707" s="474" t="s">
        <v>2379</v>
      </c>
      <c r="T707" s="474">
        <v>60</v>
      </c>
      <c r="U707" s="474">
        <v>49405140</v>
      </c>
      <c r="V707" s="474" t="s">
        <v>973</v>
      </c>
      <c r="W707" s="474">
        <v>400</v>
      </c>
      <c r="X707" s="476">
        <v>608</v>
      </c>
      <c r="Y707" s="477">
        <f t="shared" si="162"/>
        <v>243200</v>
      </c>
      <c r="Z707" s="478">
        <f t="shared" si="160"/>
        <v>0.46500000000000002</v>
      </c>
      <c r="AA707" s="479">
        <f t="shared" si="163"/>
        <v>113088</v>
      </c>
      <c r="AB707" s="480"/>
      <c r="AC707" s="481">
        <v>0</v>
      </c>
      <c r="AD707" s="490"/>
      <c r="AE707" s="482"/>
      <c r="AF707" s="493">
        <f t="shared" si="164"/>
        <v>113088</v>
      </c>
      <c r="AG707" s="474" t="s">
        <v>47</v>
      </c>
      <c r="AH707" s="474"/>
      <c r="AI707" s="483" t="s">
        <v>2374</v>
      </c>
      <c r="AJ707" s="474" t="s">
        <v>2437</v>
      </c>
      <c r="AK707" s="494" t="s">
        <v>1084</v>
      </c>
      <c r="AL707" s="474">
        <v>34741</v>
      </c>
      <c r="AM707" s="474" t="s">
        <v>52</v>
      </c>
      <c r="AN707" s="474" t="s">
        <v>1074</v>
      </c>
      <c r="AO707" s="474"/>
      <c r="AP707" s="486"/>
      <c r="AQ707" s="486" t="s">
        <v>37</v>
      </c>
      <c r="AR707" s="486"/>
      <c r="AS707" s="495"/>
      <c r="AT707" s="495"/>
      <c r="AU707" s="478"/>
      <c r="AV707" s="471">
        <f t="shared" si="165"/>
        <v>49405140</v>
      </c>
      <c r="AW707" s="471" cm="1">
        <f t="array" ref="AW707">SUM(MID(0&amp;AV707,LARGE(INDEX(ISNUMBER(--MID(AV707,ROW($1:$8),1))*ROW($1:$8),),ROW($1:$8))+1,1)*10^ROW($1:$8)/10)</f>
        <v>49405140</v>
      </c>
      <c r="AX707" s="471" t="str">
        <f>VLOOKUP($AW707,'Item Master Data'!$A:$F,3,FALSE)</f>
        <v>Q.PEAK DUO BLK ML G10+</v>
      </c>
      <c r="AY707" s="471">
        <f>VLOOKUP($AW707,'Item Master Data'!$A:$F,6,FALSE)</f>
        <v>400</v>
      </c>
      <c r="AZ707" s="471">
        <f t="shared" si="166"/>
        <v>19</v>
      </c>
      <c r="BA707" s="471">
        <f>VLOOKUP(AW707,'Item Master Data'!$A:$G,7,FALSE)</f>
        <v>32</v>
      </c>
      <c r="BB707" s="471"/>
      <c r="BC707" s="471">
        <f t="shared" si="167"/>
        <v>0</v>
      </c>
    </row>
    <row r="708" spans="1:55">
      <c r="A708" s="472"/>
      <c r="B708" s="514"/>
      <c r="C708" s="514"/>
      <c r="D708" s="485" t="s">
        <v>2322</v>
      </c>
      <c r="E708" s="474"/>
      <c r="F708" s="474"/>
      <c r="G708" s="474">
        <v>2022</v>
      </c>
      <c r="H708" s="474">
        <v>3</v>
      </c>
      <c r="I708" s="485">
        <v>127321</v>
      </c>
      <c r="J708" s="475">
        <v>44635</v>
      </c>
      <c r="K708" s="483" t="s">
        <v>2438</v>
      </c>
      <c r="L708" s="474" t="s">
        <v>2439</v>
      </c>
      <c r="M708" s="487">
        <v>44462</v>
      </c>
      <c r="N708" s="487">
        <v>44539</v>
      </c>
      <c r="O708" s="487"/>
      <c r="P708" s="475">
        <v>44630</v>
      </c>
      <c r="Q708" s="475">
        <v>44635</v>
      </c>
      <c r="R708" s="475">
        <v>44637</v>
      </c>
      <c r="S708" s="474" t="s">
        <v>1563</v>
      </c>
      <c r="T708" s="474">
        <v>60</v>
      </c>
      <c r="U708" s="474" t="s">
        <v>2383</v>
      </c>
      <c r="V708" s="474" t="s">
        <v>973</v>
      </c>
      <c r="W708" s="474">
        <v>395</v>
      </c>
      <c r="X708" s="476">
        <v>832</v>
      </c>
      <c r="Y708" s="491">
        <f t="shared" si="162"/>
        <v>328640</v>
      </c>
      <c r="Z708" s="478">
        <f>221.2/395</f>
        <v>0.55999999999999994</v>
      </c>
      <c r="AA708" s="479">
        <f t="shared" si="163"/>
        <v>184038.39999999999</v>
      </c>
      <c r="AB708" s="480"/>
      <c r="AC708" s="481">
        <v>0</v>
      </c>
      <c r="AD708" s="490"/>
      <c r="AE708" s="482"/>
      <c r="AF708" s="493">
        <f t="shared" si="164"/>
        <v>184038.39999999999</v>
      </c>
      <c r="AG708" s="474" t="s">
        <v>1071</v>
      </c>
      <c r="AH708" s="474"/>
      <c r="AI708" s="483" t="s">
        <v>2440</v>
      </c>
      <c r="AJ708" s="474" t="s">
        <v>2426</v>
      </c>
      <c r="AK708" s="494" t="s">
        <v>1144</v>
      </c>
      <c r="AL708" s="474">
        <v>78218</v>
      </c>
      <c r="AM708" s="474" t="s">
        <v>52</v>
      </c>
      <c r="AN708" s="474" t="s">
        <v>50</v>
      </c>
      <c r="AO708" s="474"/>
      <c r="AP708" s="486" t="s">
        <v>38</v>
      </c>
      <c r="AQ708" s="486" t="s">
        <v>37</v>
      </c>
      <c r="AR708" s="486"/>
      <c r="AS708" s="495"/>
      <c r="AT708" s="495"/>
      <c r="AU708" s="478"/>
      <c r="AV708" s="471" t="str">
        <f t="shared" si="165"/>
        <v>30390455H</v>
      </c>
      <c r="AW708" s="471" cm="1">
        <f t="array" ref="AW708">SUM(MID(0&amp;AV708,LARGE(INDEX(ISNUMBER(--MID(AV708,ROW($1:$8),1))*ROW($1:$8),),ROW($1:$8))+1,1)*10^ROW($1:$8)/10)</f>
        <v>30390455</v>
      </c>
      <c r="AX708" s="471" t="str">
        <f>VLOOKUP($AW708,'Item Master Data'!$A:$F,3,FALSE)</f>
        <v>Q.PEAK DUO BLK ML G10+</v>
      </c>
      <c r="AY708" s="471">
        <f>VLOOKUP($AW708,'Item Master Data'!$A:$F,6,FALSE)</f>
        <v>395</v>
      </c>
      <c r="AZ708" s="471">
        <f t="shared" si="166"/>
        <v>26</v>
      </c>
      <c r="BA708" s="471">
        <f>VLOOKUP(AW708,'Item Master Data'!$A:$G,7,FALSE)</f>
        <v>32</v>
      </c>
      <c r="BB708" s="471"/>
      <c r="BC708" s="471">
        <f t="shared" si="167"/>
        <v>0</v>
      </c>
    </row>
    <row r="709" spans="1:55">
      <c r="A709" s="472"/>
      <c r="B709" s="514"/>
      <c r="C709" s="514"/>
      <c r="D709" s="485" t="s">
        <v>2322</v>
      </c>
      <c r="E709" s="474"/>
      <c r="F709" s="474"/>
      <c r="G709" s="474">
        <v>2022</v>
      </c>
      <c r="H709" s="474">
        <v>3</v>
      </c>
      <c r="I709" s="485">
        <v>127329</v>
      </c>
      <c r="J709" s="475">
        <v>44622</v>
      </c>
      <c r="K709" s="483" t="s">
        <v>2441</v>
      </c>
      <c r="L709" s="474" t="s">
        <v>2439</v>
      </c>
      <c r="M709" s="487">
        <v>44462</v>
      </c>
      <c r="N709" s="487">
        <v>44539</v>
      </c>
      <c r="O709" s="487"/>
      <c r="P709" s="475">
        <v>44602</v>
      </c>
      <c r="Q709" s="475">
        <v>44622</v>
      </c>
      <c r="R709" s="475">
        <v>44623</v>
      </c>
      <c r="S709" s="474" t="s">
        <v>1563</v>
      </c>
      <c r="T709" s="474">
        <v>60</v>
      </c>
      <c r="U709" s="474">
        <v>49403139</v>
      </c>
      <c r="V709" s="474" t="s">
        <v>973</v>
      </c>
      <c r="W709" s="474">
        <v>395</v>
      </c>
      <c r="X709" s="476">
        <v>832</v>
      </c>
      <c r="Y709" s="491">
        <f t="shared" si="162"/>
        <v>328640</v>
      </c>
      <c r="Z709" s="478">
        <f>201.45/395</f>
        <v>0.51</v>
      </c>
      <c r="AA709" s="479">
        <f t="shared" si="163"/>
        <v>167606.39999999999</v>
      </c>
      <c r="AB709" s="480"/>
      <c r="AC709" s="481">
        <v>0</v>
      </c>
      <c r="AD709" s="490"/>
      <c r="AE709" s="482"/>
      <c r="AF709" s="493">
        <f t="shared" si="164"/>
        <v>167606.39999999999</v>
      </c>
      <c r="AG709" s="474" t="s">
        <v>1071</v>
      </c>
      <c r="AH709" s="474"/>
      <c r="AI709" s="483" t="s">
        <v>2442</v>
      </c>
      <c r="AJ709" s="474" t="s">
        <v>1678</v>
      </c>
      <c r="AK709" s="494" t="s">
        <v>1085</v>
      </c>
      <c r="AL709" s="474">
        <v>8512</v>
      </c>
      <c r="AM709" s="474" t="s">
        <v>52</v>
      </c>
      <c r="AN709" s="474" t="s">
        <v>1074</v>
      </c>
      <c r="AO709" s="474"/>
      <c r="AP709" s="486"/>
      <c r="AQ709" s="486" t="s">
        <v>37</v>
      </c>
      <c r="AR709" s="486"/>
      <c r="AS709" s="495"/>
      <c r="AT709" s="495"/>
      <c r="AU709" s="478"/>
      <c r="AV709" s="471">
        <f t="shared" si="165"/>
        <v>49403139</v>
      </c>
      <c r="AW709" s="471" cm="1">
        <f t="array" ref="AW709">SUM(MID(0&amp;AV709,LARGE(INDEX(ISNUMBER(--MID(AV709,ROW($1:$8),1))*ROW($1:$8),),ROW($1:$8))+1,1)*10^ROW($1:$8)/10)</f>
        <v>49403139</v>
      </c>
      <c r="AX709" s="471" t="str">
        <f>VLOOKUP($AW709,'Item Master Data'!$A:$F,3,FALSE)</f>
        <v>Q.PEAK DUO BLK ML G10+</v>
      </c>
      <c r="AY709" s="471">
        <f>VLOOKUP($AW709,'Item Master Data'!$A:$F,6,FALSE)</f>
        <v>395</v>
      </c>
      <c r="AZ709" s="471">
        <f t="shared" si="166"/>
        <v>26</v>
      </c>
      <c r="BA709" s="471">
        <f>VLOOKUP(AW709,'Item Master Data'!$A:$G,7,FALSE)</f>
        <v>32</v>
      </c>
      <c r="BB709" s="471"/>
      <c r="BC709" s="471">
        <f t="shared" si="167"/>
        <v>0</v>
      </c>
    </row>
    <row r="710" spans="1:55">
      <c r="A710" s="472"/>
      <c r="B710" s="514"/>
      <c r="C710" s="514"/>
      <c r="D710" s="485" t="s">
        <v>2322</v>
      </c>
      <c r="E710" s="474"/>
      <c r="F710" s="474"/>
      <c r="G710" s="474">
        <v>2022</v>
      </c>
      <c r="H710" s="474">
        <v>3</v>
      </c>
      <c r="I710" s="485">
        <v>127328</v>
      </c>
      <c r="J710" s="475">
        <v>44621</v>
      </c>
      <c r="K710" s="483" t="s">
        <v>2443</v>
      </c>
      <c r="L710" s="474" t="s">
        <v>2439</v>
      </c>
      <c r="M710" s="487">
        <v>44463</v>
      </c>
      <c r="N710" s="487">
        <v>44573</v>
      </c>
      <c r="O710" s="487"/>
      <c r="P710" s="475">
        <v>44609</v>
      </c>
      <c r="Q710" s="475">
        <v>44621</v>
      </c>
      <c r="R710" s="475">
        <v>44622</v>
      </c>
      <c r="S710" s="474" t="s">
        <v>1563</v>
      </c>
      <c r="T710" s="474">
        <v>60</v>
      </c>
      <c r="U710" s="474">
        <v>49403139</v>
      </c>
      <c r="V710" s="474" t="s">
        <v>973</v>
      </c>
      <c r="W710" s="474">
        <v>395</v>
      </c>
      <c r="X710" s="476">
        <v>832</v>
      </c>
      <c r="Y710" s="491">
        <f t="shared" si="162"/>
        <v>328640</v>
      </c>
      <c r="Z710" s="478">
        <v>0.53</v>
      </c>
      <c r="AA710" s="479">
        <f t="shared" si="163"/>
        <v>174179.20000000001</v>
      </c>
      <c r="AB710" s="480"/>
      <c r="AC710" s="481">
        <v>0</v>
      </c>
      <c r="AD710" s="490"/>
      <c r="AE710" s="482"/>
      <c r="AF710" s="493">
        <f t="shared" si="164"/>
        <v>174179.20000000001</v>
      </c>
      <c r="AG710" s="474" t="s">
        <v>1071</v>
      </c>
      <c r="AH710" s="474" t="s">
        <v>2444</v>
      </c>
      <c r="AI710" s="483">
        <v>60</v>
      </c>
      <c r="AJ710" s="474" t="s">
        <v>1083</v>
      </c>
      <c r="AK710" s="494" t="s">
        <v>1084</v>
      </c>
      <c r="AL710" s="474">
        <v>32256</v>
      </c>
      <c r="AM710" s="474" t="s">
        <v>52</v>
      </c>
      <c r="AN710" s="474" t="s">
        <v>1074</v>
      </c>
      <c r="AO710" s="474"/>
      <c r="AP710" s="486"/>
      <c r="AQ710" s="486" t="s">
        <v>37</v>
      </c>
      <c r="AR710" s="486"/>
      <c r="AS710" s="495"/>
      <c r="AT710" s="495"/>
      <c r="AU710" s="478"/>
      <c r="AV710" s="471">
        <f t="shared" si="165"/>
        <v>49403139</v>
      </c>
      <c r="AW710" s="471" cm="1">
        <f t="array" ref="AW710">SUM(MID(0&amp;AV710,LARGE(INDEX(ISNUMBER(--MID(AV710,ROW($1:$8),1))*ROW($1:$8),),ROW($1:$8))+1,1)*10^ROW($1:$8)/10)</f>
        <v>49403139</v>
      </c>
      <c r="AX710" s="471" t="str">
        <f>VLOOKUP($AW710,'Item Master Data'!$A:$F,3,FALSE)</f>
        <v>Q.PEAK DUO BLK ML G10+</v>
      </c>
      <c r="AY710" s="471">
        <f>VLOOKUP($AW710,'Item Master Data'!$A:$F,6,FALSE)</f>
        <v>395</v>
      </c>
      <c r="AZ710" s="471">
        <f t="shared" si="166"/>
        <v>26</v>
      </c>
      <c r="BA710" s="471">
        <f>VLOOKUP(AW710,'Item Master Data'!$A:$G,7,FALSE)</f>
        <v>32</v>
      </c>
      <c r="BB710" s="471"/>
      <c r="BC710" s="471">
        <f t="shared" si="167"/>
        <v>0</v>
      </c>
    </row>
    <row r="711" spans="1:55">
      <c r="A711" s="472"/>
      <c r="B711" s="514"/>
      <c r="C711" s="514"/>
      <c r="D711" s="485" t="s">
        <v>2322</v>
      </c>
      <c r="E711" s="474" t="s">
        <v>2445</v>
      </c>
      <c r="F711" s="474"/>
      <c r="G711" s="474">
        <v>2022</v>
      </c>
      <c r="H711" s="474">
        <v>3</v>
      </c>
      <c r="I711" s="415">
        <v>127874</v>
      </c>
      <c r="J711" s="538">
        <v>44648</v>
      </c>
      <c r="K711" s="523" t="s">
        <v>2446</v>
      </c>
      <c r="L711" s="524" t="s">
        <v>2439</v>
      </c>
      <c r="M711" s="487">
        <v>44463</v>
      </c>
      <c r="N711" s="487">
        <v>44579</v>
      </c>
      <c r="O711" s="487"/>
      <c r="P711" s="475">
        <v>44630</v>
      </c>
      <c r="Q711" s="475">
        <v>44644</v>
      </c>
      <c r="R711" s="475">
        <v>44648</v>
      </c>
      <c r="S711" s="474" t="s">
        <v>1563</v>
      </c>
      <c r="T711" s="474">
        <v>60</v>
      </c>
      <c r="U711" s="474">
        <v>49403139</v>
      </c>
      <c r="V711" s="474" t="s">
        <v>973</v>
      </c>
      <c r="W711" s="474">
        <v>395</v>
      </c>
      <c r="X711" s="476">
        <v>832</v>
      </c>
      <c r="Y711" s="491">
        <f t="shared" si="162"/>
        <v>328640</v>
      </c>
      <c r="Z711" s="478">
        <f>221.2/395</f>
        <v>0.55999999999999994</v>
      </c>
      <c r="AA711" s="479">
        <f t="shared" si="163"/>
        <v>184038.39999999999</v>
      </c>
      <c r="AB711" s="480"/>
      <c r="AC711" s="481">
        <v>0</v>
      </c>
      <c r="AD711" s="490"/>
      <c r="AE711" s="482"/>
      <c r="AF711" s="493">
        <f t="shared" si="164"/>
        <v>184038.39999999999</v>
      </c>
      <c r="AG711" s="474" t="s">
        <v>47</v>
      </c>
      <c r="AH711" s="474" t="s">
        <v>2444</v>
      </c>
      <c r="AI711" s="483">
        <v>60</v>
      </c>
      <c r="AJ711" s="474" t="s">
        <v>2277</v>
      </c>
      <c r="AK711" s="494" t="s">
        <v>1084</v>
      </c>
      <c r="AL711" s="474">
        <v>32819</v>
      </c>
      <c r="AM711" s="474" t="s">
        <v>52</v>
      </c>
      <c r="AN711" s="474" t="s">
        <v>1106</v>
      </c>
      <c r="AO711" s="474"/>
      <c r="AP711" s="486"/>
      <c r="AQ711" s="486" t="s">
        <v>37</v>
      </c>
      <c r="AR711" s="486"/>
      <c r="AS711" s="495"/>
      <c r="AT711" s="495"/>
      <c r="AU711" s="478"/>
      <c r="AV711" s="471"/>
      <c r="AW711" s="471"/>
      <c r="AX711" s="471"/>
      <c r="AY711" s="471"/>
      <c r="AZ711" s="471"/>
      <c r="BA711" s="471"/>
      <c r="BB711" s="471"/>
      <c r="BC711" s="471"/>
    </row>
    <row r="712" spans="1:55">
      <c r="A712" s="472"/>
      <c r="B712" s="514"/>
      <c r="C712" s="514"/>
      <c r="D712" s="485" t="s">
        <v>2322</v>
      </c>
      <c r="E712" s="474"/>
      <c r="F712" s="474"/>
      <c r="G712" s="474">
        <v>2022</v>
      </c>
      <c r="H712" s="474">
        <v>5</v>
      </c>
      <c r="I712" s="485" t="s">
        <v>5418</v>
      </c>
      <c r="J712" s="475"/>
      <c r="K712" s="483" t="s">
        <v>2520</v>
      </c>
      <c r="L712" s="474" t="s">
        <v>2439</v>
      </c>
      <c r="M712" s="487">
        <v>44463</v>
      </c>
      <c r="N712" s="487">
        <v>44568</v>
      </c>
      <c r="O712" s="487"/>
      <c r="P712" s="475">
        <v>44672</v>
      </c>
      <c r="Q712" s="475"/>
      <c r="R712" s="475"/>
      <c r="S712" s="474" t="s">
        <v>1563</v>
      </c>
      <c r="T712" s="474">
        <v>60</v>
      </c>
      <c r="U712" s="474" t="s">
        <v>1718</v>
      </c>
      <c r="V712" s="474" t="s">
        <v>973</v>
      </c>
      <c r="W712" s="474">
        <v>395</v>
      </c>
      <c r="X712" s="476">
        <v>832</v>
      </c>
      <c r="Y712" s="491">
        <f t="shared" si="162"/>
        <v>328640</v>
      </c>
      <c r="Z712" s="478">
        <f>221.2/395</f>
        <v>0.55999999999999994</v>
      </c>
      <c r="AA712" s="479">
        <f t="shared" si="163"/>
        <v>184038.39999999999</v>
      </c>
      <c r="AB712" s="480"/>
      <c r="AC712" s="481">
        <v>0</v>
      </c>
      <c r="AD712" s="490"/>
      <c r="AE712" s="482"/>
      <c r="AF712" s="493">
        <f t="shared" si="164"/>
        <v>184038.39999999999</v>
      </c>
      <c r="AG712" s="474" t="s">
        <v>1071</v>
      </c>
      <c r="AH712" s="474" t="s">
        <v>2444</v>
      </c>
      <c r="AI712" s="483" t="s">
        <v>2440</v>
      </c>
      <c r="AJ712" s="474" t="s">
        <v>1083</v>
      </c>
      <c r="AK712" s="494" t="s">
        <v>1084</v>
      </c>
      <c r="AL712" s="474">
        <v>32256</v>
      </c>
      <c r="AM712" s="474" t="s">
        <v>52</v>
      </c>
      <c r="AN712" s="474" t="s">
        <v>50</v>
      </c>
      <c r="AO712" s="474"/>
      <c r="AP712" s="486"/>
      <c r="AQ712" s="486" t="s">
        <v>37</v>
      </c>
      <c r="AR712" s="486"/>
      <c r="AS712" s="495"/>
      <c r="AT712" s="495"/>
      <c r="AU712" s="478"/>
      <c r="AV712" s="471"/>
      <c r="AW712" s="471"/>
      <c r="AX712" s="471"/>
      <c r="AY712" s="471"/>
      <c r="AZ712" s="471"/>
      <c r="BA712" s="471"/>
      <c r="BB712" s="471"/>
      <c r="BC712" s="471"/>
    </row>
    <row r="713" spans="1:55">
      <c r="A713" s="472"/>
      <c r="B713" s="514"/>
      <c r="C713" s="514"/>
      <c r="D713" s="485" t="s">
        <v>2322</v>
      </c>
      <c r="E713" s="474"/>
      <c r="F713" s="474"/>
      <c r="G713" s="474">
        <v>2022</v>
      </c>
      <c r="H713" s="474">
        <v>4</v>
      </c>
      <c r="I713" s="485">
        <v>128058</v>
      </c>
      <c r="J713" s="475">
        <v>44662</v>
      </c>
      <c r="K713" s="483" t="s">
        <v>2521</v>
      </c>
      <c r="L713" s="474" t="s">
        <v>2439</v>
      </c>
      <c r="M713" s="487">
        <v>44463</v>
      </c>
      <c r="N713" s="487">
        <v>44599</v>
      </c>
      <c r="O713" s="487"/>
      <c r="P713" s="475">
        <v>44641</v>
      </c>
      <c r="Q713" s="475">
        <v>44652</v>
      </c>
      <c r="R713" s="475">
        <v>44662</v>
      </c>
      <c r="S713" s="474" t="s">
        <v>1563</v>
      </c>
      <c r="T713" s="474">
        <v>60</v>
      </c>
      <c r="U713" s="474" t="s">
        <v>1718</v>
      </c>
      <c r="V713" s="474" t="s">
        <v>973</v>
      </c>
      <c r="W713" s="474">
        <v>395</v>
      </c>
      <c r="X713" s="476">
        <v>832</v>
      </c>
      <c r="Y713" s="491">
        <f t="shared" si="162"/>
        <v>328640</v>
      </c>
      <c r="Z713" s="478">
        <v>0.56000000000000005</v>
      </c>
      <c r="AA713" s="479">
        <f t="shared" si="163"/>
        <v>184038.40000000002</v>
      </c>
      <c r="AB713" s="480"/>
      <c r="AC713" s="481">
        <v>0</v>
      </c>
      <c r="AD713" s="490"/>
      <c r="AE713" s="482"/>
      <c r="AF713" s="493">
        <f t="shared" si="164"/>
        <v>184038.40000000002</v>
      </c>
      <c r="AG713" s="474" t="s">
        <v>47</v>
      </c>
      <c r="AH713" s="474" t="s">
        <v>2444</v>
      </c>
      <c r="AI713" s="483">
        <v>60</v>
      </c>
      <c r="AJ713" s="474" t="s">
        <v>2522</v>
      </c>
      <c r="AK713" s="494" t="s">
        <v>1084</v>
      </c>
      <c r="AL713" s="474" t="s">
        <v>2448</v>
      </c>
      <c r="AM713" s="474" t="s">
        <v>52</v>
      </c>
      <c r="AN713" s="474" t="s">
        <v>50</v>
      </c>
      <c r="AO713" s="474"/>
      <c r="AP713" s="486" t="s">
        <v>92</v>
      </c>
      <c r="AQ713" s="486" t="s">
        <v>37</v>
      </c>
      <c r="AR713" s="486"/>
      <c r="AS713" s="495"/>
      <c r="AT713" s="495"/>
      <c r="AU713" s="478"/>
      <c r="AV713" s="471"/>
      <c r="AW713" s="471"/>
      <c r="AX713" s="471"/>
      <c r="AY713" s="471"/>
      <c r="AZ713" s="471"/>
      <c r="BA713" s="471"/>
      <c r="BB713" s="471"/>
      <c r="BC713" s="471"/>
    </row>
    <row r="714" spans="1:55">
      <c r="A714" s="472"/>
      <c r="B714" s="514"/>
      <c r="C714" s="514"/>
      <c r="D714" s="485" t="s">
        <v>2322</v>
      </c>
      <c r="E714" s="474"/>
      <c r="F714" s="474"/>
      <c r="G714" s="474">
        <v>2022</v>
      </c>
      <c r="H714" s="474">
        <v>4</v>
      </c>
      <c r="I714" s="485">
        <v>128059</v>
      </c>
      <c r="J714" s="475">
        <v>44656</v>
      </c>
      <c r="K714" s="483" t="s">
        <v>2523</v>
      </c>
      <c r="L714" s="474" t="s">
        <v>2439</v>
      </c>
      <c r="M714" s="487">
        <v>44463</v>
      </c>
      <c r="N714" s="487">
        <v>44599</v>
      </c>
      <c r="O714" s="487"/>
      <c r="P714" s="475">
        <v>44641</v>
      </c>
      <c r="Q714" s="475">
        <v>44651</v>
      </c>
      <c r="R714" s="475">
        <v>44656</v>
      </c>
      <c r="S714" s="474" t="s">
        <v>1563</v>
      </c>
      <c r="T714" s="474">
        <v>60</v>
      </c>
      <c r="U714" s="474" t="s">
        <v>1718</v>
      </c>
      <c r="V714" s="474" t="s">
        <v>973</v>
      </c>
      <c r="W714" s="474">
        <v>395</v>
      </c>
      <c r="X714" s="476">
        <v>832</v>
      </c>
      <c r="Y714" s="491">
        <f t="shared" si="162"/>
        <v>328640</v>
      </c>
      <c r="Z714" s="478">
        <v>0.56000000000000005</v>
      </c>
      <c r="AA714" s="479">
        <f t="shared" si="163"/>
        <v>184038.40000000002</v>
      </c>
      <c r="AB714" s="480"/>
      <c r="AC714" s="481">
        <v>0</v>
      </c>
      <c r="AD714" s="490"/>
      <c r="AE714" s="482"/>
      <c r="AF714" s="493">
        <f t="shared" si="164"/>
        <v>184038.40000000002</v>
      </c>
      <c r="AG714" s="474" t="s">
        <v>47</v>
      </c>
      <c r="AH714" s="474" t="s">
        <v>2444</v>
      </c>
      <c r="AI714" s="483">
        <v>60</v>
      </c>
      <c r="AJ714" s="474" t="s">
        <v>2421</v>
      </c>
      <c r="AK714" s="494" t="s">
        <v>1347</v>
      </c>
      <c r="AL714" s="474">
        <v>19067</v>
      </c>
      <c r="AM714" s="474" t="s">
        <v>52</v>
      </c>
      <c r="AN714" s="474" t="s">
        <v>50</v>
      </c>
      <c r="AO714" s="474"/>
      <c r="AP714" s="486" t="s">
        <v>92</v>
      </c>
      <c r="AQ714" s="486" t="s">
        <v>37</v>
      </c>
      <c r="AR714" s="486"/>
      <c r="AS714" s="495"/>
      <c r="AT714" s="495"/>
      <c r="AU714" s="478"/>
      <c r="AV714" s="471"/>
      <c r="AW714" s="471"/>
      <c r="AX714" s="471"/>
      <c r="AY714" s="471"/>
      <c r="AZ714" s="471"/>
      <c r="BA714" s="471"/>
      <c r="BB714" s="471"/>
      <c r="BC714" s="471"/>
    </row>
    <row r="715" spans="1:55">
      <c r="A715" s="472"/>
      <c r="B715" s="514"/>
      <c r="C715" s="514"/>
      <c r="D715" s="485" t="s">
        <v>2322</v>
      </c>
      <c r="E715" s="474"/>
      <c r="F715" s="474"/>
      <c r="G715" s="474">
        <v>2022</v>
      </c>
      <c r="H715" s="474">
        <v>3</v>
      </c>
      <c r="I715" s="485">
        <v>127705</v>
      </c>
      <c r="J715" s="475">
        <v>44645</v>
      </c>
      <c r="K715" s="483" t="s">
        <v>2447</v>
      </c>
      <c r="L715" s="474" t="s">
        <v>2439</v>
      </c>
      <c r="M715" s="487">
        <v>44463</v>
      </c>
      <c r="N715" s="487">
        <v>44578</v>
      </c>
      <c r="O715" s="487"/>
      <c r="P715" s="475">
        <v>44630</v>
      </c>
      <c r="Q715" s="475">
        <v>44644</v>
      </c>
      <c r="R715" s="475">
        <v>44645</v>
      </c>
      <c r="S715" s="474" t="s">
        <v>1563</v>
      </c>
      <c r="T715" s="474">
        <v>60</v>
      </c>
      <c r="U715" s="474">
        <v>49403139</v>
      </c>
      <c r="V715" s="474" t="s">
        <v>973</v>
      </c>
      <c r="W715" s="474">
        <v>395</v>
      </c>
      <c r="X715" s="476">
        <v>832</v>
      </c>
      <c r="Y715" s="491">
        <f t="shared" si="162"/>
        <v>328640</v>
      </c>
      <c r="Z715" s="478">
        <f t="shared" ref="Z715:Z737" si="168">221.2/395</f>
        <v>0.55999999999999994</v>
      </c>
      <c r="AA715" s="479">
        <f t="shared" si="163"/>
        <v>184038.39999999999</v>
      </c>
      <c r="AB715" s="480"/>
      <c r="AC715" s="481">
        <v>0</v>
      </c>
      <c r="AD715" s="490"/>
      <c r="AE715" s="482"/>
      <c r="AF715" s="493">
        <f t="shared" si="164"/>
        <v>184038.39999999999</v>
      </c>
      <c r="AG715" s="474" t="s">
        <v>47</v>
      </c>
      <c r="AH715" s="474" t="s">
        <v>2444</v>
      </c>
      <c r="AI715" s="483">
        <v>60</v>
      </c>
      <c r="AJ715" s="474" t="s">
        <v>2277</v>
      </c>
      <c r="AK715" s="494" t="s">
        <v>1084</v>
      </c>
      <c r="AL715" s="474" t="s">
        <v>2448</v>
      </c>
      <c r="AM715" s="474" t="s">
        <v>52</v>
      </c>
      <c r="AN715" s="474" t="s">
        <v>1106</v>
      </c>
      <c r="AO715" s="474"/>
      <c r="AP715" s="486"/>
      <c r="AQ715" s="486" t="s">
        <v>37</v>
      </c>
      <c r="AR715" s="486"/>
      <c r="AS715" s="495"/>
      <c r="AT715" s="495"/>
      <c r="AU715" s="478"/>
      <c r="AV715" s="471"/>
      <c r="AW715" s="471"/>
      <c r="AX715" s="471"/>
      <c r="AY715" s="471"/>
      <c r="AZ715" s="471"/>
      <c r="BA715" s="471"/>
      <c r="BB715" s="471"/>
      <c r="BC715" s="471"/>
    </row>
    <row r="716" spans="1:55">
      <c r="A716" s="472"/>
      <c r="B716" s="514"/>
      <c r="C716" s="514"/>
      <c r="D716" s="485" t="s">
        <v>2322</v>
      </c>
      <c r="E716" s="474"/>
      <c r="F716" s="474"/>
      <c r="G716" s="474">
        <v>2022</v>
      </c>
      <c r="H716" s="474">
        <v>4</v>
      </c>
      <c r="I716" s="485">
        <v>128162</v>
      </c>
      <c r="J716" s="475">
        <v>44672</v>
      </c>
      <c r="K716" s="483" t="s">
        <v>2524</v>
      </c>
      <c r="L716" s="474" t="s">
        <v>2439</v>
      </c>
      <c r="M716" s="487">
        <v>44463</v>
      </c>
      <c r="N716" s="487">
        <v>44655</v>
      </c>
      <c r="O716" s="487"/>
      <c r="P716" s="475">
        <v>44664</v>
      </c>
      <c r="Q716" s="475">
        <v>44670</v>
      </c>
      <c r="R716" s="475">
        <v>44672</v>
      </c>
      <c r="S716" s="474" t="s">
        <v>1563</v>
      </c>
      <c r="T716" s="474">
        <v>60</v>
      </c>
      <c r="U716" s="474" t="s">
        <v>1718</v>
      </c>
      <c r="V716" s="474" t="s">
        <v>2525</v>
      </c>
      <c r="W716" s="474">
        <v>395</v>
      </c>
      <c r="X716" s="476">
        <v>832</v>
      </c>
      <c r="Y716" s="477">
        <f t="shared" si="162"/>
        <v>328640</v>
      </c>
      <c r="Z716" s="478">
        <f t="shared" si="168"/>
        <v>0.55999999999999994</v>
      </c>
      <c r="AA716" s="479">
        <f t="shared" si="163"/>
        <v>184038.39999999999</v>
      </c>
      <c r="AB716" s="480"/>
      <c r="AC716" s="481">
        <v>0</v>
      </c>
      <c r="AD716" s="490"/>
      <c r="AE716" s="482"/>
      <c r="AF716" s="493">
        <f t="shared" si="164"/>
        <v>184038.39999999999</v>
      </c>
      <c r="AG716" s="474" t="s">
        <v>47</v>
      </c>
      <c r="AH716" s="474" t="s">
        <v>2444</v>
      </c>
      <c r="AI716" s="483">
        <v>60</v>
      </c>
      <c r="AJ716" s="474" t="s">
        <v>1790</v>
      </c>
      <c r="AK716" s="494" t="s">
        <v>50</v>
      </c>
      <c r="AL716" s="474" t="s">
        <v>2452</v>
      </c>
      <c r="AM716" s="474" t="s">
        <v>52</v>
      </c>
      <c r="AN716" s="474" t="s">
        <v>50</v>
      </c>
      <c r="AO716" s="474"/>
      <c r="AP716" s="486" t="s">
        <v>92</v>
      </c>
      <c r="AQ716" s="486" t="s">
        <v>37</v>
      </c>
      <c r="AR716" s="486"/>
      <c r="AS716" s="495"/>
      <c r="AT716" s="495"/>
      <c r="AU716" s="478"/>
      <c r="AV716" s="471"/>
      <c r="AW716" s="471"/>
      <c r="AX716" s="471"/>
      <c r="AY716" s="471"/>
      <c r="AZ716" s="471"/>
      <c r="BA716" s="471"/>
      <c r="BB716" s="471"/>
      <c r="BC716" s="471"/>
    </row>
    <row r="717" spans="1:55">
      <c r="A717" s="472"/>
      <c r="B717" s="514"/>
      <c r="C717" s="514"/>
      <c r="D717" s="485" t="s">
        <v>2322</v>
      </c>
      <c r="E717" s="474"/>
      <c r="F717" s="474"/>
      <c r="G717" s="474">
        <v>2022</v>
      </c>
      <c r="H717" s="474">
        <v>4</v>
      </c>
      <c r="I717" s="485">
        <v>128163</v>
      </c>
      <c r="J717" s="475">
        <v>44672</v>
      </c>
      <c r="K717" s="483" t="s">
        <v>2526</v>
      </c>
      <c r="L717" s="474" t="s">
        <v>2439</v>
      </c>
      <c r="M717" s="487">
        <v>44463</v>
      </c>
      <c r="N717" s="487">
        <v>44673</v>
      </c>
      <c r="O717" s="487"/>
      <c r="P717" s="475">
        <v>44664</v>
      </c>
      <c r="Q717" s="475">
        <v>44670</v>
      </c>
      <c r="R717" s="475">
        <v>44672</v>
      </c>
      <c r="S717" s="474" t="s">
        <v>1563</v>
      </c>
      <c r="T717" s="474">
        <v>60</v>
      </c>
      <c r="U717" s="474" t="s">
        <v>1718</v>
      </c>
      <c r="V717" s="474" t="s">
        <v>2525</v>
      </c>
      <c r="W717" s="474">
        <v>395</v>
      </c>
      <c r="X717" s="476">
        <v>832</v>
      </c>
      <c r="Y717" s="477">
        <f t="shared" si="162"/>
        <v>328640</v>
      </c>
      <c r="Z717" s="478">
        <f t="shared" si="168"/>
        <v>0.55999999999999994</v>
      </c>
      <c r="AA717" s="479">
        <f t="shared" si="163"/>
        <v>184038.39999999999</v>
      </c>
      <c r="AB717" s="480"/>
      <c r="AC717" s="481">
        <v>0</v>
      </c>
      <c r="AD717" s="490"/>
      <c r="AE717" s="482"/>
      <c r="AF717" s="493">
        <f t="shared" si="164"/>
        <v>184038.39999999999</v>
      </c>
      <c r="AG717" s="474" t="s">
        <v>47</v>
      </c>
      <c r="AH717" s="474" t="s">
        <v>2444</v>
      </c>
      <c r="AI717" s="483">
        <v>60</v>
      </c>
      <c r="AJ717" s="474" t="s">
        <v>1790</v>
      </c>
      <c r="AK717" s="494" t="s">
        <v>50</v>
      </c>
      <c r="AL717" s="474" t="s">
        <v>2452</v>
      </c>
      <c r="AM717" s="474" t="s">
        <v>52</v>
      </c>
      <c r="AN717" s="474" t="s">
        <v>50</v>
      </c>
      <c r="AO717" s="474"/>
      <c r="AP717" s="486" t="s">
        <v>92</v>
      </c>
      <c r="AQ717" s="486" t="s">
        <v>37</v>
      </c>
      <c r="AR717" s="486"/>
      <c r="AS717" s="495"/>
      <c r="AT717" s="495"/>
      <c r="AU717" s="478"/>
      <c r="AV717" s="471"/>
      <c r="AW717" s="471"/>
      <c r="AX717" s="471"/>
      <c r="AY717" s="471"/>
      <c r="AZ717" s="471"/>
      <c r="BA717" s="471"/>
      <c r="BB717" s="471"/>
      <c r="BC717" s="471"/>
    </row>
    <row r="718" spans="1:55">
      <c r="A718" s="472"/>
      <c r="B718" s="514"/>
      <c r="C718" s="514"/>
      <c r="D718" s="485" t="s">
        <v>2322</v>
      </c>
      <c r="E718" s="474"/>
      <c r="F718" s="474"/>
      <c r="G718" s="474">
        <v>2022</v>
      </c>
      <c r="H718" s="474">
        <v>3</v>
      </c>
      <c r="I718" s="485">
        <v>127597</v>
      </c>
      <c r="J718" s="475">
        <v>44645</v>
      </c>
      <c r="K718" s="483" t="s">
        <v>2449</v>
      </c>
      <c r="L718" s="474" t="s">
        <v>2439</v>
      </c>
      <c r="M718" s="487">
        <v>44463</v>
      </c>
      <c r="N718" s="487">
        <v>44606</v>
      </c>
      <c r="O718" s="487"/>
      <c r="P718" s="475">
        <v>44630</v>
      </c>
      <c r="Q718" s="475">
        <v>44644</v>
      </c>
      <c r="R718" s="475">
        <v>44645</v>
      </c>
      <c r="S718" s="474" t="s">
        <v>1563</v>
      </c>
      <c r="T718" s="474">
        <v>60</v>
      </c>
      <c r="U718" s="474" t="s">
        <v>2383</v>
      </c>
      <c r="V718" s="474" t="s">
        <v>973</v>
      </c>
      <c r="W718" s="474">
        <v>395</v>
      </c>
      <c r="X718" s="476">
        <v>832</v>
      </c>
      <c r="Y718" s="491">
        <f t="shared" si="162"/>
        <v>328640</v>
      </c>
      <c r="Z718" s="478">
        <f t="shared" si="168"/>
        <v>0.55999999999999994</v>
      </c>
      <c r="AA718" s="479">
        <f t="shared" si="163"/>
        <v>184038.39999999999</v>
      </c>
      <c r="AB718" s="480"/>
      <c r="AC718" s="481">
        <v>0</v>
      </c>
      <c r="AD718" s="490"/>
      <c r="AE718" s="482"/>
      <c r="AF718" s="493">
        <f t="shared" si="164"/>
        <v>184038.39999999999</v>
      </c>
      <c r="AG718" s="474" t="s">
        <v>47</v>
      </c>
      <c r="AH718" s="474" t="s">
        <v>2444</v>
      </c>
      <c r="AI718" s="483">
        <v>60</v>
      </c>
      <c r="AJ718" s="474" t="s">
        <v>2450</v>
      </c>
      <c r="AK718" s="494" t="s">
        <v>50</v>
      </c>
      <c r="AL718" s="474">
        <v>92337</v>
      </c>
      <c r="AM718" s="474" t="s">
        <v>52</v>
      </c>
      <c r="AN718" s="474" t="s">
        <v>50</v>
      </c>
      <c r="AO718" s="474"/>
      <c r="AP718" s="486" t="s">
        <v>38</v>
      </c>
      <c r="AQ718" s="486" t="s">
        <v>37</v>
      </c>
      <c r="AR718" s="486"/>
      <c r="AS718" s="495"/>
      <c r="AT718" s="495"/>
      <c r="AU718" s="478"/>
      <c r="AV718" s="471"/>
      <c r="AW718" s="471"/>
      <c r="AX718" s="471"/>
      <c r="AY718" s="471"/>
      <c r="AZ718" s="471"/>
      <c r="BA718" s="471"/>
      <c r="BB718" s="471"/>
      <c r="BC718" s="471"/>
    </row>
    <row r="719" spans="1:55">
      <c r="A719" s="472"/>
      <c r="B719" s="514"/>
      <c r="C719" s="514"/>
      <c r="D719" s="485" t="s">
        <v>2322</v>
      </c>
      <c r="E719" s="474"/>
      <c r="F719" s="474"/>
      <c r="G719" s="474">
        <v>2022</v>
      </c>
      <c r="H719" s="474">
        <v>3</v>
      </c>
      <c r="I719" s="485">
        <v>127337</v>
      </c>
      <c r="J719" s="475">
        <v>44638</v>
      </c>
      <c r="K719" s="483" t="s">
        <v>2451</v>
      </c>
      <c r="L719" s="474" t="s">
        <v>2439</v>
      </c>
      <c r="M719" s="487">
        <v>44463</v>
      </c>
      <c r="N719" s="487">
        <v>44614</v>
      </c>
      <c r="O719" s="487"/>
      <c r="P719" s="475">
        <v>44630</v>
      </c>
      <c r="Q719" s="475">
        <v>44637</v>
      </c>
      <c r="R719" s="475">
        <v>44638</v>
      </c>
      <c r="S719" s="474" t="s">
        <v>1563</v>
      </c>
      <c r="T719" s="474">
        <v>60</v>
      </c>
      <c r="U719" s="474" t="s">
        <v>2383</v>
      </c>
      <c r="V719" s="474" t="s">
        <v>973</v>
      </c>
      <c r="W719" s="474">
        <v>395</v>
      </c>
      <c r="X719" s="476">
        <v>832</v>
      </c>
      <c r="Y719" s="491">
        <f t="shared" si="162"/>
        <v>328640</v>
      </c>
      <c r="Z719" s="478">
        <f t="shared" si="168"/>
        <v>0.55999999999999994</v>
      </c>
      <c r="AA719" s="479">
        <f t="shared" si="163"/>
        <v>184038.39999999999</v>
      </c>
      <c r="AB719" s="480"/>
      <c r="AC719" s="481">
        <v>0</v>
      </c>
      <c r="AD719" s="490"/>
      <c r="AE719" s="482"/>
      <c r="AF719" s="493">
        <f t="shared" si="164"/>
        <v>184038.39999999999</v>
      </c>
      <c r="AG719" s="474" t="s">
        <v>47</v>
      </c>
      <c r="AH719" s="474" t="s">
        <v>2444</v>
      </c>
      <c r="AI719" s="483">
        <v>60</v>
      </c>
      <c r="AJ719" s="474" t="s">
        <v>1790</v>
      </c>
      <c r="AK719" s="494" t="s">
        <v>50</v>
      </c>
      <c r="AL719" s="474" t="s">
        <v>2452</v>
      </c>
      <c r="AM719" s="474" t="s">
        <v>52</v>
      </c>
      <c r="AN719" s="474" t="s">
        <v>50</v>
      </c>
      <c r="AO719" s="474"/>
      <c r="AP719" s="486" t="s">
        <v>38</v>
      </c>
      <c r="AQ719" s="486" t="s">
        <v>37</v>
      </c>
      <c r="AR719" s="486"/>
      <c r="AS719" s="495"/>
      <c r="AT719" s="495"/>
      <c r="AU719" s="478"/>
      <c r="AV719" s="471"/>
      <c r="AW719" s="471"/>
      <c r="AX719" s="471"/>
      <c r="AY719" s="471"/>
      <c r="AZ719" s="471"/>
      <c r="BA719" s="471"/>
      <c r="BB719" s="471"/>
      <c r="BC719" s="471"/>
    </row>
    <row r="720" spans="1:55">
      <c r="A720" s="472"/>
      <c r="B720" s="514"/>
      <c r="C720" s="514"/>
      <c r="D720" s="485" t="s">
        <v>2322</v>
      </c>
      <c r="E720" s="474"/>
      <c r="F720" s="474"/>
      <c r="G720" s="474">
        <v>2022</v>
      </c>
      <c r="H720" s="474">
        <v>3</v>
      </c>
      <c r="I720" s="485">
        <v>127646</v>
      </c>
      <c r="J720" s="475">
        <v>44648</v>
      </c>
      <c r="K720" s="483" t="s">
        <v>2453</v>
      </c>
      <c r="L720" s="474" t="s">
        <v>2439</v>
      </c>
      <c r="M720" s="487">
        <v>44463</v>
      </c>
      <c r="N720" s="487">
        <v>44599</v>
      </c>
      <c r="O720" s="487"/>
      <c r="P720" s="475">
        <v>44630</v>
      </c>
      <c r="Q720" s="475">
        <v>44644</v>
      </c>
      <c r="R720" s="475">
        <v>44648</v>
      </c>
      <c r="S720" s="474" t="s">
        <v>1563</v>
      </c>
      <c r="T720" s="474">
        <v>60</v>
      </c>
      <c r="U720" s="474" t="s">
        <v>2383</v>
      </c>
      <c r="V720" s="474" t="s">
        <v>973</v>
      </c>
      <c r="W720" s="474">
        <v>395</v>
      </c>
      <c r="X720" s="476">
        <v>832</v>
      </c>
      <c r="Y720" s="491">
        <f t="shared" si="162"/>
        <v>328640</v>
      </c>
      <c r="Z720" s="478">
        <f t="shared" si="168"/>
        <v>0.55999999999999994</v>
      </c>
      <c r="AA720" s="479">
        <f t="shared" si="163"/>
        <v>184038.39999999999</v>
      </c>
      <c r="AB720" s="480"/>
      <c r="AC720" s="481">
        <v>0</v>
      </c>
      <c r="AD720" s="490"/>
      <c r="AE720" s="482"/>
      <c r="AF720" s="493">
        <f t="shared" si="164"/>
        <v>184038.39999999999</v>
      </c>
      <c r="AG720" s="474" t="s">
        <v>47</v>
      </c>
      <c r="AH720" s="474" t="s">
        <v>2444</v>
      </c>
      <c r="AI720" s="483">
        <v>60</v>
      </c>
      <c r="AJ720" s="474" t="s">
        <v>2426</v>
      </c>
      <c r="AK720" s="494" t="s">
        <v>1144</v>
      </c>
      <c r="AL720" s="474">
        <v>78218</v>
      </c>
      <c r="AM720" s="474" t="s">
        <v>52</v>
      </c>
      <c r="AN720" s="474" t="s">
        <v>50</v>
      </c>
      <c r="AO720" s="474"/>
      <c r="AP720" s="486" t="s">
        <v>38</v>
      </c>
      <c r="AQ720" s="486" t="s">
        <v>37</v>
      </c>
      <c r="AR720" s="486"/>
      <c r="AS720" s="495"/>
      <c r="AT720" s="495"/>
      <c r="AU720" s="478"/>
      <c r="AV720" s="471"/>
      <c r="AW720" s="471"/>
      <c r="AX720" s="471"/>
      <c r="AY720" s="471"/>
      <c r="AZ720" s="471"/>
      <c r="BA720" s="471"/>
      <c r="BB720" s="471"/>
      <c r="BC720" s="471"/>
    </row>
    <row r="721" spans="1:55">
      <c r="A721" s="472"/>
      <c r="B721" s="514"/>
      <c r="C721" s="514"/>
      <c r="D721" s="485" t="s">
        <v>2322</v>
      </c>
      <c r="E721" s="474"/>
      <c r="F721" s="474"/>
      <c r="G721" s="474">
        <v>2022</v>
      </c>
      <c r="H721" s="474">
        <v>4</v>
      </c>
      <c r="I721" s="485">
        <v>128171</v>
      </c>
      <c r="J721" s="475">
        <v>44672</v>
      </c>
      <c r="K721" s="483" t="s">
        <v>2536</v>
      </c>
      <c r="L721" s="474" t="s">
        <v>2439</v>
      </c>
      <c r="M721" s="487">
        <v>44463</v>
      </c>
      <c r="N721" s="487">
        <v>44659</v>
      </c>
      <c r="O721" s="487"/>
      <c r="P721" s="475">
        <v>44664</v>
      </c>
      <c r="Q721" s="475">
        <v>44672</v>
      </c>
      <c r="R721" s="475">
        <v>44672</v>
      </c>
      <c r="S721" s="474" t="s">
        <v>1563</v>
      </c>
      <c r="T721" s="474">
        <v>60</v>
      </c>
      <c r="U721" s="474" t="s">
        <v>2383</v>
      </c>
      <c r="V721" s="474" t="s">
        <v>2525</v>
      </c>
      <c r="W721" s="474">
        <v>395</v>
      </c>
      <c r="X721" s="476">
        <v>832</v>
      </c>
      <c r="Y721" s="477">
        <f t="shared" si="162"/>
        <v>328640</v>
      </c>
      <c r="Z721" s="478">
        <f t="shared" si="168"/>
        <v>0.55999999999999994</v>
      </c>
      <c r="AA721" s="479">
        <f t="shared" si="163"/>
        <v>184038.39999999999</v>
      </c>
      <c r="AB721" s="480"/>
      <c r="AC721" s="481">
        <v>0</v>
      </c>
      <c r="AD721" s="490"/>
      <c r="AE721" s="482"/>
      <c r="AF721" s="493">
        <f t="shared" si="164"/>
        <v>184038.39999999999</v>
      </c>
      <c r="AG721" s="474" t="s">
        <v>47</v>
      </c>
      <c r="AH721" s="474" t="s">
        <v>2444</v>
      </c>
      <c r="AI721" s="483">
        <v>60</v>
      </c>
      <c r="AJ721" s="474" t="s">
        <v>2450</v>
      </c>
      <c r="AK721" s="494" t="s">
        <v>50</v>
      </c>
      <c r="AL721" s="474" t="s">
        <v>2537</v>
      </c>
      <c r="AM721" s="474" t="s">
        <v>52</v>
      </c>
      <c r="AN721" s="474" t="s">
        <v>2538</v>
      </c>
      <c r="AO721" s="474"/>
      <c r="AP721" s="486" t="s">
        <v>92</v>
      </c>
      <c r="AQ721" s="486" t="s">
        <v>37</v>
      </c>
      <c r="AR721" s="486"/>
      <c r="AS721" s="495"/>
      <c r="AT721" s="495"/>
      <c r="AU721" s="478"/>
      <c r="AV721" s="471"/>
      <c r="AW721" s="471"/>
      <c r="AX721" s="471"/>
      <c r="AY721" s="471"/>
      <c r="AZ721" s="471"/>
      <c r="BA721" s="471"/>
      <c r="BB721" s="471"/>
      <c r="BC721" s="471"/>
    </row>
    <row r="722" spans="1:55">
      <c r="A722" s="472"/>
      <c r="B722" s="514"/>
      <c r="C722" s="514"/>
      <c r="D722" s="485" t="s">
        <v>2322</v>
      </c>
      <c r="E722" s="474" t="s">
        <v>5568</v>
      </c>
      <c r="F722" s="474"/>
      <c r="G722" s="474">
        <v>2022</v>
      </c>
      <c r="H722" s="474">
        <v>4</v>
      </c>
      <c r="I722" s="485" t="s">
        <v>2316</v>
      </c>
      <c r="J722" s="475">
        <v>44673</v>
      </c>
      <c r="K722" s="483" t="s">
        <v>2539</v>
      </c>
      <c r="L722" s="474" t="s">
        <v>2439</v>
      </c>
      <c r="M722" s="487">
        <v>44463</v>
      </c>
      <c r="N722" s="487">
        <v>44669</v>
      </c>
      <c r="O722" s="487"/>
      <c r="P722" s="475">
        <v>44664</v>
      </c>
      <c r="Q722" s="475">
        <v>44672</v>
      </c>
      <c r="R722" s="475">
        <v>44673</v>
      </c>
      <c r="S722" s="474" t="s">
        <v>1563</v>
      </c>
      <c r="T722" s="474">
        <v>60</v>
      </c>
      <c r="U722" s="474" t="s">
        <v>2383</v>
      </c>
      <c r="V722" s="474" t="s">
        <v>2525</v>
      </c>
      <c r="W722" s="474">
        <v>395</v>
      </c>
      <c r="X722" s="476">
        <v>832</v>
      </c>
      <c r="Y722" s="477">
        <f t="shared" si="162"/>
        <v>328640</v>
      </c>
      <c r="Z722" s="478">
        <f t="shared" si="168"/>
        <v>0.55999999999999994</v>
      </c>
      <c r="AA722" s="479">
        <f t="shared" si="163"/>
        <v>184038.39999999999</v>
      </c>
      <c r="AB722" s="480"/>
      <c r="AC722" s="481">
        <v>0</v>
      </c>
      <c r="AD722" s="490"/>
      <c r="AE722" s="482"/>
      <c r="AF722" s="493">
        <f t="shared" si="164"/>
        <v>184038.39999999999</v>
      </c>
      <c r="AG722" s="474" t="s">
        <v>47</v>
      </c>
      <c r="AH722" s="474" t="s">
        <v>2444</v>
      </c>
      <c r="AI722" s="483">
        <v>60</v>
      </c>
      <c r="AJ722" s="474" t="s">
        <v>2450</v>
      </c>
      <c r="AK722" s="494" t="s">
        <v>50</v>
      </c>
      <c r="AL722" s="474" t="s">
        <v>2537</v>
      </c>
      <c r="AM722" s="474" t="s">
        <v>52</v>
      </c>
      <c r="AN722" s="474" t="s">
        <v>50</v>
      </c>
      <c r="AO722" s="474"/>
      <c r="AP722" s="486" t="s">
        <v>92</v>
      </c>
      <c r="AQ722" s="486" t="s">
        <v>37</v>
      </c>
      <c r="AR722" s="486"/>
      <c r="AS722" s="495"/>
      <c r="AT722" s="495"/>
      <c r="AU722" s="478"/>
      <c r="AV722" s="471"/>
      <c r="AW722" s="471"/>
      <c r="AX722" s="471"/>
      <c r="AY722" s="471"/>
      <c r="AZ722" s="471"/>
      <c r="BA722" s="471"/>
      <c r="BB722" s="471"/>
      <c r="BC722" s="471"/>
    </row>
    <row r="723" spans="1:55">
      <c r="A723" s="472"/>
      <c r="B723" s="514"/>
      <c r="C723" s="514"/>
      <c r="D723" s="485" t="s">
        <v>2322</v>
      </c>
      <c r="E723" s="474"/>
      <c r="F723" s="474"/>
      <c r="G723" s="474">
        <v>2022</v>
      </c>
      <c r="H723" s="474">
        <v>4</v>
      </c>
      <c r="I723" s="485">
        <v>128242</v>
      </c>
      <c r="J723" s="475">
        <v>44671</v>
      </c>
      <c r="K723" s="483" t="s">
        <v>2540</v>
      </c>
      <c r="L723" s="474" t="s">
        <v>2439</v>
      </c>
      <c r="M723" s="487">
        <v>44463</v>
      </c>
      <c r="N723" s="487">
        <v>44664</v>
      </c>
      <c r="O723" s="487"/>
      <c r="P723" s="475">
        <v>44664</v>
      </c>
      <c r="Q723" s="475">
        <v>44669</v>
      </c>
      <c r="R723" s="475">
        <v>44671</v>
      </c>
      <c r="S723" s="474" t="s">
        <v>1563</v>
      </c>
      <c r="T723" s="474">
        <v>60</v>
      </c>
      <c r="U723" s="474" t="s">
        <v>1718</v>
      </c>
      <c r="V723" s="474" t="s">
        <v>2525</v>
      </c>
      <c r="W723" s="474">
        <v>395</v>
      </c>
      <c r="X723" s="476">
        <v>832</v>
      </c>
      <c r="Y723" s="477">
        <f t="shared" si="162"/>
        <v>328640</v>
      </c>
      <c r="Z723" s="478">
        <f t="shared" si="168"/>
        <v>0.55999999999999994</v>
      </c>
      <c r="AA723" s="479">
        <f t="shared" si="163"/>
        <v>184038.39999999999</v>
      </c>
      <c r="AB723" s="480"/>
      <c r="AC723" s="481">
        <v>0</v>
      </c>
      <c r="AD723" s="490"/>
      <c r="AE723" s="482"/>
      <c r="AF723" s="493">
        <f t="shared" si="164"/>
        <v>184038.39999999999</v>
      </c>
      <c r="AG723" s="474" t="s">
        <v>47</v>
      </c>
      <c r="AH723" s="474" t="s">
        <v>2444</v>
      </c>
      <c r="AI723" s="483">
        <v>60</v>
      </c>
      <c r="AJ723" s="474" t="s">
        <v>2426</v>
      </c>
      <c r="AK723" s="494" t="s">
        <v>1144</v>
      </c>
      <c r="AL723" s="474" t="s">
        <v>2541</v>
      </c>
      <c r="AM723" s="474" t="s">
        <v>52</v>
      </c>
      <c r="AN723" s="474" t="s">
        <v>50</v>
      </c>
      <c r="AO723" s="474"/>
      <c r="AP723" s="486" t="s">
        <v>92</v>
      </c>
      <c r="AQ723" s="486" t="s">
        <v>37</v>
      </c>
      <c r="AR723" s="486"/>
      <c r="AS723" s="495"/>
      <c r="AT723" s="495"/>
      <c r="AU723" s="478"/>
      <c r="AV723" s="471"/>
      <c r="AW723" s="471"/>
      <c r="AX723" s="471"/>
      <c r="AY723" s="471"/>
      <c r="AZ723" s="471"/>
      <c r="BA723" s="471"/>
      <c r="BB723" s="471"/>
      <c r="BC723" s="471"/>
    </row>
    <row r="724" spans="1:55">
      <c r="A724" s="472"/>
      <c r="B724" s="514"/>
      <c r="C724" s="514"/>
      <c r="D724" s="485" t="s">
        <v>2322</v>
      </c>
      <c r="E724" s="474"/>
      <c r="F724" s="474"/>
      <c r="G724" s="474">
        <v>2022</v>
      </c>
      <c r="H724" s="474">
        <v>4</v>
      </c>
      <c r="I724" s="485">
        <v>128188</v>
      </c>
      <c r="J724" s="475">
        <v>44677</v>
      </c>
      <c r="K724" s="483" t="s">
        <v>2542</v>
      </c>
      <c r="L724" s="474" t="s">
        <v>2439</v>
      </c>
      <c r="M724" s="487">
        <v>44463</v>
      </c>
      <c r="N724" s="487">
        <v>44659</v>
      </c>
      <c r="O724" s="487"/>
      <c r="P724" s="475">
        <v>44664</v>
      </c>
      <c r="Q724" s="475">
        <v>44671</v>
      </c>
      <c r="R724" s="475">
        <v>44677</v>
      </c>
      <c r="S724" s="474" t="s">
        <v>1563</v>
      </c>
      <c r="T724" s="474">
        <v>60</v>
      </c>
      <c r="U724" s="474" t="s">
        <v>1718</v>
      </c>
      <c r="V724" s="474" t="s">
        <v>2525</v>
      </c>
      <c r="W724" s="474">
        <v>395</v>
      </c>
      <c r="X724" s="476">
        <v>832</v>
      </c>
      <c r="Y724" s="477">
        <f t="shared" si="162"/>
        <v>328640</v>
      </c>
      <c r="Z724" s="478">
        <f t="shared" si="168"/>
        <v>0.55999999999999994</v>
      </c>
      <c r="AA724" s="479">
        <f t="shared" si="163"/>
        <v>184038.39999999999</v>
      </c>
      <c r="AB724" s="480"/>
      <c r="AC724" s="481">
        <v>0</v>
      </c>
      <c r="AD724" s="490"/>
      <c r="AE724" s="482"/>
      <c r="AF724" s="493">
        <f t="shared" si="164"/>
        <v>184038.39999999999</v>
      </c>
      <c r="AG724" s="474" t="s">
        <v>47</v>
      </c>
      <c r="AH724" s="474" t="s">
        <v>2444</v>
      </c>
      <c r="AI724" s="483">
        <v>60</v>
      </c>
      <c r="AJ724" s="474" t="s">
        <v>2277</v>
      </c>
      <c r="AK724" s="494" t="s">
        <v>1084</v>
      </c>
      <c r="AL724" s="474" t="s">
        <v>2448</v>
      </c>
      <c r="AM724" s="474" t="s">
        <v>52</v>
      </c>
      <c r="AN724" s="474" t="s">
        <v>50</v>
      </c>
      <c r="AO724" s="474"/>
      <c r="AP724" s="486" t="s">
        <v>92</v>
      </c>
      <c r="AQ724" s="486" t="s">
        <v>37</v>
      </c>
      <c r="AR724" s="486"/>
      <c r="AS724" s="495"/>
      <c r="AT724" s="495"/>
      <c r="AU724" s="478"/>
      <c r="AV724" s="471"/>
      <c r="AW724" s="471"/>
      <c r="AX724" s="471"/>
      <c r="AY724" s="471"/>
      <c r="AZ724" s="471"/>
      <c r="BA724" s="471"/>
      <c r="BB724" s="471"/>
      <c r="BC724" s="471"/>
    </row>
    <row r="725" spans="1:55">
      <c r="A725" s="472"/>
      <c r="B725" s="514"/>
      <c r="C725" s="514"/>
      <c r="D725" s="485" t="s">
        <v>2322</v>
      </c>
      <c r="E725" s="474"/>
      <c r="F725" s="474"/>
      <c r="G725" s="474">
        <v>2022</v>
      </c>
      <c r="H725" s="474">
        <v>4</v>
      </c>
      <c r="I725" s="485">
        <v>128243</v>
      </c>
      <c r="J725" s="475">
        <v>44677</v>
      </c>
      <c r="K725" s="483" t="s">
        <v>2543</v>
      </c>
      <c r="L725" s="474" t="s">
        <v>2439</v>
      </c>
      <c r="M725" s="487">
        <v>44463</v>
      </c>
      <c r="N725" s="487">
        <v>44669</v>
      </c>
      <c r="O725" s="487"/>
      <c r="P725" s="475">
        <v>44664</v>
      </c>
      <c r="Q725" s="475">
        <v>44672</v>
      </c>
      <c r="R725" s="475">
        <v>44677</v>
      </c>
      <c r="S725" s="474" t="s">
        <v>1563</v>
      </c>
      <c r="T725" s="474">
        <v>60</v>
      </c>
      <c r="U725" s="474" t="s">
        <v>1718</v>
      </c>
      <c r="V725" s="474" t="s">
        <v>2525</v>
      </c>
      <c r="W725" s="474">
        <v>395</v>
      </c>
      <c r="X725" s="476">
        <v>832</v>
      </c>
      <c r="Y725" s="477">
        <f t="shared" si="162"/>
        <v>328640</v>
      </c>
      <c r="Z725" s="478">
        <f t="shared" si="168"/>
        <v>0.55999999999999994</v>
      </c>
      <c r="AA725" s="479">
        <f t="shared" si="163"/>
        <v>184038.39999999999</v>
      </c>
      <c r="AB725" s="480"/>
      <c r="AC725" s="481">
        <v>0</v>
      </c>
      <c r="AD725" s="490"/>
      <c r="AE725" s="482"/>
      <c r="AF725" s="493">
        <f t="shared" si="164"/>
        <v>184038.39999999999</v>
      </c>
      <c r="AG725" s="474" t="s">
        <v>47</v>
      </c>
      <c r="AH725" s="474" t="s">
        <v>2444</v>
      </c>
      <c r="AI725" s="483">
        <v>60</v>
      </c>
      <c r="AJ725" s="474" t="s">
        <v>2277</v>
      </c>
      <c r="AK725" s="494" t="s">
        <v>1084</v>
      </c>
      <c r="AL725" s="474" t="s">
        <v>2448</v>
      </c>
      <c r="AM725" s="474" t="s">
        <v>52</v>
      </c>
      <c r="AN725" s="474" t="s">
        <v>50</v>
      </c>
      <c r="AO725" s="474"/>
      <c r="AP725" s="486" t="s">
        <v>92</v>
      </c>
      <c r="AQ725" s="486" t="s">
        <v>37</v>
      </c>
      <c r="AR725" s="486"/>
      <c r="AS725" s="495"/>
      <c r="AT725" s="495"/>
      <c r="AU725" s="478"/>
      <c r="AV725" s="471"/>
      <c r="AW725" s="471"/>
      <c r="AX725" s="471"/>
      <c r="AY725" s="471"/>
      <c r="AZ725" s="471"/>
      <c r="BA725" s="471"/>
      <c r="BB725" s="471"/>
      <c r="BC725" s="471"/>
    </row>
    <row r="726" spans="1:55">
      <c r="A726" s="472"/>
      <c r="B726" s="514"/>
      <c r="C726" s="514"/>
      <c r="D726" s="485" t="s">
        <v>2322</v>
      </c>
      <c r="E726" s="474"/>
      <c r="F726" s="474"/>
      <c r="G726" s="474">
        <v>2022</v>
      </c>
      <c r="H726" s="474">
        <v>6</v>
      </c>
      <c r="I726" s="485"/>
      <c r="J726" s="475"/>
      <c r="K726" s="483" t="s">
        <v>2527</v>
      </c>
      <c r="L726" s="474" t="s">
        <v>2439</v>
      </c>
      <c r="M726" s="487">
        <v>44463</v>
      </c>
      <c r="N726" s="487">
        <v>44659</v>
      </c>
      <c r="O726" s="487"/>
      <c r="P726" s="475"/>
      <c r="Q726" s="475"/>
      <c r="R726" s="475"/>
      <c r="S726" s="474" t="s">
        <v>1563</v>
      </c>
      <c r="T726" s="474">
        <v>60</v>
      </c>
      <c r="U726" s="474" t="s">
        <v>2383</v>
      </c>
      <c r="V726" s="474" t="s">
        <v>2525</v>
      </c>
      <c r="W726" s="474">
        <v>395</v>
      </c>
      <c r="X726" s="476">
        <v>832</v>
      </c>
      <c r="Y726" s="477">
        <f t="shared" si="162"/>
        <v>328640</v>
      </c>
      <c r="Z726" s="478">
        <f t="shared" si="168"/>
        <v>0.55999999999999994</v>
      </c>
      <c r="AA726" s="479">
        <f t="shared" si="163"/>
        <v>184038.39999999999</v>
      </c>
      <c r="AB726" s="480"/>
      <c r="AC726" s="481">
        <v>0</v>
      </c>
      <c r="AD726" s="490"/>
      <c r="AE726" s="482"/>
      <c r="AF726" s="493">
        <f t="shared" si="164"/>
        <v>184038.39999999999</v>
      </c>
      <c r="AG726" s="474" t="s">
        <v>47</v>
      </c>
      <c r="AH726" s="474" t="s">
        <v>2444</v>
      </c>
      <c r="AI726" s="483">
        <v>60</v>
      </c>
      <c r="AJ726" s="474" t="s">
        <v>1678</v>
      </c>
      <c r="AK726" s="494" t="s">
        <v>1085</v>
      </c>
      <c r="AL726" s="474" t="s">
        <v>2528</v>
      </c>
      <c r="AM726" s="474" t="s">
        <v>52</v>
      </c>
      <c r="AN726" s="474" t="s">
        <v>50</v>
      </c>
      <c r="AO726" s="474"/>
      <c r="AP726" s="486" t="s">
        <v>92</v>
      </c>
      <c r="AQ726" s="486" t="s">
        <v>37</v>
      </c>
      <c r="AR726" s="486"/>
      <c r="AS726" s="495"/>
      <c r="AT726" s="495"/>
      <c r="AU726" s="478"/>
      <c r="AV726" s="471"/>
      <c r="AW726" s="471"/>
      <c r="AX726" s="471"/>
      <c r="AY726" s="471"/>
      <c r="AZ726" s="471"/>
      <c r="BA726" s="471"/>
      <c r="BB726" s="471"/>
      <c r="BC726" s="471"/>
    </row>
    <row r="727" spans="1:55">
      <c r="A727" s="472"/>
      <c r="B727" s="514"/>
      <c r="C727" s="514"/>
      <c r="D727" s="485" t="s">
        <v>2322</v>
      </c>
      <c r="E727" s="474"/>
      <c r="F727" s="474"/>
      <c r="G727" s="474">
        <v>2022</v>
      </c>
      <c r="H727" s="474">
        <v>6</v>
      </c>
      <c r="I727" s="485"/>
      <c r="J727" s="475"/>
      <c r="K727" s="483" t="s">
        <v>2529</v>
      </c>
      <c r="L727" s="474" t="s">
        <v>2439</v>
      </c>
      <c r="M727" s="487">
        <v>44463</v>
      </c>
      <c r="N727" s="487">
        <v>44669</v>
      </c>
      <c r="O727" s="487"/>
      <c r="P727" s="475"/>
      <c r="Q727" s="475"/>
      <c r="R727" s="475"/>
      <c r="S727" s="474" t="s">
        <v>1563</v>
      </c>
      <c r="T727" s="474">
        <v>60</v>
      </c>
      <c r="U727" s="474" t="s">
        <v>2383</v>
      </c>
      <c r="V727" s="474" t="s">
        <v>2525</v>
      </c>
      <c r="W727" s="474">
        <v>395</v>
      </c>
      <c r="X727" s="476">
        <v>832</v>
      </c>
      <c r="Y727" s="477">
        <f t="shared" si="162"/>
        <v>328640</v>
      </c>
      <c r="Z727" s="478">
        <f t="shared" si="168"/>
        <v>0.55999999999999994</v>
      </c>
      <c r="AA727" s="479">
        <f t="shared" si="163"/>
        <v>184038.39999999999</v>
      </c>
      <c r="AB727" s="480"/>
      <c r="AC727" s="481">
        <v>0</v>
      </c>
      <c r="AD727" s="490"/>
      <c r="AE727" s="482"/>
      <c r="AF727" s="493">
        <f t="shared" si="164"/>
        <v>184038.39999999999</v>
      </c>
      <c r="AG727" s="474" t="s">
        <v>47</v>
      </c>
      <c r="AH727" s="474" t="s">
        <v>2444</v>
      </c>
      <c r="AI727" s="483">
        <v>60</v>
      </c>
      <c r="AJ727" s="474" t="s">
        <v>1678</v>
      </c>
      <c r="AK727" s="494" t="s">
        <v>1085</v>
      </c>
      <c r="AL727" s="474" t="s">
        <v>2528</v>
      </c>
      <c r="AM727" s="474" t="s">
        <v>52</v>
      </c>
      <c r="AN727" s="474" t="s">
        <v>50</v>
      </c>
      <c r="AO727" s="474"/>
      <c r="AP727" s="486" t="s">
        <v>92</v>
      </c>
      <c r="AQ727" s="486" t="s">
        <v>37</v>
      </c>
      <c r="AR727" s="486"/>
      <c r="AS727" s="495"/>
      <c r="AT727" s="495"/>
      <c r="AU727" s="478"/>
      <c r="AV727" s="471"/>
      <c r="AW727" s="471"/>
      <c r="AX727" s="471"/>
      <c r="AY727" s="471"/>
      <c r="AZ727" s="471"/>
      <c r="BA727" s="471"/>
      <c r="BB727" s="471"/>
      <c r="BC727" s="471"/>
    </row>
    <row r="728" spans="1:55">
      <c r="A728" s="472"/>
      <c r="B728" s="514" t="s">
        <v>1211</v>
      </c>
      <c r="C728" s="514" t="s">
        <v>1211</v>
      </c>
      <c r="D728" s="485" t="s">
        <v>2322</v>
      </c>
      <c r="E728" s="474"/>
      <c r="F728" s="474"/>
      <c r="G728" s="474">
        <v>2022</v>
      </c>
      <c r="H728" s="474">
        <v>5</v>
      </c>
      <c r="I728" s="485"/>
      <c r="J728" s="475"/>
      <c r="K728" s="483" t="s">
        <v>2609</v>
      </c>
      <c r="L728" s="474" t="s">
        <v>2439</v>
      </c>
      <c r="M728" s="487">
        <v>44463</v>
      </c>
      <c r="N728" s="487">
        <v>44686</v>
      </c>
      <c r="O728" s="487"/>
      <c r="P728" s="475" t="s">
        <v>5737</v>
      </c>
      <c r="Q728" s="475"/>
      <c r="R728" s="475"/>
      <c r="S728" s="474" t="s">
        <v>1563</v>
      </c>
      <c r="T728" s="474">
        <v>60</v>
      </c>
      <c r="U728" s="474" t="s">
        <v>2383</v>
      </c>
      <c r="V728" s="474" t="s">
        <v>2525</v>
      </c>
      <c r="W728" s="474">
        <v>395</v>
      </c>
      <c r="X728" s="476">
        <v>832</v>
      </c>
      <c r="Y728" s="477">
        <f t="shared" si="162"/>
        <v>328640</v>
      </c>
      <c r="Z728" s="478">
        <f t="shared" si="168"/>
        <v>0.55999999999999994</v>
      </c>
      <c r="AA728" s="479">
        <f t="shared" si="163"/>
        <v>184038.39999999999</v>
      </c>
      <c r="AB728" s="480"/>
      <c r="AC728" s="481">
        <v>0</v>
      </c>
      <c r="AD728" s="490"/>
      <c r="AE728" s="482"/>
      <c r="AF728" s="493">
        <f t="shared" si="164"/>
        <v>184038.39999999999</v>
      </c>
      <c r="AG728" s="474" t="s">
        <v>47</v>
      </c>
      <c r="AH728" s="474" t="s">
        <v>2444</v>
      </c>
      <c r="AI728" s="483">
        <v>60</v>
      </c>
      <c r="AJ728" s="474" t="s">
        <v>1790</v>
      </c>
      <c r="AK728" s="494" t="s">
        <v>50</v>
      </c>
      <c r="AL728" s="474" t="s">
        <v>2452</v>
      </c>
      <c r="AM728" s="474" t="s">
        <v>52</v>
      </c>
      <c r="AN728" s="474" t="s">
        <v>50</v>
      </c>
      <c r="AO728" s="474"/>
      <c r="AP728" s="486" t="s">
        <v>92</v>
      </c>
      <c r="AQ728" s="486"/>
      <c r="AR728" s="486"/>
      <c r="AS728" s="495"/>
      <c r="AT728" s="495"/>
      <c r="AU728" s="478"/>
      <c r="AV728" s="471"/>
      <c r="AW728" s="471"/>
      <c r="AX728" s="471"/>
      <c r="AY728" s="471"/>
      <c r="AZ728" s="471"/>
      <c r="BA728" s="471"/>
      <c r="BB728" s="471"/>
      <c r="BC728" s="471"/>
    </row>
    <row r="729" spans="1:55">
      <c r="A729" s="472"/>
      <c r="B729" s="514" t="s">
        <v>1211</v>
      </c>
      <c r="C729" s="514" t="s">
        <v>1211</v>
      </c>
      <c r="D729" s="485" t="s">
        <v>2322</v>
      </c>
      <c r="E729" s="474"/>
      <c r="F729" s="474"/>
      <c r="G729" s="474">
        <v>2022</v>
      </c>
      <c r="H729" s="474">
        <v>5</v>
      </c>
      <c r="I729" s="485"/>
      <c r="J729" s="475"/>
      <c r="K729" s="483" t="s">
        <v>2610</v>
      </c>
      <c r="L729" s="474" t="s">
        <v>2439</v>
      </c>
      <c r="M729" s="487">
        <v>44463</v>
      </c>
      <c r="N729" s="487">
        <v>44694</v>
      </c>
      <c r="O729" s="487"/>
      <c r="P729" s="475" t="s">
        <v>5737</v>
      </c>
      <c r="Q729" s="475"/>
      <c r="R729" s="475"/>
      <c r="S729" s="474" t="s">
        <v>1563</v>
      </c>
      <c r="T729" s="474">
        <v>60</v>
      </c>
      <c r="U729" s="474" t="s">
        <v>2383</v>
      </c>
      <c r="V729" s="474" t="s">
        <v>2525</v>
      </c>
      <c r="W729" s="474">
        <v>395</v>
      </c>
      <c r="X729" s="476">
        <v>832</v>
      </c>
      <c r="Y729" s="477">
        <f t="shared" si="162"/>
        <v>328640</v>
      </c>
      <c r="Z729" s="478">
        <f t="shared" si="168"/>
        <v>0.55999999999999994</v>
      </c>
      <c r="AA729" s="479">
        <f t="shared" si="163"/>
        <v>184038.39999999999</v>
      </c>
      <c r="AB729" s="480"/>
      <c r="AC729" s="481">
        <v>0</v>
      </c>
      <c r="AD729" s="490"/>
      <c r="AE729" s="482"/>
      <c r="AF729" s="493">
        <f t="shared" si="164"/>
        <v>184038.39999999999</v>
      </c>
      <c r="AG729" s="474" t="s">
        <v>47</v>
      </c>
      <c r="AH729" s="474" t="s">
        <v>2444</v>
      </c>
      <c r="AI729" s="483">
        <v>60</v>
      </c>
      <c r="AJ729" s="474" t="s">
        <v>1790</v>
      </c>
      <c r="AK729" s="494" t="s">
        <v>50</v>
      </c>
      <c r="AL729" s="474" t="s">
        <v>2452</v>
      </c>
      <c r="AM729" s="474" t="s">
        <v>52</v>
      </c>
      <c r="AN729" s="474" t="s">
        <v>50</v>
      </c>
      <c r="AO729" s="474"/>
      <c r="AP729" s="486" t="s">
        <v>92</v>
      </c>
      <c r="AQ729" s="486"/>
      <c r="AR729" s="486"/>
      <c r="AS729" s="495"/>
      <c r="AT729" s="495"/>
      <c r="AU729" s="478"/>
      <c r="AV729" s="471"/>
      <c r="AW729" s="471"/>
      <c r="AX729" s="471"/>
      <c r="AY729" s="471"/>
      <c r="AZ729" s="471"/>
      <c r="BA729" s="471"/>
      <c r="BB729" s="471"/>
      <c r="BC729" s="471"/>
    </row>
    <row r="730" spans="1:55">
      <c r="A730" s="472"/>
      <c r="B730" s="514" t="s">
        <v>1211</v>
      </c>
      <c r="C730" s="514" t="s">
        <v>1211</v>
      </c>
      <c r="D730" s="485" t="s">
        <v>2322</v>
      </c>
      <c r="E730" s="474"/>
      <c r="F730" s="474"/>
      <c r="G730" s="474">
        <v>2022</v>
      </c>
      <c r="H730" s="474">
        <v>5</v>
      </c>
      <c r="I730" s="485"/>
      <c r="J730" s="475"/>
      <c r="K730" s="483" t="s">
        <v>2611</v>
      </c>
      <c r="L730" s="474" t="s">
        <v>2439</v>
      </c>
      <c r="M730" s="487">
        <v>44463</v>
      </c>
      <c r="N730" s="487">
        <v>44704</v>
      </c>
      <c r="O730" s="487"/>
      <c r="P730" s="475" t="s">
        <v>5737</v>
      </c>
      <c r="Q730" s="475"/>
      <c r="R730" s="475"/>
      <c r="S730" s="474" t="s">
        <v>1563</v>
      </c>
      <c r="T730" s="474">
        <v>60</v>
      </c>
      <c r="U730" s="474" t="s">
        <v>2383</v>
      </c>
      <c r="V730" s="474" t="s">
        <v>2525</v>
      </c>
      <c r="W730" s="474">
        <v>395</v>
      </c>
      <c r="X730" s="476">
        <v>832</v>
      </c>
      <c r="Y730" s="477">
        <f t="shared" si="162"/>
        <v>328640</v>
      </c>
      <c r="Z730" s="478">
        <f t="shared" si="168"/>
        <v>0.55999999999999994</v>
      </c>
      <c r="AA730" s="479">
        <f t="shared" si="163"/>
        <v>184038.39999999999</v>
      </c>
      <c r="AB730" s="480"/>
      <c r="AC730" s="481">
        <v>0</v>
      </c>
      <c r="AD730" s="490"/>
      <c r="AE730" s="482"/>
      <c r="AF730" s="493">
        <f t="shared" si="164"/>
        <v>184038.39999999999</v>
      </c>
      <c r="AG730" s="474" t="s">
        <v>47</v>
      </c>
      <c r="AH730" s="474" t="s">
        <v>2444</v>
      </c>
      <c r="AI730" s="483">
        <v>60</v>
      </c>
      <c r="AJ730" s="474" t="s">
        <v>1790</v>
      </c>
      <c r="AK730" s="494" t="s">
        <v>50</v>
      </c>
      <c r="AL730" s="474" t="s">
        <v>2452</v>
      </c>
      <c r="AM730" s="474" t="s">
        <v>52</v>
      </c>
      <c r="AN730" s="474" t="s">
        <v>50</v>
      </c>
      <c r="AO730" s="474"/>
      <c r="AP730" s="486" t="s">
        <v>92</v>
      </c>
      <c r="AQ730" s="486"/>
      <c r="AR730" s="486"/>
      <c r="AS730" s="495"/>
      <c r="AT730" s="495"/>
      <c r="AU730" s="478"/>
      <c r="AV730" s="471"/>
      <c r="AW730" s="471"/>
      <c r="AX730" s="471"/>
      <c r="AY730" s="471"/>
      <c r="AZ730" s="471"/>
      <c r="BA730" s="471"/>
      <c r="BB730" s="471"/>
      <c r="BC730" s="471"/>
    </row>
    <row r="731" spans="1:55">
      <c r="A731" s="472"/>
      <c r="B731" s="514" t="s">
        <v>1211</v>
      </c>
      <c r="C731" s="514" t="s">
        <v>1211</v>
      </c>
      <c r="D731" s="485" t="s">
        <v>2322</v>
      </c>
      <c r="E731" s="474"/>
      <c r="F731" s="474"/>
      <c r="G731" s="474">
        <v>2022</v>
      </c>
      <c r="H731" s="474">
        <v>5</v>
      </c>
      <c r="I731" s="485"/>
      <c r="J731" s="475"/>
      <c r="K731" s="483" t="s">
        <v>2612</v>
      </c>
      <c r="L731" s="474" t="s">
        <v>2439</v>
      </c>
      <c r="M731" s="487">
        <v>44463</v>
      </c>
      <c r="N731" s="487">
        <v>44691</v>
      </c>
      <c r="O731" s="487"/>
      <c r="P731" s="475" t="s">
        <v>5737</v>
      </c>
      <c r="Q731" s="475"/>
      <c r="R731" s="475"/>
      <c r="S731" s="474" t="s">
        <v>1563</v>
      </c>
      <c r="T731" s="474">
        <v>60</v>
      </c>
      <c r="U731" s="474" t="s">
        <v>2383</v>
      </c>
      <c r="V731" s="474" t="s">
        <v>2525</v>
      </c>
      <c r="W731" s="474">
        <v>395</v>
      </c>
      <c r="X731" s="476">
        <v>832</v>
      </c>
      <c r="Y731" s="477">
        <f t="shared" si="162"/>
        <v>328640</v>
      </c>
      <c r="Z731" s="478">
        <f t="shared" si="168"/>
        <v>0.55999999999999994</v>
      </c>
      <c r="AA731" s="479">
        <f t="shared" si="163"/>
        <v>184038.39999999999</v>
      </c>
      <c r="AB731" s="480"/>
      <c r="AC731" s="481">
        <v>0</v>
      </c>
      <c r="AD731" s="490"/>
      <c r="AE731" s="482"/>
      <c r="AF731" s="493">
        <f t="shared" si="164"/>
        <v>184038.39999999999</v>
      </c>
      <c r="AG731" s="474" t="s">
        <v>47</v>
      </c>
      <c r="AH731" s="474" t="s">
        <v>2444</v>
      </c>
      <c r="AI731" s="483">
        <v>60</v>
      </c>
      <c r="AJ731" s="474" t="s">
        <v>2450</v>
      </c>
      <c r="AK731" s="494" t="s">
        <v>50</v>
      </c>
      <c r="AL731" s="474" t="s">
        <v>2537</v>
      </c>
      <c r="AM731" s="474" t="s">
        <v>52</v>
      </c>
      <c r="AN731" s="474" t="s">
        <v>50</v>
      </c>
      <c r="AO731" s="474"/>
      <c r="AP731" s="486" t="s">
        <v>92</v>
      </c>
      <c r="AQ731" s="486"/>
      <c r="AR731" s="486"/>
      <c r="AS731" s="495"/>
      <c r="AT731" s="495"/>
      <c r="AU731" s="478"/>
      <c r="AV731" s="471"/>
      <c r="AW731" s="471"/>
      <c r="AX731" s="471"/>
      <c r="AY731" s="471"/>
      <c r="AZ731" s="471"/>
      <c r="BA731" s="471"/>
      <c r="BB731" s="471"/>
      <c r="BC731" s="471"/>
    </row>
    <row r="732" spans="1:55">
      <c r="A732" s="472"/>
      <c r="B732" s="514" t="s">
        <v>1211</v>
      </c>
      <c r="C732" s="514" t="s">
        <v>1211</v>
      </c>
      <c r="D732" s="485" t="s">
        <v>2322</v>
      </c>
      <c r="E732" s="474"/>
      <c r="F732" s="474"/>
      <c r="G732" s="474">
        <v>2022</v>
      </c>
      <c r="H732" s="474">
        <v>5</v>
      </c>
      <c r="I732" s="485"/>
      <c r="J732" s="475"/>
      <c r="K732" s="483" t="s">
        <v>2613</v>
      </c>
      <c r="L732" s="474" t="s">
        <v>2439</v>
      </c>
      <c r="M732" s="487">
        <v>44463</v>
      </c>
      <c r="N732" s="487">
        <v>44701</v>
      </c>
      <c r="O732" s="487"/>
      <c r="P732" s="475" t="s">
        <v>5737</v>
      </c>
      <c r="Q732" s="475"/>
      <c r="R732" s="475"/>
      <c r="S732" s="474" t="s">
        <v>1563</v>
      </c>
      <c r="T732" s="474">
        <v>60</v>
      </c>
      <c r="U732" s="474" t="s">
        <v>2383</v>
      </c>
      <c r="V732" s="474" t="s">
        <v>2525</v>
      </c>
      <c r="W732" s="474">
        <v>395</v>
      </c>
      <c r="X732" s="476">
        <v>832</v>
      </c>
      <c r="Y732" s="477">
        <f t="shared" si="162"/>
        <v>328640</v>
      </c>
      <c r="Z732" s="478">
        <f t="shared" si="168"/>
        <v>0.55999999999999994</v>
      </c>
      <c r="AA732" s="479">
        <f t="shared" si="163"/>
        <v>184038.39999999999</v>
      </c>
      <c r="AB732" s="480"/>
      <c r="AC732" s="481">
        <v>0</v>
      </c>
      <c r="AD732" s="490"/>
      <c r="AE732" s="482"/>
      <c r="AF732" s="493">
        <f t="shared" si="164"/>
        <v>184038.39999999999</v>
      </c>
      <c r="AG732" s="474" t="s">
        <v>47</v>
      </c>
      <c r="AH732" s="474" t="s">
        <v>2444</v>
      </c>
      <c r="AI732" s="483">
        <v>60</v>
      </c>
      <c r="AJ732" s="474" t="s">
        <v>2450</v>
      </c>
      <c r="AK732" s="494" t="s">
        <v>50</v>
      </c>
      <c r="AL732" s="474" t="s">
        <v>2537</v>
      </c>
      <c r="AM732" s="474" t="s">
        <v>52</v>
      </c>
      <c r="AN732" s="474" t="s">
        <v>50</v>
      </c>
      <c r="AO732" s="474"/>
      <c r="AP732" s="486" t="s">
        <v>92</v>
      </c>
      <c r="AQ732" s="486"/>
      <c r="AR732" s="486"/>
      <c r="AS732" s="495"/>
      <c r="AT732" s="495"/>
      <c r="AU732" s="478"/>
      <c r="AV732" s="471"/>
      <c r="AW732" s="471"/>
      <c r="AX732" s="471"/>
      <c r="AY732" s="471"/>
      <c r="AZ732" s="471"/>
      <c r="BA732" s="471"/>
      <c r="BB732" s="471"/>
      <c r="BC732" s="471"/>
    </row>
    <row r="733" spans="1:55">
      <c r="A733" s="472"/>
      <c r="B733" s="514" t="s">
        <v>1211</v>
      </c>
      <c r="C733" s="514" t="s">
        <v>1211</v>
      </c>
      <c r="D733" s="485" t="s">
        <v>2322</v>
      </c>
      <c r="E733" s="474"/>
      <c r="F733" s="474"/>
      <c r="G733" s="474">
        <v>2022</v>
      </c>
      <c r="H733" s="474">
        <v>5</v>
      </c>
      <c r="I733" s="485"/>
      <c r="J733" s="475"/>
      <c r="K733" s="483" t="s">
        <v>2614</v>
      </c>
      <c r="L733" s="474" t="s">
        <v>2439</v>
      </c>
      <c r="M733" s="487">
        <v>44463</v>
      </c>
      <c r="N733" s="487">
        <v>44697</v>
      </c>
      <c r="O733" s="487"/>
      <c r="P733" s="475" t="s">
        <v>5737</v>
      </c>
      <c r="Q733" s="475"/>
      <c r="R733" s="475"/>
      <c r="S733" s="474" t="s">
        <v>1563</v>
      </c>
      <c r="T733" s="474">
        <v>60</v>
      </c>
      <c r="U733" s="474" t="s">
        <v>2383</v>
      </c>
      <c r="V733" s="474" t="s">
        <v>2525</v>
      </c>
      <c r="W733" s="474">
        <v>395</v>
      </c>
      <c r="X733" s="476">
        <v>832</v>
      </c>
      <c r="Y733" s="477">
        <f t="shared" si="162"/>
        <v>328640</v>
      </c>
      <c r="Z733" s="478">
        <f t="shared" si="168"/>
        <v>0.55999999999999994</v>
      </c>
      <c r="AA733" s="479">
        <f t="shared" si="163"/>
        <v>184038.39999999999</v>
      </c>
      <c r="AB733" s="480"/>
      <c r="AC733" s="481">
        <v>0</v>
      </c>
      <c r="AD733" s="490"/>
      <c r="AE733" s="482"/>
      <c r="AF733" s="493">
        <f t="shared" si="164"/>
        <v>184038.39999999999</v>
      </c>
      <c r="AG733" s="474" t="s">
        <v>47</v>
      </c>
      <c r="AH733" s="474" t="s">
        <v>2444</v>
      </c>
      <c r="AI733" s="483">
        <v>60</v>
      </c>
      <c r="AJ733" s="474" t="s">
        <v>2426</v>
      </c>
      <c r="AK733" s="494" t="s">
        <v>1144</v>
      </c>
      <c r="AL733" s="474" t="s">
        <v>2541</v>
      </c>
      <c r="AM733" s="474" t="s">
        <v>52</v>
      </c>
      <c r="AN733" s="474" t="s">
        <v>50</v>
      </c>
      <c r="AO733" s="474"/>
      <c r="AP733" s="486" t="s">
        <v>92</v>
      </c>
      <c r="AQ733" s="486"/>
      <c r="AR733" s="486"/>
      <c r="AS733" s="495"/>
      <c r="AT733" s="495"/>
      <c r="AU733" s="478"/>
      <c r="AV733" s="471"/>
      <c r="AW733" s="471"/>
      <c r="AX733" s="471"/>
      <c r="AY733" s="471"/>
      <c r="AZ733" s="471"/>
      <c r="BA733" s="471"/>
      <c r="BB733" s="471"/>
      <c r="BC733" s="471"/>
    </row>
    <row r="734" spans="1:55">
      <c r="A734" s="472"/>
      <c r="B734" s="514" t="s">
        <v>1211</v>
      </c>
      <c r="C734" s="514" t="s">
        <v>1211</v>
      </c>
      <c r="D734" s="485" t="s">
        <v>2322</v>
      </c>
      <c r="E734" s="474"/>
      <c r="F734" s="474"/>
      <c r="G734" s="474">
        <v>2022</v>
      </c>
      <c r="H734" s="474">
        <v>5</v>
      </c>
      <c r="I734" s="485"/>
      <c r="J734" s="475"/>
      <c r="K734" s="483" t="s">
        <v>2615</v>
      </c>
      <c r="L734" s="474" t="s">
        <v>2439</v>
      </c>
      <c r="M734" s="487">
        <v>44463</v>
      </c>
      <c r="N734" s="487">
        <v>44690</v>
      </c>
      <c r="O734" s="487"/>
      <c r="P734" s="475" t="s">
        <v>5737</v>
      </c>
      <c r="Q734" s="475"/>
      <c r="R734" s="475"/>
      <c r="S734" s="474" t="s">
        <v>1563</v>
      </c>
      <c r="T734" s="474">
        <v>60</v>
      </c>
      <c r="U734" s="474" t="s">
        <v>2383</v>
      </c>
      <c r="V734" s="474" t="s">
        <v>2525</v>
      </c>
      <c r="W734" s="474">
        <v>395</v>
      </c>
      <c r="X734" s="476">
        <v>832</v>
      </c>
      <c r="Y734" s="477">
        <f t="shared" si="162"/>
        <v>328640</v>
      </c>
      <c r="Z734" s="478">
        <f t="shared" si="168"/>
        <v>0.55999999999999994</v>
      </c>
      <c r="AA734" s="479">
        <f t="shared" si="163"/>
        <v>184038.39999999999</v>
      </c>
      <c r="AB734" s="480"/>
      <c r="AC734" s="481">
        <v>0</v>
      </c>
      <c r="AD734" s="490"/>
      <c r="AE734" s="482"/>
      <c r="AF734" s="493">
        <f t="shared" si="164"/>
        <v>184038.39999999999</v>
      </c>
      <c r="AG734" s="474" t="s">
        <v>47</v>
      </c>
      <c r="AH734" s="474" t="s">
        <v>2444</v>
      </c>
      <c r="AI734" s="483">
        <v>60</v>
      </c>
      <c r="AJ734" s="474" t="s">
        <v>2277</v>
      </c>
      <c r="AK734" s="494" t="s">
        <v>1084</v>
      </c>
      <c r="AL734" s="474" t="s">
        <v>2448</v>
      </c>
      <c r="AM734" s="474" t="s">
        <v>52</v>
      </c>
      <c r="AN734" s="474" t="s">
        <v>50</v>
      </c>
      <c r="AO734" s="474"/>
      <c r="AP734" s="486" t="s">
        <v>92</v>
      </c>
      <c r="AQ734" s="486"/>
      <c r="AR734" s="486"/>
      <c r="AS734" s="495"/>
      <c r="AT734" s="495"/>
      <c r="AU734" s="478"/>
      <c r="AV734" s="471"/>
      <c r="AW734" s="471"/>
      <c r="AX734" s="471"/>
      <c r="AY734" s="471"/>
      <c r="AZ734" s="471"/>
      <c r="BA734" s="471"/>
      <c r="BB734" s="471"/>
      <c r="BC734" s="471"/>
    </row>
    <row r="735" spans="1:55">
      <c r="A735" s="472"/>
      <c r="B735" s="514" t="s">
        <v>1211</v>
      </c>
      <c r="C735" s="514" t="s">
        <v>1211</v>
      </c>
      <c r="D735" s="485" t="s">
        <v>2322</v>
      </c>
      <c r="E735" s="474"/>
      <c r="F735" s="474"/>
      <c r="G735" s="474">
        <v>2022</v>
      </c>
      <c r="H735" s="474">
        <v>5</v>
      </c>
      <c r="I735" s="485"/>
      <c r="J735" s="475"/>
      <c r="K735" s="483" t="s">
        <v>2616</v>
      </c>
      <c r="L735" s="474" t="s">
        <v>2439</v>
      </c>
      <c r="M735" s="487">
        <v>44463</v>
      </c>
      <c r="N735" s="487">
        <v>44704</v>
      </c>
      <c r="O735" s="487"/>
      <c r="P735" s="475" t="s">
        <v>5737</v>
      </c>
      <c r="Q735" s="475"/>
      <c r="R735" s="475"/>
      <c r="S735" s="474" t="s">
        <v>1563</v>
      </c>
      <c r="T735" s="474">
        <v>60</v>
      </c>
      <c r="U735" s="474" t="s">
        <v>2383</v>
      </c>
      <c r="V735" s="474" t="s">
        <v>2525</v>
      </c>
      <c r="W735" s="474">
        <v>395</v>
      </c>
      <c r="X735" s="476">
        <v>832</v>
      </c>
      <c r="Y735" s="477">
        <f t="shared" si="162"/>
        <v>328640</v>
      </c>
      <c r="Z735" s="478">
        <f t="shared" si="168"/>
        <v>0.55999999999999994</v>
      </c>
      <c r="AA735" s="479">
        <f t="shared" si="163"/>
        <v>184038.39999999999</v>
      </c>
      <c r="AB735" s="480"/>
      <c r="AC735" s="481">
        <v>0</v>
      </c>
      <c r="AD735" s="490"/>
      <c r="AE735" s="482"/>
      <c r="AF735" s="493">
        <f t="shared" si="164"/>
        <v>184038.39999999999</v>
      </c>
      <c r="AG735" s="474" t="s">
        <v>47</v>
      </c>
      <c r="AH735" s="474" t="s">
        <v>2444</v>
      </c>
      <c r="AI735" s="483">
        <v>60</v>
      </c>
      <c r="AJ735" s="474" t="s">
        <v>2277</v>
      </c>
      <c r="AK735" s="494" t="s">
        <v>1084</v>
      </c>
      <c r="AL735" s="474" t="s">
        <v>2448</v>
      </c>
      <c r="AM735" s="474" t="s">
        <v>52</v>
      </c>
      <c r="AN735" s="474" t="s">
        <v>50</v>
      </c>
      <c r="AO735" s="474"/>
      <c r="AP735" s="486" t="s">
        <v>92</v>
      </c>
      <c r="AQ735" s="486"/>
      <c r="AR735" s="486"/>
      <c r="AS735" s="495"/>
      <c r="AT735" s="495"/>
      <c r="AU735" s="478"/>
      <c r="AV735" s="471"/>
      <c r="AW735" s="471"/>
      <c r="AX735" s="471"/>
      <c r="AY735" s="471"/>
      <c r="AZ735" s="471"/>
      <c r="BA735" s="471"/>
      <c r="BB735" s="471"/>
      <c r="BC735" s="471"/>
    </row>
    <row r="736" spans="1:55">
      <c r="A736" s="472"/>
      <c r="B736" s="514" t="s">
        <v>1211</v>
      </c>
      <c r="C736" s="514" t="s">
        <v>1211</v>
      </c>
      <c r="D736" s="485" t="s">
        <v>2322</v>
      </c>
      <c r="E736" s="474"/>
      <c r="F736" s="474"/>
      <c r="G736" s="474">
        <v>2022</v>
      </c>
      <c r="H736" s="474">
        <v>5</v>
      </c>
      <c r="I736" s="485"/>
      <c r="J736" s="475"/>
      <c r="K736" s="483" t="s">
        <v>2617</v>
      </c>
      <c r="L736" s="474" t="s">
        <v>2439</v>
      </c>
      <c r="M736" s="487">
        <v>44463</v>
      </c>
      <c r="N736" s="487">
        <v>44690</v>
      </c>
      <c r="O736" s="487"/>
      <c r="P736" s="475" t="s">
        <v>5737</v>
      </c>
      <c r="Q736" s="475"/>
      <c r="R736" s="475"/>
      <c r="S736" s="474" t="s">
        <v>1563</v>
      </c>
      <c r="T736" s="474">
        <v>60</v>
      </c>
      <c r="U736" s="474" t="s">
        <v>2383</v>
      </c>
      <c r="V736" s="474" t="s">
        <v>2525</v>
      </c>
      <c r="W736" s="474">
        <v>395</v>
      </c>
      <c r="X736" s="476">
        <v>832</v>
      </c>
      <c r="Y736" s="477">
        <f t="shared" si="162"/>
        <v>328640</v>
      </c>
      <c r="Z736" s="478">
        <f t="shared" si="168"/>
        <v>0.55999999999999994</v>
      </c>
      <c r="AA736" s="479">
        <f t="shared" si="163"/>
        <v>184038.39999999999</v>
      </c>
      <c r="AB736" s="480"/>
      <c r="AC736" s="481">
        <v>0</v>
      </c>
      <c r="AD736" s="490"/>
      <c r="AE736" s="482"/>
      <c r="AF736" s="493">
        <f t="shared" si="164"/>
        <v>184038.39999999999</v>
      </c>
      <c r="AG736" s="474" t="s">
        <v>47</v>
      </c>
      <c r="AH736" s="474" t="s">
        <v>2444</v>
      </c>
      <c r="AI736" s="483">
        <v>60</v>
      </c>
      <c r="AJ736" s="474" t="s">
        <v>1678</v>
      </c>
      <c r="AK736" s="494" t="s">
        <v>1085</v>
      </c>
      <c r="AL736" s="474" t="s">
        <v>2528</v>
      </c>
      <c r="AM736" s="474" t="s">
        <v>52</v>
      </c>
      <c r="AN736" s="474" t="s">
        <v>50</v>
      </c>
      <c r="AO736" s="474"/>
      <c r="AP736" s="486" t="s">
        <v>92</v>
      </c>
      <c r="AQ736" s="486"/>
      <c r="AR736" s="486"/>
      <c r="AS736" s="495"/>
      <c r="AT736" s="495"/>
      <c r="AU736" s="478"/>
      <c r="AV736" s="471"/>
      <c r="AW736" s="471"/>
      <c r="AX736" s="471"/>
      <c r="AY736" s="471"/>
      <c r="AZ736" s="471"/>
      <c r="BA736" s="471"/>
      <c r="BB736" s="471"/>
      <c r="BC736" s="471"/>
    </row>
    <row r="737" spans="1:55">
      <c r="A737" s="472"/>
      <c r="B737" s="514" t="s">
        <v>1211</v>
      </c>
      <c r="C737" s="514" t="s">
        <v>1211</v>
      </c>
      <c r="D737" s="485" t="s">
        <v>2322</v>
      </c>
      <c r="E737" s="474"/>
      <c r="F737" s="474"/>
      <c r="G737" s="474">
        <v>2022</v>
      </c>
      <c r="H737" s="474">
        <v>5</v>
      </c>
      <c r="I737" s="485"/>
      <c r="J737" s="475"/>
      <c r="K737" s="483" t="s">
        <v>2618</v>
      </c>
      <c r="L737" s="474" t="s">
        <v>2439</v>
      </c>
      <c r="M737" s="487">
        <v>44463</v>
      </c>
      <c r="N737" s="487">
        <v>44704</v>
      </c>
      <c r="O737" s="487"/>
      <c r="P737" s="475" t="s">
        <v>5737</v>
      </c>
      <c r="Q737" s="475"/>
      <c r="R737" s="475"/>
      <c r="S737" s="474" t="s">
        <v>1563</v>
      </c>
      <c r="T737" s="474">
        <v>60</v>
      </c>
      <c r="U737" s="474" t="s">
        <v>2383</v>
      </c>
      <c r="V737" s="474" t="s">
        <v>2525</v>
      </c>
      <c r="W737" s="474">
        <v>395</v>
      </c>
      <c r="X737" s="476">
        <v>832</v>
      </c>
      <c r="Y737" s="477">
        <f t="shared" si="162"/>
        <v>328640</v>
      </c>
      <c r="Z737" s="478">
        <f t="shared" si="168"/>
        <v>0.55999999999999994</v>
      </c>
      <c r="AA737" s="479">
        <f t="shared" si="163"/>
        <v>184038.39999999999</v>
      </c>
      <c r="AB737" s="480"/>
      <c r="AC737" s="481">
        <v>0</v>
      </c>
      <c r="AD737" s="490"/>
      <c r="AE737" s="482"/>
      <c r="AF737" s="493">
        <f t="shared" si="164"/>
        <v>184038.39999999999</v>
      </c>
      <c r="AG737" s="474" t="s">
        <v>47</v>
      </c>
      <c r="AH737" s="474" t="s">
        <v>2444</v>
      </c>
      <c r="AI737" s="483">
        <v>60</v>
      </c>
      <c r="AJ737" s="474" t="s">
        <v>1678</v>
      </c>
      <c r="AK737" s="494" t="s">
        <v>1085</v>
      </c>
      <c r="AL737" s="474" t="s">
        <v>2528</v>
      </c>
      <c r="AM737" s="474" t="s">
        <v>52</v>
      </c>
      <c r="AN737" s="474" t="s">
        <v>50</v>
      </c>
      <c r="AO737" s="474"/>
      <c r="AP737" s="486" t="s">
        <v>92</v>
      </c>
      <c r="AQ737" s="486"/>
      <c r="AR737" s="486"/>
      <c r="AS737" s="495"/>
      <c r="AT737" s="495"/>
      <c r="AU737" s="478"/>
      <c r="AV737" s="471"/>
      <c r="AW737" s="471"/>
      <c r="AX737" s="471"/>
      <c r="AY737" s="471"/>
      <c r="AZ737" s="471"/>
      <c r="BA737" s="471"/>
      <c r="BB737" s="471"/>
      <c r="BC737" s="471"/>
    </row>
    <row r="738" spans="1:55">
      <c r="A738" s="472"/>
      <c r="B738" s="514"/>
      <c r="C738" s="514"/>
      <c r="D738" s="485" t="s">
        <v>2322</v>
      </c>
      <c r="E738" s="474"/>
      <c r="F738" s="474"/>
      <c r="G738" s="474">
        <v>2022</v>
      </c>
      <c r="H738" s="474">
        <v>5</v>
      </c>
      <c r="I738" s="485"/>
      <c r="J738" s="475"/>
      <c r="K738" s="483" t="s">
        <v>2530</v>
      </c>
      <c r="L738" s="474" t="s">
        <v>2439</v>
      </c>
      <c r="M738" s="487">
        <v>44509</v>
      </c>
      <c r="N738" s="487">
        <v>44536</v>
      </c>
      <c r="O738" s="487"/>
      <c r="P738" s="475" t="s">
        <v>2531</v>
      </c>
      <c r="Q738" s="475"/>
      <c r="R738" s="475"/>
      <c r="S738" s="474" t="s">
        <v>1563</v>
      </c>
      <c r="T738" s="474">
        <v>60</v>
      </c>
      <c r="U738" s="474">
        <v>49204132</v>
      </c>
      <c r="V738" s="474" t="s">
        <v>986</v>
      </c>
      <c r="W738" s="474">
        <v>360</v>
      </c>
      <c r="X738" s="476">
        <v>832</v>
      </c>
      <c r="Y738" s="477">
        <f t="shared" si="162"/>
        <v>299520</v>
      </c>
      <c r="Z738" s="478">
        <f>189.8/365</f>
        <v>0.52</v>
      </c>
      <c r="AA738" s="479">
        <f t="shared" si="163"/>
        <v>155750.39999999999</v>
      </c>
      <c r="AB738" s="480"/>
      <c r="AC738" s="481">
        <v>0</v>
      </c>
      <c r="AD738" s="490"/>
      <c r="AE738" s="482"/>
      <c r="AF738" s="493">
        <f t="shared" si="164"/>
        <v>155750.39999999999</v>
      </c>
      <c r="AG738" s="474" t="s">
        <v>47</v>
      </c>
      <c r="AH738" s="474"/>
      <c r="AI738" s="483" t="s">
        <v>2442</v>
      </c>
      <c r="AJ738" s="474" t="s">
        <v>2277</v>
      </c>
      <c r="AK738" s="494" t="s">
        <v>1084</v>
      </c>
      <c r="AL738" s="474">
        <v>32819</v>
      </c>
      <c r="AM738" s="474" t="s">
        <v>52</v>
      </c>
      <c r="AN738" s="474" t="s">
        <v>1074</v>
      </c>
      <c r="AO738" s="474"/>
      <c r="AP738" s="486"/>
      <c r="AQ738" s="486" t="s">
        <v>37</v>
      </c>
      <c r="AR738" s="486"/>
      <c r="AS738" s="495"/>
      <c r="AT738" s="495"/>
      <c r="AU738" s="478"/>
      <c r="AV738" s="471"/>
      <c r="AW738" s="471"/>
      <c r="AX738" s="471"/>
      <c r="AY738" s="471"/>
      <c r="AZ738" s="471"/>
      <c r="BA738" s="471"/>
      <c r="BB738" s="471"/>
      <c r="BC738" s="471"/>
    </row>
    <row r="739" spans="1:55">
      <c r="A739" s="472"/>
      <c r="B739" s="514"/>
      <c r="C739" s="514"/>
      <c r="D739" s="485" t="s">
        <v>2322</v>
      </c>
      <c r="E739" s="474"/>
      <c r="F739" s="474"/>
      <c r="G739" s="474">
        <v>2022</v>
      </c>
      <c r="H739" s="474">
        <v>5</v>
      </c>
      <c r="I739" s="485"/>
      <c r="J739" s="475"/>
      <c r="K739" s="483" t="s">
        <v>2532</v>
      </c>
      <c r="L739" s="474" t="s">
        <v>2439</v>
      </c>
      <c r="M739" s="487">
        <v>44509</v>
      </c>
      <c r="N739" s="487">
        <v>44533</v>
      </c>
      <c r="O739" s="487"/>
      <c r="P739" s="475" t="s">
        <v>2531</v>
      </c>
      <c r="Q739" s="475"/>
      <c r="R739" s="475"/>
      <c r="S739" s="474" t="s">
        <v>1563</v>
      </c>
      <c r="T739" s="474">
        <v>60</v>
      </c>
      <c r="U739" s="474">
        <v>49204132</v>
      </c>
      <c r="V739" s="474" t="s">
        <v>986</v>
      </c>
      <c r="W739" s="474">
        <v>360</v>
      </c>
      <c r="X739" s="476">
        <v>832</v>
      </c>
      <c r="Y739" s="477">
        <f t="shared" si="162"/>
        <v>299520</v>
      </c>
      <c r="Z739" s="478">
        <f>189.8/365</f>
        <v>0.52</v>
      </c>
      <c r="AA739" s="479">
        <f t="shared" si="163"/>
        <v>155750.39999999999</v>
      </c>
      <c r="AB739" s="480"/>
      <c r="AC739" s="481">
        <v>0</v>
      </c>
      <c r="AD739" s="490"/>
      <c r="AE739" s="482"/>
      <c r="AF739" s="493">
        <f t="shared" si="164"/>
        <v>155750.39999999999</v>
      </c>
      <c r="AG739" s="474" t="s">
        <v>47</v>
      </c>
      <c r="AH739" s="474"/>
      <c r="AI739" s="483" t="s">
        <v>2442</v>
      </c>
      <c r="AJ739" s="474" t="s">
        <v>1790</v>
      </c>
      <c r="AK739" s="494" t="s">
        <v>50</v>
      </c>
      <c r="AL739" s="474">
        <v>95838</v>
      </c>
      <c r="AM739" s="474" t="s">
        <v>52</v>
      </c>
      <c r="AN739" s="474" t="s">
        <v>1074</v>
      </c>
      <c r="AO739" s="474"/>
      <c r="AP739" s="486"/>
      <c r="AQ739" s="486" t="s">
        <v>37</v>
      </c>
      <c r="AR739" s="486"/>
      <c r="AS739" s="495"/>
      <c r="AT739" s="495"/>
      <c r="AU739" s="478"/>
      <c r="AV739" s="471"/>
      <c r="AW739" s="471"/>
      <c r="AX739" s="471"/>
      <c r="AY739" s="471"/>
      <c r="AZ739" s="471"/>
      <c r="BA739" s="471"/>
      <c r="BB739" s="471"/>
      <c r="BC739" s="471"/>
    </row>
    <row r="740" spans="1:55">
      <c r="A740" s="472"/>
      <c r="B740" s="514"/>
      <c r="C740" s="514"/>
      <c r="D740" s="485" t="s">
        <v>2322</v>
      </c>
      <c r="E740" s="474" t="s">
        <v>1283</v>
      </c>
      <c r="F740" s="474"/>
      <c r="G740" s="474">
        <v>2022</v>
      </c>
      <c r="H740" s="474">
        <v>5</v>
      </c>
      <c r="I740" s="485"/>
      <c r="J740" s="475"/>
      <c r="K740" s="483" t="s">
        <v>2533</v>
      </c>
      <c r="L740" s="474" t="s">
        <v>2439</v>
      </c>
      <c r="M740" s="487">
        <v>44509</v>
      </c>
      <c r="N740" s="487">
        <v>44539</v>
      </c>
      <c r="O740" s="487"/>
      <c r="P740" s="475"/>
      <c r="Q740" s="475"/>
      <c r="R740" s="475"/>
      <c r="S740" s="474" t="s">
        <v>1563</v>
      </c>
      <c r="T740" s="474">
        <v>60</v>
      </c>
      <c r="U740" s="474">
        <v>49201132</v>
      </c>
      <c r="V740" s="474" t="s">
        <v>986</v>
      </c>
      <c r="W740" s="474">
        <v>360</v>
      </c>
      <c r="X740" s="476">
        <v>832</v>
      </c>
      <c r="Y740" s="477">
        <f t="shared" si="162"/>
        <v>299520</v>
      </c>
      <c r="Z740" s="478">
        <f>189.8/365</f>
        <v>0.52</v>
      </c>
      <c r="AA740" s="479">
        <f t="shared" si="163"/>
        <v>155750.39999999999</v>
      </c>
      <c r="AB740" s="480"/>
      <c r="AC740" s="481">
        <v>0</v>
      </c>
      <c r="AD740" s="490"/>
      <c r="AE740" s="482"/>
      <c r="AF740" s="493">
        <f t="shared" si="164"/>
        <v>155750.39999999999</v>
      </c>
      <c r="AG740" s="474" t="s">
        <v>47</v>
      </c>
      <c r="AH740" s="474"/>
      <c r="AI740" s="483" t="s">
        <v>2442</v>
      </c>
      <c r="AJ740" s="474" t="s">
        <v>1678</v>
      </c>
      <c r="AK740" s="494" t="s">
        <v>1085</v>
      </c>
      <c r="AL740" s="474" t="s">
        <v>2528</v>
      </c>
      <c r="AM740" s="474" t="s">
        <v>52</v>
      </c>
      <c r="AN740" s="474"/>
      <c r="AO740" s="474"/>
      <c r="AP740" s="486"/>
      <c r="AQ740" s="486" t="s">
        <v>37</v>
      </c>
      <c r="AR740" s="486"/>
      <c r="AS740" s="495"/>
      <c r="AT740" s="495"/>
      <c r="AU740" s="478"/>
      <c r="AV740" s="471"/>
      <c r="AW740" s="471"/>
      <c r="AX740" s="471"/>
      <c r="AY740" s="471"/>
      <c r="AZ740" s="471"/>
      <c r="BA740" s="471"/>
      <c r="BB740" s="471"/>
      <c r="BC740" s="471"/>
    </row>
    <row r="741" spans="1:55">
      <c r="A741" s="472"/>
      <c r="B741" s="514"/>
      <c r="C741" s="514"/>
      <c r="D741" s="485" t="s">
        <v>2322</v>
      </c>
      <c r="E741" s="474" t="s">
        <v>1283</v>
      </c>
      <c r="F741" s="474"/>
      <c r="G741" s="474">
        <v>2022</v>
      </c>
      <c r="H741" s="474">
        <v>5</v>
      </c>
      <c r="I741" s="485"/>
      <c r="J741" s="475"/>
      <c r="K741" s="483" t="s">
        <v>2534</v>
      </c>
      <c r="L741" s="474" t="s">
        <v>2439</v>
      </c>
      <c r="M741" s="487">
        <v>44509</v>
      </c>
      <c r="N741" s="487">
        <v>44543</v>
      </c>
      <c r="O741" s="487"/>
      <c r="P741" s="475"/>
      <c r="Q741" s="475"/>
      <c r="R741" s="475"/>
      <c r="S741" s="474" t="s">
        <v>1563</v>
      </c>
      <c r="T741" s="474">
        <v>60</v>
      </c>
      <c r="U741" s="474">
        <v>49201132</v>
      </c>
      <c r="V741" s="474" t="s">
        <v>986</v>
      </c>
      <c r="W741" s="474">
        <v>360</v>
      </c>
      <c r="X741" s="476">
        <v>832</v>
      </c>
      <c r="Y741" s="477">
        <f t="shared" si="162"/>
        <v>299520</v>
      </c>
      <c r="Z741" s="478">
        <f>189.8/365</f>
        <v>0.52</v>
      </c>
      <c r="AA741" s="479">
        <f t="shared" si="163"/>
        <v>155750.39999999999</v>
      </c>
      <c r="AB741" s="480"/>
      <c r="AC741" s="481">
        <v>0</v>
      </c>
      <c r="AD741" s="490"/>
      <c r="AE741" s="482"/>
      <c r="AF741" s="493">
        <f t="shared" si="164"/>
        <v>155750.39999999999</v>
      </c>
      <c r="AG741" s="474" t="s">
        <v>47</v>
      </c>
      <c r="AH741" s="474"/>
      <c r="AI741" s="483" t="s">
        <v>2442</v>
      </c>
      <c r="AJ741" s="474" t="s">
        <v>2450</v>
      </c>
      <c r="AK741" s="494" t="s">
        <v>50</v>
      </c>
      <c r="AL741" s="474">
        <v>92337</v>
      </c>
      <c r="AM741" s="474" t="s">
        <v>52</v>
      </c>
      <c r="AN741" s="474"/>
      <c r="AO741" s="474"/>
      <c r="AP741" s="486"/>
      <c r="AQ741" s="486" t="s">
        <v>37</v>
      </c>
      <c r="AR741" s="486"/>
      <c r="AS741" s="495"/>
      <c r="AT741" s="495"/>
      <c r="AU741" s="478"/>
      <c r="AV741" s="471"/>
      <c r="AW741" s="471"/>
      <c r="AX741" s="471"/>
      <c r="AY741" s="471"/>
      <c r="AZ741" s="471"/>
      <c r="BA741" s="471"/>
      <c r="BB741" s="471"/>
      <c r="BC741" s="471"/>
    </row>
    <row r="742" spans="1:55">
      <c r="A742" s="472"/>
      <c r="B742" s="514"/>
      <c r="C742" s="514"/>
      <c r="D742" s="485" t="s">
        <v>2322</v>
      </c>
      <c r="E742" s="474" t="s">
        <v>1283</v>
      </c>
      <c r="F742" s="474"/>
      <c r="G742" s="474">
        <v>2022</v>
      </c>
      <c r="H742" s="474">
        <v>5</v>
      </c>
      <c r="I742" s="485"/>
      <c r="J742" s="475"/>
      <c r="K742" s="483" t="s">
        <v>2535</v>
      </c>
      <c r="L742" s="474" t="s">
        <v>2439</v>
      </c>
      <c r="M742" s="487">
        <v>44509</v>
      </c>
      <c r="N742" s="487">
        <v>44545</v>
      </c>
      <c r="O742" s="487"/>
      <c r="P742" s="475"/>
      <c r="Q742" s="475"/>
      <c r="R742" s="475"/>
      <c r="S742" s="474" t="s">
        <v>1563</v>
      </c>
      <c r="T742" s="474">
        <v>60</v>
      </c>
      <c r="U742" s="474">
        <v>49201132</v>
      </c>
      <c r="V742" s="474" t="s">
        <v>986</v>
      </c>
      <c r="W742" s="474">
        <v>360</v>
      </c>
      <c r="X742" s="476">
        <v>832</v>
      </c>
      <c r="Y742" s="477">
        <f t="shared" si="162"/>
        <v>299520</v>
      </c>
      <c r="Z742" s="478">
        <f>189.8/365</f>
        <v>0.52</v>
      </c>
      <c r="AA742" s="479">
        <f t="shared" si="163"/>
        <v>155750.39999999999</v>
      </c>
      <c r="AB742" s="480"/>
      <c r="AC742" s="481">
        <v>0</v>
      </c>
      <c r="AD742" s="490"/>
      <c r="AE742" s="482"/>
      <c r="AF742" s="493">
        <f t="shared" si="164"/>
        <v>155750.39999999999</v>
      </c>
      <c r="AG742" s="474" t="s">
        <v>47</v>
      </c>
      <c r="AH742" s="474"/>
      <c r="AI742" s="483" t="s">
        <v>2442</v>
      </c>
      <c r="AJ742" s="474" t="s">
        <v>2426</v>
      </c>
      <c r="AK742" s="494" t="s">
        <v>1144</v>
      </c>
      <c r="AL742" s="474">
        <v>78218</v>
      </c>
      <c r="AM742" s="474" t="s">
        <v>52</v>
      </c>
      <c r="AN742" s="474"/>
      <c r="AO742" s="474"/>
      <c r="AP742" s="486"/>
      <c r="AQ742" s="486" t="s">
        <v>37</v>
      </c>
      <c r="AR742" s="486"/>
      <c r="AS742" s="495"/>
      <c r="AT742" s="495"/>
      <c r="AU742" s="478"/>
      <c r="AV742" s="471"/>
      <c r="AW742" s="471"/>
      <c r="AX742" s="471"/>
      <c r="AY742" s="471"/>
      <c r="AZ742" s="471"/>
      <c r="BA742" s="471"/>
      <c r="BB742" s="471"/>
      <c r="BC742" s="471"/>
    </row>
    <row r="743" spans="1:55">
      <c r="A743" s="472"/>
      <c r="B743" s="514">
        <v>44679</v>
      </c>
      <c r="C743" s="514">
        <v>44679</v>
      </c>
      <c r="D743" s="485" t="s">
        <v>2322</v>
      </c>
      <c r="E743" s="474"/>
      <c r="F743" s="474"/>
      <c r="G743" s="474">
        <v>2022</v>
      </c>
      <c r="H743" s="474">
        <v>5</v>
      </c>
      <c r="I743" s="485"/>
      <c r="J743" s="475"/>
      <c r="K743" s="610" t="s">
        <v>5496</v>
      </c>
      <c r="L743" s="483" t="s">
        <v>2439</v>
      </c>
      <c r="M743" s="487">
        <v>44671</v>
      </c>
      <c r="N743" s="487">
        <v>44697</v>
      </c>
      <c r="O743" s="487"/>
      <c r="P743" s="475"/>
      <c r="Q743" s="475"/>
      <c r="R743" s="475"/>
      <c r="S743" s="474" t="s">
        <v>1563</v>
      </c>
      <c r="T743" s="474">
        <v>72</v>
      </c>
      <c r="U743" s="474" t="s">
        <v>1109</v>
      </c>
      <c r="V743" s="474" t="s">
        <v>1070</v>
      </c>
      <c r="W743" s="474">
        <v>480</v>
      </c>
      <c r="X743" s="476">
        <v>1276</v>
      </c>
      <c r="Y743" s="477">
        <f t="shared" si="162"/>
        <v>612480</v>
      </c>
      <c r="Z743" s="478">
        <v>0.55500000000000005</v>
      </c>
      <c r="AA743" s="479">
        <f t="shared" si="163"/>
        <v>339926.4</v>
      </c>
      <c r="AB743" s="480"/>
      <c r="AC743" s="481">
        <f>AB743*Y743</f>
        <v>0</v>
      </c>
      <c r="AD743" s="490"/>
      <c r="AE743" s="482"/>
      <c r="AF743" s="493">
        <f t="shared" si="164"/>
        <v>339926.4</v>
      </c>
      <c r="AG743" s="474" t="s">
        <v>47</v>
      </c>
      <c r="AH743" s="474"/>
      <c r="AI743" s="483">
        <v>60</v>
      </c>
      <c r="AJ743" s="474" t="s">
        <v>1790</v>
      </c>
      <c r="AK743" s="494" t="s">
        <v>50</v>
      </c>
      <c r="AL743" s="483" t="s">
        <v>1791</v>
      </c>
      <c r="AM743" s="474" t="s">
        <v>52</v>
      </c>
      <c r="AN743" s="474"/>
      <c r="AO743" s="474"/>
      <c r="AP743" s="486" t="s">
        <v>38</v>
      </c>
      <c r="AQ743" s="486"/>
      <c r="AR743" s="478" t="s">
        <v>2367</v>
      </c>
      <c r="AS743" s="495"/>
      <c r="AT743" s="495"/>
      <c r="AU743" s="478"/>
      <c r="AV743" s="471"/>
      <c r="AW743" s="471"/>
      <c r="AX743" s="471"/>
      <c r="AY743" s="471"/>
      <c r="AZ743" s="471"/>
      <c r="BA743" s="471"/>
      <c r="BB743" s="471"/>
      <c r="BC743" s="471"/>
    </row>
    <row r="744" spans="1:55">
      <c r="A744" s="472"/>
      <c r="B744" s="514" t="s">
        <v>1211</v>
      </c>
      <c r="C744" s="472" t="s">
        <v>1211</v>
      </c>
      <c r="D744" s="485" t="s">
        <v>2322</v>
      </c>
      <c r="E744" s="474" t="s">
        <v>5650</v>
      </c>
      <c r="F744" s="474"/>
      <c r="G744" s="474">
        <v>2022</v>
      </c>
      <c r="H744" s="474">
        <v>5</v>
      </c>
      <c r="I744" s="485"/>
      <c r="J744" s="475"/>
      <c r="K744" s="610" t="s">
        <v>5651</v>
      </c>
      <c r="L744" s="483" t="s">
        <v>2439</v>
      </c>
      <c r="M744" s="487">
        <v>44678</v>
      </c>
      <c r="N744" s="487">
        <v>44691</v>
      </c>
      <c r="O744" s="487"/>
      <c r="P744" s="475"/>
      <c r="Q744" s="475"/>
      <c r="R744" s="475"/>
      <c r="S744" s="474" t="s">
        <v>1563</v>
      </c>
      <c r="T744" s="474">
        <v>72</v>
      </c>
      <c r="U744" s="474" t="s">
        <v>1109</v>
      </c>
      <c r="V744" s="474" t="s">
        <v>1070</v>
      </c>
      <c r="W744" s="474">
        <v>480</v>
      </c>
      <c r="X744" s="476">
        <v>638</v>
      </c>
      <c r="Y744" s="477">
        <f>X744*W744</f>
        <v>306240</v>
      </c>
      <c r="Z744" s="478">
        <v>0.55500000000000005</v>
      </c>
      <c r="AA744" s="479">
        <f>Z744*Y744</f>
        <v>169963.2</v>
      </c>
      <c r="AB744" s="480"/>
      <c r="AC744" s="481">
        <f>AB744*Y744</f>
        <v>0</v>
      </c>
      <c r="AD744" s="490"/>
      <c r="AE744" s="482"/>
      <c r="AF744" s="493">
        <f>AA744+AE744</f>
        <v>169963.2</v>
      </c>
      <c r="AG744" s="474" t="s">
        <v>47</v>
      </c>
      <c r="AH744" s="474"/>
      <c r="AI744" s="483">
        <v>60</v>
      </c>
      <c r="AJ744" s="474" t="s">
        <v>2421</v>
      </c>
      <c r="AK744" s="494" t="s">
        <v>1347</v>
      </c>
      <c r="AL744" s="483" t="s">
        <v>5652</v>
      </c>
      <c r="AM744" s="474" t="s">
        <v>52</v>
      </c>
      <c r="AN744" s="474"/>
      <c r="AO744" s="474"/>
      <c r="AP744" s="486"/>
      <c r="AQ744" s="486"/>
      <c r="AR744" s="478" t="s">
        <v>2367</v>
      </c>
      <c r="AS744" s="495"/>
      <c r="AT744" s="495"/>
      <c r="AU744" s="478"/>
      <c r="AV744" s="471"/>
      <c r="AW744" s="471"/>
      <c r="AX744" s="471"/>
      <c r="AY744" s="471"/>
      <c r="AZ744" s="471"/>
      <c r="BA744" s="471"/>
      <c r="BB744" s="471"/>
      <c r="BC744" s="471"/>
    </row>
    <row r="745" spans="1:55">
      <c r="A745" s="472"/>
      <c r="B745" s="514" t="s">
        <v>1211</v>
      </c>
      <c r="C745" s="472" t="s">
        <v>1211</v>
      </c>
      <c r="D745" s="485" t="s">
        <v>2322</v>
      </c>
      <c r="E745" s="474" t="s">
        <v>5650</v>
      </c>
      <c r="F745" s="474"/>
      <c r="G745" s="474">
        <v>2022</v>
      </c>
      <c r="H745" s="474">
        <v>5</v>
      </c>
      <c r="I745" s="485"/>
      <c r="J745" s="475"/>
      <c r="K745" s="610" t="s">
        <v>5738</v>
      </c>
      <c r="L745" s="483" t="s">
        <v>2439</v>
      </c>
      <c r="M745" s="487">
        <v>44677</v>
      </c>
      <c r="N745" s="487">
        <v>44691</v>
      </c>
      <c r="O745" s="487"/>
      <c r="P745" s="475"/>
      <c r="Q745" s="475"/>
      <c r="R745" s="475"/>
      <c r="S745" s="474" t="s">
        <v>1563</v>
      </c>
      <c r="T745" s="474">
        <v>72</v>
      </c>
      <c r="U745" s="474" t="s">
        <v>1109</v>
      </c>
      <c r="V745" s="474" t="s">
        <v>995</v>
      </c>
      <c r="W745" s="474">
        <v>480</v>
      </c>
      <c r="X745" s="476">
        <v>638</v>
      </c>
      <c r="Y745" s="477">
        <f>X745*W745</f>
        <v>306240</v>
      </c>
      <c r="Z745" s="478">
        <v>0.495</v>
      </c>
      <c r="AA745" s="479">
        <f>Z745*Y745</f>
        <v>151588.79999999999</v>
      </c>
      <c r="AB745" s="480"/>
      <c r="AC745" s="481">
        <f>AB745*Y745</f>
        <v>0</v>
      </c>
      <c r="AD745" s="490"/>
      <c r="AE745" s="482"/>
      <c r="AF745" s="493">
        <f>AA745+AE745</f>
        <v>151588.79999999999</v>
      </c>
      <c r="AG745" s="474" t="s">
        <v>47</v>
      </c>
      <c r="AH745" s="474"/>
      <c r="AI745" s="483">
        <v>60</v>
      </c>
      <c r="AJ745" s="474" t="s">
        <v>2277</v>
      </c>
      <c r="AK745" s="494" t="s">
        <v>1084</v>
      </c>
      <c r="AL745" s="483" t="s">
        <v>2448</v>
      </c>
      <c r="AM745" s="474" t="s">
        <v>52</v>
      </c>
      <c r="AN745" s="474"/>
      <c r="AO745" s="474"/>
      <c r="AP745" s="486"/>
      <c r="AQ745" s="486"/>
      <c r="AR745" s="478" t="s">
        <v>2367</v>
      </c>
      <c r="AS745" s="495"/>
      <c r="AT745" s="495"/>
      <c r="AU745" s="478"/>
      <c r="AV745" s="471"/>
      <c r="AW745" s="471"/>
      <c r="AX745" s="471"/>
      <c r="AY745" s="471"/>
      <c r="AZ745" s="471"/>
      <c r="BA745" s="471"/>
      <c r="BB745" s="471"/>
      <c r="BC745" s="471"/>
    </row>
    <row r="746" spans="1:55">
      <c r="A746" s="472"/>
      <c r="B746" s="514" t="s">
        <v>1211</v>
      </c>
      <c r="C746" s="472" t="s">
        <v>1211</v>
      </c>
      <c r="D746" s="485" t="s">
        <v>2322</v>
      </c>
      <c r="E746" s="474" t="s">
        <v>5650</v>
      </c>
      <c r="F746" s="474"/>
      <c r="G746" s="474">
        <v>2022</v>
      </c>
      <c r="H746" s="474">
        <v>5</v>
      </c>
      <c r="I746" s="485"/>
      <c r="J746" s="475"/>
      <c r="K746" s="610" t="s">
        <v>5739</v>
      </c>
      <c r="L746" s="483" t="s">
        <v>2439</v>
      </c>
      <c r="M746" s="487">
        <v>44677</v>
      </c>
      <c r="N746" s="487">
        <v>44691</v>
      </c>
      <c r="O746" s="487"/>
      <c r="P746" s="475"/>
      <c r="Q746" s="475"/>
      <c r="R746" s="475"/>
      <c r="S746" s="474" t="s">
        <v>1563</v>
      </c>
      <c r="T746" s="474">
        <v>72</v>
      </c>
      <c r="U746" s="474" t="s">
        <v>1109</v>
      </c>
      <c r="V746" s="474" t="s">
        <v>995</v>
      </c>
      <c r="W746" s="474">
        <v>480</v>
      </c>
      <c r="X746" s="476">
        <v>638</v>
      </c>
      <c r="Y746" s="477">
        <f>X746*W746</f>
        <v>306240</v>
      </c>
      <c r="Z746" s="478">
        <v>0.495</v>
      </c>
      <c r="AA746" s="479">
        <f>Z746*Y746</f>
        <v>151588.79999999999</v>
      </c>
      <c r="AB746" s="480"/>
      <c r="AC746" s="481">
        <f>AB746*Y746</f>
        <v>0</v>
      </c>
      <c r="AD746" s="490"/>
      <c r="AE746" s="482"/>
      <c r="AF746" s="493">
        <f>AA746+AE746</f>
        <v>151588.79999999999</v>
      </c>
      <c r="AG746" s="474" t="s">
        <v>47</v>
      </c>
      <c r="AH746" s="474"/>
      <c r="AI746" s="483">
        <v>60</v>
      </c>
      <c r="AJ746" s="474" t="s">
        <v>5740</v>
      </c>
      <c r="AK746" s="494" t="s">
        <v>1144</v>
      </c>
      <c r="AL746" s="483" t="s">
        <v>5741</v>
      </c>
      <c r="AM746" s="474" t="s">
        <v>52</v>
      </c>
      <c r="AN746" s="474"/>
      <c r="AO746" s="474"/>
      <c r="AP746" s="486"/>
      <c r="AQ746" s="486"/>
      <c r="AR746" s="478" t="s">
        <v>2367</v>
      </c>
      <c r="AS746" s="495"/>
      <c r="AT746" s="495"/>
      <c r="AU746" s="478"/>
      <c r="AV746" s="471"/>
      <c r="AW746" s="471"/>
      <c r="AX746" s="471"/>
      <c r="AY746" s="471"/>
      <c r="AZ746" s="471"/>
      <c r="BA746" s="471"/>
      <c r="BB746" s="471"/>
      <c r="BC746" s="471"/>
    </row>
    <row r="747" spans="1:55">
      <c r="A747" s="472"/>
      <c r="B747" s="514" t="s">
        <v>1211</v>
      </c>
      <c r="C747" s="472" t="s">
        <v>1211</v>
      </c>
      <c r="D747" s="485" t="s">
        <v>2322</v>
      </c>
      <c r="E747" s="474" t="s">
        <v>5650</v>
      </c>
      <c r="F747" s="474"/>
      <c r="G747" s="474">
        <v>2022</v>
      </c>
      <c r="H747" s="474">
        <v>5</v>
      </c>
      <c r="I747" s="485"/>
      <c r="J747" s="475"/>
      <c r="K747" s="610" t="s">
        <v>5742</v>
      </c>
      <c r="L747" s="483" t="s">
        <v>2439</v>
      </c>
      <c r="M747" s="487">
        <v>44677</v>
      </c>
      <c r="N747" s="487">
        <v>44691</v>
      </c>
      <c r="O747" s="487"/>
      <c r="P747" s="475"/>
      <c r="Q747" s="475"/>
      <c r="R747" s="475"/>
      <c r="S747" s="474" t="s">
        <v>1563</v>
      </c>
      <c r="T747" s="474">
        <v>72</v>
      </c>
      <c r="U747" s="474" t="s">
        <v>1109</v>
      </c>
      <c r="V747" s="474" t="s">
        <v>995</v>
      </c>
      <c r="W747" s="474">
        <v>480</v>
      </c>
      <c r="X747" s="476">
        <v>638</v>
      </c>
      <c r="Y747" s="477">
        <f>X747*W747</f>
        <v>306240</v>
      </c>
      <c r="Z747" s="478">
        <v>0.495</v>
      </c>
      <c r="AA747" s="479">
        <f>Z747*Y747</f>
        <v>151588.79999999999</v>
      </c>
      <c r="AB747" s="480"/>
      <c r="AC747" s="481">
        <f>AB747*Y747</f>
        <v>0</v>
      </c>
      <c r="AD747" s="490"/>
      <c r="AE747" s="482"/>
      <c r="AF747" s="493">
        <f>AA747+AE747</f>
        <v>151588.79999999999</v>
      </c>
      <c r="AG747" s="474" t="s">
        <v>47</v>
      </c>
      <c r="AH747" s="474"/>
      <c r="AI747" s="483">
        <v>60</v>
      </c>
      <c r="AJ747" s="474" t="s">
        <v>2421</v>
      </c>
      <c r="AK747" s="494" t="s">
        <v>1347</v>
      </c>
      <c r="AL747" s="483" t="s">
        <v>5652</v>
      </c>
      <c r="AM747" s="474" t="s">
        <v>52</v>
      </c>
      <c r="AN747" s="474"/>
      <c r="AO747" s="474"/>
      <c r="AP747" s="486"/>
      <c r="AQ747" s="486"/>
      <c r="AR747" s="478" t="s">
        <v>2367</v>
      </c>
      <c r="AS747" s="495"/>
      <c r="AT747" s="495"/>
      <c r="AU747" s="478"/>
      <c r="AV747" s="471"/>
      <c r="AW747" s="471"/>
      <c r="AX747" s="471"/>
      <c r="AY747" s="471"/>
      <c r="AZ747" s="471"/>
      <c r="BA747" s="471"/>
      <c r="BB747" s="471"/>
      <c r="BC747" s="471"/>
    </row>
    <row r="748" spans="1:55">
      <c r="A748" s="472"/>
      <c r="B748" s="514" t="s">
        <v>1211</v>
      </c>
      <c r="C748" s="472" t="s">
        <v>1211</v>
      </c>
      <c r="D748" s="485" t="s">
        <v>2322</v>
      </c>
      <c r="E748" s="474" t="s">
        <v>5650</v>
      </c>
      <c r="F748" s="474"/>
      <c r="G748" s="474">
        <v>2022</v>
      </c>
      <c r="H748" s="474">
        <v>5</v>
      </c>
      <c r="I748" s="485"/>
      <c r="J748" s="475"/>
      <c r="K748" s="610" t="s">
        <v>5743</v>
      </c>
      <c r="L748" s="483" t="s">
        <v>2439</v>
      </c>
      <c r="M748" s="487">
        <v>44677</v>
      </c>
      <c r="N748" s="487">
        <v>44691</v>
      </c>
      <c r="O748" s="487"/>
      <c r="P748" s="475"/>
      <c r="Q748" s="475"/>
      <c r="R748" s="475"/>
      <c r="S748" s="474" t="s">
        <v>1563</v>
      </c>
      <c r="T748" s="474">
        <v>72</v>
      </c>
      <c r="U748" s="474" t="s">
        <v>1109</v>
      </c>
      <c r="V748" s="474" t="s">
        <v>995</v>
      </c>
      <c r="W748" s="474">
        <v>480</v>
      </c>
      <c r="X748" s="476">
        <v>638</v>
      </c>
      <c r="Y748" s="477">
        <f t="shared" ref="Y748:Y811" si="169">X748*W748</f>
        <v>306240</v>
      </c>
      <c r="Z748" s="478">
        <v>0.495</v>
      </c>
      <c r="AA748" s="479">
        <f t="shared" ref="AA748:AA811" si="170">Z748*Y748</f>
        <v>151588.79999999999</v>
      </c>
      <c r="AB748" s="480"/>
      <c r="AC748" s="481">
        <f>AB748*Y748</f>
        <v>0</v>
      </c>
      <c r="AD748" s="490"/>
      <c r="AE748" s="482"/>
      <c r="AF748" s="493">
        <f t="shared" ref="AF748:AF811" si="171">AA748+AE748</f>
        <v>151588.79999999999</v>
      </c>
      <c r="AG748" s="474" t="s">
        <v>47</v>
      </c>
      <c r="AH748" s="474"/>
      <c r="AI748" s="483">
        <v>60</v>
      </c>
      <c r="AJ748" s="474" t="s">
        <v>1678</v>
      </c>
      <c r="AK748" s="494" t="s">
        <v>1085</v>
      </c>
      <c r="AL748" s="483" t="s">
        <v>2528</v>
      </c>
      <c r="AM748" s="474" t="s">
        <v>52</v>
      </c>
      <c r="AN748" s="474"/>
      <c r="AO748" s="474"/>
      <c r="AP748" s="486"/>
      <c r="AQ748" s="486"/>
      <c r="AR748" s="478" t="s">
        <v>2367</v>
      </c>
      <c r="AS748" s="495"/>
      <c r="AT748" s="495"/>
      <c r="AU748" s="478"/>
      <c r="AV748" s="471"/>
      <c r="AW748" s="471"/>
      <c r="AX748" s="471"/>
      <c r="AY748" s="471"/>
      <c r="AZ748" s="471"/>
      <c r="BA748" s="471"/>
      <c r="BB748" s="471"/>
      <c r="BC748" s="471"/>
    </row>
    <row r="749" spans="1:55">
      <c r="A749" s="472"/>
      <c r="B749" s="514"/>
      <c r="C749" s="514"/>
      <c r="D749" s="485" t="s">
        <v>2322</v>
      </c>
      <c r="E749" s="474"/>
      <c r="F749" s="474"/>
      <c r="G749" s="474">
        <v>2022</v>
      </c>
      <c r="H749" s="474">
        <v>6</v>
      </c>
      <c r="I749" s="485"/>
      <c r="J749" s="475"/>
      <c r="K749" s="483" t="s">
        <v>2661</v>
      </c>
      <c r="L749" s="474" t="s">
        <v>2439</v>
      </c>
      <c r="M749" s="487">
        <v>44463</v>
      </c>
      <c r="N749" s="487">
        <v>44718</v>
      </c>
      <c r="O749" s="487"/>
      <c r="P749" s="475"/>
      <c r="Q749" s="475"/>
      <c r="R749" s="475"/>
      <c r="S749" s="474" t="s">
        <v>1563</v>
      </c>
      <c r="T749" s="474">
        <v>60</v>
      </c>
      <c r="U749" s="474" t="s">
        <v>1281</v>
      </c>
      <c r="V749" s="474" t="s">
        <v>2525</v>
      </c>
      <c r="W749" s="474">
        <v>395</v>
      </c>
      <c r="X749" s="476">
        <v>832</v>
      </c>
      <c r="Y749" s="477">
        <f t="shared" si="169"/>
        <v>328640</v>
      </c>
      <c r="Z749" s="478">
        <f t="shared" ref="Z749:Z758" si="172">221.2/395</f>
        <v>0.55999999999999994</v>
      </c>
      <c r="AA749" s="479">
        <f t="shared" si="170"/>
        <v>184038.39999999999</v>
      </c>
      <c r="AB749" s="480"/>
      <c r="AC749" s="481">
        <v>0</v>
      </c>
      <c r="AD749" s="490"/>
      <c r="AE749" s="482"/>
      <c r="AF749" s="493">
        <f t="shared" si="171"/>
        <v>184038.39999999999</v>
      </c>
      <c r="AG749" s="474" t="s">
        <v>47</v>
      </c>
      <c r="AH749" s="474" t="s">
        <v>2444</v>
      </c>
      <c r="AI749" s="483">
        <v>60</v>
      </c>
      <c r="AJ749" s="474" t="s">
        <v>1790</v>
      </c>
      <c r="AK749" s="494" t="s">
        <v>50</v>
      </c>
      <c r="AL749" s="474" t="s">
        <v>2452</v>
      </c>
      <c r="AM749" s="474" t="s">
        <v>52</v>
      </c>
      <c r="AN749" s="474"/>
      <c r="AO749" s="474"/>
      <c r="AP749" s="486"/>
      <c r="AQ749" s="486"/>
      <c r="AR749" s="486"/>
      <c r="AS749" s="495"/>
      <c r="AT749" s="495"/>
      <c r="AU749" s="478"/>
      <c r="AV749" s="471"/>
      <c r="AW749" s="471"/>
      <c r="AX749" s="471"/>
      <c r="AY749" s="471"/>
      <c r="AZ749" s="471"/>
      <c r="BA749" s="471"/>
      <c r="BB749" s="471"/>
      <c r="BC749" s="471"/>
    </row>
    <row r="750" spans="1:55">
      <c r="A750" s="472"/>
      <c r="B750" s="514"/>
      <c r="C750" s="514"/>
      <c r="D750" s="485" t="s">
        <v>2322</v>
      </c>
      <c r="E750" s="474"/>
      <c r="F750" s="474"/>
      <c r="G750" s="474">
        <v>2022</v>
      </c>
      <c r="H750" s="474">
        <v>6</v>
      </c>
      <c r="I750" s="485"/>
      <c r="J750" s="475"/>
      <c r="K750" s="483" t="s">
        <v>2662</v>
      </c>
      <c r="L750" s="474" t="s">
        <v>2439</v>
      </c>
      <c r="M750" s="487">
        <v>44463</v>
      </c>
      <c r="N750" s="487">
        <v>44728</v>
      </c>
      <c r="O750" s="487"/>
      <c r="P750" s="475"/>
      <c r="Q750" s="475"/>
      <c r="R750" s="475"/>
      <c r="S750" s="474" t="s">
        <v>1563</v>
      </c>
      <c r="T750" s="474">
        <v>60</v>
      </c>
      <c r="U750" s="474" t="s">
        <v>1281</v>
      </c>
      <c r="V750" s="474" t="s">
        <v>2525</v>
      </c>
      <c r="W750" s="474">
        <v>395</v>
      </c>
      <c r="X750" s="476">
        <v>832</v>
      </c>
      <c r="Y750" s="477">
        <f t="shared" si="169"/>
        <v>328640</v>
      </c>
      <c r="Z750" s="478">
        <f t="shared" si="172"/>
        <v>0.55999999999999994</v>
      </c>
      <c r="AA750" s="479">
        <f t="shared" si="170"/>
        <v>184038.39999999999</v>
      </c>
      <c r="AB750" s="480"/>
      <c r="AC750" s="481">
        <v>0</v>
      </c>
      <c r="AD750" s="490"/>
      <c r="AE750" s="482"/>
      <c r="AF750" s="493">
        <f t="shared" si="171"/>
        <v>184038.39999999999</v>
      </c>
      <c r="AG750" s="474" t="s">
        <v>47</v>
      </c>
      <c r="AH750" s="474" t="s">
        <v>2444</v>
      </c>
      <c r="AI750" s="483">
        <v>60</v>
      </c>
      <c r="AJ750" s="474" t="s">
        <v>1790</v>
      </c>
      <c r="AK750" s="494" t="s">
        <v>50</v>
      </c>
      <c r="AL750" s="474" t="s">
        <v>2452</v>
      </c>
      <c r="AM750" s="474" t="s">
        <v>52</v>
      </c>
      <c r="AN750" s="474"/>
      <c r="AO750" s="474"/>
      <c r="AP750" s="486"/>
      <c r="AQ750" s="486"/>
      <c r="AR750" s="486"/>
      <c r="AS750" s="495"/>
      <c r="AT750" s="495"/>
      <c r="AU750" s="478"/>
      <c r="AV750" s="471"/>
      <c r="AW750" s="471"/>
      <c r="AX750" s="471"/>
      <c r="AY750" s="471"/>
      <c r="AZ750" s="471"/>
      <c r="BA750" s="471"/>
      <c r="BB750" s="471"/>
      <c r="BC750" s="471"/>
    </row>
    <row r="751" spans="1:55">
      <c r="A751" s="472"/>
      <c r="B751" s="514"/>
      <c r="C751" s="514"/>
      <c r="D751" s="485" t="s">
        <v>2322</v>
      </c>
      <c r="E751" s="474"/>
      <c r="F751" s="474"/>
      <c r="G751" s="474">
        <v>2022</v>
      </c>
      <c r="H751" s="474">
        <v>6</v>
      </c>
      <c r="I751" s="485"/>
      <c r="J751" s="475"/>
      <c r="K751" s="483" t="s">
        <v>2663</v>
      </c>
      <c r="L751" s="474" t="s">
        <v>2439</v>
      </c>
      <c r="M751" s="487">
        <v>44463</v>
      </c>
      <c r="N751" s="487">
        <v>44735</v>
      </c>
      <c r="O751" s="487"/>
      <c r="P751" s="475"/>
      <c r="Q751" s="475"/>
      <c r="R751" s="475"/>
      <c r="S751" s="474" t="s">
        <v>1563</v>
      </c>
      <c r="T751" s="474">
        <v>60</v>
      </c>
      <c r="U751" s="474" t="s">
        <v>1281</v>
      </c>
      <c r="V751" s="474" t="s">
        <v>2525</v>
      </c>
      <c r="W751" s="474">
        <v>395</v>
      </c>
      <c r="X751" s="476">
        <v>832</v>
      </c>
      <c r="Y751" s="477">
        <f t="shared" si="169"/>
        <v>328640</v>
      </c>
      <c r="Z751" s="478">
        <f t="shared" si="172"/>
        <v>0.55999999999999994</v>
      </c>
      <c r="AA751" s="479">
        <f t="shared" si="170"/>
        <v>184038.39999999999</v>
      </c>
      <c r="AB751" s="480"/>
      <c r="AC751" s="481">
        <v>0</v>
      </c>
      <c r="AD751" s="490"/>
      <c r="AE751" s="482"/>
      <c r="AF751" s="493">
        <f t="shared" si="171"/>
        <v>184038.39999999999</v>
      </c>
      <c r="AG751" s="474" t="s">
        <v>47</v>
      </c>
      <c r="AH751" s="474" t="s">
        <v>2444</v>
      </c>
      <c r="AI751" s="483">
        <v>60</v>
      </c>
      <c r="AJ751" s="474" t="s">
        <v>1790</v>
      </c>
      <c r="AK751" s="494" t="s">
        <v>50</v>
      </c>
      <c r="AL751" s="474" t="s">
        <v>2452</v>
      </c>
      <c r="AM751" s="474" t="s">
        <v>52</v>
      </c>
      <c r="AN751" s="474"/>
      <c r="AO751" s="474"/>
      <c r="AP751" s="486"/>
      <c r="AQ751" s="486"/>
      <c r="AR751" s="486"/>
      <c r="AS751" s="495"/>
      <c r="AT751" s="495"/>
      <c r="AU751" s="478"/>
      <c r="AV751" s="471"/>
      <c r="AW751" s="471"/>
      <c r="AX751" s="471"/>
      <c r="AY751" s="471"/>
      <c r="AZ751" s="471"/>
      <c r="BA751" s="471"/>
      <c r="BB751" s="471"/>
      <c r="BC751" s="471"/>
    </row>
    <row r="752" spans="1:55">
      <c r="A752" s="472"/>
      <c r="B752" s="514"/>
      <c r="C752" s="514"/>
      <c r="D752" s="485" t="s">
        <v>2322</v>
      </c>
      <c r="E752" s="474"/>
      <c r="F752" s="474"/>
      <c r="G752" s="474">
        <v>2022</v>
      </c>
      <c r="H752" s="474">
        <v>6</v>
      </c>
      <c r="I752" s="485"/>
      <c r="J752" s="475"/>
      <c r="K752" s="483" t="s">
        <v>2664</v>
      </c>
      <c r="L752" s="474" t="s">
        <v>2439</v>
      </c>
      <c r="M752" s="487">
        <v>44463</v>
      </c>
      <c r="N752" s="487">
        <v>44722</v>
      </c>
      <c r="O752" s="487"/>
      <c r="P752" s="475"/>
      <c r="Q752" s="475"/>
      <c r="R752" s="475"/>
      <c r="S752" s="474" t="s">
        <v>1563</v>
      </c>
      <c r="T752" s="474">
        <v>60</v>
      </c>
      <c r="U752" s="474" t="s">
        <v>1281</v>
      </c>
      <c r="V752" s="474" t="s">
        <v>2525</v>
      </c>
      <c r="W752" s="474">
        <v>395</v>
      </c>
      <c r="X752" s="476">
        <v>832</v>
      </c>
      <c r="Y752" s="477">
        <f t="shared" si="169"/>
        <v>328640</v>
      </c>
      <c r="Z752" s="478">
        <f t="shared" si="172"/>
        <v>0.55999999999999994</v>
      </c>
      <c r="AA752" s="479">
        <f t="shared" si="170"/>
        <v>184038.39999999999</v>
      </c>
      <c r="AB752" s="480"/>
      <c r="AC752" s="481">
        <v>0</v>
      </c>
      <c r="AD752" s="490"/>
      <c r="AE752" s="482"/>
      <c r="AF752" s="493">
        <f t="shared" si="171"/>
        <v>184038.39999999999</v>
      </c>
      <c r="AG752" s="474" t="s">
        <v>47</v>
      </c>
      <c r="AH752" s="474" t="s">
        <v>2444</v>
      </c>
      <c r="AI752" s="483">
        <v>60</v>
      </c>
      <c r="AJ752" s="474" t="s">
        <v>2450</v>
      </c>
      <c r="AK752" s="494" t="s">
        <v>50</v>
      </c>
      <c r="AL752" s="474" t="s">
        <v>2537</v>
      </c>
      <c r="AM752" s="474" t="s">
        <v>52</v>
      </c>
      <c r="AN752" s="474"/>
      <c r="AO752" s="474"/>
      <c r="AP752" s="486"/>
      <c r="AQ752" s="486"/>
      <c r="AR752" s="486"/>
      <c r="AS752" s="495"/>
      <c r="AT752" s="495"/>
      <c r="AU752" s="478"/>
      <c r="AV752" s="471"/>
      <c r="AW752" s="471"/>
      <c r="AX752" s="471"/>
      <c r="AY752" s="471"/>
      <c r="AZ752" s="471"/>
      <c r="BA752" s="471"/>
      <c r="BB752" s="471"/>
      <c r="BC752" s="471"/>
    </row>
    <row r="753" spans="1:55">
      <c r="A753" s="472"/>
      <c r="B753" s="514"/>
      <c r="C753" s="514"/>
      <c r="D753" s="485" t="s">
        <v>2322</v>
      </c>
      <c r="E753" s="474"/>
      <c r="F753" s="474"/>
      <c r="G753" s="474">
        <v>2022</v>
      </c>
      <c r="H753" s="474">
        <v>6</v>
      </c>
      <c r="I753" s="485"/>
      <c r="J753" s="475"/>
      <c r="K753" s="483" t="s">
        <v>2665</v>
      </c>
      <c r="L753" s="474" t="s">
        <v>2439</v>
      </c>
      <c r="M753" s="487">
        <v>44463</v>
      </c>
      <c r="N753" s="487">
        <v>44732</v>
      </c>
      <c r="O753" s="487"/>
      <c r="P753" s="475"/>
      <c r="Q753" s="475"/>
      <c r="R753" s="475"/>
      <c r="S753" s="474" t="s">
        <v>1563</v>
      </c>
      <c r="T753" s="474">
        <v>60</v>
      </c>
      <c r="U753" s="474" t="s">
        <v>1281</v>
      </c>
      <c r="V753" s="474" t="s">
        <v>2525</v>
      </c>
      <c r="W753" s="474">
        <v>395</v>
      </c>
      <c r="X753" s="476">
        <v>832</v>
      </c>
      <c r="Y753" s="477">
        <f t="shared" si="169"/>
        <v>328640</v>
      </c>
      <c r="Z753" s="478">
        <f t="shared" si="172"/>
        <v>0.55999999999999994</v>
      </c>
      <c r="AA753" s="479">
        <f t="shared" si="170"/>
        <v>184038.39999999999</v>
      </c>
      <c r="AB753" s="480"/>
      <c r="AC753" s="481">
        <v>0</v>
      </c>
      <c r="AD753" s="490"/>
      <c r="AE753" s="482"/>
      <c r="AF753" s="493">
        <f t="shared" si="171"/>
        <v>184038.39999999999</v>
      </c>
      <c r="AG753" s="474" t="s">
        <v>47</v>
      </c>
      <c r="AH753" s="474" t="s">
        <v>2444</v>
      </c>
      <c r="AI753" s="483">
        <v>60</v>
      </c>
      <c r="AJ753" s="474" t="s">
        <v>2450</v>
      </c>
      <c r="AK753" s="494" t="s">
        <v>50</v>
      </c>
      <c r="AL753" s="474" t="s">
        <v>2537</v>
      </c>
      <c r="AM753" s="474" t="s">
        <v>52</v>
      </c>
      <c r="AN753" s="474"/>
      <c r="AO753" s="474"/>
      <c r="AP753" s="486"/>
      <c r="AQ753" s="486"/>
      <c r="AR753" s="486"/>
      <c r="AS753" s="495"/>
      <c r="AT753" s="495"/>
      <c r="AU753" s="478"/>
      <c r="AV753" s="471"/>
      <c r="AW753" s="471"/>
      <c r="AX753" s="471"/>
      <c r="AY753" s="471"/>
      <c r="AZ753" s="471"/>
      <c r="BA753" s="471"/>
      <c r="BB753" s="471"/>
      <c r="BC753" s="471"/>
    </row>
    <row r="754" spans="1:55">
      <c r="A754" s="472"/>
      <c r="B754" s="514"/>
      <c r="C754" s="514"/>
      <c r="D754" s="485" t="s">
        <v>2322</v>
      </c>
      <c r="E754" s="474"/>
      <c r="F754" s="474"/>
      <c r="G754" s="474">
        <v>2022</v>
      </c>
      <c r="H754" s="474">
        <v>6</v>
      </c>
      <c r="I754" s="485"/>
      <c r="J754" s="475"/>
      <c r="K754" s="483" t="s">
        <v>2666</v>
      </c>
      <c r="L754" s="474" t="s">
        <v>2439</v>
      </c>
      <c r="M754" s="487">
        <v>44463</v>
      </c>
      <c r="N754" s="487">
        <v>44727</v>
      </c>
      <c r="O754" s="487"/>
      <c r="P754" s="475"/>
      <c r="Q754" s="475"/>
      <c r="R754" s="475"/>
      <c r="S754" s="474" t="s">
        <v>1563</v>
      </c>
      <c r="T754" s="474">
        <v>60</v>
      </c>
      <c r="U754" s="474" t="s">
        <v>1281</v>
      </c>
      <c r="V754" s="474" t="s">
        <v>2525</v>
      </c>
      <c r="W754" s="474">
        <v>395</v>
      </c>
      <c r="X754" s="476">
        <v>832</v>
      </c>
      <c r="Y754" s="477">
        <f t="shared" si="169"/>
        <v>328640</v>
      </c>
      <c r="Z754" s="478">
        <f t="shared" si="172"/>
        <v>0.55999999999999994</v>
      </c>
      <c r="AA754" s="479">
        <f t="shared" si="170"/>
        <v>184038.39999999999</v>
      </c>
      <c r="AB754" s="480"/>
      <c r="AC754" s="481">
        <v>0</v>
      </c>
      <c r="AD754" s="490"/>
      <c r="AE754" s="482"/>
      <c r="AF754" s="493">
        <f t="shared" si="171"/>
        <v>184038.39999999999</v>
      </c>
      <c r="AG754" s="474" t="s">
        <v>47</v>
      </c>
      <c r="AH754" s="474" t="s">
        <v>2444</v>
      </c>
      <c r="AI754" s="483">
        <v>60</v>
      </c>
      <c r="AJ754" s="474" t="s">
        <v>2426</v>
      </c>
      <c r="AK754" s="494" t="s">
        <v>1144</v>
      </c>
      <c r="AL754" s="474" t="s">
        <v>2541</v>
      </c>
      <c r="AM754" s="474" t="s">
        <v>52</v>
      </c>
      <c r="AN754" s="474"/>
      <c r="AO754" s="474"/>
      <c r="AP754" s="486"/>
      <c r="AQ754" s="486"/>
      <c r="AR754" s="486"/>
      <c r="AS754" s="495"/>
      <c r="AT754" s="495"/>
      <c r="AU754" s="478"/>
      <c r="AV754" s="471"/>
      <c r="AW754" s="471"/>
      <c r="AX754" s="471"/>
      <c r="AY754" s="471"/>
      <c r="AZ754" s="471"/>
      <c r="BA754" s="471"/>
      <c r="BB754" s="471"/>
      <c r="BC754" s="471"/>
    </row>
    <row r="755" spans="1:55">
      <c r="A755" s="472"/>
      <c r="B755" s="514"/>
      <c r="C755" s="514"/>
      <c r="D755" s="485" t="s">
        <v>2322</v>
      </c>
      <c r="E755" s="474"/>
      <c r="F755" s="474"/>
      <c r="G755" s="474">
        <v>2022</v>
      </c>
      <c r="H755" s="474">
        <v>6</v>
      </c>
      <c r="I755" s="485"/>
      <c r="J755" s="475"/>
      <c r="K755" s="483" t="s">
        <v>2667</v>
      </c>
      <c r="L755" s="474" t="s">
        <v>2439</v>
      </c>
      <c r="M755" s="487">
        <v>44463</v>
      </c>
      <c r="N755" s="487">
        <v>44719</v>
      </c>
      <c r="O755" s="487"/>
      <c r="P755" s="475"/>
      <c r="Q755" s="475"/>
      <c r="R755" s="475"/>
      <c r="S755" s="474" t="s">
        <v>1563</v>
      </c>
      <c r="T755" s="474">
        <v>60</v>
      </c>
      <c r="U755" s="474" t="s">
        <v>1281</v>
      </c>
      <c r="V755" s="474" t="s">
        <v>2525</v>
      </c>
      <c r="W755" s="474">
        <v>395</v>
      </c>
      <c r="X755" s="476">
        <v>832</v>
      </c>
      <c r="Y755" s="477">
        <f t="shared" si="169"/>
        <v>328640</v>
      </c>
      <c r="Z755" s="478">
        <f t="shared" si="172"/>
        <v>0.55999999999999994</v>
      </c>
      <c r="AA755" s="479">
        <f t="shared" si="170"/>
        <v>184038.39999999999</v>
      </c>
      <c r="AB755" s="480"/>
      <c r="AC755" s="481">
        <v>0</v>
      </c>
      <c r="AD755" s="490"/>
      <c r="AE755" s="482"/>
      <c r="AF755" s="493">
        <f t="shared" si="171"/>
        <v>184038.39999999999</v>
      </c>
      <c r="AG755" s="474" t="s">
        <v>47</v>
      </c>
      <c r="AH755" s="474" t="s">
        <v>2444</v>
      </c>
      <c r="AI755" s="483">
        <v>60</v>
      </c>
      <c r="AJ755" s="474" t="s">
        <v>2277</v>
      </c>
      <c r="AK755" s="494" t="s">
        <v>1084</v>
      </c>
      <c r="AL755" s="474" t="s">
        <v>2448</v>
      </c>
      <c r="AM755" s="474" t="s">
        <v>52</v>
      </c>
      <c r="AN755" s="474"/>
      <c r="AO755" s="474"/>
      <c r="AP755" s="486"/>
      <c r="AQ755" s="486"/>
      <c r="AR755" s="486"/>
      <c r="AS755" s="495"/>
      <c r="AT755" s="495"/>
      <c r="AU755" s="478"/>
      <c r="AV755" s="471"/>
      <c r="AW755" s="471"/>
      <c r="AX755" s="471"/>
      <c r="AY755" s="471"/>
      <c r="AZ755" s="471"/>
      <c r="BA755" s="471"/>
      <c r="BB755" s="471"/>
      <c r="BC755" s="471"/>
    </row>
    <row r="756" spans="1:55">
      <c r="A756" s="472"/>
      <c r="B756" s="514"/>
      <c r="C756" s="514"/>
      <c r="D756" s="485" t="s">
        <v>2322</v>
      </c>
      <c r="E756" s="474"/>
      <c r="F756" s="474"/>
      <c r="G756" s="474">
        <v>2022</v>
      </c>
      <c r="H756" s="474">
        <v>6</v>
      </c>
      <c r="I756" s="485"/>
      <c r="J756" s="475"/>
      <c r="K756" s="483" t="s">
        <v>2668</v>
      </c>
      <c r="L756" s="474" t="s">
        <v>2439</v>
      </c>
      <c r="M756" s="487">
        <v>44463</v>
      </c>
      <c r="N756" s="487">
        <v>44732</v>
      </c>
      <c r="O756" s="487"/>
      <c r="P756" s="475"/>
      <c r="Q756" s="475"/>
      <c r="R756" s="475"/>
      <c r="S756" s="474" t="s">
        <v>1563</v>
      </c>
      <c r="T756" s="474">
        <v>60</v>
      </c>
      <c r="U756" s="474" t="s">
        <v>1281</v>
      </c>
      <c r="V756" s="474" t="s">
        <v>2525</v>
      </c>
      <c r="W756" s="474">
        <v>395</v>
      </c>
      <c r="X756" s="476">
        <v>832</v>
      </c>
      <c r="Y756" s="477">
        <f t="shared" si="169"/>
        <v>328640</v>
      </c>
      <c r="Z756" s="478">
        <f t="shared" si="172"/>
        <v>0.55999999999999994</v>
      </c>
      <c r="AA756" s="479">
        <f t="shared" si="170"/>
        <v>184038.39999999999</v>
      </c>
      <c r="AB756" s="480"/>
      <c r="AC756" s="481">
        <v>0</v>
      </c>
      <c r="AD756" s="490"/>
      <c r="AE756" s="482"/>
      <c r="AF756" s="493">
        <f t="shared" si="171"/>
        <v>184038.39999999999</v>
      </c>
      <c r="AG756" s="474" t="s">
        <v>47</v>
      </c>
      <c r="AH756" s="474" t="s">
        <v>2444</v>
      </c>
      <c r="AI756" s="483">
        <v>60</v>
      </c>
      <c r="AJ756" s="474" t="s">
        <v>2277</v>
      </c>
      <c r="AK756" s="494" t="s">
        <v>1084</v>
      </c>
      <c r="AL756" s="474" t="s">
        <v>2448</v>
      </c>
      <c r="AM756" s="474" t="s">
        <v>52</v>
      </c>
      <c r="AN756" s="474"/>
      <c r="AO756" s="474"/>
      <c r="AP756" s="486"/>
      <c r="AQ756" s="486"/>
      <c r="AR756" s="486"/>
      <c r="AS756" s="495"/>
      <c r="AT756" s="495"/>
      <c r="AU756" s="478"/>
      <c r="AV756" s="471"/>
      <c r="AW756" s="471"/>
      <c r="AX756" s="471"/>
      <c r="AY756" s="471"/>
      <c r="AZ756" s="471"/>
      <c r="BA756" s="471"/>
      <c r="BB756" s="471"/>
      <c r="BC756" s="471"/>
    </row>
    <row r="757" spans="1:55">
      <c r="A757" s="472"/>
      <c r="B757" s="514"/>
      <c r="C757" s="514"/>
      <c r="D757" s="485" t="s">
        <v>2322</v>
      </c>
      <c r="E757" s="474"/>
      <c r="F757" s="474"/>
      <c r="G757" s="474">
        <v>2022</v>
      </c>
      <c r="H757" s="474">
        <v>6</v>
      </c>
      <c r="I757" s="485"/>
      <c r="J757" s="475"/>
      <c r="K757" s="483" t="s">
        <v>2669</v>
      </c>
      <c r="L757" s="474" t="s">
        <v>2439</v>
      </c>
      <c r="M757" s="487">
        <v>44463</v>
      </c>
      <c r="N757" s="487">
        <v>44719</v>
      </c>
      <c r="O757" s="487"/>
      <c r="P757" s="475"/>
      <c r="Q757" s="475"/>
      <c r="R757" s="475"/>
      <c r="S757" s="474" t="s">
        <v>1563</v>
      </c>
      <c r="T757" s="474">
        <v>60</v>
      </c>
      <c r="U757" s="474" t="s">
        <v>1281</v>
      </c>
      <c r="V757" s="474" t="s">
        <v>2525</v>
      </c>
      <c r="W757" s="474">
        <v>395</v>
      </c>
      <c r="X757" s="476">
        <v>832</v>
      </c>
      <c r="Y757" s="477">
        <f t="shared" si="169"/>
        <v>328640</v>
      </c>
      <c r="Z757" s="478">
        <f t="shared" si="172"/>
        <v>0.55999999999999994</v>
      </c>
      <c r="AA757" s="479">
        <f t="shared" si="170"/>
        <v>184038.39999999999</v>
      </c>
      <c r="AB757" s="480"/>
      <c r="AC757" s="481">
        <v>0</v>
      </c>
      <c r="AD757" s="490"/>
      <c r="AE757" s="482"/>
      <c r="AF757" s="493">
        <f t="shared" si="171"/>
        <v>184038.39999999999</v>
      </c>
      <c r="AG757" s="474" t="s">
        <v>47</v>
      </c>
      <c r="AH757" s="474" t="s">
        <v>2444</v>
      </c>
      <c r="AI757" s="483">
        <v>60</v>
      </c>
      <c r="AJ757" s="474" t="s">
        <v>1678</v>
      </c>
      <c r="AK757" s="494" t="s">
        <v>1085</v>
      </c>
      <c r="AL757" s="474" t="s">
        <v>2528</v>
      </c>
      <c r="AM757" s="474" t="s">
        <v>52</v>
      </c>
      <c r="AN757" s="474"/>
      <c r="AO757" s="474"/>
      <c r="AP757" s="486"/>
      <c r="AQ757" s="486"/>
      <c r="AR757" s="486"/>
      <c r="AS757" s="495"/>
      <c r="AT757" s="495"/>
      <c r="AU757" s="478"/>
      <c r="AV757" s="471"/>
      <c r="AW757" s="471"/>
      <c r="AX757" s="471"/>
      <c r="AY757" s="471"/>
      <c r="AZ757" s="471"/>
      <c r="BA757" s="471"/>
      <c r="BB757" s="471"/>
      <c r="BC757" s="471"/>
    </row>
    <row r="758" spans="1:55">
      <c r="A758" s="472"/>
      <c r="B758" s="514"/>
      <c r="C758" s="514"/>
      <c r="D758" s="485" t="s">
        <v>2322</v>
      </c>
      <c r="E758" s="474"/>
      <c r="F758" s="474"/>
      <c r="G758" s="474">
        <v>2022</v>
      </c>
      <c r="H758" s="474">
        <v>6</v>
      </c>
      <c r="I758" s="485"/>
      <c r="J758" s="475"/>
      <c r="K758" s="483" t="s">
        <v>2670</v>
      </c>
      <c r="L758" s="474" t="s">
        <v>2439</v>
      </c>
      <c r="M758" s="487">
        <v>44463</v>
      </c>
      <c r="N758" s="487">
        <v>44732</v>
      </c>
      <c r="O758" s="487"/>
      <c r="P758" s="475"/>
      <c r="Q758" s="475"/>
      <c r="R758" s="475"/>
      <c r="S758" s="474" t="s">
        <v>1563</v>
      </c>
      <c r="T758" s="474">
        <v>60</v>
      </c>
      <c r="U758" s="474" t="s">
        <v>1281</v>
      </c>
      <c r="V758" s="474" t="s">
        <v>2525</v>
      </c>
      <c r="W758" s="474">
        <v>395</v>
      </c>
      <c r="X758" s="476">
        <v>832</v>
      </c>
      <c r="Y758" s="477">
        <f t="shared" si="169"/>
        <v>328640</v>
      </c>
      <c r="Z758" s="478">
        <f t="shared" si="172"/>
        <v>0.55999999999999994</v>
      </c>
      <c r="AA758" s="479">
        <f t="shared" si="170"/>
        <v>184038.39999999999</v>
      </c>
      <c r="AB758" s="480"/>
      <c r="AC758" s="481">
        <v>0</v>
      </c>
      <c r="AD758" s="490"/>
      <c r="AE758" s="482"/>
      <c r="AF758" s="493">
        <f t="shared" si="171"/>
        <v>184038.39999999999</v>
      </c>
      <c r="AG758" s="474" t="s">
        <v>47</v>
      </c>
      <c r="AH758" s="474" t="s">
        <v>2444</v>
      </c>
      <c r="AI758" s="483">
        <v>60</v>
      </c>
      <c r="AJ758" s="474" t="s">
        <v>1678</v>
      </c>
      <c r="AK758" s="494" t="s">
        <v>1085</v>
      </c>
      <c r="AL758" s="474" t="s">
        <v>2528</v>
      </c>
      <c r="AM758" s="474" t="s">
        <v>52</v>
      </c>
      <c r="AN758" s="474"/>
      <c r="AO758" s="474"/>
      <c r="AP758" s="486"/>
      <c r="AQ758" s="486"/>
      <c r="AR758" s="486"/>
      <c r="AS758" s="495"/>
      <c r="AT758" s="495"/>
      <c r="AU758" s="478"/>
      <c r="AV758" s="471"/>
      <c r="AW758" s="471"/>
      <c r="AX758" s="471"/>
      <c r="AY758" s="471"/>
      <c r="AZ758" s="471"/>
      <c r="BA758" s="471"/>
      <c r="BB758" s="471"/>
      <c r="BC758" s="471"/>
    </row>
    <row r="759" spans="1:55">
      <c r="A759" s="472"/>
      <c r="B759" s="514"/>
      <c r="C759" s="514"/>
      <c r="D759" s="485" t="s">
        <v>2322</v>
      </c>
      <c r="E759" s="474"/>
      <c r="F759" s="474"/>
      <c r="G759" s="474">
        <v>2022</v>
      </c>
      <c r="H759" s="474">
        <v>7</v>
      </c>
      <c r="I759" s="485"/>
      <c r="J759" s="475"/>
      <c r="K759" s="483" t="s">
        <v>2715</v>
      </c>
      <c r="L759" s="474" t="s">
        <v>2439</v>
      </c>
      <c r="M759" s="487">
        <v>44463</v>
      </c>
      <c r="N759" s="487">
        <v>44213</v>
      </c>
      <c r="O759" s="487"/>
      <c r="P759" s="475"/>
      <c r="Q759" s="475"/>
      <c r="R759" s="475"/>
      <c r="S759" s="474" t="s">
        <v>1563</v>
      </c>
      <c r="T759" s="474">
        <v>60</v>
      </c>
      <c r="U759" s="474" t="s">
        <v>1281</v>
      </c>
      <c r="V759" s="474" t="s">
        <v>985</v>
      </c>
      <c r="W759" s="474">
        <v>395</v>
      </c>
      <c r="X759" s="476">
        <v>832</v>
      </c>
      <c r="Y759" s="477">
        <f t="shared" si="169"/>
        <v>328640</v>
      </c>
      <c r="Z759" s="478">
        <v>0.53</v>
      </c>
      <c r="AA759" s="479">
        <f t="shared" si="170"/>
        <v>174179.20000000001</v>
      </c>
      <c r="AB759" s="480"/>
      <c r="AC759" s="481">
        <v>0</v>
      </c>
      <c r="AD759" s="490"/>
      <c r="AE759" s="482"/>
      <c r="AF759" s="493">
        <f t="shared" si="171"/>
        <v>174179.20000000001</v>
      </c>
      <c r="AG759" s="474" t="s">
        <v>47</v>
      </c>
      <c r="AH759" s="474" t="s">
        <v>2444</v>
      </c>
      <c r="AI759" s="483">
        <v>60</v>
      </c>
      <c r="AJ759" s="474" t="s">
        <v>2426</v>
      </c>
      <c r="AK759" s="494" t="s">
        <v>1144</v>
      </c>
      <c r="AL759" s="474" t="s">
        <v>2541</v>
      </c>
      <c r="AM759" s="474" t="s">
        <v>52</v>
      </c>
      <c r="AN759" s="474" t="s">
        <v>50</v>
      </c>
      <c r="AO759" s="474"/>
      <c r="AP759" s="486" t="s">
        <v>38</v>
      </c>
      <c r="AQ759" s="486" t="s">
        <v>37</v>
      </c>
      <c r="AR759" s="486"/>
      <c r="AS759" s="495"/>
      <c r="AT759" s="495"/>
      <c r="AU759" s="478"/>
      <c r="AV759" s="471"/>
      <c r="AW759" s="471"/>
      <c r="AX759" s="471"/>
      <c r="AY759" s="471"/>
      <c r="AZ759" s="471"/>
      <c r="BA759" s="471"/>
      <c r="BB759" s="471"/>
      <c r="BC759" s="471"/>
    </row>
    <row r="760" spans="1:55">
      <c r="A760" s="472"/>
      <c r="B760" s="514"/>
      <c r="C760" s="514"/>
      <c r="D760" s="485" t="s">
        <v>2322</v>
      </c>
      <c r="E760" s="474"/>
      <c r="F760" s="474"/>
      <c r="G760" s="474">
        <v>2022</v>
      </c>
      <c r="H760" s="474">
        <v>7</v>
      </c>
      <c r="I760" s="485"/>
      <c r="J760" s="475"/>
      <c r="K760" s="483" t="s">
        <v>2716</v>
      </c>
      <c r="L760" s="474" t="s">
        <v>2439</v>
      </c>
      <c r="M760" s="487">
        <v>44463</v>
      </c>
      <c r="N760" s="487">
        <v>44571</v>
      </c>
      <c r="O760" s="487"/>
      <c r="P760" s="475"/>
      <c r="Q760" s="475"/>
      <c r="R760" s="475"/>
      <c r="S760" s="474" t="s">
        <v>1563</v>
      </c>
      <c r="T760" s="474">
        <v>60</v>
      </c>
      <c r="U760" s="474" t="s">
        <v>1281</v>
      </c>
      <c r="V760" s="474" t="s">
        <v>985</v>
      </c>
      <c r="W760" s="474">
        <v>395</v>
      </c>
      <c r="X760" s="476">
        <v>832</v>
      </c>
      <c r="Y760" s="477">
        <f t="shared" si="169"/>
        <v>328640</v>
      </c>
      <c r="Z760" s="478">
        <v>0.53</v>
      </c>
      <c r="AA760" s="479">
        <f t="shared" si="170"/>
        <v>174179.20000000001</v>
      </c>
      <c r="AB760" s="480"/>
      <c r="AC760" s="481">
        <v>0</v>
      </c>
      <c r="AD760" s="490"/>
      <c r="AE760" s="482"/>
      <c r="AF760" s="493">
        <f t="shared" si="171"/>
        <v>174179.20000000001</v>
      </c>
      <c r="AG760" s="474" t="s">
        <v>47</v>
      </c>
      <c r="AH760" s="474" t="s">
        <v>2444</v>
      </c>
      <c r="AI760" s="483">
        <v>60</v>
      </c>
      <c r="AJ760" s="474" t="s">
        <v>1678</v>
      </c>
      <c r="AK760" s="494" t="s">
        <v>1085</v>
      </c>
      <c r="AL760" s="474" t="s">
        <v>2528</v>
      </c>
      <c r="AM760" s="474" t="s">
        <v>52</v>
      </c>
      <c r="AN760" s="474" t="s">
        <v>1074</v>
      </c>
      <c r="AO760" s="474"/>
      <c r="AP760" s="486"/>
      <c r="AQ760" s="486" t="s">
        <v>37</v>
      </c>
      <c r="AR760" s="486"/>
      <c r="AS760" s="495"/>
      <c r="AT760" s="495"/>
      <c r="AU760" s="478"/>
      <c r="AV760" s="471"/>
      <c r="AW760" s="471"/>
      <c r="AX760" s="471"/>
      <c r="AY760" s="471"/>
      <c r="AZ760" s="471"/>
      <c r="BA760" s="471"/>
      <c r="BB760" s="471"/>
      <c r="BC760" s="471"/>
    </row>
    <row r="761" spans="1:55">
      <c r="A761" s="472"/>
      <c r="B761" s="514"/>
      <c r="C761" s="514"/>
      <c r="D761" s="485" t="s">
        <v>2322</v>
      </c>
      <c r="E761" s="474"/>
      <c r="F761" s="474"/>
      <c r="G761" s="474">
        <v>2022</v>
      </c>
      <c r="H761" s="474">
        <v>7</v>
      </c>
      <c r="I761" s="485"/>
      <c r="J761" s="475"/>
      <c r="K761" s="483" t="s">
        <v>2717</v>
      </c>
      <c r="L761" s="474" t="s">
        <v>2439</v>
      </c>
      <c r="M761" s="487">
        <v>44463</v>
      </c>
      <c r="N761" s="487">
        <v>44606</v>
      </c>
      <c r="O761" s="487"/>
      <c r="P761" s="475"/>
      <c r="Q761" s="475"/>
      <c r="R761" s="475"/>
      <c r="S761" s="474" t="s">
        <v>1563</v>
      </c>
      <c r="T761" s="474">
        <v>60</v>
      </c>
      <c r="U761" s="474" t="s">
        <v>1281</v>
      </c>
      <c r="V761" s="474" t="s">
        <v>985</v>
      </c>
      <c r="W761" s="474">
        <v>395</v>
      </c>
      <c r="X761" s="476">
        <v>832</v>
      </c>
      <c r="Y761" s="477">
        <f t="shared" si="169"/>
        <v>328640</v>
      </c>
      <c r="Z761" s="478">
        <v>0.53</v>
      </c>
      <c r="AA761" s="479">
        <f t="shared" si="170"/>
        <v>174179.20000000001</v>
      </c>
      <c r="AB761" s="480"/>
      <c r="AC761" s="481">
        <v>0</v>
      </c>
      <c r="AD761" s="490"/>
      <c r="AE761" s="482"/>
      <c r="AF761" s="493">
        <f t="shared" si="171"/>
        <v>174179.20000000001</v>
      </c>
      <c r="AG761" s="474" t="s">
        <v>47</v>
      </c>
      <c r="AH761" s="474" t="s">
        <v>2444</v>
      </c>
      <c r="AI761" s="483">
        <v>60</v>
      </c>
      <c r="AJ761" s="474" t="s">
        <v>2426</v>
      </c>
      <c r="AK761" s="494" t="s">
        <v>1144</v>
      </c>
      <c r="AL761" s="474" t="s">
        <v>2541</v>
      </c>
      <c r="AM761" s="474" t="s">
        <v>52</v>
      </c>
      <c r="AN761" s="474" t="s">
        <v>1074</v>
      </c>
      <c r="AO761" s="474"/>
      <c r="AP761" s="486"/>
      <c r="AQ761" s="486" t="s">
        <v>37</v>
      </c>
      <c r="AR761" s="486"/>
      <c r="AS761" s="495"/>
      <c r="AT761" s="495"/>
      <c r="AU761" s="478"/>
      <c r="AV761" s="471"/>
      <c r="AW761" s="471"/>
      <c r="AX761" s="471"/>
      <c r="AY761" s="471"/>
      <c r="AZ761" s="471"/>
      <c r="BA761" s="471"/>
      <c r="BB761" s="471"/>
      <c r="BC761" s="471"/>
    </row>
    <row r="762" spans="1:55">
      <c r="A762" s="472"/>
      <c r="B762" s="514"/>
      <c r="C762" s="514"/>
      <c r="D762" s="485" t="s">
        <v>2322</v>
      </c>
      <c r="E762" s="474" t="s">
        <v>2633</v>
      </c>
      <c r="F762" s="474"/>
      <c r="G762" s="474">
        <v>2022</v>
      </c>
      <c r="H762" s="474">
        <v>7</v>
      </c>
      <c r="I762" s="485"/>
      <c r="J762" s="475"/>
      <c r="K762" s="483" t="s">
        <v>2718</v>
      </c>
      <c r="L762" s="474" t="s">
        <v>2439</v>
      </c>
      <c r="M762" s="487">
        <v>44482</v>
      </c>
      <c r="N762" s="487">
        <v>44747</v>
      </c>
      <c r="O762" s="487"/>
      <c r="P762" s="475"/>
      <c r="Q762" s="475"/>
      <c r="R762" s="475"/>
      <c r="S762" s="474" t="s">
        <v>1563</v>
      </c>
      <c r="T762" s="474">
        <v>60</v>
      </c>
      <c r="U762" s="474" t="s">
        <v>1281</v>
      </c>
      <c r="V762" s="474" t="s">
        <v>2719</v>
      </c>
      <c r="W762" s="474">
        <v>395</v>
      </c>
      <c r="X762" s="476">
        <v>832</v>
      </c>
      <c r="Y762" s="477">
        <f t="shared" si="169"/>
        <v>328640</v>
      </c>
      <c r="Z762" s="478">
        <v>0.53</v>
      </c>
      <c r="AA762" s="479">
        <f t="shared" si="170"/>
        <v>174179.20000000001</v>
      </c>
      <c r="AB762" s="480"/>
      <c r="AC762" s="481">
        <v>0</v>
      </c>
      <c r="AD762" s="490"/>
      <c r="AE762" s="482"/>
      <c r="AF762" s="493">
        <f t="shared" si="171"/>
        <v>174179.20000000001</v>
      </c>
      <c r="AG762" s="474" t="s">
        <v>47</v>
      </c>
      <c r="AH762" s="474" t="s">
        <v>2444</v>
      </c>
      <c r="AI762" s="483">
        <v>60</v>
      </c>
      <c r="AJ762" s="474" t="s">
        <v>1790</v>
      </c>
      <c r="AK762" s="494" t="s">
        <v>50</v>
      </c>
      <c r="AL762" s="474" t="s">
        <v>2452</v>
      </c>
      <c r="AM762" s="474" t="s">
        <v>52</v>
      </c>
      <c r="AN762" s="474"/>
      <c r="AO762" s="474"/>
      <c r="AP762" s="486"/>
      <c r="AQ762" s="486"/>
      <c r="AR762" s="486"/>
      <c r="AS762" s="495"/>
      <c r="AT762" s="495"/>
      <c r="AU762" s="478"/>
      <c r="AV762" s="471"/>
      <c r="AW762" s="471"/>
      <c r="AX762" s="471"/>
      <c r="AY762" s="471"/>
      <c r="AZ762" s="471"/>
      <c r="BA762" s="471"/>
      <c r="BB762" s="471"/>
      <c r="BC762" s="471"/>
    </row>
    <row r="763" spans="1:55">
      <c r="A763" s="472"/>
      <c r="B763" s="514"/>
      <c r="C763" s="514"/>
      <c r="D763" s="485" t="s">
        <v>2322</v>
      </c>
      <c r="E763" s="474" t="s">
        <v>2633</v>
      </c>
      <c r="F763" s="474"/>
      <c r="G763" s="474">
        <v>2022</v>
      </c>
      <c r="H763" s="474">
        <v>7</v>
      </c>
      <c r="I763" s="485"/>
      <c r="J763" s="475"/>
      <c r="K763" s="483" t="s">
        <v>2720</v>
      </c>
      <c r="L763" s="474" t="s">
        <v>2439</v>
      </c>
      <c r="M763" s="487">
        <v>44482</v>
      </c>
      <c r="N763" s="487">
        <v>44757</v>
      </c>
      <c r="O763" s="487"/>
      <c r="P763" s="475"/>
      <c r="Q763" s="475"/>
      <c r="R763" s="475"/>
      <c r="S763" s="474" t="s">
        <v>1563</v>
      </c>
      <c r="T763" s="474">
        <v>60</v>
      </c>
      <c r="U763" s="474" t="s">
        <v>1281</v>
      </c>
      <c r="V763" s="474" t="s">
        <v>2719</v>
      </c>
      <c r="W763" s="474">
        <v>395</v>
      </c>
      <c r="X763" s="476">
        <v>832</v>
      </c>
      <c r="Y763" s="477">
        <f t="shared" si="169"/>
        <v>328640</v>
      </c>
      <c r="Z763" s="478">
        <v>0.53</v>
      </c>
      <c r="AA763" s="479">
        <f t="shared" si="170"/>
        <v>174179.20000000001</v>
      </c>
      <c r="AB763" s="480"/>
      <c r="AC763" s="481">
        <v>0</v>
      </c>
      <c r="AD763" s="490"/>
      <c r="AE763" s="482"/>
      <c r="AF763" s="493">
        <f t="shared" si="171"/>
        <v>174179.20000000001</v>
      </c>
      <c r="AG763" s="474" t="s">
        <v>47</v>
      </c>
      <c r="AH763" s="474" t="s">
        <v>2444</v>
      </c>
      <c r="AI763" s="483">
        <v>60</v>
      </c>
      <c r="AJ763" s="474" t="s">
        <v>1790</v>
      </c>
      <c r="AK763" s="494" t="s">
        <v>50</v>
      </c>
      <c r="AL763" s="474" t="s">
        <v>2452</v>
      </c>
      <c r="AM763" s="474" t="s">
        <v>52</v>
      </c>
      <c r="AN763" s="474"/>
      <c r="AO763" s="474"/>
      <c r="AP763" s="486"/>
      <c r="AQ763" s="486"/>
      <c r="AR763" s="486"/>
      <c r="AS763" s="495"/>
      <c r="AT763" s="495"/>
      <c r="AU763" s="478"/>
      <c r="AV763" s="471"/>
      <c r="AW763" s="471"/>
      <c r="AX763" s="471"/>
      <c r="AY763" s="471"/>
      <c r="AZ763" s="471"/>
      <c r="BA763" s="471"/>
      <c r="BB763" s="471"/>
      <c r="BC763" s="471"/>
    </row>
    <row r="764" spans="1:55">
      <c r="A764" s="472"/>
      <c r="B764" s="514"/>
      <c r="C764" s="514"/>
      <c r="D764" s="485" t="s">
        <v>2322</v>
      </c>
      <c r="E764" s="474" t="s">
        <v>2633</v>
      </c>
      <c r="F764" s="474"/>
      <c r="G764" s="474">
        <v>2022</v>
      </c>
      <c r="H764" s="474">
        <v>7</v>
      </c>
      <c r="I764" s="485"/>
      <c r="J764" s="475"/>
      <c r="K764" s="483" t="s">
        <v>2721</v>
      </c>
      <c r="L764" s="474" t="s">
        <v>2439</v>
      </c>
      <c r="M764" s="487">
        <v>44482</v>
      </c>
      <c r="N764" s="487">
        <v>44767</v>
      </c>
      <c r="O764" s="487"/>
      <c r="P764" s="475"/>
      <c r="Q764" s="475"/>
      <c r="R764" s="475"/>
      <c r="S764" s="474" t="s">
        <v>1563</v>
      </c>
      <c r="T764" s="474">
        <v>60</v>
      </c>
      <c r="U764" s="474" t="s">
        <v>1281</v>
      </c>
      <c r="V764" s="474" t="s">
        <v>2719</v>
      </c>
      <c r="W764" s="474">
        <v>395</v>
      </c>
      <c r="X764" s="476">
        <v>832</v>
      </c>
      <c r="Y764" s="477">
        <f t="shared" si="169"/>
        <v>328640</v>
      </c>
      <c r="Z764" s="478">
        <v>0.53</v>
      </c>
      <c r="AA764" s="479">
        <f t="shared" si="170"/>
        <v>174179.20000000001</v>
      </c>
      <c r="AB764" s="480"/>
      <c r="AC764" s="481">
        <v>0</v>
      </c>
      <c r="AD764" s="490"/>
      <c r="AE764" s="482"/>
      <c r="AF764" s="493">
        <f t="shared" si="171"/>
        <v>174179.20000000001</v>
      </c>
      <c r="AG764" s="474" t="s">
        <v>47</v>
      </c>
      <c r="AH764" s="474" t="s">
        <v>2444</v>
      </c>
      <c r="AI764" s="483">
        <v>60</v>
      </c>
      <c r="AJ764" s="474" t="s">
        <v>1790</v>
      </c>
      <c r="AK764" s="494" t="s">
        <v>50</v>
      </c>
      <c r="AL764" s="474" t="s">
        <v>2452</v>
      </c>
      <c r="AM764" s="474" t="s">
        <v>52</v>
      </c>
      <c r="AN764" s="474"/>
      <c r="AO764" s="474"/>
      <c r="AP764" s="486"/>
      <c r="AQ764" s="486"/>
      <c r="AR764" s="486"/>
      <c r="AS764" s="495"/>
      <c r="AT764" s="495"/>
      <c r="AU764" s="478"/>
      <c r="AV764" s="471"/>
      <c r="AW764" s="471"/>
      <c r="AX764" s="471"/>
      <c r="AY764" s="471"/>
      <c r="AZ764" s="471"/>
      <c r="BA764" s="471"/>
      <c r="BB764" s="471"/>
      <c r="BC764" s="471"/>
    </row>
    <row r="765" spans="1:55">
      <c r="A765" s="472"/>
      <c r="B765" s="514"/>
      <c r="C765" s="514"/>
      <c r="D765" s="485" t="s">
        <v>2322</v>
      </c>
      <c r="E765" s="474" t="s">
        <v>2633</v>
      </c>
      <c r="F765" s="474"/>
      <c r="G765" s="474">
        <v>2022</v>
      </c>
      <c r="H765" s="474">
        <v>7</v>
      </c>
      <c r="I765" s="485"/>
      <c r="J765" s="475"/>
      <c r="K765" s="483" t="s">
        <v>2722</v>
      </c>
      <c r="L765" s="474" t="s">
        <v>2439</v>
      </c>
      <c r="M765" s="487">
        <v>44482</v>
      </c>
      <c r="N765" s="487">
        <v>44750</v>
      </c>
      <c r="O765" s="487"/>
      <c r="P765" s="475"/>
      <c r="Q765" s="475"/>
      <c r="R765" s="475"/>
      <c r="S765" s="474" t="s">
        <v>1563</v>
      </c>
      <c r="T765" s="474">
        <v>60</v>
      </c>
      <c r="U765" s="474" t="s">
        <v>1281</v>
      </c>
      <c r="V765" s="474" t="s">
        <v>2719</v>
      </c>
      <c r="W765" s="474">
        <v>395</v>
      </c>
      <c r="X765" s="476">
        <v>832</v>
      </c>
      <c r="Y765" s="477">
        <f t="shared" si="169"/>
        <v>328640</v>
      </c>
      <c r="Z765" s="478">
        <v>0.53</v>
      </c>
      <c r="AA765" s="479">
        <f t="shared" si="170"/>
        <v>174179.20000000001</v>
      </c>
      <c r="AB765" s="480"/>
      <c r="AC765" s="481">
        <v>0</v>
      </c>
      <c r="AD765" s="490"/>
      <c r="AE765" s="482"/>
      <c r="AF765" s="493">
        <f t="shared" si="171"/>
        <v>174179.20000000001</v>
      </c>
      <c r="AG765" s="474" t="s">
        <v>47</v>
      </c>
      <c r="AH765" s="474" t="s">
        <v>2444</v>
      </c>
      <c r="AI765" s="483">
        <v>60</v>
      </c>
      <c r="AJ765" s="474" t="s">
        <v>2450</v>
      </c>
      <c r="AK765" s="494" t="s">
        <v>50</v>
      </c>
      <c r="AL765" s="474" t="s">
        <v>2537</v>
      </c>
      <c r="AM765" s="474" t="s">
        <v>52</v>
      </c>
      <c r="AN765" s="474"/>
      <c r="AO765" s="474"/>
      <c r="AP765" s="486"/>
      <c r="AQ765" s="486"/>
      <c r="AR765" s="486"/>
      <c r="AS765" s="495"/>
      <c r="AT765" s="495"/>
      <c r="AU765" s="478"/>
      <c r="AV765" s="471"/>
      <c r="AW765" s="471"/>
      <c r="AX765" s="471"/>
      <c r="AY765" s="471"/>
      <c r="AZ765" s="471"/>
      <c r="BA765" s="471"/>
      <c r="BB765" s="471"/>
      <c r="BC765" s="471"/>
    </row>
    <row r="766" spans="1:55">
      <c r="A766" s="472"/>
      <c r="B766" s="514"/>
      <c r="C766" s="514"/>
      <c r="D766" s="485" t="s">
        <v>2322</v>
      </c>
      <c r="E766" s="474" t="s">
        <v>2633</v>
      </c>
      <c r="F766" s="474"/>
      <c r="G766" s="474">
        <v>2022</v>
      </c>
      <c r="H766" s="474">
        <v>7</v>
      </c>
      <c r="I766" s="485"/>
      <c r="J766" s="475"/>
      <c r="K766" s="483" t="s">
        <v>2723</v>
      </c>
      <c r="L766" s="474" t="s">
        <v>2439</v>
      </c>
      <c r="M766" s="487">
        <v>44482</v>
      </c>
      <c r="N766" s="487">
        <v>44761</v>
      </c>
      <c r="O766" s="487"/>
      <c r="P766" s="475"/>
      <c r="Q766" s="475"/>
      <c r="R766" s="475"/>
      <c r="S766" s="474" t="s">
        <v>1563</v>
      </c>
      <c r="T766" s="474">
        <v>60</v>
      </c>
      <c r="U766" s="474" t="s">
        <v>1281</v>
      </c>
      <c r="V766" s="474" t="s">
        <v>2719</v>
      </c>
      <c r="W766" s="474">
        <v>395</v>
      </c>
      <c r="X766" s="476">
        <v>832</v>
      </c>
      <c r="Y766" s="477">
        <f t="shared" si="169"/>
        <v>328640</v>
      </c>
      <c r="Z766" s="478">
        <v>0.53</v>
      </c>
      <c r="AA766" s="479">
        <f t="shared" si="170"/>
        <v>174179.20000000001</v>
      </c>
      <c r="AB766" s="480"/>
      <c r="AC766" s="481">
        <v>0</v>
      </c>
      <c r="AD766" s="490"/>
      <c r="AE766" s="482"/>
      <c r="AF766" s="493">
        <f t="shared" si="171"/>
        <v>174179.20000000001</v>
      </c>
      <c r="AG766" s="474" t="s">
        <v>47</v>
      </c>
      <c r="AH766" s="474" t="s">
        <v>2444</v>
      </c>
      <c r="AI766" s="483">
        <v>60</v>
      </c>
      <c r="AJ766" s="474" t="s">
        <v>2450</v>
      </c>
      <c r="AK766" s="494" t="s">
        <v>50</v>
      </c>
      <c r="AL766" s="474" t="s">
        <v>2537</v>
      </c>
      <c r="AM766" s="474" t="s">
        <v>52</v>
      </c>
      <c r="AN766" s="474"/>
      <c r="AO766" s="474"/>
      <c r="AP766" s="486"/>
      <c r="AQ766" s="486"/>
      <c r="AR766" s="486"/>
      <c r="AS766" s="495"/>
      <c r="AT766" s="495"/>
      <c r="AU766" s="478"/>
      <c r="AV766" s="471"/>
      <c r="AW766" s="471"/>
      <c r="AX766" s="471"/>
      <c r="AY766" s="471"/>
      <c r="AZ766" s="471"/>
      <c r="BA766" s="471"/>
      <c r="BB766" s="471"/>
      <c r="BC766" s="471"/>
    </row>
    <row r="767" spans="1:55">
      <c r="A767" s="472"/>
      <c r="B767" s="514"/>
      <c r="C767" s="514"/>
      <c r="D767" s="485" t="s">
        <v>2322</v>
      </c>
      <c r="E767" s="474" t="s">
        <v>2633</v>
      </c>
      <c r="F767" s="474"/>
      <c r="G767" s="474">
        <v>2022</v>
      </c>
      <c r="H767" s="474">
        <v>7</v>
      </c>
      <c r="I767" s="485"/>
      <c r="J767" s="475"/>
      <c r="K767" s="483" t="s">
        <v>2724</v>
      </c>
      <c r="L767" s="474" t="s">
        <v>2439</v>
      </c>
      <c r="M767" s="487">
        <v>44482</v>
      </c>
      <c r="N767" s="487">
        <v>44750</v>
      </c>
      <c r="O767" s="487"/>
      <c r="P767" s="475"/>
      <c r="Q767" s="475"/>
      <c r="R767" s="475"/>
      <c r="S767" s="474" t="s">
        <v>1563</v>
      </c>
      <c r="T767" s="474">
        <v>60</v>
      </c>
      <c r="U767" s="474" t="s">
        <v>1281</v>
      </c>
      <c r="V767" s="474" t="s">
        <v>2719</v>
      </c>
      <c r="W767" s="474">
        <v>395</v>
      </c>
      <c r="X767" s="476">
        <v>832</v>
      </c>
      <c r="Y767" s="477">
        <f t="shared" si="169"/>
        <v>328640</v>
      </c>
      <c r="Z767" s="478">
        <v>0.53</v>
      </c>
      <c r="AA767" s="479">
        <f t="shared" si="170"/>
        <v>174179.20000000001</v>
      </c>
      <c r="AB767" s="480"/>
      <c r="AC767" s="481">
        <v>0</v>
      </c>
      <c r="AD767" s="490"/>
      <c r="AE767" s="482"/>
      <c r="AF767" s="493">
        <f t="shared" si="171"/>
        <v>174179.20000000001</v>
      </c>
      <c r="AG767" s="474" t="s">
        <v>47</v>
      </c>
      <c r="AH767" s="474" t="s">
        <v>2444</v>
      </c>
      <c r="AI767" s="483">
        <v>60</v>
      </c>
      <c r="AJ767" s="474" t="s">
        <v>2426</v>
      </c>
      <c r="AK767" s="494" t="s">
        <v>1144</v>
      </c>
      <c r="AL767" s="474" t="s">
        <v>2528</v>
      </c>
      <c r="AM767" s="474" t="s">
        <v>52</v>
      </c>
      <c r="AN767" s="474"/>
      <c r="AO767" s="474"/>
      <c r="AP767" s="486"/>
      <c r="AQ767" s="486"/>
      <c r="AR767" s="486"/>
      <c r="AS767" s="495"/>
      <c r="AT767" s="495"/>
      <c r="AU767" s="478"/>
      <c r="AV767" s="471"/>
      <c r="AW767" s="471"/>
      <c r="AX767" s="471"/>
      <c r="AY767" s="471"/>
      <c r="AZ767" s="471"/>
      <c r="BA767" s="471"/>
      <c r="BB767" s="471"/>
      <c r="BC767" s="471"/>
    </row>
    <row r="768" spans="1:55">
      <c r="A768" s="472"/>
      <c r="B768" s="514"/>
      <c r="C768" s="514"/>
      <c r="D768" s="485" t="s">
        <v>2322</v>
      </c>
      <c r="E768" s="474" t="s">
        <v>2633</v>
      </c>
      <c r="F768" s="474"/>
      <c r="G768" s="474">
        <v>2022</v>
      </c>
      <c r="H768" s="474">
        <v>7</v>
      </c>
      <c r="I768" s="485"/>
      <c r="J768" s="475"/>
      <c r="K768" s="483" t="s">
        <v>2725</v>
      </c>
      <c r="L768" s="474" t="s">
        <v>2439</v>
      </c>
      <c r="M768" s="487">
        <v>44482</v>
      </c>
      <c r="N768" s="487">
        <v>44761</v>
      </c>
      <c r="O768" s="487"/>
      <c r="P768" s="475"/>
      <c r="Q768" s="475"/>
      <c r="R768" s="475"/>
      <c r="S768" s="474" t="s">
        <v>1563</v>
      </c>
      <c r="T768" s="474">
        <v>60</v>
      </c>
      <c r="U768" s="474" t="s">
        <v>1281</v>
      </c>
      <c r="V768" s="474" t="s">
        <v>2719</v>
      </c>
      <c r="W768" s="474">
        <v>395</v>
      </c>
      <c r="X768" s="476">
        <v>832</v>
      </c>
      <c r="Y768" s="477">
        <f t="shared" si="169"/>
        <v>328640</v>
      </c>
      <c r="Z768" s="478">
        <v>0.53</v>
      </c>
      <c r="AA768" s="479">
        <f t="shared" si="170"/>
        <v>174179.20000000001</v>
      </c>
      <c r="AB768" s="480"/>
      <c r="AC768" s="481">
        <v>0</v>
      </c>
      <c r="AD768" s="490"/>
      <c r="AE768" s="482"/>
      <c r="AF768" s="493">
        <f t="shared" si="171"/>
        <v>174179.20000000001</v>
      </c>
      <c r="AG768" s="474" t="s">
        <v>47</v>
      </c>
      <c r="AH768" s="474" t="s">
        <v>2444</v>
      </c>
      <c r="AI768" s="483">
        <v>60</v>
      </c>
      <c r="AJ768" s="474" t="s">
        <v>2426</v>
      </c>
      <c r="AK768" s="494" t="s">
        <v>1144</v>
      </c>
      <c r="AL768" s="474" t="s">
        <v>2528</v>
      </c>
      <c r="AM768" s="474" t="s">
        <v>52</v>
      </c>
      <c r="AN768" s="474"/>
      <c r="AO768" s="474"/>
      <c r="AP768" s="486"/>
      <c r="AQ768" s="486"/>
      <c r="AR768" s="486"/>
      <c r="AS768" s="495"/>
      <c r="AT768" s="495"/>
      <c r="AU768" s="478"/>
      <c r="AV768" s="471"/>
      <c r="AW768" s="471"/>
      <c r="AX768" s="471"/>
      <c r="AY768" s="471"/>
      <c r="AZ768" s="471"/>
      <c r="BA768" s="471"/>
      <c r="BB768" s="471"/>
      <c r="BC768" s="471"/>
    </row>
    <row r="769" spans="1:55">
      <c r="A769" s="472"/>
      <c r="B769" s="514"/>
      <c r="C769" s="514"/>
      <c r="D769" s="485" t="s">
        <v>2322</v>
      </c>
      <c r="E769" s="474"/>
      <c r="F769" s="474"/>
      <c r="G769" s="474">
        <v>2022</v>
      </c>
      <c r="H769" s="474">
        <v>8</v>
      </c>
      <c r="I769" s="485"/>
      <c r="J769" s="475"/>
      <c r="K769" s="483" t="s">
        <v>2747</v>
      </c>
      <c r="L769" s="474" t="s">
        <v>2439</v>
      </c>
      <c r="M769" s="487">
        <v>44463</v>
      </c>
      <c r="N769" s="487">
        <v>44613</v>
      </c>
      <c r="O769" s="487"/>
      <c r="P769" s="475"/>
      <c r="Q769" s="475"/>
      <c r="R769" s="475"/>
      <c r="S769" s="474" t="s">
        <v>1563</v>
      </c>
      <c r="T769" s="474">
        <v>60</v>
      </c>
      <c r="U769" s="474" t="s">
        <v>1281</v>
      </c>
      <c r="V769" s="474" t="s">
        <v>985</v>
      </c>
      <c r="W769" s="474">
        <v>395</v>
      </c>
      <c r="X769" s="476">
        <v>832</v>
      </c>
      <c r="Y769" s="477">
        <f t="shared" si="169"/>
        <v>328640</v>
      </c>
      <c r="Z769" s="478">
        <v>0.53</v>
      </c>
      <c r="AA769" s="479">
        <f t="shared" si="170"/>
        <v>174179.20000000001</v>
      </c>
      <c r="AB769" s="480"/>
      <c r="AC769" s="481">
        <v>0</v>
      </c>
      <c r="AD769" s="490"/>
      <c r="AE769" s="482"/>
      <c r="AF769" s="493">
        <f t="shared" si="171"/>
        <v>174179.20000000001</v>
      </c>
      <c r="AG769" s="474" t="s">
        <v>47</v>
      </c>
      <c r="AH769" s="474" t="s">
        <v>2444</v>
      </c>
      <c r="AI769" s="483">
        <v>60</v>
      </c>
      <c r="AJ769" s="474" t="s">
        <v>2522</v>
      </c>
      <c r="AK769" s="494" t="s">
        <v>1084</v>
      </c>
      <c r="AL769" s="474" t="s">
        <v>2448</v>
      </c>
      <c r="AM769" s="474" t="s">
        <v>52</v>
      </c>
      <c r="AN769" s="474" t="s">
        <v>1074</v>
      </c>
      <c r="AO769" s="474"/>
      <c r="AP769" s="486"/>
      <c r="AQ769" s="486" t="s">
        <v>37</v>
      </c>
      <c r="AR769" s="486"/>
      <c r="AS769" s="495"/>
      <c r="AT769" s="495"/>
      <c r="AU769" s="478"/>
      <c r="AV769" s="471"/>
      <c r="AW769" s="471"/>
      <c r="AX769" s="471"/>
      <c r="AY769" s="471"/>
      <c r="AZ769" s="471"/>
      <c r="BA769" s="471"/>
      <c r="BB769" s="471"/>
      <c r="BC769" s="471"/>
    </row>
    <row r="770" spans="1:55">
      <c r="A770" s="472"/>
      <c r="B770" s="514"/>
      <c r="C770" s="514"/>
      <c r="D770" s="485" t="s">
        <v>2322</v>
      </c>
      <c r="E770" s="474"/>
      <c r="F770" s="474"/>
      <c r="G770" s="474">
        <v>2022</v>
      </c>
      <c r="H770" s="474">
        <v>8</v>
      </c>
      <c r="I770" s="485"/>
      <c r="J770" s="475"/>
      <c r="K770" s="483" t="s">
        <v>2748</v>
      </c>
      <c r="L770" s="474" t="s">
        <v>2439</v>
      </c>
      <c r="M770" s="487">
        <v>44463</v>
      </c>
      <c r="N770" s="487">
        <v>44613</v>
      </c>
      <c r="O770" s="487"/>
      <c r="P770" s="475"/>
      <c r="Q770" s="475"/>
      <c r="R770" s="475"/>
      <c r="S770" s="474" t="s">
        <v>1563</v>
      </c>
      <c r="T770" s="474">
        <v>60</v>
      </c>
      <c r="U770" s="474" t="s">
        <v>1281</v>
      </c>
      <c r="V770" s="474" t="s">
        <v>985</v>
      </c>
      <c r="W770" s="474">
        <v>395</v>
      </c>
      <c r="X770" s="476">
        <v>832</v>
      </c>
      <c r="Y770" s="477">
        <f t="shared" si="169"/>
        <v>328640</v>
      </c>
      <c r="Z770" s="478">
        <v>0.53</v>
      </c>
      <c r="AA770" s="479">
        <f t="shared" si="170"/>
        <v>174179.20000000001</v>
      </c>
      <c r="AB770" s="480"/>
      <c r="AC770" s="481">
        <v>0</v>
      </c>
      <c r="AD770" s="490"/>
      <c r="AE770" s="482"/>
      <c r="AF770" s="493">
        <f t="shared" si="171"/>
        <v>174179.20000000001</v>
      </c>
      <c r="AG770" s="474" t="s">
        <v>47</v>
      </c>
      <c r="AH770" s="474" t="s">
        <v>2444</v>
      </c>
      <c r="AI770" s="483">
        <v>60</v>
      </c>
      <c r="AJ770" s="474" t="s">
        <v>1678</v>
      </c>
      <c r="AK770" s="494" t="s">
        <v>1085</v>
      </c>
      <c r="AL770" s="474" t="s">
        <v>2528</v>
      </c>
      <c r="AM770" s="474" t="s">
        <v>52</v>
      </c>
      <c r="AN770" s="474" t="s">
        <v>1074</v>
      </c>
      <c r="AO770" s="474"/>
      <c r="AP770" s="486"/>
      <c r="AQ770" s="486" t="s">
        <v>37</v>
      </c>
      <c r="AR770" s="486"/>
      <c r="AS770" s="495"/>
      <c r="AT770" s="495"/>
      <c r="AU770" s="478"/>
      <c r="AV770" s="471"/>
      <c r="AW770" s="471"/>
      <c r="AX770" s="471"/>
      <c r="AY770" s="471"/>
      <c r="AZ770" s="471"/>
      <c r="BA770" s="471"/>
      <c r="BB770" s="471"/>
      <c r="BC770" s="471"/>
    </row>
    <row r="771" spans="1:55">
      <c r="A771" s="472"/>
      <c r="B771" s="514"/>
      <c r="C771" s="514"/>
      <c r="D771" s="485" t="s">
        <v>2322</v>
      </c>
      <c r="E771" s="474"/>
      <c r="F771" s="474"/>
      <c r="G771" s="474">
        <v>2022</v>
      </c>
      <c r="H771" s="474">
        <v>8</v>
      </c>
      <c r="I771" s="485"/>
      <c r="J771" s="475"/>
      <c r="K771" s="483" t="s">
        <v>2749</v>
      </c>
      <c r="L771" s="474" t="s">
        <v>2439</v>
      </c>
      <c r="M771" s="487">
        <v>44463</v>
      </c>
      <c r="N771" s="487">
        <v>44624</v>
      </c>
      <c r="O771" s="487"/>
      <c r="P771" s="475"/>
      <c r="Q771" s="475"/>
      <c r="R771" s="475"/>
      <c r="S771" s="474" t="s">
        <v>1563</v>
      </c>
      <c r="T771" s="474">
        <v>60</v>
      </c>
      <c r="U771" s="474" t="s">
        <v>1281</v>
      </c>
      <c r="V771" s="474" t="s">
        <v>2719</v>
      </c>
      <c r="W771" s="474">
        <v>395</v>
      </c>
      <c r="X771" s="476">
        <v>832</v>
      </c>
      <c r="Y771" s="477">
        <f t="shared" si="169"/>
        <v>328640</v>
      </c>
      <c r="Z771" s="478">
        <v>0.53</v>
      </c>
      <c r="AA771" s="479">
        <f t="shared" si="170"/>
        <v>174179.20000000001</v>
      </c>
      <c r="AB771" s="480"/>
      <c r="AC771" s="481">
        <v>0</v>
      </c>
      <c r="AD771" s="490"/>
      <c r="AE771" s="482"/>
      <c r="AF771" s="493">
        <f t="shared" si="171"/>
        <v>174179.20000000001</v>
      </c>
      <c r="AG771" s="474" t="s">
        <v>47</v>
      </c>
      <c r="AH771" s="474" t="s">
        <v>2444</v>
      </c>
      <c r="AI771" s="483">
        <v>60</v>
      </c>
      <c r="AJ771" s="474" t="s">
        <v>1790</v>
      </c>
      <c r="AK771" s="494" t="s">
        <v>50</v>
      </c>
      <c r="AL771" s="474" t="s">
        <v>2452</v>
      </c>
      <c r="AM771" s="474" t="s">
        <v>52</v>
      </c>
      <c r="AN771" s="474"/>
      <c r="AO771" s="474"/>
      <c r="AP771" s="486"/>
      <c r="AQ771" s="486"/>
      <c r="AR771" s="486"/>
      <c r="AS771" s="495"/>
      <c r="AT771" s="495"/>
      <c r="AU771" s="478"/>
      <c r="AV771" s="471"/>
      <c r="AW771" s="471"/>
      <c r="AX771" s="471"/>
      <c r="AY771" s="471"/>
      <c r="AZ771" s="471"/>
      <c r="BA771" s="471"/>
      <c r="BB771" s="471"/>
      <c r="BC771" s="471"/>
    </row>
    <row r="772" spans="1:55">
      <c r="A772" s="472"/>
      <c r="B772" s="514"/>
      <c r="C772" s="514"/>
      <c r="D772" s="485" t="s">
        <v>2322</v>
      </c>
      <c r="E772" s="474" t="s">
        <v>2633</v>
      </c>
      <c r="F772" s="474"/>
      <c r="G772" s="474">
        <v>2022</v>
      </c>
      <c r="H772" s="474">
        <v>8</v>
      </c>
      <c r="I772" s="485"/>
      <c r="J772" s="475"/>
      <c r="K772" s="483" t="s">
        <v>2750</v>
      </c>
      <c r="L772" s="474" t="s">
        <v>2439</v>
      </c>
      <c r="M772" s="487">
        <v>44482</v>
      </c>
      <c r="N772" s="487">
        <v>44747</v>
      </c>
      <c r="O772" s="487"/>
      <c r="P772" s="475"/>
      <c r="Q772" s="475"/>
      <c r="R772" s="475"/>
      <c r="S772" s="474" t="s">
        <v>1563</v>
      </c>
      <c r="T772" s="474">
        <v>60</v>
      </c>
      <c r="U772" s="474" t="s">
        <v>1281</v>
      </c>
      <c r="V772" s="474" t="s">
        <v>2719</v>
      </c>
      <c r="W772" s="474">
        <v>395</v>
      </c>
      <c r="X772" s="476">
        <v>832</v>
      </c>
      <c r="Y772" s="477">
        <f t="shared" si="169"/>
        <v>328640</v>
      </c>
      <c r="Z772" s="478">
        <v>0.53</v>
      </c>
      <c r="AA772" s="479">
        <f t="shared" si="170"/>
        <v>174179.20000000001</v>
      </c>
      <c r="AB772" s="480"/>
      <c r="AC772" s="481">
        <v>0</v>
      </c>
      <c r="AD772" s="490"/>
      <c r="AE772" s="482"/>
      <c r="AF772" s="493">
        <f t="shared" si="171"/>
        <v>174179.20000000001</v>
      </c>
      <c r="AG772" s="474" t="s">
        <v>47</v>
      </c>
      <c r="AH772" s="474" t="s">
        <v>2444</v>
      </c>
      <c r="AI772" s="483">
        <v>60</v>
      </c>
      <c r="AJ772" s="474" t="s">
        <v>2450</v>
      </c>
      <c r="AK772" s="494" t="s">
        <v>50</v>
      </c>
      <c r="AL772" s="474" t="s">
        <v>2537</v>
      </c>
      <c r="AM772" s="474" t="s">
        <v>52</v>
      </c>
      <c r="AN772" s="474"/>
      <c r="AO772" s="474"/>
      <c r="AP772" s="486"/>
      <c r="AQ772" s="486"/>
      <c r="AR772" s="486"/>
      <c r="AS772" s="495"/>
      <c r="AT772" s="495"/>
      <c r="AU772" s="478"/>
      <c r="AV772" s="471"/>
      <c r="AW772" s="471"/>
      <c r="AX772" s="471"/>
      <c r="AY772" s="471"/>
      <c r="AZ772" s="471"/>
      <c r="BA772" s="471"/>
      <c r="BB772" s="471"/>
      <c r="BC772" s="471"/>
    </row>
    <row r="773" spans="1:55">
      <c r="A773" s="472"/>
      <c r="B773" s="514"/>
      <c r="C773" s="514"/>
      <c r="D773" s="485" t="s">
        <v>2322</v>
      </c>
      <c r="E773" s="474" t="s">
        <v>2633</v>
      </c>
      <c r="F773" s="474"/>
      <c r="G773" s="474">
        <v>2022</v>
      </c>
      <c r="H773" s="474">
        <v>8</v>
      </c>
      <c r="I773" s="485"/>
      <c r="J773" s="475"/>
      <c r="K773" s="483" t="s">
        <v>2751</v>
      </c>
      <c r="L773" s="474" t="s">
        <v>2439</v>
      </c>
      <c r="M773" s="487">
        <v>44482</v>
      </c>
      <c r="N773" s="487">
        <v>44747</v>
      </c>
      <c r="O773" s="487"/>
      <c r="P773" s="475"/>
      <c r="Q773" s="475"/>
      <c r="R773" s="475"/>
      <c r="S773" s="474" t="s">
        <v>1563</v>
      </c>
      <c r="T773" s="474">
        <v>60</v>
      </c>
      <c r="U773" s="474" t="s">
        <v>1281</v>
      </c>
      <c r="V773" s="474" t="s">
        <v>2719</v>
      </c>
      <c r="W773" s="474">
        <v>395</v>
      </c>
      <c r="X773" s="476">
        <v>832</v>
      </c>
      <c r="Y773" s="477">
        <f t="shared" si="169"/>
        <v>328640</v>
      </c>
      <c r="Z773" s="478">
        <v>0.53</v>
      </c>
      <c r="AA773" s="479">
        <f t="shared" si="170"/>
        <v>174179.20000000001</v>
      </c>
      <c r="AB773" s="480"/>
      <c r="AC773" s="481">
        <v>0</v>
      </c>
      <c r="AD773" s="490"/>
      <c r="AE773" s="482"/>
      <c r="AF773" s="493">
        <f t="shared" si="171"/>
        <v>174179.20000000001</v>
      </c>
      <c r="AG773" s="474" t="s">
        <v>47</v>
      </c>
      <c r="AH773" s="474" t="s">
        <v>2444</v>
      </c>
      <c r="AI773" s="483">
        <v>60</v>
      </c>
      <c r="AJ773" s="474" t="s">
        <v>2450</v>
      </c>
      <c r="AK773" s="494" t="s">
        <v>50</v>
      </c>
      <c r="AL773" s="474" t="s">
        <v>2537</v>
      </c>
      <c r="AM773" s="474" t="s">
        <v>52</v>
      </c>
      <c r="AN773" s="474"/>
      <c r="AO773" s="474"/>
      <c r="AP773" s="486"/>
      <c r="AQ773" s="486"/>
      <c r="AR773" s="486"/>
      <c r="AS773" s="495"/>
      <c r="AT773" s="495"/>
      <c r="AU773" s="478"/>
      <c r="AV773" s="471"/>
      <c r="AW773" s="471"/>
      <c r="AX773" s="471"/>
      <c r="AY773" s="471"/>
      <c r="AZ773" s="471"/>
      <c r="BA773" s="471"/>
      <c r="BB773" s="471"/>
      <c r="BC773" s="471"/>
    </row>
    <row r="774" spans="1:55">
      <c r="A774" s="472"/>
      <c r="B774" s="514"/>
      <c r="C774" s="514"/>
      <c r="D774" s="485" t="s">
        <v>2322</v>
      </c>
      <c r="E774" s="474" t="s">
        <v>2633</v>
      </c>
      <c r="F774" s="474"/>
      <c r="G774" s="474">
        <v>2022</v>
      </c>
      <c r="H774" s="474">
        <v>8</v>
      </c>
      <c r="I774" s="485"/>
      <c r="J774" s="475"/>
      <c r="K774" s="483" t="s">
        <v>2752</v>
      </c>
      <c r="L774" s="474" t="s">
        <v>2439</v>
      </c>
      <c r="M774" s="487">
        <v>44482</v>
      </c>
      <c r="N774" s="487">
        <v>44757</v>
      </c>
      <c r="O774" s="487"/>
      <c r="P774" s="475"/>
      <c r="Q774" s="475"/>
      <c r="R774" s="475"/>
      <c r="S774" s="474" t="s">
        <v>1563</v>
      </c>
      <c r="T774" s="474">
        <v>60</v>
      </c>
      <c r="U774" s="474" t="s">
        <v>1281</v>
      </c>
      <c r="V774" s="474" t="s">
        <v>2719</v>
      </c>
      <c r="W774" s="474">
        <v>395</v>
      </c>
      <c r="X774" s="476">
        <v>832</v>
      </c>
      <c r="Y774" s="477">
        <f t="shared" si="169"/>
        <v>328640</v>
      </c>
      <c r="Z774" s="478">
        <v>0.53</v>
      </c>
      <c r="AA774" s="479">
        <f t="shared" si="170"/>
        <v>174179.20000000001</v>
      </c>
      <c r="AB774" s="480"/>
      <c r="AC774" s="481">
        <v>0</v>
      </c>
      <c r="AD774" s="490"/>
      <c r="AE774" s="482"/>
      <c r="AF774" s="493">
        <f t="shared" si="171"/>
        <v>174179.20000000001</v>
      </c>
      <c r="AG774" s="474" t="s">
        <v>47</v>
      </c>
      <c r="AH774" s="474" t="s">
        <v>2444</v>
      </c>
      <c r="AI774" s="483">
        <v>60</v>
      </c>
      <c r="AJ774" s="474" t="s">
        <v>2450</v>
      </c>
      <c r="AK774" s="494" t="s">
        <v>50</v>
      </c>
      <c r="AL774" s="474" t="s">
        <v>2537</v>
      </c>
      <c r="AM774" s="474" t="s">
        <v>52</v>
      </c>
      <c r="AN774" s="474"/>
      <c r="AO774" s="474"/>
      <c r="AP774" s="486"/>
      <c r="AQ774" s="486"/>
      <c r="AR774" s="486"/>
      <c r="AS774" s="495"/>
      <c r="AT774" s="495"/>
      <c r="AU774" s="478"/>
      <c r="AV774" s="471"/>
      <c r="AW774" s="471"/>
      <c r="AX774" s="471"/>
      <c r="AY774" s="471"/>
      <c r="AZ774" s="471"/>
      <c r="BA774" s="471"/>
      <c r="BB774" s="471"/>
      <c r="BC774" s="471"/>
    </row>
    <row r="775" spans="1:55">
      <c r="A775" s="472"/>
      <c r="B775" s="514"/>
      <c r="C775" s="514"/>
      <c r="D775" s="485" t="s">
        <v>2322</v>
      </c>
      <c r="E775" s="474" t="s">
        <v>2633</v>
      </c>
      <c r="F775" s="474"/>
      <c r="G775" s="474">
        <v>2022</v>
      </c>
      <c r="H775" s="474">
        <v>8</v>
      </c>
      <c r="I775" s="485"/>
      <c r="J775" s="475"/>
      <c r="K775" s="483" t="s">
        <v>2753</v>
      </c>
      <c r="L775" s="474" t="s">
        <v>2439</v>
      </c>
      <c r="M775" s="487">
        <v>44482</v>
      </c>
      <c r="N775" s="487">
        <v>44767</v>
      </c>
      <c r="O775" s="487"/>
      <c r="P775" s="475"/>
      <c r="Q775" s="475"/>
      <c r="R775" s="475"/>
      <c r="S775" s="474" t="s">
        <v>1563</v>
      </c>
      <c r="T775" s="474">
        <v>60</v>
      </c>
      <c r="U775" s="474" t="s">
        <v>1281</v>
      </c>
      <c r="V775" s="474" t="s">
        <v>2719</v>
      </c>
      <c r="W775" s="474">
        <v>395</v>
      </c>
      <c r="X775" s="476">
        <v>832</v>
      </c>
      <c r="Y775" s="477">
        <f t="shared" si="169"/>
        <v>328640</v>
      </c>
      <c r="Z775" s="478">
        <v>0.53</v>
      </c>
      <c r="AA775" s="479">
        <f t="shared" si="170"/>
        <v>174179.20000000001</v>
      </c>
      <c r="AB775" s="480"/>
      <c r="AC775" s="481">
        <v>0</v>
      </c>
      <c r="AD775" s="490"/>
      <c r="AE775" s="482"/>
      <c r="AF775" s="493">
        <f t="shared" si="171"/>
        <v>174179.20000000001</v>
      </c>
      <c r="AG775" s="474" t="s">
        <v>47</v>
      </c>
      <c r="AH775" s="474" t="s">
        <v>2444</v>
      </c>
      <c r="AI775" s="483">
        <v>60</v>
      </c>
      <c r="AJ775" s="474" t="s">
        <v>2450</v>
      </c>
      <c r="AK775" s="494" t="s">
        <v>50</v>
      </c>
      <c r="AL775" s="474" t="s">
        <v>2537</v>
      </c>
      <c r="AM775" s="474" t="s">
        <v>52</v>
      </c>
      <c r="AN775" s="474"/>
      <c r="AO775" s="474"/>
      <c r="AP775" s="486"/>
      <c r="AQ775" s="486"/>
      <c r="AR775" s="486"/>
      <c r="AS775" s="495"/>
      <c r="AT775" s="495"/>
      <c r="AU775" s="478"/>
      <c r="AV775" s="471"/>
      <c r="AW775" s="471"/>
      <c r="AX775" s="471"/>
      <c r="AY775" s="471"/>
      <c r="AZ775" s="471"/>
      <c r="BA775" s="471"/>
      <c r="BB775" s="471"/>
      <c r="BC775" s="471"/>
    </row>
    <row r="776" spans="1:55">
      <c r="A776" s="472"/>
      <c r="B776" s="514"/>
      <c r="C776" s="514"/>
      <c r="D776" s="485" t="s">
        <v>2322</v>
      </c>
      <c r="E776" s="474" t="s">
        <v>2633</v>
      </c>
      <c r="F776" s="474"/>
      <c r="G776" s="474">
        <v>2022</v>
      </c>
      <c r="H776" s="474">
        <v>8</v>
      </c>
      <c r="I776" s="485"/>
      <c r="J776" s="475"/>
      <c r="K776" s="483" t="s">
        <v>2754</v>
      </c>
      <c r="L776" s="474" t="s">
        <v>2439</v>
      </c>
      <c r="M776" s="487">
        <v>44482</v>
      </c>
      <c r="N776" s="487">
        <v>44750</v>
      </c>
      <c r="O776" s="487"/>
      <c r="P776" s="475"/>
      <c r="Q776" s="475"/>
      <c r="R776" s="475"/>
      <c r="S776" s="474" t="s">
        <v>1563</v>
      </c>
      <c r="T776" s="474">
        <v>60</v>
      </c>
      <c r="U776" s="474" t="s">
        <v>1281</v>
      </c>
      <c r="V776" s="474" t="s">
        <v>2719</v>
      </c>
      <c r="W776" s="474">
        <v>395</v>
      </c>
      <c r="X776" s="476">
        <v>832</v>
      </c>
      <c r="Y776" s="477">
        <f t="shared" si="169"/>
        <v>328640</v>
      </c>
      <c r="Z776" s="478">
        <v>0.53</v>
      </c>
      <c r="AA776" s="479">
        <f t="shared" si="170"/>
        <v>174179.20000000001</v>
      </c>
      <c r="AB776" s="480"/>
      <c r="AC776" s="481">
        <v>0</v>
      </c>
      <c r="AD776" s="490"/>
      <c r="AE776" s="482"/>
      <c r="AF776" s="493">
        <f t="shared" si="171"/>
        <v>174179.20000000001</v>
      </c>
      <c r="AG776" s="474" t="s">
        <v>47</v>
      </c>
      <c r="AH776" s="474" t="s">
        <v>2444</v>
      </c>
      <c r="AI776" s="483">
        <v>60</v>
      </c>
      <c r="AJ776" s="474" t="s">
        <v>1678</v>
      </c>
      <c r="AK776" s="494" t="s">
        <v>1085</v>
      </c>
      <c r="AL776" s="474" t="s">
        <v>2528</v>
      </c>
      <c r="AM776" s="474" t="s">
        <v>52</v>
      </c>
      <c r="AN776" s="474"/>
      <c r="AO776" s="474"/>
      <c r="AP776" s="486"/>
      <c r="AQ776" s="486"/>
      <c r="AR776" s="486"/>
      <c r="AS776" s="495"/>
      <c r="AT776" s="495"/>
      <c r="AU776" s="478"/>
      <c r="AV776" s="471"/>
      <c r="AW776" s="471"/>
      <c r="AX776" s="471"/>
      <c r="AY776" s="471"/>
      <c r="AZ776" s="471"/>
      <c r="BA776" s="471"/>
      <c r="BB776" s="471"/>
      <c r="BC776" s="471"/>
    </row>
    <row r="777" spans="1:55">
      <c r="A777" s="472"/>
      <c r="B777" s="514"/>
      <c r="C777" s="514"/>
      <c r="D777" s="485" t="s">
        <v>2322</v>
      </c>
      <c r="E777" s="474" t="s">
        <v>2633</v>
      </c>
      <c r="F777" s="474"/>
      <c r="G777" s="474">
        <v>2022</v>
      </c>
      <c r="H777" s="474">
        <v>8</v>
      </c>
      <c r="I777" s="485"/>
      <c r="J777" s="475"/>
      <c r="K777" s="483" t="s">
        <v>2755</v>
      </c>
      <c r="L777" s="474" t="s">
        <v>2439</v>
      </c>
      <c r="M777" s="487">
        <v>44482</v>
      </c>
      <c r="N777" s="487">
        <v>44760</v>
      </c>
      <c r="O777" s="487"/>
      <c r="P777" s="475"/>
      <c r="Q777" s="475"/>
      <c r="R777" s="475"/>
      <c r="S777" s="474" t="s">
        <v>1563</v>
      </c>
      <c r="T777" s="474">
        <v>60</v>
      </c>
      <c r="U777" s="474" t="s">
        <v>1281</v>
      </c>
      <c r="V777" s="474" t="s">
        <v>2719</v>
      </c>
      <c r="W777" s="474">
        <v>395</v>
      </c>
      <c r="X777" s="476">
        <v>832</v>
      </c>
      <c r="Y777" s="477">
        <f t="shared" si="169"/>
        <v>328640</v>
      </c>
      <c r="Z777" s="478">
        <v>0.53</v>
      </c>
      <c r="AA777" s="479">
        <f t="shared" si="170"/>
        <v>174179.20000000001</v>
      </c>
      <c r="AB777" s="480"/>
      <c r="AC777" s="481">
        <v>0</v>
      </c>
      <c r="AD777" s="490"/>
      <c r="AE777" s="482"/>
      <c r="AF777" s="493">
        <f t="shared" si="171"/>
        <v>174179.20000000001</v>
      </c>
      <c r="AG777" s="474" t="s">
        <v>47</v>
      </c>
      <c r="AH777" s="474" t="s">
        <v>2444</v>
      </c>
      <c r="AI777" s="483">
        <v>60</v>
      </c>
      <c r="AJ777" s="474" t="s">
        <v>1678</v>
      </c>
      <c r="AK777" s="494" t="s">
        <v>1085</v>
      </c>
      <c r="AL777" s="474" t="s">
        <v>2528</v>
      </c>
      <c r="AM777" s="474" t="s">
        <v>52</v>
      </c>
      <c r="AN777" s="474"/>
      <c r="AO777" s="474"/>
      <c r="AP777" s="486"/>
      <c r="AQ777" s="486"/>
      <c r="AR777" s="486"/>
      <c r="AS777" s="495"/>
      <c r="AT777" s="495"/>
      <c r="AU777" s="478"/>
      <c r="AV777" s="471"/>
      <c r="AW777" s="471"/>
      <c r="AX777" s="471"/>
      <c r="AY777" s="471"/>
      <c r="AZ777" s="471"/>
      <c r="BA777" s="471"/>
      <c r="BB777" s="471"/>
      <c r="BC777" s="471"/>
    </row>
    <row r="778" spans="1:55">
      <c r="A778" s="472"/>
      <c r="B778" s="514"/>
      <c r="C778" s="514"/>
      <c r="D778" s="485" t="s">
        <v>2322</v>
      </c>
      <c r="E778" s="474" t="s">
        <v>2633</v>
      </c>
      <c r="F778" s="474"/>
      <c r="G778" s="474">
        <v>2022</v>
      </c>
      <c r="H778" s="474">
        <v>8</v>
      </c>
      <c r="I778" s="485"/>
      <c r="J778" s="475"/>
      <c r="K778" s="483" t="s">
        <v>2756</v>
      </c>
      <c r="L778" s="474" t="s">
        <v>2439</v>
      </c>
      <c r="M778" s="487">
        <v>44482</v>
      </c>
      <c r="N778" s="487">
        <v>44778</v>
      </c>
      <c r="O778" s="487"/>
      <c r="P778" s="475"/>
      <c r="Q778" s="475"/>
      <c r="R778" s="475"/>
      <c r="S778" s="474" t="s">
        <v>1563</v>
      </c>
      <c r="T778" s="474">
        <v>60</v>
      </c>
      <c r="U778" s="474" t="s">
        <v>1281</v>
      </c>
      <c r="V778" s="474" t="s">
        <v>2719</v>
      </c>
      <c r="W778" s="474">
        <v>395</v>
      </c>
      <c r="X778" s="476">
        <v>832</v>
      </c>
      <c r="Y778" s="477">
        <f t="shared" si="169"/>
        <v>328640</v>
      </c>
      <c r="Z778" s="478">
        <v>0.53</v>
      </c>
      <c r="AA778" s="479">
        <f t="shared" si="170"/>
        <v>174179.20000000001</v>
      </c>
      <c r="AB778" s="480"/>
      <c r="AC778" s="481">
        <v>0</v>
      </c>
      <c r="AD778" s="490"/>
      <c r="AE778" s="482"/>
      <c r="AF778" s="493">
        <f t="shared" si="171"/>
        <v>174179.20000000001</v>
      </c>
      <c r="AG778" s="474" t="s">
        <v>47</v>
      </c>
      <c r="AH778" s="474" t="s">
        <v>2444</v>
      </c>
      <c r="AI778" s="483">
        <v>60</v>
      </c>
      <c r="AJ778" s="474" t="s">
        <v>1790</v>
      </c>
      <c r="AK778" s="494" t="s">
        <v>50</v>
      </c>
      <c r="AL778" s="474" t="s">
        <v>2452</v>
      </c>
      <c r="AM778" s="474" t="s">
        <v>52</v>
      </c>
      <c r="AN778" s="474"/>
      <c r="AO778" s="474"/>
      <c r="AP778" s="486"/>
      <c r="AQ778" s="486"/>
      <c r="AR778" s="486"/>
      <c r="AS778" s="495"/>
      <c r="AT778" s="495"/>
      <c r="AU778" s="478"/>
      <c r="AV778" s="471"/>
      <c r="AW778" s="471"/>
      <c r="AX778" s="471"/>
      <c r="AY778" s="471"/>
      <c r="AZ778" s="471"/>
      <c r="BA778" s="471"/>
      <c r="BB778" s="471"/>
      <c r="BC778" s="471"/>
    </row>
    <row r="779" spans="1:55">
      <c r="A779" s="472"/>
      <c r="B779" s="514"/>
      <c r="C779" s="514"/>
      <c r="D779" s="485" t="s">
        <v>2322</v>
      </c>
      <c r="E779" s="474" t="s">
        <v>2633</v>
      </c>
      <c r="F779" s="474"/>
      <c r="G779" s="474">
        <v>2022</v>
      </c>
      <c r="H779" s="474">
        <v>9</v>
      </c>
      <c r="I779" s="485"/>
      <c r="J779" s="475"/>
      <c r="K779" s="483" t="s">
        <v>2779</v>
      </c>
      <c r="L779" s="474" t="s">
        <v>2439</v>
      </c>
      <c r="M779" s="487">
        <v>44482</v>
      </c>
      <c r="N779" s="487">
        <v>44788</v>
      </c>
      <c r="O779" s="487"/>
      <c r="P779" s="475"/>
      <c r="Q779" s="475"/>
      <c r="R779" s="475"/>
      <c r="S779" s="474" t="s">
        <v>1563</v>
      </c>
      <c r="T779" s="474">
        <v>60</v>
      </c>
      <c r="U779" s="474">
        <v>49401139</v>
      </c>
      <c r="V779" s="474" t="s">
        <v>2719</v>
      </c>
      <c r="W779" s="474">
        <v>395</v>
      </c>
      <c r="X779" s="476">
        <v>832</v>
      </c>
      <c r="Y779" s="477">
        <f t="shared" si="169"/>
        <v>328640</v>
      </c>
      <c r="Z779" s="478">
        <v>0.53</v>
      </c>
      <c r="AA779" s="479">
        <f t="shared" si="170"/>
        <v>174179.20000000001</v>
      </c>
      <c r="AB779" s="480"/>
      <c r="AC779" s="481">
        <v>0</v>
      </c>
      <c r="AD779" s="490"/>
      <c r="AE779" s="482"/>
      <c r="AF779" s="493">
        <f t="shared" si="171"/>
        <v>174179.20000000001</v>
      </c>
      <c r="AG779" s="474" t="s">
        <v>47</v>
      </c>
      <c r="AH779" s="474" t="s">
        <v>2444</v>
      </c>
      <c r="AI779" s="483">
        <v>60</v>
      </c>
      <c r="AJ779" s="474" t="s">
        <v>1790</v>
      </c>
      <c r="AK779" s="494" t="s">
        <v>50</v>
      </c>
      <c r="AL779" s="474" t="s">
        <v>2452</v>
      </c>
      <c r="AM779" s="474" t="s">
        <v>52</v>
      </c>
      <c r="AN779" s="474"/>
      <c r="AO779" s="474"/>
      <c r="AP779" s="486"/>
      <c r="AQ779" s="486"/>
      <c r="AR779" s="486"/>
      <c r="AS779" s="495"/>
      <c r="AT779" s="495"/>
      <c r="AU779" s="478"/>
      <c r="AV779" s="471"/>
      <c r="AW779" s="471"/>
      <c r="AX779" s="471"/>
      <c r="AY779" s="471"/>
      <c r="AZ779" s="471"/>
      <c r="BA779" s="471"/>
      <c r="BB779" s="471"/>
      <c r="BC779" s="471"/>
    </row>
    <row r="780" spans="1:55">
      <c r="A780" s="472"/>
      <c r="B780" s="514"/>
      <c r="C780" s="514"/>
      <c r="D780" s="485" t="s">
        <v>2322</v>
      </c>
      <c r="E780" s="474" t="s">
        <v>2633</v>
      </c>
      <c r="F780" s="474"/>
      <c r="G780" s="474">
        <v>2022</v>
      </c>
      <c r="H780" s="474">
        <v>9</v>
      </c>
      <c r="I780" s="485"/>
      <c r="J780" s="475"/>
      <c r="K780" s="483" t="s">
        <v>2780</v>
      </c>
      <c r="L780" s="474" t="s">
        <v>2439</v>
      </c>
      <c r="M780" s="487">
        <v>44482</v>
      </c>
      <c r="N780" s="487">
        <v>44797</v>
      </c>
      <c r="O780" s="487"/>
      <c r="P780" s="475"/>
      <c r="Q780" s="475"/>
      <c r="R780" s="475"/>
      <c r="S780" s="474" t="s">
        <v>1563</v>
      </c>
      <c r="T780" s="474">
        <v>60</v>
      </c>
      <c r="U780" s="474">
        <v>49401139</v>
      </c>
      <c r="V780" s="474" t="s">
        <v>2719</v>
      </c>
      <c r="W780" s="474">
        <v>395</v>
      </c>
      <c r="X780" s="476">
        <v>832</v>
      </c>
      <c r="Y780" s="477">
        <f t="shared" si="169"/>
        <v>328640</v>
      </c>
      <c r="Z780" s="478">
        <v>0.53</v>
      </c>
      <c r="AA780" s="479">
        <f t="shared" si="170"/>
        <v>174179.20000000001</v>
      </c>
      <c r="AB780" s="480"/>
      <c r="AC780" s="481">
        <v>0</v>
      </c>
      <c r="AD780" s="490"/>
      <c r="AE780" s="482"/>
      <c r="AF780" s="493">
        <f t="shared" si="171"/>
        <v>174179.20000000001</v>
      </c>
      <c r="AG780" s="474" t="s">
        <v>47</v>
      </c>
      <c r="AH780" s="474" t="s">
        <v>2444</v>
      </c>
      <c r="AI780" s="483">
        <v>60</v>
      </c>
      <c r="AJ780" s="474" t="s">
        <v>1790</v>
      </c>
      <c r="AK780" s="494" t="s">
        <v>50</v>
      </c>
      <c r="AL780" s="474" t="s">
        <v>2452</v>
      </c>
      <c r="AM780" s="474" t="s">
        <v>52</v>
      </c>
      <c r="AN780" s="474"/>
      <c r="AO780" s="474"/>
      <c r="AP780" s="486"/>
      <c r="AQ780" s="486"/>
      <c r="AR780" s="486"/>
      <c r="AS780" s="495"/>
      <c r="AT780" s="495"/>
      <c r="AU780" s="478"/>
      <c r="AV780" s="471"/>
      <c r="AW780" s="471"/>
      <c r="AX780" s="471"/>
      <c r="AY780" s="471"/>
      <c r="AZ780" s="471"/>
      <c r="BA780" s="471"/>
      <c r="BB780" s="471"/>
      <c r="BC780" s="471"/>
    </row>
    <row r="781" spans="1:55">
      <c r="A781" s="472"/>
      <c r="B781" s="514"/>
      <c r="C781" s="514"/>
      <c r="D781" s="485" t="s">
        <v>2322</v>
      </c>
      <c r="E781" s="474" t="s">
        <v>2633</v>
      </c>
      <c r="F781" s="474"/>
      <c r="G781" s="474">
        <v>2022</v>
      </c>
      <c r="H781" s="474">
        <v>9</v>
      </c>
      <c r="I781" s="485"/>
      <c r="J781" s="475"/>
      <c r="K781" s="483" t="s">
        <v>2781</v>
      </c>
      <c r="L781" s="474" t="s">
        <v>2439</v>
      </c>
      <c r="M781" s="487">
        <v>44482</v>
      </c>
      <c r="N781" s="487">
        <v>44781</v>
      </c>
      <c r="O781" s="487"/>
      <c r="P781" s="475"/>
      <c r="Q781" s="475"/>
      <c r="R781" s="475"/>
      <c r="S781" s="474" t="s">
        <v>1563</v>
      </c>
      <c r="T781" s="474">
        <v>60</v>
      </c>
      <c r="U781" s="474">
        <v>49401139</v>
      </c>
      <c r="V781" s="474" t="s">
        <v>2719</v>
      </c>
      <c r="W781" s="474">
        <v>395</v>
      </c>
      <c r="X781" s="476">
        <v>832</v>
      </c>
      <c r="Y781" s="477">
        <f t="shared" si="169"/>
        <v>328640</v>
      </c>
      <c r="Z781" s="478">
        <v>0.53</v>
      </c>
      <c r="AA781" s="479">
        <f t="shared" si="170"/>
        <v>174179.20000000001</v>
      </c>
      <c r="AB781" s="480"/>
      <c r="AC781" s="481">
        <v>0</v>
      </c>
      <c r="AD781" s="490"/>
      <c r="AE781" s="482"/>
      <c r="AF781" s="493">
        <f t="shared" si="171"/>
        <v>174179.20000000001</v>
      </c>
      <c r="AG781" s="474" t="s">
        <v>47</v>
      </c>
      <c r="AH781" s="474" t="s">
        <v>2444</v>
      </c>
      <c r="AI781" s="483">
        <v>60</v>
      </c>
      <c r="AJ781" s="474" t="s">
        <v>2450</v>
      </c>
      <c r="AK781" s="494" t="s">
        <v>50</v>
      </c>
      <c r="AL781" s="474" t="s">
        <v>2537</v>
      </c>
      <c r="AM781" s="474" t="s">
        <v>52</v>
      </c>
      <c r="AN781" s="474"/>
      <c r="AO781" s="474"/>
      <c r="AP781" s="486"/>
      <c r="AQ781" s="486"/>
      <c r="AR781" s="486"/>
      <c r="AS781" s="495"/>
      <c r="AT781" s="495"/>
      <c r="AU781" s="478"/>
      <c r="AV781" s="471"/>
      <c r="AW781" s="471"/>
      <c r="AX781" s="471"/>
      <c r="AY781" s="471"/>
      <c r="AZ781" s="471"/>
      <c r="BA781" s="471"/>
      <c r="BB781" s="471"/>
      <c r="BC781" s="471"/>
    </row>
    <row r="782" spans="1:55">
      <c r="A782" s="472"/>
      <c r="B782" s="514"/>
      <c r="C782" s="514"/>
      <c r="D782" s="485" t="s">
        <v>2322</v>
      </c>
      <c r="E782" s="474" t="s">
        <v>2633</v>
      </c>
      <c r="F782" s="474"/>
      <c r="G782" s="474">
        <v>2022</v>
      </c>
      <c r="H782" s="474">
        <v>9</v>
      </c>
      <c r="I782" s="485"/>
      <c r="J782" s="475"/>
      <c r="K782" s="483" t="s">
        <v>2782</v>
      </c>
      <c r="L782" s="474" t="s">
        <v>2439</v>
      </c>
      <c r="M782" s="487">
        <v>44482</v>
      </c>
      <c r="N782" s="487">
        <v>44795</v>
      </c>
      <c r="O782" s="487"/>
      <c r="P782" s="475"/>
      <c r="Q782" s="475"/>
      <c r="R782" s="475"/>
      <c r="S782" s="474" t="s">
        <v>1563</v>
      </c>
      <c r="T782" s="474">
        <v>60</v>
      </c>
      <c r="U782" s="474">
        <v>49401139</v>
      </c>
      <c r="V782" s="474" t="s">
        <v>2719</v>
      </c>
      <c r="W782" s="474">
        <v>395</v>
      </c>
      <c r="X782" s="476">
        <v>832</v>
      </c>
      <c r="Y782" s="477">
        <f t="shared" si="169"/>
        <v>328640</v>
      </c>
      <c r="Z782" s="478">
        <v>0.53</v>
      </c>
      <c r="AA782" s="479">
        <f t="shared" si="170"/>
        <v>174179.20000000001</v>
      </c>
      <c r="AB782" s="480"/>
      <c r="AC782" s="481">
        <v>0</v>
      </c>
      <c r="AD782" s="490"/>
      <c r="AE782" s="482"/>
      <c r="AF782" s="493">
        <f t="shared" si="171"/>
        <v>174179.20000000001</v>
      </c>
      <c r="AG782" s="474" t="s">
        <v>47</v>
      </c>
      <c r="AH782" s="474" t="s">
        <v>2444</v>
      </c>
      <c r="AI782" s="483">
        <v>60</v>
      </c>
      <c r="AJ782" s="474" t="s">
        <v>2450</v>
      </c>
      <c r="AK782" s="494" t="s">
        <v>50</v>
      </c>
      <c r="AL782" s="474" t="s">
        <v>2537</v>
      </c>
      <c r="AM782" s="474" t="s">
        <v>52</v>
      </c>
      <c r="AN782" s="474"/>
      <c r="AO782" s="474"/>
      <c r="AP782" s="486"/>
      <c r="AQ782" s="486"/>
      <c r="AR782" s="486"/>
      <c r="AS782" s="495"/>
      <c r="AT782" s="495"/>
      <c r="AU782" s="478"/>
      <c r="AV782" s="471"/>
      <c r="AW782" s="471"/>
      <c r="AX782" s="471"/>
      <c r="AY782" s="471"/>
      <c r="AZ782" s="471"/>
      <c r="BA782" s="471"/>
      <c r="BB782" s="471"/>
      <c r="BC782" s="471"/>
    </row>
    <row r="783" spans="1:55">
      <c r="A783" s="472"/>
      <c r="B783" s="514"/>
      <c r="C783" s="514"/>
      <c r="D783" s="485" t="s">
        <v>2322</v>
      </c>
      <c r="E783" s="474" t="s">
        <v>2633</v>
      </c>
      <c r="F783" s="474"/>
      <c r="G783" s="474">
        <v>2022</v>
      </c>
      <c r="H783" s="474">
        <v>9</v>
      </c>
      <c r="I783" s="485"/>
      <c r="J783" s="475"/>
      <c r="K783" s="483" t="s">
        <v>2783</v>
      </c>
      <c r="L783" s="474" t="s">
        <v>2439</v>
      </c>
      <c r="M783" s="487">
        <v>44482</v>
      </c>
      <c r="N783" s="487">
        <v>44781</v>
      </c>
      <c r="O783" s="487"/>
      <c r="P783" s="475"/>
      <c r="Q783" s="475"/>
      <c r="R783" s="475"/>
      <c r="S783" s="474" t="s">
        <v>1563</v>
      </c>
      <c r="T783" s="474">
        <v>60</v>
      </c>
      <c r="U783" s="474">
        <v>49401139</v>
      </c>
      <c r="V783" s="474" t="s">
        <v>2719</v>
      </c>
      <c r="W783" s="474">
        <v>395</v>
      </c>
      <c r="X783" s="476">
        <v>832</v>
      </c>
      <c r="Y783" s="477">
        <f t="shared" si="169"/>
        <v>328640</v>
      </c>
      <c r="Z783" s="478">
        <v>0.53</v>
      </c>
      <c r="AA783" s="479">
        <f t="shared" si="170"/>
        <v>174179.20000000001</v>
      </c>
      <c r="AB783" s="480"/>
      <c r="AC783" s="481">
        <v>0</v>
      </c>
      <c r="AD783" s="490"/>
      <c r="AE783" s="482"/>
      <c r="AF783" s="493">
        <f t="shared" si="171"/>
        <v>174179.20000000001</v>
      </c>
      <c r="AG783" s="474" t="s">
        <v>47</v>
      </c>
      <c r="AH783" s="474" t="s">
        <v>2444</v>
      </c>
      <c r="AI783" s="483">
        <v>60</v>
      </c>
      <c r="AJ783" s="474" t="s">
        <v>2426</v>
      </c>
      <c r="AK783" s="494" t="s">
        <v>1144</v>
      </c>
      <c r="AL783" s="474" t="s">
        <v>2528</v>
      </c>
      <c r="AM783" s="474" t="s">
        <v>52</v>
      </c>
      <c r="AN783" s="474"/>
      <c r="AO783" s="474"/>
      <c r="AP783" s="486"/>
      <c r="AQ783" s="486"/>
      <c r="AR783" s="486"/>
      <c r="AS783" s="495"/>
      <c r="AT783" s="495"/>
      <c r="AU783" s="478"/>
      <c r="AV783" s="471"/>
      <c r="AW783" s="471"/>
      <c r="AX783" s="471"/>
      <c r="AY783" s="471"/>
      <c r="AZ783" s="471"/>
      <c r="BA783" s="471"/>
      <c r="BB783" s="471"/>
      <c r="BC783" s="471"/>
    </row>
    <row r="784" spans="1:55">
      <c r="A784" s="472"/>
      <c r="B784" s="514"/>
      <c r="C784" s="514"/>
      <c r="D784" s="485" t="s">
        <v>2322</v>
      </c>
      <c r="E784" s="474" t="s">
        <v>2633</v>
      </c>
      <c r="F784" s="474"/>
      <c r="G784" s="474">
        <v>2022</v>
      </c>
      <c r="H784" s="474">
        <v>9</v>
      </c>
      <c r="I784" s="485"/>
      <c r="J784" s="475"/>
      <c r="K784" s="483" t="s">
        <v>2784</v>
      </c>
      <c r="L784" s="474" t="s">
        <v>2439</v>
      </c>
      <c r="M784" s="487">
        <v>44482</v>
      </c>
      <c r="N784" s="487">
        <v>44795</v>
      </c>
      <c r="O784" s="487"/>
      <c r="P784" s="475"/>
      <c r="Q784" s="475"/>
      <c r="R784" s="475"/>
      <c r="S784" s="474" t="s">
        <v>1563</v>
      </c>
      <c r="T784" s="474">
        <v>60</v>
      </c>
      <c r="U784" s="474">
        <v>49401139</v>
      </c>
      <c r="V784" s="474" t="s">
        <v>2719</v>
      </c>
      <c r="W784" s="474">
        <v>395</v>
      </c>
      <c r="X784" s="476">
        <v>832</v>
      </c>
      <c r="Y784" s="477">
        <f t="shared" si="169"/>
        <v>328640</v>
      </c>
      <c r="Z784" s="478">
        <v>0.53</v>
      </c>
      <c r="AA784" s="479">
        <f t="shared" si="170"/>
        <v>174179.20000000001</v>
      </c>
      <c r="AB784" s="480"/>
      <c r="AC784" s="481">
        <v>0</v>
      </c>
      <c r="AD784" s="490"/>
      <c r="AE784" s="482"/>
      <c r="AF784" s="493">
        <f t="shared" si="171"/>
        <v>174179.20000000001</v>
      </c>
      <c r="AG784" s="474" t="s">
        <v>47</v>
      </c>
      <c r="AH784" s="474" t="s">
        <v>2444</v>
      </c>
      <c r="AI784" s="483">
        <v>60</v>
      </c>
      <c r="AJ784" s="474" t="s">
        <v>2426</v>
      </c>
      <c r="AK784" s="494" t="s">
        <v>1144</v>
      </c>
      <c r="AL784" s="474" t="s">
        <v>2528</v>
      </c>
      <c r="AM784" s="474" t="s">
        <v>52</v>
      </c>
      <c r="AN784" s="474"/>
      <c r="AO784" s="474"/>
      <c r="AP784" s="486"/>
      <c r="AQ784" s="486"/>
      <c r="AR784" s="486"/>
      <c r="AS784" s="495"/>
      <c r="AT784" s="495"/>
      <c r="AU784" s="478"/>
      <c r="AV784" s="471"/>
      <c r="AW784" s="471"/>
      <c r="AX784" s="471"/>
      <c r="AY784" s="471"/>
      <c r="AZ784" s="471"/>
      <c r="BA784" s="471"/>
      <c r="BB784" s="471"/>
      <c r="BC784" s="471"/>
    </row>
    <row r="785" spans="1:55">
      <c r="A785" s="472"/>
      <c r="B785" s="514"/>
      <c r="C785" s="514"/>
      <c r="D785" s="485" t="s">
        <v>2322</v>
      </c>
      <c r="E785" s="474" t="s">
        <v>2633</v>
      </c>
      <c r="F785" s="474"/>
      <c r="G785" s="474">
        <v>2022</v>
      </c>
      <c r="H785" s="474">
        <v>9</v>
      </c>
      <c r="I785" s="485"/>
      <c r="J785" s="475"/>
      <c r="K785" s="483" t="s">
        <v>2785</v>
      </c>
      <c r="L785" s="474" t="s">
        <v>2439</v>
      </c>
      <c r="M785" s="487">
        <v>44482</v>
      </c>
      <c r="N785" s="487">
        <v>44778</v>
      </c>
      <c r="O785" s="487"/>
      <c r="P785" s="475"/>
      <c r="Q785" s="475"/>
      <c r="R785" s="475"/>
      <c r="S785" s="474" t="s">
        <v>1563</v>
      </c>
      <c r="T785" s="474">
        <v>60</v>
      </c>
      <c r="U785" s="474">
        <v>49401139</v>
      </c>
      <c r="V785" s="474" t="s">
        <v>2719</v>
      </c>
      <c r="W785" s="474">
        <v>395</v>
      </c>
      <c r="X785" s="476">
        <v>832</v>
      </c>
      <c r="Y785" s="477">
        <f t="shared" si="169"/>
        <v>328640</v>
      </c>
      <c r="Z785" s="478">
        <v>0.53</v>
      </c>
      <c r="AA785" s="479">
        <f t="shared" si="170"/>
        <v>174179.20000000001</v>
      </c>
      <c r="AB785" s="480"/>
      <c r="AC785" s="481">
        <v>0</v>
      </c>
      <c r="AD785" s="490"/>
      <c r="AE785" s="482"/>
      <c r="AF785" s="493">
        <f t="shared" si="171"/>
        <v>174179.20000000001</v>
      </c>
      <c r="AG785" s="474" t="s">
        <v>47</v>
      </c>
      <c r="AH785" s="474" t="s">
        <v>2444</v>
      </c>
      <c r="AI785" s="483">
        <v>60</v>
      </c>
      <c r="AJ785" s="474" t="s">
        <v>2450</v>
      </c>
      <c r="AK785" s="494" t="s">
        <v>50</v>
      </c>
      <c r="AL785" s="474" t="s">
        <v>2537</v>
      </c>
      <c r="AM785" s="474" t="s">
        <v>52</v>
      </c>
      <c r="AN785" s="474"/>
      <c r="AO785" s="474"/>
      <c r="AP785" s="486"/>
      <c r="AQ785" s="486"/>
      <c r="AR785" s="486"/>
      <c r="AS785" s="495"/>
      <c r="AT785" s="495"/>
      <c r="AU785" s="478"/>
      <c r="AV785" s="471"/>
      <c r="AW785" s="471"/>
      <c r="AX785" s="471"/>
      <c r="AY785" s="471"/>
      <c r="AZ785" s="471"/>
      <c r="BA785" s="471"/>
      <c r="BB785" s="471"/>
      <c r="BC785" s="471"/>
    </row>
    <row r="786" spans="1:55">
      <c r="A786" s="472"/>
      <c r="B786" s="514"/>
      <c r="C786" s="514"/>
      <c r="D786" s="485" t="s">
        <v>2322</v>
      </c>
      <c r="E786" s="474" t="s">
        <v>2633</v>
      </c>
      <c r="F786" s="474"/>
      <c r="G786" s="474">
        <v>2022</v>
      </c>
      <c r="H786" s="474">
        <v>9</v>
      </c>
      <c r="I786" s="485"/>
      <c r="J786" s="475"/>
      <c r="K786" s="483" t="s">
        <v>2786</v>
      </c>
      <c r="L786" s="474" t="s">
        <v>2439</v>
      </c>
      <c r="M786" s="487">
        <v>44482</v>
      </c>
      <c r="N786" s="487">
        <v>44788</v>
      </c>
      <c r="O786" s="487"/>
      <c r="P786" s="475"/>
      <c r="Q786" s="475"/>
      <c r="R786" s="475"/>
      <c r="S786" s="474" t="s">
        <v>1563</v>
      </c>
      <c r="T786" s="474">
        <v>60</v>
      </c>
      <c r="U786" s="474">
        <v>49401139</v>
      </c>
      <c r="V786" s="474" t="s">
        <v>2719</v>
      </c>
      <c r="W786" s="474">
        <v>395</v>
      </c>
      <c r="X786" s="476">
        <v>832</v>
      </c>
      <c r="Y786" s="477">
        <f t="shared" si="169"/>
        <v>328640</v>
      </c>
      <c r="Z786" s="478">
        <v>0.53</v>
      </c>
      <c r="AA786" s="479">
        <f t="shared" si="170"/>
        <v>174179.20000000001</v>
      </c>
      <c r="AB786" s="480"/>
      <c r="AC786" s="481">
        <v>0</v>
      </c>
      <c r="AD786" s="490"/>
      <c r="AE786" s="482"/>
      <c r="AF786" s="493">
        <f t="shared" si="171"/>
        <v>174179.20000000001</v>
      </c>
      <c r="AG786" s="474" t="s">
        <v>47</v>
      </c>
      <c r="AH786" s="474" t="s">
        <v>2444</v>
      </c>
      <c r="AI786" s="483">
        <v>60</v>
      </c>
      <c r="AJ786" s="474" t="s">
        <v>2450</v>
      </c>
      <c r="AK786" s="494" t="s">
        <v>50</v>
      </c>
      <c r="AL786" s="474" t="s">
        <v>2537</v>
      </c>
      <c r="AM786" s="474" t="s">
        <v>52</v>
      </c>
      <c r="AN786" s="474"/>
      <c r="AO786" s="474"/>
      <c r="AP786" s="486"/>
      <c r="AQ786" s="486"/>
      <c r="AR786" s="486"/>
      <c r="AS786" s="495"/>
      <c r="AT786" s="495"/>
      <c r="AU786" s="478"/>
      <c r="AV786" s="471"/>
      <c r="AW786" s="471"/>
      <c r="AX786" s="471"/>
      <c r="AY786" s="471"/>
      <c r="AZ786" s="471"/>
      <c r="BA786" s="471"/>
      <c r="BB786" s="471"/>
      <c r="BC786" s="471"/>
    </row>
    <row r="787" spans="1:55">
      <c r="A787" s="472"/>
      <c r="B787" s="514"/>
      <c r="C787" s="514"/>
      <c r="D787" s="485" t="s">
        <v>2322</v>
      </c>
      <c r="E787" s="474" t="s">
        <v>2633</v>
      </c>
      <c r="F787" s="474"/>
      <c r="G787" s="474">
        <v>2022</v>
      </c>
      <c r="H787" s="474">
        <v>9</v>
      </c>
      <c r="I787" s="485"/>
      <c r="J787" s="475"/>
      <c r="K787" s="483" t="s">
        <v>2787</v>
      </c>
      <c r="L787" s="474" t="s">
        <v>2439</v>
      </c>
      <c r="M787" s="487">
        <v>44482</v>
      </c>
      <c r="N787" s="487">
        <v>44797</v>
      </c>
      <c r="O787" s="487"/>
      <c r="P787" s="475"/>
      <c r="Q787" s="475"/>
      <c r="R787" s="475"/>
      <c r="S787" s="474" t="s">
        <v>1563</v>
      </c>
      <c r="T787" s="474">
        <v>60</v>
      </c>
      <c r="U787" s="474">
        <v>49401139</v>
      </c>
      <c r="V787" s="474" t="s">
        <v>2719</v>
      </c>
      <c r="W787" s="474">
        <v>395</v>
      </c>
      <c r="X787" s="476">
        <v>832</v>
      </c>
      <c r="Y787" s="477">
        <f t="shared" si="169"/>
        <v>328640</v>
      </c>
      <c r="Z787" s="478">
        <v>0.53</v>
      </c>
      <c r="AA787" s="479">
        <f t="shared" si="170"/>
        <v>174179.20000000001</v>
      </c>
      <c r="AB787" s="480"/>
      <c r="AC787" s="481">
        <v>0</v>
      </c>
      <c r="AD787" s="490"/>
      <c r="AE787" s="482"/>
      <c r="AF787" s="493">
        <f t="shared" si="171"/>
        <v>174179.20000000001</v>
      </c>
      <c r="AG787" s="474" t="s">
        <v>47</v>
      </c>
      <c r="AH787" s="474" t="s">
        <v>2444</v>
      </c>
      <c r="AI787" s="483">
        <v>60</v>
      </c>
      <c r="AJ787" s="474" t="s">
        <v>2450</v>
      </c>
      <c r="AK787" s="494" t="s">
        <v>50</v>
      </c>
      <c r="AL787" s="474" t="s">
        <v>2537</v>
      </c>
      <c r="AM787" s="474" t="s">
        <v>52</v>
      </c>
      <c r="AN787" s="474"/>
      <c r="AO787" s="474"/>
      <c r="AP787" s="486"/>
      <c r="AQ787" s="486"/>
      <c r="AR787" s="486"/>
      <c r="AS787" s="495"/>
      <c r="AT787" s="495"/>
      <c r="AU787" s="478"/>
      <c r="AV787" s="471"/>
      <c r="AW787" s="471"/>
      <c r="AX787" s="471"/>
      <c r="AY787" s="471"/>
      <c r="AZ787" s="471"/>
      <c r="BA787" s="471"/>
      <c r="BB787" s="471"/>
      <c r="BC787" s="471"/>
    </row>
    <row r="788" spans="1:55">
      <c r="A788" s="472"/>
      <c r="B788" s="514"/>
      <c r="C788" s="514"/>
      <c r="D788" s="485" t="s">
        <v>2322</v>
      </c>
      <c r="E788" s="474" t="s">
        <v>2633</v>
      </c>
      <c r="F788" s="474"/>
      <c r="G788" s="474">
        <v>2022</v>
      </c>
      <c r="H788" s="474">
        <v>9</v>
      </c>
      <c r="I788" s="485"/>
      <c r="J788" s="475"/>
      <c r="K788" s="483" t="s">
        <v>2788</v>
      </c>
      <c r="L788" s="474" t="s">
        <v>2439</v>
      </c>
      <c r="M788" s="487">
        <v>44482</v>
      </c>
      <c r="N788" s="487">
        <v>44781</v>
      </c>
      <c r="O788" s="487"/>
      <c r="P788" s="475"/>
      <c r="Q788" s="475"/>
      <c r="R788" s="475"/>
      <c r="S788" s="474" t="s">
        <v>1563</v>
      </c>
      <c r="T788" s="474">
        <v>60</v>
      </c>
      <c r="U788" s="474">
        <v>49401139</v>
      </c>
      <c r="V788" s="474" t="s">
        <v>2719</v>
      </c>
      <c r="W788" s="474">
        <v>395</v>
      </c>
      <c r="X788" s="476">
        <v>832</v>
      </c>
      <c r="Y788" s="477">
        <f t="shared" si="169"/>
        <v>328640</v>
      </c>
      <c r="Z788" s="478">
        <v>0.53</v>
      </c>
      <c r="AA788" s="479">
        <f t="shared" si="170"/>
        <v>174179.20000000001</v>
      </c>
      <c r="AB788" s="480"/>
      <c r="AC788" s="481">
        <v>0</v>
      </c>
      <c r="AD788" s="490"/>
      <c r="AE788" s="482"/>
      <c r="AF788" s="493">
        <f t="shared" si="171"/>
        <v>174179.20000000001</v>
      </c>
      <c r="AG788" s="474" t="s">
        <v>47</v>
      </c>
      <c r="AH788" s="474" t="s">
        <v>2444</v>
      </c>
      <c r="AI788" s="483">
        <v>60</v>
      </c>
      <c r="AJ788" s="474" t="s">
        <v>1678</v>
      </c>
      <c r="AK788" s="494" t="s">
        <v>1085</v>
      </c>
      <c r="AL788" s="474" t="s">
        <v>2528</v>
      </c>
      <c r="AM788" s="474" t="s">
        <v>52</v>
      </c>
      <c r="AN788" s="474"/>
      <c r="AO788" s="474"/>
      <c r="AP788" s="486"/>
      <c r="AQ788" s="486"/>
      <c r="AR788" s="486"/>
      <c r="AS788" s="495"/>
      <c r="AT788" s="495"/>
      <c r="AU788" s="478"/>
      <c r="AV788" s="471"/>
      <c r="AW788" s="471"/>
      <c r="AX788" s="471"/>
      <c r="AY788" s="471"/>
      <c r="AZ788" s="471"/>
      <c r="BA788" s="471"/>
      <c r="BB788" s="471"/>
      <c r="BC788" s="471"/>
    </row>
    <row r="789" spans="1:55">
      <c r="A789" s="472"/>
      <c r="B789" s="514" t="s">
        <v>1211</v>
      </c>
      <c r="C789" s="472" t="s">
        <v>1211</v>
      </c>
      <c r="D789" s="485" t="s">
        <v>2322</v>
      </c>
      <c r="E789" s="474" t="s">
        <v>1283</v>
      </c>
      <c r="F789" s="474"/>
      <c r="G789" s="474">
        <v>2022</v>
      </c>
      <c r="H789" s="474">
        <v>10</v>
      </c>
      <c r="I789" s="485"/>
      <c r="J789" s="475"/>
      <c r="K789" s="610" t="s">
        <v>2715</v>
      </c>
      <c r="L789" s="483" t="s">
        <v>2439</v>
      </c>
      <c r="M789" s="487">
        <v>44658</v>
      </c>
      <c r="N789" s="487">
        <v>44839</v>
      </c>
      <c r="O789" s="487"/>
      <c r="P789" s="475"/>
      <c r="Q789" s="475"/>
      <c r="R789" s="475"/>
      <c r="S789" s="474" t="s">
        <v>1563</v>
      </c>
      <c r="T789" s="474">
        <v>60</v>
      </c>
      <c r="U789" s="474" t="s">
        <v>1109</v>
      </c>
      <c r="V789" s="474" t="s">
        <v>973</v>
      </c>
      <c r="W789" s="474">
        <v>395</v>
      </c>
      <c r="X789" s="476">
        <v>832</v>
      </c>
      <c r="Y789" s="477">
        <f t="shared" si="169"/>
        <v>328640</v>
      </c>
      <c r="Z789" s="478">
        <v>0.56000000000000005</v>
      </c>
      <c r="AA789" s="479">
        <f t="shared" si="170"/>
        <v>184038.40000000002</v>
      </c>
      <c r="AB789" s="480"/>
      <c r="AC789" s="481">
        <f t="shared" ref="AC789:AC794" si="173">AB789*Y789</f>
        <v>0</v>
      </c>
      <c r="AD789" s="490"/>
      <c r="AE789" s="482"/>
      <c r="AF789" s="493">
        <f t="shared" si="171"/>
        <v>184038.40000000002</v>
      </c>
      <c r="AG789" s="474" t="s">
        <v>47</v>
      </c>
      <c r="AH789" s="474"/>
      <c r="AI789" s="483">
        <v>60</v>
      </c>
      <c r="AJ789" s="474" t="s">
        <v>2426</v>
      </c>
      <c r="AK789" s="494" t="s">
        <v>1144</v>
      </c>
      <c r="AL789" s="474">
        <v>78218</v>
      </c>
      <c r="AM789" s="474" t="s">
        <v>52</v>
      </c>
      <c r="AN789" s="474"/>
      <c r="AO789" s="474"/>
      <c r="AP789" s="486"/>
      <c r="AQ789" s="486"/>
      <c r="AR789" s="478" t="s">
        <v>2367</v>
      </c>
      <c r="AS789" s="495"/>
      <c r="AT789" s="495"/>
      <c r="AU789" s="478"/>
      <c r="AV789" s="471"/>
      <c r="AW789" s="471"/>
      <c r="AX789" s="471"/>
      <c r="AY789" s="471"/>
      <c r="AZ789" s="471"/>
      <c r="BA789" s="471"/>
      <c r="BB789" s="471"/>
      <c r="BC789" s="471"/>
    </row>
    <row r="790" spans="1:55">
      <c r="A790" s="472"/>
      <c r="B790" s="514" t="s">
        <v>1211</v>
      </c>
      <c r="C790" s="472" t="s">
        <v>1211</v>
      </c>
      <c r="D790" s="485" t="s">
        <v>2322</v>
      </c>
      <c r="E790" s="474" t="s">
        <v>1283</v>
      </c>
      <c r="F790" s="474"/>
      <c r="G790" s="474">
        <v>2022</v>
      </c>
      <c r="H790" s="474">
        <v>10</v>
      </c>
      <c r="I790" s="485"/>
      <c r="J790" s="475"/>
      <c r="K790" s="610" t="s">
        <v>2716</v>
      </c>
      <c r="L790" s="483" t="s">
        <v>2439</v>
      </c>
      <c r="M790" s="487">
        <v>44658</v>
      </c>
      <c r="N790" s="487">
        <v>44839</v>
      </c>
      <c r="O790" s="487"/>
      <c r="P790" s="475"/>
      <c r="Q790" s="475"/>
      <c r="R790" s="475"/>
      <c r="S790" s="474" t="s">
        <v>1563</v>
      </c>
      <c r="T790" s="474">
        <v>60</v>
      </c>
      <c r="U790" s="474" t="s">
        <v>1109</v>
      </c>
      <c r="V790" s="474" t="s">
        <v>973</v>
      </c>
      <c r="W790" s="474">
        <v>395</v>
      </c>
      <c r="X790" s="476">
        <v>832</v>
      </c>
      <c r="Y790" s="477">
        <f t="shared" si="169"/>
        <v>328640</v>
      </c>
      <c r="Z790" s="478">
        <v>0.56000000000000005</v>
      </c>
      <c r="AA790" s="479">
        <f t="shared" si="170"/>
        <v>184038.40000000002</v>
      </c>
      <c r="AB790" s="480"/>
      <c r="AC790" s="481">
        <f t="shared" si="173"/>
        <v>0</v>
      </c>
      <c r="AD790" s="490"/>
      <c r="AE790" s="482"/>
      <c r="AF790" s="493">
        <f t="shared" si="171"/>
        <v>184038.40000000002</v>
      </c>
      <c r="AG790" s="474" t="s">
        <v>47</v>
      </c>
      <c r="AH790" s="474"/>
      <c r="AI790" s="483">
        <v>60</v>
      </c>
      <c r="AJ790" s="474" t="s">
        <v>1678</v>
      </c>
      <c r="AK790" s="494" t="s">
        <v>1085</v>
      </c>
      <c r="AL790" s="483" t="s">
        <v>2528</v>
      </c>
      <c r="AM790" s="474" t="s">
        <v>52</v>
      </c>
      <c r="AN790" s="474"/>
      <c r="AO790" s="474"/>
      <c r="AP790" s="486"/>
      <c r="AQ790" s="486"/>
      <c r="AR790" s="478" t="s">
        <v>2367</v>
      </c>
      <c r="AS790" s="495"/>
      <c r="AT790" s="495"/>
      <c r="AU790" s="478"/>
      <c r="AV790" s="471"/>
      <c r="AW790" s="471"/>
      <c r="AX790" s="471"/>
      <c r="AY790" s="471"/>
      <c r="AZ790" s="471"/>
      <c r="BA790" s="471"/>
      <c r="BB790" s="471"/>
      <c r="BC790" s="471"/>
    </row>
    <row r="791" spans="1:55">
      <c r="A791" s="472"/>
      <c r="B791" s="514" t="s">
        <v>1211</v>
      </c>
      <c r="C791" s="472" t="s">
        <v>1211</v>
      </c>
      <c r="D791" s="485" t="s">
        <v>2322</v>
      </c>
      <c r="E791" s="474" t="s">
        <v>1283</v>
      </c>
      <c r="F791" s="474"/>
      <c r="G791" s="474">
        <v>2022</v>
      </c>
      <c r="H791" s="474">
        <v>10</v>
      </c>
      <c r="I791" s="485"/>
      <c r="J791" s="475"/>
      <c r="K791" s="610" t="s">
        <v>2717</v>
      </c>
      <c r="L791" s="483" t="s">
        <v>2439</v>
      </c>
      <c r="M791" s="487">
        <v>44658</v>
      </c>
      <c r="N791" s="487">
        <v>44839</v>
      </c>
      <c r="O791" s="487"/>
      <c r="P791" s="475"/>
      <c r="Q791" s="475"/>
      <c r="R791" s="475"/>
      <c r="S791" s="474" t="s">
        <v>1563</v>
      </c>
      <c r="T791" s="474">
        <v>60</v>
      </c>
      <c r="U791" s="474" t="s">
        <v>1109</v>
      </c>
      <c r="V791" s="474" t="s">
        <v>973</v>
      </c>
      <c r="W791" s="474">
        <v>395</v>
      </c>
      <c r="X791" s="476">
        <v>832</v>
      </c>
      <c r="Y791" s="477">
        <f t="shared" si="169"/>
        <v>328640</v>
      </c>
      <c r="Z791" s="478">
        <v>0.56000000000000005</v>
      </c>
      <c r="AA791" s="479">
        <f t="shared" si="170"/>
        <v>184038.40000000002</v>
      </c>
      <c r="AB791" s="480"/>
      <c r="AC791" s="481">
        <f t="shared" si="173"/>
        <v>0</v>
      </c>
      <c r="AD791" s="490"/>
      <c r="AE791" s="482"/>
      <c r="AF791" s="493">
        <f t="shared" si="171"/>
        <v>184038.40000000002</v>
      </c>
      <c r="AG791" s="474" t="s">
        <v>47</v>
      </c>
      <c r="AH791" s="474"/>
      <c r="AI791" s="483">
        <v>60</v>
      </c>
      <c r="AJ791" s="474" t="s">
        <v>2277</v>
      </c>
      <c r="AK791" s="494" t="s">
        <v>1084</v>
      </c>
      <c r="AL791" s="474">
        <v>32819</v>
      </c>
      <c r="AM791" s="474" t="s">
        <v>52</v>
      </c>
      <c r="AN791" s="474"/>
      <c r="AO791" s="474"/>
      <c r="AP791" s="486"/>
      <c r="AQ791" s="486"/>
      <c r="AR791" s="478" t="s">
        <v>2367</v>
      </c>
      <c r="AS791" s="495"/>
      <c r="AT791" s="495"/>
      <c r="AU791" s="478"/>
      <c r="AV791" s="471" t="str">
        <f>U791</f>
        <v>TBD</v>
      </c>
      <c r="AW791" s="471" cm="1">
        <f t="array" ref="AW791">SUM(MID(0&amp;AV791,LARGE(INDEX(ISNUMBER(--MID(AV791,ROW($1:$8),1))*ROW($1:$8),),ROW($1:$8))+1,1)*10^ROW($1:$8)/10)</f>
        <v>0</v>
      </c>
      <c r="AX791" s="471" t="e">
        <f>VLOOKUP($AW791,'Item Master Data'!$A:$F,3,FALSE)</f>
        <v>#N/A</v>
      </c>
      <c r="AY791" s="471" t="e">
        <f>VLOOKUP($AW791,'Item Master Data'!$A:$F,6,FALSE)</f>
        <v>#N/A</v>
      </c>
      <c r="AZ791" s="471" t="e">
        <f>X791/BA791</f>
        <v>#N/A</v>
      </c>
      <c r="BA791" s="471" t="e">
        <f>VLOOKUP(AW791,'Item Master Data'!$A:$G,7,FALSE)</f>
        <v>#N/A</v>
      </c>
      <c r="BB791" s="471"/>
      <c r="BC791" s="471" t="e">
        <f>W791-AY791</f>
        <v>#N/A</v>
      </c>
    </row>
    <row r="792" spans="1:55">
      <c r="A792" s="472"/>
      <c r="B792" s="514" t="s">
        <v>1211</v>
      </c>
      <c r="C792" s="472" t="s">
        <v>1211</v>
      </c>
      <c r="D792" s="485" t="s">
        <v>2322</v>
      </c>
      <c r="E792" s="474" t="s">
        <v>1283</v>
      </c>
      <c r="F792" s="474"/>
      <c r="G792" s="474">
        <v>2022</v>
      </c>
      <c r="H792" s="474">
        <v>10</v>
      </c>
      <c r="I792" s="485"/>
      <c r="J792" s="475"/>
      <c r="K792" s="610" t="s">
        <v>2747</v>
      </c>
      <c r="L792" s="483" t="s">
        <v>2439</v>
      </c>
      <c r="M792" s="487">
        <v>44658</v>
      </c>
      <c r="N792" s="487">
        <v>44839</v>
      </c>
      <c r="O792" s="487"/>
      <c r="P792" s="475"/>
      <c r="Q792" s="475"/>
      <c r="R792" s="475"/>
      <c r="S792" s="474" t="s">
        <v>1563</v>
      </c>
      <c r="T792" s="474">
        <v>60</v>
      </c>
      <c r="U792" s="474" t="s">
        <v>1109</v>
      </c>
      <c r="V792" s="474" t="s">
        <v>973</v>
      </c>
      <c r="W792" s="474">
        <v>395</v>
      </c>
      <c r="X792" s="476">
        <v>832</v>
      </c>
      <c r="Y792" s="477">
        <f t="shared" si="169"/>
        <v>328640</v>
      </c>
      <c r="Z792" s="478">
        <v>0.56000000000000005</v>
      </c>
      <c r="AA792" s="479">
        <f t="shared" si="170"/>
        <v>184038.40000000002</v>
      </c>
      <c r="AB792" s="480"/>
      <c r="AC792" s="481">
        <f t="shared" si="173"/>
        <v>0</v>
      </c>
      <c r="AD792" s="490"/>
      <c r="AE792" s="482"/>
      <c r="AF792" s="493">
        <f t="shared" si="171"/>
        <v>184038.40000000002</v>
      </c>
      <c r="AG792" s="474" t="s">
        <v>47</v>
      </c>
      <c r="AH792" s="474"/>
      <c r="AI792" s="483">
        <v>60</v>
      </c>
      <c r="AJ792" s="474" t="s">
        <v>1790</v>
      </c>
      <c r="AK792" s="494" t="s">
        <v>50</v>
      </c>
      <c r="AL792" s="474">
        <v>95838</v>
      </c>
      <c r="AM792" s="474" t="s">
        <v>52</v>
      </c>
      <c r="AN792" s="474"/>
      <c r="AO792" s="474"/>
      <c r="AP792" s="486"/>
      <c r="AQ792" s="486"/>
      <c r="AR792" s="478" t="s">
        <v>2367</v>
      </c>
      <c r="AS792" s="495"/>
      <c r="AT792" s="495"/>
      <c r="AU792" s="478"/>
      <c r="AV792" s="471" t="str">
        <f>U792</f>
        <v>TBD</v>
      </c>
      <c r="AW792" s="471" cm="1">
        <f t="array" ref="AW792">SUM(MID(0&amp;AV792,LARGE(INDEX(ISNUMBER(--MID(AV792,ROW($1:$8),1))*ROW($1:$8),),ROW($1:$8))+1,1)*10^ROW($1:$8)/10)</f>
        <v>0</v>
      </c>
      <c r="AX792" s="471" t="e">
        <f>VLOOKUP($AW792,'Item Master Data'!$A:$F,3,FALSE)</f>
        <v>#N/A</v>
      </c>
      <c r="AY792" s="471" t="e">
        <f>VLOOKUP($AW792,'Item Master Data'!$A:$F,6,FALSE)</f>
        <v>#N/A</v>
      </c>
      <c r="AZ792" s="471" t="e">
        <f>X792/BA792</f>
        <v>#N/A</v>
      </c>
      <c r="BA792" s="471" t="e">
        <f>VLOOKUP(AW792,'Item Master Data'!$A:$G,7,FALSE)</f>
        <v>#N/A</v>
      </c>
      <c r="BB792" s="471"/>
      <c r="BC792" s="471" t="e">
        <f>W792-AY792</f>
        <v>#N/A</v>
      </c>
    </row>
    <row r="793" spans="1:55">
      <c r="A793" s="472"/>
      <c r="B793" s="514" t="s">
        <v>1211</v>
      </c>
      <c r="C793" s="472" t="s">
        <v>1211</v>
      </c>
      <c r="D793" s="485" t="s">
        <v>2322</v>
      </c>
      <c r="E793" s="474" t="s">
        <v>1283</v>
      </c>
      <c r="F793" s="474"/>
      <c r="G793" s="474">
        <v>2022</v>
      </c>
      <c r="H793" s="474">
        <v>10</v>
      </c>
      <c r="I793" s="485"/>
      <c r="J793" s="475"/>
      <c r="K793" s="610" t="s">
        <v>2748</v>
      </c>
      <c r="L793" s="483" t="s">
        <v>2439</v>
      </c>
      <c r="M793" s="487">
        <v>44658</v>
      </c>
      <c r="N793" s="487">
        <v>44839</v>
      </c>
      <c r="O793" s="487"/>
      <c r="P793" s="475"/>
      <c r="Q793" s="475"/>
      <c r="R793" s="475"/>
      <c r="S793" s="474" t="s">
        <v>1563</v>
      </c>
      <c r="T793" s="474">
        <v>60</v>
      </c>
      <c r="U793" s="474" t="s">
        <v>1109</v>
      </c>
      <c r="V793" s="474" t="s">
        <v>973</v>
      </c>
      <c r="W793" s="474">
        <v>395</v>
      </c>
      <c r="X793" s="476">
        <v>832</v>
      </c>
      <c r="Y793" s="477">
        <f t="shared" si="169"/>
        <v>328640</v>
      </c>
      <c r="Z793" s="478">
        <v>0.56000000000000005</v>
      </c>
      <c r="AA793" s="479">
        <f t="shared" si="170"/>
        <v>184038.40000000002</v>
      </c>
      <c r="AB793" s="480"/>
      <c r="AC793" s="481">
        <f t="shared" si="173"/>
        <v>0</v>
      </c>
      <c r="AD793" s="490"/>
      <c r="AE793" s="482"/>
      <c r="AF793" s="493">
        <f t="shared" si="171"/>
        <v>184038.40000000002</v>
      </c>
      <c r="AG793" s="474" t="s">
        <v>47</v>
      </c>
      <c r="AH793" s="474"/>
      <c r="AI793" s="483">
        <v>60</v>
      </c>
      <c r="AJ793" s="474" t="s">
        <v>2450</v>
      </c>
      <c r="AK793" s="494" t="s">
        <v>50</v>
      </c>
      <c r="AL793" s="474">
        <v>92337</v>
      </c>
      <c r="AM793" s="474" t="s">
        <v>52</v>
      </c>
      <c r="AN793" s="474"/>
      <c r="AO793" s="474"/>
      <c r="AP793" s="486"/>
      <c r="AQ793" s="486"/>
      <c r="AR793" s="478" t="s">
        <v>2367</v>
      </c>
      <c r="AS793" s="495"/>
      <c r="AT793" s="495"/>
      <c r="AU793" s="478"/>
      <c r="AV793" s="471"/>
      <c r="AW793" s="471"/>
      <c r="AX793" s="471"/>
      <c r="AY793" s="471"/>
      <c r="AZ793" s="471"/>
      <c r="BA793" s="471"/>
      <c r="BB793" s="471"/>
      <c r="BC793" s="471"/>
    </row>
    <row r="794" spans="1:55">
      <c r="A794" s="472"/>
      <c r="B794" s="514" t="s">
        <v>1211</v>
      </c>
      <c r="C794" s="472" t="s">
        <v>1211</v>
      </c>
      <c r="D794" s="485" t="s">
        <v>2322</v>
      </c>
      <c r="E794" s="474" t="s">
        <v>1283</v>
      </c>
      <c r="F794" s="474"/>
      <c r="G794" s="474">
        <v>2022</v>
      </c>
      <c r="H794" s="474">
        <v>10</v>
      </c>
      <c r="I794" s="485"/>
      <c r="J794" s="475"/>
      <c r="K794" s="610" t="s">
        <v>2749</v>
      </c>
      <c r="L794" s="483" t="s">
        <v>2439</v>
      </c>
      <c r="M794" s="487">
        <v>44658</v>
      </c>
      <c r="N794" s="487">
        <v>44849</v>
      </c>
      <c r="O794" s="487"/>
      <c r="P794" s="475"/>
      <c r="Q794" s="475"/>
      <c r="R794" s="475"/>
      <c r="S794" s="474" t="s">
        <v>1563</v>
      </c>
      <c r="T794" s="474">
        <v>60</v>
      </c>
      <c r="U794" s="474" t="s">
        <v>1109</v>
      </c>
      <c r="V794" s="474" t="s">
        <v>973</v>
      </c>
      <c r="W794" s="474">
        <v>395</v>
      </c>
      <c r="X794" s="476">
        <v>832</v>
      </c>
      <c r="Y794" s="477">
        <f t="shared" si="169"/>
        <v>328640</v>
      </c>
      <c r="Z794" s="478">
        <v>0.56000000000000005</v>
      </c>
      <c r="AA794" s="479">
        <f t="shared" si="170"/>
        <v>184038.40000000002</v>
      </c>
      <c r="AB794" s="480"/>
      <c r="AC794" s="481">
        <f t="shared" si="173"/>
        <v>0</v>
      </c>
      <c r="AD794" s="490"/>
      <c r="AE794" s="482"/>
      <c r="AF794" s="493">
        <f t="shared" si="171"/>
        <v>184038.40000000002</v>
      </c>
      <c r="AG794" s="474" t="s">
        <v>47</v>
      </c>
      <c r="AH794" s="474"/>
      <c r="AI794" s="483">
        <v>60</v>
      </c>
      <c r="AJ794" s="474" t="s">
        <v>1790</v>
      </c>
      <c r="AK794" s="494" t="s">
        <v>50</v>
      </c>
      <c r="AL794" s="474">
        <v>95838</v>
      </c>
      <c r="AM794" s="474" t="s">
        <v>52</v>
      </c>
      <c r="AN794" s="474"/>
      <c r="AO794" s="474"/>
      <c r="AP794" s="486"/>
      <c r="AQ794" s="486"/>
      <c r="AR794" s="478" t="s">
        <v>2367</v>
      </c>
      <c r="AS794" s="495"/>
      <c r="AT794" s="495"/>
      <c r="AU794" s="478"/>
      <c r="AV794" s="471" t="str">
        <f>U794</f>
        <v>TBD</v>
      </c>
      <c r="AW794" s="471" cm="1">
        <f t="array" ref="AW794">SUM(MID(0&amp;AV794,LARGE(INDEX(ISNUMBER(--MID(AV794,ROW($1:$8),1))*ROW($1:$8),),ROW($1:$8))+1,1)*10^ROW($1:$8)/10)</f>
        <v>0</v>
      </c>
      <c r="AX794" s="471" t="e">
        <f>VLOOKUP($AW794,'Item Master Data'!$A:$F,3,FALSE)</f>
        <v>#N/A</v>
      </c>
      <c r="AY794" s="471" t="e">
        <f>VLOOKUP($AW794,'Item Master Data'!$A:$F,6,FALSE)</f>
        <v>#N/A</v>
      </c>
      <c r="AZ794" s="471" t="e">
        <f>X794/BA794</f>
        <v>#N/A</v>
      </c>
      <c r="BA794" s="471" t="e">
        <f>VLOOKUP(AW794,'Item Master Data'!$A:$G,7,FALSE)</f>
        <v>#N/A</v>
      </c>
      <c r="BB794" s="471"/>
      <c r="BC794" s="471" t="e">
        <f>W794-AY794</f>
        <v>#N/A</v>
      </c>
    </row>
    <row r="795" spans="1:55">
      <c r="A795" s="472"/>
      <c r="B795" s="514"/>
      <c r="C795" s="514"/>
      <c r="D795" s="485" t="s">
        <v>2322</v>
      </c>
      <c r="E795" s="474"/>
      <c r="F795" s="474"/>
      <c r="G795" s="474">
        <v>2022</v>
      </c>
      <c r="H795" s="474">
        <v>10</v>
      </c>
      <c r="I795" s="485"/>
      <c r="J795" s="475"/>
      <c r="K795" s="483" t="s">
        <v>2811</v>
      </c>
      <c r="L795" s="474" t="s">
        <v>2439</v>
      </c>
      <c r="M795" s="487">
        <v>44463</v>
      </c>
      <c r="N795" s="487">
        <v>44634</v>
      </c>
      <c r="O795" s="487"/>
      <c r="P795" s="475"/>
      <c r="Q795" s="475"/>
      <c r="R795" s="475"/>
      <c r="S795" s="474" t="s">
        <v>1563</v>
      </c>
      <c r="T795" s="474">
        <v>60</v>
      </c>
      <c r="U795" s="474">
        <v>49401139</v>
      </c>
      <c r="V795" s="474" t="s">
        <v>2719</v>
      </c>
      <c r="W795" s="474">
        <v>395</v>
      </c>
      <c r="X795" s="476">
        <v>832</v>
      </c>
      <c r="Y795" s="477">
        <f t="shared" si="169"/>
        <v>328640</v>
      </c>
      <c r="Z795" s="478">
        <v>0.53</v>
      </c>
      <c r="AA795" s="479">
        <f t="shared" si="170"/>
        <v>174179.20000000001</v>
      </c>
      <c r="AB795" s="480"/>
      <c r="AC795" s="481">
        <v>0</v>
      </c>
      <c r="AD795" s="490"/>
      <c r="AE795" s="482"/>
      <c r="AF795" s="493">
        <f t="shared" si="171"/>
        <v>174179.20000000001</v>
      </c>
      <c r="AG795" s="474" t="s">
        <v>47</v>
      </c>
      <c r="AH795" s="474" t="s">
        <v>2444</v>
      </c>
      <c r="AI795" s="483">
        <v>60</v>
      </c>
      <c r="AJ795" s="474" t="s">
        <v>1790</v>
      </c>
      <c r="AK795" s="494" t="s">
        <v>50</v>
      </c>
      <c r="AL795" s="474" t="s">
        <v>2452</v>
      </c>
      <c r="AM795" s="474" t="s">
        <v>52</v>
      </c>
      <c r="AN795" s="474"/>
      <c r="AO795" s="474"/>
      <c r="AP795" s="486"/>
      <c r="AQ795" s="486"/>
      <c r="AR795" s="486"/>
      <c r="AS795" s="495"/>
      <c r="AT795" s="495"/>
      <c r="AU795" s="478"/>
      <c r="AV795" s="471"/>
      <c r="AW795" s="471"/>
      <c r="AX795" s="471"/>
      <c r="AY795" s="471"/>
      <c r="AZ795" s="471"/>
      <c r="BA795" s="471"/>
      <c r="BB795" s="471"/>
      <c r="BC795" s="471"/>
    </row>
    <row r="796" spans="1:55">
      <c r="A796" s="472"/>
      <c r="B796" s="514"/>
      <c r="C796" s="514"/>
      <c r="D796" s="485" t="s">
        <v>2322</v>
      </c>
      <c r="E796" s="474"/>
      <c r="F796" s="474"/>
      <c r="G796" s="474">
        <v>2022</v>
      </c>
      <c r="H796" s="474">
        <v>10</v>
      </c>
      <c r="I796" s="485"/>
      <c r="J796" s="475"/>
      <c r="K796" s="483" t="s">
        <v>2812</v>
      </c>
      <c r="L796" s="474" t="s">
        <v>2439</v>
      </c>
      <c r="M796" s="487">
        <v>44463</v>
      </c>
      <c r="N796" s="487">
        <v>44643</v>
      </c>
      <c r="O796" s="487"/>
      <c r="P796" s="475"/>
      <c r="Q796" s="475"/>
      <c r="R796" s="475"/>
      <c r="S796" s="474" t="s">
        <v>1563</v>
      </c>
      <c r="T796" s="474">
        <v>60</v>
      </c>
      <c r="U796" s="474">
        <v>49401139</v>
      </c>
      <c r="V796" s="474" t="s">
        <v>2719</v>
      </c>
      <c r="W796" s="474">
        <v>395</v>
      </c>
      <c r="X796" s="476">
        <v>832</v>
      </c>
      <c r="Y796" s="477">
        <f t="shared" si="169"/>
        <v>328640</v>
      </c>
      <c r="Z796" s="478">
        <v>0.53</v>
      </c>
      <c r="AA796" s="479">
        <f t="shared" si="170"/>
        <v>174179.20000000001</v>
      </c>
      <c r="AB796" s="480"/>
      <c r="AC796" s="481">
        <v>0</v>
      </c>
      <c r="AD796" s="490"/>
      <c r="AE796" s="482"/>
      <c r="AF796" s="493">
        <f t="shared" si="171"/>
        <v>174179.20000000001</v>
      </c>
      <c r="AG796" s="474" t="s">
        <v>47</v>
      </c>
      <c r="AH796" s="474" t="s">
        <v>2444</v>
      </c>
      <c r="AI796" s="483">
        <v>60</v>
      </c>
      <c r="AJ796" s="474" t="s">
        <v>1790</v>
      </c>
      <c r="AK796" s="494" t="s">
        <v>50</v>
      </c>
      <c r="AL796" s="474" t="s">
        <v>2452</v>
      </c>
      <c r="AM796" s="474" t="s">
        <v>52</v>
      </c>
      <c r="AN796" s="474"/>
      <c r="AO796" s="474"/>
      <c r="AP796" s="486"/>
      <c r="AQ796" s="486"/>
      <c r="AR796" s="486"/>
      <c r="AS796" s="495"/>
      <c r="AT796" s="495"/>
      <c r="AU796" s="478"/>
      <c r="AV796" s="471">
        <f t="shared" ref="AV796:AV801" si="174">U796</f>
        <v>49401139</v>
      </c>
      <c r="AW796" s="471" cm="1">
        <f t="array" ref="AW796">SUM(MID(0&amp;AV796,LARGE(INDEX(ISNUMBER(--MID(AV796,ROW($1:$8),1))*ROW($1:$8),),ROW($1:$8))+1,1)*10^ROW($1:$8)/10)</f>
        <v>49401139</v>
      </c>
      <c r="AX796" s="471" t="str">
        <f>VLOOKUP($AW796,'Item Master Data'!$A:$F,3,FALSE)</f>
        <v>Q.PEAK DUO BLK ML G10.a+</v>
      </c>
      <c r="AY796" s="471">
        <f>VLOOKUP($AW796,'Item Master Data'!$A:$F,6,FALSE)</f>
        <v>395</v>
      </c>
      <c r="AZ796" s="471">
        <f t="shared" ref="AZ796:AZ801" si="175">X796/BA796</f>
        <v>26</v>
      </c>
      <c r="BA796" s="471">
        <f>VLOOKUP(AW796,'Item Master Data'!$A:$G,7,FALSE)</f>
        <v>32</v>
      </c>
      <c r="BB796" s="471"/>
      <c r="BC796" s="471">
        <f t="shared" ref="BC796:BC801" si="176">W796-AY796</f>
        <v>0</v>
      </c>
    </row>
    <row r="797" spans="1:55">
      <c r="A797" s="472"/>
      <c r="B797" s="514"/>
      <c r="C797" s="514"/>
      <c r="D797" s="485" t="s">
        <v>2322</v>
      </c>
      <c r="E797" s="474"/>
      <c r="F797" s="474"/>
      <c r="G797" s="474">
        <v>2022</v>
      </c>
      <c r="H797" s="474">
        <v>10</v>
      </c>
      <c r="I797" s="485"/>
      <c r="J797" s="475"/>
      <c r="K797" s="483" t="s">
        <v>2813</v>
      </c>
      <c r="L797" s="474" t="s">
        <v>2439</v>
      </c>
      <c r="M797" s="487">
        <v>44463</v>
      </c>
      <c r="N797" s="487">
        <v>44627</v>
      </c>
      <c r="O797" s="487"/>
      <c r="P797" s="475"/>
      <c r="Q797" s="475"/>
      <c r="R797" s="475"/>
      <c r="S797" s="474" t="s">
        <v>1563</v>
      </c>
      <c r="T797" s="474">
        <v>60</v>
      </c>
      <c r="U797" s="474">
        <v>49401139</v>
      </c>
      <c r="V797" s="474" t="s">
        <v>2719</v>
      </c>
      <c r="W797" s="474">
        <v>395</v>
      </c>
      <c r="X797" s="476">
        <v>832</v>
      </c>
      <c r="Y797" s="477">
        <f t="shared" si="169"/>
        <v>328640</v>
      </c>
      <c r="Z797" s="478">
        <v>0.53</v>
      </c>
      <c r="AA797" s="479">
        <f t="shared" si="170"/>
        <v>174179.20000000001</v>
      </c>
      <c r="AB797" s="480"/>
      <c r="AC797" s="481">
        <v>0</v>
      </c>
      <c r="AD797" s="490"/>
      <c r="AE797" s="482"/>
      <c r="AF797" s="493">
        <f t="shared" si="171"/>
        <v>174179.20000000001</v>
      </c>
      <c r="AG797" s="474" t="s">
        <v>47</v>
      </c>
      <c r="AH797" s="474" t="s">
        <v>2444</v>
      </c>
      <c r="AI797" s="483">
        <v>60</v>
      </c>
      <c r="AJ797" s="474" t="s">
        <v>2450</v>
      </c>
      <c r="AK797" s="494" t="s">
        <v>50</v>
      </c>
      <c r="AL797" s="474" t="s">
        <v>2537</v>
      </c>
      <c r="AM797" s="474" t="s">
        <v>52</v>
      </c>
      <c r="AN797" s="474"/>
      <c r="AO797" s="474"/>
      <c r="AP797" s="486"/>
      <c r="AQ797" s="486"/>
      <c r="AR797" s="486"/>
      <c r="AS797" s="495"/>
      <c r="AT797" s="495"/>
      <c r="AU797" s="478"/>
      <c r="AV797" s="471">
        <f t="shared" si="174"/>
        <v>49401139</v>
      </c>
      <c r="AW797" s="471" cm="1">
        <f t="array" ref="AW797">SUM(MID(0&amp;AV797,LARGE(INDEX(ISNUMBER(--MID(AV797,ROW($1:$8),1))*ROW($1:$8),),ROW($1:$8))+1,1)*10^ROW($1:$8)/10)</f>
        <v>49401139</v>
      </c>
      <c r="AX797" s="471" t="str">
        <f>VLOOKUP($AW797,'Item Master Data'!$A:$F,3,FALSE)</f>
        <v>Q.PEAK DUO BLK ML G10.a+</v>
      </c>
      <c r="AY797" s="471">
        <f>VLOOKUP($AW797,'Item Master Data'!$A:$F,6,FALSE)</f>
        <v>395</v>
      </c>
      <c r="AZ797" s="471">
        <f t="shared" si="175"/>
        <v>26</v>
      </c>
      <c r="BA797" s="471">
        <f>VLOOKUP(AW797,'Item Master Data'!$A:$G,7,FALSE)</f>
        <v>32</v>
      </c>
      <c r="BB797" s="471"/>
      <c r="BC797" s="471">
        <f t="shared" si="176"/>
        <v>0</v>
      </c>
    </row>
    <row r="798" spans="1:55">
      <c r="A798" s="472"/>
      <c r="B798" s="514" t="s">
        <v>1211</v>
      </c>
      <c r="C798" s="472" t="s">
        <v>1211</v>
      </c>
      <c r="D798" s="485" t="s">
        <v>2322</v>
      </c>
      <c r="E798" s="474" t="s">
        <v>1283</v>
      </c>
      <c r="F798" s="474"/>
      <c r="G798" s="474">
        <v>2022</v>
      </c>
      <c r="H798" s="474">
        <v>10</v>
      </c>
      <c r="I798" s="485"/>
      <c r="J798" s="475"/>
      <c r="K798" s="610" t="s">
        <v>2813</v>
      </c>
      <c r="L798" s="483" t="s">
        <v>2439</v>
      </c>
      <c r="M798" s="487">
        <v>44658</v>
      </c>
      <c r="N798" s="487">
        <v>44849</v>
      </c>
      <c r="O798" s="487"/>
      <c r="P798" s="475"/>
      <c r="Q798" s="475"/>
      <c r="R798" s="475"/>
      <c r="S798" s="474" t="s">
        <v>1563</v>
      </c>
      <c r="T798" s="474">
        <v>60</v>
      </c>
      <c r="U798" s="474" t="s">
        <v>1109</v>
      </c>
      <c r="V798" s="474" t="s">
        <v>973</v>
      </c>
      <c r="W798" s="474">
        <v>395</v>
      </c>
      <c r="X798" s="476">
        <v>832</v>
      </c>
      <c r="Y798" s="477">
        <f t="shared" si="169"/>
        <v>328640</v>
      </c>
      <c r="Z798" s="478">
        <v>0.56000000000000005</v>
      </c>
      <c r="AA798" s="479">
        <f t="shared" si="170"/>
        <v>184038.40000000002</v>
      </c>
      <c r="AB798" s="480"/>
      <c r="AC798" s="481">
        <f>AB798*Y798</f>
        <v>0</v>
      </c>
      <c r="AD798" s="490"/>
      <c r="AE798" s="482"/>
      <c r="AF798" s="493">
        <f t="shared" si="171"/>
        <v>184038.40000000002</v>
      </c>
      <c r="AG798" s="474" t="s">
        <v>47</v>
      </c>
      <c r="AH798" s="474"/>
      <c r="AI798" s="483">
        <v>60</v>
      </c>
      <c r="AJ798" s="474" t="s">
        <v>2450</v>
      </c>
      <c r="AK798" s="494" t="s">
        <v>50</v>
      </c>
      <c r="AL798" s="474">
        <v>92337</v>
      </c>
      <c r="AM798" s="474" t="s">
        <v>52</v>
      </c>
      <c r="AN798" s="474"/>
      <c r="AO798" s="474"/>
      <c r="AP798" s="486"/>
      <c r="AQ798" s="486"/>
      <c r="AR798" s="478" t="s">
        <v>2367</v>
      </c>
      <c r="AS798" s="495"/>
      <c r="AT798" s="495"/>
      <c r="AU798" s="478"/>
      <c r="AV798" s="471" t="str">
        <f t="shared" si="174"/>
        <v>TBD</v>
      </c>
      <c r="AW798" s="471" cm="1">
        <f t="array" ref="AW798">SUM(MID(0&amp;AV798,LARGE(INDEX(ISNUMBER(--MID(AV798,ROW($1:$8),1))*ROW($1:$8),),ROW($1:$8))+1,1)*10^ROW($1:$8)/10)</f>
        <v>0</v>
      </c>
      <c r="AX798" s="471" t="e">
        <f>VLOOKUP($AW798,'Item Master Data'!$A:$F,3,FALSE)</f>
        <v>#N/A</v>
      </c>
      <c r="AY798" s="471" t="e">
        <f>VLOOKUP($AW798,'Item Master Data'!$A:$F,6,FALSE)</f>
        <v>#N/A</v>
      </c>
      <c r="AZ798" s="471" t="e">
        <f t="shared" si="175"/>
        <v>#N/A</v>
      </c>
      <c r="BA798" s="471" t="e">
        <f>VLOOKUP(AW798,'Item Master Data'!$A:$G,7,FALSE)</f>
        <v>#N/A</v>
      </c>
      <c r="BB798" s="471"/>
      <c r="BC798" s="471" t="e">
        <f t="shared" si="176"/>
        <v>#N/A</v>
      </c>
    </row>
    <row r="799" spans="1:55">
      <c r="A799" s="472"/>
      <c r="B799" s="514" t="s">
        <v>1211</v>
      </c>
      <c r="C799" s="472" t="s">
        <v>1211</v>
      </c>
      <c r="D799" s="485" t="s">
        <v>2322</v>
      </c>
      <c r="E799" s="474" t="s">
        <v>1283</v>
      </c>
      <c r="F799" s="474"/>
      <c r="G799" s="474">
        <v>2022</v>
      </c>
      <c r="H799" s="474">
        <v>10</v>
      </c>
      <c r="I799" s="485"/>
      <c r="J799" s="475"/>
      <c r="K799" s="610" t="s">
        <v>2879</v>
      </c>
      <c r="L799" s="483" t="s">
        <v>2439</v>
      </c>
      <c r="M799" s="487">
        <v>44658</v>
      </c>
      <c r="N799" s="487">
        <v>44849</v>
      </c>
      <c r="O799" s="487"/>
      <c r="P799" s="475"/>
      <c r="Q799" s="475"/>
      <c r="R799" s="475"/>
      <c r="S799" s="474" t="s">
        <v>1563</v>
      </c>
      <c r="T799" s="474">
        <v>60</v>
      </c>
      <c r="U799" s="474" t="s">
        <v>1109</v>
      </c>
      <c r="V799" s="474" t="s">
        <v>973</v>
      </c>
      <c r="W799" s="474">
        <v>395</v>
      </c>
      <c r="X799" s="476">
        <v>832</v>
      </c>
      <c r="Y799" s="477">
        <f t="shared" si="169"/>
        <v>328640</v>
      </c>
      <c r="Z799" s="478">
        <v>0.56000000000000005</v>
      </c>
      <c r="AA799" s="479">
        <f t="shared" si="170"/>
        <v>184038.40000000002</v>
      </c>
      <c r="AB799" s="480"/>
      <c r="AC799" s="481">
        <f>AB799*Y799</f>
        <v>0</v>
      </c>
      <c r="AD799" s="490"/>
      <c r="AE799" s="482"/>
      <c r="AF799" s="493">
        <f t="shared" si="171"/>
        <v>184038.40000000002</v>
      </c>
      <c r="AG799" s="474" t="s">
        <v>47</v>
      </c>
      <c r="AH799" s="474"/>
      <c r="AI799" s="483">
        <v>60</v>
      </c>
      <c r="AJ799" s="474" t="s">
        <v>2277</v>
      </c>
      <c r="AK799" s="494" t="s">
        <v>1084</v>
      </c>
      <c r="AL799" s="483" t="s">
        <v>2448</v>
      </c>
      <c r="AM799" s="474" t="s">
        <v>52</v>
      </c>
      <c r="AN799" s="474"/>
      <c r="AO799" s="474"/>
      <c r="AP799" s="486"/>
      <c r="AQ799" s="486"/>
      <c r="AR799" s="478" t="s">
        <v>2367</v>
      </c>
      <c r="AS799" s="495"/>
      <c r="AT799" s="495"/>
      <c r="AU799" s="478"/>
      <c r="AV799" s="471" t="str">
        <f t="shared" si="174"/>
        <v>TBD</v>
      </c>
      <c r="AW799" s="471" cm="1">
        <f t="array" ref="AW799">SUM(MID(0&amp;AV799,LARGE(INDEX(ISNUMBER(--MID(AV799,ROW($1:$8),1))*ROW($1:$8),),ROW($1:$8))+1,1)*10^ROW($1:$8)/10)</f>
        <v>0</v>
      </c>
      <c r="AX799" s="471" t="e">
        <f>VLOOKUP($AW799,'Item Master Data'!$A:$F,3,FALSE)</f>
        <v>#N/A</v>
      </c>
      <c r="AY799" s="471" t="e">
        <f>VLOOKUP($AW799,'Item Master Data'!$A:$F,6,FALSE)</f>
        <v>#N/A</v>
      </c>
      <c r="AZ799" s="471" t="e">
        <f t="shared" si="175"/>
        <v>#N/A</v>
      </c>
      <c r="BA799" s="471" t="e">
        <f>VLOOKUP(AW799,'Item Master Data'!$A:$G,7,FALSE)</f>
        <v>#N/A</v>
      </c>
      <c r="BB799" s="471"/>
      <c r="BC799" s="471" t="e">
        <f t="shared" si="176"/>
        <v>#N/A</v>
      </c>
    </row>
    <row r="800" spans="1:55">
      <c r="A800" s="472"/>
      <c r="B800" s="514"/>
      <c r="C800" s="514"/>
      <c r="D800" s="485" t="s">
        <v>2322</v>
      </c>
      <c r="E800" s="474" t="s">
        <v>2633</v>
      </c>
      <c r="F800" s="474"/>
      <c r="G800" s="474">
        <v>2022</v>
      </c>
      <c r="H800" s="474">
        <v>10</v>
      </c>
      <c r="I800" s="485"/>
      <c r="J800" s="475"/>
      <c r="K800" s="483" t="s">
        <v>2814</v>
      </c>
      <c r="L800" s="474" t="s">
        <v>2439</v>
      </c>
      <c r="M800" s="487">
        <v>44482</v>
      </c>
      <c r="N800" s="487">
        <v>44795</v>
      </c>
      <c r="O800" s="487"/>
      <c r="P800" s="475"/>
      <c r="Q800" s="475"/>
      <c r="R800" s="475"/>
      <c r="S800" s="474" t="s">
        <v>1563</v>
      </c>
      <c r="T800" s="474">
        <v>60</v>
      </c>
      <c r="U800" s="474">
        <v>49401139</v>
      </c>
      <c r="V800" s="474" t="s">
        <v>2719</v>
      </c>
      <c r="W800" s="474">
        <v>395</v>
      </c>
      <c r="X800" s="476">
        <v>832</v>
      </c>
      <c r="Y800" s="477">
        <f t="shared" si="169"/>
        <v>328640</v>
      </c>
      <c r="Z800" s="478">
        <v>0.53</v>
      </c>
      <c r="AA800" s="479">
        <f t="shared" si="170"/>
        <v>174179.20000000001</v>
      </c>
      <c r="AB800" s="480"/>
      <c r="AC800" s="481">
        <v>0</v>
      </c>
      <c r="AD800" s="490"/>
      <c r="AE800" s="482"/>
      <c r="AF800" s="493">
        <f t="shared" si="171"/>
        <v>174179.20000000001</v>
      </c>
      <c r="AG800" s="474" t="s">
        <v>47</v>
      </c>
      <c r="AH800" s="474" t="s">
        <v>2444</v>
      </c>
      <c r="AI800" s="483">
        <v>60</v>
      </c>
      <c r="AJ800" s="474" t="s">
        <v>1678</v>
      </c>
      <c r="AK800" s="494" t="s">
        <v>1085</v>
      </c>
      <c r="AL800" s="474" t="s">
        <v>2528</v>
      </c>
      <c r="AM800" s="474" t="s">
        <v>52</v>
      </c>
      <c r="AN800" s="474"/>
      <c r="AO800" s="474"/>
      <c r="AP800" s="486"/>
      <c r="AQ800" s="486"/>
      <c r="AR800" s="486"/>
      <c r="AS800" s="495"/>
      <c r="AT800" s="495"/>
      <c r="AU800" s="478"/>
      <c r="AV800" s="471">
        <f t="shared" si="174"/>
        <v>49401139</v>
      </c>
      <c r="AW800" s="471" cm="1">
        <f t="array" ref="AW800">SUM(MID(0&amp;AV800,LARGE(INDEX(ISNUMBER(--MID(AV800,ROW($1:$8),1))*ROW($1:$8),),ROW($1:$8))+1,1)*10^ROW($1:$8)/10)</f>
        <v>49401139</v>
      </c>
      <c r="AX800" s="471" t="str">
        <f>VLOOKUP($AW800,'Item Master Data'!$A:$F,3,FALSE)</f>
        <v>Q.PEAK DUO BLK ML G10.a+</v>
      </c>
      <c r="AY800" s="471">
        <f>VLOOKUP($AW800,'Item Master Data'!$A:$F,6,FALSE)</f>
        <v>395</v>
      </c>
      <c r="AZ800" s="471">
        <f t="shared" si="175"/>
        <v>26</v>
      </c>
      <c r="BA800" s="471">
        <f>VLOOKUP(AW800,'Item Master Data'!$A:$G,7,FALSE)</f>
        <v>32</v>
      </c>
      <c r="BB800" s="471"/>
      <c r="BC800" s="471">
        <f t="shared" si="176"/>
        <v>0</v>
      </c>
    </row>
    <row r="801" spans="1:55">
      <c r="A801" s="472"/>
      <c r="B801" s="514"/>
      <c r="C801" s="514"/>
      <c r="D801" s="485" t="s">
        <v>2322</v>
      </c>
      <c r="E801" s="474" t="s">
        <v>2633</v>
      </c>
      <c r="F801" s="474"/>
      <c r="G801" s="474">
        <v>2022</v>
      </c>
      <c r="H801" s="474">
        <v>10</v>
      </c>
      <c r="I801" s="485"/>
      <c r="J801" s="475"/>
      <c r="K801" s="483" t="s">
        <v>2815</v>
      </c>
      <c r="L801" s="474" t="s">
        <v>2439</v>
      </c>
      <c r="M801" s="487">
        <v>44482</v>
      </c>
      <c r="N801" s="487">
        <v>44809</v>
      </c>
      <c r="O801" s="487"/>
      <c r="P801" s="475"/>
      <c r="Q801" s="475"/>
      <c r="R801" s="475"/>
      <c r="S801" s="474" t="s">
        <v>1563</v>
      </c>
      <c r="T801" s="474">
        <v>60</v>
      </c>
      <c r="U801" s="474">
        <v>49401139</v>
      </c>
      <c r="V801" s="474" t="s">
        <v>2719</v>
      </c>
      <c r="W801" s="474">
        <v>395</v>
      </c>
      <c r="X801" s="476">
        <v>832</v>
      </c>
      <c r="Y801" s="477">
        <f t="shared" si="169"/>
        <v>328640</v>
      </c>
      <c r="Z801" s="478">
        <v>0.53</v>
      </c>
      <c r="AA801" s="479">
        <f t="shared" si="170"/>
        <v>174179.20000000001</v>
      </c>
      <c r="AB801" s="480"/>
      <c r="AC801" s="481">
        <v>0</v>
      </c>
      <c r="AD801" s="490"/>
      <c r="AE801" s="482"/>
      <c r="AF801" s="493">
        <f t="shared" si="171"/>
        <v>174179.20000000001</v>
      </c>
      <c r="AG801" s="474" t="s">
        <v>47</v>
      </c>
      <c r="AH801" s="474" t="s">
        <v>2444</v>
      </c>
      <c r="AI801" s="483">
        <v>60</v>
      </c>
      <c r="AJ801" s="474" t="s">
        <v>1790</v>
      </c>
      <c r="AK801" s="494" t="s">
        <v>50</v>
      </c>
      <c r="AL801" s="474" t="s">
        <v>2452</v>
      </c>
      <c r="AM801" s="474" t="s">
        <v>52</v>
      </c>
      <c r="AN801" s="474"/>
      <c r="AO801" s="474"/>
      <c r="AP801" s="486"/>
      <c r="AQ801" s="486"/>
      <c r="AR801" s="486"/>
      <c r="AS801" s="495"/>
      <c r="AT801" s="495"/>
      <c r="AU801" s="478"/>
      <c r="AV801" s="471">
        <f t="shared" si="174"/>
        <v>49401139</v>
      </c>
      <c r="AW801" s="471" cm="1">
        <f t="array" ref="AW801">SUM(MID(0&amp;AV801,LARGE(INDEX(ISNUMBER(--MID(AV801,ROW($1:$8),1))*ROW($1:$8),),ROW($1:$8))+1,1)*10^ROW($1:$8)/10)</f>
        <v>49401139</v>
      </c>
      <c r="AX801" s="471" t="str">
        <f>VLOOKUP($AW801,'Item Master Data'!$A:$F,3,FALSE)</f>
        <v>Q.PEAK DUO BLK ML G10.a+</v>
      </c>
      <c r="AY801" s="471">
        <f>VLOOKUP($AW801,'Item Master Data'!$A:$F,6,FALSE)</f>
        <v>395</v>
      </c>
      <c r="AZ801" s="471">
        <f t="shared" si="175"/>
        <v>26</v>
      </c>
      <c r="BA801" s="471">
        <f>VLOOKUP(AW801,'Item Master Data'!$A:$G,7,FALSE)</f>
        <v>32</v>
      </c>
      <c r="BB801" s="471"/>
      <c r="BC801" s="471">
        <f t="shared" si="176"/>
        <v>0</v>
      </c>
    </row>
    <row r="802" spans="1:55">
      <c r="A802" s="472"/>
      <c r="B802" s="514"/>
      <c r="C802" s="514"/>
      <c r="D802" s="485" t="s">
        <v>2322</v>
      </c>
      <c r="E802" s="474" t="s">
        <v>2633</v>
      </c>
      <c r="F802" s="474"/>
      <c r="G802" s="474">
        <v>2022</v>
      </c>
      <c r="H802" s="474">
        <v>10</v>
      </c>
      <c r="I802" s="485"/>
      <c r="J802" s="475"/>
      <c r="K802" s="483" t="s">
        <v>2816</v>
      </c>
      <c r="L802" s="474" t="s">
        <v>2439</v>
      </c>
      <c r="M802" s="487">
        <v>44482</v>
      </c>
      <c r="N802" s="487">
        <v>44819</v>
      </c>
      <c r="O802" s="487"/>
      <c r="P802" s="475"/>
      <c r="Q802" s="475"/>
      <c r="R802" s="475"/>
      <c r="S802" s="474" t="s">
        <v>1563</v>
      </c>
      <c r="T802" s="474">
        <v>60</v>
      </c>
      <c r="U802" s="474">
        <v>49401139</v>
      </c>
      <c r="V802" s="474" t="s">
        <v>2719</v>
      </c>
      <c r="W802" s="474">
        <v>395</v>
      </c>
      <c r="X802" s="476">
        <v>832</v>
      </c>
      <c r="Y802" s="477">
        <f t="shared" si="169"/>
        <v>328640</v>
      </c>
      <c r="Z802" s="478">
        <v>0.53</v>
      </c>
      <c r="AA802" s="479">
        <f t="shared" si="170"/>
        <v>174179.20000000001</v>
      </c>
      <c r="AB802" s="480"/>
      <c r="AC802" s="481">
        <v>0</v>
      </c>
      <c r="AD802" s="490"/>
      <c r="AE802" s="482"/>
      <c r="AF802" s="493">
        <f t="shared" si="171"/>
        <v>174179.20000000001</v>
      </c>
      <c r="AG802" s="474" t="s">
        <v>47</v>
      </c>
      <c r="AH802" s="474" t="s">
        <v>2444</v>
      </c>
      <c r="AI802" s="483">
        <v>60</v>
      </c>
      <c r="AJ802" s="474" t="s">
        <v>1790</v>
      </c>
      <c r="AK802" s="494" t="s">
        <v>50</v>
      </c>
      <c r="AL802" s="474" t="s">
        <v>2452</v>
      </c>
      <c r="AM802" s="474" t="s">
        <v>52</v>
      </c>
      <c r="AN802" s="474"/>
      <c r="AO802" s="474"/>
      <c r="AP802" s="486"/>
      <c r="AQ802" s="486"/>
      <c r="AR802" s="486"/>
      <c r="AS802" s="495"/>
      <c r="AT802" s="495"/>
      <c r="AU802" s="478"/>
      <c r="AV802" s="471"/>
      <c r="AW802" s="471"/>
      <c r="AX802" s="471"/>
      <c r="AY802" s="471"/>
      <c r="AZ802" s="471"/>
      <c r="BA802" s="471"/>
      <c r="BB802" s="471"/>
      <c r="BC802" s="471"/>
    </row>
    <row r="803" spans="1:55">
      <c r="A803" s="472"/>
      <c r="B803" s="514"/>
      <c r="C803" s="514"/>
      <c r="D803" s="485" t="s">
        <v>2322</v>
      </c>
      <c r="E803" s="474" t="s">
        <v>2633</v>
      </c>
      <c r="F803" s="474"/>
      <c r="G803" s="474">
        <v>2022</v>
      </c>
      <c r="H803" s="474">
        <v>10</v>
      </c>
      <c r="I803" s="485"/>
      <c r="J803" s="475"/>
      <c r="K803" s="483" t="s">
        <v>2817</v>
      </c>
      <c r="L803" s="474" t="s">
        <v>2439</v>
      </c>
      <c r="M803" s="487">
        <v>44482</v>
      </c>
      <c r="N803" s="487">
        <v>44827</v>
      </c>
      <c r="O803" s="487"/>
      <c r="P803" s="475"/>
      <c r="Q803" s="475"/>
      <c r="R803" s="475"/>
      <c r="S803" s="474" t="s">
        <v>1563</v>
      </c>
      <c r="T803" s="474">
        <v>60</v>
      </c>
      <c r="U803" s="474">
        <v>49401139</v>
      </c>
      <c r="V803" s="474" t="s">
        <v>2719</v>
      </c>
      <c r="W803" s="474">
        <v>395</v>
      </c>
      <c r="X803" s="476">
        <v>832</v>
      </c>
      <c r="Y803" s="477">
        <f t="shared" si="169"/>
        <v>328640</v>
      </c>
      <c r="Z803" s="478">
        <v>0.53</v>
      </c>
      <c r="AA803" s="479">
        <f t="shared" si="170"/>
        <v>174179.20000000001</v>
      </c>
      <c r="AB803" s="480"/>
      <c r="AC803" s="481">
        <v>0</v>
      </c>
      <c r="AD803" s="490"/>
      <c r="AE803" s="482"/>
      <c r="AF803" s="493">
        <f t="shared" si="171"/>
        <v>174179.20000000001</v>
      </c>
      <c r="AG803" s="474" t="s">
        <v>47</v>
      </c>
      <c r="AH803" s="474" t="s">
        <v>2444</v>
      </c>
      <c r="AI803" s="483">
        <v>60</v>
      </c>
      <c r="AJ803" s="474" t="s">
        <v>1790</v>
      </c>
      <c r="AK803" s="494" t="s">
        <v>50</v>
      </c>
      <c r="AL803" s="474" t="s">
        <v>2452</v>
      </c>
      <c r="AM803" s="474" t="s">
        <v>52</v>
      </c>
      <c r="AN803" s="474"/>
      <c r="AO803" s="474"/>
      <c r="AP803" s="486"/>
      <c r="AQ803" s="486"/>
      <c r="AR803" s="486"/>
      <c r="AS803" s="495"/>
      <c r="AT803" s="495"/>
      <c r="AU803" s="478"/>
      <c r="AV803" s="471"/>
      <c r="AW803" s="471"/>
      <c r="AX803" s="471"/>
      <c r="AY803" s="471"/>
      <c r="AZ803" s="471"/>
      <c r="BA803" s="471"/>
      <c r="BB803" s="471"/>
      <c r="BC803" s="471"/>
    </row>
    <row r="804" spans="1:55">
      <c r="A804" s="472"/>
      <c r="B804" s="514"/>
      <c r="C804" s="514"/>
      <c r="D804" s="485" t="s">
        <v>2322</v>
      </c>
      <c r="E804" s="474" t="s">
        <v>2633</v>
      </c>
      <c r="F804" s="474"/>
      <c r="G804" s="474">
        <v>2022</v>
      </c>
      <c r="H804" s="474">
        <v>10</v>
      </c>
      <c r="I804" s="485"/>
      <c r="J804" s="475"/>
      <c r="K804" s="483" t="s">
        <v>2818</v>
      </c>
      <c r="L804" s="474" t="s">
        <v>2439</v>
      </c>
      <c r="M804" s="487">
        <v>44482</v>
      </c>
      <c r="N804" s="487">
        <v>44812</v>
      </c>
      <c r="O804" s="487"/>
      <c r="P804" s="475"/>
      <c r="Q804" s="475"/>
      <c r="R804" s="475"/>
      <c r="S804" s="474" t="s">
        <v>1563</v>
      </c>
      <c r="T804" s="474">
        <v>60</v>
      </c>
      <c r="U804" s="474">
        <v>49401139</v>
      </c>
      <c r="V804" s="474" t="s">
        <v>2719</v>
      </c>
      <c r="W804" s="474">
        <v>395</v>
      </c>
      <c r="X804" s="476">
        <v>832</v>
      </c>
      <c r="Y804" s="477">
        <f t="shared" si="169"/>
        <v>328640</v>
      </c>
      <c r="Z804" s="478">
        <v>0.53</v>
      </c>
      <c r="AA804" s="479">
        <f t="shared" si="170"/>
        <v>174179.20000000001</v>
      </c>
      <c r="AB804" s="480"/>
      <c r="AC804" s="481">
        <v>0</v>
      </c>
      <c r="AD804" s="490"/>
      <c r="AE804" s="482"/>
      <c r="AF804" s="493">
        <f t="shared" si="171"/>
        <v>174179.20000000001</v>
      </c>
      <c r="AG804" s="474" t="s">
        <v>47</v>
      </c>
      <c r="AH804" s="474" t="s">
        <v>2444</v>
      </c>
      <c r="AI804" s="483">
        <v>60</v>
      </c>
      <c r="AJ804" s="474" t="s">
        <v>2450</v>
      </c>
      <c r="AK804" s="494" t="s">
        <v>50</v>
      </c>
      <c r="AL804" s="474" t="s">
        <v>2537</v>
      </c>
      <c r="AM804" s="474" t="s">
        <v>52</v>
      </c>
      <c r="AN804" s="474"/>
      <c r="AO804" s="474"/>
      <c r="AP804" s="486"/>
      <c r="AQ804" s="486"/>
      <c r="AR804" s="486"/>
      <c r="AS804" s="495"/>
      <c r="AT804" s="495"/>
      <c r="AU804" s="478"/>
      <c r="AV804" s="471"/>
      <c r="AW804" s="471"/>
      <c r="AX804" s="471"/>
      <c r="AY804" s="471"/>
      <c r="AZ804" s="471"/>
      <c r="BA804" s="471"/>
      <c r="BB804" s="471"/>
      <c r="BC804" s="471"/>
    </row>
    <row r="805" spans="1:55">
      <c r="A805" s="472"/>
      <c r="B805" s="514"/>
      <c r="C805" s="514"/>
      <c r="D805" s="485" t="s">
        <v>2322</v>
      </c>
      <c r="E805" s="474" t="s">
        <v>2633</v>
      </c>
      <c r="F805" s="474"/>
      <c r="G805" s="474">
        <v>2022</v>
      </c>
      <c r="H805" s="474">
        <v>10</v>
      </c>
      <c r="I805" s="485"/>
      <c r="J805" s="475"/>
      <c r="K805" s="483" t="s">
        <v>2819</v>
      </c>
      <c r="L805" s="474" t="s">
        <v>2439</v>
      </c>
      <c r="M805" s="487">
        <v>44482</v>
      </c>
      <c r="N805" s="487">
        <v>44823</v>
      </c>
      <c r="O805" s="487"/>
      <c r="P805" s="475"/>
      <c r="Q805" s="475"/>
      <c r="R805" s="475"/>
      <c r="S805" s="474" t="s">
        <v>1563</v>
      </c>
      <c r="T805" s="474">
        <v>60</v>
      </c>
      <c r="U805" s="474">
        <v>49401139</v>
      </c>
      <c r="V805" s="474" t="s">
        <v>2719</v>
      </c>
      <c r="W805" s="474">
        <v>395</v>
      </c>
      <c r="X805" s="476">
        <v>832</v>
      </c>
      <c r="Y805" s="477">
        <f t="shared" si="169"/>
        <v>328640</v>
      </c>
      <c r="Z805" s="478">
        <v>0.53</v>
      </c>
      <c r="AA805" s="479">
        <f t="shared" si="170"/>
        <v>174179.20000000001</v>
      </c>
      <c r="AB805" s="480"/>
      <c r="AC805" s="481">
        <v>0</v>
      </c>
      <c r="AD805" s="490"/>
      <c r="AE805" s="482"/>
      <c r="AF805" s="493">
        <f t="shared" si="171"/>
        <v>174179.20000000001</v>
      </c>
      <c r="AG805" s="474" t="s">
        <v>47</v>
      </c>
      <c r="AH805" s="474" t="s">
        <v>2444</v>
      </c>
      <c r="AI805" s="483">
        <v>60</v>
      </c>
      <c r="AJ805" s="474" t="s">
        <v>2450</v>
      </c>
      <c r="AK805" s="494" t="s">
        <v>50</v>
      </c>
      <c r="AL805" s="474" t="s">
        <v>2537</v>
      </c>
      <c r="AM805" s="474" t="s">
        <v>52</v>
      </c>
      <c r="AN805" s="474"/>
      <c r="AO805" s="474"/>
      <c r="AP805" s="486"/>
      <c r="AQ805" s="486"/>
      <c r="AR805" s="486"/>
      <c r="AS805" s="495"/>
      <c r="AT805" s="495"/>
      <c r="AU805" s="478"/>
      <c r="AV805" s="471"/>
      <c r="AW805" s="471"/>
      <c r="AX805" s="471"/>
      <c r="AY805" s="471"/>
      <c r="AZ805" s="471"/>
      <c r="BA805" s="471"/>
      <c r="BB805" s="471"/>
      <c r="BC805" s="471"/>
    </row>
    <row r="806" spans="1:55">
      <c r="A806" s="472"/>
      <c r="B806" s="514"/>
      <c r="C806" s="514"/>
      <c r="D806" s="485" t="s">
        <v>2322</v>
      </c>
      <c r="E806" s="474" t="s">
        <v>2633</v>
      </c>
      <c r="F806" s="474"/>
      <c r="G806" s="474">
        <v>2022</v>
      </c>
      <c r="H806" s="474">
        <v>10</v>
      </c>
      <c r="I806" s="485"/>
      <c r="J806" s="475"/>
      <c r="K806" s="483" t="s">
        <v>2820</v>
      </c>
      <c r="L806" s="474" t="s">
        <v>2439</v>
      </c>
      <c r="M806" s="487">
        <v>44482</v>
      </c>
      <c r="N806" s="487">
        <v>44812</v>
      </c>
      <c r="O806" s="487"/>
      <c r="P806" s="475"/>
      <c r="Q806" s="475"/>
      <c r="R806" s="475"/>
      <c r="S806" s="474" t="s">
        <v>1563</v>
      </c>
      <c r="T806" s="474">
        <v>60</v>
      </c>
      <c r="U806" s="474">
        <v>49401139</v>
      </c>
      <c r="V806" s="474" t="s">
        <v>2719</v>
      </c>
      <c r="W806" s="474">
        <v>395</v>
      </c>
      <c r="X806" s="476">
        <v>832</v>
      </c>
      <c r="Y806" s="477">
        <f t="shared" si="169"/>
        <v>328640</v>
      </c>
      <c r="Z806" s="478">
        <v>0.53</v>
      </c>
      <c r="AA806" s="479">
        <f t="shared" si="170"/>
        <v>174179.20000000001</v>
      </c>
      <c r="AB806" s="480"/>
      <c r="AC806" s="481">
        <v>0</v>
      </c>
      <c r="AD806" s="490"/>
      <c r="AE806" s="482"/>
      <c r="AF806" s="493">
        <f t="shared" si="171"/>
        <v>174179.20000000001</v>
      </c>
      <c r="AG806" s="474" t="s">
        <v>47</v>
      </c>
      <c r="AH806" s="474" t="s">
        <v>2444</v>
      </c>
      <c r="AI806" s="483">
        <v>60</v>
      </c>
      <c r="AJ806" s="474" t="s">
        <v>2426</v>
      </c>
      <c r="AK806" s="494" t="s">
        <v>1144</v>
      </c>
      <c r="AL806" s="474" t="s">
        <v>2528</v>
      </c>
      <c r="AM806" s="474" t="s">
        <v>52</v>
      </c>
      <c r="AN806" s="474"/>
      <c r="AO806" s="474"/>
      <c r="AP806" s="486"/>
      <c r="AQ806" s="486"/>
      <c r="AR806" s="486"/>
      <c r="AS806" s="495"/>
      <c r="AT806" s="495"/>
      <c r="AU806" s="478"/>
      <c r="AV806" s="471"/>
      <c r="AW806" s="471"/>
      <c r="AX806" s="471"/>
      <c r="AY806" s="471"/>
      <c r="AZ806" s="471"/>
      <c r="BA806" s="471"/>
      <c r="BB806" s="471"/>
      <c r="BC806" s="471"/>
    </row>
    <row r="807" spans="1:55">
      <c r="A807" s="472"/>
      <c r="B807" s="514" t="s">
        <v>1211</v>
      </c>
      <c r="C807" s="472" t="s">
        <v>1211</v>
      </c>
      <c r="D807" s="485" t="s">
        <v>2322</v>
      </c>
      <c r="E807" s="474" t="s">
        <v>1283</v>
      </c>
      <c r="F807" s="474"/>
      <c r="G807" s="474">
        <v>2022</v>
      </c>
      <c r="H807" s="474">
        <v>11</v>
      </c>
      <c r="I807" s="485"/>
      <c r="J807" s="475"/>
      <c r="K807" s="610" t="s">
        <v>2811</v>
      </c>
      <c r="L807" s="483" t="s">
        <v>2439</v>
      </c>
      <c r="M807" s="487">
        <v>44658</v>
      </c>
      <c r="N807" s="487">
        <v>44870</v>
      </c>
      <c r="O807" s="487"/>
      <c r="P807" s="475"/>
      <c r="Q807" s="475"/>
      <c r="R807" s="475"/>
      <c r="S807" s="474" t="s">
        <v>1563</v>
      </c>
      <c r="T807" s="474">
        <v>60</v>
      </c>
      <c r="U807" s="474" t="s">
        <v>1109</v>
      </c>
      <c r="V807" s="474" t="s">
        <v>973</v>
      </c>
      <c r="W807" s="474">
        <v>395</v>
      </c>
      <c r="X807" s="476">
        <v>832</v>
      </c>
      <c r="Y807" s="477">
        <f t="shared" si="169"/>
        <v>328640</v>
      </c>
      <c r="Z807" s="478">
        <v>0.56000000000000005</v>
      </c>
      <c r="AA807" s="479">
        <f t="shared" si="170"/>
        <v>184038.40000000002</v>
      </c>
      <c r="AB807" s="480"/>
      <c r="AC807" s="481">
        <f>AB807*Y807</f>
        <v>0</v>
      </c>
      <c r="AD807" s="490"/>
      <c r="AE807" s="482"/>
      <c r="AF807" s="493">
        <f t="shared" si="171"/>
        <v>184038.40000000002</v>
      </c>
      <c r="AG807" s="474" t="s">
        <v>47</v>
      </c>
      <c r="AH807" s="474"/>
      <c r="AI807" s="483">
        <v>60</v>
      </c>
      <c r="AJ807" s="474" t="s">
        <v>2426</v>
      </c>
      <c r="AK807" s="494" t="s">
        <v>1144</v>
      </c>
      <c r="AL807" s="474">
        <v>78218</v>
      </c>
      <c r="AM807" s="474" t="s">
        <v>52</v>
      </c>
      <c r="AN807" s="474"/>
      <c r="AO807" s="474"/>
      <c r="AP807" s="486"/>
      <c r="AQ807" s="486"/>
      <c r="AR807" s="478" t="s">
        <v>2367</v>
      </c>
      <c r="AS807" s="495"/>
      <c r="AT807" s="495"/>
      <c r="AU807" s="478"/>
      <c r="AV807" s="471"/>
      <c r="AW807" s="471"/>
      <c r="AX807" s="471"/>
      <c r="AY807" s="471"/>
      <c r="AZ807" s="471"/>
      <c r="BA807" s="471"/>
      <c r="BB807" s="471"/>
      <c r="BC807" s="471"/>
    </row>
    <row r="808" spans="1:55">
      <c r="A808" s="472"/>
      <c r="B808" s="514" t="s">
        <v>1211</v>
      </c>
      <c r="C808" s="472" t="s">
        <v>1211</v>
      </c>
      <c r="D808" s="485" t="s">
        <v>2322</v>
      </c>
      <c r="E808" s="474" t="s">
        <v>1283</v>
      </c>
      <c r="F808" s="474"/>
      <c r="G808" s="474">
        <v>2022</v>
      </c>
      <c r="H808" s="474">
        <v>11</v>
      </c>
      <c r="I808" s="485"/>
      <c r="J808" s="475"/>
      <c r="K808" s="610" t="s">
        <v>2812</v>
      </c>
      <c r="L808" s="483" t="s">
        <v>2439</v>
      </c>
      <c r="M808" s="487">
        <v>44658</v>
      </c>
      <c r="N808" s="487">
        <v>44880</v>
      </c>
      <c r="O808" s="487"/>
      <c r="P808" s="475"/>
      <c r="Q808" s="475"/>
      <c r="R808" s="475"/>
      <c r="S808" s="474" t="s">
        <v>1563</v>
      </c>
      <c r="T808" s="474">
        <v>60</v>
      </c>
      <c r="U808" s="474" t="s">
        <v>1109</v>
      </c>
      <c r="V808" s="474" t="s">
        <v>973</v>
      </c>
      <c r="W808" s="474">
        <v>395</v>
      </c>
      <c r="X808" s="476">
        <v>832</v>
      </c>
      <c r="Y808" s="477">
        <f t="shared" si="169"/>
        <v>328640</v>
      </c>
      <c r="Z808" s="478">
        <v>0.56000000000000005</v>
      </c>
      <c r="AA808" s="479">
        <f t="shared" si="170"/>
        <v>184038.40000000002</v>
      </c>
      <c r="AB808" s="480"/>
      <c r="AC808" s="481">
        <f>AB808*Y808</f>
        <v>0</v>
      </c>
      <c r="AD808" s="490"/>
      <c r="AE808" s="482"/>
      <c r="AF808" s="493">
        <f t="shared" si="171"/>
        <v>184038.40000000002</v>
      </c>
      <c r="AG808" s="474" t="s">
        <v>47</v>
      </c>
      <c r="AH808" s="474"/>
      <c r="AI808" s="483">
        <v>60</v>
      </c>
      <c r="AJ808" s="474" t="s">
        <v>2277</v>
      </c>
      <c r="AK808" s="494" t="s">
        <v>1084</v>
      </c>
      <c r="AL808" s="474">
        <v>32819</v>
      </c>
      <c r="AM808" s="474" t="s">
        <v>52</v>
      </c>
      <c r="AN808" s="474"/>
      <c r="AO808" s="474"/>
      <c r="AP808" s="486"/>
      <c r="AQ808" s="486"/>
      <c r="AR808" s="478" t="s">
        <v>2367</v>
      </c>
      <c r="AS808" s="495"/>
      <c r="AT808" s="495"/>
      <c r="AU808" s="478"/>
      <c r="AV808" s="471"/>
      <c r="AW808" s="471"/>
      <c r="AX808" s="471"/>
      <c r="AY808" s="471"/>
      <c r="AZ808" s="471"/>
      <c r="BA808" s="471"/>
      <c r="BB808" s="471"/>
      <c r="BC808" s="471"/>
    </row>
    <row r="809" spans="1:55">
      <c r="A809" s="472"/>
      <c r="B809" s="514"/>
      <c r="C809" s="514"/>
      <c r="D809" s="485" t="s">
        <v>2322</v>
      </c>
      <c r="E809" s="474"/>
      <c r="F809" s="474"/>
      <c r="G809" s="474">
        <v>2022</v>
      </c>
      <c r="H809" s="474">
        <v>11</v>
      </c>
      <c r="I809" s="485"/>
      <c r="J809" s="475"/>
      <c r="K809" s="483" t="s">
        <v>2844</v>
      </c>
      <c r="L809" s="474" t="s">
        <v>2439</v>
      </c>
      <c r="M809" s="487">
        <v>44463</v>
      </c>
      <c r="N809" s="487">
        <v>44641</v>
      </c>
      <c r="O809" s="487"/>
      <c r="P809" s="475"/>
      <c r="Q809" s="475"/>
      <c r="R809" s="475"/>
      <c r="S809" s="474" t="s">
        <v>1563</v>
      </c>
      <c r="T809" s="474">
        <v>60</v>
      </c>
      <c r="U809" s="474">
        <v>49401139</v>
      </c>
      <c r="V809" s="474" t="s">
        <v>2719</v>
      </c>
      <c r="W809" s="474">
        <v>395</v>
      </c>
      <c r="X809" s="476">
        <v>832</v>
      </c>
      <c r="Y809" s="477">
        <f t="shared" si="169"/>
        <v>328640</v>
      </c>
      <c r="Z809" s="478">
        <v>0.53</v>
      </c>
      <c r="AA809" s="479">
        <f t="shared" si="170"/>
        <v>174179.20000000001</v>
      </c>
      <c r="AB809" s="480"/>
      <c r="AC809" s="481">
        <v>0</v>
      </c>
      <c r="AD809" s="490"/>
      <c r="AE809" s="482"/>
      <c r="AF809" s="493">
        <f t="shared" si="171"/>
        <v>174179.20000000001</v>
      </c>
      <c r="AG809" s="474" t="s">
        <v>47</v>
      </c>
      <c r="AH809" s="474" t="s">
        <v>2444</v>
      </c>
      <c r="AI809" s="483">
        <v>60</v>
      </c>
      <c r="AJ809" s="474" t="s">
        <v>2450</v>
      </c>
      <c r="AK809" s="494" t="s">
        <v>50</v>
      </c>
      <c r="AL809" s="474" t="s">
        <v>2537</v>
      </c>
      <c r="AM809" s="474" t="s">
        <v>52</v>
      </c>
      <c r="AN809" s="474"/>
      <c r="AO809" s="474"/>
      <c r="AP809" s="486"/>
      <c r="AQ809" s="486"/>
      <c r="AR809" s="486"/>
      <c r="AS809" s="495"/>
      <c r="AT809" s="495"/>
      <c r="AU809" s="478"/>
      <c r="AV809" s="471"/>
      <c r="AW809" s="471"/>
      <c r="AX809" s="471"/>
      <c r="AY809" s="471"/>
      <c r="AZ809" s="471"/>
      <c r="BA809" s="471"/>
      <c r="BB809" s="471"/>
      <c r="BC809" s="471"/>
    </row>
    <row r="810" spans="1:55">
      <c r="A810" s="472"/>
      <c r="B810" s="514" t="s">
        <v>1211</v>
      </c>
      <c r="C810" s="472" t="s">
        <v>1211</v>
      </c>
      <c r="D810" s="485" t="s">
        <v>2322</v>
      </c>
      <c r="E810" s="474" t="s">
        <v>1283</v>
      </c>
      <c r="F810" s="474"/>
      <c r="G810" s="474">
        <v>2022</v>
      </c>
      <c r="H810" s="474">
        <v>11</v>
      </c>
      <c r="I810" s="485"/>
      <c r="J810" s="475"/>
      <c r="K810" s="610" t="s">
        <v>2844</v>
      </c>
      <c r="L810" s="483" t="s">
        <v>2439</v>
      </c>
      <c r="M810" s="487">
        <v>44658</v>
      </c>
      <c r="N810" s="487">
        <v>44870</v>
      </c>
      <c r="O810" s="487"/>
      <c r="P810" s="475"/>
      <c r="Q810" s="475"/>
      <c r="R810" s="475"/>
      <c r="S810" s="474" t="s">
        <v>1563</v>
      </c>
      <c r="T810" s="474">
        <v>60</v>
      </c>
      <c r="U810" s="474" t="s">
        <v>1109</v>
      </c>
      <c r="V810" s="474" t="s">
        <v>973</v>
      </c>
      <c r="W810" s="474">
        <v>395</v>
      </c>
      <c r="X810" s="476">
        <v>832</v>
      </c>
      <c r="Y810" s="477">
        <f t="shared" si="169"/>
        <v>328640</v>
      </c>
      <c r="Z810" s="478">
        <v>0.56000000000000005</v>
      </c>
      <c r="AA810" s="479">
        <f t="shared" si="170"/>
        <v>184038.40000000002</v>
      </c>
      <c r="AB810" s="480"/>
      <c r="AC810" s="481">
        <f>AB810*Y810</f>
        <v>0</v>
      </c>
      <c r="AD810" s="490"/>
      <c r="AE810" s="482"/>
      <c r="AF810" s="493">
        <f t="shared" si="171"/>
        <v>184038.40000000002</v>
      </c>
      <c r="AG810" s="474" t="s">
        <v>47</v>
      </c>
      <c r="AH810" s="474"/>
      <c r="AI810" s="483">
        <v>60</v>
      </c>
      <c r="AJ810" s="474" t="s">
        <v>2450</v>
      </c>
      <c r="AK810" s="494" t="s">
        <v>50</v>
      </c>
      <c r="AL810" s="474">
        <v>92337</v>
      </c>
      <c r="AM810" s="474" t="s">
        <v>52</v>
      </c>
      <c r="AN810" s="474"/>
      <c r="AO810" s="474"/>
      <c r="AP810" s="486"/>
      <c r="AQ810" s="486"/>
      <c r="AR810" s="478" t="s">
        <v>2367</v>
      </c>
      <c r="AS810" s="495"/>
      <c r="AT810" s="495"/>
      <c r="AU810" s="478"/>
      <c r="AV810" s="471"/>
      <c r="AW810" s="471"/>
      <c r="AX810" s="471"/>
      <c r="AY810" s="471"/>
      <c r="AZ810" s="471"/>
      <c r="BA810" s="471"/>
      <c r="BB810" s="471"/>
      <c r="BC810" s="471"/>
    </row>
    <row r="811" spans="1:55">
      <c r="A811" s="472"/>
      <c r="B811" s="514"/>
      <c r="C811" s="514"/>
      <c r="D811" s="485" t="s">
        <v>2322</v>
      </c>
      <c r="E811" s="474"/>
      <c r="F811" s="474"/>
      <c r="G811" s="474">
        <v>2022</v>
      </c>
      <c r="H811" s="474">
        <v>11</v>
      </c>
      <c r="I811" s="485"/>
      <c r="J811" s="475"/>
      <c r="K811" s="483" t="s">
        <v>2845</v>
      </c>
      <c r="L811" s="474" t="s">
        <v>2439</v>
      </c>
      <c r="M811" s="487">
        <v>44463</v>
      </c>
      <c r="N811" s="487">
        <v>44634</v>
      </c>
      <c r="O811" s="487"/>
      <c r="P811" s="475"/>
      <c r="Q811" s="475"/>
      <c r="R811" s="475"/>
      <c r="S811" s="474" t="s">
        <v>1563</v>
      </c>
      <c r="T811" s="474">
        <v>60</v>
      </c>
      <c r="U811" s="474">
        <v>49401139</v>
      </c>
      <c r="V811" s="474" t="s">
        <v>2719</v>
      </c>
      <c r="W811" s="474">
        <v>395</v>
      </c>
      <c r="X811" s="476">
        <v>832</v>
      </c>
      <c r="Y811" s="477">
        <f t="shared" si="169"/>
        <v>328640</v>
      </c>
      <c r="Z811" s="478">
        <v>0.53</v>
      </c>
      <c r="AA811" s="479">
        <f t="shared" si="170"/>
        <v>174179.20000000001</v>
      </c>
      <c r="AB811" s="480"/>
      <c r="AC811" s="481">
        <v>0</v>
      </c>
      <c r="AD811" s="490"/>
      <c r="AE811" s="482"/>
      <c r="AF811" s="493">
        <f t="shared" si="171"/>
        <v>174179.20000000001</v>
      </c>
      <c r="AG811" s="474" t="s">
        <v>47</v>
      </c>
      <c r="AH811" s="474" t="s">
        <v>2444</v>
      </c>
      <c r="AI811" s="483">
        <v>60</v>
      </c>
      <c r="AJ811" s="474" t="s">
        <v>2426</v>
      </c>
      <c r="AK811" s="494" t="s">
        <v>1144</v>
      </c>
      <c r="AL811" s="474" t="s">
        <v>2541</v>
      </c>
      <c r="AM811" s="474" t="s">
        <v>52</v>
      </c>
      <c r="AN811" s="474"/>
      <c r="AO811" s="474"/>
      <c r="AP811" s="486"/>
      <c r="AQ811" s="486"/>
      <c r="AR811" s="486"/>
      <c r="AS811" s="495"/>
      <c r="AT811" s="495"/>
      <c r="AU811" s="478"/>
      <c r="AV811" s="471"/>
      <c r="AW811" s="471"/>
      <c r="AX811" s="471"/>
      <c r="AY811" s="471"/>
      <c r="AZ811" s="471"/>
      <c r="BA811" s="471"/>
      <c r="BB811" s="471"/>
      <c r="BC811" s="471"/>
    </row>
    <row r="812" spans="1:55">
      <c r="A812" s="472"/>
      <c r="B812" s="514" t="s">
        <v>1211</v>
      </c>
      <c r="C812" s="472" t="s">
        <v>1211</v>
      </c>
      <c r="D812" s="485" t="s">
        <v>2322</v>
      </c>
      <c r="E812" s="474" t="s">
        <v>1283</v>
      </c>
      <c r="F812" s="474"/>
      <c r="G812" s="474">
        <v>2022</v>
      </c>
      <c r="H812" s="474">
        <v>11</v>
      </c>
      <c r="I812" s="485"/>
      <c r="J812" s="475"/>
      <c r="K812" s="610" t="s">
        <v>2845</v>
      </c>
      <c r="L812" s="483" t="s">
        <v>2439</v>
      </c>
      <c r="M812" s="487">
        <v>44658</v>
      </c>
      <c r="N812" s="487">
        <v>44870</v>
      </c>
      <c r="O812" s="487"/>
      <c r="P812" s="475"/>
      <c r="Q812" s="475"/>
      <c r="R812" s="475"/>
      <c r="S812" s="474" t="s">
        <v>1563</v>
      </c>
      <c r="T812" s="474">
        <v>60</v>
      </c>
      <c r="U812" s="474" t="s">
        <v>1109</v>
      </c>
      <c r="V812" s="474" t="s">
        <v>973</v>
      </c>
      <c r="W812" s="474">
        <v>395</v>
      </c>
      <c r="X812" s="476">
        <v>832</v>
      </c>
      <c r="Y812" s="477">
        <f t="shared" ref="Y812:Y831" si="177">X812*W812</f>
        <v>328640</v>
      </c>
      <c r="Z812" s="478">
        <v>0.56000000000000005</v>
      </c>
      <c r="AA812" s="479">
        <f t="shared" ref="AA812:AA831" si="178">Z812*Y812</f>
        <v>184038.40000000002</v>
      </c>
      <c r="AB812" s="480"/>
      <c r="AC812" s="481">
        <f>AB812*Y812</f>
        <v>0</v>
      </c>
      <c r="AD812" s="490"/>
      <c r="AE812" s="482"/>
      <c r="AF812" s="493">
        <f t="shared" ref="AF812:AF820" si="179">AA812+AE812</f>
        <v>184038.40000000002</v>
      </c>
      <c r="AG812" s="474" t="s">
        <v>47</v>
      </c>
      <c r="AH812" s="474"/>
      <c r="AI812" s="483">
        <v>60</v>
      </c>
      <c r="AJ812" s="474" t="s">
        <v>2277</v>
      </c>
      <c r="AK812" s="494" t="s">
        <v>1084</v>
      </c>
      <c r="AL812" s="474">
        <v>32819</v>
      </c>
      <c r="AM812" s="474" t="s">
        <v>52</v>
      </c>
      <c r="AN812" s="474"/>
      <c r="AO812" s="474"/>
      <c r="AP812" s="486"/>
      <c r="AQ812" s="486"/>
      <c r="AR812" s="478" t="s">
        <v>2367</v>
      </c>
      <c r="AS812" s="495"/>
      <c r="AT812" s="495"/>
      <c r="AU812" s="478"/>
      <c r="AV812" s="471"/>
      <c r="AW812" s="471"/>
      <c r="AX812" s="471"/>
      <c r="AY812" s="471"/>
      <c r="AZ812" s="471"/>
      <c r="BA812" s="471"/>
      <c r="BB812" s="471"/>
      <c r="BC812" s="471"/>
    </row>
    <row r="813" spans="1:55">
      <c r="A813" s="472"/>
      <c r="B813" s="514"/>
      <c r="C813" s="514"/>
      <c r="D813" s="485" t="s">
        <v>2322</v>
      </c>
      <c r="E813" s="474"/>
      <c r="F813" s="474"/>
      <c r="G813" s="474">
        <v>2022</v>
      </c>
      <c r="H813" s="474">
        <v>11</v>
      </c>
      <c r="I813" s="485"/>
      <c r="J813" s="475"/>
      <c r="K813" s="483" t="s">
        <v>2846</v>
      </c>
      <c r="L813" s="474" t="s">
        <v>2439</v>
      </c>
      <c r="M813" s="487">
        <v>44463</v>
      </c>
      <c r="N813" s="487">
        <v>44627</v>
      </c>
      <c r="O813" s="487"/>
      <c r="P813" s="475"/>
      <c r="Q813" s="475"/>
      <c r="R813" s="475"/>
      <c r="S813" s="474" t="s">
        <v>1563</v>
      </c>
      <c r="T813" s="474">
        <v>60</v>
      </c>
      <c r="U813" s="474">
        <v>49401139</v>
      </c>
      <c r="V813" s="474" t="s">
        <v>2719</v>
      </c>
      <c r="W813" s="474">
        <v>395</v>
      </c>
      <c r="X813" s="476">
        <v>832</v>
      </c>
      <c r="Y813" s="477">
        <f t="shared" si="177"/>
        <v>328640</v>
      </c>
      <c r="Z813" s="478">
        <v>0.53</v>
      </c>
      <c r="AA813" s="479">
        <f t="shared" si="178"/>
        <v>174179.20000000001</v>
      </c>
      <c r="AB813" s="480"/>
      <c r="AC813" s="481">
        <v>0</v>
      </c>
      <c r="AD813" s="490"/>
      <c r="AE813" s="482"/>
      <c r="AF813" s="493">
        <f t="shared" si="179"/>
        <v>174179.20000000001</v>
      </c>
      <c r="AG813" s="474" t="s">
        <v>47</v>
      </c>
      <c r="AH813" s="474" t="s">
        <v>2444</v>
      </c>
      <c r="AI813" s="483">
        <v>60</v>
      </c>
      <c r="AJ813" s="474" t="s">
        <v>2277</v>
      </c>
      <c r="AK813" s="494" t="s">
        <v>1084</v>
      </c>
      <c r="AL813" s="474" t="s">
        <v>2448</v>
      </c>
      <c r="AM813" s="474" t="s">
        <v>52</v>
      </c>
      <c r="AN813" s="474"/>
      <c r="AO813" s="474"/>
      <c r="AP813" s="486"/>
      <c r="AQ813" s="486"/>
      <c r="AR813" s="486"/>
      <c r="AS813" s="495"/>
      <c r="AT813" s="495"/>
      <c r="AU813" s="478"/>
      <c r="AV813" s="471"/>
      <c r="AW813" s="471"/>
      <c r="AX813" s="471"/>
      <c r="AY813" s="471"/>
      <c r="AZ813" s="471"/>
      <c r="BA813" s="471"/>
      <c r="BB813" s="471"/>
      <c r="BC813" s="471"/>
    </row>
    <row r="814" spans="1:55">
      <c r="A814" s="472"/>
      <c r="B814" s="514" t="s">
        <v>1211</v>
      </c>
      <c r="C814" s="472" t="s">
        <v>1211</v>
      </c>
      <c r="D814" s="485" t="s">
        <v>2322</v>
      </c>
      <c r="E814" s="474" t="s">
        <v>1283</v>
      </c>
      <c r="F814" s="474"/>
      <c r="G814" s="474">
        <v>2022</v>
      </c>
      <c r="H814" s="474">
        <v>11</v>
      </c>
      <c r="I814" s="485"/>
      <c r="J814" s="475"/>
      <c r="K814" s="610" t="s">
        <v>2846</v>
      </c>
      <c r="L814" s="483" t="s">
        <v>2439</v>
      </c>
      <c r="M814" s="487">
        <v>44658</v>
      </c>
      <c r="N814" s="487">
        <v>44870</v>
      </c>
      <c r="O814" s="487"/>
      <c r="P814" s="475"/>
      <c r="Q814" s="475"/>
      <c r="R814" s="475"/>
      <c r="S814" s="474" t="s">
        <v>1563</v>
      </c>
      <c r="T814" s="474">
        <v>60</v>
      </c>
      <c r="U814" s="474" t="s">
        <v>1109</v>
      </c>
      <c r="V814" s="474" t="s">
        <v>973</v>
      </c>
      <c r="W814" s="474">
        <v>395</v>
      </c>
      <c r="X814" s="476">
        <v>832</v>
      </c>
      <c r="Y814" s="477">
        <f t="shared" si="177"/>
        <v>328640</v>
      </c>
      <c r="Z814" s="478">
        <v>0.56000000000000005</v>
      </c>
      <c r="AA814" s="479">
        <f t="shared" si="178"/>
        <v>184038.40000000002</v>
      </c>
      <c r="AB814" s="480"/>
      <c r="AC814" s="481">
        <f>AB814*Y814</f>
        <v>0</v>
      </c>
      <c r="AD814" s="490"/>
      <c r="AE814" s="482"/>
      <c r="AF814" s="493">
        <f t="shared" si="179"/>
        <v>184038.40000000002</v>
      </c>
      <c r="AG814" s="474" t="s">
        <v>47</v>
      </c>
      <c r="AH814" s="474"/>
      <c r="AI814" s="483">
        <v>60</v>
      </c>
      <c r="AJ814" s="474" t="s">
        <v>1678</v>
      </c>
      <c r="AK814" s="494" t="s">
        <v>1085</v>
      </c>
      <c r="AL814" s="483" t="s">
        <v>2528</v>
      </c>
      <c r="AM814" s="474" t="s">
        <v>52</v>
      </c>
      <c r="AN814" s="474"/>
      <c r="AO814" s="474"/>
      <c r="AP814" s="486"/>
      <c r="AQ814" s="486"/>
      <c r="AR814" s="478" t="s">
        <v>2367</v>
      </c>
      <c r="AS814" s="495"/>
      <c r="AT814" s="495"/>
      <c r="AU814" s="478"/>
      <c r="AV814" s="471"/>
      <c r="AW814" s="471"/>
      <c r="AX814" s="471"/>
      <c r="AY814" s="471"/>
      <c r="AZ814" s="471"/>
      <c r="BA814" s="471"/>
      <c r="BB814" s="471"/>
      <c r="BC814" s="471"/>
    </row>
    <row r="815" spans="1:55">
      <c r="A815" s="472"/>
      <c r="B815" s="514"/>
      <c r="C815" s="514"/>
      <c r="D815" s="485" t="s">
        <v>2322</v>
      </c>
      <c r="E815" s="474"/>
      <c r="F815" s="474"/>
      <c r="G815" s="474">
        <v>2022</v>
      </c>
      <c r="H815" s="474">
        <v>11</v>
      </c>
      <c r="I815" s="485"/>
      <c r="J815" s="475"/>
      <c r="K815" s="483" t="s">
        <v>2847</v>
      </c>
      <c r="L815" s="474" t="s">
        <v>2439</v>
      </c>
      <c r="M815" s="487">
        <v>44463</v>
      </c>
      <c r="N815" s="487">
        <v>44641</v>
      </c>
      <c r="O815" s="487"/>
      <c r="P815" s="475"/>
      <c r="Q815" s="475"/>
      <c r="R815" s="475"/>
      <c r="S815" s="474" t="s">
        <v>1563</v>
      </c>
      <c r="T815" s="474">
        <v>60</v>
      </c>
      <c r="U815" s="474">
        <v>49401139</v>
      </c>
      <c r="V815" s="474" t="s">
        <v>2719</v>
      </c>
      <c r="W815" s="474">
        <v>395</v>
      </c>
      <c r="X815" s="476">
        <v>832</v>
      </c>
      <c r="Y815" s="477">
        <f t="shared" si="177"/>
        <v>328640</v>
      </c>
      <c r="Z815" s="478">
        <v>0.53</v>
      </c>
      <c r="AA815" s="479">
        <f t="shared" si="178"/>
        <v>174179.20000000001</v>
      </c>
      <c r="AB815" s="480"/>
      <c r="AC815" s="481">
        <v>0</v>
      </c>
      <c r="AD815" s="490"/>
      <c r="AE815" s="482"/>
      <c r="AF815" s="493">
        <f t="shared" si="179"/>
        <v>174179.20000000001</v>
      </c>
      <c r="AG815" s="474" t="s">
        <v>47</v>
      </c>
      <c r="AH815" s="474" t="s">
        <v>2444</v>
      </c>
      <c r="AI815" s="483">
        <v>60</v>
      </c>
      <c r="AJ815" s="474" t="s">
        <v>2277</v>
      </c>
      <c r="AK815" s="494" t="s">
        <v>1084</v>
      </c>
      <c r="AL815" s="474" t="s">
        <v>2448</v>
      </c>
      <c r="AM815" s="474" t="s">
        <v>52</v>
      </c>
      <c r="AN815" s="474"/>
      <c r="AO815" s="474"/>
      <c r="AP815" s="486"/>
      <c r="AQ815" s="486"/>
      <c r="AR815" s="486"/>
      <c r="AS815" s="495"/>
      <c r="AT815" s="495"/>
      <c r="AU815" s="478"/>
      <c r="AV815" s="471"/>
      <c r="AW815" s="471"/>
      <c r="AX815" s="471"/>
      <c r="AY815" s="471"/>
      <c r="AZ815" s="471"/>
      <c r="BA815" s="471"/>
      <c r="BB815" s="471"/>
      <c r="BC815" s="471"/>
    </row>
    <row r="816" spans="1:55">
      <c r="A816" s="472"/>
      <c r="B816" s="514" t="s">
        <v>1211</v>
      </c>
      <c r="C816" s="472" t="s">
        <v>1211</v>
      </c>
      <c r="D816" s="485" t="s">
        <v>2322</v>
      </c>
      <c r="E816" s="474" t="s">
        <v>1283</v>
      </c>
      <c r="F816" s="474"/>
      <c r="G816" s="474">
        <v>2022</v>
      </c>
      <c r="H816" s="474">
        <v>11</v>
      </c>
      <c r="I816" s="485"/>
      <c r="J816" s="475"/>
      <c r="K816" s="610" t="s">
        <v>2847</v>
      </c>
      <c r="L816" s="483" t="s">
        <v>2439</v>
      </c>
      <c r="M816" s="487">
        <v>44658</v>
      </c>
      <c r="N816" s="487">
        <v>44880</v>
      </c>
      <c r="O816" s="487"/>
      <c r="P816" s="475"/>
      <c r="Q816" s="475"/>
      <c r="R816" s="475"/>
      <c r="S816" s="474" t="s">
        <v>1563</v>
      </c>
      <c r="T816" s="474">
        <v>60</v>
      </c>
      <c r="U816" s="474" t="s">
        <v>1109</v>
      </c>
      <c r="V816" s="474" t="s">
        <v>973</v>
      </c>
      <c r="W816" s="474">
        <v>395</v>
      </c>
      <c r="X816" s="476">
        <v>832</v>
      </c>
      <c r="Y816" s="477">
        <f t="shared" si="177"/>
        <v>328640</v>
      </c>
      <c r="Z816" s="478">
        <v>0.56000000000000005</v>
      </c>
      <c r="AA816" s="479">
        <f t="shared" si="178"/>
        <v>184038.40000000002</v>
      </c>
      <c r="AB816" s="480"/>
      <c r="AC816" s="481">
        <f>AB816*Y816</f>
        <v>0</v>
      </c>
      <c r="AD816" s="490"/>
      <c r="AE816" s="482"/>
      <c r="AF816" s="493">
        <f t="shared" si="179"/>
        <v>184038.40000000002</v>
      </c>
      <c r="AG816" s="474" t="s">
        <v>47</v>
      </c>
      <c r="AH816" s="474"/>
      <c r="AI816" s="483">
        <v>60</v>
      </c>
      <c r="AJ816" s="474" t="s">
        <v>1790</v>
      </c>
      <c r="AK816" s="494" t="s">
        <v>50</v>
      </c>
      <c r="AL816" s="483" t="s">
        <v>2452</v>
      </c>
      <c r="AM816" s="474" t="s">
        <v>52</v>
      </c>
      <c r="AN816" s="474"/>
      <c r="AO816" s="474"/>
      <c r="AP816" s="486"/>
      <c r="AQ816" s="486"/>
      <c r="AR816" s="478" t="s">
        <v>2367</v>
      </c>
      <c r="AS816" s="495"/>
      <c r="AT816" s="495"/>
      <c r="AU816" s="478"/>
      <c r="AV816" s="471"/>
      <c r="AW816" s="471"/>
      <c r="AX816" s="471"/>
      <c r="AY816" s="471"/>
      <c r="AZ816" s="471"/>
      <c r="BA816" s="471"/>
      <c r="BB816" s="471"/>
      <c r="BC816" s="471"/>
    </row>
    <row r="817" spans="1:55">
      <c r="A817" s="472"/>
      <c r="B817" s="514" t="s">
        <v>1211</v>
      </c>
      <c r="C817" s="472" t="s">
        <v>1211</v>
      </c>
      <c r="D817" s="485" t="s">
        <v>2322</v>
      </c>
      <c r="E817" s="474" t="s">
        <v>1283</v>
      </c>
      <c r="F817" s="474"/>
      <c r="G817" s="474">
        <v>2022</v>
      </c>
      <c r="H817" s="474">
        <v>11</v>
      </c>
      <c r="I817" s="485"/>
      <c r="J817" s="475"/>
      <c r="K817" s="610" t="s">
        <v>2880</v>
      </c>
      <c r="L817" s="483" t="s">
        <v>2439</v>
      </c>
      <c r="M817" s="487">
        <v>44658</v>
      </c>
      <c r="N817" s="487">
        <v>44870</v>
      </c>
      <c r="O817" s="487"/>
      <c r="P817" s="475"/>
      <c r="Q817" s="475"/>
      <c r="R817" s="475"/>
      <c r="S817" s="474" t="s">
        <v>1563</v>
      </c>
      <c r="T817" s="474">
        <v>60</v>
      </c>
      <c r="U817" s="474" t="s">
        <v>1109</v>
      </c>
      <c r="V817" s="474" t="s">
        <v>973</v>
      </c>
      <c r="W817" s="474">
        <v>395</v>
      </c>
      <c r="X817" s="476">
        <v>832</v>
      </c>
      <c r="Y817" s="477">
        <f t="shared" si="177"/>
        <v>328640</v>
      </c>
      <c r="Z817" s="478">
        <v>0.56000000000000005</v>
      </c>
      <c r="AA817" s="479">
        <f t="shared" si="178"/>
        <v>184038.40000000002</v>
      </c>
      <c r="AB817" s="480"/>
      <c r="AC817" s="481">
        <f>AB817*Y817</f>
        <v>0</v>
      </c>
      <c r="AD817" s="490"/>
      <c r="AE817" s="482"/>
      <c r="AF817" s="493">
        <f t="shared" si="179"/>
        <v>184038.40000000002</v>
      </c>
      <c r="AG817" s="474" t="s">
        <v>47</v>
      </c>
      <c r="AH817" s="474"/>
      <c r="AI817" s="483">
        <v>60</v>
      </c>
      <c r="AJ817" s="474" t="s">
        <v>1790</v>
      </c>
      <c r="AK817" s="494" t="s">
        <v>50</v>
      </c>
      <c r="AL817" s="483" t="s">
        <v>2452</v>
      </c>
      <c r="AM817" s="474" t="s">
        <v>52</v>
      </c>
      <c r="AN817" s="474"/>
      <c r="AO817" s="474"/>
      <c r="AP817" s="486"/>
      <c r="AQ817" s="486"/>
      <c r="AR817" s="478" t="s">
        <v>2367</v>
      </c>
      <c r="AS817" s="495"/>
      <c r="AT817" s="495"/>
      <c r="AU817" s="478"/>
      <c r="AV817" s="471"/>
      <c r="AW817" s="471"/>
      <c r="AX817" s="471"/>
      <c r="AY817" s="471"/>
      <c r="AZ817" s="471"/>
      <c r="BA817" s="471"/>
      <c r="BB817" s="471"/>
      <c r="BC817" s="471"/>
    </row>
    <row r="818" spans="1:55">
      <c r="A818" s="472"/>
      <c r="B818" s="514" t="s">
        <v>1211</v>
      </c>
      <c r="C818" s="472" t="s">
        <v>1211</v>
      </c>
      <c r="D818" s="485" t="s">
        <v>2322</v>
      </c>
      <c r="E818" s="474" t="s">
        <v>1283</v>
      </c>
      <c r="F818" s="474"/>
      <c r="G818" s="474">
        <v>2022</v>
      </c>
      <c r="H818" s="474">
        <v>11</v>
      </c>
      <c r="I818" s="485"/>
      <c r="J818" s="475"/>
      <c r="K818" s="610" t="s">
        <v>2881</v>
      </c>
      <c r="L818" s="483" t="s">
        <v>2439</v>
      </c>
      <c r="M818" s="487">
        <v>44658</v>
      </c>
      <c r="N818" s="487">
        <v>44880</v>
      </c>
      <c r="O818" s="487"/>
      <c r="P818" s="475"/>
      <c r="Q818" s="475"/>
      <c r="R818" s="475"/>
      <c r="S818" s="474" t="s">
        <v>1563</v>
      </c>
      <c r="T818" s="474">
        <v>60</v>
      </c>
      <c r="U818" s="474" t="s">
        <v>1109</v>
      </c>
      <c r="V818" s="474" t="s">
        <v>973</v>
      </c>
      <c r="W818" s="474">
        <v>395</v>
      </c>
      <c r="X818" s="476">
        <v>832</v>
      </c>
      <c r="Y818" s="477">
        <f t="shared" si="177"/>
        <v>328640</v>
      </c>
      <c r="Z818" s="478">
        <v>0.56000000000000005</v>
      </c>
      <c r="AA818" s="479">
        <f t="shared" si="178"/>
        <v>184038.40000000002</v>
      </c>
      <c r="AB818" s="480"/>
      <c r="AC818" s="481">
        <f>AB818*Y818</f>
        <v>0</v>
      </c>
      <c r="AD818" s="490"/>
      <c r="AE818" s="482"/>
      <c r="AF818" s="493">
        <f t="shared" si="179"/>
        <v>184038.40000000002</v>
      </c>
      <c r="AG818" s="474" t="s">
        <v>47</v>
      </c>
      <c r="AH818" s="474"/>
      <c r="AI818" s="483">
        <v>60</v>
      </c>
      <c r="AJ818" s="474" t="s">
        <v>2450</v>
      </c>
      <c r="AK818" s="494" t="s">
        <v>50</v>
      </c>
      <c r="AL818" s="483" t="s">
        <v>2537</v>
      </c>
      <c r="AM818" s="474" t="s">
        <v>52</v>
      </c>
      <c r="AN818" s="474"/>
      <c r="AO818" s="474"/>
      <c r="AP818" s="486"/>
      <c r="AQ818" s="486"/>
      <c r="AR818" s="478" t="s">
        <v>2367</v>
      </c>
      <c r="AS818" s="495"/>
      <c r="AT818" s="495"/>
      <c r="AU818" s="478"/>
      <c r="AV818" s="471"/>
      <c r="AW818" s="471"/>
      <c r="AX818" s="471"/>
      <c r="AY818" s="471"/>
      <c r="AZ818" s="471"/>
      <c r="BA818" s="471"/>
      <c r="BB818" s="471"/>
      <c r="BC818" s="471"/>
    </row>
    <row r="819" spans="1:55">
      <c r="A819" s="472"/>
      <c r="B819" s="514"/>
      <c r="C819" s="514"/>
      <c r="D819" s="485" t="s">
        <v>2322</v>
      </c>
      <c r="E819" s="474" t="s">
        <v>2633</v>
      </c>
      <c r="F819" s="474"/>
      <c r="G819" s="474">
        <v>2022</v>
      </c>
      <c r="H819" s="474">
        <v>11</v>
      </c>
      <c r="I819" s="485"/>
      <c r="J819" s="475"/>
      <c r="K819" s="483" t="s">
        <v>2848</v>
      </c>
      <c r="L819" s="474" t="s">
        <v>2439</v>
      </c>
      <c r="M819" s="487">
        <v>44482</v>
      </c>
      <c r="N819" s="487">
        <v>44823</v>
      </c>
      <c r="O819" s="487"/>
      <c r="P819" s="475"/>
      <c r="Q819" s="475"/>
      <c r="R819" s="475"/>
      <c r="S819" s="474" t="s">
        <v>1563</v>
      </c>
      <c r="T819" s="474">
        <v>60</v>
      </c>
      <c r="U819" s="474">
        <v>49401139</v>
      </c>
      <c r="V819" s="474" t="s">
        <v>2719</v>
      </c>
      <c r="W819" s="474">
        <v>395</v>
      </c>
      <c r="X819" s="476">
        <v>832</v>
      </c>
      <c r="Y819" s="477">
        <f t="shared" si="177"/>
        <v>328640</v>
      </c>
      <c r="Z819" s="478">
        <v>0.53</v>
      </c>
      <c r="AA819" s="479">
        <f t="shared" si="178"/>
        <v>174179.20000000001</v>
      </c>
      <c r="AB819" s="480"/>
      <c r="AC819" s="481">
        <v>0</v>
      </c>
      <c r="AD819" s="490"/>
      <c r="AE819" s="482"/>
      <c r="AF819" s="493">
        <f t="shared" si="179"/>
        <v>174179.20000000001</v>
      </c>
      <c r="AG819" s="474" t="s">
        <v>47</v>
      </c>
      <c r="AH819" s="474" t="s">
        <v>2444</v>
      </c>
      <c r="AI819" s="483">
        <v>60</v>
      </c>
      <c r="AJ819" s="474" t="s">
        <v>2426</v>
      </c>
      <c r="AK819" s="494" t="s">
        <v>1144</v>
      </c>
      <c r="AL819" s="474" t="s">
        <v>2528</v>
      </c>
      <c r="AM819" s="474" t="s">
        <v>52</v>
      </c>
      <c r="AN819" s="474"/>
      <c r="AO819" s="474"/>
      <c r="AP819" s="486"/>
      <c r="AQ819" s="486"/>
      <c r="AR819" s="486"/>
      <c r="AS819" s="495"/>
      <c r="AT819" s="495"/>
      <c r="AU819" s="478"/>
      <c r="AV819" s="471"/>
      <c r="AW819" s="471"/>
      <c r="AX819" s="471"/>
      <c r="AY819" s="471"/>
      <c r="AZ819" s="471"/>
      <c r="BA819" s="471"/>
      <c r="BB819" s="471"/>
      <c r="BC819" s="471"/>
    </row>
    <row r="820" spans="1:55">
      <c r="A820" s="472"/>
      <c r="B820" s="514"/>
      <c r="C820" s="514"/>
      <c r="D820" s="485" t="s">
        <v>2322</v>
      </c>
      <c r="E820" s="474" t="s">
        <v>2633</v>
      </c>
      <c r="F820" s="474"/>
      <c r="G820" s="474">
        <v>2022</v>
      </c>
      <c r="H820" s="474">
        <v>11</v>
      </c>
      <c r="I820" s="485"/>
      <c r="J820" s="475"/>
      <c r="K820" s="483" t="s">
        <v>2849</v>
      </c>
      <c r="L820" s="474" t="s">
        <v>2439</v>
      </c>
      <c r="M820" s="487">
        <v>44482</v>
      </c>
      <c r="N820" s="487">
        <v>44809</v>
      </c>
      <c r="O820" s="487"/>
      <c r="P820" s="475"/>
      <c r="Q820" s="475"/>
      <c r="R820" s="475"/>
      <c r="S820" s="474" t="s">
        <v>1563</v>
      </c>
      <c r="T820" s="474">
        <v>60</v>
      </c>
      <c r="U820" s="474">
        <v>49401139</v>
      </c>
      <c r="V820" s="474" t="s">
        <v>2719</v>
      </c>
      <c r="W820" s="474">
        <v>395</v>
      </c>
      <c r="X820" s="476">
        <v>832</v>
      </c>
      <c r="Y820" s="477">
        <f t="shared" si="177"/>
        <v>328640</v>
      </c>
      <c r="Z820" s="478">
        <v>0.53</v>
      </c>
      <c r="AA820" s="479">
        <f t="shared" si="178"/>
        <v>174179.20000000001</v>
      </c>
      <c r="AB820" s="480"/>
      <c r="AC820" s="481">
        <v>0</v>
      </c>
      <c r="AD820" s="490"/>
      <c r="AE820" s="482"/>
      <c r="AF820" s="493">
        <f t="shared" si="179"/>
        <v>174179.20000000001</v>
      </c>
      <c r="AG820" s="474" t="s">
        <v>47</v>
      </c>
      <c r="AH820" s="474" t="s">
        <v>2444</v>
      </c>
      <c r="AI820" s="483">
        <v>60</v>
      </c>
      <c r="AJ820" s="474" t="s">
        <v>2450</v>
      </c>
      <c r="AK820" s="494" t="s">
        <v>50</v>
      </c>
      <c r="AL820" s="474" t="s">
        <v>2537</v>
      </c>
      <c r="AM820" s="474" t="s">
        <v>52</v>
      </c>
      <c r="AN820" s="474"/>
      <c r="AO820" s="474"/>
      <c r="AP820" s="486"/>
      <c r="AQ820" s="486"/>
      <c r="AR820" s="486"/>
      <c r="AS820" s="495"/>
      <c r="AT820" s="495"/>
      <c r="AU820" s="478"/>
      <c r="AV820" s="471"/>
      <c r="AW820" s="471"/>
      <c r="AX820" s="471"/>
      <c r="AY820" s="471"/>
      <c r="AZ820" s="471"/>
      <c r="BA820" s="471"/>
      <c r="BB820" s="471"/>
      <c r="BC820" s="471"/>
    </row>
    <row r="821" spans="1:55">
      <c r="A821" s="514">
        <v>44621</v>
      </c>
      <c r="B821" s="514">
        <v>44621</v>
      </c>
      <c r="C821" s="514">
        <v>44621</v>
      </c>
      <c r="D821" s="485" t="s">
        <v>2322</v>
      </c>
      <c r="E821" s="474"/>
      <c r="F821" s="474"/>
      <c r="G821" s="474">
        <v>2022</v>
      </c>
      <c r="H821" s="474">
        <v>3</v>
      </c>
      <c r="I821" s="485">
        <v>127317</v>
      </c>
      <c r="J821" s="475">
        <v>44634</v>
      </c>
      <c r="K821" s="483" t="s">
        <v>2454</v>
      </c>
      <c r="L821" s="474" t="s">
        <v>2439</v>
      </c>
      <c r="M821" s="487">
        <v>44504</v>
      </c>
      <c r="N821" s="487">
        <v>44515</v>
      </c>
      <c r="O821" s="487"/>
      <c r="P821" s="475">
        <v>44630</v>
      </c>
      <c r="Q821" s="475">
        <v>44634</v>
      </c>
      <c r="R821" s="475">
        <v>44634</v>
      </c>
      <c r="S821" s="474" t="s">
        <v>1563</v>
      </c>
      <c r="T821" s="474">
        <v>72</v>
      </c>
      <c r="U821" s="474" t="s">
        <v>1809</v>
      </c>
      <c r="V821" s="474" t="s">
        <v>2455</v>
      </c>
      <c r="W821" s="474">
        <v>475</v>
      </c>
      <c r="X821" s="476">
        <v>683</v>
      </c>
      <c r="Y821" s="491">
        <f t="shared" si="177"/>
        <v>324425</v>
      </c>
      <c r="Z821" s="478">
        <f>225.625/475</f>
        <v>0.47499999999999998</v>
      </c>
      <c r="AA821" s="479">
        <f t="shared" si="178"/>
        <v>154101.875</v>
      </c>
      <c r="AB821" s="480"/>
      <c r="AC821" s="481">
        <v>0</v>
      </c>
      <c r="AD821" s="490"/>
      <c r="AE821" s="482"/>
      <c r="AF821" s="493">
        <v>145464</v>
      </c>
      <c r="AG821" s="474" t="s">
        <v>47</v>
      </c>
      <c r="AH821" s="474"/>
      <c r="AI821" s="483" t="s">
        <v>2442</v>
      </c>
      <c r="AJ821" s="474" t="s">
        <v>2450</v>
      </c>
      <c r="AK821" s="494" t="s">
        <v>50</v>
      </c>
      <c r="AL821" s="474">
        <v>92337</v>
      </c>
      <c r="AM821" s="474" t="s">
        <v>52</v>
      </c>
      <c r="AN821" s="474" t="s">
        <v>50</v>
      </c>
      <c r="AO821" s="474"/>
      <c r="AP821" s="486" t="s">
        <v>92</v>
      </c>
      <c r="AQ821" s="486" t="s">
        <v>37</v>
      </c>
      <c r="AR821" s="486" t="s">
        <v>1216</v>
      </c>
      <c r="AS821" s="495"/>
      <c r="AT821" s="495"/>
      <c r="AU821" s="478"/>
      <c r="AV821" s="471"/>
      <c r="AW821" s="471"/>
      <c r="AX821" s="471"/>
      <c r="AY821" s="471"/>
      <c r="AZ821" s="471"/>
      <c r="BA821" s="471"/>
      <c r="BB821" s="471"/>
      <c r="BC821" s="471"/>
    </row>
    <row r="822" spans="1:55">
      <c r="A822" s="472"/>
      <c r="B822" s="514"/>
      <c r="C822" s="514"/>
      <c r="D822" s="485" t="s">
        <v>2322</v>
      </c>
      <c r="E822" s="474" t="s">
        <v>2633</v>
      </c>
      <c r="F822" s="474"/>
      <c r="G822" s="474">
        <v>2022</v>
      </c>
      <c r="H822" s="474">
        <v>11</v>
      </c>
      <c r="I822" s="485"/>
      <c r="J822" s="475"/>
      <c r="K822" s="483" t="s">
        <v>2850</v>
      </c>
      <c r="L822" s="474" t="s">
        <v>2439</v>
      </c>
      <c r="M822" s="487">
        <v>44482</v>
      </c>
      <c r="N822" s="487">
        <v>44819</v>
      </c>
      <c r="O822" s="487"/>
      <c r="P822" s="475"/>
      <c r="Q822" s="475"/>
      <c r="R822" s="475"/>
      <c r="S822" s="474" t="s">
        <v>1563</v>
      </c>
      <c r="T822" s="474">
        <v>60</v>
      </c>
      <c r="U822" s="474">
        <v>49401139</v>
      </c>
      <c r="V822" s="474" t="s">
        <v>2719</v>
      </c>
      <c r="W822" s="474">
        <v>395</v>
      </c>
      <c r="X822" s="476">
        <v>832</v>
      </c>
      <c r="Y822" s="477">
        <f t="shared" si="177"/>
        <v>328640</v>
      </c>
      <c r="Z822" s="478">
        <v>0.53</v>
      </c>
      <c r="AA822" s="479">
        <f t="shared" si="178"/>
        <v>174179.20000000001</v>
      </c>
      <c r="AB822" s="480"/>
      <c r="AC822" s="481">
        <v>0</v>
      </c>
      <c r="AD822" s="490"/>
      <c r="AE822" s="482"/>
      <c r="AF822" s="493">
        <f>AA822+AE822</f>
        <v>174179.20000000001</v>
      </c>
      <c r="AG822" s="474" t="s">
        <v>47</v>
      </c>
      <c r="AH822" s="474" t="s">
        <v>2444</v>
      </c>
      <c r="AI822" s="483">
        <v>60</v>
      </c>
      <c r="AJ822" s="474" t="s">
        <v>2450</v>
      </c>
      <c r="AK822" s="494" t="s">
        <v>50</v>
      </c>
      <c r="AL822" s="474" t="s">
        <v>2537</v>
      </c>
      <c r="AM822" s="474" t="s">
        <v>52</v>
      </c>
      <c r="AN822" s="474"/>
      <c r="AO822" s="474"/>
      <c r="AP822" s="486"/>
      <c r="AQ822" s="486"/>
      <c r="AR822" s="486"/>
      <c r="AS822" s="495"/>
      <c r="AT822" s="495"/>
      <c r="AU822" s="478"/>
      <c r="AV822" s="471"/>
      <c r="AW822" s="471"/>
      <c r="AX822" s="471"/>
      <c r="AY822" s="471"/>
      <c r="AZ822" s="471"/>
      <c r="BA822" s="471"/>
      <c r="BB822" s="471"/>
      <c r="BC822" s="471"/>
    </row>
    <row r="823" spans="1:55">
      <c r="A823" s="472"/>
      <c r="B823" s="514"/>
      <c r="C823" s="514"/>
      <c r="D823" s="485" t="s">
        <v>2322</v>
      </c>
      <c r="E823" s="474" t="s">
        <v>2633</v>
      </c>
      <c r="F823" s="474"/>
      <c r="G823" s="474">
        <v>2022</v>
      </c>
      <c r="H823" s="474">
        <v>11</v>
      </c>
      <c r="I823" s="485"/>
      <c r="J823" s="475"/>
      <c r="K823" s="483" t="s">
        <v>2851</v>
      </c>
      <c r="L823" s="474" t="s">
        <v>2439</v>
      </c>
      <c r="M823" s="487">
        <v>44482</v>
      </c>
      <c r="N823" s="487">
        <v>44827</v>
      </c>
      <c r="O823" s="487"/>
      <c r="P823" s="475"/>
      <c r="Q823" s="475"/>
      <c r="R823" s="475"/>
      <c r="S823" s="474" t="s">
        <v>1563</v>
      </c>
      <c r="T823" s="474">
        <v>60</v>
      </c>
      <c r="U823" s="474">
        <v>49401139</v>
      </c>
      <c r="V823" s="474" t="s">
        <v>2719</v>
      </c>
      <c r="W823" s="474">
        <v>395</v>
      </c>
      <c r="X823" s="476">
        <v>832</v>
      </c>
      <c r="Y823" s="477">
        <f t="shared" si="177"/>
        <v>328640</v>
      </c>
      <c r="Z823" s="478">
        <v>0.53</v>
      </c>
      <c r="AA823" s="479">
        <f t="shared" si="178"/>
        <v>174179.20000000001</v>
      </c>
      <c r="AB823" s="480"/>
      <c r="AC823" s="481">
        <v>0</v>
      </c>
      <c r="AD823" s="490"/>
      <c r="AE823" s="482"/>
      <c r="AF823" s="493">
        <f>AA823+AE823</f>
        <v>174179.20000000001</v>
      </c>
      <c r="AG823" s="474" t="s">
        <v>47</v>
      </c>
      <c r="AH823" s="474" t="s">
        <v>2444</v>
      </c>
      <c r="AI823" s="483">
        <v>60</v>
      </c>
      <c r="AJ823" s="474" t="s">
        <v>2450</v>
      </c>
      <c r="AK823" s="494" t="s">
        <v>50</v>
      </c>
      <c r="AL823" s="474" t="s">
        <v>2537</v>
      </c>
      <c r="AM823" s="474" t="s">
        <v>52</v>
      </c>
      <c r="AN823" s="474"/>
      <c r="AO823" s="474"/>
      <c r="AP823" s="486"/>
      <c r="AQ823" s="486"/>
      <c r="AR823" s="486"/>
      <c r="AS823" s="495"/>
      <c r="AT823" s="495"/>
      <c r="AU823" s="478"/>
      <c r="AV823" s="471"/>
      <c r="AW823" s="471"/>
      <c r="AX823" s="471"/>
      <c r="AY823" s="471"/>
      <c r="AZ823" s="471"/>
      <c r="BA823" s="471"/>
      <c r="BB823" s="471"/>
      <c r="BC823" s="471"/>
    </row>
    <row r="824" spans="1:55">
      <c r="A824" s="514">
        <v>44621</v>
      </c>
      <c r="B824" s="514">
        <v>44621</v>
      </c>
      <c r="C824" s="514">
        <v>44621</v>
      </c>
      <c r="D824" s="485" t="s">
        <v>2322</v>
      </c>
      <c r="E824" s="474"/>
      <c r="F824" s="474"/>
      <c r="G824" s="474">
        <v>2022</v>
      </c>
      <c r="H824" s="474">
        <v>3</v>
      </c>
      <c r="I824" s="485">
        <v>127318</v>
      </c>
      <c r="J824" s="475">
        <v>44635</v>
      </c>
      <c r="K824" s="483" t="s">
        <v>2456</v>
      </c>
      <c r="L824" s="474" t="s">
        <v>2439</v>
      </c>
      <c r="M824" s="487">
        <v>44504</v>
      </c>
      <c r="N824" s="487">
        <v>44519</v>
      </c>
      <c r="O824" s="487"/>
      <c r="P824" s="475">
        <v>44630</v>
      </c>
      <c r="Q824" s="475">
        <v>44634</v>
      </c>
      <c r="R824" s="475">
        <v>44635</v>
      </c>
      <c r="S824" s="474" t="s">
        <v>1563</v>
      </c>
      <c r="T824" s="474">
        <v>72</v>
      </c>
      <c r="U824" s="474" t="s">
        <v>1809</v>
      </c>
      <c r="V824" s="474" t="s">
        <v>2455</v>
      </c>
      <c r="W824" s="474">
        <v>475</v>
      </c>
      <c r="X824" s="476">
        <v>683</v>
      </c>
      <c r="Y824" s="491">
        <f t="shared" si="177"/>
        <v>324425</v>
      </c>
      <c r="Z824" s="478">
        <f>225.625/475</f>
        <v>0.47499999999999998</v>
      </c>
      <c r="AA824" s="479">
        <f t="shared" si="178"/>
        <v>154101.875</v>
      </c>
      <c r="AB824" s="480"/>
      <c r="AC824" s="481">
        <v>0</v>
      </c>
      <c r="AD824" s="490"/>
      <c r="AE824" s="482"/>
      <c r="AF824" s="493">
        <v>145464</v>
      </c>
      <c r="AG824" s="474" t="s">
        <v>47</v>
      </c>
      <c r="AH824" s="474"/>
      <c r="AI824" s="483" t="s">
        <v>2442</v>
      </c>
      <c r="AJ824" s="474" t="s">
        <v>1790</v>
      </c>
      <c r="AK824" s="494" t="s">
        <v>2321</v>
      </c>
      <c r="AL824" s="474">
        <v>95828</v>
      </c>
      <c r="AM824" s="474" t="s">
        <v>52</v>
      </c>
      <c r="AN824" s="474" t="s">
        <v>50</v>
      </c>
      <c r="AO824" s="474"/>
      <c r="AP824" s="486" t="s">
        <v>92</v>
      </c>
      <c r="AQ824" s="486" t="s">
        <v>37</v>
      </c>
      <c r="AR824" s="486" t="s">
        <v>1216</v>
      </c>
      <c r="AS824" s="495"/>
      <c r="AT824" s="495"/>
      <c r="AU824" s="478"/>
      <c r="AV824" s="471"/>
      <c r="AW824" s="471"/>
      <c r="AX824" s="471"/>
      <c r="AY824" s="471"/>
      <c r="AZ824" s="471"/>
      <c r="BA824" s="471"/>
      <c r="BB824" s="471"/>
      <c r="BC824" s="471"/>
    </row>
    <row r="825" spans="1:55">
      <c r="A825" s="472"/>
      <c r="B825" s="514"/>
      <c r="C825" s="514"/>
      <c r="D825" s="485" t="s">
        <v>2322</v>
      </c>
      <c r="E825" s="474" t="s">
        <v>2633</v>
      </c>
      <c r="F825" s="474"/>
      <c r="G825" s="474">
        <v>2022</v>
      </c>
      <c r="H825" s="474">
        <v>11</v>
      </c>
      <c r="I825" s="485"/>
      <c r="J825" s="475"/>
      <c r="K825" s="483" t="s">
        <v>2852</v>
      </c>
      <c r="L825" s="474" t="s">
        <v>2439</v>
      </c>
      <c r="M825" s="487">
        <v>44482</v>
      </c>
      <c r="N825" s="487">
        <v>44812</v>
      </c>
      <c r="O825" s="487"/>
      <c r="P825" s="475"/>
      <c r="Q825" s="475"/>
      <c r="R825" s="475"/>
      <c r="S825" s="474" t="s">
        <v>1563</v>
      </c>
      <c r="T825" s="474">
        <v>60</v>
      </c>
      <c r="U825" s="474">
        <v>49401139</v>
      </c>
      <c r="V825" s="474" t="s">
        <v>2719</v>
      </c>
      <c r="W825" s="474">
        <v>395</v>
      </c>
      <c r="X825" s="476">
        <v>832</v>
      </c>
      <c r="Y825" s="477">
        <f t="shared" si="177"/>
        <v>328640</v>
      </c>
      <c r="Z825" s="478">
        <v>0.53</v>
      </c>
      <c r="AA825" s="479">
        <f t="shared" si="178"/>
        <v>174179.20000000001</v>
      </c>
      <c r="AB825" s="480"/>
      <c r="AC825" s="481">
        <v>0</v>
      </c>
      <c r="AD825" s="490"/>
      <c r="AE825" s="482"/>
      <c r="AF825" s="493">
        <f t="shared" ref="AF825:AF831" si="180">AA825+AE825</f>
        <v>174179.20000000001</v>
      </c>
      <c r="AG825" s="474" t="s">
        <v>47</v>
      </c>
      <c r="AH825" s="474" t="s">
        <v>2444</v>
      </c>
      <c r="AI825" s="483">
        <v>60</v>
      </c>
      <c r="AJ825" s="474" t="s">
        <v>1678</v>
      </c>
      <c r="AK825" s="494" t="s">
        <v>1085</v>
      </c>
      <c r="AL825" s="474" t="s">
        <v>2528</v>
      </c>
      <c r="AM825" s="474" t="s">
        <v>52</v>
      </c>
      <c r="AN825" s="474"/>
      <c r="AO825" s="474"/>
      <c r="AP825" s="486"/>
      <c r="AQ825" s="486"/>
      <c r="AR825" s="486"/>
      <c r="AS825" s="495"/>
      <c r="AT825" s="495"/>
      <c r="AU825" s="478"/>
      <c r="AV825" s="471"/>
      <c r="AW825" s="471"/>
      <c r="AX825" s="471"/>
      <c r="AY825" s="471"/>
      <c r="AZ825" s="471"/>
      <c r="BA825" s="471"/>
      <c r="BB825" s="471"/>
      <c r="BC825" s="471"/>
    </row>
    <row r="826" spans="1:55">
      <c r="A826" s="472"/>
      <c r="B826" s="514"/>
      <c r="C826" s="514"/>
      <c r="D826" s="485" t="s">
        <v>2322</v>
      </c>
      <c r="E826" s="474" t="s">
        <v>2633</v>
      </c>
      <c r="F826" s="474"/>
      <c r="G826" s="474">
        <v>2022</v>
      </c>
      <c r="H826" s="474">
        <v>11</v>
      </c>
      <c r="I826" s="485"/>
      <c r="J826" s="475"/>
      <c r="K826" s="483" t="s">
        <v>2853</v>
      </c>
      <c r="L826" s="474" t="s">
        <v>2439</v>
      </c>
      <c r="M826" s="487">
        <v>44482</v>
      </c>
      <c r="N826" s="487">
        <v>44823</v>
      </c>
      <c r="O826" s="487"/>
      <c r="P826" s="475"/>
      <c r="Q826" s="475"/>
      <c r="R826" s="475"/>
      <c r="S826" s="474" t="s">
        <v>1563</v>
      </c>
      <c r="T826" s="474">
        <v>60</v>
      </c>
      <c r="U826" s="474">
        <v>49401139</v>
      </c>
      <c r="V826" s="474" t="s">
        <v>2719</v>
      </c>
      <c r="W826" s="474">
        <v>395</v>
      </c>
      <c r="X826" s="476">
        <v>832</v>
      </c>
      <c r="Y826" s="477">
        <f t="shared" si="177"/>
        <v>328640</v>
      </c>
      <c r="Z826" s="478">
        <v>0.53</v>
      </c>
      <c r="AA826" s="479">
        <f t="shared" si="178"/>
        <v>174179.20000000001</v>
      </c>
      <c r="AB826" s="480"/>
      <c r="AC826" s="481">
        <v>0</v>
      </c>
      <c r="AD826" s="490"/>
      <c r="AE826" s="482"/>
      <c r="AF826" s="493">
        <f t="shared" si="180"/>
        <v>174179.20000000001</v>
      </c>
      <c r="AG826" s="474" t="s">
        <v>47</v>
      </c>
      <c r="AH826" s="474" t="s">
        <v>2444</v>
      </c>
      <c r="AI826" s="483">
        <v>60</v>
      </c>
      <c r="AJ826" s="474" t="s">
        <v>1678</v>
      </c>
      <c r="AK826" s="494" t="s">
        <v>1085</v>
      </c>
      <c r="AL826" s="474" t="s">
        <v>2528</v>
      </c>
      <c r="AM826" s="474" t="s">
        <v>52</v>
      </c>
      <c r="AN826" s="474"/>
      <c r="AO826" s="474"/>
      <c r="AP826" s="486"/>
      <c r="AQ826" s="486"/>
      <c r="AR826" s="486"/>
      <c r="AS826" s="495"/>
      <c r="AT826" s="495"/>
      <c r="AU826" s="478"/>
      <c r="AV826" s="471"/>
      <c r="AW826" s="471"/>
      <c r="AX826" s="471"/>
      <c r="AY826" s="471"/>
      <c r="AZ826" s="471"/>
      <c r="BA826" s="471"/>
      <c r="BB826" s="471"/>
      <c r="BC826" s="471"/>
    </row>
    <row r="827" spans="1:55">
      <c r="A827" s="472"/>
      <c r="B827" s="514"/>
      <c r="C827" s="514"/>
      <c r="D827" s="485" t="s">
        <v>2322</v>
      </c>
      <c r="E827" s="474" t="s">
        <v>5390</v>
      </c>
      <c r="F827" s="474"/>
      <c r="G827" s="474">
        <v>2022</v>
      </c>
      <c r="H827" s="474">
        <v>11</v>
      </c>
      <c r="I827" s="485"/>
      <c r="J827" s="475"/>
      <c r="K827" s="483" t="s">
        <v>5391</v>
      </c>
      <c r="L827" s="474" t="s">
        <v>2439</v>
      </c>
      <c r="M827" s="487">
        <v>44670</v>
      </c>
      <c r="N827" s="487">
        <v>44870</v>
      </c>
      <c r="O827" s="487"/>
      <c r="P827" s="475"/>
      <c r="Q827" s="475"/>
      <c r="R827" s="475"/>
      <c r="S827" s="474" t="s">
        <v>1563</v>
      </c>
      <c r="T827" s="474">
        <v>72</v>
      </c>
      <c r="U827" s="474" t="s">
        <v>1109</v>
      </c>
      <c r="V827" s="474" t="s">
        <v>1070</v>
      </c>
      <c r="W827" s="474">
        <v>480</v>
      </c>
      <c r="X827" s="476">
        <v>638</v>
      </c>
      <c r="Y827" s="491">
        <f t="shared" si="177"/>
        <v>306240</v>
      </c>
      <c r="Z827" s="478">
        <v>0.495</v>
      </c>
      <c r="AA827" s="479">
        <f t="shared" si="178"/>
        <v>151588.79999999999</v>
      </c>
      <c r="AB827" s="480"/>
      <c r="AC827" s="481">
        <v>0</v>
      </c>
      <c r="AD827" s="490"/>
      <c r="AE827" s="482"/>
      <c r="AF827" s="493">
        <f t="shared" si="180"/>
        <v>151588.79999999999</v>
      </c>
      <c r="AG827" s="474" t="s">
        <v>47</v>
      </c>
      <c r="AH827" s="474" t="s">
        <v>2444</v>
      </c>
      <c r="AI827" s="483">
        <v>60</v>
      </c>
      <c r="AJ827" s="474" t="s">
        <v>1790</v>
      </c>
      <c r="AK827" s="494" t="s">
        <v>50</v>
      </c>
      <c r="AL827" s="474">
        <v>95838</v>
      </c>
      <c r="AM827" s="474" t="s">
        <v>52</v>
      </c>
      <c r="AN827" s="474" t="s">
        <v>50</v>
      </c>
      <c r="AO827" s="474"/>
      <c r="AP827" s="486"/>
      <c r="AQ827" s="486" t="s">
        <v>37</v>
      </c>
      <c r="AR827" s="486"/>
      <c r="AS827" s="495"/>
      <c r="AT827" s="495"/>
      <c r="AU827" s="478"/>
      <c r="AV827" s="471"/>
      <c r="AW827" s="471"/>
      <c r="AX827" s="471"/>
      <c r="AY827" s="471"/>
      <c r="AZ827" s="471"/>
      <c r="BA827" s="471"/>
      <c r="BB827" s="471"/>
      <c r="BC827" s="471"/>
    </row>
    <row r="828" spans="1:55">
      <c r="A828" s="472"/>
      <c r="B828" s="514"/>
      <c r="C828" s="514"/>
      <c r="D828" s="485" t="s">
        <v>2322</v>
      </c>
      <c r="E828" s="474" t="s">
        <v>5390</v>
      </c>
      <c r="F828" s="474"/>
      <c r="G828" s="474">
        <v>2022</v>
      </c>
      <c r="H828" s="474">
        <v>11</v>
      </c>
      <c r="I828" s="485"/>
      <c r="J828" s="475"/>
      <c r="K828" s="483" t="s">
        <v>5392</v>
      </c>
      <c r="L828" s="474" t="s">
        <v>2439</v>
      </c>
      <c r="M828" s="487">
        <v>44670</v>
      </c>
      <c r="N828" s="487">
        <v>44870</v>
      </c>
      <c r="O828" s="487"/>
      <c r="P828" s="475"/>
      <c r="Q828" s="475"/>
      <c r="R828" s="475"/>
      <c r="S828" s="474" t="s">
        <v>1563</v>
      </c>
      <c r="T828" s="474">
        <v>72</v>
      </c>
      <c r="U828" s="474" t="s">
        <v>1109</v>
      </c>
      <c r="V828" s="474" t="s">
        <v>1070</v>
      </c>
      <c r="W828" s="474">
        <v>480</v>
      </c>
      <c r="X828" s="476">
        <v>638</v>
      </c>
      <c r="Y828" s="491">
        <f t="shared" si="177"/>
        <v>306240</v>
      </c>
      <c r="Z828" s="478">
        <v>0.495</v>
      </c>
      <c r="AA828" s="479">
        <f t="shared" si="178"/>
        <v>151588.79999999999</v>
      </c>
      <c r="AB828" s="480"/>
      <c r="AC828" s="481">
        <v>0</v>
      </c>
      <c r="AD828" s="490"/>
      <c r="AE828" s="482"/>
      <c r="AF828" s="493">
        <f t="shared" si="180"/>
        <v>151588.79999999999</v>
      </c>
      <c r="AG828" s="474" t="s">
        <v>47</v>
      </c>
      <c r="AH828" s="474" t="s">
        <v>2444</v>
      </c>
      <c r="AI828" s="483">
        <v>60</v>
      </c>
      <c r="AJ828" s="474" t="s">
        <v>1790</v>
      </c>
      <c r="AK828" s="494" t="s">
        <v>50</v>
      </c>
      <c r="AL828" s="474">
        <v>95838</v>
      </c>
      <c r="AM828" s="474" t="s">
        <v>52</v>
      </c>
      <c r="AN828" s="474" t="s">
        <v>50</v>
      </c>
      <c r="AO828" s="474"/>
      <c r="AP828" s="486"/>
      <c r="AQ828" s="486" t="s">
        <v>37</v>
      </c>
      <c r="AR828" s="486"/>
      <c r="AS828" s="495"/>
      <c r="AT828" s="495"/>
      <c r="AU828" s="478"/>
      <c r="AV828" s="471"/>
      <c r="AW828" s="471"/>
      <c r="AX828" s="471"/>
      <c r="AY828" s="471"/>
      <c r="AZ828" s="471"/>
      <c r="BA828" s="471"/>
      <c r="BB828" s="471"/>
      <c r="BC828" s="471"/>
    </row>
    <row r="829" spans="1:55">
      <c r="A829" s="472"/>
      <c r="B829" s="514"/>
      <c r="C829" s="514"/>
      <c r="D829" s="485" t="s">
        <v>2322</v>
      </c>
      <c r="E829" s="474"/>
      <c r="F829" s="474"/>
      <c r="G829" s="474">
        <v>2022</v>
      </c>
      <c r="H829" s="474">
        <v>12</v>
      </c>
      <c r="I829" s="485"/>
      <c r="J829" s="475"/>
      <c r="K829" s="483" t="s">
        <v>2879</v>
      </c>
      <c r="L829" s="474" t="s">
        <v>2439</v>
      </c>
      <c r="M829" s="487">
        <v>44463</v>
      </c>
      <c r="N829" s="487">
        <v>44627</v>
      </c>
      <c r="O829" s="487"/>
      <c r="P829" s="475"/>
      <c r="Q829" s="475"/>
      <c r="R829" s="475"/>
      <c r="S829" s="474" t="s">
        <v>1563</v>
      </c>
      <c r="T829" s="474">
        <v>60</v>
      </c>
      <c r="U829" s="474">
        <v>49401139</v>
      </c>
      <c r="V829" s="474" t="s">
        <v>2719</v>
      </c>
      <c r="W829" s="474">
        <v>395</v>
      </c>
      <c r="X829" s="476">
        <v>832</v>
      </c>
      <c r="Y829" s="477">
        <f t="shared" si="177"/>
        <v>328640</v>
      </c>
      <c r="Z829" s="478">
        <v>0.53</v>
      </c>
      <c r="AA829" s="479">
        <f t="shared" si="178"/>
        <v>174179.20000000001</v>
      </c>
      <c r="AB829" s="480"/>
      <c r="AC829" s="481">
        <v>0</v>
      </c>
      <c r="AD829" s="490"/>
      <c r="AE829" s="482"/>
      <c r="AF829" s="493">
        <f t="shared" si="180"/>
        <v>174179.20000000001</v>
      </c>
      <c r="AG829" s="474" t="s">
        <v>47</v>
      </c>
      <c r="AH829" s="474" t="s">
        <v>2444</v>
      </c>
      <c r="AI829" s="483">
        <v>60</v>
      </c>
      <c r="AJ829" s="474" t="s">
        <v>1678</v>
      </c>
      <c r="AK829" s="494" t="s">
        <v>1085</v>
      </c>
      <c r="AL829" s="474" t="s">
        <v>2528</v>
      </c>
      <c r="AM829" s="474" t="s">
        <v>52</v>
      </c>
      <c r="AN829" s="474"/>
      <c r="AO829" s="474"/>
      <c r="AP829" s="486"/>
      <c r="AQ829" s="486"/>
      <c r="AR829" s="486"/>
      <c r="AS829" s="495"/>
      <c r="AT829" s="495"/>
      <c r="AU829" s="478"/>
      <c r="AV829" s="471"/>
      <c r="AW829" s="471"/>
      <c r="AX829" s="471"/>
      <c r="AY829" s="471"/>
      <c r="AZ829" s="471"/>
      <c r="BA829" s="471"/>
      <c r="BB829" s="471"/>
      <c r="BC829" s="471"/>
    </row>
    <row r="830" spans="1:55">
      <c r="A830" s="472"/>
      <c r="B830" s="514"/>
      <c r="C830" s="514"/>
      <c r="D830" s="485" t="s">
        <v>2322</v>
      </c>
      <c r="E830" s="474"/>
      <c r="F830" s="474"/>
      <c r="G830" s="474">
        <v>2022</v>
      </c>
      <c r="H830" s="474">
        <v>12</v>
      </c>
      <c r="I830" s="485"/>
      <c r="J830" s="475"/>
      <c r="K830" s="483" t="s">
        <v>2880</v>
      </c>
      <c r="L830" s="474" t="s">
        <v>2439</v>
      </c>
      <c r="M830" s="487">
        <v>44463</v>
      </c>
      <c r="N830" s="487">
        <v>44641</v>
      </c>
      <c r="O830" s="487"/>
      <c r="P830" s="475"/>
      <c r="Q830" s="475"/>
      <c r="R830" s="475"/>
      <c r="S830" s="474" t="s">
        <v>1563</v>
      </c>
      <c r="T830" s="474">
        <v>60</v>
      </c>
      <c r="U830" s="474">
        <v>49401139</v>
      </c>
      <c r="V830" s="474" t="s">
        <v>2719</v>
      </c>
      <c r="W830" s="474">
        <v>395</v>
      </c>
      <c r="X830" s="476">
        <v>832</v>
      </c>
      <c r="Y830" s="477">
        <f t="shared" si="177"/>
        <v>328640</v>
      </c>
      <c r="Z830" s="478">
        <v>0.53</v>
      </c>
      <c r="AA830" s="479">
        <f t="shared" si="178"/>
        <v>174179.20000000001</v>
      </c>
      <c r="AB830" s="480"/>
      <c r="AC830" s="481">
        <v>0</v>
      </c>
      <c r="AD830" s="490"/>
      <c r="AE830" s="482"/>
      <c r="AF830" s="493">
        <f t="shared" si="180"/>
        <v>174179.20000000001</v>
      </c>
      <c r="AG830" s="474" t="s">
        <v>47</v>
      </c>
      <c r="AH830" s="474" t="s">
        <v>2444</v>
      </c>
      <c r="AI830" s="483">
        <v>60</v>
      </c>
      <c r="AJ830" s="474" t="s">
        <v>1678</v>
      </c>
      <c r="AK830" s="494" t="s">
        <v>1085</v>
      </c>
      <c r="AL830" s="474" t="s">
        <v>2528</v>
      </c>
      <c r="AM830" s="474" t="s">
        <v>52</v>
      </c>
      <c r="AN830" s="474"/>
      <c r="AO830" s="474"/>
      <c r="AP830" s="486"/>
      <c r="AQ830" s="486"/>
      <c r="AR830" s="486"/>
      <c r="AS830" s="495"/>
      <c r="AT830" s="495"/>
      <c r="AU830" s="478"/>
      <c r="AV830" s="471">
        <f t="shared" ref="AV830:AV893" si="181">U830</f>
        <v>49401139</v>
      </c>
      <c r="AW830" s="471" cm="1">
        <f t="array" ref="AW830">SUM(MID(0&amp;AV830,LARGE(INDEX(ISNUMBER(--MID(AV830,ROW($1:$8),1))*ROW($1:$8),),ROW($1:$8))+1,1)*10^ROW($1:$8)/10)</f>
        <v>49401139</v>
      </c>
      <c r="AX830" s="471" t="str">
        <f>VLOOKUP($AW830,'Item Master Data'!$A:$F,3,FALSE)</f>
        <v>Q.PEAK DUO BLK ML G10.a+</v>
      </c>
      <c r="AY830" s="471">
        <f>VLOOKUP($AW830,'Item Master Data'!$A:$F,6,FALSE)</f>
        <v>395</v>
      </c>
      <c r="AZ830" s="471">
        <f t="shared" ref="AZ830:AZ893" si="182">X830/BA830</f>
        <v>26</v>
      </c>
      <c r="BA830" s="471">
        <f>VLOOKUP(AW830,'Item Master Data'!$A:$G,7,FALSE)</f>
        <v>32</v>
      </c>
      <c r="BB830" s="471"/>
      <c r="BC830" s="471">
        <f t="shared" ref="BC830:BC893" si="183">W830-AY830</f>
        <v>0</v>
      </c>
    </row>
    <row r="831" spans="1:55">
      <c r="A831" s="472"/>
      <c r="B831" s="514"/>
      <c r="C831" s="514"/>
      <c r="D831" s="485" t="s">
        <v>2322</v>
      </c>
      <c r="E831" s="474"/>
      <c r="F831" s="474"/>
      <c r="G831" s="474">
        <v>2022</v>
      </c>
      <c r="H831" s="474">
        <v>12</v>
      </c>
      <c r="I831" s="485"/>
      <c r="J831" s="475"/>
      <c r="K831" s="483" t="s">
        <v>2881</v>
      </c>
      <c r="L831" s="474" t="s">
        <v>2439</v>
      </c>
      <c r="M831" s="487">
        <v>44463</v>
      </c>
      <c r="N831" s="487">
        <v>44663</v>
      </c>
      <c r="O831" s="487"/>
      <c r="P831" s="475"/>
      <c r="Q831" s="475"/>
      <c r="R831" s="475"/>
      <c r="S831" s="474" t="s">
        <v>1563</v>
      </c>
      <c r="T831" s="474">
        <v>60</v>
      </c>
      <c r="U831" s="474">
        <v>49403139</v>
      </c>
      <c r="V831" s="474" t="s">
        <v>2882</v>
      </c>
      <c r="W831" s="474">
        <v>395</v>
      </c>
      <c r="X831" s="476">
        <v>832</v>
      </c>
      <c r="Y831" s="477">
        <f t="shared" si="177"/>
        <v>328640</v>
      </c>
      <c r="Z831" s="478">
        <v>0.53</v>
      </c>
      <c r="AA831" s="479">
        <f t="shared" si="178"/>
        <v>174179.20000000001</v>
      </c>
      <c r="AB831" s="480"/>
      <c r="AC831" s="481">
        <v>0</v>
      </c>
      <c r="AD831" s="490"/>
      <c r="AE831" s="482"/>
      <c r="AF831" s="493">
        <f t="shared" si="180"/>
        <v>174179.20000000001</v>
      </c>
      <c r="AG831" s="474" t="s">
        <v>47</v>
      </c>
      <c r="AH831" s="474" t="s">
        <v>2444</v>
      </c>
      <c r="AI831" s="483">
        <v>60</v>
      </c>
      <c r="AJ831" s="474" t="s">
        <v>1790</v>
      </c>
      <c r="AK831" s="494" t="s">
        <v>50</v>
      </c>
      <c r="AL831" s="474" t="s">
        <v>2452</v>
      </c>
      <c r="AM831" s="474" t="s">
        <v>52</v>
      </c>
      <c r="AN831" s="474"/>
      <c r="AO831" s="474"/>
      <c r="AP831" s="486"/>
      <c r="AQ831" s="486"/>
      <c r="AR831" s="486"/>
      <c r="AS831" s="495"/>
      <c r="AT831" s="495"/>
      <c r="AU831" s="478"/>
      <c r="AV831" s="471">
        <f t="shared" si="181"/>
        <v>49403139</v>
      </c>
      <c r="AW831" s="471" cm="1">
        <f t="array" ref="AW831">SUM(MID(0&amp;AV831,LARGE(INDEX(ISNUMBER(--MID(AV831,ROW($1:$8),1))*ROW($1:$8),),ROW($1:$8))+1,1)*10^ROW($1:$8)/10)</f>
        <v>49403139</v>
      </c>
      <c r="AX831" s="471" t="str">
        <f>VLOOKUP($AW831,'Item Master Data'!$A:$F,3,FALSE)</f>
        <v>Q.PEAK DUO BLK ML G10+</v>
      </c>
      <c r="AY831" s="471">
        <f>VLOOKUP($AW831,'Item Master Data'!$A:$F,6,FALSE)</f>
        <v>395</v>
      </c>
      <c r="AZ831" s="471">
        <f t="shared" si="182"/>
        <v>26</v>
      </c>
      <c r="BA831" s="471">
        <f>VLOOKUP(AW831,'Item Master Data'!$A:$G,7,FALSE)</f>
        <v>32</v>
      </c>
      <c r="BB831" s="471"/>
      <c r="BC831" s="471">
        <f t="shared" si="183"/>
        <v>0</v>
      </c>
    </row>
    <row r="832" spans="1:55">
      <c r="A832" s="472"/>
      <c r="B832" s="514"/>
      <c r="C832" s="449">
        <v>44658</v>
      </c>
      <c r="D832" s="485" t="s">
        <v>2322</v>
      </c>
      <c r="E832" s="474"/>
      <c r="F832" s="474"/>
      <c r="G832" s="474">
        <v>2022</v>
      </c>
      <c r="H832" s="474">
        <v>4</v>
      </c>
      <c r="I832" s="485">
        <v>128199</v>
      </c>
      <c r="J832" s="475">
        <v>44669</v>
      </c>
      <c r="K832" s="483" t="s">
        <v>2563</v>
      </c>
      <c r="L832" s="474" t="s">
        <v>2459</v>
      </c>
      <c r="M832" s="487">
        <v>44607</v>
      </c>
      <c r="N832" s="487">
        <v>44649</v>
      </c>
      <c r="O832" s="487"/>
      <c r="P832" s="475">
        <v>44659</v>
      </c>
      <c r="Q832" s="475">
        <v>44669</v>
      </c>
      <c r="R832" s="475">
        <v>44671</v>
      </c>
      <c r="S832" s="474" t="s">
        <v>1563</v>
      </c>
      <c r="T832" s="474">
        <v>60</v>
      </c>
      <c r="U832" s="474">
        <v>49405140</v>
      </c>
      <c r="V832" s="474" t="s">
        <v>973</v>
      </c>
      <c r="W832" s="474">
        <v>400</v>
      </c>
      <c r="X832" s="476">
        <v>832</v>
      </c>
      <c r="Y832" s="477">
        <v>332800</v>
      </c>
      <c r="Z832" s="478">
        <v>0.55500000000000005</v>
      </c>
      <c r="AA832" s="492">
        <v>184704.00000000003</v>
      </c>
      <c r="AB832" s="480"/>
      <c r="AC832" s="481">
        <v>0</v>
      </c>
      <c r="AD832" s="490"/>
      <c r="AE832" s="482"/>
      <c r="AF832" s="493">
        <v>184704.00000000003</v>
      </c>
      <c r="AG832" s="474" t="s">
        <v>1071</v>
      </c>
      <c r="AH832" s="474"/>
      <c r="AI832" s="483" t="s">
        <v>2442</v>
      </c>
      <c r="AJ832" s="474" t="s">
        <v>2564</v>
      </c>
      <c r="AK832" s="494" t="s">
        <v>1138</v>
      </c>
      <c r="AL832" s="474">
        <v>12204</v>
      </c>
      <c r="AM832" s="474" t="s">
        <v>52</v>
      </c>
      <c r="AN832" s="474" t="s">
        <v>1074</v>
      </c>
      <c r="AO832" s="474"/>
      <c r="AP832" s="486"/>
      <c r="AQ832" s="486" t="s">
        <v>1086</v>
      </c>
      <c r="AR832" s="486" t="s">
        <v>1216</v>
      </c>
      <c r="AS832" s="495"/>
      <c r="AT832" s="495"/>
      <c r="AU832" s="478"/>
      <c r="AV832" s="471">
        <f t="shared" si="181"/>
        <v>49405140</v>
      </c>
      <c r="AW832" s="471" cm="1">
        <f t="array" ref="AW832">SUM(MID(0&amp;AV832,LARGE(INDEX(ISNUMBER(--MID(AV832,ROW($1:$8),1))*ROW($1:$8),),ROW($1:$8))+1,1)*10^ROW($1:$8)/10)</f>
        <v>49405140</v>
      </c>
      <c r="AX832" s="471" t="str">
        <f>VLOOKUP($AW832,'Item Master Data'!$A:$F,3,FALSE)</f>
        <v>Q.PEAK DUO BLK ML G10+</v>
      </c>
      <c r="AY832" s="471">
        <f>VLOOKUP($AW832,'Item Master Data'!$A:$F,6,FALSE)</f>
        <v>400</v>
      </c>
      <c r="AZ832" s="471">
        <f t="shared" si="182"/>
        <v>26</v>
      </c>
      <c r="BA832" s="471">
        <f>VLOOKUP(AW832,'Item Master Data'!$A:$G,7,FALSE)</f>
        <v>32</v>
      </c>
      <c r="BB832" s="471"/>
      <c r="BC832" s="471">
        <f t="shared" si="183"/>
        <v>0</v>
      </c>
    </row>
    <row r="833" spans="1:55">
      <c r="A833" s="472"/>
      <c r="B833" s="514"/>
      <c r="C833" s="514"/>
      <c r="D833" s="485" t="s">
        <v>2322</v>
      </c>
      <c r="E833" s="474" t="s">
        <v>2457</v>
      </c>
      <c r="F833" s="474"/>
      <c r="G833" s="474">
        <v>2022</v>
      </c>
      <c r="H833" s="474">
        <v>3</v>
      </c>
      <c r="I833" s="415">
        <v>127797</v>
      </c>
      <c r="J833" s="538">
        <v>44651</v>
      </c>
      <c r="K833" s="523" t="s">
        <v>2458</v>
      </c>
      <c r="L833" s="524" t="s">
        <v>2459</v>
      </c>
      <c r="M833" s="487">
        <v>44467</v>
      </c>
      <c r="N833" s="487">
        <v>44593</v>
      </c>
      <c r="O833" s="487"/>
      <c r="P833" s="475">
        <v>44637</v>
      </c>
      <c r="Q833" s="475">
        <v>44651</v>
      </c>
      <c r="R833" s="475">
        <v>44652</v>
      </c>
      <c r="S833" s="474" t="s">
        <v>1563</v>
      </c>
      <c r="T833" s="474">
        <v>60</v>
      </c>
      <c r="U833" s="474">
        <v>49204132</v>
      </c>
      <c r="V833" s="474" t="s">
        <v>1223</v>
      </c>
      <c r="W833" s="474">
        <v>360</v>
      </c>
      <c r="X833" s="476">
        <v>676</v>
      </c>
      <c r="Y833" s="491">
        <f t="shared" ref="Y833:Y888" si="184">X833*W833</f>
        <v>243360</v>
      </c>
      <c r="Z833" s="478">
        <f>284.4/360</f>
        <v>0.78999999999999992</v>
      </c>
      <c r="AA833" s="479">
        <f t="shared" ref="AA833:AA888" si="185">Z833*Y833</f>
        <v>192254.4</v>
      </c>
      <c r="AB833" s="480"/>
      <c r="AC833" s="481">
        <v>0</v>
      </c>
      <c r="AD833" s="490"/>
      <c r="AE833" s="482"/>
      <c r="AF833" s="493">
        <f t="shared" ref="AF833:AF888" si="186">AA833+AE833</f>
        <v>192254.4</v>
      </c>
      <c r="AG833" s="474" t="s">
        <v>1071</v>
      </c>
      <c r="AH833" s="474"/>
      <c r="AI833" s="483" t="s">
        <v>2442</v>
      </c>
      <c r="AJ833" s="474" t="s">
        <v>2277</v>
      </c>
      <c r="AK833" s="494" t="s">
        <v>1084</v>
      </c>
      <c r="AL833" s="474">
        <v>32805</v>
      </c>
      <c r="AM833" s="474" t="s">
        <v>52</v>
      </c>
      <c r="AN833" s="474" t="s">
        <v>1106</v>
      </c>
      <c r="AO833" s="474"/>
      <c r="AP833" s="486"/>
      <c r="AQ833" s="486" t="s">
        <v>37</v>
      </c>
      <c r="AR833" s="486"/>
      <c r="AS833" s="495"/>
      <c r="AT833" s="495"/>
      <c r="AU833" s="478"/>
      <c r="AV833" s="471">
        <f t="shared" si="181"/>
        <v>49204132</v>
      </c>
      <c r="AW833" s="471" cm="1">
        <f t="array" ref="AW833">SUM(MID(0&amp;AV833,LARGE(INDEX(ISNUMBER(--MID(AV833,ROW($1:$8),1))*ROW($1:$8),),ROW($1:$8))+1,1)*10^ROW($1:$8)/10)</f>
        <v>49204132</v>
      </c>
      <c r="AX833" s="471" t="str">
        <f>VLOOKUP($AW833,'Item Master Data'!$A:$F,3,FALSE)</f>
        <v>Q.PEAK DUO BLK G10+/AC</v>
      </c>
      <c r="AY833" s="471">
        <f>VLOOKUP($AW833,'Item Master Data'!$A:$F,6,FALSE)</f>
        <v>360</v>
      </c>
      <c r="AZ833" s="471">
        <f t="shared" si="182"/>
        <v>26</v>
      </c>
      <c r="BA833" s="471">
        <f>VLOOKUP(AW833,'Item Master Data'!$A:$G,7,FALSE)</f>
        <v>26</v>
      </c>
      <c r="BB833" s="471"/>
      <c r="BC833" s="471">
        <f t="shared" si="183"/>
        <v>0</v>
      </c>
    </row>
    <row r="834" spans="1:55">
      <c r="A834" s="472"/>
      <c r="B834" s="514"/>
      <c r="C834" s="514"/>
      <c r="D834" s="485" t="s">
        <v>2322</v>
      </c>
      <c r="E834" s="474" t="s">
        <v>5393</v>
      </c>
      <c r="F834" s="474"/>
      <c r="G834" s="474">
        <v>2022</v>
      </c>
      <c r="H834" s="474">
        <v>4</v>
      </c>
      <c r="I834" s="485" t="s">
        <v>3023</v>
      </c>
      <c r="J834" s="475">
        <v>44652</v>
      </c>
      <c r="K834" s="483" t="s">
        <v>2458</v>
      </c>
      <c r="L834" s="474" t="s">
        <v>2459</v>
      </c>
      <c r="M834" s="487">
        <v>44467</v>
      </c>
      <c r="N834" s="487">
        <v>44593</v>
      </c>
      <c r="O834" s="487"/>
      <c r="P834" s="475">
        <v>44637</v>
      </c>
      <c r="Q834" s="475">
        <v>44655</v>
      </c>
      <c r="R834" s="475">
        <v>44659</v>
      </c>
      <c r="S834" s="474" t="s">
        <v>1563</v>
      </c>
      <c r="T834" s="474">
        <v>60</v>
      </c>
      <c r="U834" s="474">
        <v>49204132</v>
      </c>
      <c r="V834" s="474" t="s">
        <v>1223</v>
      </c>
      <c r="W834" s="474">
        <v>360</v>
      </c>
      <c r="X834" s="476">
        <v>156</v>
      </c>
      <c r="Y834" s="491">
        <f t="shared" si="184"/>
        <v>56160</v>
      </c>
      <c r="Z834" s="478">
        <f>284.4/360</f>
        <v>0.78999999999999992</v>
      </c>
      <c r="AA834" s="479">
        <f t="shared" si="185"/>
        <v>44366.399999999994</v>
      </c>
      <c r="AB834" s="480"/>
      <c r="AC834" s="481">
        <v>0</v>
      </c>
      <c r="AD834" s="490"/>
      <c r="AE834" s="482"/>
      <c r="AF834" s="493">
        <f t="shared" si="186"/>
        <v>44366.399999999994</v>
      </c>
      <c r="AG834" s="474" t="s">
        <v>1071</v>
      </c>
      <c r="AH834" s="474"/>
      <c r="AI834" s="483" t="s">
        <v>2442</v>
      </c>
      <c r="AJ834" s="474" t="s">
        <v>2277</v>
      </c>
      <c r="AK834" s="494" t="s">
        <v>1084</v>
      </c>
      <c r="AL834" s="474">
        <v>32805</v>
      </c>
      <c r="AM834" s="474" t="s">
        <v>52</v>
      </c>
      <c r="AN834" s="474" t="s">
        <v>1106</v>
      </c>
      <c r="AO834" s="474"/>
      <c r="AP834" s="486"/>
      <c r="AQ834" s="486" t="s">
        <v>37</v>
      </c>
      <c r="AR834" s="486"/>
      <c r="AS834" s="495"/>
      <c r="AT834" s="495"/>
      <c r="AU834" s="478"/>
      <c r="AV834" s="471">
        <f t="shared" si="181"/>
        <v>49204132</v>
      </c>
      <c r="AW834" s="471" cm="1">
        <f t="array" ref="AW834">SUM(MID(0&amp;AV834,LARGE(INDEX(ISNUMBER(--MID(AV834,ROW($1:$8),1))*ROW($1:$8),),ROW($1:$8))+1,1)*10^ROW($1:$8)/10)</f>
        <v>49204132</v>
      </c>
      <c r="AX834" s="471" t="str">
        <f>VLOOKUP($AW834,'Item Master Data'!$A:$F,3,FALSE)</f>
        <v>Q.PEAK DUO BLK G10+/AC</v>
      </c>
      <c r="AY834" s="471">
        <f>VLOOKUP($AW834,'Item Master Data'!$A:$F,6,FALSE)</f>
        <v>360</v>
      </c>
      <c r="AZ834" s="471">
        <f t="shared" si="182"/>
        <v>6</v>
      </c>
      <c r="BA834" s="471">
        <f>VLOOKUP(AW834,'Item Master Data'!$A:$G,7,FALSE)</f>
        <v>26</v>
      </c>
      <c r="BB834" s="471"/>
      <c r="BC834" s="471">
        <f t="shared" si="183"/>
        <v>0</v>
      </c>
    </row>
    <row r="835" spans="1:55">
      <c r="A835" s="472"/>
      <c r="B835" s="514"/>
      <c r="C835" s="514"/>
      <c r="D835" s="485" t="s">
        <v>2322</v>
      </c>
      <c r="E835" s="474"/>
      <c r="F835" s="474"/>
      <c r="G835" s="474">
        <v>2022</v>
      </c>
      <c r="H835" s="474">
        <v>12</v>
      </c>
      <c r="I835" s="485"/>
      <c r="J835" s="475"/>
      <c r="K835" s="483" t="s">
        <v>2883</v>
      </c>
      <c r="L835" s="474" t="s">
        <v>2459</v>
      </c>
      <c r="M835" s="487">
        <v>44511</v>
      </c>
      <c r="N835" s="487">
        <v>44564</v>
      </c>
      <c r="O835" s="487"/>
      <c r="P835" s="475"/>
      <c r="Q835" s="475"/>
      <c r="R835" s="475"/>
      <c r="S835" s="474" t="s">
        <v>1563</v>
      </c>
      <c r="T835" s="474">
        <v>60</v>
      </c>
      <c r="U835" s="474">
        <v>49401140</v>
      </c>
      <c r="V835" s="474" t="s">
        <v>2525</v>
      </c>
      <c r="W835" s="474">
        <v>400</v>
      </c>
      <c r="X835" s="476">
        <v>768</v>
      </c>
      <c r="Y835" s="477">
        <f t="shared" si="184"/>
        <v>307200</v>
      </c>
      <c r="Z835" s="478">
        <f t="shared" ref="Z835:Z864" si="187">210/400</f>
        <v>0.52500000000000002</v>
      </c>
      <c r="AA835" s="479">
        <f t="shared" si="185"/>
        <v>161280</v>
      </c>
      <c r="AB835" s="480"/>
      <c r="AC835" s="481">
        <v>0</v>
      </c>
      <c r="AD835" s="490"/>
      <c r="AE835" s="482"/>
      <c r="AF835" s="493">
        <f t="shared" si="186"/>
        <v>161280</v>
      </c>
      <c r="AG835" s="474" t="s">
        <v>1071</v>
      </c>
      <c r="AH835" s="474"/>
      <c r="AI835" s="483">
        <v>60</v>
      </c>
      <c r="AJ835" s="474" t="s">
        <v>2621</v>
      </c>
      <c r="AK835" s="494" t="s">
        <v>1144</v>
      </c>
      <c r="AL835" s="474">
        <v>78216</v>
      </c>
      <c r="AM835" s="474" t="s">
        <v>52</v>
      </c>
      <c r="AN835" s="474"/>
      <c r="AO835" s="474"/>
      <c r="AP835" s="486"/>
      <c r="AQ835" s="486" t="s">
        <v>37</v>
      </c>
      <c r="AR835" s="486"/>
      <c r="AS835" s="495"/>
      <c r="AT835" s="495"/>
      <c r="AU835" s="478"/>
      <c r="AV835" s="471">
        <f t="shared" si="181"/>
        <v>49401140</v>
      </c>
      <c r="AW835" s="471" cm="1">
        <f t="array" ref="AW835">SUM(MID(0&amp;AV835,LARGE(INDEX(ISNUMBER(--MID(AV835,ROW($1:$8),1))*ROW($1:$8),),ROW($1:$8))+1,1)*10^ROW($1:$8)/10)</f>
        <v>49401140</v>
      </c>
      <c r="AX835" s="471" t="str">
        <f>VLOOKUP($AW835,'Item Master Data'!$A:$F,3,FALSE)</f>
        <v>Q.PEAK DUO BLK ML G10.a+</v>
      </c>
      <c r="AY835" s="471">
        <f>VLOOKUP($AW835,'Item Master Data'!$A:$F,6,FALSE)</f>
        <v>400</v>
      </c>
      <c r="AZ835" s="471">
        <f t="shared" si="182"/>
        <v>24</v>
      </c>
      <c r="BA835" s="471">
        <f>VLOOKUP(AW835,'Item Master Data'!$A:$G,7,FALSE)</f>
        <v>32</v>
      </c>
      <c r="BB835" s="471"/>
      <c r="BC835" s="471">
        <f t="shared" si="183"/>
        <v>0</v>
      </c>
    </row>
    <row r="836" spans="1:55">
      <c r="A836" s="472"/>
      <c r="B836" s="514"/>
      <c r="C836" s="514"/>
      <c r="D836" s="485" t="s">
        <v>2322</v>
      </c>
      <c r="E836" s="474"/>
      <c r="F836" s="474"/>
      <c r="G836" s="474">
        <v>2022</v>
      </c>
      <c r="H836" s="474">
        <v>12</v>
      </c>
      <c r="I836" s="485"/>
      <c r="J836" s="475"/>
      <c r="K836" s="483" t="s">
        <v>2884</v>
      </c>
      <c r="L836" s="474" t="s">
        <v>2459</v>
      </c>
      <c r="M836" s="487">
        <v>44511</v>
      </c>
      <c r="N836" s="487">
        <v>44564</v>
      </c>
      <c r="O836" s="487"/>
      <c r="P836" s="475"/>
      <c r="Q836" s="475"/>
      <c r="R836" s="475"/>
      <c r="S836" s="474" t="s">
        <v>1563</v>
      </c>
      <c r="T836" s="474">
        <v>60</v>
      </c>
      <c r="U836" s="474">
        <v>49401140</v>
      </c>
      <c r="V836" s="474" t="s">
        <v>2525</v>
      </c>
      <c r="W836" s="474">
        <v>400</v>
      </c>
      <c r="X836" s="476">
        <v>768</v>
      </c>
      <c r="Y836" s="477">
        <f t="shared" si="184"/>
        <v>307200</v>
      </c>
      <c r="Z836" s="478">
        <f t="shared" si="187"/>
        <v>0.52500000000000002</v>
      </c>
      <c r="AA836" s="479">
        <f t="shared" si="185"/>
        <v>161280</v>
      </c>
      <c r="AB836" s="480"/>
      <c r="AC836" s="481">
        <v>0</v>
      </c>
      <c r="AD836" s="490"/>
      <c r="AE836" s="482"/>
      <c r="AF836" s="493">
        <f t="shared" si="186"/>
        <v>161280</v>
      </c>
      <c r="AG836" s="474" t="s">
        <v>1071</v>
      </c>
      <c r="AH836" s="474"/>
      <c r="AI836" s="483">
        <v>60</v>
      </c>
      <c r="AJ836" s="474" t="s">
        <v>2621</v>
      </c>
      <c r="AK836" s="494" t="s">
        <v>1144</v>
      </c>
      <c r="AL836" s="474">
        <v>78216</v>
      </c>
      <c r="AM836" s="474" t="s">
        <v>52</v>
      </c>
      <c r="AN836" s="474"/>
      <c r="AO836" s="474"/>
      <c r="AP836" s="486"/>
      <c r="AQ836" s="486" t="s">
        <v>37</v>
      </c>
      <c r="AR836" s="486"/>
      <c r="AS836" s="495"/>
      <c r="AT836" s="495"/>
      <c r="AU836" s="478"/>
      <c r="AV836" s="471">
        <f t="shared" si="181"/>
        <v>49401140</v>
      </c>
      <c r="AW836" s="471" cm="1">
        <f t="array" ref="AW836">SUM(MID(0&amp;AV836,LARGE(INDEX(ISNUMBER(--MID(AV836,ROW($1:$8),1))*ROW($1:$8),),ROW($1:$8))+1,1)*10^ROW($1:$8)/10)</f>
        <v>49401140</v>
      </c>
      <c r="AX836" s="471" t="str">
        <f>VLOOKUP($AW836,'Item Master Data'!$A:$F,3,FALSE)</f>
        <v>Q.PEAK DUO BLK ML G10.a+</v>
      </c>
      <c r="AY836" s="471">
        <f>VLOOKUP($AW836,'Item Master Data'!$A:$F,6,FALSE)</f>
        <v>400</v>
      </c>
      <c r="AZ836" s="471">
        <f t="shared" si="182"/>
        <v>24</v>
      </c>
      <c r="BA836" s="471">
        <f>VLOOKUP(AW836,'Item Master Data'!$A:$G,7,FALSE)</f>
        <v>32</v>
      </c>
      <c r="BB836" s="471"/>
      <c r="BC836" s="471">
        <f t="shared" si="183"/>
        <v>0</v>
      </c>
    </row>
    <row r="837" spans="1:55">
      <c r="A837" s="472"/>
      <c r="B837" s="514"/>
      <c r="C837" s="514"/>
      <c r="D837" s="485" t="s">
        <v>2322</v>
      </c>
      <c r="E837" s="474" t="s">
        <v>2619</v>
      </c>
      <c r="F837" s="474"/>
      <c r="G837" s="474">
        <v>2022</v>
      </c>
      <c r="H837" s="474">
        <v>6</v>
      </c>
      <c r="I837" s="485"/>
      <c r="J837" s="475"/>
      <c r="K837" s="483" t="s">
        <v>2620</v>
      </c>
      <c r="L837" s="474" t="s">
        <v>2459</v>
      </c>
      <c r="M837" s="487">
        <v>44511</v>
      </c>
      <c r="N837" s="487">
        <v>44564</v>
      </c>
      <c r="O837" s="487"/>
      <c r="P837" s="475"/>
      <c r="Q837" s="475"/>
      <c r="R837" s="475"/>
      <c r="S837" s="474" t="s">
        <v>1563</v>
      </c>
      <c r="T837" s="474">
        <v>60</v>
      </c>
      <c r="U837" s="474">
        <v>49401140</v>
      </c>
      <c r="V837" s="474" t="s">
        <v>2525</v>
      </c>
      <c r="W837" s="474">
        <v>400</v>
      </c>
      <c r="X837" s="476">
        <v>768</v>
      </c>
      <c r="Y837" s="477">
        <f t="shared" si="184"/>
        <v>307200</v>
      </c>
      <c r="Z837" s="478">
        <f t="shared" si="187"/>
        <v>0.52500000000000002</v>
      </c>
      <c r="AA837" s="479">
        <f t="shared" si="185"/>
        <v>161280</v>
      </c>
      <c r="AB837" s="480"/>
      <c r="AC837" s="481">
        <v>0</v>
      </c>
      <c r="AD837" s="490"/>
      <c r="AE837" s="482"/>
      <c r="AF837" s="493">
        <f t="shared" si="186"/>
        <v>161280</v>
      </c>
      <c r="AG837" s="474" t="s">
        <v>1071</v>
      </c>
      <c r="AH837" s="474"/>
      <c r="AI837" s="483">
        <v>60</v>
      </c>
      <c r="AJ837" s="474" t="s">
        <v>2621</v>
      </c>
      <c r="AK837" s="494" t="s">
        <v>1144</v>
      </c>
      <c r="AL837" s="474">
        <v>78216</v>
      </c>
      <c r="AM837" s="474" t="s">
        <v>52</v>
      </c>
      <c r="AN837" s="474"/>
      <c r="AO837" s="474"/>
      <c r="AP837" s="486"/>
      <c r="AQ837" s="486" t="s">
        <v>37</v>
      </c>
      <c r="AR837" s="486"/>
      <c r="AS837" s="495"/>
      <c r="AT837" s="495"/>
      <c r="AU837" s="478"/>
      <c r="AV837" s="471">
        <f t="shared" si="181"/>
        <v>49401140</v>
      </c>
      <c r="AW837" s="471" cm="1">
        <f t="array" ref="AW837">SUM(MID(0&amp;AV837,LARGE(INDEX(ISNUMBER(--MID(AV837,ROW($1:$8),1))*ROW($1:$8),),ROW($1:$8))+1,1)*10^ROW($1:$8)/10)</f>
        <v>49401140</v>
      </c>
      <c r="AX837" s="471" t="str">
        <f>VLOOKUP($AW837,'Item Master Data'!$A:$F,3,FALSE)</f>
        <v>Q.PEAK DUO BLK ML G10.a+</v>
      </c>
      <c r="AY837" s="471">
        <f>VLOOKUP($AW837,'Item Master Data'!$A:$F,6,FALSE)</f>
        <v>400</v>
      </c>
      <c r="AZ837" s="471">
        <f t="shared" si="182"/>
        <v>24</v>
      </c>
      <c r="BA837" s="471">
        <f>VLOOKUP(AW837,'Item Master Data'!$A:$G,7,FALSE)</f>
        <v>32</v>
      </c>
      <c r="BB837" s="471"/>
      <c r="BC837" s="471">
        <f t="shared" si="183"/>
        <v>0</v>
      </c>
    </row>
    <row r="838" spans="1:55">
      <c r="A838" s="472"/>
      <c r="B838" s="514"/>
      <c r="C838" s="514"/>
      <c r="D838" s="485" t="s">
        <v>2322</v>
      </c>
      <c r="E838" s="474" t="s">
        <v>2619</v>
      </c>
      <c r="F838" s="474"/>
      <c r="G838" s="474">
        <v>2022</v>
      </c>
      <c r="H838" s="474">
        <v>6</v>
      </c>
      <c r="I838" s="485"/>
      <c r="J838" s="475"/>
      <c r="K838" s="483" t="s">
        <v>2622</v>
      </c>
      <c r="L838" s="474" t="s">
        <v>2459</v>
      </c>
      <c r="M838" s="487">
        <v>44511</v>
      </c>
      <c r="N838" s="487">
        <v>44596</v>
      </c>
      <c r="O838" s="487"/>
      <c r="P838" s="475"/>
      <c r="Q838" s="475"/>
      <c r="R838" s="475"/>
      <c r="S838" s="474" t="s">
        <v>1563</v>
      </c>
      <c r="T838" s="474">
        <v>60</v>
      </c>
      <c r="U838" s="474">
        <v>49401140</v>
      </c>
      <c r="V838" s="474" t="s">
        <v>2525</v>
      </c>
      <c r="W838" s="474">
        <v>400</v>
      </c>
      <c r="X838" s="476">
        <v>768</v>
      </c>
      <c r="Y838" s="477">
        <f t="shared" si="184"/>
        <v>307200</v>
      </c>
      <c r="Z838" s="478">
        <f t="shared" si="187"/>
        <v>0.52500000000000002</v>
      </c>
      <c r="AA838" s="479">
        <f t="shared" si="185"/>
        <v>161280</v>
      </c>
      <c r="AB838" s="480"/>
      <c r="AC838" s="481">
        <v>0</v>
      </c>
      <c r="AD838" s="490"/>
      <c r="AE838" s="482"/>
      <c r="AF838" s="493">
        <f t="shared" si="186"/>
        <v>161280</v>
      </c>
      <c r="AG838" s="474" t="s">
        <v>1071</v>
      </c>
      <c r="AH838" s="474"/>
      <c r="AI838" s="483">
        <v>60</v>
      </c>
      <c r="AJ838" s="474" t="s">
        <v>2621</v>
      </c>
      <c r="AK838" s="494" t="s">
        <v>1144</v>
      </c>
      <c r="AL838" s="474">
        <v>78216</v>
      </c>
      <c r="AM838" s="474" t="s">
        <v>52</v>
      </c>
      <c r="AN838" s="474"/>
      <c r="AO838" s="474"/>
      <c r="AP838" s="486"/>
      <c r="AQ838" s="486" t="s">
        <v>37</v>
      </c>
      <c r="AR838" s="486"/>
      <c r="AS838" s="495"/>
      <c r="AT838" s="495"/>
      <c r="AU838" s="478"/>
      <c r="AV838" s="471">
        <f t="shared" si="181"/>
        <v>49401140</v>
      </c>
      <c r="AW838" s="471" cm="1">
        <f t="array" ref="AW838">SUM(MID(0&amp;AV838,LARGE(INDEX(ISNUMBER(--MID(AV838,ROW($1:$8),1))*ROW($1:$8),),ROW($1:$8))+1,1)*10^ROW($1:$8)/10)</f>
        <v>49401140</v>
      </c>
      <c r="AX838" s="471" t="str">
        <f>VLOOKUP($AW838,'Item Master Data'!$A:$F,3,FALSE)</f>
        <v>Q.PEAK DUO BLK ML G10.a+</v>
      </c>
      <c r="AY838" s="471">
        <f>VLOOKUP($AW838,'Item Master Data'!$A:$F,6,FALSE)</f>
        <v>400</v>
      </c>
      <c r="AZ838" s="471">
        <f t="shared" si="182"/>
        <v>24</v>
      </c>
      <c r="BA838" s="471">
        <f>VLOOKUP(AW838,'Item Master Data'!$A:$G,7,FALSE)</f>
        <v>32</v>
      </c>
      <c r="BB838" s="471"/>
      <c r="BC838" s="471">
        <f t="shared" si="183"/>
        <v>0</v>
      </c>
    </row>
    <row r="839" spans="1:55">
      <c r="A839" s="472"/>
      <c r="B839" s="514"/>
      <c r="C839" s="514"/>
      <c r="D839" s="485" t="s">
        <v>2322</v>
      </c>
      <c r="E839" s="474" t="s">
        <v>2619</v>
      </c>
      <c r="F839" s="474"/>
      <c r="G839" s="474">
        <v>2022</v>
      </c>
      <c r="H839" s="474">
        <v>6</v>
      </c>
      <c r="I839" s="485"/>
      <c r="J839" s="475"/>
      <c r="K839" s="483" t="s">
        <v>2623</v>
      </c>
      <c r="L839" s="474" t="s">
        <v>2459</v>
      </c>
      <c r="M839" s="487">
        <v>44511</v>
      </c>
      <c r="N839" s="487">
        <v>44596</v>
      </c>
      <c r="O839" s="487"/>
      <c r="P839" s="475"/>
      <c r="Q839" s="475"/>
      <c r="R839" s="475"/>
      <c r="S839" s="474" t="s">
        <v>1563</v>
      </c>
      <c r="T839" s="474">
        <v>60</v>
      </c>
      <c r="U839" s="474">
        <v>49401140</v>
      </c>
      <c r="V839" s="474" t="s">
        <v>2525</v>
      </c>
      <c r="W839" s="474">
        <v>400</v>
      </c>
      <c r="X839" s="476">
        <v>768</v>
      </c>
      <c r="Y839" s="477">
        <f t="shared" si="184"/>
        <v>307200</v>
      </c>
      <c r="Z839" s="478">
        <f t="shared" si="187"/>
        <v>0.52500000000000002</v>
      </c>
      <c r="AA839" s="479">
        <f t="shared" si="185"/>
        <v>161280</v>
      </c>
      <c r="AB839" s="480"/>
      <c r="AC839" s="481">
        <v>0</v>
      </c>
      <c r="AD839" s="490"/>
      <c r="AE839" s="482"/>
      <c r="AF839" s="493">
        <f t="shared" si="186"/>
        <v>161280</v>
      </c>
      <c r="AG839" s="474" t="s">
        <v>1071</v>
      </c>
      <c r="AH839" s="474"/>
      <c r="AI839" s="483">
        <v>60</v>
      </c>
      <c r="AJ839" s="474" t="s">
        <v>2621</v>
      </c>
      <c r="AK839" s="494" t="s">
        <v>1144</v>
      </c>
      <c r="AL839" s="474">
        <v>78216</v>
      </c>
      <c r="AM839" s="474" t="s">
        <v>52</v>
      </c>
      <c r="AN839" s="474"/>
      <c r="AO839" s="474"/>
      <c r="AP839" s="486"/>
      <c r="AQ839" s="486" t="s">
        <v>37</v>
      </c>
      <c r="AR839" s="486"/>
      <c r="AS839" s="495"/>
      <c r="AT839" s="495"/>
      <c r="AU839" s="478"/>
      <c r="AV839" s="471">
        <f t="shared" si="181"/>
        <v>49401140</v>
      </c>
      <c r="AW839" s="471" cm="1">
        <f t="array" ref="AW839">SUM(MID(0&amp;AV839,LARGE(INDEX(ISNUMBER(--MID(AV839,ROW($1:$8),1))*ROW($1:$8),),ROW($1:$8))+1,1)*10^ROW($1:$8)/10)</f>
        <v>49401140</v>
      </c>
      <c r="AX839" s="471" t="str">
        <f>VLOOKUP($AW839,'Item Master Data'!$A:$F,3,FALSE)</f>
        <v>Q.PEAK DUO BLK ML G10.a+</v>
      </c>
      <c r="AY839" s="471">
        <f>VLOOKUP($AW839,'Item Master Data'!$A:$F,6,FALSE)</f>
        <v>400</v>
      </c>
      <c r="AZ839" s="471">
        <f t="shared" si="182"/>
        <v>24</v>
      </c>
      <c r="BA839" s="471">
        <f>VLOOKUP(AW839,'Item Master Data'!$A:$G,7,FALSE)</f>
        <v>32</v>
      </c>
      <c r="BB839" s="471"/>
      <c r="BC839" s="471">
        <f t="shared" si="183"/>
        <v>0</v>
      </c>
    </row>
    <row r="840" spans="1:55">
      <c r="A840" s="472"/>
      <c r="B840" s="514"/>
      <c r="C840" s="514"/>
      <c r="D840" s="485" t="s">
        <v>2322</v>
      </c>
      <c r="E840" s="474" t="s">
        <v>2619</v>
      </c>
      <c r="F840" s="474"/>
      <c r="G840" s="474">
        <v>2022</v>
      </c>
      <c r="H840" s="474">
        <v>6</v>
      </c>
      <c r="I840" s="485"/>
      <c r="J840" s="475"/>
      <c r="K840" s="483" t="s">
        <v>2624</v>
      </c>
      <c r="L840" s="474" t="s">
        <v>2459</v>
      </c>
      <c r="M840" s="487">
        <v>44511</v>
      </c>
      <c r="N840" s="487">
        <v>44596</v>
      </c>
      <c r="O840" s="487"/>
      <c r="P840" s="475"/>
      <c r="Q840" s="475"/>
      <c r="R840" s="475"/>
      <c r="S840" s="474" t="s">
        <v>1563</v>
      </c>
      <c r="T840" s="474">
        <v>60</v>
      </c>
      <c r="U840" s="474">
        <v>49401140</v>
      </c>
      <c r="V840" s="474" t="s">
        <v>2525</v>
      </c>
      <c r="W840" s="474">
        <v>400</v>
      </c>
      <c r="X840" s="476">
        <v>768</v>
      </c>
      <c r="Y840" s="477">
        <f t="shared" si="184"/>
        <v>307200</v>
      </c>
      <c r="Z840" s="478">
        <f t="shared" si="187"/>
        <v>0.52500000000000002</v>
      </c>
      <c r="AA840" s="479">
        <f t="shared" si="185"/>
        <v>161280</v>
      </c>
      <c r="AB840" s="480"/>
      <c r="AC840" s="481">
        <v>0</v>
      </c>
      <c r="AD840" s="490"/>
      <c r="AE840" s="482"/>
      <c r="AF840" s="493">
        <f t="shared" si="186"/>
        <v>161280</v>
      </c>
      <c r="AG840" s="474" t="s">
        <v>1071</v>
      </c>
      <c r="AH840" s="474"/>
      <c r="AI840" s="483">
        <v>60</v>
      </c>
      <c r="AJ840" s="474" t="s">
        <v>2621</v>
      </c>
      <c r="AK840" s="494" t="s">
        <v>1144</v>
      </c>
      <c r="AL840" s="474">
        <v>78216</v>
      </c>
      <c r="AM840" s="474" t="s">
        <v>52</v>
      </c>
      <c r="AN840" s="474"/>
      <c r="AO840" s="474"/>
      <c r="AP840" s="486"/>
      <c r="AQ840" s="486" t="s">
        <v>37</v>
      </c>
      <c r="AR840" s="486"/>
      <c r="AS840" s="495"/>
      <c r="AT840" s="495"/>
      <c r="AU840" s="478"/>
      <c r="AV840" s="471">
        <f t="shared" si="181"/>
        <v>49401140</v>
      </c>
      <c r="AW840" s="471" cm="1">
        <f t="array" ref="AW840">SUM(MID(0&amp;AV840,LARGE(INDEX(ISNUMBER(--MID(AV840,ROW($1:$8),1))*ROW($1:$8),),ROW($1:$8))+1,1)*10^ROW($1:$8)/10)</f>
        <v>49401140</v>
      </c>
      <c r="AX840" s="471" t="str">
        <f>VLOOKUP($AW840,'Item Master Data'!$A:$F,3,FALSE)</f>
        <v>Q.PEAK DUO BLK ML G10.a+</v>
      </c>
      <c r="AY840" s="471">
        <f>VLOOKUP($AW840,'Item Master Data'!$A:$F,6,FALSE)</f>
        <v>400</v>
      </c>
      <c r="AZ840" s="471">
        <f t="shared" si="182"/>
        <v>24</v>
      </c>
      <c r="BA840" s="471">
        <f>VLOOKUP(AW840,'Item Master Data'!$A:$G,7,FALSE)</f>
        <v>32</v>
      </c>
      <c r="BB840" s="471"/>
      <c r="BC840" s="471">
        <f t="shared" si="183"/>
        <v>0</v>
      </c>
    </row>
    <row r="841" spans="1:55">
      <c r="A841" s="472"/>
      <c r="B841" s="514"/>
      <c r="C841" s="514"/>
      <c r="D841" s="485" t="s">
        <v>2322</v>
      </c>
      <c r="E841" s="474" t="s">
        <v>2619</v>
      </c>
      <c r="F841" s="474"/>
      <c r="G841" s="474">
        <v>2022</v>
      </c>
      <c r="H841" s="474">
        <v>6</v>
      </c>
      <c r="I841" s="485"/>
      <c r="J841" s="475"/>
      <c r="K841" s="483" t="s">
        <v>2625</v>
      </c>
      <c r="L841" s="474" t="s">
        <v>2459</v>
      </c>
      <c r="M841" s="487">
        <v>44511</v>
      </c>
      <c r="N841" s="487">
        <v>44596</v>
      </c>
      <c r="O841" s="487"/>
      <c r="P841" s="475"/>
      <c r="Q841" s="475"/>
      <c r="R841" s="475"/>
      <c r="S841" s="474" t="s">
        <v>1563</v>
      </c>
      <c r="T841" s="474">
        <v>60</v>
      </c>
      <c r="U841" s="474">
        <v>49401140</v>
      </c>
      <c r="V841" s="474" t="s">
        <v>2525</v>
      </c>
      <c r="W841" s="474">
        <v>400</v>
      </c>
      <c r="X841" s="476">
        <v>768</v>
      </c>
      <c r="Y841" s="477">
        <f t="shared" si="184"/>
        <v>307200</v>
      </c>
      <c r="Z841" s="478">
        <f t="shared" si="187"/>
        <v>0.52500000000000002</v>
      </c>
      <c r="AA841" s="479">
        <f t="shared" si="185"/>
        <v>161280</v>
      </c>
      <c r="AB841" s="480"/>
      <c r="AC841" s="481">
        <v>0</v>
      </c>
      <c r="AD841" s="490"/>
      <c r="AE841" s="482"/>
      <c r="AF841" s="493">
        <f t="shared" si="186"/>
        <v>161280</v>
      </c>
      <c r="AG841" s="474" t="s">
        <v>1071</v>
      </c>
      <c r="AH841" s="474"/>
      <c r="AI841" s="483">
        <v>60</v>
      </c>
      <c r="AJ841" s="474" t="s">
        <v>2621</v>
      </c>
      <c r="AK841" s="494" t="s">
        <v>1144</v>
      </c>
      <c r="AL841" s="474">
        <v>78216</v>
      </c>
      <c r="AM841" s="474" t="s">
        <v>52</v>
      </c>
      <c r="AN841" s="474"/>
      <c r="AO841" s="474"/>
      <c r="AP841" s="486"/>
      <c r="AQ841" s="486" t="s">
        <v>37</v>
      </c>
      <c r="AR841" s="486"/>
      <c r="AS841" s="495"/>
      <c r="AT841" s="495"/>
      <c r="AU841" s="478"/>
      <c r="AV841" s="471">
        <f t="shared" si="181"/>
        <v>49401140</v>
      </c>
      <c r="AW841" s="471" cm="1">
        <f t="array" ref="AW841">SUM(MID(0&amp;AV841,LARGE(INDEX(ISNUMBER(--MID(AV841,ROW($1:$8),1))*ROW($1:$8),),ROW($1:$8))+1,1)*10^ROW($1:$8)/10)</f>
        <v>49401140</v>
      </c>
      <c r="AX841" s="471" t="str">
        <f>VLOOKUP($AW841,'Item Master Data'!$A:$F,3,FALSE)</f>
        <v>Q.PEAK DUO BLK ML G10.a+</v>
      </c>
      <c r="AY841" s="471">
        <f>VLOOKUP($AW841,'Item Master Data'!$A:$F,6,FALSE)</f>
        <v>400</v>
      </c>
      <c r="AZ841" s="471">
        <f t="shared" si="182"/>
        <v>24</v>
      </c>
      <c r="BA841" s="471">
        <f>VLOOKUP(AW841,'Item Master Data'!$A:$G,7,FALSE)</f>
        <v>32</v>
      </c>
      <c r="BB841" s="471"/>
      <c r="BC841" s="471">
        <f t="shared" si="183"/>
        <v>0</v>
      </c>
    </row>
    <row r="842" spans="1:55">
      <c r="A842" s="472"/>
      <c r="B842" s="514"/>
      <c r="C842" s="514"/>
      <c r="D842" s="485" t="s">
        <v>2322</v>
      </c>
      <c r="E842" s="474" t="s">
        <v>2619</v>
      </c>
      <c r="F842" s="474"/>
      <c r="G842" s="474">
        <v>2022</v>
      </c>
      <c r="H842" s="474">
        <v>6</v>
      </c>
      <c r="I842" s="485"/>
      <c r="J842" s="475"/>
      <c r="K842" s="483" t="s">
        <v>2626</v>
      </c>
      <c r="L842" s="474" t="s">
        <v>2459</v>
      </c>
      <c r="M842" s="487">
        <v>44511</v>
      </c>
      <c r="N842" s="487">
        <v>44596</v>
      </c>
      <c r="O842" s="487"/>
      <c r="P842" s="475"/>
      <c r="Q842" s="475"/>
      <c r="R842" s="475"/>
      <c r="S842" s="474" t="s">
        <v>1563</v>
      </c>
      <c r="T842" s="474">
        <v>60</v>
      </c>
      <c r="U842" s="474">
        <v>49401140</v>
      </c>
      <c r="V842" s="474" t="s">
        <v>2525</v>
      </c>
      <c r="W842" s="474">
        <v>400</v>
      </c>
      <c r="X842" s="476">
        <v>768</v>
      </c>
      <c r="Y842" s="477">
        <f t="shared" si="184"/>
        <v>307200</v>
      </c>
      <c r="Z842" s="478">
        <f t="shared" si="187"/>
        <v>0.52500000000000002</v>
      </c>
      <c r="AA842" s="479">
        <f t="shared" si="185"/>
        <v>161280</v>
      </c>
      <c r="AB842" s="480"/>
      <c r="AC842" s="481">
        <v>0</v>
      </c>
      <c r="AD842" s="490"/>
      <c r="AE842" s="482"/>
      <c r="AF842" s="493">
        <f t="shared" si="186"/>
        <v>161280</v>
      </c>
      <c r="AG842" s="474" t="s">
        <v>1071</v>
      </c>
      <c r="AH842" s="474"/>
      <c r="AI842" s="483">
        <v>60</v>
      </c>
      <c r="AJ842" s="474" t="s">
        <v>2621</v>
      </c>
      <c r="AK842" s="494" t="s">
        <v>1144</v>
      </c>
      <c r="AL842" s="474">
        <v>78216</v>
      </c>
      <c r="AM842" s="474" t="s">
        <v>52</v>
      </c>
      <c r="AN842" s="474"/>
      <c r="AO842" s="474"/>
      <c r="AP842" s="486"/>
      <c r="AQ842" s="486" t="s">
        <v>37</v>
      </c>
      <c r="AR842" s="486"/>
      <c r="AS842" s="495"/>
      <c r="AT842" s="495"/>
      <c r="AU842" s="478"/>
      <c r="AV842" s="471">
        <f t="shared" si="181"/>
        <v>49401140</v>
      </c>
      <c r="AW842" s="471" cm="1">
        <f t="array" ref="AW842">SUM(MID(0&amp;AV842,LARGE(INDEX(ISNUMBER(--MID(AV842,ROW($1:$8),1))*ROW($1:$8),),ROW($1:$8))+1,1)*10^ROW($1:$8)/10)</f>
        <v>49401140</v>
      </c>
      <c r="AX842" s="471" t="str">
        <f>VLOOKUP($AW842,'Item Master Data'!$A:$F,3,FALSE)</f>
        <v>Q.PEAK DUO BLK ML G10.a+</v>
      </c>
      <c r="AY842" s="471">
        <f>VLOOKUP($AW842,'Item Master Data'!$A:$F,6,FALSE)</f>
        <v>400</v>
      </c>
      <c r="AZ842" s="471">
        <f t="shared" si="182"/>
        <v>24</v>
      </c>
      <c r="BA842" s="471">
        <f>VLOOKUP(AW842,'Item Master Data'!$A:$G,7,FALSE)</f>
        <v>32</v>
      </c>
      <c r="BB842" s="471"/>
      <c r="BC842" s="471">
        <f t="shared" si="183"/>
        <v>0</v>
      </c>
    </row>
    <row r="843" spans="1:55">
      <c r="A843" s="472"/>
      <c r="B843" s="514"/>
      <c r="C843" s="514"/>
      <c r="D843" s="485" t="s">
        <v>2322</v>
      </c>
      <c r="E843" s="474" t="s">
        <v>2619</v>
      </c>
      <c r="F843" s="474"/>
      <c r="G843" s="474">
        <v>2022</v>
      </c>
      <c r="H843" s="474">
        <v>6</v>
      </c>
      <c r="I843" s="485"/>
      <c r="J843" s="475"/>
      <c r="K843" s="483" t="s">
        <v>2627</v>
      </c>
      <c r="L843" s="474" t="s">
        <v>2459</v>
      </c>
      <c r="M843" s="487">
        <v>44511</v>
      </c>
      <c r="N843" s="487">
        <v>44625</v>
      </c>
      <c r="O843" s="487"/>
      <c r="P843" s="475"/>
      <c r="Q843" s="475"/>
      <c r="R843" s="475"/>
      <c r="S843" s="474" t="s">
        <v>1563</v>
      </c>
      <c r="T843" s="474">
        <v>60</v>
      </c>
      <c r="U843" s="474">
        <v>49401140</v>
      </c>
      <c r="V843" s="474" t="s">
        <v>2525</v>
      </c>
      <c r="W843" s="474">
        <v>400</v>
      </c>
      <c r="X843" s="476">
        <v>768</v>
      </c>
      <c r="Y843" s="477">
        <f t="shared" si="184"/>
        <v>307200</v>
      </c>
      <c r="Z843" s="478">
        <f t="shared" si="187"/>
        <v>0.52500000000000002</v>
      </c>
      <c r="AA843" s="479">
        <f t="shared" si="185"/>
        <v>161280</v>
      </c>
      <c r="AB843" s="480"/>
      <c r="AC843" s="481">
        <v>0</v>
      </c>
      <c r="AD843" s="490"/>
      <c r="AE843" s="482"/>
      <c r="AF843" s="493">
        <f t="shared" si="186"/>
        <v>161280</v>
      </c>
      <c r="AG843" s="474" t="s">
        <v>1071</v>
      </c>
      <c r="AH843" s="474"/>
      <c r="AI843" s="483">
        <v>60</v>
      </c>
      <c r="AJ843" s="474" t="s">
        <v>2621</v>
      </c>
      <c r="AK843" s="494" t="s">
        <v>1144</v>
      </c>
      <c r="AL843" s="474">
        <v>78216</v>
      </c>
      <c r="AM843" s="474" t="s">
        <v>52</v>
      </c>
      <c r="AN843" s="474"/>
      <c r="AO843" s="474"/>
      <c r="AP843" s="486"/>
      <c r="AQ843" s="486" t="s">
        <v>37</v>
      </c>
      <c r="AR843" s="486"/>
      <c r="AS843" s="495"/>
      <c r="AT843" s="495"/>
      <c r="AU843" s="478"/>
      <c r="AV843" s="471">
        <f t="shared" si="181"/>
        <v>49401140</v>
      </c>
      <c r="AW843" s="471" cm="1">
        <f t="array" ref="AW843">SUM(MID(0&amp;AV843,LARGE(INDEX(ISNUMBER(--MID(AV843,ROW($1:$8),1))*ROW($1:$8),),ROW($1:$8))+1,1)*10^ROW($1:$8)/10)</f>
        <v>49401140</v>
      </c>
      <c r="AX843" s="471" t="str">
        <f>VLOOKUP($AW843,'Item Master Data'!$A:$F,3,FALSE)</f>
        <v>Q.PEAK DUO BLK ML G10.a+</v>
      </c>
      <c r="AY843" s="471">
        <f>VLOOKUP($AW843,'Item Master Data'!$A:$F,6,FALSE)</f>
        <v>400</v>
      </c>
      <c r="AZ843" s="471">
        <f t="shared" si="182"/>
        <v>24</v>
      </c>
      <c r="BA843" s="471">
        <f>VLOOKUP(AW843,'Item Master Data'!$A:$G,7,FALSE)</f>
        <v>32</v>
      </c>
      <c r="BB843" s="471"/>
      <c r="BC843" s="471">
        <f t="shared" si="183"/>
        <v>0</v>
      </c>
    </row>
    <row r="844" spans="1:55">
      <c r="A844" s="472"/>
      <c r="B844" s="514"/>
      <c r="C844" s="514"/>
      <c r="D844" s="485" t="s">
        <v>2322</v>
      </c>
      <c r="E844" s="474"/>
      <c r="F844" s="474"/>
      <c r="G844" s="474">
        <v>2022</v>
      </c>
      <c r="H844" s="474">
        <v>7</v>
      </c>
      <c r="I844" s="485"/>
      <c r="J844" s="475"/>
      <c r="K844" s="483" t="s">
        <v>2692</v>
      </c>
      <c r="L844" s="474" t="s">
        <v>2459</v>
      </c>
      <c r="M844" s="487">
        <v>44511</v>
      </c>
      <c r="N844" s="487">
        <v>44625</v>
      </c>
      <c r="O844" s="487"/>
      <c r="P844" s="475"/>
      <c r="Q844" s="475"/>
      <c r="R844" s="475"/>
      <c r="S844" s="474" t="s">
        <v>1563</v>
      </c>
      <c r="T844" s="474">
        <v>60</v>
      </c>
      <c r="U844" s="474">
        <v>49401140</v>
      </c>
      <c r="V844" s="474" t="s">
        <v>2525</v>
      </c>
      <c r="W844" s="474">
        <v>400</v>
      </c>
      <c r="X844" s="476">
        <v>768</v>
      </c>
      <c r="Y844" s="477">
        <f t="shared" si="184"/>
        <v>307200</v>
      </c>
      <c r="Z844" s="478">
        <f t="shared" si="187"/>
        <v>0.52500000000000002</v>
      </c>
      <c r="AA844" s="479">
        <f t="shared" si="185"/>
        <v>161280</v>
      </c>
      <c r="AB844" s="480"/>
      <c r="AC844" s="481">
        <v>0</v>
      </c>
      <c r="AD844" s="490"/>
      <c r="AE844" s="482"/>
      <c r="AF844" s="493">
        <f t="shared" si="186"/>
        <v>161280</v>
      </c>
      <c r="AG844" s="474" t="s">
        <v>1071</v>
      </c>
      <c r="AH844" s="474"/>
      <c r="AI844" s="483">
        <v>60</v>
      </c>
      <c r="AJ844" s="474" t="s">
        <v>2621</v>
      </c>
      <c r="AK844" s="494" t="s">
        <v>1144</v>
      </c>
      <c r="AL844" s="474">
        <v>78216</v>
      </c>
      <c r="AM844" s="474" t="s">
        <v>52</v>
      </c>
      <c r="AN844" s="474"/>
      <c r="AO844" s="474"/>
      <c r="AP844" s="486"/>
      <c r="AQ844" s="486" t="s">
        <v>37</v>
      </c>
      <c r="AR844" s="486"/>
      <c r="AS844" s="495"/>
      <c r="AT844" s="495"/>
      <c r="AU844" s="478"/>
      <c r="AV844" s="471">
        <f t="shared" si="181"/>
        <v>49401140</v>
      </c>
      <c r="AW844" s="471" cm="1">
        <f t="array" ref="AW844">SUM(MID(0&amp;AV844,LARGE(INDEX(ISNUMBER(--MID(AV844,ROW($1:$8),1))*ROW($1:$8),),ROW($1:$8))+1,1)*10^ROW($1:$8)/10)</f>
        <v>49401140</v>
      </c>
      <c r="AX844" s="471" t="str">
        <f>VLOOKUP($AW844,'Item Master Data'!$A:$F,3,FALSE)</f>
        <v>Q.PEAK DUO BLK ML G10.a+</v>
      </c>
      <c r="AY844" s="471">
        <f>VLOOKUP($AW844,'Item Master Data'!$A:$F,6,FALSE)</f>
        <v>400</v>
      </c>
      <c r="AZ844" s="471">
        <f t="shared" si="182"/>
        <v>24</v>
      </c>
      <c r="BA844" s="471">
        <f>VLOOKUP(AW844,'Item Master Data'!$A:$G,7,FALSE)</f>
        <v>32</v>
      </c>
      <c r="BB844" s="471"/>
      <c r="BC844" s="471">
        <f t="shared" si="183"/>
        <v>0</v>
      </c>
    </row>
    <row r="845" spans="1:55">
      <c r="A845" s="472"/>
      <c r="B845" s="514"/>
      <c r="C845" s="514"/>
      <c r="D845" s="485" t="s">
        <v>2322</v>
      </c>
      <c r="E845" s="474"/>
      <c r="F845" s="474"/>
      <c r="G845" s="474">
        <v>2022</v>
      </c>
      <c r="H845" s="474">
        <v>7</v>
      </c>
      <c r="I845" s="485"/>
      <c r="J845" s="475"/>
      <c r="K845" s="483" t="s">
        <v>2693</v>
      </c>
      <c r="L845" s="474" t="s">
        <v>2459</v>
      </c>
      <c r="M845" s="487">
        <v>44511</v>
      </c>
      <c r="N845" s="487">
        <v>44625</v>
      </c>
      <c r="O845" s="487"/>
      <c r="P845" s="475"/>
      <c r="Q845" s="475"/>
      <c r="R845" s="475"/>
      <c r="S845" s="474" t="s">
        <v>1563</v>
      </c>
      <c r="T845" s="474">
        <v>60</v>
      </c>
      <c r="U845" s="474">
        <v>49401140</v>
      </c>
      <c r="V845" s="474" t="s">
        <v>2525</v>
      </c>
      <c r="W845" s="474">
        <v>400</v>
      </c>
      <c r="X845" s="476">
        <v>768</v>
      </c>
      <c r="Y845" s="477">
        <f t="shared" si="184"/>
        <v>307200</v>
      </c>
      <c r="Z845" s="478">
        <f t="shared" si="187"/>
        <v>0.52500000000000002</v>
      </c>
      <c r="AA845" s="479">
        <f t="shared" si="185"/>
        <v>161280</v>
      </c>
      <c r="AB845" s="480"/>
      <c r="AC845" s="481">
        <v>0</v>
      </c>
      <c r="AD845" s="490"/>
      <c r="AE845" s="482"/>
      <c r="AF845" s="493">
        <f t="shared" si="186"/>
        <v>161280</v>
      </c>
      <c r="AG845" s="474" t="s">
        <v>1071</v>
      </c>
      <c r="AH845" s="474"/>
      <c r="AI845" s="483">
        <v>60</v>
      </c>
      <c r="AJ845" s="474" t="s">
        <v>2621</v>
      </c>
      <c r="AK845" s="494" t="s">
        <v>1144</v>
      </c>
      <c r="AL845" s="474">
        <v>78216</v>
      </c>
      <c r="AM845" s="474" t="s">
        <v>52</v>
      </c>
      <c r="AN845" s="474"/>
      <c r="AO845" s="474"/>
      <c r="AP845" s="486"/>
      <c r="AQ845" s="486" t="s">
        <v>37</v>
      </c>
      <c r="AR845" s="486"/>
      <c r="AS845" s="495"/>
      <c r="AT845" s="495"/>
      <c r="AU845" s="478"/>
      <c r="AV845" s="471">
        <f t="shared" si="181"/>
        <v>49401140</v>
      </c>
      <c r="AW845" s="471" cm="1">
        <f t="array" ref="AW845">SUM(MID(0&amp;AV845,LARGE(INDEX(ISNUMBER(--MID(AV845,ROW($1:$8),1))*ROW($1:$8),),ROW($1:$8))+1,1)*10^ROW($1:$8)/10)</f>
        <v>49401140</v>
      </c>
      <c r="AX845" s="471" t="str">
        <f>VLOOKUP($AW845,'Item Master Data'!$A:$F,3,FALSE)</f>
        <v>Q.PEAK DUO BLK ML G10.a+</v>
      </c>
      <c r="AY845" s="471">
        <f>VLOOKUP($AW845,'Item Master Data'!$A:$F,6,FALSE)</f>
        <v>400</v>
      </c>
      <c r="AZ845" s="471">
        <f t="shared" si="182"/>
        <v>24</v>
      </c>
      <c r="BA845" s="471">
        <f>VLOOKUP(AW845,'Item Master Data'!$A:$G,7,FALSE)</f>
        <v>32</v>
      </c>
      <c r="BB845" s="471"/>
      <c r="BC845" s="471">
        <f t="shared" si="183"/>
        <v>0</v>
      </c>
    </row>
    <row r="846" spans="1:55">
      <c r="A846" s="472"/>
      <c r="B846" s="514"/>
      <c r="C846" s="514"/>
      <c r="D846" s="485" t="s">
        <v>2322</v>
      </c>
      <c r="E846" s="474"/>
      <c r="F846" s="474"/>
      <c r="G846" s="474">
        <v>2022</v>
      </c>
      <c r="H846" s="474">
        <v>7</v>
      </c>
      <c r="I846" s="485"/>
      <c r="J846" s="475"/>
      <c r="K846" s="483" t="s">
        <v>2694</v>
      </c>
      <c r="L846" s="474" t="s">
        <v>2459</v>
      </c>
      <c r="M846" s="487">
        <v>44511</v>
      </c>
      <c r="N846" s="487">
        <v>44625</v>
      </c>
      <c r="O846" s="487"/>
      <c r="P846" s="475"/>
      <c r="Q846" s="475"/>
      <c r="R846" s="475"/>
      <c r="S846" s="474" t="s">
        <v>1563</v>
      </c>
      <c r="T846" s="474">
        <v>60</v>
      </c>
      <c r="U846" s="474">
        <v>49401140</v>
      </c>
      <c r="V846" s="474" t="s">
        <v>2525</v>
      </c>
      <c r="W846" s="474">
        <v>400</v>
      </c>
      <c r="X846" s="476">
        <v>768</v>
      </c>
      <c r="Y846" s="477">
        <f t="shared" si="184"/>
        <v>307200</v>
      </c>
      <c r="Z846" s="478">
        <f t="shared" si="187"/>
        <v>0.52500000000000002</v>
      </c>
      <c r="AA846" s="479">
        <f t="shared" si="185"/>
        <v>161280</v>
      </c>
      <c r="AB846" s="480"/>
      <c r="AC846" s="481">
        <v>0</v>
      </c>
      <c r="AD846" s="490"/>
      <c r="AE846" s="482"/>
      <c r="AF846" s="493">
        <f t="shared" si="186"/>
        <v>161280</v>
      </c>
      <c r="AG846" s="474" t="s">
        <v>1071</v>
      </c>
      <c r="AH846" s="474"/>
      <c r="AI846" s="483">
        <v>60</v>
      </c>
      <c r="AJ846" s="474" t="s">
        <v>2621</v>
      </c>
      <c r="AK846" s="494" t="s">
        <v>1144</v>
      </c>
      <c r="AL846" s="474">
        <v>78216</v>
      </c>
      <c r="AM846" s="474" t="s">
        <v>52</v>
      </c>
      <c r="AN846" s="474"/>
      <c r="AO846" s="474"/>
      <c r="AP846" s="486"/>
      <c r="AQ846" s="486" t="s">
        <v>37</v>
      </c>
      <c r="AR846" s="486"/>
      <c r="AS846" s="495"/>
      <c r="AT846" s="495"/>
      <c r="AU846" s="478"/>
      <c r="AV846" s="471">
        <f t="shared" si="181"/>
        <v>49401140</v>
      </c>
      <c r="AW846" s="471" cm="1">
        <f t="array" ref="AW846">SUM(MID(0&amp;AV846,LARGE(INDEX(ISNUMBER(--MID(AV846,ROW($1:$8),1))*ROW($1:$8),),ROW($1:$8))+1,1)*10^ROW($1:$8)/10)</f>
        <v>49401140</v>
      </c>
      <c r="AX846" s="471" t="str">
        <f>VLOOKUP($AW846,'Item Master Data'!$A:$F,3,FALSE)</f>
        <v>Q.PEAK DUO BLK ML G10.a+</v>
      </c>
      <c r="AY846" s="471">
        <f>VLOOKUP($AW846,'Item Master Data'!$A:$F,6,FALSE)</f>
        <v>400</v>
      </c>
      <c r="AZ846" s="471">
        <f t="shared" si="182"/>
        <v>24</v>
      </c>
      <c r="BA846" s="471">
        <f>VLOOKUP(AW846,'Item Master Data'!$A:$G,7,FALSE)</f>
        <v>32</v>
      </c>
      <c r="BB846" s="471"/>
      <c r="BC846" s="471">
        <f t="shared" si="183"/>
        <v>0</v>
      </c>
    </row>
    <row r="847" spans="1:55">
      <c r="A847" s="472"/>
      <c r="B847" s="514"/>
      <c r="C847" s="514"/>
      <c r="D847" s="485" t="s">
        <v>2322</v>
      </c>
      <c r="E847" s="474"/>
      <c r="F847" s="474"/>
      <c r="G847" s="474">
        <v>2022</v>
      </c>
      <c r="H847" s="474">
        <v>6</v>
      </c>
      <c r="I847" s="485"/>
      <c r="J847" s="475"/>
      <c r="K847" s="483" t="s">
        <v>2628</v>
      </c>
      <c r="L847" s="474" t="s">
        <v>2459</v>
      </c>
      <c r="M847" s="487">
        <v>44511</v>
      </c>
      <c r="N847" s="487">
        <v>44625</v>
      </c>
      <c r="O847" s="487"/>
      <c r="P847" s="475"/>
      <c r="Q847" s="475"/>
      <c r="R847" s="475"/>
      <c r="S847" s="474" t="s">
        <v>1563</v>
      </c>
      <c r="T847" s="474">
        <v>60</v>
      </c>
      <c r="U847" s="474">
        <v>49401140</v>
      </c>
      <c r="V847" s="474" t="s">
        <v>2525</v>
      </c>
      <c r="W847" s="474">
        <v>400</v>
      </c>
      <c r="X847" s="476">
        <v>768</v>
      </c>
      <c r="Y847" s="477">
        <f t="shared" si="184"/>
        <v>307200</v>
      </c>
      <c r="Z847" s="478">
        <f t="shared" si="187"/>
        <v>0.52500000000000002</v>
      </c>
      <c r="AA847" s="479">
        <f t="shared" si="185"/>
        <v>161280</v>
      </c>
      <c r="AB847" s="480"/>
      <c r="AC847" s="481">
        <v>0</v>
      </c>
      <c r="AD847" s="490"/>
      <c r="AE847" s="482"/>
      <c r="AF847" s="493">
        <f t="shared" si="186"/>
        <v>161280</v>
      </c>
      <c r="AG847" s="474" t="s">
        <v>1071</v>
      </c>
      <c r="AH847" s="474"/>
      <c r="AI847" s="483">
        <v>60</v>
      </c>
      <c r="AJ847" s="474" t="s">
        <v>2621</v>
      </c>
      <c r="AK847" s="494" t="s">
        <v>1144</v>
      </c>
      <c r="AL847" s="474">
        <v>78216</v>
      </c>
      <c r="AM847" s="474" t="s">
        <v>52</v>
      </c>
      <c r="AN847" s="474"/>
      <c r="AO847" s="474"/>
      <c r="AP847" s="486"/>
      <c r="AQ847" s="486" t="s">
        <v>37</v>
      </c>
      <c r="AR847" s="486"/>
      <c r="AS847" s="495"/>
      <c r="AT847" s="495"/>
      <c r="AU847" s="478"/>
      <c r="AV847" s="471">
        <f t="shared" si="181"/>
        <v>49401140</v>
      </c>
      <c r="AW847" s="471" cm="1">
        <f t="array" ref="AW847">SUM(MID(0&amp;AV847,LARGE(INDEX(ISNUMBER(--MID(AV847,ROW($1:$8),1))*ROW($1:$8),),ROW($1:$8))+1,1)*10^ROW($1:$8)/10)</f>
        <v>49401140</v>
      </c>
      <c r="AX847" s="471" t="str">
        <f>VLOOKUP($AW847,'Item Master Data'!$A:$F,3,FALSE)</f>
        <v>Q.PEAK DUO BLK ML G10.a+</v>
      </c>
      <c r="AY847" s="471">
        <f>VLOOKUP($AW847,'Item Master Data'!$A:$F,6,FALSE)</f>
        <v>400</v>
      </c>
      <c r="AZ847" s="471">
        <f t="shared" si="182"/>
        <v>24</v>
      </c>
      <c r="BA847" s="471">
        <f>VLOOKUP(AW847,'Item Master Data'!$A:$G,7,FALSE)</f>
        <v>32</v>
      </c>
      <c r="BB847" s="471"/>
      <c r="BC847" s="471">
        <f t="shared" si="183"/>
        <v>0</v>
      </c>
    </row>
    <row r="848" spans="1:55">
      <c r="A848" s="472"/>
      <c r="B848" s="514"/>
      <c r="C848" s="514"/>
      <c r="D848" s="485" t="s">
        <v>2322</v>
      </c>
      <c r="E848" s="474"/>
      <c r="F848" s="474"/>
      <c r="G848" s="474">
        <v>2022</v>
      </c>
      <c r="H848" s="474">
        <v>6</v>
      </c>
      <c r="I848" s="485"/>
      <c r="J848" s="475"/>
      <c r="K848" s="483" t="s">
        <v>2671</v>
      </c>
      <c r="L848" s="474" t="s">
        <v>2459</v>
      </c>
      <c r="M848" s="487">
        <v>44511</v>
      </c>
      <c r="N848" s="487">
        <v>44654</v>
      </c>
      <c r="O848" s="487"/>
      <c r="P848" s="475"/>
      <c r="Q848" s="475"/>
      <c r="R848" s="475"/>
      <c r="S848" s="474" t="s">
        <v>1563</v>
      </c>
      <c r="T848" s="474">
        <v>60</v>
      </c>
      <c r="U848" s="474" t="s">
        <v>1281</v>
      </c>
      <c r="V848" s="474" t="s">
        <v>2525</v>
      </c>
      <c r="W848" s="474">
        <v>400</v>
      </c>
      <c r="X848" s="476">
        <v>768</v>
      </c>
      <c r="Y848" s="477">
        <f t="shared" si="184"/>
        <v>307200</v>
      </c>
      <c r="Z848" s="478">
        <f t="shared" si="187"/>
        <v>0.52500000000000002</v>
      </c>
      <c r="AA848" s="479">
        <f t="shared" si="185"/>
        <v>161280</v>
      </c>
      <c r="AB848" s="480"/>
      <c r="AC848" s="481">
        <v>0</v>
      </c>
      <c r="AD848" s="490"/>
      <c r="AE848" s="482"/>
      <c r="AF848" s="493">
        <f t="shared" si="186"/>
        <v>161280</v>
      </c>
      <c r="AG848" s="474" t="s">
        <v>1071</v>
      </c>
      <c r="AH848" s="474"/>
      <c r="AI848" s="483">
        <v>60</v>
      </c>
      <c r="AJ848" s="474" t="s">
        <v>2621</v>
      </c>
      <c r="AK848" s="494" t="s">
        <v>1144</v>
      </c>
      <c r="AL848" s="474">
        <v>78216</v>
      </c>
      <c r="AM848" s="474" t="s">
        <v>52</v>
      </c>
      <c r="AN848" s="474"/>
      <c r="AO848" s="474"/>
      <c r="AP848" s="486"/>
      <c r="AQ848" s="486" t="s">
        <v>37</v>
      </c>
      <c r="AR848" s="486"/>
      <c r="AS848" s="495"/>
      <c r="AT848" s="495"/>
      <c r="AU848" s="478"/>
      <c r="AV848" s="471" t="str">
        <f t="shared" si="181"/>
        <v>30390456H</v>
      </c>
      <c r="AW848" s="471" cm="1">
        <f t="array" ref="AW848">SUM(MID(0&amp;AV848,LARGE(INDEX(ISNUMBER(--MID(AV848,ROW($1:$8),1))*ROW($1:$8),),ROW($1:$8))+1,1)*10^ROW($1:$8)/10)</f>
        <v>30390456</v>
      </c>
      <c r="AX848" s="471" t="str">
        <f>VLOOKUP($AW848,'Item Master Data'!$A:$F,3,FALSE)</f>
        <v>Q.PEAK DUO BLK ML G10+</v>
      </c>
      <c r="AY848" s="471">
        <f>VLOOKUP($AW848,'Item Master Data'!$A:$F,6,FALSE)</f>
        <v>400</v>
      </c>
      <c r="AZ848" s="471">
        <f t="shared" si="182"/>
        <v>24</v>
      </c>
      <c r="BA848" s="471">
        <f>VLOOKUP(AW848,'Item Master Data'!$A:$G,7,FALSE)</f>
        <v>32</v>
      </c>
      <c r="BB848" s="471"/>
      <c r="BC848" s="471">
        <f t="shared" si="183"/>
        <v>0</v>
      </c>
    </row>
    <row r="849" spans="1:55">
      <c r="A849" s="472"/>
      <c r="B849" s="514"/>
      <c r="C849" s="514"/>
      <c r="D849" s="485" t="s">
        <v>2322</v>
      </c>
      <c r="E849" s="474"/>
      <c r="F849" s="474"/>
      <c r="G849" s="474">
        <v>2022</v>
      </c>
      <c r="H849" s="474">
        <v>6</v>
      </c>
      <c r="I849" s="485"/>
      <c r="J849" s="475"/>
      <c r="K849" s="483" t="s">
        <v>2672</v>
      </c>
      <c r="L849" s="474" t="s">
        <v>2459</v>
      </c>
      <c r="M849" s="487">
        <v>44511</v>
      </c>
      <c r="N849" s="487">
        <v>44654</v>
      </c>
      <c r="O849" s="487"/>
      <c r="P849" s="475"/>
      <c r="Q849" s="475"/>
      <c r="R849" s="475"/>
      <c r="S849" s="474" t="s">
        <v>1563</v>
      </c>
      <c r="T849" s="474">
        <v>60</v>
      </c>
      <c r="U849" s="474" t="s">
        <v>1281</v>
      </c>
      <c r="V849" s="474" t="s">
        <v>2525</v>
      </c>
      <c r="W849" s="474">
        <v>400</v>
      </c>
      <c r="X849" s="476">
        <v>768</v>
      </c>
      <c r="Y849" s="477">
        <f t="shared" si="184"/>
        <v>307200</v>
      </c>
      <c r="Z849" s="478">
        <f t="shared" si="187"/>
        <v>0.52500000000000002</v>
      </c>
      <c r="AA849" s="479">
        <f t="shared" si="185"/>
        <v>161280</v>
      </c>
      <c r="AB849" s="480"/>
      <c r="AC849" s="481">
        <v>0</v>
      </c>
      <c r="AD849" s="490"/>
      <c r="AE849" s="482"/>
      <c r="AF849" s="493">
        <f t="shared" si="186"/>
        <v>161280</v>
      </c>
      <c r="AG849" s="474" t="s">
        <v>1071</v>
      </c>
      <c r="AH849" s="474"/>
      <c r="AI849" s="483">
        <v>60</v>
      </c>
      <c r="AJ849" s="474" t="s">
        <v>2621</v>
      </c>
      <c r="AK849" s="494" t="s">
        <v>1144</v>
      </c>
      <c r="AL849" s="474">
        <v>78216</v>
      </c>
      <c r="AM849" s="474" t="s">
        <v>52</v>
      </c>
      <c r="AN849" s="474"/>
      <c r="AO849" s="474"/>
      <c r="AP849" s="486"/>
      <c r="AQ849" s="486" t="s">
        <v>37</v>
      </c>
      <c r="AR849" s="486"/>
      <c r="AS849" s="495"/>
      <c r="AT849" s="495"/>
      <c r="AU849" s="478"/>
      <c r="AV849" s="471" t="str">
        <f t="shared" si="181"/>
        <v>30390456H</v>
      </c>
      <c r="AW849" s="471" cm="1">
        <f t="array" ref="AW849">SUM(MID(0&amp;AV849,LARGE(INDEX(ISNUMBER(--MID(AV849,ROW($1:$8),1))*ROW($1:$8),),ROW($1:$8))+1,1)*10^ROW($1:$8)/10)</f>
        <v>30390456</v>
      </c>
      <c r="AX849" s="471" t="str">
        <f>VLOOKUP($AW849,'Item Master Data'!$A:$F,3,FALSE)</f>
        <v>Q.PEAK DUO BLK ML G10+</v>
      </c>
      <c r="AY849" s="471">
        <f>VLOOKUP($AW849,'Item Master Data'!$A:$F,6,FALSE)</f>
        <v>400</v>
      </c>
      <c r="AZ849" s="471">
        <f t="shared" si="182"/>
        <v>24</v>
      </c>
      <c r="BA849" s="471">
        <f>VLOOKUP(AW849,'Item Master Data'!$A:$G,7,FALSE)</f>
        <v>32</v>
      </c>
      <c r="BB849" s="471"/>
      <c r="BC849" s="471">
        <f t="shared" si="183"/>
        <v>0</v>
      </c>
    </row>
    <row r="850" spans="1:55">
      <c r="A850" s="472"/>
      <c r="B850" s="514"/>
      <c r="C850" s="514"/>
      <c r="D850" s="485" t="s">
        <v>2322</v>
      </c>
      <c r="E850" s="474"/>
      <c r="F850" s="474"/>
      <c r="G850" s="474">
        <v>2022</v>
      </c>
      <c r="H850" s="474">
        <v>6</v>
      </c>
      <c r="I850" s="485"/>
      <c r="J850" s="475"/>
      <c r="K850" s="483" t="s">
        <v>2673</v>
      </c>
      <c r="L850" s="474" t="s">
        <v>2459</v>
      </c>
      <c r="M850" s="487">
        <v>44511</v>
      </c>
      <c r="N850" s="487">
        <v>44654</v>
      </c>
      <c r="O850" s="487"/>
      <c r="P850" s="475"/>
      <c r="Q850" s="475"/>
      <c r="R850" s="475"/>
      <c r="S850" s="474" t="s">
        <v>1563</v>
      </c>
      <c r="T850" s="474">
        <v>60</v>
      </c>
      <c r="U850" s="474" t="s">
        <v>1281</v>
      </c>
      <c r="V850" s="474" t="s">
        <v>2525</v>
      </c>
      <c r="W850" s="474">
        <v>400</v>
      </c>
      <c r="X850" s="476">
        <v>768</v>
      </c>
      <c r="Y850" s="477">
        <f t="shared" si="184"/>
        <v>307200</v>
      </c>
      <c r="Z850" s="478">
        <f t="shared" si="187"/>
        <v>0.52500000000000002</v>
      </c>
      <c r="AA850" s="479">
        <f t="shared" si="185"/>
        <v>161280</v>
      </c>
      <c r="AB850" s="480"/>
      <c r="AC850" s="481">
        <v>0</v>
      </c>
      <c r="AD850" s="490"/>
      <c r="AE850" s="482"/>
      <c r="AF850" s="493">
        <f t="shared" si="186"/>
        <v>161280</v>
      </c>
      <c r="AG850" s="474" t="s">
        <v>1071</v>
      </c>
      <c r="AH850" s="474"/>
      <c r="AI850" s="483">
        <v>60</v>
      </c>
      <c r="AJ850" s="474" t="s">
        <v>2621</v>
      </c>
      <c r="AK850" s="494" t="s">
        <v>1144</v>
      </c>
      <c r="AL850" s="474">
        <v>78216</v>
      </c>
      <c r="AM850" s="474" t="s">
        <v>52</v>
      </c>
      <c r="AN850" s="474"/>
      <c r="AO850" s="474"/>
      <c r="AP850" s="486"/>
      <c r="AQ850" s="486" t="s">
        <v>37</v>
      </c>
      <c r="AR850" s="486"/>
      <c r="AS850" s="495"/>
      <c r="AT850" s="495"/>
      <c r="AU850" s="478"/>
      <c r="AV850" s="471" t="str">
        <f t="shared" si="181"/>
        <v>30390456H</v>
      </c>
      <c r="AW850" s="471" cm="1">
        <f t="array" ref="AW850">SUM(MID(0&amp;AV850,LARGE(INDEX(ISNUMBER(--MID(AV850,ROW($1:$8),1))*ROW($1:$8),),ROW($1:$8))+1,1)*10^ROW($1:$8)/10)</f>
        <v>30390456</v>
      </c>
      <c r="AX850" s="471" t="str">
        <f>VLOOKUP($AW850,'Item Master Data'!$A:$F,3,FALSE)</f>
        <v>Q.PEAK DUO BLK ML G10+</v>
      </c>
      <c r="AY850" s="471">
        <f>VLOOKUP($AW850,'Item Master Data'!$A:$F,6,FALSE)</f>
        <v>400</v>
      </c>
      <c r="AZ850" s="471">
        <f t="shared" si="182"/>
        <v>24</v>
      </c>
      <c r="BA850" s="471">
        <f>VLOOKUP(AW850,'Item Master Data'!$A:$G,7,FALSE)</f>
        <v>32</v>
      </c>
      <c r="BB850" s="471"/>
      <c r="BC850" s="471">
        <f t="shared" si="183"/>
        <v>0</v>
      </c>
    </row>
    <row r="851" spans="1:55">
      <c r="A851" s="472"/>
      <c r="B851" s="514"/>
      <c r="C851" s="514"/>
      <c r="D851" s="485" t="s">
        <v>2322</v>
      </c>
      <c r="E851" s="474"/>
      <c r="F851" s="474"/>
      <c r="G851" s="474">
        <v>2022</v>
      </c>
      <c r="H851" s="474">
        <v>6</v>
      </c>
      <c r="I851" s="485"/>
      <c r="J851" s="475"/>
      <c r="K851" s="483" t="s">
        <v>2674</v>
      </c>
      <c r="L851" s="474" t="s">
        <v>2459</v>
      </c>
      <c r="M851" s="487">
        <v>44511</v>
      </c>
      <c r="N851" s="487">
        <v>44654</v>
      </c>
      <c r="O851" s="487"/>
      <c r="P851" s="475"/>
      <c r="Q851" s="475"/>
      <c r="R851" s="475"/>
      <c r="S851" s="474" t="s">
        <v>1563</v>
      </c>
      <c r="T851" s="474">
        <v>60</v>
      </c>
      <c r="U851" s="474" t="s">
        <v>1281</v>
      </c>
      <c r="V851" s="474" t="s">
        <v>2525</v>
      </c>
      <c r="W851" s="474">
        <v>400</v>
      </c>
      <c r="X851" s="476">
        <v>768</v>
      </c>
      <c r="Y851" s="477">
        <f t="shared" si="184"/>
        <v>307200</v>
      </c>
      <c r="Z851" s="478">
        <f t="shared" si="187"/>
        <v>0.52500000000000002</v>
      </c>
      <c r="AA851" s="479">
        <f t="shared" si="185"/>
        <v>161280</v>
      </c>
      <c r="AB851" s="480"/>
      <c r="AC851" s="481">
        <v>0</v>
      </c>
      <c r="AD851" s="490"/>
      <c r="AE851" s="482"/>
      <c r="AF851" s="493">
        <f t="shared" si="186"/>
        <v>161280</v>
      </c>
      <c r="AG851" s="474" t="s">
        <v>1071</v>
      </c>
      <c r="AH851" s="474"/>
      <c r="AI851" s="483">
        <v>60</v>
      </c>
      <c r="AJ851" s="474" t="s">
        <v>2621</v>
      </c>
      <c r="AK851" s="494" t="s">
        <v>1144</v>
      </c>
      <c r="AL851" s="474">
        <v>78216</v>
      </c>
      <c r="AM851" s="474" t="s">
        <v>52</v>
      </c>
      <c r="AN851" s="474"/>
      <c r="AO851" s="474"/>
      <c r="AP851" s="486"/>
      <c r="AQ851" s="486" t="s">
        <v>37</v>
      </c>
      <c r="AR851" s="486"/>
      <c r="AS851" s="495"/>
      <c r="AT851" s="495"/>
      <c r="AU851" s="478"/>
      <c r="AV851" s="471" t="str">
        <f t="shared" si="181"/>
        <v>30390456H</v>
      </c>
      <c r="AW851" s="471" cm="1">
        <f t="array" ref="AW851">SUM(MID(0&amp;AV851,LARGE(INDEX(ISNUMBER(--MID(AV851,ROW($1:$8),1))*ROW($1:$8),),ROW($1:$8))+1,1)*10^ROW($1:$8)/10)</f>
        <v>30390456</v>
      </c>
      <c r="AX851" s="471" t="str">
        <f>VLOOKUP($AW851,'Item Master Data'!$A:$F,3,FALSE)</f>
        <v>Q.PEAK DUO BLK ML G10+</v>
      </c>
      <c r="AY851" s="471">
        <f>VLOOKUP($AW851,'Item Master Data'!$A:$F,6,FALSE)</f>
        <v>400</v>
      </c>
      <c r="AZ851" s="471">
        <f t="shared" si="182"/>
        <v>24</v>
      </c>
      <c r="BA851" s="471">
        <f>VLOOKUP(AW851,'Item Master Data'!$A:$G,7,FALSE)</f>
        <v>32</v>
      </c>
      <c r="BB851" s="471"/>
      <c r="BC851" s="471">
        <f t="shared" si="183"/>
        <v>0</v>
      </c>
    </row>
    <row r="852" spans="1:55">
      <c r="A852" s="472"/>
      <c r="B852" s="514"/>
      <c r="C852" s="514"/>
      <c r="D852" s="485" t="s">
        <v>2322</v>
      </c>
      <c r="E852" s="474"/>
      <c r="F852" s="474"/>
      <c r="G852" s="474">
        <v>2022</v>
      </c>
      <c r="H852" s="474">
        <v>6</v>
      </c>
      <c r="I852" s="485"/>
      <c r="J852" s="475"/>
      <c r="K852" s="483" t="s">
        <v>2675</v>
      </c>
      <c r="L852" s="474" t="s">
        <v>2459</v>
      </c>
      <c r="M852" s="487">
        <v>44511</v>
      </c>
      <c r="N852" s="487">
        <v>44654</v>
      </c>
      <c r="O852" s="487"/>
      <c r="P852" s="475"/>
      <c r="Q852" s="475"/>
      <c r="R852" s="475"/>
      <c r="S852" s="474" t="s">
        <v>1563</v>
      </c>
      <c r="T852" s="474">
        <v>60</v>
      </c>
      <c r="U852" s="474" t="s">
        <v>1281</v>
      </c>
      <c r="V852" s="474" t="s">
        <v>2525</v>
      </c>
      <c r="W852" s="474">
        <v>400</v>
      </c>
      <c r="X852" s="476">
        <v>768</v>
      </c>
      <c r="Y852" s="477">
        <f t="shared" si="184"/>
        <v>307200</v>
      </c>
      <c r="Z852" s="478">
        <f t="shared" si="187"/>
        <v>0.52500000000000002</v>
      </c>
      <c r="AA852" s="479">
        <f t="shared" si="185"/>
        <v>161280</v>
      </c>
      <c r="AB852" s="480"/>
      <c r="AC852" s="481">
        <v>0</v>
      </c>
      <c r="AD852" s="490"/>
      <c r="AE852" s="482"/>
      <c r="AF852" s="493">
        <f t="shared" si="186"/>
        <v>161280</v>
      </c>
      <c r="AG852" s="474" t="s">
        <v>1071</v>
      </c>
      <c r="AH852" s="474"/>
      <c r="AI852" s="483">
        <v>60</v>
      </c>
      <c r="AJ852" s="474" t="s">
        <v>2621</v>
      </c>
      <c r="AK852" s="494" t="s">
        <v>1144</v>
      </c>
      <c r="AL852" s="474">
        <v>78216</v>
      </c>
      <c r="AM852" s="474" t="s">
        <v>52</v>
      </c>
      <c r="AN852" s="474"/>
      <c r="AO852" s="474"/>
      <c r="AP852" s="486"/>
      <c r="AQ852" s="486" t="s">
        <v>37</v>
      </c>
      <c r="AR852" s="486"/>
      <c r="AS852" s="495"/>
      <c r="AT852" s="495"/>
      <c r="AU852" s="478"/>
      <c r="AV852" s="471" t="str">
        <f t="shared" si="181"/>
        <v>30390456H</v>
      </c>
      <c r="AW852" s="471" cm="1">
        <f t="array" ref="AW852">SUM(MID(0&amp;AV852,LARGE(INDEX(ISNUMBER(--MID(AV852,ROW($1:$8),1))*ROW($1:$8),),ROW($1:$8))+1,1)*10^ROW($1:$8)/10)</f>
        <v>30390456</v>
      </c>
      <c r="AX852" s="471" t="str">
        <f>VLOOKUP($AW852,'Item Master Data'!$A:$F,3,FALSE)</f>
        <v>Q.PEAK DUO BLK ML G10+</v>
      </c>
      <c r="AY852" s="471">
        <f>VLOOKUP($AW852,'Item Master Data'!$A:$F,6,FALSE)</f>
        <v>400</v>
      </c>
      <c r="AZ852" s="471">
        <f t="shared" si="182"/>
        <v>24</v>
      </c>
      <c r="BA852" s="471">
        <f>VLOOKUP(AW852,'Item Master Data'!$A:$G,7,FALSE)</f>
        <v>32</v>
      </c>
      <c r="BB852" s="471"/>
      <c r="BC852" s="471">
        <f t="shared" si="183"/>
        <v>0</v>
      </c>
    </row>
    <row r="853" spans="1:55">
      <c r="A853" s="472"/>
      <c r="B853" s="514">
        <v>44522</v>
      </c>
      <c r="C853" s="514"/>
      <c r="D853" s="485" t="s">
        <v>2322</v>
      </c>
      <c r="E853" s="474" t="s">
        <v>2789</v>
      </c>
      <c r="F853" s="474"/>
      <c r="G853" s="474">
        <v>2022</v>
      </c>
      <c r="H853" s="474">
        <v>9</v>
      </c>
      <c r="I853" s="485"/>
      <c r="J853" s="475"/>
      <c r="K853" s="483" t="s">
        <v>2790</v>
      </c>
      <c r="L853" s="474" t="s">
        <v>2459</v>
      </c>
      <c r="M853" s="487">
        <v>44518</v>
      </c>
      <c r="N853" s="487">
        <v>44568</v>
      </c>
      <c r="O853" s="487"/>
      <c r="P853" s="475"/>
      <c r="Q853" s="475"/>
      <c r="R853" s="475"/>
      <c r="S853" s="474" t="s">
        <v>1563</v>
      </c>
      <c r="T853" s="474">
        <v>60</v>
      </c>
      <c r="U853" s="474">
        <v>49401140</v>
      </c>
      <c r="V853" s="474" t="s">
        <v>973</v>
      </c>
      <c r="W853" s="474">
        <v>400</v>
      </c>
      <c r="X853" s="476">
        <v>768</v>
      </c>
      <c r="Y853" s="477">
        <f t="shared" si="184"/>
        <v>307200</v>
      </c>
      <c r="Z853" s="478">
        <f t="shared" si="187"/>
        <v>0.52500000000000002</v>
      </c>
      <c r="AA853" s="479">
        <f t="shared" si="185"/>
        <v>161280</v>
      </c>
      <c r="AB853" s="480"/>
      <c r="AC853" s="481">
        <f t="shared" ref="AC853:AC888" si="188">AB853*Y853</f>
        <v>0</v>
      </c>
      <c r="AD853" s="490"/>
      <c r="AE853" s="482"/>
      <c r="AF853" s="493">
        <f t="shared" si="186"/>
        <v>161280</v>
      </c>
      <c r="AG853" s="474" t="s">
        <v>1071</v>
      </c>
      <c r="AH853" s="474"/>
      <c r="AI853" s="483" t="s">
        <v>2442</v>
      </c>
      <c r="AJ853" s="474" t="s">
        <v>2621</v>
      </c>
      <c r="AK853" s="494" t="s">
        <v>1144</v>
      </c>
      <c r="AL853" s="474">
        <v>78216</v>
      </c>
      <c r="AM853" s="474" t="s">
        <v>52</v>
      </c>
      <c r="AN853" s="474"/>
      <c r="AO853" s="474"/>
      <c r="AP853" s="486"/>
      <c r="AQ853" s="486"/>
      <c r="AR853" s="486"/>
      <c r="AS853" s="495"/>
      <c r="AT853" s="495"/>
      <c r="AU853" s="478"/>
      <c r="AV853" s="471">
        <f t="shared" si="181"/>
        <v>49401140</v>
      </c>
      <c r="AW853" s="471" cm="1">
        <f t="array" ref="AW853">SUM(MID(0&amp;AV853,LARGE(INDEX(ISNUMBER(--MID(AV853,ROW($1:$8),1))*ROW($1:$8),),ROW($1:$8))+1,1)*10^ROW($1:$8)/10)</f>
        <v>49401140</v>
      </c>
      <c r="AX853" s="471" t="str">
        <f>VLOOKUP($AW853,'Item Master Data'!$A:$F,3,FALSE)</f>
        <v>Q.PEAK DUO BLK ML G10.a+</v>
      </c>
      <c r="AY853" s="471">
        <f>VLOOKUP($AW853,'Item Master Data'!$A:$F,6,FALSE)</f>
        <v>400</v>
      </c>
      <c r="AZ853" s="471">
        <f t="shared" si="182"/>
        <v>24</v>
      </c>
      <c r="BA853" s="471">
        <f>VLOOKUP(AW853,'Item Master Data'!$A:$G,7,FALSE)</f>
        <v>32</v>
      </c>
      <c r="BB853" s="471"/>
      <c r="BC853" s="471">
        <f t="shared" si="183"/>
        <v>0</v>
      </c>
    </row>
    <row r="854" spans="1:55">
      <c r="A854" s="472"/>
      <c r="B854" s="514">
        <v>44522</v>
      </c>
      <c r="C854" s="514"/>
      <c r="D854" s="485" t="s">
        <v>2322</v>
      </c>
      <c r="E854" s="474" t="s">
        <v>2789</v>
      </c>
      <c r="F854" s="474"/>
      <c r="G854" s="474">
        <v>2022</v>
      </c>
      <c r="H854" s="474">
        <v>9</v>
      </c>
      <c r="I854" s="485"/>
      <c r="J854" s="475"/>
      <c r="K854" s="483" t="s">
        <v>2791</v>
      </c>
      <c r="L854" s="474" t="s">
        <v>2459</v>
      </c>
      <c r="M854" s="487">
        <v>44518</v>
      </c>
      <c r="N854" s="487">
        <v>44575</v>
      </c>
      <c r="O854" s="487"/>
      <c r="P854" s="475"/>
      <c r="Q854" s="475"/>
      <c r="R854" s="475"/>
      <c r="S854" s="474" t="s">
        <v>1563</v>
      </c>
      <c r="T854" s="474">
        <v>60</v>
      </c>
      <c r="U854" s="474">
        <v>49401140</v>
      </c>
      <c r="V854" s="474" t="s">
        <v>973</v>
      </c>
      <c r="W854" s="474">
        <v>400</v>
      </c>
      <c r="X854" s="476">
        <v>768</v>
      </c>
      <c r="Y854" s="477">
        <f t="shared" si="184"/>
        <v>307200</v>
      </c>
      <c r="Z854" s="478">
        <f t="shared" si="187"/>
        <v>0.52500000000000002</v>
      </c>
      <c r="AA854" s="479">
        <f t="shared" si="185"/>
        <v>161280</v>
      </c>
      <c r="AB854" s="480"/>
      <c r="AC854" s="481">
        <f t="shared" si="188"/>
        <v>0</v>
      </c>
      <c r="AD854" s="490"/>
      <c r="AE854" s="482"/>
      <c r="AF854" s="493">
        <f t="shared" si="186"/>
        <v>161280</v>
      </c>
      <c r="AG854" s="474" t="s">
        <v>1071</v>
      </c>
      <c r="AH854" s="474"/>
      <c r="AI854" s="483" t="s">
        <v>2442</v>
      </c>
      <c r="AJ854" s="474" t="s">
        <v>2621</v>
      </c>
      <c r="AK854" s="494" t="s">
        <v>1144</v>
      </c>
      <c r="AL854" s="474">
        <v>78216</v>
      </c>
      <c r="AM854" s="474" t="s">
        <v>52</v>
      </c>
      <c r="AN854" s="474"/>
      <c r="AO854" s="474"/>
      <c r="AP854" s="486"/>
      <c r="AQ854" s="486"/>
      <c r="AR854" s="486"/>
      <c r="AS854" s="495"/>
      <c r="AT854" s="495"/>
      <c r="AU854" s="478"/>
      <c r="AV854" s="471">
        <f t="shared" si="181"/>
        <v>49401140</v>
      </c>
      <c r="AW854" s="471" cm="1">
        <f t="array" ref="AW854">SUM(MID(0&amp;AV854,LARGE(INDEX(ISNUMBER(--MID(AV854,ROW($1:$8),1))*ROW($1:$8),),ROW($1:$8))+1,1)*10^ROW($1:$8)/10)</f>
        <v>49401140</v>
      </c>
      <c r="AX854" s="471" t="str">
        <f>VLOOKUP($AW854,'Item Master Data'!$A:$F,3,FALSE)</f>
        <v>Q.PEAK DUO BLK ML G10.a+</v>
      </c>
      <c r="AY854" s="471">
        <f>VLOOKUP($AW854,'Item Master Data'!$A:$F,6,FALSE)</f>
        <v>400</v>
      </c>
      <c r="AZ854" s="471">
        <f t="shared" si="182"/>
        <v>24</v>
      </c>
      <c r="BA854" s="471">
        <f>VLOOKUP(AW854,'Item Master Data'!$A:$G,7,FALSE)</f>
        <v>32</v>
      </c>
      <c r="BB854" s="471"/>
      <c r="BC854" s="471">
        <f t="shared" si="183"/>
        <v>0</v>
      </c>
    </row>
    <row r="855" spans="1:55">
      <c r="A855" s="472"/>
      <c r="B855" s="514">
        <v>44522</v>
      </c>
      <c r="C855" s="514"/>
      <c r="D855" s="485" t="s">
        <v>2322</v>
      </c>
      <c r="E855" s="474" t="s">
        <v>2789</v>
      </c>
      <c r="F855" s="474"/>
      <c r="G855" s="474">
        <v>2022</v>
      </c>
      <c r="H855" s="474">
        <v>9</v>
      </c>
      <c r="I855" s="485"/>
      <c r="J855" s="475"/>
      <c r="K855" s="483" t="s">
        <v>2792</v>
      </c>
      <c r="L855" s="474" t="s">
        <v>2459</v>
      </c>
      <c r="M855" s="487">
        <v>44518</v>
      </c>
      <c r="N855" s="487">
        <v>44599</v>
      </c>
      <c r="O855" s="487"/>
      <c r="P855" s="475"/>
      <c r="Q855" s="475"/>
      <c r="R855" s="475"/>
      <c r="S855" s="474" t="s">
        <v>1563</v>
      </c>
      <c r="T855" s="474">
        <v>60</v>
      </c>
      <c r="U855" s="474">
        <v>49401140</v>
      </c>
      <c r="V855" s="474" t="s">
        <v>973</v>
      </c>
      <c r="W855" s="474">
        <v>400</v>
      </c>
      <c r="X855" s="476">
        <v>768</v>
      </c>
      <c r="Y855" s="477">
        <f t="shared" si="184"/>
        <v>307200</v>
      </c>
      <c r="Z855" s="478">
        <f t="shared" si="187"/>
        <v>0.52500000000000002</v>
      </c>
      <c r="AA855" s="479">
        <f t="shared" si="185"/>
        <v>161280</v>
      </c>
      <c r="AB855" s="480"/>
      <c r="AC855" s="481">
        <f t="shared" si="188"/>
        <v>0</v>
      </c>
      <c r="AD855" s="490"/>
      <c r="AE855" s="482"/>
      <c r="AF855" s="493">
        <f t="shared" si="186"/>
        <v>161280</v>
      </c>
      <c r="AG855" s="474" t="s">
        <v>1071</v>
      </c>
      <c r="AH855" s="474"/>
      <c r="AI855" s="483" t="s">
        <v>2442</v>
      </c>
      <c r="AJ855" s="474" t="s">
        <v>2621</v>
      </c>
      <c r="AK855" s="494" t="s">
        <v>1144</v>
      </c>
      <c r="AL855" s="474">
        <v>78216</v>
      </c>
      <c r="AM855" s="474" t="s">
        <v>52</v>
      </c>
      <c r="AN855" s="474"/>
      <c r="AO855" s="474"/>
      <c r="AP855" s="486"/>
      <c r="AQ855" s="486"/>
      <c r="AR855" s="486"/>
      <c r="AS855" s="495"/>
      <c r="AT855" s="495"/>
      <c r="AU855" s="478"/>
      <c r="AV855" s="471">
        <f t="shared" si="181"/>
        <v>49401140</v>
      </c>
      <c r="AW855" s="471" cm="1">
        <f t="array" ref="AW855">SUM(MID(0&amp;AV855,LARGE(INDEX(ISNUMBER(--MID(AV855,ROW($1:$8),1))*ROW($1:$8),),ROW($1:$8))+1,1)*10^ROW($1:$8)/10)</f>
        <v>49401140</v>
      </c>
      <c r="AX855" s="471" t="str">
        <f>VLOOKUP($AW855,'Item Master Data'!$A:$F,3,FALSE)</f>
        <v>Q.PEAK DUO BLK ML G10.a+</v>
      </c>
      <c r="AY855" s="471">
        <f>VLOOKUP($AW855,'Item Master Data'!$A:$F,6,FALSE)</f>
        <v>400</v>
      </c>
      <c r="AZ855" s="471">
        <f t="shared" si="182"/>
        <v>24</v>
      </c>
      <c r="BA855" s="471">
        <f>VLOOKUP(AW855,'Item Master Data'!$A:$G,7,FALSE)</f>
        <v>32</v>
      </c>
      <c r="BB855" s="471"/>
      <c r="BC855" s="471">
        <f t="shared" si="183"/>
        <v>0</v>
      </c>
    </row>
    <row r="856" spans="1:55">
      <c r="A856" s="472"/>
      <c r="B856" s="514">
        <v>44522</v>
      </c>
      <c r="C856" s="514"/>
      <c r="D856" s="485" t="s">
        <v>2322</v>
      </c>
      <c r="E856" s="474" t="s">
        <v>2789</v>
      </c>
      <c r="F856" s="474"/>
      <c r="G856" s="474">
        <v>2022</v>
      </c>
      <c r="H856" s="474">
        <v>9</v>
      </c>
      <c r="I856" s="485"/>
      <c r="J856" s="475"/>
      <c r="K856" s="483" t="s">
        <v>2793</v>
      </c>
      <c r="L856" s="474" t="s">
        <v>2459</v>
      </c>
      <c r="M856" s="487">
        <v>44518</v>
      </c>
      <c r="N856" s="487">
        <v>44606</v>
      </c>
      <c r="O856" s="487"/>
      <c r="P856" s="475"/>
      <c r="Q856" s="475"/>
      <c r="R856" s="475"/>
      <c r="S856" s="474" t="s">
        <v>1563</v>
      </c>
      <c r="T856" s="474">
        <v>60</v>
      </c>
      <c r="U856" s="474">
        <v>49401140</v>
      </c>
      <c r="V856" s="474" t="s">
        <v>973</v>
      </c>
      <c r="W856" s="474">
        <v>400</v>
      </c>
      <c r="X856" s="476">
        <v>768</v>
      </c>
      <c r="Y856" s="477">
        <f t="shared" si="184"/>
        <v>307200</v>
      </c>
      <c r="Z856" s="478">
        <f t="shared" si="187"/>
        <v>0.52500000000000002</v>
      </c>
      <c r="AA856" s="479">
        <f t="shared" si="185"/>
        <v>161280</v>
      </c>
      <c r="AB856" s="480"/>
      <c r="AC856" s="481">
        <f t="shared" si="188"/>
        <v>0</v>
      </c>
      <c r="AD856" s="490"/>
      <c r="AE856" s="482"/>
      <c r="AF856" s="493">
        <f t="shared" si="186"/>
        <v>161280</v>
      </c>
      <c r="AG856" s="474" t="s">
        <v>1071</v>
      </c>
      <c r="AH856" s="474"/>
      <c r="AI856" s="483" t="s">
        <v>2442</v>
      </c>
      <c r="AJ856" s="474" t="s">
        <v>2621</v>
      </c>
      <c r="AK856" s="494" t="s">
        <v>1144</v>
      </c>
      <c r="AL856" s="474">
        <v>78216</v>
      </c>
      <c r="AM856" s="474" t="s">
        <v>52</v>
      </c>
      <c r="AN856" s="474"/>
      <c r="AO856" s="474"/>
      <c r="AP856" s="486"/>
      <c r="AQ856" s="486"/>
      <c r="AR856" s="486"/>
      <c r="AS856" s="495"/>
      <c r="AT856" s="495"/>
      <c r="AU856" s="478"/>
      <c r="AV856" s="471">
        <f t="shared" si="181"/>
        <v>49401140</v>
      </c>
      <c r="AW856" s="471" cm="1">
        <f t="array" ref="AW856">SUM(MID(0&amp;AV856,LARGE(INDEX(ISNUMBER(--MID(AV856,ROW($1:$8),1))*ROW($1:$8),),ROW($1:$8))+1,1)*10^ROW($1:$8)/10)</f>
        <v>49401140</v>
      </c>
      <c r="AX856" s="471" t="str">
        <f>VLOOKUP($AW856,'Item Master Data'!$A:$F,3,FALSE)</f>
        <v>Q.PEAK DUO BLK ML G10.a+</v>
      </c>
      <c r="AY856" s="471">
        <f>VLOOKUP($AW856,'Item Master Data'!$A:$F,6,FALSE)</f>
        <v>400</v>
      </c>
      <c r="AZ856" s="471">
        <f t="shared" si="182"/>
        <v>24</v>
      </c>
      <c r="BA856" s="471">
        <f>VLOOKUP(AW856,'Item Master Data'!$A:$G,7,FALSE)</f>
        <v>32</v>
      </c>
      <c r="BB856" s="471"/>
      <c r="BC856" s="471">
        <f t="shared" si="183"/>
        <v>0</v>
      </c>
    </row>
    <row r="857" spans="1:55">
      <c r="A857" s="472"/>
      <c r="B857" s="514">
        <v>44522</v>
      </c>
      <c r="C857" s="514"/>
      <c r="D857" s="485" t="s">
        <v>2322</v>
      </c>
      <c r="E857" s="474" t="s">
        <v>2789</v>
      </c>
      <c r="F857" s="474"/>
      <c r="G857" s="474">
        <v>2022</v>
      </c>
      <c r="H857" s="474">
        <v>9</v>
      </c>
      <c r="I857" s="485"/>
      <c r="J857" s="475"/>
      <c r="K857" s="483" t="s">
        <v>2794</v>
      </c>
      <c r="L857" s="474" t="s">
        <v>2459</v>
      </c>
      <c r="M857" s="487">
        <v>44518</v>
      </c>
      <c r="N857" s="487">
        <v>44627</v>
      </c>
      <c r="O857" s="487"/>
      <c r="P857" s="475"/>
      <c r="Q857" s="475"/>
      <c r="R857" s="475"/>
      <c r="S857" s="474" t="s">
        <v>1563</v>
      </c>
      <c r="T857" s="474">
        <v>60</v>
      </c>
      <c r="U857" s="474">
        <v>49401140</v>
      </c>
      <c r="V857" s="474" t="s">
        <v>973</v>
      </c>
      <c r="W857" s="474">
        <v>400</v>
      </c>
      <c r="X857" s="476">
        <v>768</v>
      </c>
      <c r="Y857" s="477">
        <f t="shared" si="184"/>
        <v>307200</v>
      </c>
      <c r="Z857" s="478">
        <f t="shared" si="187"/>
        <v>0.52500000000000002</v>
      </c>
      <c r="AA857" s="479">
        <f t="shared" si="185"/>
        <v>161280</v>
      </c>
      <c r="AB857" s="480"/>
      <c r="AC857" s="481">
        <f t="shared" si="188"/>
        <v>0</v>
      </c>
      <c r="AD857" s="490"/>
      <c r="AE857" s="482"/>
      <c r="AF857" s="493">
        <f t="shared" si="186"/>
        <v>161280</v>
      </c>
      <c r="AG857" s="474" t="s">
        <v>1071</v>
      </c>
      <c r="AH857" s="474"/>
      <c r="AI857" s="483" t="s">
        <v>2442</v>
      </c>
      <c r="AJ857" s="474" t="s">
        <v>2621</v>
      </c>
      <c r="AK857" s="494" t="s">
        <v>1144</v>
      </c>
      <c r="AL857" s="474">
        <v>78216</v>
      </c>
      <c r="AM857" s="474" t="s">
        <v>52</v>
      </c>
      <c r="AN857" s="474"/>
      <c r="AO857" s="474"/>
      <c r="AP857" s="486"/>
      <c r="AQ857" s="486"/>
      <c r="AR857" s="486"/>
      <c r="AS857" s="495"/>
      <c r="AT857" s="495"/>
      <c r="AU857" s="478"/>
      <c r="AV857" s="471">
        <f t="shared" si="181"/>
        <v>49401140</v>
      </c>
      <c r="AW857" s="471" cm="1">
        <f t="array" ref="AW857">SUM(MID(0&amp;AV857,LARGE(INDEX(ISNUMBER(--MID(AV857,ROW($1:$8),1))*ROW($1:$8),),ROW($1:$8))+1,1)*10^ROW($1:$8)/10)</f>
        <v>49401140</v>
      </c>
      <c r="AX857" s="471" t="str">
        <f>VLOOKUP($AW857,'Item Master Data'!$A:$F,3,FALSE)</f>
        <v>Q.PEAK DUO BLK ML G10.a+</v>
      </c>
      <c r="AY857" s="471">
        <f>VLOOKUP($AW857,'Item Master Data'!$A:$F,6,FALSE)</f>
        <v>400</v>
      </c>
      <c r="AZ857" s="471">
        <f t="shared" si="182"/>
        <v>24</v>
      </c>
      <c r="BA857" s="471">
        <f>VLOOKUP(AW857,'Item Master Data'!$A:$G,7,FALSE)</f>
        <v>32</v>
      </c>
      <c r="BB857" s="471"/>
      <c r="BC857" s="471">
        <f t="shared" si="183"/>
        <v>0</v>
      </c>
    </row>
    <row r="858" spans="1:55">
      <c r="A858" s="472"/>
      <c r="B858" s="514">
        <v>44522</v>
      </c>
      <c r="C858" s="514"/>
      <c r="D858" s="485" t="s">
        <v>2322</v>
      </c>
      <c r="E858" s="474" t="s">
        <v>2789</v>
      </c>
      <c r="F858" s="474"/>
      <c r="G858" s="474">
        <v>2022</v>
      </c>
      <c r="H858" s="474">
        <v>10</v>
      </c>
      <c r="I858" s="485"/>
      <c r="J858" s="475"/>
      <c r="K858" s="483" t="s">
        <v>2821</v>
      </c>
      <c r="L858" s="474" t="s">
        <v>2459</v>
      </c>
      <c r="M858" s="487">
        <v>44518</v>
      </c>
      <c r="N858" s="487">
        <v>44634</v>
      </c>
      <c r="O858" s="487"/>
      <c r="P858" s="475"/>
      <c r="Q858" s="475"/>
      <c r="R858" s="475"/>
      <c r="S858" s="474" t="s">
        <v>1563</v>
      </c>
      <c r="T858" s="474">
        <v>60</v>
      </c>
      <c r="U858" s="474">
        <v>49401140</v>
      </c>
      <c r="V858" s="474" t="s">
        <v>973</v>
      </c>
      <c r="W858" s="474">
        <v>400</v>
      </c>
      <c r="X858" s="476">
        <v>768</v>
      </c>
      <c r="Y858" s="477">
        <f t="shared" si="184"/>
        <v>307200</v>
      </c>
      <c r="Z858" s="478">
        <f t="shared" si="187"/>
        <v>0.52500000000000002</v>
      </c>
      <c r="AA858" s="479">
        <f t="shared" si="185"/>
        <v>161280</v>
      </c>
      <c r="AB858" s="480"/>
      <c r="AC858" s="481">
        <f t="shared" si="188"/>
        <v>0</v>
      </c>
      <c r="AD858" s="490"/>
      <c r="AE858" s="482"/>
      <c r="AF858" s="493">
        <f t="shared" si="186"/>
        <v>161280</v>
      </c>
      <c r="AG858" s="474" t="s">
        <v>1071</v>
      </c>
      <c r="AH858" s="474"/>
      <c r="AI858" s="483" t="s">
        <v>2442</v>
      </c>
      <c r="AJ858" s="474" t="s">
        <v>2621</v>
      </c>
      <c r="AK858" s="494" t="s">
        <v>1144</v>
      </c>
      <c r="AL858" s="474">
        <v>78216</v>
      </c>
      <c r="AM858" s="474" t="s">
        <v>52</v>
      </c>
      <c r="AN858" s="474"/>
      <c r="AO858" s="474"/>
      <c r="AP858" s="486"/>
      <c r="AQ858" s="486"/>
      <c r="AR858" s="486"/>
      <c r="AS858" s="495"/>
      <c r="AT858" s="495"/>
      <c r="AU858" s="478"/>
      <c r="AV858" s="471">
        <f t="shared" si="181"/>
        <v>49401140</v>
      </c>
      <c r="AW858" s="471" cm="1">
        <f t="array" ref="AW858">SUM(MID(0&amp;AV858,LARGE(INDEX(ISNUMBER(--MID(AV858,ROW($1:$8),1))*ROW($1:$8),),ROW($1:$8))+1,1)*10^ROW($1:$8)/10)</f>
        <v>49401140</v>
      </c>
      <c r="AX858" s="471" t="str">
        <f>VLOOKUP($AW858,'Item Master Data'!$A:$F,3,FALSE)</f>
        <v>Q.PEAK DUO BLK ML G10.a+</v>
      </c>
      <c r="AY858" s="471">
        <f>VLOOKUP($AW858,'Item Master Data'!$A:$F,6,FALSE)</f>
        <v>400</v>
      </c>
      <c r="AZ858" s="471">
        <f t="shared" si="182"/>
        <v>24</v>
      </c>
      <c r="BA858" s="471">
        <f>VLOOKUP(AW858,'Item Master Data'!$A:$G,7,FALSE)</f>
        <v>32</v>
      </c>
      <c r="BB858" s="471"/>
      <c r="BC858" s="471">
        <f t="shared" si="183"/>
        <v>0</v>
      </c>
    </row>
    <row r="859" spans="1:55">
      <c r="A859" s="472"/>
      <c r="B859" s="514">
        <v>44522</v>
      </c>
      <c r="C859" s="514"/>
      <c r="D859" s="485" t="s">
        <v>2322</v>
      </c>
      <c r="E859" s="474" t="s">
        <v>2789</v>
      </c>
      <c r="F859" s="474"/>
      <c r="G859" s="474">
        <v>2022</v>
      </c>
      <c r="H859" s="474">
        <v>10</v>
      </c>
      <c r="I859" s="485"/>
      <c r="J859" s="475"/>
      <c r="K859" s="483" t="s">
        <v>2822</v>
      </c>
      <c r="L859" s="474" t="s">
        <v>2459</v>
      </c>
      <c r="M859" s="487">
        <v>44518</v>
      </c>
      <c r="N859" s="487">
        <v>44658</v>
      </c>
      <c r="O859" s="487" t="s">
        <v>2823</v>
      </c>
      <c r="P859" s="475"/>
      <c r="Q859" s="475"/>
      <c r="R859" s="475"/>
      <c r="S859" s="474" t="s">
        <v>1563</v>
      </c>
      <c r="T859" s="474">
        <v>60</v>
      </c>
      <c r="U859" s="474">
        <v>49401140</v>
      </c>
      <c r="V859" s="474" t="s">
        <v>973</v>
      </c>
      <c r="W859" s="474">
        <v>400</v>
      </c>
      <c r="X859" s="476">
        <v>768</v>
      </c>
      <c r="Y859" s="477">
        <f t="shared" si="184"/>
        <v>307200</v>
      </c>
      <c r="Z859" s="478">
        <f t="shared" si="187"/>
        <v>0.52500000000000002</v>
      </c>
      <c r="AA859" s="479">
        <f t="shared" si="185"/>
        <v>161280</v>
      </c>
      <c r="AB859" s="480"/>
      <c r="AC859" s="481">
        <f t="shared" si="188"/>
        <v>0</v>
      </c>
      <c r="AD859" s="490"/>
      <c r="AE859" s="482"/>
      <c r="AF859" s="493">
        <f t="shared" si="186"/>
        <v>161280</v>
      </c>
      <c r="AG859" s="474" t="s">
        <v>1071</v>
      </c>
      <c r="AH859" s="474"/>
      <c r="AI859" s="483" t="s">
        <v>2442</v>
      </c>
      <c r="AJ859" s="474" t="s">
        <v>2621</v>
      </c>
      <c r="AK859" s="494" t="s">
        <v>1144</v>
      </c>
      <c r="AL859" s="474">
        <v>78216</v>
      </c>
      <c r="AM859" s="474" t="s">
        <v>52</v>
      </c>
      <c r="AN859" s="474"/>
      <c r="AO859" s="474"/>
      <c r="AP859" s="486"/>
      <c r="AQ859" s="486"/>
      <c r="AR859" s="486"/>
      <c r="AS859" s="495"/>
      <c r="AT859" s="495"/>
      <c r="AU859" s="478"/>
      <c r="AV859" s="471">
        <f t="shared" si="181"/>
        <v>49401140</v>
      </c>
      <c r="AW859" s="471" cm="1">
        <f t="array" ref="AW859">SUM(MID(0&amp;AV859,LARGE(INDEX(ISNUMBER(--MID(AV859,ROW($1:$8),1))*ROW($1:$8),),ROW($1:$8))+1,1)*10^ROW($1:$8)/10)</f>
        <v>49401140</v>
      </c>
      <c r="AX859" s="471" t="str">
        <f>VLOOKUP($AW859,'Item Master Data'!$A:$F,3,FALSE)</f>
        <v>Q.PEAK DUO BLK ML G10.a+</v>
      </c>
      <c r="AY859" s="471">
        <f>VLOOKUP($AW859,'Item Master Data'!$A:$F,6,FALSE)</f>
        <v>400</v>
      </c>
      <c r="AZ859" s="471">
        <f t="shared" si="182"/>
        <v>24</v>
      </c>
      <c r="BA859" s="471">
        <f>VLOOKUP(AW859,'Item Master Data'!$A:$G,7,FALSE)</f>
        <v>32</v>
      </c>
      <c r="BB859" s="471"/>
      <c r="BC859" s="471">
        <f t="shared" si="183"/>
        <v>0</v>
      </c>
    </row>
    <row r="860" spans="1:55">
      <c r="A860" s="472"/>
      <c r="B860" s="514">
        <v>44522</v>
      </c>
      <c r="C860" s="514"/>
      <c r="D860" s="485" t="s">
        <v>2322</v>
      </c>
      <c r="E860" s="474" t="s">
        <v>2789</v>
      </c>
      <c r="F860" s="474"/>
      <c r="G860" s="474">
        <v>2022</v>
      </c>
      <c r="H860" s="474">
        <v>10</v>
      </c>
      <c r="I860" s="485"/>
      <c r="J860" s="475"/>
      <c r="K860" s="483" t="s">
        <v>2824</v>
      </c>
      <c r="L860" s="474" t="s">
        <v>2459</v>
      </c>
      <c r="M860" s="487">
        <v>44518</v>
      </c>
      <c r="N860" s="487">
        <v>44665</v>
      </c>
      <c r="O860" s="487" t="s">
        <v>2823</v>
      </c>
      <c r="P860" s="475"/>
      <c r="Q860" s="475"/>
      <c r="R860" s="475"/>
      <c r="S860" s="474" t="s">
        <v>1563</v>
      </c>
      <c r="T860" s="474">
        <v>60</v>
      </c>
      <c r="U860" s="474">
        <v>49401140</v>
      </c>
      <c r="V860" s="474" t="s">
        <v>973</v>
      </c>
      <c r="W860" s="474">
        <v>400</v>
      </c>
      <c r="X860" s="476">
        <v>768</v>
      </c>
      <c r="Y860" s="477">
        <f t="shared" si="184"/>
        <v>307200</v>
      </c>
      <c r="Z860" s="478">
        <f t="shared" si="187"/>
        <v>0.52500000000000002</v>
      </c>
      <c r="AA860" s="479">
        <f t="shared" si="185"/>
        <v>161280</v>
      </c>
      <c r="AB860" s="480"/>
      <c r="AC860" s="481">
        <f t="shared" si="188"/>
        <v>0</v>
      </c>
      <c r="AD860" s="490"/>
      <c r="AE860" s="482"/>
      <c r="AF860" s="493">
        <f t="shared" si="186"/>
        <v>161280</v>
      </c>
      <c r="AG860" s="474" t="s">
        <v>1071</v>
      </c>
      <c r="AH860" s="474"/>
      <c r="AI860" s="483" t="s">
        <v>2442</v>
      </c>
      <c r="AJ860" s="474" t="s">
        <v>2621</v>
      </c>
      <c r="AK860" s="494" t="s">
        <v>1144</v>
      </c>
      <c r="AL860" s="474">
        <v>78216</v>
      </c>
      <c r="AM860" s="474" t="s">
        <v>52</v>
      </c>
      <c r="AN860" s="474"/>
      <c r="AO860" s="474"/>
      <c r="AP860" s="486"/>
      <c r="AQ860" s="486"/>
      <c r="AR860" s="486"/>
      <c r="AS860" s="495"/>
      <c r="AT860" s="495"/>
      <c r="AU860" s="478"/>
      <c r="AV860" s="471">
        <f t="shared" si="181"/>
        <v>49401140</v>
      </c>
      <c r="AW860" s="471" cm="1">
        <f t="array" ref="AW860">SUM(MID(0&amp;AV860,LARGE(INDEX(ISNUMBER(--MID(AV860,ROW($1:$8),1))*ROW($1:$8),),ROW($1:$8))+1,1)*10^ROW($1:$8)/10)</f>
        <v>49401140</v>
      </c>
      <c r="AX860" s="471" t="str">
        <f>VLOOKUP($AW860,'Item Master Data'!$A:$F,3,FALSE)</f>
        <v>Q.PEAK DUO BLK ML G10.a+</v>
      </c>
      <c r="AY860" s="471">
        <f>VLOOKUP($AW860,'Item Master Data'!$A:$F,6,FALSE)</f>
        <v>400</v>
      </c>
      <c r="AZ860" s="471">
        <f t="shared" si="182"/>
        <v>24</v>
      </c>
      <c r="BA860" s="471">
        <f>VLOOKUP(AW860,'Item Master Data'!$A:$G,7,FALSE)</f>
        <v>32</v>
      </c>
      <c r="BB860" s="471"/>
      <c r="BC860" s="471">
        <f t="shared" si="183"/>
        <v>0</v>
      </c>
    </row>
    <row r="861" spans="1:55">
      <c r="A861" s="472"/>
      <c r="B861" s="514">
        <v>44522</v>
      </c>
      <c r="C861" s="514"/>
      <c r="D861" s="485" t="s">
        <v>2322</v>
      </c>
      <c r="E861" s="474" t="s">
        <v>2789</v>
      </c>
      <c r="F861" s="474"/>
      <c r="G861" s="474">
        <v>2022</v>
      </c>
      <c r="H861" s="474">
        <v>10</v>
      </c>
      <c r="I861" s="485"/>
      <c r="J861" s="475"/>
      <c r="K861" s="483" t="s">
        <v>2825</v>
      </c>
      <c r="L861" s="474" t="s">
        <v>2459</v>
      </c>
      <c r="M861" s="487">
        <v>44518</v>
      </c>
      <c r="N861" s="487">
        <v>44688</v>
      </c>
      <c r="O861" s="487" t="s">
        <v>1631</v>
      </c>
      <c r="P861" s="475"/>
      <c r="Q861" s="475"/>
      <c r="R861" s="475"/>
      <c r="S861" s="474" t="s">
        <v>1563</v>
      </c>
      <c r="T861" s="474">
        <v>60</v>
      </c>
      <c r="U861" s="474">
        <v>49401140</v>
      </c>
      <c r="V861" s="474" t="s">
        <v>973</v>
      </c>
      <c r="W861" s="474">
        <v>400</v>
      </c>
      <c r="X861" s="476">
        <v>768</v>
      </c>
      <c r="Y861" s="477">
        <f t="shared" si="184"/>
        <v>307200</v>
      </c>
      <c r="Z861" s="478">
        <f t="shared" si="187"/>
        <v>0.52500000000000002</v>
      </c>
      <c r="AA861" s="479">
        <f t="shared" si="185"/>
        <v>161280</v>
      </c>
      <c r="AB861" s="480"/>
      <c r="AC861" s="481">
        <f t="shared" si="188"/>
        <v>0</v>
      </c>
      <c r="AD861" s="490"/>
      <c r="AE861" s="482"/>
      <c r="AF861" s="493">
        <f t="shared" si="186"/>
        <v>161280</v>
      </c>
      <c r="AG861" s="474" t="s">
        <v>1071</v>
      </c>
      <c r="AH861" s="474"/>
      <c r="AI861" s="483" t="s">
        <v>2442</v>
      </c>
      <c r="AJ861" s="474" t="s">
        <v>2621</v>
      </c>
      <c r="AK861" s="494" t="s">
        <v>1144</v>
      </c>
      <c r="AL861" s="474">
        <v>78216</v>
      </c>
      <c r="AM861" s="474" t="s">
        <v>52</v>
      </c>
      <c r="AN861" s="474"/>
      <c r="AO861" s="474"/>
      <c r="AP861" s="486"/>
      <c r="AQ861" s="486"/>
      <c r="AR861" s="486"/>
      <c r="AS861" s="495"/>
      <c r="AT861" s="495"/>
      <c r="AU861" s="478"/>
      <c r="AV861" s="471">
        <f t="shared" si="181"/>
        <v>49401140</v>
      </c>
      <c r="AW861" s="471" cm="1">
        <f t="array" ref="AW861">SUM(MID(0&amp;AV861,LARGE(INDEX(ISNUMBER(--MID(AV861,ROW($1:$8),1))*ROW($1:$8),),ROW($1:$8))+1,1)*10^ROW($1:$8)/10)</f>
        <v>49401140</v>
      </c>
      <c r="AX861" s="471" t="str">
        <f>VLOOKUP($AW861,'Item Master Data'!$A:$F,3,FALSE)</f>
        <v>Q.PEAK DUO BLK ML G10.a+</v>
      </c>
      <c r="AY861" s="471">
        <f>VLOOKUP($AW861,'Item Master Data'!$A:$F,6,FALSE)</f>
        <v>400</v>
      </c>
      <c r="AZ861" s="471">
        <f t="shared" si="182"/>
        <v>24</v>
      </c>
      <c r="BA861" s="471">
        <f>VLOOKUP(AW861,'Item Master Data'!$A:$G,7,FALSE)</f>
        <v>32</v>
      </c>
      <c r="BB861" s="471"/>
      <c r="BC861" s="471">
        <f t="shared" si="183"/>
        <v>0</v>
      </c>
    </row>
    <row r="862" spans="1:55">
      <c r="A862" s="472"/>
      <c r="B862" s="514">
        <v>44522</v>
      </c>
      <c r="C862" s="514"/>
      <c r="D862" s="485" t="s">
        <v>2322</v>
      </c>
      <c r="E862" s="474" t="s">
        <v>2789</v>
      </c>
      <c r="F862" s="474"/>
      <c r="G862" s="474">
        <v>2022</v>
      </c>
      <c r="H862" s="474">
        <v>10</v>
      </c>
      <c r="I862" s="485"/>
      <c r="J862" s="475"/>
      <c r="K862" s="483" t="s">
        <v>2826</v>
      </c>
      <c r="L862" s="474" t="s">
        <v>2459</v>
      </c>
      <c r="M862" s="487">
        <v>44518</v>
      </c>
      <c r="N862" s="487">
        <v>44695</v>
      </c>
      <c r="O862" s="487" t="s">
        <v>1632</v>
      </c>
      <c r="P862" s="475"/>
      <c r="Q862" s="475"/>
      <c r="R862" s="475"/>
      <c r="S862" s="474" t="s">
        <v>1563</v>
      </c>
      <c r="T862" s="474">
        <v>60</v>
      </c>
      <c r="U862" s="474">
        <v>49401140</v>
      </c>
      <c r="V862" s="474" t="s">
        <v>973</v>
      </c>
      <c r="W862" s="474">
        <v>400</v>
      </c>
      <c r="X862" s="476">
        <v>768</v>
      </c>
      <c r="Y862" s="477">
        <f t="shared" si="184"/>
        <v>307200</v>
      </c>
      <c r="Z862" s="478">
        <f t="shared" si="187"/>
        <v>0.52500000000000002</v>
      </c>
      <c r="AA862" s="479">
        <f t="shared" si="185"/>
        <v>161280</v>
      </c>
      <c r="AB862" s="480"/>
      <c r="AC862" s="481">
        <f t="shared" si="188"/>
        <v>0</v>
      </c>
      <c r="AD862" s="490"/>
      <c r="AE862" s="482"/>
      <c r="AF862" s="493">
        <f t="shared" si="186"/>
        <v>161280</v>
      </c>
      <c r="AG862" s="474" t="s">
        <v>1071</v>
      </c>
      <c r="AH862" s="474"/>
      <c r="AI862" s="483" t="s">
        <v>2442</v>
      </c>
      <c r="AJ862" s="474" t="s">
        <v>2621</v>
      </c>
      <c r="AK862" s="494" t="s">
        <v>1144</v>
      </c>
      <c r="AL862" s="474">
        <v>78216</v>
      </c>
      <c r="AM862" s="474" t="s">
        <v>52</v>
      </c>
      <c r="AN862" s="474"/>
      <c r="AO862" s="474"/>
      <c r="AP862" s="486"/>
      <c r="AQ862" s="486"/>
      <c r="AR862" s="486"/>
      <c r="AS862" s="495"/>
      <c r="AT862" s="495"/>
      <c r="AU862" s="478"/>
      <c r="AV862" s="471">
        <f t="shared" si="181"/>
        <v>49401140</v>
      </c>
      <c r="AW862" s="471" cm="1">
        <f t="array" ref="AW862">SUM(MID(0&amp;AV862,LARGE(INDEX(ISNUMBER(--MID(AV862,ROW($1:$8),1))*ROW($1:$8),),ROW($1:$8))+1,1)*10^ROW($1:$8)/10)</f>
        <v>49401140</v>
      </c>
      <c r="AX862" s="471" t="str">
        <f>VLOOKUP($AW862,'Item Master Data'!$A:$F,3,FALSE)</f>
        <v>Q.PEAK DUO BLK ML G10.a+</v>
      </c>
      <c r="AY862" s="471">
        <f>VLOOKUP($AW862,'Item Master Data'!$A:$F,6,FALSE)</f>
        <v>400</v>
      </c>
      <c r="AZ862" s="471">
        <f t="shared" si="182"/>
        <v>24</v>
      </c>
      <c r="BA862" s="471">
        <f>VLOOKUP(AW862,'Item Master Data'!$A:$G,7,FALSE)</f>
        <v>32</v>
      </c>
      <c r="BB862" s="471"/>
      <c r="BC862" s="471">
        <f t="shared" si="183"/>
        <v>0</v>
      </c>
    </row>
    <row r="863" spans="1:55">
      <c r="A863" s="472"/>
      <c r="B863" s="514">
        <v>44522</v>
      </c>
      <c r="C863" s="514"/>
      <c r="D863" s="485" t="s">
        <v>2322</v>
      </c>
      <c r="E863" s="474" t="s">
        <v>2789</v>
      </c>
      <c r="F863" s="474"/>
      <c r="G863" s="474">
        <v>2022</v>
      </c>
      <c r="H863" s="474">
        <v>10</v>
      </c>
      <c r="I863" s="485"/>
      <c r="J863" s="475"/>
      <c r="K863" s="483" t="s">
        <v>2827</v>
      </c>
      <c r="L863" s="474" t="s">
        <v>2459</v>
      </c>
      <c r="M863" s="487">
        <v>44518</v>
      </c>
      <c r="N863" s="487">
        <v>44719</v>
      </c>
      <c r="O863" s="487" t="s">
        <v>1632</v>
      </c>
      <c r="P863" s="475"/>
      <c r="Q863" s="475"/>
      <c r="R863" s="475"/>
      <c r="S863" s="474" t="s">
        <v>1563</v>
      </c>
      <c r="T863" s="474">
        <v>60</v>
      </c>
      <c r="U863" s="474">
        <v>49401140</v>
      </c>
      <c r="V863" s="474" t="s">
        <v>973</v>
      </c>
      <c r="W863" s="474">
        <v>400</v>
      </c>
      <c r="X863" s="476">
        <v>768</v>
      </c>
      <c r="Y863" s="477">
        <f t="shared" si="184"/>
        <v>307200</v>
      </c>
      <c r="Z863" s="478">
        <f t="shared" si="187"/>
        <v>0.52500000000000002</v>
      </c>
      <c r="AA863" s="479">
        <f t="shared" si="185"/>
        <v>161280</v>
      </c>
      <c r="AB863" s="480"/>
      <c r="AC863" s="481">
        <f t="shared" si="188"/>
        <v>0</v>
      </c>
      <c r="AD863" s="490"/>
      <c r="AE863" s="482"/>
      <c r="AF863" s="493">
        <f t="shared" si="186"/>
        <v>161280</v>
      </c>
      <c r="AG863" s="474" t="s">
        <v>1071</v>
      </c>
      <c r="AH863" s="474"/>
      <c r="AI863" s="483" t="s">
        <v>2442</v>
      </c>
      <c r="AJ863" s="474" t="s">
        <v>2621</v>
      </c>
      <c r="AK863" s="494" t="s">
        <v>1144</v>
      </c>
      <c r="AL863" s="474">
        <v>78216</v>
      </c>
      <c r="AM863" s="474" t="s">
        <v>52</v>
      </c>
      <c r="AN863" s="474"/>
      <c r="AO863" s="474"/>
      <c r="AP863" s="486"/>
      <c r="AQ863" s="486"/>
      <c r="AR863" s="486"/>
      <c r="AS863" s="495"/>
      <c r="AT863" s="495"/>
      <c r="AU863" s="478"/>
      <c r="AV863" s="471">
        <f t="shared" si="181"/>
        <v>49401140</v>
      </c>
      <c r="AW863" s="471" cm="1">
        <f t="array" ref="AW863">SUM(MID(0&amp;AV863,LARGE(INDEX(ISNUMBER(--MID(AV863,ROW($1:$8),1))*ROW($1:$8),),ROW($1:$8))+1,1)*10^ROW($1:$8)/10)</f>
        <v>49401140</v>
      </c>
      <c r="AX863" s="471" t="str">
        <f>VLOOKUP($AW863,'Item Master Data'!$A:$F,3,FALSE)</f>
        <v>Q.PEAK DUO BLK ML G10.a+</v>
      </c>
      <c r="AY863" s="471">
        <f>VLOOKUP($AW863,'Item Master Data'!$A:$F,6,FALSE)</f>
        <v>400</v>
      </c>
      <c r="AZ863" s="471">
        <f t="shared" si="182"/>
        <v>24</v>
      </c>
      <c r="BA863" s="471">
        <f>VLOOKUP(AW863,'Item Master Data'!$A:$G,7,FALSE)</f>
        <v>32</v>
      </c>
      <c r="BB863" s="471"/>
      <c r="BC863" s="471">
        <f t="shared" si="183"/>
        <v>0</v>
      </c>
    </row>
    <row r="864" spans="1:55">
      <c r="A864" s="472"/>
      <c r="B864" s="514">
        <v>44522</v>
      </c>
      <c r="C864" s="514"/>
      <c r="D864" s="485" t="s">
        <v>2322</v>
      </c>
      <c r="E864" s="474" t="s">
        <v>2789</v>
      </c>
      <c r="F864" s="474"/>
      <c r="G864" s="474">
        <v>2022</v>
      </c>
      <c r="H864" s="474">
        <v>10</v>
      </c>
      <c r="I864" s="485"/>
      <c r="J864" s="475"/>
      <c r="K864" s="483" t="s">
        <v>2828</v>
      </c>
      <c r="L864" s="474" t="s">
        <v>2459</v>
      </c>
      <c r="M864" s="487">
        <v>44518</v>
      </c>
      <c r="N864" s="487">
        <v>44726</v>
      </c>
      <c r="O864" s="487" t="s">
        <v>1632</v>
      </c>
      <c r="P864" s="475"/>
      <c r="Q864" s="475"/>
      <c r="R864" s="475"/>
      <c r="S864" s="474" t="s">
        <v>1563</v>
      </c>
      <c r="T864" s="474">
        <v>60</v>
      </c>
      <c r="U864" s="474">
        <v>49401140</v>
      </c>
      <c r="V864" s="474" t="s">
        <v>973</v>
      </c>
      <c r="W864" s="474">
        <v>400</v>
      </c>
      <c r="X864" s="476">
        <v>768</v>
      </c>
      <c r="Y864" s="477">
        <f t="shared" si="184"/>
        <v>307200</v>
      </c>
      <c r="Z864" s="478">
        <f t="shared" si="187"/>
        <v>0.52500000000000002</v>
      </c>
      <c r="AA864" s="479">
        <f t="shared" si="185"/>
        <v>161280</v>
      </c>
      <c r="AB864" s="480"/>
      <c r="AC864" s="481">
        <f t="shared" si="188"/>
        <v>0</v>
      </c>
      <c r="AD864" s="490"/>
      <c r="AE864" s="482"/>
      <c r="AF864" s="493">
        <f t="shared" si="186"/>
        <v>161280</v>
      </c>
      <c r="AG864" s="474" t="s">
        <v>1071</v>
      </c>
      <c r="AH864" s="474"/>
      <c r="AI864" s="483" t="s">
        <v>2442</v>
      </c>
      <c r="AJ864" s="474" t="s">
        <v>2621</v>
      </c>
      <c r="AK864" s="494" t="s">
        <v>1144</v>
      </c>
      <c r="AL864" s="474">
        <v>78216</v>
      </c>
      <c r="AM864" s="474" t="s">
        <v>52</v>
      </c>
      <c r="AN864" s="474"/>
      <c r="AO864" s="474"/>
      <c r="AP864" s="486"/>
      <c r="AQ864" s="486"/>
      <c r="AR864" s="486"/>
      <c r="AS864" s="495"/>
      <c r="AT864" s="495"/>
      <c r="AU864" s="478"/>
      <c r="AV864" s="471">
        <f t="shared" si="181"/>
        <v>49401140</v>
      </c>
      <c r="AW864" s="471" cm="1">
        <f t="array" ref="AW864">SUM(MID(0&amp;AV864,LARGE(INDEX(ISNUMBER(--MID(AV864,ROW($1:$8),1))*ROW($1:$8),),ROW($1:$8))+1,1)*10^ROW($1:$8)/10)</f>
        <v>49401140</v>
      </c>
      <c r="AX864" s="471" t="str">
        <f>VLOOKUP($AW864,'Item Master Data'!$A:$F,3,FALSE)</f>
        <v>Q.PEAK DUO BLK ML G10.a+</v>
      </c>
      <c r="AY864" s="471">
        <f>VLOOKUP($AW864,'Item Master Data'!$A:$F,6,FALSE)</f>
        <v>400</v>
      </c>
      <c r="AZ864" s="471">
        <f t="shared" si="182"/>
        <v>24</v>
      </c>
      <c r="BA864" s="471">
        <f>VLOOKUP(AW864,'Item Master Data'!$A:$G,7,FALSE)</f>
        <v>32</v>
      </c>
      <c r="BB864" s="471"/>
      <c r="BC864" s="471">
        <f t="shared" si="183"/>
        <v>0</v>
      </c>
    </row>
    <row r="865" spans="1:55">
      <c r="A865" s="472"/>
      <c r="B865" s="514">
        <v>44557</v>
      </c>
      <c r="C865" s="514"/>
      <c r="D865" s="485" t="s">
        <v>2322</v>
      </c>
      <c r="E865" s="474" t="s">
        <v>2789</v>
      </c>
      <c r="F865" s="474"/>
      <c r="G865" s="474">
        <v>2022</v>
      </c>
      <c r="H865" s="474">
        <v>10</v>
      </c>
      <c r="I865" s="485"/>
      <c r="J865" s="475"/>
      <c r="K865" s="483" t="s">
        <v>2829</v>
      </c>
      <c r="L865" s="474" t="s">
        <v>2459</v>
      </c>
      <c r="M865" s="487">
        <v>44545</v>
      </c>
      <c r="N865" s="487">
        <v>44686</v>
      </c>
      <c r="O865" s="487"/>
      <c r="P865" s="475"/>
      <c r="Q865" s="475"/>
      <c r="R865" s="475"/>
      <c r="S865" s="474" t="s">
        <v>1563</v>
      </c>
      <c r="T865" s="474">
        <v>60</v>
      </c>
      <c r="U865" s="474">
        <v>49401140</v>
      </c>
      <c r="V865" s="474" t="s">
        <v>973</v>
      </c>
      <c r="W865" s="474">
        <v>400</v>
      </c>
      <c r="X865" s="476">
        <v>768</v>
      </c>
      <c r="Y865" s="477">
        <f t="shared" si="184"/>
        <v>307200</v>
      </c>
      <c r="Z865" s="478">
        <v>0.52500000000000002</v>
      </c>
      <c r="AA865" s="479">
        <f t="shared" si="185"/>
        <v>161280</v>
      </c>
      <c r="AB865" s="480"/>
      <c r="AC865" s="481">
        <f t="shared" si="188"/>
        <v>0</v>
      </c>
      <c r="AD865" s="490"/>
      <c r="AE865" s="482"/>
      <c r="AF865" s="493">
        <f t="shared" si="186"/>
        <v>161280</v>
      </c>
      <c r="AG865" s="474" t="s">
        <v>1071</v>
      </c>
      <c r="AH865" s="474"/>
      <c r="AI865" s="483">
        <v>60</v>
      </c>
      <c r="AJ865" s="474" t="s">
        <v>2621</v>
      </c>
      <c r="AK865" s="494" t="s">
        <v>1144</v>
      </c>
      <c r="AL865" s="474">
        <v>78216</v>
      </c>
      <c r="AM865" s="474" t="s">
        <v>52</v>
      </c>
      <c r="AN865" s="474" t="s">
        <v>1074</v>
      </c>
      <c r="AO865" s="474"/>
      <c r="AP865" s="486"/>
      <c r="AQ865" s="486" t="s">
        <v>37</v>
      </c>
      <c r="AR865" s="486"/>
      <c r="AS865" s="495"/>
      <c r="AT865" s="495"/>
      <c r="AU865" s="478"/>
      <c r="AV865" s="471">
        <f t="shared" si="181"/>
        <v>49401140</v>
      </c>
      <c r="AW865" s="471" cm="1">
        <f t="array" ref="AW865">SUM(MID(0&amp;AV865,LARGE(INDEX(ISNUMBER(--MID(AV865,ROW($1:$8),1))*ROW($1:$8),),ROW($1:$8))+1,1)*10^ROW($1:$8)/10)</f>
        <v>49401140</v>
      </c>
      <c r="AX865" s="471" t="str">
        <f>VLOOKUP($AW865,'Item Master Data'!$A:$F,3,FALSE)</f>
        <v>Q.PEAK DUO BLK ML G10.a+</v>
      </c>
      <c r="AY865" s="471">
        <f>VLOOKUP($AW865,'Item Master Data'!$A:$F,6,FALSE)</f>
        <v>400</v>
      </c>
      <c r="AZ865" s="471">
        <f t="shared" si="182"/>
        <v>24</v>
      </c>
      <c r="BA865" s="471">
        <f>VLOOKUP(AW865,'Item Master Data'!$A:$G,7,FALSE)</f>
        <v>32</v>
      </c>
      <c r="BB865" s="471"/>
      <c r="BC865" s="471">
        <f t="shared" si="183"/>
        <v>0</v>
      </c>
    </row>
    <row r="866" spans="1:55">
      <c r="A866" s="472"/>
      <c r="B866" s="514">
        <v>44557</v>
      </c>
      <c r="C866" s="514"/>
      <c r="D866" s="485" t="s">
        <v>2322</v>
      </c>
      <c r="E866" s="474" t="s">
        <v>2789</v>
      </c>
      <c r="F866" s="474"/>
      <c r="G866" s="474">
        <v>2022</v>
      </c>
      <c r="H866" s="474">
        <v>10</v>
      </c>
      <c r="I866" s="485"/>
      <c r="J866" s="475"/>
      <c r="K866" s="483" t="s">
        <v>2830</v>
      </c>
      <c r="L866" s="474" t="s">
        <v>2459</v>
      </c>
      <c r="M866" s="487">
        <v>44545</v>
      </c>
      <c r="N866" s="487">
        <v>44744</v>
      </c>
      <c r="O866" s="487"/>
      <c r="P866" s="475"/>
      <c r="Q866" s="475"/>
      <c r="R866" s="475"/>
      <c r="S866" s="474" t="s">
        <v>1563</v>
      </c>
      <c r="T866" s="474">
        <v>60</v>
      </c>
      <c r="U866" s="474">
        <v>49401140</v>
      </c>
      <c r="V866" s="474" t="s">
        <v>973</v>
      </c>
      <c r="W866" s="474">
        <v>400</v>
      </c>
      <c r="X866" s="476">
        <v>768</v>
      </c>
      <c r="Y866" s="477">
        <f t="shared" si="184"/>
        <v>307200</v>
      </c>
      <c r="Z866" s="478">
        <v>0.52500000000000002</v>
      </c>
      <c r="AA866" s="479">
        <f t="shared" si="185"/>
        <v>161280</v>
      </c>
      <c r="AB866" s="480"/>
      <c r="AC866" s="481">
        <f t="shared" si="188"/>
        <v>0</v>
      </c>
      <c r="AD866" s="490"/>
      <c r="AE866" s="482"/>
      <c r="AF866" s="493">
        <f t="shared" si="186"/>
        <v>161280</v>
      </c>
      <c r="AG866" s="474" t="s">
        <v>1071</v>
      </c>
      <c r="AH866" s="474"/>
      <c r="AI866" s="483">
        <v>60</v>
      </c>
      <c r="AJ866" s="474" t="s">
        <v>2621</v>
      </c>
      <c r="AK866" s="494" t="s">
        <v>1144</v>
      </c>
      <c r="AL866" s="474">
        <v>78216</v>
      </c>
      <c r="AM866" s="474" t="s">
        <v>52</v>
      </c>
      <c r="AN866" s="474" t="s">
        <v>1074</v>
      </c>
      <c r="AO866" s="474"/>
      <c r="AP866" s="486"/>
      <c r="AQ866" s="486" t="s">
        <v>37</v>
      </c>
      <c r="AR866" s="486"/>
      <c r="AS866" s="495"/>
      <c r="AT866" s="495"/>
      <c r="AU866" s="478"/>
      <c r="AV866" s="471">
        <f t="shared" si="181"/>
        <v>49401140</v>
      </c>
      <c r="AW866" s="471" cm="1">
        <f t="array" ref="AW866">SUM(MID(0&amp;AV866,LARGE(INDEX(ISNUMBER(--MID(AV866,ROW($1:$8),1))*ROW($1:$8),),ROW($1:$8))+1,1)*10^ROW($1:$8)/10)</f>
        <v>49401140</v>
      </c>
      <c r="AX866" s="471" t="str">
        <f>VLOOKUP($AW866,'Item Master Data'!$A:$F,3,FALSE)</f>
        <v>Q.PEAK DUO BLK ML G10.a+</v>
      </c>
      <c r="AY866" s="471">
        <f>VLOOKUP($AW866,'Item Master Data'!$A:$F,6,FALSE)</f>
        <v>400</v>
      </c>
      <c r="AZ866" s="471">
        <f t="shared" si="182"/>
        <v>24</v>
      </c>
      <c r="BA866" s="471">
        <f>VLOOKUP(AW866,'Item Master Data'!$A:$G,7,FALSE)</f>
        <v>32</v>
      </c>
      <c r="BB866" s="471"/>
      <c r="BC866" s="471">
        <f t="shared" si="183"/>
        <v>0</v>
      </c>
    </row>
    <row r="867" spans="1:55">
      <c r="A867" s="472"/>
      <c r="B867" s="514">
        <v>44557</v>
      </c>
      <c r="C867" s="514"/>
      <c r="D867" s="485" t="s">
        <v>2322</v>
      </c>
      <c r="E867" s="474" t="s">
        <v>2789</v>
      </c>
      <c r="F867" s="474"/>
      <c r="G867" s="474">
        <v>2022</v>
      </c>
      <c r="H867" s="474">
        <v>10</v>
      </c>
      <c r="I867" s="485"/>
      <c r="J867" s="475"/>
      <c r="K867" s="483" t="s">
        <v>2831</v>
      </c>
      <c r="L867" s="474" t="s">
        <v>2459</v>
      </c>
      <c r="M867" s="487">
        <v>44545</v>
      </c>
      <c r="N867" s="487">
        <v>44747</v>
      </c>
      <c r="O867" s="487"/>
      <c r="P867" s="475"/>
      <c r="Q867" s="475"/>
      <c r="R867" s="475"/>
      <c r="S867" s="474" t="s">
        <v>1563</v>
      </c>
      <c r="T867" s="474">
        <v>60</v>
      </c>
      <c r="U867" s="474">
        <v>49401140</v>
      </c>
      <c r="V867" s="474" t="s">
        <v>973</v>
      </c>
      <c r="W867" s="474">
        <v>400</v>
      </c>
      <c r="X867" s="476">
        <v>768</v>
      </c>
      <c r="Y867" s="477">
        <f t="shared" si="184"/>
        <v>307200</v>
      </c>
      <c r="Z867" s="478">
        <v>0.52500000000000002</v>
      </c>
      <c r="AA867" s="479">
        <f t="shared" si="185"/>
        <v>161280</v>
      </c>
      <c r="AB867" s="480"/>
      <c r="AC867" s="481">
        <f t="shared" si="188"/>
        <v>0</v>
      </c>
      <c r="AD867" s="490"/>
      <c r="AE867" s="482"/>
      <c r="AF867" s="493">
        <f t="shared" si="186"/>
        <v>161280</v>
      </c>
      <c r="AG867" s="474" t="s">
        <v>1071</v>
      </c>
      <c r="AH867" s="474"/>
      <c r="AI867" s="483">
        <v>60</v>
      </c>
      <c r="AJ867" s="474" t="s">
        <v>2621</v>
      </c>
      <c r="AK867" s="494" t="s">
        <v>1144</v>
      </c>
      <c r="AL867" s="474">
        <v>78216</v>
      </c>
      <c r="AM867" s="474" t="s">
        <v>52</v>
      </c>
      <c r="AN867" s="474" t="s">
        <v>1074</v>
      </c>
      <c r="AO867" s="474"/>
      <c r="AP867" s="486"/>
      <c r="AQ867" s="486" t="s">
        <v>37</v>
      </c>
      <c r="AR867" s="486"/>
      <c r="AS867" s="495"/>
      <c r="AT867" s="495"/>
      <c r="AU867" s="478"/>
      <c r="AV867" s="471">
        <f t="shared" si="181"/>
        <v>49401140</v>
      </c>
      <c r="AW867" s="471" cm="1">
        <f t="array" ref="AW867">SUM(MID(0&amp;AV867,LARGE(INDEX(ISNUMBER(--MID(AV867,ROW($1:$8),1))*ROW($1:$8),),ROW($1:$8))+1,1)*10^ROW($1:$8)/10)</f>
        <v>49401140</v>
      </c>
      <c r="AX867" s="471" t="str">
        <f>VLOOKUP($AW867,'Item Master Data'!$A:$F,3,FALSE)</f>
        <v>Q.PEAK DUO BLK ML G10.a+</v>
      </c>
      <c r="AY867" s="471">
        <f>VLOOKUP($AW867,'Item Master Data'!$A:$F,6,FALSE)</f>
        <v>400</v>
      </c>
      <c r="AZ867" s="471">
        <f t="shared" si="182"/>
        <v>24</v>
      </c>
      <c r="BA867" s="471">
        <f>VLOOKUP(AW867,'Item Master Data'!$A:$G,7,FALSE)</f>
        <v>32</v>
      </c>
      <c r="BB867" s="471"/>
      <c r="BC867" s="471">
        <f t="shared" si="183"/>
        <v>0</v>
      </c>
    </row>
    <row r="868" spans="1:55">
      <c r="A868" s="472"/>
      <c r="B868" s="514">
        <v>44557</v>
      </c>
      <c r="C868" s="514"/>
      <c r="D868" s="485" t="s">
        <v>2322</v>
      </c>
      <c r="E868" s="474" t="s">
        <v>2789</v>
      </c>
      <c r="F868" s="474"/>
      <c r="G868" s="474">
        <v>2022</v>
      </c>
      <c r="H868" s="474">
        <v>10</v>
      </c>
      <c r="I868" s="485"/>
      <c r="J868" s="475"/>
      <c r="K868" s="483" t="s">
        <v>2832</v>
      </c>
      <c r="L868" s="474" t="s">
        <v>2459</v>
      </c>
      <c r="M868" s="487">
        <v>44545</v>
      </c>
      <c r="N868" s="487">
        <v>44751</v>
      </c>
      <c r="O868" s="487"/>
      <c r="P868" s="475"/>
      <c r="Q868" s="475"/>
      <c r="R868" s="475"/>
      <c r="S868" s="474" t="s">
        <v>1563</v>
      </c>
      <c r="T868" s="474">
        <v>60</v>
      </c>
      <c r="U868" s="474">
        <v>49401140</v>
      </c>
      <c r="V868" s="474" t="s">
        <v>973</v>
      </c>
      <c r="W868" s="474">
        <v>400</v>
      </c>
      <c r="X868" s="476">
        <v>768</v>
      </c>
      <c r="Y868" s="477">
        <f t="shared" si="184"/>
        <v>307200</v>
      </c>
      <c r="Z868" s="478">
        <v>0.52500000000000002</v>
      </c>
      <c r="AA868" s="479">
        <f t="shared" si="185"/>
        <v>161280</v>
      </c>
      <c r="AB868" s="480"/>
      <c r="AC868" s="481">
        <f t="shared" si="188"/>
        <v>0</v>
      </c>
      <c r="AD868" s="490"/>
      <c r="AE868" s="482"/>
      <c r="AF868" s="493">
        <f t="shared" si="186"/>
        <v>161280</v>
      </c>
      <c r="AG868" s="474" t="s">
        <v>1071</v>
      </c>
      <c r="AH868" s="474"/>
      <c r="AI868" s="483">
        <v>60</v>
      </c>
      <c r="AJ868" s="474" t="s">
        <v>2621</v>
      </c>
      <c r="AK868" s="494" t="s">
        <v>1144</v>
      </c>
      <c r="AL868" s="474">
        <v>78216</v>
      </c>
      <c r="AM868" s="474" t="s">
        <v>52</v>
      </c>
      <c r="AN868" s="474" t="s">
        <v>1074</v>
      </c>
      <c r="AO868" s="474"/>
      <c r="AP868" s="486"/>
      <c r="AQ868" s="486" t="s">
        <v>37</v>
      </c>
      <c r="AR868" s="486"/>
      <c r="AS868" s="495"/>
      <c r="AT868" s="495"/>
      <c r="AU868" s="478"/>
      <c r="AV868" s="471">
        <f t="shared" si="181"/>
        <v>49401140</v>
      </c>
      <c r="AW868" s="471" cm="1">
        <f t="array" ref="AW868">SUM(MID(0&amp;AV868,LARGE(INDEX(ISNUMBER(--MID(AV868,ROW($1:$8),1))*ROW($1:$8),),ROW($1:$8))+1,1)*10^ROW($1:$8)/10)</f>
        <v>49401140</v>
      </c>
      <c r="AX868" s="471" t="str">
        <f>VLOOKUP($AW868,'Item Master Data'!$A:$F,3,FALSE)</f>
        <v>Q.PEAK DUO BLK ML G10.a+</v>
      </c>
      <c r="AY868" s="471">
        <f>VLOOKUP($AW868,'Item Master Data'!$A:$F,6,FALSE)</f>
        <v>400</v>
      </c>
      <c r="AZ868" s="471">
        <f t="shared" si="182"/>
        <v>24</v>
      </c>
      <c r="BA868" s="471">
        <f>VLOOKUP(AW868,'Item Master Data'!$A:$G,7,FALSE)</f>
        <v>32</v>
      </c>
      <c r="BB868" s="471"/>
      <c r="BC868" s="471">
        <f t="shared" si="183"/>
        <v>0</v>
      </c>
    </row>
    <row r="869" spans="1:55">
      <c r="A869" s="472"/>
      <c r="B869" s="514">
        <v>44557</v>
      </c>
      <c r="C869" s="514"/>
      <c r="D869" s="485" t="s">
        <v>2322</v>
      </c>
      <c r="E869" s="474" t="s">
        <v>2789</v>
      </c>
      <c r="F869" s="474"/>
      <c r="G869" s="474">
        <v>2022</v>
      </c>
      <c r="H869" s="474">
        <v>10</v>
      </c>
      <c r="I869" s="485"/>
      <c r="J869" s="475"/>
      <c r="K869" s="483" t="s">
        <v>2833</v>
      </c>
      <c r="L869" s="474" t="s">
        <v>2459</v>
      </c>
      <c r="M869" s="487">
        <v>44545</v>
      </c>
      <c r="N869" s="487">
        <v>44754</v>
      </c>
      <c r="O869" s="487"/>
      <c r="P869" s="475"/>
      <c r="Q869" s="475"/>
      <c r="R869" s="475"/>
      <c r="S869" s="474" t="s">
        <v>1563</v>
      </c>
      <c r="T869" s="474">
        <v>60</v>
      </c>
      <c r="U869" s="474">
        <v>49401140</v>
      </c>
      <c r="V869" s="474" t="s">
        <v>973</v>
      </c>
      <c r="W869" s="474">
        <v>400</v>
      </c>
      <c r="X869" s="476">
        <v>768</v>
      </c>
      <c r="Y869" s="477">
        <f t="shared" si="184"/>
        <v>307200</v>
      </c>
      <c r="Z869" s="478">
        <v>0.52500000000000002</v>
      </c>
      <c r="AA869" s="479">
        <f t="shared" si="185"/>
        <v>161280</v>
      </c>
      <c r="AB869" s="480"/>
      <c r="AC869" s="481">
        <f t="shared" si="188"/>
        <v>0</v>
      </c>
      <c r="AD869" s="490"/>
      <c r="AE869" s="482"/>
      <c r="AF869" s="493">
        <f t="shared" si="186"/>
        <v>161280</v>
      </c>
      <c r="AG869" s="474" t="s">
        <v>1071</v>
      </c>
      <c r="AH869" s="474"/>
      <c r="AI869" s="483">
        <v>60</v>
      </c>
      <c r="AJ869" s="474" t="s">
        <v>2621</v>
      </c>
      <c r="AK869" s="494" t="s">
        <v>1144</v>
      </c>
      <c r="AL869" s="474">
        <v>78216</v>
      </c>
      <c r="AM869" s="474" t="s">
        <v>52</v>
      </c>
      <c r="AN869" s="474" t="s">
        <v>1074</v>
      </c>
      <c r="AO869" s="474"/>
      <c r="AP869" s="486"/>
      <c r="AQ869" s="486" t="s">
        <v>37</v>
      </c>
      <c r="AR869" s="486"/>
      <c r="AS869" s="495"/>
      <c r="AT869" s="495"/>
      <c r="AU869" s="478"/>
      <c r="AV869" s="471">
        <f t="shared" si="181"/>
        <v>49401140</v>
      </c>
      <c r="AW869" s="471" cm="1">
        <f t="array" ref="AW869">SUM(MID(0&amp;AV869,LARGE(INDEX(ISNUMBER(--MID(AV869,ROW($1:$8),1))*ROW($1:$8),),ROW($1:$8))+1,1)*10^ROW($1:$8)/10)</f>
        <v>49401140</v>
      </c>
      <c r="AX869" s="471" t="str">
        <f>VLOOKUP($AW869,'Item Master Data'!$A:$F,3,FALSE)</f>
        <v>Q.PEAK DUO BLK ML G10.a+</v>
      </c>
      <c r="AY869" s="471">
        <f>VLOOKUP($AW869,'Item Master Data'!$A:$F,6,FALSE)</f>
        <v>400</v>
      </c>
      <c r="AZ869" s="471">
        <f t="shared" si="182"/>
        <v>24</v>
      </c>
      <c r="BA869" s="471">
        <f>VLOOKUP(AW869,'Item Master Data'!$A:$G,7,FALSE)</f>
        <v>32</v>
      </c>
      <c r="BB869" s="471"/>
      <c r="BC869" s="471">
        <f t="shared" si="183"/>
        <v>0</v>
      </c>
    </row>
    <row r="870" spans="1:55">
      <c r="A870" s="472"/>
      <c r="B870" s="514">
        <v>44557</v>
      </c>
      <c r="C870" s="514"/>
      <c r="D870" s="485" t="s">
        <v>2322</v>
      </c>
      <c r="E870" s="474" t="s">
        <v>2789</v>
      </c>
      <c r="F870" s="474"/>
      <c r="G870" s="474">
        <v>2022</v>
      </c>
      <c r="H870" s="474">
        <v>10</v>
      </c>
      <c r="I870" s="485"/>
      <c r="J870" s="475"/>
      <c r="K870" s="483" t="s">
        <v>2834</v>
      </c>
      <c r="L870" s="474" t="s">
        <v>2459</v>
      </c>
      <c r="M870" s="487">
        <v>44545</v>
      </c>
      <c r="N870" s="487">
        <v>44757</v>
      </c>
      <c r="O870" s="487"/>
      <c r="P870" s="475"/>
      <c r="Q870" s="475"/>
      <c r="R870" s="475"/>
      <c r="S870" s="474" t="s">
        <v>1563</v>
      </c>
      <c r="T870" s="474">
        <v>60</v>
      </c>
      <c r="U870" s="474">
        <v>49401140</v>
      </c>
      <c r="V870" s="474" t="s">
        <v>973</v>
      </c>
      <c r="W870" s="474">
        <v>400</v>
      </c>
      <c r="X870" s="476">
        <v>768</v>
      </c>
      <c r="Y870" s="477">
        <f t="shared" si="184"/>
        <v>307200</v>
      </c>
      <c r="Z870" s="478">
        <v>0.52500000000000002</v>
      </c>
      <c r="AA870" s="479">
        <f t="shared" si="185"/>
        <v>161280</v>
      </c>
      <c r="AB870" s="480"/>
      <c r="AC870" s="481">
        <f t="shared" si="188"/>
        <v>0</v>
      </c>
      <c r="AD870" s="490"/>
      <c r="AE870" s="482"/>
      <c r="AF870" s="493">
        <f t="shared" si="186"/>
        <v>161280</v>
      </c>
      <c r="AG870" s="474" t="s">
        <v>1071</v>
      </c>
      <c r="AH870" s="474"/>
      <c r="AI870" s="483">
        <v>60</v>
      </c>
      <c r="AJ870" s="474" t="s">
        <v>2621</v>
      </c>
      <c r="AK870" s="494" t="s">
        <v>1144</v>
      </c>
      <c r="AL870" s="474">
        <v>78216</v>
      </c>
      <c r="AM870" s="474" t="s">
        <v>52</v>
      </c>
      <c r="AN870" s="474" t="s">
        <v>1074</v>
      </c>
      <c r="AO870" s="474"/>
      <c r="AP870" s="486"/>
      <c r="AQ870" s="486" t="s">
        <v>37</v>
      </c>
      <c r="AR870" s="486"/>
      <c r="AS870" s="495"/>
      <c r="AT870" s="495"/>
      <c r="AU870" s="478"/>
      <c r="AV870" s="471">
        <f t="shared" si="181"/>
        <v>49401140</v>
      </c>
      <c r="AW870" s="471" cm="1">
        <f t="array" ref="AW870">SUM(MID(0&amp;AV870,LARGE(INDEX(ISNUMBER(--MID(AV870,ROW($1:$8),1))*ROW($1:$8),),ROW($1:$8))+1,1)*10^ROW($1:$8)/10)</f>
        <v>49401140</v>
      </c>
      <c r="AX870" s="471" t="str">
        <f>VLOOKUP($AW870,'Item Master Data'!$A:$F,3,FALSE)</f>
        <v>Q.PEAK DUO BLK ML G10.a+</v>
      </c>
      <c r="AY870" s="471">
        <f>VLOOKUP($AW870,'Item Master Data'!$A:$F,6,FALSE)</f>
        <v>400</v>
      </c>
      <c r="AZ870" s="471">
        <f t="shared" si="182"/>
        <v>24</v>
      </c>
      <c r="BA870" s="471">
        <f>VLOOKUP(AW870,'Item Master Data'!$A:$G,7,FALSE)</f>
        <v>32</v>
      </c>
      <c r="BB870" s="471"/>
      <c r="BC870" s="471">
        <f t="shared" si="183"/>
        <v>0</v>
      </c>
    </row>
    <row r="871" spans="1:55">
      <c r="A871" s="472"/>
      <c r="B871" s="514">
        <v>44557</v>
      </c>
      <c r="C871" s="514"/>
      <c r="D871" s="485" t="s">
        <v>2322</v>
      </c>
      <c r="E871" s="474" t="s">
        <v>2789</v>
      </c>
      <c r="F871" s="474"/>
      <c r="G871" s="474">
        <v>2022</v>
      </c>
      <c r="H871" s="474">
        <v>11</v>
      </c>
      <c r="I871" s="485"/>
      <c r="J871" s="475"/>
      <c r="K871" s="483" t="s">
        <v>2854</v>
      </c>
      <c r="L871" s="474" t="s">
        <v>2459</v>
      </c>
      <c r="M871" s="487">
        <v>44545</v>
      </c>
      <c r="N871" s="487">
        <v>44761</v>
      </c>
      <c r="O871" s="487"/>
      <c r="P871" s="475"/>
      <c r="Q871" s="475"/>
      <c r="R871" s="475"/>
      <c r="S871" s="474" t="s">
        <v>1563</v>
      </c>
      <c r="T871" s="474">
        <v>60</v>
      </c>
      <c r="U871" s="474">
        <v>49401140</v>
      </c>
      <c r="V871" s="474" t="s">
        <v>2855</v>
      </c>
      <c r="W871" s="474">
        <v>400</v>
      </c>
      <c r="X871" s="476">
        <v>768</v>
      </c>
      <c r="Y871" s="477">
        <f t="shared" si="184"/>
        <v>307200</v>
      </c>
      <c r="Z871" s="478">
        <v>0.52500000000000002</v>
      </c>
      <c r="AA871" s="479">
        <f t="shared" si="185"/>
        <v>161280</v>
      </c>
      <c r="AB871" s="480"/>
      <c r="AC871" s="481">
        <f t="shared" si="188"/>
        <v>0</v>
      </c>
      <c r="AD871" s="490"/>
      <c r="AE871" s="482"/>
      <c r="AF871" s="493">
        <f t="shared" si="186"/>
        <v>161280</v>
      </c>
      <c r="AG871" s="474" t="s">
        <v>1071</v>
      </c>
      <c r="AH871" s="474"/>
      <c r="AI871" s="483">
        <v>60</v>
      </c>
      <c r="AJ871" s="474" t="s">
        <v>2621</v>
      </c>
      <c r="AK871" s="494" t="s">
        <v>1144</v>
      </c>
      <c r="AL871" s="474">
        <v>78216</v>
      </c>
      <c r="AM871" s="474" t="s">
        <v>52</v>
      </c>
      <c r="AN871" s="474" t="s">
        <v>1074</v>
      </c>
      <c r="AO871" s="474"/>
      <c r="AP871" s="486"/>
      <c r="AQ871" s="486" t="s">
        <v>37</v>
      </c>
      <c r="AR871" s="486"/>
      <c r="AS871" s="495"/>
      <c r="AT871" s="495"/>
      <c r="AU871" s="478"/>
      <c r="AV871" s="471">
        <f t="shared" si="181"/>
        <v>49401140</v>
      </c>
      <c r="AW871" s="471" cm="1">
        <f t="array" ref="AW871">SUM(MID(0&amp;AV871,LARGE(INDEX(ISNUMBER(--MID(AV871,ROW($1:$8),1))*ROW($1:$8),),ROW($1:$8))+1,1)*10^ROW($1:$8)/10)</f>
        <v>49401140</v>
      </c>
      <c r="AX871" s="471" t="str">
        <f>VLOOKUP($AW871,'Item Master Data'!$A:$F,3,FALSE)</f>
        <v>Q.PEAK DUO BLK ML G10.a+</v>
      </c>
      <c r="AY871" s="471">
        <f>VLOOKUP($AW871,'Item Master Data'!$A:$F,6,FALSE)</f>
        <v>400</v>
      </c>
      <c r="AZ871" s="471">
        <f t="shared" si="182"/>
        <v>24</v>
      </c>
      <c r="BA871" s="471">
        <f>VLOOKUP(AW871,'Item Master Data'!$A:$G,7,FALSE)</f>
        <v>32</v>
      </c>
      <c r="BB871" s="471"/>
      <c r="BC871" s="471">
        <f t="shared" si="183"/>
        <v>0</v>
      </c>
    </row>
    <row r="872" spans="1:55">
      <c r="A872" s="472"/>
      <c r="B872" s="514">
        <v>44557</v>
      </c>
      <c r="C872" s="514"/>
      <c r="D872" s="485" t="s">
        <v>2322</v>
      </c>
      <c r="E872" s="474" t="s">
        <v>2789</v>
      </c>
      <c r="F872" s="474"/>
      <c r="G872" s="474">
        <v>2022</v>
      </c>
      <c r="H872" s="474">
        <v>11</v>
      </c>
      <c r="I872" s="485"/>
      <c r="J872" s="475"/>
      <c r="K872" s="483" t="s">
        <v>2856</v>
      </c>
      <c r="L872" s="474" t="s">
        <v>2459</v>
      </c>
      <c r="M872" s="487">
        <v>44545</v>
      </c>
      <c r="N872" s="487">
        <v>44775</v>
      </c>
      <c r="O872" s="487"/>
      <c r="P872" s="475"/>
      <c r="Q872" s="475"/>
      <c r="R872" s="475"/>
      <c r="S872" s="474" t="s">
        <v>1563</v>
      </c>
      <c r="T872" s="474">
        <v>60</v>
      </c>
      <c r="U872" s="474">
        <v>49401140</v>
      </c>
      <c r="V872" s="474" t="s">
        <v>2855</v>
      </c>
      <c r="W872" s="474">
        <v>400</v>
      </c>
      <c r="X872" s="476">
        <v>768</v>
      </c>
      <c r="Y872" s="477">
        <f t="shared" si="184"/>
        <v>307200</v>
      </c>
      <c r="Z872" s="478">
        <v>0.52500000000000002</v>
      </c>
      <c r="AA872" s="479">
        <f t="shared" si="185"/>
        <v>161280</v>
      </c>
      <c r="AB872" s="480"/>
      <c r="AC872" s="481">
        <f t="shared" si="188"/>
        <v>0</v>
      </c>
      <c r="AD872" s="490"/>
      <c r="AE872" s="482"/>
      <c r="AF872" s="493">
        <f t="shared" si="186"/>
        <v>161280</v>
      </c>
      <c r="AG872" s="474" t="s">
        <v>1071</v>
      </c>
      <c r="AH872" s="474"/>
      <c r="AI872" s="483">
        <v>60</v>
      </c>
      <c r="AJ872" s="474" t="s">
        <v>2621</v>
      </c>
      <c r="AK872" s="494" t="s">
        <v>1144</v>
      </c>
      <c r="AL872" s="474">
        <v>78216</v>
      </c>
      <c r="AM872" s="474" t="s">
        <v>52</v>
      </c>
      <c r="AN872" s="474" t="s">
        <v>1074</v>
      </c>
      <c r="AO872" s="474"/>
      <c r="AP872" s="486"/>
      <c r="AQ872" s="486" t="s">
        <v>37</v>
      </c>
      <c r="AR872" s="486"/>
      <c r="AS872" s="495"/>
      <c r="AT872" s="495"/>
      <c r="AU872" s="478"/>
      <c r="AV872" s="471">
        <f t="shared" si="181"/>
        <v>49401140</v>
      </c>
      <c r="AW872" s="471" cm="1">
        <f t="array" ref="AW872">SUM(MID(0&amp;AV872,LARGE(INDEX(ISNUMBER(--MID(AV872,ROW($1:$8),1))*ROW($1:$8),),ROW($1:$8))+1,1)*10^ROW($1:$8)/10)</f>
        <v>49401140</v>
      </c>
      <c r="AX872" s="471" t="str">
        <f>VLOOKUP($AW872,'Item Master Data'!$A:$F,3,FALSE)</f>
        <v>Q.PEAK DUO BLK ML G10.a+</v>
      </c>
      <c r="AY872" s="471">
        <f>VLOOKUP($AW872,'Item Master Data'!$A:$F,6,FALSE)</f>
        <v>400</v>
      </c>
      <c r="AZ872" s="471">
        <f t="shared" si="182"/>
        <v>24</v>
      </c>
      <c r="BA872" s="471">
        <f>VLOOKUP(AW872,'Item Master Data'!$A:$G,7,FALSE)</f>
        <v>32</v>
      </c>
      <c r="BB872" s="471"/>
      <c r="BC872" s="471">
        <f t="shared" si="183"/>
        <v>0</v>
      </c>
    </row>
    <row r="873" spans="1:55">
      <c r="A873" s="472"/>
      <c r="B873" s="514">
        <v>44557</v>
      </c>
      <c r="C873" s="514"/>
      <c r="D873" s="485" t="s">
        <v>2322</v>
      </c>
      <c r="E873" s="474" t="s">
        <v>2789</v>
      </c>
      <c r="F873" s="474"/>
      <c r="G873" s="474">
        <v>2022</v>
      </c>
      <c r="H873" s="474">
        <v>11</v>
      </c>
      <c r="I873" s="485"/>
      <c r="J873" s="475"/>
      <c r="K873" s="483" t="s">
        <v>2857</v>
      </c>
      <c r="L873" s="474" t="s">
        <v>2459</v>
      </c>
      <c r="M873" s="487">
        <v>44545</v>
      </c>
      <c r="N873" s="487">
        <v>44778</v>
      </c>
      <c r="O873" s="487"/>
      <c r="P873" s="475"/>
      <c r="Q873" s="475"/>
      <c r="R873" s="475"/>
      <c r="S873" s="474" t="s">
        <v>1563</v>
      </c>
      <c r="T873" s="474">
        <v>60</v>
      </c>
      <c r="U873" s="474">
        <v>49401140</v>
      </c>
      <c r="V873" s="474" t="s">
        <v>2855</v>
      </c>
      <c r="W873" s="474">
        <v>400</v>
      </c>
      <c r="X873" s="476">
        <v>768</v>
      </c>
      <c r="Y873" s="477">
        <f t="shared" si="184"/>
        <v>307200</v>
      </c>
      <c r="Z873" s="478">
        <v>0.52500000000000002</v>
      </c>
      <c r="AA873" s="479">
        <f t="shared" si="185"/>
        <v>161280</v>
      </c>
      <c r="AB873" s="480"/>
      <c r="AC873" s="481">
        <f t="shared" si="188"/>
        <v>0</v>
      </c>
      <c r="AD873" s="490"/>
      <c r="AE873" s="482"/>
      <c r="AF873" s="493">
        <f t="shared" si="186"/>
        <v>161280</v>
      </c>
      <c r="AG873" s="474" t="s">
        <v>1071</v>
      </c>
      <c r="AH873" s="474"/>
      <c r="AI873" s="483">
        <v>60</v>
      </c>
      <c r="AJ873" s="474" t="s">
        <v>2621</v>
      </c>
      <c r="AK873" s="494" t="s">
        <v>1144</v>
      </c>
      <c r="AL873" s="474">
        <v>78216</v>
      </c>
      <c r="AM873" s="474" t="s">
        <v>52</v>
      </c>
      <c r="AN873" s="474" t="s">
        <v>1074</v>
      </c>
      <c r="AO873" s="474"/>
      <c r="AP873" s="486"/>
      <c r="AQ873" s="486" t="s">
        <v>37</v>
      </c>
      <c r="AR873" s="486"/>
      <c r="AS873" s="495"/>
      <c r="AT873" s="495"/>
      <c r="AU873" s="478"/>
      <c r="AV873" s="471">
        <f t="shared" si="181"/>
        <v>49401140</v>
      </c>
      <c r="AW873" s="471" cm="1">
        <f t="array" ref="AW873">SUM(MID(0&amp;AV873,LARGE(INDEX(ISNUMBER(--MID(AV873,ROW($1:$8),1))*ROW($1:$8),),ROW($1:$8))+1,1)*10^ROW($1:$8)/10)</f>
        <v>49401140</v>
      </c>
      <c r="AX873" s="471" t="str">
        <f>VLOOKUP($AW873,'Item Master Data'!$A:$F,3,FALSE)</f>
        <v>Q.PEAK DUO BLK ML G10.a+</v>
      </c>
      <c r="AY873" s="471">
        <f>VLOOKUP($AW873,'Item Master Data'!$A:$F,6,FALSE)</f>
        <v>400</v>
      </c>
      <c r="AZ873" s="471">
        <f t="shared" si="182"/>
        <v>24</v>
      </c>
      <c r="BA873" s="471">
        <f>VLOOKUP(AW873,'Item Master Data'!$A:$G,7,FALSE)</f>
        <v>32</v>
      </c>
      <c r="BB873" s="471"/>
      <c r="BC873" s="471">
        <f t="shared" si="183"/>
        <v>0</v>
      </c>
    </row>
    <row r="874" spans="1:55">
      <c r="A874" s="472"/>
      <c r="B874" s="514">
        <v>44557</v>
      </c>
      <c r="C874" s="514"/>
      <c r="D874" s="485" t="s">
        <v>2322</v>
      </c>
      <c r="E874" s="474" t="s">
        <v>2789</v>
      </c>
      <c r="F874" s="474"/>
      <c r="G874" s="474">
        <v>2022</v>
      </c>
      <c r="H874" s="474">
        <v>11</v>
      </c>
      <c r="I874" s="485"/>
      <c r="J874" s="475"/>
      <c r="K874" s="483" t="s">
        <v>2858</v>
      </c>
      <c r="L874" s="474" t="s">
        <v>2459</v>
      </c>
      <c r="M874" s="487">
        <v>44545</v>
      </c>
      <c r="N874" s="487">
        <v>44782</v>
      </c>
      <c r="O874" s="487"/>
      <c r="P874" s="475"/>
      <c r="Q874" s="475"/>
      <c r="R874" s="475"/>
      <c r="S874" s="474" t="s">
        <v>1563</v>
      </c>
      <c r="T874" s="474">
        <v>60</v>
      </c>
      <c r="U874" s="474">
        <v>49401140</v>
      </c>
      <c r="V874" s="474" t="s">
        <v>2855</v>
      </c>
      <c r="W874" s="474">
        <v>400</v>
      </c>
      <c r="X874" s="476">
        <v>768</v>
      </c>
      <c r="Y874" s="477">
        <f t="shared" si="184"/>
        <v>307200</v>
      </c>
      <c r="Z874" s="478">
        <v>0.52500000000000002</v>
      </c>
      <c r="AA874" s="479">
        <f t="shared" si="185"/>
        <v>161280</v>
      </c>
      <c r="AB874" s="480"/>
      <c r="AC874" s="481">
        <f t="shared" si="188"/>
        <v>0</v>
      </c>
      <c r="AD874" s="490"/>
      <c r="AE874" s="482"/>
      <c r="AF874" s="493">
        <f t="shared" si="186"/>
        <v>161280</v>
      </c>
      <c r="AG874" s="474" t="s">
        <v>1071</v>
      </c>
      <c r="AH874" s="474"/>
      <c r="AI874" s="483">
        <v>60</v>
      </c>
      <c r="AJ874" s="474" t="s">
        <v>2621</v>
      </c>
      <c r="AK874" s="494" t="s">
        <v>1144</v>
      </c>
      <c r="AL874" s="474">
        <v>78216</v>
      </c>
      <c r="AM874" s="474" t="s">
        <v>52</v>
      </c>
      <c r="AN874" s="474" t="s">
        <v>1074</v>
      </c>
      <c r="AO874" s="474"/>
      <c r="AP874" s="486"/>
      <c r="AQ874" s="486" t="s">
        <v>37</v>
      </c>
      <c r="AR874" s="486"/>
      <c r="AS874" s="495"/>
      <c r="AT874" s="495"/>
      <c r="AU874" s="478"/>
      <c r="AV874" s="471">
        <f t="shared" si="181"/>
        <v>49401140</v>
      </c>
      <c r="AW874" s="471" cm="1">
        <f t="array" ref="AW874">SUM(MID(0&amp;AV874,LARGE(INDEX(ISNUMBER(--MID(AV874,ROW($1:$8),1))*ROW($1:$8),),ROW($1:$8))+1,1)*10^ROW($1:$8)/10)</f>
        <v>49401140</v>
      </c>
      <c r="AX874" s="471" t="str">
        <f>VLOOKUP($AW874,'Item Master Data'!$A:$F,3,FALSE)</f>
        <v>Q.PEAK DUO BLK ML G10.a+</v>
      </c>
      <c r="AY874" s="471">
        <f>VLOOKUP($AW874,'Item Master Data'!$A:$F,6,FALSE)</f>
        <v>400</v>
      </c>
      <c r="AZ874" s="471">
        <f t="shared" si="182"/>
        <v>24</v>
      </c>
      <c r="BA874" s="471">
        <f>VLOOKUP(AW874,'Item Master Data'!$A:$G,7,FALSE)</f>
        <v>32</v>
      </c>
      <c r="BB874" s="471"/>
      <c r="BC874" s="471">
        <f t="shared" si="183"/>
        <v>0</v>
      </c>
    </row>
    <row r="875" spans="1:55">
      <c r="A875" s="472"/>
      <c r="B875" s="514">
        <v>44557</v>
      </c>
      <c r="C875" s="514"/>
      <c r="D875" s="485" t="s">
        <v>2322</v>
      </c>
      <c r="E875" s="474" t="s">
        <v>2789</v>
      </c>
      <c r="F875" s="474"/>
      <c r="G875" s="474">
        <v>2022</v>
      </c>
      <c r="H875" s="474">
        <v>11</v>
      </c>
      <c r="I875" s="485"/>
      <c r="J875" s="475"/>
      <c r="K875" s="483" t="s">
        <v>2859</v>
      </c>
      <c r="L875" s="474" t="s">
        <v>2459</v>
      </c>
      <c r="M875" s="487">
        <v>44545</v>
      </c>
      <c r="N875" s="487">
        <v>44785</v>
      </c>
      <c r="O875" s="487"/>
      <c r="P875" s="475"/>
      <c r="Q875" s="475"/>
      <c r="R875" s="475"/>
      <c r="S875" s="474" t="s">
        <v>1563</v>
      </c>
      <c r="T875" s="474">
        <v>60</v>
      </c>
      <c r="U875" s="474">
        <v>49401140</v>
      </c>
      <c r="V875" s="474" t="s">
        <v>2855</v>
      </c>
      <c r="W875" s="474">
        <v>400</v>
      </c>
      <c r="X875" s="476">
        <v>768</v>
      </c>
      <c r="Y875" s="477">
        <f t="shared" si="184"/>
        <v>307200</v>
      </c>
      <c r="Z875" s="478">
        <v>0.52500000000000002</v>
      </c>
      <c r="AA875" s="479">
        <f t="shared" si="185"/>
        <v>161280</v>
      </c>
      <c r="AB875" s="480"/>
      <c r="AC875" s="481">
        <f t="shared" si="188"/>
        <v>0</v>
      </c>
      <c r="AD875" s="490"/>
      <c r="AE875" s="482"/>
      <c r="AF875" s="493">
        <f t="shared" si="186"/>
        <v>161280</v>
      </c>
      <c r="AG875" s="474" t="s">
        <v>1071</v>
      </c>
      <c r="AH875" s="474"/>
      <c r="AI875" s="483">
        <v>60</v>
      </c>
      <c r="AJ875" s="474" t="s">
        <v>2621</v>
      </c>
      <c r="AK875" s="494" t="s">
        <v>1144</v>
      </c>
      <c r="AL875" s="474">
        <v>78216</v>
      </c>
      <c r="AM875" s="474" t="s">
        <v>52</v>
      </c>
      <c r="AN875" s="474" t="s">
        <v>1074</v>
      </c>
      <c r="AO875" s="474"/>
      <c r="AP875" s="486"/>
      <c r="AQ875" s="486" t="s">
        <v>37</v>
      </c>
      <c r="AR875" s="486"/>
      <c r="AS875" s="495"/>
      <c r="AT875" s="495"/>
      <c r="AU875" s="478"/>
      <c r="AV875" s="471">
        <f t="shared" si="181"/>
        <v>49401140</v>
      </c>
      <c r="AW875" s="471" cm="1">
        <f t="array" ref="AW875">SUM(MID(0&amp;AV875,LARGE(INDEX(ISNUMBER(--MID(AV875,ROW($1:$8),1))*ROW($1:$8),),ROW($1:$8))+1,1)*10^ROW($1:$8)/10)</f>
        <v>49401140</v>
      </c>
      <c r="AX875" s="471" t="str">
        <f>VLOOKUP($AW875,'Item Master Data'!$A:$F,3,FALSE)</f>
        <v>Q.PEAK DUO BLK ML G10.a+</v>
      </c>
      <c r="AY875" s="471">
        <f>VLOOKUP($AW875,'Item Master Data'!$A:$F,6,FALSE)</f>
        <v>400</v>
      </c>
      <c r="AZ875" s="471">
        <f t="shared" si="182"/>
        <v>24</v>
      </c>
      <c r="BA875" s="471">
        <f>VLOOKUP(AW875,'Item Master Data'!$A:$G,7,FALSE)</f>
        <v>32</v>
      </c>
      <c r="BB875" s="471"/>
      <c r="BC875" s="471">
        <f t="shared" si="183"/>
        <v>0</v>
      </c>
    </row>
    <row r="876" spans="1:55">
      <c r="A876" s="472"/>
      <c r="B876" s="514">
        <v>44557</v>
      </c>
      <c r="C876" s="514"/>
      <c r="D876" s="485" t="s">
        <v>2322</v>
      </c>
      <c r="E876" s="474" t="s">
        <v>2789</v>
      </c>
      <c r="F876" s="474"/>
      <c r="G876" s="474">
        <v>2022</v>
      </c>
      <c r="H876" s="474">
        <v>11</v>
      </c>
      <c r="I876" s="485"/>
      <c r="J876" s="475"/>
      <c r="K876" s="483" t="s">
        <v>2860</v>
      </c>
      <c r="L876" s="474" t="s">
        <v>2459</v>
      </c>
      <c r="M876" s="487">
        <v>44545</v>
      </c>
      <c r="N876" s="487">
        <v>44788</v>
      </c>
      <c r="O876" s="487"/>
      <c r="P876" s="475"/>
      <c r="Q876" s="475"/>
      <c r="R876" s="475"/>
      <c r="S876" s="474" t="s">
        <v>1563</v>
      </c>
      <c r="T876" s="474">
        <v>60</v>
      </c>
      <c r="U876" s="474">
        <v>49401140</v>
      </c>
      <c r="V876" s="474" t="s">
        <v>2855</v>
      </c>
      <c r="W876" s="474">
        <v>400</v>
      </c>
      <c r="X876" s="476">
        <v>768</v>
      </c>
      <c r="Y876" s="477">
        <f t="shared" si="184"/>
        <v>307200</v>
      </c>
      <c r="Z876" s="478">
        <v>0.52500000000000002</v>
      </c>
      <c r="AA876" s="479">
        <f t="shared" si="185"/>
        <v>161280</v>
      </c>
      <c r="AB876" s="480"/>
      <c r="AC876" s="481">
        <f t="shared" si="188"/>
        <v>0</v>
      </c>
      <c r="AD876" s="490"/>
      <c r="AE876" s="482"/>
      <c r="AF876" s="493">
        <f t="shared" si="186"/>
        <v>161280</v>
      </c>
      <c r="AG876" s="474" t="s">
        <v>1071</v>
      </c>
      <c r="AH876" s="474"/>
      <c r="AI876" s="483">
        <v>60</v>
      </c>
      <c r="AJ876" s="474" t="s">
        <v>2621</v>
      </c>
      <c r="AK876" s="494" t="s">
        <v>1144</v>
      </c>
      <c r="AL876" s="474">
        <v>78216</v>
      </c>
      <c r="AM876" s="474" t="s">
        <v>52</v>
      </c>
      <c r="AN876" s="474" t="s">
        <v>1074</v>
      </c>
      <c r="AO876" s="474"/>
      <c r="AP876" s="486"/>
      <c r="AQ876" s="486" t="s">
        <v>37</v>
      </c>
      <c r="AR876" s="486"/>
      <c r="AS876" s="495"/>
      <c r="AT876" s="495"/>
      <c r="AU876" s="478"/>
      <c r="AV876" s="471">
        <f t="shared" si="181"/>
        <v>49401140</v>
      </c>
      <c r="AW876" s="471" cm="1">
        <f t="array" ref="AW876">SUM(MID(0&amp;AV876,LARGE(INDEX(ISNUMBER(--MID(AV876,ROW($1:$8),1))*ROW($1:$8),),ROW($1:$8))+1,1)*10^ROW($1:$8)/10)</f>
        <v>49401140</v>
      </c>
      <c r="AX876" s="471" t="str">
        <f>VLOOKUP($AW876,'Item Master Data'!$A:$F,3,FALSE)</f>
        <v>Q.PEAK DUO BLK ML G10.a+</v>
      </c>
      <c r="AY876" s="471">
        <f>VLOOKUP($AW876,'Item Master Data'!$A:$F,6,FALSE)</f>
        <v>400</v>
      </c>
      <c r="AZ876" s="471">
        <f t="shared" si="182"/>
        <v>24</v>
      </c>
      <c r="BA876" s="471">
        <f>VLOOKUP(AW876,'Item Master Data'!$A:$G,7,FALSE)</f>
        <v>32</v>
      </c>
      <c r="BB876" s="471"/>
      <c r="BC876" s="471">
        <f t="shared" si="183"/>
        <v>0</v>
      </c>
    </row>
    <row r="877" spans="1:55">
      <c r="A877" s="472"/>
      <c r="B877" s="514">
        <v>44557</v>
      </c>
      <c r="C877" s="514"/>
      <c r="D877" s="485" t="s">
        <v>2322</v>
      </c>
      <c r="E877" s="474" t="s">
        <v>2789</v>
      </c>
      <c r="F877" s="474"/>
      <c r="G877" s="474">
        <v>2022</v>
      </c>
      <c r="H877" s="474">
        <v>11</v>
      </c>
      <c r="I877" s="485"/>
      <c r="J877" s="475"/>
      <c r="K877" s="483" t="s">
        <v>2861</v>
      </c>
      <c r="L877" s="474" t="s">
        <v>2459</v>
      </c>
      <c r="M877" s="487">
        <v>44545</v>
      </c>
      <c r="N877" s="487">
        <v>44792</v>
      </c>
      <c r="O877" s="487"/>
      <c r="P877" s="475"/>
      <c r="Q877" s="475"/>
      <c r="R877" s="475"/>
      <c r="S877" s="474" t="s">
        <v>1563</v>
      </c>
      <c r="T877" s="474">
        <v>60</v>
      </c>
      <c r="U877" s="474">
        <v>49401140</v>
      </c>
      <c r="V877" s="474" t="s">
        <v>2855</v>
      </c>
      <c r="W877" s="474">
        <v>400</v>
      </c>
      <c r="X877" s="476">
        <v>768</v>
      </c>
      <c r="Y877" s="477">
        <f t="shared" si="184"/>
        <v>307200</v>
      </c>
      <c r="Z877" s="478">
        <v>0.52500000000000002</v>
      </c>
      <c r="AA877" s="479">
        <f t="shared" si="185"/>
        <v>161280</v>
      </c>
      <c r="AB877" s="480"/>
      <c r="AC877" s="481">
        <f t="shared" si="188"/>
        <v>0</v>
      </c>
      <c r="AD877" s="490"/>
      <c r="AE877" s="482"/>
      <c r="AF877" s="493">
        <f t="shared" si="186"/>
        <v>161280</v>
      </c>
      <c r="AG877" s="474" t="s">
        <v>1071</v>
      </c>
      <c r="AH877" s="474"/>
      <c r="AI877" s="483">
        <v>60</v>
      </c>
      <c r="AJ877" s="474" t="s">
        <v>2621</v>
      </c>
      <c r="AK877" s="494" t="s">
        <v>1144</v>
      </c>
      <c r="AL877" s="474">
        <v>78216</v>
      </c>
      <c r="AM877" s="474" t="s">
        <v>52</v>
      </c>
      <c r="AN877" s="474" t="s">
        <v>1074</v>
      </c>
      <c r="AO877" s="474"/>
      <c r="AP877" s="486"/>
      <c r="AQ877" s="486" t="s">
        <v>37</v>
      </c>
      <c r="AR877" s="486"/>
      <c r="AS877" s="495"/>
      <c r="AT877" s="495"/>
      <c r="AU877" s="478"/>
      <c r="AV877" s="471">
        <f t="shared" si="181"/>
        <v>49401140</v>
      </c>
      <c r="AW877" s="471" cm="1">
        <f t="array" ref="AW877">SUM(MID(0&amp;AV877,LARGE(INDEX(ISNUMBER(--MID(AV877,ROW($1:$8),1))*ROW($1:$8),),ROW($1:$8))+1,1)*10^ROW($1:$8)/10)</f>
        <v>49401140</v>
      </c>
      <c r="AX877" s="471" t="str">
        <f>VLOOKUP($AW877,'Item Master Data'!$A:$F,3,FALSE)</f>
        <v>Q.PEAK DUO BLK ML G10.a+</v>
      </c>
      <c r="AY877" s="471">
        <f>VLOOKUP($AW877,'Item Master Data'!$A:$F,6,FALSE)</f>
        <v>400</v>
      </c>
      <c r="AZ877" s="471">
        <f t="shared" si="182"/>
        <v>24</v>
      </c>
      <c r="BA877" s="471">
        <f>VLOOKUP(AW877,'Item Master Data'!$A:$G,7,FALSE)</f>
        <v>32</v>
      </c>
      <c r="BB877" s="471"/>
      <c r="BC877" s="471">
        <f t="shared" si="183"/>
        <v>0</v>
      </c>
    </row>
    <row r="878" spans="1:55">
      <c r="A878" s="472"/>
      <c r="B878" s="514">
        <v>44557</v>
      </c>
      <c r="C878" s="514"/>
      <c r="D878" s="485" t="s">
        <v>2322</v>
      </c>
      <c r="E878" s="474" t="s">
        <v>2789</v>
      </c>
      <c r="F878" s="474"/>
      <c r="G878" s="474">
        <v>2022</v>
      </c>
      <c r="H878" s="474">
        <v>11</v>
      </c>
      <c r="I878" s="485"/>
      <c r="J878" s="475"/>
      <c r="K878" s="483" t="s">
        <v>2862</v>
      </c>
      <c r="L878" s="474" t="s">
        <v>2459</v>
      </c>
      <c r="M878" s="487">
        <v>44545</v>
      </c>
      <c r="N878" s="487">
        <v>44806</v>
      </c>
      <c r="O878" s="487"/>
      <c r="P878" s="475"/>
      <c r="Q878" s="475"/>
      <c r="R878" s="475"/>
      <c r="S878" s="474" t="s">
        <v>1563</v>
      </c>
      <c r="T878" s="474">
        <v>60</v>
      </c>
      <c r="U878" s="474">
        <v>49401140</v>
      </c>
      <c r="V878" s="474" t="s">
        <v>2855</v>
      </c>
      <c r="W878" s="474">
        <v>400</v>
      </c>
      <c r="X878" s="476">
        <v>768</v>
      </c>
      <c r="Y878" s="477">
        <f t="shared" si="184"/>
        <v>307200</v>
      </c>
      <c r="Z878" s="478">
        <v>0.52500000000000002</v>
      </c>
      <c r="AA878" s="479">
        <f t="shared" si="185"/>
        <v>161280</v>
      </c>
      <c r="AB878" s="480"/>
      <c r="AC878" s="481">
        <f t="shared" si="188"/>
        <v>0</v>
      </c>
      <c r="AD878" s="490"/>
      <c r="AE878" s="482"/>
      <c r="AF878" s="493">
        <f t="shared" si="186"/>
        <v>161280</v>
      </c>
      <c r="AG878" s="474" t="s">
        <v>1071</v>
      </c>
      <c r="AH878" s="474"/>
      <c r="AI878" s="483">
        <v>60</v>
      </c>
      <c r="AJ878" s="474" t="s">
        <v>2621</v>
      </c>
      <c r="AK878" s="494" t="s">
        <v>1144</v>
      </c>
      <c r="AL878" s="474">
        <v>78216</v>
      </c>
      <c r="AM878" s="474" t="s">
        <v>52</v>
      </c>
      <c r="AN878" s="474" t="s">
        <v>1074</v>
      </c>
      <c r="AO878" s="474"/>
      <c r="AP878" s="486"/>
      <c r="AQ878" s="486" t="s">
        <v>37</v>
      </c>
      <c r="AR878" s="486"/>
      <c r="AS878" s="495"/>
      <c r="AT878" s="495"/>
      <c r="AU878" s="478"/>
      <c r="AV878" s="471">
        <f t="shared" si="181"/>
        <v>49401140</v>
      </c>
      <c r="AW878" s="471" cm="1">
        <f t="array" ref="AW878">SUM(MID(0&amp;AV878,LARGE(INDEX(ISNUMBER(--MID(AV878,ROW($1:$8),1))*ROW($1:$8),),ROW($1:$8))+1,1)*10^ROW($1:$8)/10)</f>
        <v>49401140</v>
      </c>
      <c r="AX878" s="471" t="str">
        <f>VLOOKUP($AW878,'Item Master Data'!$A:$F,3,FALSE)</f>
        <v>Q.PEAK DUO BLK ML G10.a+</v>
      </c>
      <c r="AY878" s="471">
        <f>VLOOKUP($AW878,'Item Master Data'!$A:$F,6,FALSE)</f>
        <v>400</v>
      </c>
      <c r="AZ878" s="471">
        <f t="shared" si="182"/>
        <v>24</v>
      </c>
      <c r="BA878" s="471">
        <f>VLOOKUP(AW878,'Item Master Data'!$A:$G,7,FALSE)</f>
        <v>32</v>
      </c>
      <c r="BB878" s="471"/>
      <c r="BC878" s="471">
        <f t="shared" si="183"/>
        <v>0</v>
      </c>
    </row>
    <row r="879" spans="1:55">
      <c r="A879" s="472"/>
      <c r="B879" s="514">
        <v>44557</v>
      </c>
      <c r="C879" s="514"/>
      <c r="D879" s="485" t="s">
        <v>2322</v>
      </c>
      <c r="E879" s="474" t="s">
        <v>2789</v>
      </c>
      <c r="F879" s="474"/>
      <c r="G879" s="474">
        <v>2022</v>
      </c>
      <c r="H879" s="474">
        <v>12</v>
      </c>
      <c r="I879" s="485"/>
      <c r="J879" s="475"/>
      <c r="K879" s="483" t="s">
        <v>2885</v>
      </c>
      <c r="L879" s="474" t="s">
        <v>2459</v>
      </c>
      <c r="M879" s="487">
        <v>44545</v>
      </c>
      <c r="N879" s="487">
        <v>44809</v>
      </c>
      <c r="O879" s="487"/>
      <c r="P879" s="475"/>
      <c r="Q879" s="475"/>
      <c r="R879" s="475"/>
      <c r="S879" s="474" t="s">
        <v>1563</v>
      </c>
      <c r="T879" s="474">
        <v>60</v>
      </c>
      <c r="U879" s="474">
        <v>49401140</v>
      </c>
      <c r="V879" s="474" t="s">
        <v>2855</v>
      </c>
      <c r="W879" s="474">
        <v>400</v>
      </c>
      <c r="X879" s="476">
        <v>768</v>
      </c>
      <c r="Y879" s="477">
        <f t="shared" si="184"/>
        <v>307200</v>
      </c>
      <c r="Z879" s="478">
        <v>0.52500000000000002</v>
      </c>
      <c r="AA879" s="479">
        <f t="shared" si="185"/>
        <v>161280</v>
      </c>
      <c r="AB879" s="480"/>
      <c r="AC879" s="481">
        <f t="shared" si="188"/>
        <v>0</v>
      </c>
      <c r="AD879" s="490"/>
      <c r="AE879" s="482"/>
      <c r="AF879" s="493">
        <f t="shared" si="186"/>
        <v>161280</v>
      </c>
      <c r="AG879" s="474" t="s">
        <v>1071</v>
      </c>
      <c r="AH879" s="474"/>
      <c r="AI879" s="483">
        <v>60</v>
      </c>
      <c r="AJ879" s="474" t="s">
        <v>2621</v>
      </c>
      <c r="AK879" s="494" t="s">
        <v>1144</v>
      </c>
      <c r="AL879" s="474">
        <v>78216</v>
      </c>
      <c r="AM879" s="474" t="s">
        <v>52</v>
      </c>
      <c r="AN879" s="474" t="s">
        <v>1074</v>
      </c>
      <c r="AO879" s="474"/>
      <c r="AP879" s="486"/>
      <c r="AQ879" s="486" t="s">
        <v>37</v>
      </c>
      <c r="AR879" s="486"/>
      <c r="AS879" s="495"/>
      <c r="AT879" s="495"/>
      <c r="AU879" s="478"/>
      <c r="AV879" s="471">
        <f t="shared" si="181"/>
        <v>49401140</v>
      </c>
      <c r="AW879" s="471" cm="1">
        <f t="array" ref="AW879">SUM(MID(0&amp;AV879,LARGE(INDEX(ISNUMBER(--MID(AV879,ROW($1:$8),1))*ROW($1:$8),),ROW($1:$8))+1,1)*10^ROW($1:$8)/10)</f>
        <v>49401140</v>
      </c>
      <c r="AX879" s="471" t="str">
        <f>VLOOKUP($AW879,'Item Master Data'!$A:$F,3,FALSE)</f>
        <v>Q.PEAK DUO BLK ML G10.a+</v>
      </c>
      <c r="AY879" s="471">
        <f>VLOOKUP($AW879,'Item Master Data'!$A:$F,6,FALSE)</f>
        <v>400</v>
      </c>
      <c r="AZ879" s="471">
        <f t="shared" si="182"/>
        <v>24</v>
      </c>
      <c r="BA879" s="471">
        <f>VLOOKUP(AW879,'Item Master Data'!$A:$G,7,FALSE)</f>
        <v>32</v>
      </c>
      <c r="BB879" s="471"/>
      <c r="BC879" s="471">
        <f t="shared" si="183"/>
        <v>0</v>
      </c>
    </row>
    <row r="880" spans="1:55">
      <c r="A880" s="472"/>
      <c r="B880" s="514">
        <v>44557</v>
      </c>
      <c r="C880" s="514"/>
      <c r="D880" s="485" t="s">
        <v>2322</v>
      </c>
      <c r="E880" s="474" t="s">
        <v>2789</v>
      </c>
      <c r="F880" s="474"/>
      <c r="G880" s="474">
        <v>2022</v>
      </c>
      <c r="H880" s="474">
        <v>12</v>
      </c>
      <c r="I880" s="485"/>
      <c r="J880" s="475"/>
      <c r="K880" s="483" t="s">
        <v>2886</v>
      </c>
      <c r="L880" s="474" t="s">
        <v>2459</v>
      </c>
      <c r="M880" s="487">
        <v>44545</v>
      </c>
      <c r="N880" s="487">
        <v>44813</v>
      </c>
      <c r="O880" s="487"/>
      <c r="P880" s="475"/>
      <c r="Q880" s="475"/>
      <c r="R880" s="475"/>
      <c r="S880" s="474" t="s">
        <v>1563</v>
      </c>
      <c r="T880" s="474">
        <v>60</v>
      </c>
      <c r="U880" s="474">
        <v>49401140</v>
      </c>
      <c r="V880" s="474" t="s">
        <v>2855</v>
      </c>
      <c r="W880" s="474">
        <v>400</v>
      </c>
      <c r="X880" s="476">
        <v>768</v>
      </c>
      <c r="Y880" s="477">
        <f t="shared" si="184"/>
        <v>307200</v>
      </c>
      <c r="Z880" s="478">
        <v>0.52500000000000002</v>
      </c>
      <c r="AA880" s="479">
        <f t="shared" si="185"/>
        <v>161280</v>
      </c>
      <c r="AB880" s="480"/>
      <c r="AC880" s="481">
        <f t="shared" si="188"/>
        <v>0</v>
      </c>
      <c r="AD880" s="490"/>
      <c r="AE880" s="482"/>
      <c r="AF880" s="493">
        <f t="shared" si="186"/>
        <v>161280</v>
      </c>
      <c r="AG880" s="474" t="s">
        <v>1071</v>
      </c>
      <c r="AH880" s="474"/>
      <c r="AI880" s="483">
        <v>60</v>
      </c>
      <c r="AJ880" s="474" t="s">
        <v>2621</v>
      </c>
      <c r="AK880" s="494" t="s">
        <v>1144</v>
      </c>
      <c r="AL880" s="474">
        <v>78216</v>
      </c>
      <c r="AM880" s="474" t="s">
        <v>52</v>
      </c>
      <c r="AN880" s="474" t="s">
        <v>1074</v>
      </c>
      <c r="AO880" s="474"/>
      <c r="AP880" s="486"/>
      <c r="AQ880" s="486" t="s">
        <v>37</v>
      </c>
      <c r="AR880" s="486"/>
      <c r="AS880" s="495"/>
      <c r="AT880" s="495"/>
      <c r="AU880" s="478"/>
      <c r="AV880" s="471">
        <f t="shared" si="181"/>
        <v>49401140</v>
      </c>
      <c r="AW880" s="471" cm="1">
        <f t="array" ref="AW880">SUM(MID(0&amp;AV880,LARGE(INDEX(ISNUMBER(--MID(AV880,ROW($1:$8),1))*ROW($1:$8),),ROW($1:$8))+1,1)*10^ROW($1:$8)/10)</f>
        <v>49401140</v>
      </c>
      <c r="AX880" s="471" t="str">
        <f>VLOOKUP($AW880,'Item Master Data'!$A:$F,3,FALSE)</f>
        <v>Q.PEAK DUO BLK ML G10.a+</v>
      </c>
      <c r="AY880" s="471">
        <f>VLOOKUP($AW880,'Item Master Data'!$A:$F,6,FALSE)</f>
        <v>400</v>
      </c>
      <c r="AZ880" s="471">
        <f t="shared" si="182"/>
        <v>24</v>
      </c>
      <c r="BA880" s="471">
        <f>VLOOKUP(AW880,'Item Master Data'!$A:$G,7,FALSE)</f>
        <v>32</v>
      </c>
      <c r="BB880" s="471"/>
      <c r="BC880" s="471">
        <f t="shared" si="183"/>
        <v>0</v>
      </c>
    </row>
    <row r="881" spans="1:55">
      <c r="A881" s="472"/>
      <c r="B881" s="514">
        <v>44557</v>
      </c>
      <c r="C881" s="514"/>
      <c r="D881" s="485" t="s">
        <v>2322</v>
      </c>
      <c r="E881" s="474" t="s">
        <v>2789</v>
      </c>
      <c r="F881" s="474"/>
      <c r="G881" s="474">
        <v>2022</v>
      </c>
      <c r="H881" s="474">
        <v>12</v>
      </c>
      <c r="I881" s="485"/>
      <c r="J881" s="475"/>
      <c r="K881" s="483" t="s">
        <v>2887</v>
      </c>
      <c r="L881" s="474" t="s">
        <v>2459</v>
      </c>
      <c r="M881" s="487">
        <v>44545</v>
      </c>
      <c r="N881" s="487">
        <v>44816</v>
      </c>
      <c r="O881" s="487"/>
      <c r="P881" s="475"/>
      <c r="Q881" s="475"/>
      <c r="R881" s="475"/>
      <c r="S881" s="474" t="s">
        <v>1563</v>
      </c>
      <c r="T881" s="474">
        <v>60</v>
      </c>
      <c r="U881" s="474">
        <v>49401140</v>
      </c>
      <c r="V881" s="474" t="s">
        <v>2855</v>
      </c>
      <c r="W881" s="474">
        <v>400</v>
      </c>
      <c r="X881" s="476">
        <v>768</v>
      </c>
      <c r="Y881" s="477">
        <f t="shared" si="184"/>
        <v>307200</v>
      </c>
      <c r="Z881" s="478">
        <v>0.52500000000000002</v>
      </c>
      <c r="AA881" s="479">
        <f t="shared" si="185"/>
        <v>161280</v>
      </c>
      <c r="AB881" s="480"/>
      <c r="AC881" s="481">
        <f t="shared" si="188"/>
        <v>0</v>
      </c>
      <c r="AD881" s="490"/>
      <c r="AE881" s="482"/>
      <c r="AF881" s="493">
        <f t="shared" si="186"/>
        <v>161280</v>
      </c>
      <c r="AG881" s="474" t="s">
        <v>1071</v>
      </c>
      <c r="AH881" s="474"/>
      <c r="AI881" s="483">
        <v>60</v>
      </c>
      <c r="AJ881" s="474" t="s">
        <v>2621</v>
      </c>
      <c r="AK881" s="494" t="s">
        <v>1144</v>
      </c>
      <c r="AL881" s="474">
        <v>78216</v>
      </c>
      <c r="AM881" s="474" t="s">
        <v>52</v>
      </c>
      <c r="AN881" s="474" t="s">
        <v>1074</v>
      </c>
      <c r="AO881" s="474"/>
      <c r="AP881" s="486"/>
      <c r="AQ881" s="486" t="s">
        <v>37</v>
      </c>
      <c r="AR881" s="486"/>
      <c r="AS881" s="495"/>
      <c r="AT881" s="495"/>
      <c r="AU881" s="478"/>
      <c r="AV881" s="471">
        <f t="shared" si="181"/>
        <v>49401140</v>
      </c>
      <c r="AW881" s="471" cm="1">
        <f t="array" ref="AW881">SUM(MID(0&amp;AV881,LARGE(INDEX(ISNUMBER(--MID(AV881,ROW($1:$8),1))*ROW($1:$8),),ROW($1:$8))+1,1)*10^ROW($1:$8)/10)</f>
        <v>49401140</v>
      </c>
      <c r="AX881" s="471" t="str">
        <f>VLOOKUP($AW881,'Item Master Data'!$A:$F,3,FALSE)</f>
        <v>Q.PEAK DUO BLK ML G10.a+</v>
      </c>
      <c r="AY881" s="471">
        <f>VLOOKUP($AW881,'Item Master Data'!$A:$F,6,FALSE)</f>
        <v>400</v>
      </c>
      <c r="AZ881" s="471">
        <f t="shared" si="182"/>
        <v>24</v>
      </c>
      <c r="BA881" s="471">
        <f>VLOOKUP(AW881,'Item Master Data'!$A:$G,7,FALSE)</f>
        <v>32</v>
      </c>
      <c r="BB881" s="471"/>
      <c r="BC881" s="471">
        <f t="shared" si="183"/>
        <v>0</v>
      </c>
    </row>
    <row r="882" spans="1:55">
      <c r="A882" s="472"/>
      <c r="B882" s="514">
        <v>44557</v>
      </c>
      <c r="C882" s="514"/>
      <c r="D882" s="485" t="s">
        <v>2322</v>
      </c>
      <c r="E882" s="474" t="s">
        <v>2789</v>
      </c>
      <c r="F882" s="474"/>
      <c r="G882" s="474">
        <v>2022</v>
      </c>
      <c r="H882" s="474">
        <v>12</v>
      </c>
      <c r="I882" s="485"/>
      <c r="J882" s="475"/>
      <c r="K882" s="483" t="s">
        <v>2888</v>
      </c>
      <c r="L882" s="474" t="s">
        <v>2459</v>
      </c>
      <c r="M882" s="487">
        <v>44545</v>
      </c>
      <c r="N882" s="487">
        <v>44819</v>
      </c>
      <c r="O882" s="487"/>
      <c r="P882" s="475"/>
      <c r="Q882" s="475"/>
      <c r="R882" s="475"/>
      <c r="S882" s="474" t="s">
        <v>1563</v>
      </c>
      <c r="T882" s="474">
        <v>60</v>
      </c>
      <c r="U882" s="474">
        <v>49401140</v>
      </c>
      <c r="V882" s="474" t="s">
        <v>2855</v>
      </c>
      <c r="W882" s="474">
        <v>400</v>
      </c>
      <c r="X882" s="476">
        <v>768</v>
      </c>
      <c r="Y882" s="477">
        <f t="shared" si="184"/>
        <v>307200</v>
      </c>
      <c r="Z882" s="478">
        <v>0.52500000000000002</v>
      </c>
      <c r="AA882" s="479">
        <f t="shared" si="185"/>
        <v>161280</v>
      </c>
      <c r="AB882" s="480"/>
      <c r="AC882" s="481">
        <f t="shared" si="188"/>
        <v>0</v>
      </c>
      <c r="AD882" s="490"/>
      <c r="AE882" s="482"/>
      <c r="AF882" s="493">
        <f t="shared" si="186"/>
        <v>161280</v>
      </c>
      <c r="AG882" s="474" t="s">
        <v>1071</v>
      </c>
      <c r="AH882" s="474"/>
      <c r="AI882" s="483">
        <v>60</v>
      </c>
      <c r="AJ882" s="474" t="s">
        <v>2621</v>
      </c>
      <c r="AK882" s="494" t="s">
        <v>1144</v>
      </c>
      <c r="AL882" s="474">
        <v>78216</v>
      </c>
      <c r="AM882" s="474" t="s">
        <v>52</v>
      </c>
      <c r="AN882" s="474" t="s">
        <v>1074</v>
      </c>
      <c r="AO882" s="474"/>
      <c r="AP882" s="486"/>
      <c r="AQ882" s="486" t="s">
        <v>37</v>
      </c>
      <c r="AR882" s="486"/>
      <c r="AS882" s="495"/>
      <c r="AT882" s="495"/>
      <c r="AU882" s="478"/>
      <c r="AV882" s="471">
        <f t="shared" si="181"/>
        <v>49401140</v>
      </c>
      <c r="AW882" s="471" cm="1">
        <f t="array" ref="AW882">SUM(MID(0&amp;AV882,LARGE(INDEX(ISNUMBER(--MID(AV882,ROW($1:$8),1))*ROW($1:$8),),ROW($1:$8))+1,1)*10^ROW($1:$8)/10)</f>
        <v>49401140</v>
      </c>
      <c r="AX882" s="471" t="str">
        <f>VLOOKUP($AW882,'Item Master Data'!$A:$F,3,FALSE)</f>
        <v>Q.PEAK DUO BLK ML G10.a+</v>
      </c>
      <c r="AY882" s="471">
        <f>VLOOKUP($AW882,'Item Master Data'!$A:$F,6,FALSE)</f>
        <v>400</v>
      </c>
      <c r="AZ882" s="471">
        <f t="shared" si="182"/>
        <v>24</v>
      </c>
      <c r="BA882" s="471">
        <f>VLOOKUP(AW882,'Item Master Data'!$A:$G,7,FALSE)</f>
        <v>32</v>
      </c>
      <c r="BB882" s="471"/>
      <c r="BC882" s="471">
        <f t="shared" si="183"/>
        <v>0</v>
      </c>
    </row>
    <row r="883" spans="1:55">
      <c r="A883" s="472"/>
      <c r="B883" s="514">
        <v>44557</v>
      </c>
      <c r="C883" s="514"/>
      <c r="D883" s="485" t="s">
        <v>2322</v>
      </c>
      <c r="E883" s="474" t="s">
        <v>2789</v>
      </c>
      <c r="F883" s="474"/>
      <c r="G883" s="474">
        <v>2022</v>
      </c>
      <c r="H883" s="474">
        <v>12</v>
      </c>
      <c r="I883" s="485"/>
      <c r="J883" s="475"/>
      <c r="K883" s="483" t="s">
        <v>2889</v>
      </c>
      <c r="L883" s="474" t="s">
        <v>2459</v>
      </c>
      <c r="M883" s="487">
        <v>44545</v>
      </c>
      <c r="N883" s="487">
        <v>44823</v>
      </c>
      <c r="O883" s="487"/>
      <c r="P883" s="475"/>
      <c r="Q883" s="475"/>
      <c r="R883" s="475"/>
      <c r="S883" s="474" t="s">
        <v>1563</v>
      </c>
      <c r="T883" s="474">
        <v>60</v>
      </c>
      <c r="U883" s="474">
        <v>49401140</v>
      </c>
      <c r="V883" s="474" t="s">
        <v>2855</v>
      </c>
      <c r="W883" s="474">
        <v>400</v>
      </c>
      <c r="X883" s="476">
        <v>768</v>
      </c>
      <c r="Y883" s="477">
        <f t="shared" si="184"/>
        <v>307200</v>
      </c>
      <c r="Z883" s="478">
        <v>0.52500000000000002</v>
      </c>
      <c r="AA883" s="479">
        <f t="shared" si="185"/>
        <v>161280</v>
      </c>
      <c r="AB883" s="480"/>
      <c r="AC883" s="481">
        <f t="shared" si="188"/>
        <v>0</v>
      </c>
      <c r="AD883" s="490"/>
      <c r="AE883" s="482"/>
      <c r="AF883" s="493">
        <f t="shared" si="186"/>
        <v>161280</v>
      </c>
      <c r="AG883" s="474" t="s">
        <v>1071</v>
      </c>
      <c r="AH883" s="474"/>
      <c r="AI883" s="483">
        <v>60</v>
      </c>
      <c r="AJ883" s="474" t="s">
        <v>2621</v>
      </c>
      <c r="AK883" s="494" t="s">
        <v>1144</v>
      </c>
      <c r="AL883" s="474">
        <v>78216</v>
      </c>
      <c r="AM883" s="474" t="s">
        <v>52</v>
      </c>
      <c r="AN883" s="474" t="s">
        <v>1074</v>
      </c>
      <c r="AO883" s="474"/>
      <c r="AP883" s="486"/>
      <c r="AQ883" s="486" t="s">
        <v>37</v>
      </c>
      <c r="AR883" s="486"/>
      <c r="AS883" s="495"/>
      <c r="AT883" s="495"/>
      <c r="AU883" s="478"/>
      <c r="AV883" s="471">
        <f t="shared" si="181"/>
        <v>49401140</v>
      </c>
      <c r="AW883" s="471" cm="1">
        <f t="array" ref="AW883">SUM(MID(0&amp;AV883,LARGE(INDEX(ISNUMBER(--MID(AV883,ROW($1:$8),1))*ROW($1:$8),),ROW($1:$8))+1,1)*10^ROW($1:$8)/10)</f>
        <v>49401140</v>
      </c>
      <c r="AX883" s="471" t="str">
        <f>VLOOKUP($AW883,'Item Master Data'!$A:$F,3,FALSE)</f>
        <v>Q.PEAK DUO BLK ML G10.a+</v>
      </c>
      <c r="AY883" s="471">
        <f>VLOOKUP($AW883,'Item Master Data'!$A:$F,6,FALSE)</f>
        <v>400</v>
      </c>
      <c r="AZ883" s="471">
        <f t="shared" si="182"/>
        <v>24</v>
      </c>
      <c r="BA883" s="471">
        <f>VLOOKUP(AW883,'Item Master Data'!$A:$G,7,FALSE)</f>
        <v>32</v>
      </c>
      <c r="BB883" s="471"/>
      <c r="BC883" s="471">
        <f t="shared" si="183"/>
        <v>0</v>
      </c>
    </row>
    <row r="884" spans="1:55">
      <c r="A884" s="472"/>
      <c r="B884" s="514">
        <v>44557</v>
      </c>
      <c r="C884" s="514"/>
      <c r="D884" s="485" t="s">
        <v>2322</v>
      </c>
      <c r="E884" s="474" t="s">
        <v>2789</v>
      </c>
      <c r="F884" s="474"/>
      <c r="G884" s="474">
        <v>2022</v>
      </c>
      <c r="H884" s="474">
        <v>12</v>
      </c>
      <c r="I884" s="485"/>
      <c r="J884" s="475"/>
      <c r="K884" s="483" t="s">
        <v>2890</v>
      </c>
      <c r="L884" s="474" t="s">
        <v>2459</v>
      </c>
      <c r="M884" s="487">
        <v>44545</v>
      </c>
      <c r="N884" s="487">
        <v>44835</v>
      </c>
      <c r="O884" s="487"/>
      <c r="P884" s="475"/>
      <c r="Q884" s="475"/>
      <c r="R884" s="475"/>
      <c r="S884" s="474" t="s">
        <v>1563</v>
      </c>
      <c r="T884" s="474">
        <v>60</v>
      </c>
      <c r="U884" s="474">
        <v>49401140</v>
      </c>
      <c r="V884" s="474" t="s">
        <v>2855</v>
      </c>
      <c r="W884" s="474">
        <v>400</v>
      </c>
      <c r="X884" s="476">
        <v>768</v>
      </c>
      <c r="Y884" s="477">
        <f t="shared" si="184"/>
        <v>307200</v>
      </c>
      <c r="Z884" s="478">
        <v>0.52500000000000002</v>
      </c>
      <c r="AA884" s="479">
        <f t="shared" si="185"/>
        <v>161280</v>
      </c>
      <c r="AB884" s="480"/>
      <c r="AC884" s="481">
        <f t="shared" si="188"/>
        <v>0</v>
      </c>
      <c r="AD884" s="490"/>
      <c r="AE884" s="482"/>
      <c r="AF884" s="493">
        <f t="shared" si="186"/>
        <v>161280</v>
      </c>
      <c r="AG884" s="474" t="s">
        <v>1071</v>
      </c>
      <c r="AH884" s="474"/>
      <c r="AI884" s="483">
        <v>60</v>
      </c>
      <c r="AJ884" s="474" t="s">
        <v>2621</v>
      </c>
      <c r="AK884" s="494" t="s">
        <v>1144</v>
      </c>
      <c r="AL884" s="474">
        <v>78216</v>
      </c>
      <c r="AM884" s="474" t="s">
        <v>52</v>
      </c>
      <c r="AN884" s="474" t="s">
        <v>1074</v>
      </c>
      <c r="AO884" s="474"/>
      <c r="AP884" s="486"/>
      <c r="AQ884" s="486" t="s">
        <v>37</v>
      </c>
      <c r="AR884" s="486"/>
      <c r="AS884" s="495"/>
      <c r="AT884" s="495"/>
      <c r="AU884" s="478"/>
      <c r="AV884" s="471">
        <f t="shared" si="181"/>
        <v>49401140</v>
      </c>
      <c r="AW884" s="471" cm="1">
        <f t="array" ref="AW884">SUM(MID(0&amp;AV884,LARGE(INDEX(ISNUMBER(--MID(AV884,ROW($1:$8),1))*ROW($1:$8),),ROW($1:$8))+1,1)*10^ROW($1:$8)/10)</f>
        <v>49401140</v>
      </c>
      <c r="AX884" s="471" t="str">
        <f>VLOOKUP($AW884,'Item Master Data'!$A:$F,3,FALSE)</f>
        <v>Q.PEAK DUO BLK ML G10.a+</v>
      </c>
      <c r="AY884" s="471">
        <f>VLOOKUP($AW884,'Item Master Data'!$A:$F,6,FALSE)</f>
        <v>400</v>
      </c>
      <c r="AZ884" s="471">
        <f t="shared" si="182"/>
        <v>24</v>
      </c>
      <c r="BA884" s="471">
        <f>VLOOKUP(AW884,'Item Master Data'!$A:$G,7,FALSE)</f>
        <v>32</v>
      </c>
      <c r="BB884" s="471"/>
      <c r="BC884" s="471">
        <f t="shared" si="183"/>
        <v>0</v>
      </c>
    </row>
    <row r="885" spans="1:55">
      <c r="A885" s="472"/>
      <c r="B885" s="514">
        <v>44557</v>
      </c>
      <c r="C885" s="514"/>
      <c r="D885" s="485" t="s">
        <v>2322</v>
      </c>
      <c r="E885" s="474" t="s">
        <v>2789</v>
      </c>
      <c r="F885" s="474"/>
      <c r="G885" s="474">
        <v>2022</v>
      </c>
      <c r="H885" s="474">
        <v>12</v>
      </c>
      <c r="I885" s="485"/>
      <c r="J885" s="475"/>
      <c r="K885" s="483" t="s">
        <v>2891</v>
      </c>
      <c r="L885" s="474" t="s">
        <v>2459</v>
      </c>
      <c r="M885" s="487">
        <v>44545</v>
      </c>
      <c r="N885" s="487">
        <v>44837</v>
      </c>
      <c r="O885" s="487"/>
      <c r="P885" s="475"/>
      <c r="Q885" s="475"/>
      <c r="R885" s="475"/>
      <c r="S885" s="474" t="s">
        <v>1563</v>
      </c>
      <c r="T885" s="474">
        <v>60</v>
      </c>
      <c r="U885" s="474">
        <v>49401140</v>
      </c>
      <c r="V885" s="474" t="s">
        <v>2855</v>
      </c>
      <c r="W885" s="474">
        <v>400</v>
      </c>
      <c r="X885" s="476">
        <v>768</v>
      </c>
      <c r="Y885" s="477">
        <f t="shared" si="184"/>
        <v>307200</v>
      </c>
      <c r="Z885" s="478">
        <v>0.52500000000000002</v>
      </c>
      <c r="AA885" s="479">
        <f t="shared" si="185"/>
        <v>161280</v>
      </c>
      <c r="AB885" s="480"/>
      <c r="AC885" s="481">
        <f t="shared" si="188"/>
        <v>0</v>
      </c>
      <c r="AD885" s="490"/>
      <c r="AE885" s="482"/>
      <c r="AF885" s="493">
        <f t="shared" si="186"/>
        <v>161280</v>
      </c>
      <c r="AG885" s="474" t="s">
        <v>1071</v>
      </c>
      <c r="AH885" s="474"/>
      <c r="AI885" s="483">
        <v>60</v>
      </c>
      <c r="AJ885" s="474" t="s">
        <v>2621</v>
      </c>
      <c r="AK885" s="494" t="s">
        <v>1144</v>
      </c>
      <c r="AL885" s="474">
        <v>78216</v>
      </c>
      <c r="AM885" s="474" t="s">
        <v>52</v>
      </c>
      <c r="AN885" s="474" t="s">
        <v>1074</v>
      </c>
      <c r="AO885" s="474"/>
      <c r="AP885" s="486"/>
      <c r="AQ885" s="486" t="s">
        <v>37</v>
      </c>
      <c r="AR885" s="486"/>
      <c r="AS885" s="495"/>
      <c r="AT885" s="495"/>
      <c r="AU885" s="478"/>
      <c r="AV885" s="471">
        <f t="shared" si="181"/>
        <v>49401140</v>
      </c>
      <c r="AW885" s="471" cm="1">
        <f t="array" ref="AW885">SUM(MID(0&amp;AV885,LARGE(INDEX(ISNUMBER(--MID(AV885,ROW($1:$8),1))*ROW($1:$8),),ROW($1:$8))+1,1)*10^ROW($1:$8)/10)</f>
        <v>49401140</v>
      </c>
      <c r="AX885" s="471" t="str">
        <f>VLOOKUP($AW885,'Item Master Data'!$A:$F,3,FALSE)</f>
        <v>Q.PEAK DUO BLK ML G10.a+</v>
      </c>
      <c r="AY885" s="471">
        <f>VLOOKUP($AW885,'Item Master Data'!$A:$F,6,FALSE)</f>
        <v>400</v>
      </c>
      <c r="AZ885" s="471">
        <f t="shared" si="182"/>
        <v>24</v>
      </c>
      <c r="BA885" s="471">
        <f>VLOOKUP(AW885,'Item Master Data'!$A:$G,7,FALSE)</f>
        <v>32</v>
      </c>
      <c r="BB885" s="471"/>
      <c r="BC885" s="471">
        <f t="shared" si="183"/>
        <v>0</v>
      </c>
    </row>
    <row r="886" spans="1:55">
      <c r="A886" s="472"/>
      <c r="B886" s="514">
        <v>44557</v>
      </c>
      <c r="C886" s="514"/>
      <c r="D886" s="485" t="s">
        <v>2322</v>
      </c>
      <c r="E886" s="474" t="s">
        <v>2789</v>
      </c>
      <c r="F886" s="474"/>
      <c r="G886" s="474">
        <v>2022</v>
      </c>
      <c r="H886" s="474">
        <v>12</v>
      </c>
      <c r="I886" s="485"/>
      <c r="J886" s="475"/>
      <c r="K886" s="483" t="s">
        <v>2892</v>
      </c>
      <c r="L886" s="474" t="s">
        <v>2459</v>
      </c>
      <c r="M886" s="487">
        <v>44545</v>
      </c>
      <c r="N886" s="487">
        <v>44840</v>
      </c>
      <c r="O886" s="487"/>
      <c r="P886" s="475"/>
      <c r="Q886" s="475"/>
      <c r="R886" s="475"/>
      <c r="S886" s="474" t="s">
        <v>1563</v>
      </c>
      <c r="T886" s="474">
        <v>60</v>
      </c>
      <c r="U886" s="474">
        <v>49401140</v>
      </c>
      <c r="V886" s="474" t="s">
        <v>2855</v>
      </c>
      <c r="W886" s="474">
        <v>400</v>
      </c>
      <c r="X886" s="476">
        <v>768</v>
      </c>
      <c r="Y886" s="477">
        <f t="shared" si="184"/>
        <v>307200</v>
      </c>
      <c r="Z886" s="478">
        <v>0.52500000000000002</v>
      </c>
      <c r="AA886" s="479">
        <f t="shared" si="185"/>
        <v>161280</v>
      </c>
      <c r="AB886" s="480"/>
      <c r="AC886" s="481">
        <f t="shared" si="188"/>
        <v>0</v>
      </c>
      <c r="AD886" s="490"/>
      <c r="AE886" s="482"/>
      <c r="AF886" s="493">
        <f t="shared" si="186"/>
        <v>161280</v>
      </c>
      <c r="AG886" s="474" t="s">
        <v>1071</v>
      </c>
      <c r="AH886" s="474"/>
      <c r="AI886" s="483">
        <v>60</v>
      </c>
      <c r="AJ886" s="474" t="s">
        <v>2621</v>
      </c>
      <c r="AK886" s="494" t="s">
        <v>1144</v>
      </c>
      <c r="AL886" s="474">
        <v>78216</v>
      </c>
      <c r="AM886" s="474" t="s">
        <v>52</v>
      </c>
      <c r="AN886" s="474" t="s">
        <v>1074</v>
      </c>
      <c r="AO886" s="474"/>
      <c r="AP886" s="486"/>
      <c r="AQ886" s="486" t="s">
        <v>37</v>
      </c>
      <c r="AR886" s="486"/>
      <c r="AS886" s="495"/>
      <c r="AT886" s="495"/>
      <c r="AU886" s="478"/>
      <c r="AV886" s="471">
        <f t="shared" si="181"/>
        <v>49401140</v>
      </c>
      <c r="AW886" s="471" cm="1">
        <f t="array" ref="AW886">SUM(MID(0&amp;AV886,LARGE(INDEX(ISNUMBER(--MID(AV886,ROW($1:$8),1))*ROW($1:$8),),ROW($1:$8))+1,1)*10^ROW($1:$8)/10)</f>
        <v>49401140</v>
      </c>
      <c r="AX886" s="471" t="str">
        <f>VLOOKUP($AW886,'Item Master Data'!$A:$F,3,FALSE)</f>
        <v>Q.PEAK DUO BLK ML G10.a+</v>
      </c>
      <c r="AY886" s="471">
        <f>VLOOKUP($AW886,'Item Master Data'!$A:$F,6,FALSE)</f>
        <v>400</v>
      </c>
      <c r="AZ886" s="471">
        <f t="shared" si="182"/>
        <v>24</v>
      </c>
      <c r="BA886" s="471">
        <f>VLOOKUP(AW886,'Item Master Data'!$A:$G,7,FALSE)</f>
        <v>32</v>
      </c>
      <c r="BB886" s="471"/>
      <c r="BC886" s="471">
        <f t="shared" si="183"/>
        <v>0</v>
      </c>
    </row>
    <row r="887" spans="1:55">
      <c r="A887" s="472"/>
      <c r="B887" s="514">
        <v>44557</v>
      </c>
      <c r="C887" s="514"/>
      <c r="D887" s="485" t="s">
        <v>2322</v>
      </c>
      <c r="E887" s="474" t="s">
        <v>2789</v>
      </c>
      <c r="F887" s="474"/>
      <c r="G887" s="474">
        <v>2022</v>
      </c>
      <c r="H887" s="474">
        <v>12</v>
      </c>
      <c r="I887" s="485"/>
      <c r="J887" s="475"/>
      <c r="K887" s="483" t="s">
        <v>2893</v>
      </c>
      <c r="L887" s="474" t="s">
        <v>2459</v>
      </c>
      <c r="M887" s="487">
        <v>44545</v>
      </c>
      <c r="N887" s="487">
        <v>44844</v>
      </c>
      <c r="O887" s="487"/>
      <c r="P887" s="475"/>
      <c r="Q887" s="475"/>
      <c r="R887" s="475"/>
      <c r="S887" s="474" t="s">
        <v>1563</v>
      </c>
      <c r="T887" s="474">
        <v>60</v>
      </c>
      <c r="U887" s="474">
        <v>49401140</v>
      </c>
      <c r="V887" s="474" t="s">
        <v>2855</v>
      </c>
      <c r="W887" s="474">
        <v>400</v>
      </c>
      <c r="X887" s="476">
        <v>768</v>
      </c>
      <c r="Y887" s="477">
        <f t="shared" si="184"/>
        <v>307200</v>
      </c>
      <c r="Z887" s="478">
        <v>0.52500000000000002</v>
      </c>
      <c r="AA887" s="479">
        <f t="shared" si="185"/>
        <v>161280</v>
      </c>
      <c r="AB887" s="480"/>
      <c r="AC887" s="481">
        <f t="shared" si="188"/>
        <v>0</v>
      </c>
      <c r="AD887" s="490"/>
      <c r="AE887" s="482"/>
      <c r="AF887" s="493">
        <f t="shared" si="186"/>
        <v>161280</v>
      </c>
      <c r="AG887" s="474" t="s">
        <v>1071</v>
      </c>
      <c r="AH887" s="474"/>
      <c r="AI887" s="483">
        <v>60</v>
      </c>
      <c r="AJ887" s="474" t="s">
        <v>2621</v>
      </c>
      <c r="AK887" s="494" t="s">
        <v>1144</v>
      </c>
      <c r="AL887" s="474">
        <v>78216</v>
      </c>
      <c r="AM887" s="474" t="s">
        <v>52</v>
      </c>
      <c r="AN887" s="474" t="s">
        <v>1074</v>
      </c>
      <c r="AO887" s="474"/>
      <c r="AP887" s="486"/>
      <c r="AQ887" s="486" t="s">
        <v>37</v>
      </c>
      <c r="AR887" s="486"/>
      <c r="AS887" s="495"/>
      <c r="AT887" s="495"/>
      <c r="AU887" s="478"/>
      <c r="AV887" s="471">
        <f t="shared" si="181"/>
        <v>49401140</v>
      </c>
      <c r="AW887" s="471" cm="1">
        <f t="array" ref="AW887">SUM(MID(0&amp;AV887,LARGE(INDEX(ISNUMBER(--MID(AV887,ROW($1:$8),1))*ROW($1:$8),),ROW($1:$8))+1,1)*10^ROW($1:$8)/10)</f>
        <v>49401140</v>
      </c>
      <c r="AX887" s="471" t="str">
        <f>VLOOKUP($AW887,'Item Master Data'!$A:$F,3,FALSE)</f>
        <v>Q.PEAK DUO BLK ML G10.a+</v>
      </c>
      <c r="AY887" s="471">
        <f>VLOOKUP($AW887,'Item Master Data'!$A:$F,6,FALSE)</f>
        <v>400</v>
      </c>
      <c r="AZ887" s="471">
        <f t="shared" si="182"/>
        <v>24</v>
      </c>
      <c r="BA887" s="471">
        <f>VLOOKUP(AW887,'Item Master Data'!$A:$G,7,FALSE)</f>
        <v>32</v>
      </c>
      <c r="BB887" s="471"/>
      <c r="BC887" s="471">
        <f t="shared" si="183"/>
        <v>0</v>
      </c>
    </row>
    <row r="888" spans="1:55">
      <c r="A888" s="472"/>
      <c r="B888" s="514">
        <v>44557</v>
      </c>
      <c r="C888" s="514"/>
      <c r="D888" s="485" t="s">
        <v>2322</v>
      </c>
      <c r="E888" s="474" t="s">
        <v>2789</v>
      </c>
      <c r="F888" s="474"/>
      <c r="G888" s="474">
        <v>2022</v>
      </c>
      <c r="H888" s="474">
        <v>12</v>
      </c>
      <c r="I888" s="485"/>
      <c r="J888" s="475"/>
      <c r="K888" s="483" t="s">
        <v>2894</v>
      </c>
      <c r="L888" s="474" t="s">
        <v>2459</v>
      </c>
      <c r="M888" s="487">
        <v>44545</v>
      </c>
      <c r="N888" s="487">
        <v>44850</v>
      </c>
      <c r="O888" s="487"/>
      <c r="P888" s="475"/>
      <c r="Q888" s="475"/>
      <c r="R888" s="475"/>
      <c r="S888" s="474" t="s">
        <v>1563</v>
      </c>
      <c r="T888" s="474">
        <v>60</v>
      </c>
      <c r="U888" s="474">
        <v>49401140</v>
      </c>
      <c r="V888" s="474" t="s">
        <v>2855</v>
      </c>
      <c r="W888" s="474">
        <v>400</v>
      </c>
      <c r="X888" s="476">
        <v>768</v>
      </c>
      <c r="Y888" s="477">
        <f t="shared" si="184"/>
        <v>307200</v>
      </c>
      <c r="Z888" s="478">
        <v>0.52500000000000002</v>
      </c>
      <c r="AA888" s="479">
        <f t="shared" si="185"/>
        <v>161280</v>
      </c>
      <c r="AB888" s="480"/>
      <c r="AC888" s="481">
        <f t="shared" si="188"/>
        <v>0</v>
      </c>
      <c r="AD888" s="490"/>
      <c r="AE888" s="482"/>
      <c r="AF888" s="493">
        <f t="shared" si="186"/>
        <v>161280</v>
      </c>
      <c r="AG888" s="474" t="s">
        <v>1071</v>
      </c>
      <c r="AH888" s="474"/>
      <c r="AI888" s="483">
        <v>60</v>
      </c>
      <c r="AJ888" s="474" t="s">
        <v>2621</v>
      </c>
      <c r="AK888" s="494" t="s">
        <v>1144</v>
      </c>
      <c r="AL888" s="474">
        <v>78216</v>
      </c>
      <c r="AM888" s="474" t="s">
        <v>52</v>
      </c>
      <c r="AN888" s="474" t="s">
        <v>1074</v>
      </c>
      <c r="AO888" s="474"/>
      <c r="AP888" s="486"/>
      <c r="AQ888" s="486" t="s">
        <v>37</v>
      </c>
      <c r="AR888" s="486"/>
      <c r="AS888" s="495"/>
      <c r="AT888" s="495"/>
      <c r="AU888" s="478"/>
      <c r="AV888" s="471">
        <f t="shared" si="181"/>
        <v>49401140</v>
      </c>
      <c r="AW888" s="471" cm="1">
        <f t="array" ref="AW888">SUM(MID(0&amp;AV888,LARGE(INDEX(ISNUMBER(--MID(AV888,ROW($1:$8),1))*ROW($1:$8),),ROW($1:$8))+1,1)*10^ROW($1:$8)/10)</f>
        <v>49401140</v>
      </c>
      <c r="AX888" s="471" t="str">
        <f>VLOOKUP($AW888,'Item Master Data'!$A:$F,3,FALSE)</f>
        <v>Q.PEAK DUO BLK ML G10.a+</v>
      </c>
      <c r="AY888" s="471">
        <f>VLOOKUP($AW888,'Item Master Data'!$A:$F,6,FALSE)</f>
        <v>400</v>
      </c>
      <c r="AZ888" s="471">
        <f t="shared" si="182"/>
        <v>24</v>
      </c>
      <c r="BA888" s="471">
        <f>VLOOKUP(AW888,'Item Master Data'!$A:$G,7,FALSE)</f>
        <v>32</v>
      </c>
      <c r="BB888" s="471"/>
      <c r="BC888" s="471">
        <f t="shared" si="183"/>
        <v>0</v>
      </c>
    </row>
    <row r="889" spans="1:55">
      <c r="A889" s="472"/>
      <c r="B889" s="514">
        <v>44522</v>
      </c>
      <c r="C889" s="449">
        <v>44658</v>
      </c>
      <c r="D889" s="485" t="s">
        <v>2322</v>
      </c>
      <c r="E889" s="474" t="s">
        <v>1283</v>
      </c>
      <c r="F889" s="474"/>
      <c r="G889" s="474">
        <v>2022</v>
      </c>
      <c r="H889" s="474">
        <v>4</v>
      </c>
      <c r="I889" s="485" t="s">
        <v>2316</v>
      </c>
      <c r="J889" s="475">
        <v>44673</v>
      </c>
      <c r="K889" s="483" t="s">
        <v>2570</v>
      </c>
      <c r="L889" s="474" t="s">
        <v>2459</v>
      </c>
      <c r="M889" s="487">
        <v>44518</v>
      </c>
      <c r="N889" s="487">
        <v>44655</v>
      </c>
      <c r="O889" s="487"/>
      <c r="P889" s="475">
        <v>44659</v>
      </c>
      <c r="Q889" s="475">
        <v>44673</v>
      </c>
      <c r="R889" s="475">
        <v>44676</v>
      </c>
      <c r="S889" s="474" t="s">
        <v>1563</v>
      </c>
      <c r="T889" s="474">
        <v>60</v>
      </c>
      <c r="U889" s="474" t="s">
        <v>1281</v>
      </c>
      <c r="V889" s="474" t="s">
        <v>973</v>
      </c>
      <c r="W889" s="474">
        <v>400</v>
      </c>
      <c r="X889" s="476">
        <v>768</v>
      </c>
      <c r="Y889" s="477">
        <v>307200</v>
      </c>
      <c r="Z889" s="478">
        <v>0.55500000000000005</v>
      </c>
      <c r="AA889" s="492">
        <v>170496.00000000003</v>
      </c>
      <c r="AB889" s="480"/>
      <c r="AC889" s="481">
        <v>0</v>
      </c>
      <c r="AD889" s="490"/>
      <c r="AE889" s="482"/>
      <c r="AF889" s="493">
        <v>170496.00000000003</v>
      </c>
      <c r="AG889" s="474" t="s">
        <v>1071</v>
      </c>
      <c r="AH889" s="474"/>
      <c r="AI889" s="483" t="s">
        <v>2442</v>
      </c>
      <c r="AJ889" s="474" t="s">
        <v>2384</v>
      </c>
      <c r="AK889" s="494" t="s">
        <v>1144</v>
      </c>
      <c r="AL889" s="474">
        <v>75063</v>
      </c>
      <c r="AM889" s="474" t="s">
        <v>52</v>
      </c>
      <c r="AN889" s="474" t="s">
        <v>50</v>
      </c>
      <c r="AO889" s="474"/>
      <c r="AP889" s="486" t="s">
        <v>38</v>
      </c>
      <c r="AQ889" s="486"/>
      <c r="AR889" s="486"/>
      <c r="AS889" s="495"/>
      <c r="AT889" s="495"/>
      <c r="AU889" s="478"/>
      <c r="AV889" s="471" t="str">
        <f t="shared" si="181"/>
        <v>30390456H</v>
      </c>
      <c r="AW889" s="471" cm="1">
        <f t="array" ref="AW889">SUM(MID(0&amp;AV889,LARGE(INDEX(ISNUMBER(--MID(AV889,ROW($1:$8),1))*ROW($1:$8),),ROW($1:$8))+1,1)*10^ROW($1:$8)/10)</f>
        <v>30390456</v>
      </c>
      <c r="AX889" s="471" t="str">
        <f>VLOOKUP($AW889,'Item Master Data'!$A:$F,3,FALSE)</f>
        <v>Q.PEAK DUO BLK ML G10+</v>
      </c>
      <c r="AY889" s="471">
        <f>VLOOKUP($AW889,'Item Master Data'!$A:$F,6,FALSE)</f>
        <v>400</v>
      </c>
      <c r="AZ889" s="471">
        <f t="shared" si="182"/>
        <v>24</v>
      </c>
      <c r="BA889" s="471">
        <f>VLOOKUP(AW889,'Item Master Data'!$A:$G,7,FALSE)</f>
        <v>32</v>
      </c>
      <c r="BB889" s="471"/>
      <c r="BC889" s="471">
        <f t="shared" si="183"/>
        <v>0</v>
      </c>
    </row>
    <row r="890" spans="1:55">
      <c r="A890" s="472"/>
      <c r="B890" s="514">
        <v>44522</v>
      </c>
      <c r="C890" s="449">
        <v>44658</v>
      </c>
      <c r="D890" s="485" t="s">
        <v>2322</v>
      </c>
      <c r="E890" s="474"/>
      <c r="F890" s="474"/>
      <c r="G890" s="474">
        <v>2022</v>
      </c>
      <c r="H890" s="474">
        <v>4</v>
      </c>
      <c r="I890" s="485">
        <v>128061</v>
      </c>
      <c r="J890" s="475">
        <v>44666</v>
      </c>
      <c r="K890" s="483" t="s">
        <v>2571</v>
      </c>
      <c r="L890" s="474" t="s">
        <v>2459</v>
      </c>
      <c r="M890" s="487">
        <v>44518</v>
      </c>
      <c r="N890" s="487">
        <v>44660</v>
      </c>
      <c r="O890" s="487"/>
      <c r="P890" s="475">
        <v>44659</v>
      </c>
      <c r="Q890" s="475">
        <v>44666</v>
      </c>
      <c r="R890" s="475">
        <v>44669</v>
      </c>
      <c r="S890" s="474" t="s">
        <v>1563</v>
      </c>
      <c r="T890" s="474">
        <v>60</v>
      </c>
      <c r="U890" s="474" t="s">
        <v>1281</v>
      </c>
      <c r="V890" s="474" t="s">
        <v>973</v>
      </c>
      <c r="W890" s="474">
        <v>400</v>
      </c>
      <c r="X890" s="476">
        <v>768</v>
      </c>
      <c r="Y890" s="477">
        <v>307200</v>
      </c>
      <c r="Z890" s="478">
        <v>0.55500000000000005</v>
      </c>
      <c r="AA890" s="492">
        <v>170496.00000000003</v>
      </c>
      <c r="AB890" s="480"/>
      <c r="AC890" s="481">
        <v>0</v>
      </c>
      <c r="AD890" s="490"/>
      <c r="AE890" s="482"/>
      <c r="AF890" s="493">
        <v>170496.00000000003</v>
      </c>
      <c r="AG890" s="474" t="s">
        <v>1071</v>
      </c>
      <c r="AH890" s="474"/>
      <c r="AI890" s="483" t="s">
        <v>2442</v>
      </c>
      <c r="AJ890" s="474" t="s">
        <v>2384</v>
      </c>
      <c r="AK890" s="494" t="s">
        <v>1144</v>
      </c>
      <c r="AL890" s="474">
        <v>75063</v>
      </c>
      <c r="AM890" s="474" t="s">
        <v>52</v>
      </c>
      <c r="AN890" s="474" t="s">
        <v>50</v>
      </c>
      <c r="AO890" s="474"/>
      <c r="AP890" s="486" t="s">
        <v>38</v>
      </c>
      <c r="AQ890" s="486"/>
      <c r="AR890" s="486"/>
      <c r="AS890" s="495"/>
      <c r="AT890" s="495"/>
      <c r="AU890" s="478"/>
      <c r="AV890" s="471" t="str">
        <f t="shared" si="181"/>
        <v>30390456H</v>
      </c>
      <c r="AW890" s="471" cm="1">
        <f t="array" ref="AW890">SUM(MID(0&amp;AV890,LARGE(INDEX(ISNUMBER(--MID(AV890,ROW($1:$8),1))*ROW($1:$8),),ROW($1:$8))+1,1)*10^ROW($1:$8)/10)</f>
        <v>30390456</v>
      </c>
      <c r="AX890" s="471" t="str">
        <f>VLOOKUP($AW890,'Item Master Data'!$A:$F,3,FALSE)</f>
        <v>Q.PEAK DUO BLK ML G10+</v>
      </c>
      <c r="AY890" s="471">
        <f>VLOOKUP($AW890,'Item Master Data'!$A:$F,6,FALSE)</f>
        <v>400</v>
      </c>
      <c r="AZ890" s="471">
        <f t="shared" si="182"/>
        <v>24</v>
      </c>
      <c r="BA890" s="471">
        <f>VLOOKUP(AW890,'Item Master Data'!$A:$G,7,FALSE)</f>
        <v>32</v>
      </c>
      <c r="BB890" s="471"/>
      <c r="BC890" s="471">
        <f t="shared" si="183"/>
        <v>0</v>
      </c>
    </row>
    <row r="891" spans="1:55">
      <c r="A891" s="472"/>
      <c r="B891" s="514">
        <v>44522</v>
      </c>
      <c r="C891" s="449">
        <v>44658</v>
      </c>
      <c r="D891" s="485" t="s">
        <v>2322</v>
      </c>
      <c r="E891" s="474" t="s">
        <v>2572</v>
      </c>
      <c r="F891" s="474"/>
      <c r="G891" s="474">
        <v>2022</v>
      </c>
      <c r="H891" s="474">
        <v>4</v>
      </c>
      <c r="I891" s="485">
        <v>128062</v>
      </c>
      <c r="J891" s="475">
        <v>44666</v>
      </c>
      <c r="K891" s="483" t="s">
        <v>2573</v>
      </c>
      <c r="L891" s="474" t="s">
        <v>2459</v>
      </c>
      <c r="M891" s="487">
        <v>44518</v>
      </c>
      <c r="N891" s="487">
        <v>44664</v>
      </c>
      <c r="O891" s="487"/>
      <c r="P891" s="475">
        <v>44659</v>
      </c>
      <c r="Q891" s="475">
        <v>44666</v>
      </c>
      <c r="R891" s="475">
        <v>44669</v>
      </c>
      <c r="S891" s="474" t="s">
        <v>1563</v>
      </c>
      <c r="T891" s="474">
        <v>60</v>
      </c>
      <c r="U891" s="474" t="s">
        <v>1281</v>
      </c>
      <c r="V891" s="474" t="s">
        <v>973</v>
      </c>
      <c r="W891" s="474">
        <v>400</v>
      </c>
      <c r="X891" s="476">
        <v>768</v>
      </c>
      <c r="Y891" s="477">
        <v>307200</v>
      </c>
      <c r="Z891" s="478">
        <v>0.55500000000000005</v>
      </c>
      <c r="AA891" s="492">
        <v>170496.00000000003</v>
      </c>
      <c r="AB891" s="480"/>
      <c r="AC891" s="481">
        <v>0</v>
      </c>
      <c r="AD891" s="490"/>
      <c r="AE891" s="482"/>
      <c r="AF891" s="493">
        <v>170496.00000000003</v>
      </c>
      <c r="AG891" s="474" t="s">
        <v>1071</v>
      </c>
      <c r="AH891" s="474"/>
      <c r="AI891" s="483" t="s">
        <v>2442</v>
      </c>
      <c r="AJ891" s="474" t="s">
        <v>2384</v>
      </c>
      <c r="AK891" s="494" t="s">
        <v>1144</v>
      </c>
      <c r="AL891" s="474">
        <v>75063</v>
      </c>
      <c r="AM891" s="474" t="s">
        <v>52</v>
      </c>
      <c r="AN891" s="474" t="s">
        <v>50</v>
      </c>
      <c r="AO891" s="474"/>
      <c r="AP891" s="486" t="s">
        <v>38</v>
      </c>
      <c r="AQ891" s="486"/>
      <c r="AR891" s="486"/>
      <c r="AS891" s="495"/>
      <c r="AT891" s="495"/>
      <c r="AU891" s="478"/>
      <c r="AV891" s="471" t="str">
        <f t="shared" si="181"/>
        <v>30390456H</v>
      </c>
      <c r="AW891" s="471" cm="1">
        <f t="array" ref="AW891">SUM(MID(0&amp;AV891,LARGE(INDEX(ISNUMBER(--MID(AV891,ROW($1:$8),1))*ROW($1:$8),),ROW($1:$8))+1,1)*10^ROW($1:$8)/10)</f>
        <v>30390456</v>
      </c>
      <c r="AX891" s="471" t="str">
        <f>VLOOKUP($AW891,'Item Master Data'!$A:$F,3,FALSE)</f>
        <v>Q.PEAK DUO BLK ML G10+</v>
      </c>
      <c r="AY891" s="471">
        <f>VLOOKUP($AW891,'Item Master Data'!$A:$F,6,FALSE)</f>
        <v>400</v>
      </c>
      <c r="AZ891" s="471">
        <f t="shared" si="182"/>
        <v>24</v>
      </c>
      <c r="BA891" s="471">
        <f>VLOOKUP(AW891,'Item Master Data'!$A:$G,7,FALSE)</f>
        <v>32</v>
      </c>
      <c r="BB891" s="471"/>
      <c r="BC891" s="471">
        <f t="shared" si="183"/>
        <v>0</v>
      </c>
    </row>
    <row r="892" spans="1:55">
      <c r="A892" s="472"/>
      <c r="B892" s="514">
        <v>44522</v>
      </c>
      <c r="C892" s="449">
        <v>44658</v>
      </c>
      <c r="D892" s="485" t="s">
        <v>2322</v>
      </c>
      <c r="E892" s="474" t="s">
        <v>1283</v>
      </c>
      <c r="F892" s="474"/>
      <c r="G892" s="474">
        <v>2022</v>
      </c>
      <c r="H892" s="474">
        <v>4</v>
      </c>
      <c r="I892" s="485"/>
      <c r="J892" s="475"/>
      <c r="K892" s="483" t="s">
        <v>2580</v>
      </c>
      <c r="L892" s="474" t="s">
        <v>2459</v>
      </c>
      <c r="M892" s="487">
        <v>44518</v>
      </c>
      <c r="N892" s="487">
        <v>44670</v>
      </c>
      <c r="O892" s="487"/>
      <c r="P892" s="475">
        <v>44659</v>
      </c>
      <c r="Q892" s="475">
        <v>44680</v>
      </c>
      <c r="R892" s="475">
        <v>44684</v>
      </c>
      <c r="S892" s="474" t="s">
        <v>1563</v>
      </c>
      <c r="T892" s="474">
        <v>60</v>
      </c>
      <c r="U892" s="474" t="s">
        <v>1281</v>
      </c>
      <c r="V892" s="474" t="s">
        <v>973</v>
      </c>
      <c r="W892" s="474">
        <v>400</v>
      </c>
      <c r="X892" s="476">
        <v>768</v>
      </c>
      <c r="Y892" s="477">
        <v>307200</v>
      </c>
      <c r="Z892" s="478">
        <v>0.55500000000000005</v>
      </c>
      <c r="AA892" s="492">
        <v>170496.00000000003</v>
      </c>
      <c r="AB892" s="480"/>
      <c r="AC892" s="481">
        <v>0</v>
      </c>
      <c r="AD892" s="490"/>
      <c r="AE892" s="482"/>
      <c r="AF892" s="493">
        <v>170496.00000000003</v>
      </c>
      <c r="AG892" s="474" t="s">
        <v>1071</v>
      </c>
      <c r="AH892" s="474"/>
      <c r="AI892" s="483" t="s">
        <v>2442</v>
      </c>
      <c r="AJ892" s="474" t="s">
        <v>2510</v>
      </c>
      <c r="AK892" s="494" t="s">
        <v>1144</v>
      </c>
      <c r="AL892" s="474">
        <v>75063</v>
      </c>
      <c r="AM892" s="474" t="s">
        <v>52</v>
      </c>
      <c r="AN892" s="474" t="s">
        <v>50</v>
      </c>
      <c r="AO892" s="474"/>
      <c r="AP892" s="486" t="s">
        <v>38</v>
      </c>
      <c r="AQ892" s="486"/>
      <c r="AR892" s="486"/>
      <c r="AS892" s="495"/>
      <c r="AT892" s="495"/>
      <c r="AU892" s="478"/>
      <c r="AV892" s="471" t="str">
        <f t="shared" si="181"/>
        <v>30390456H</v>
      </c>
      <c r="AW892" s="471" cm="1">
        <f t="array" ref="AW892">SUM(MID(0&amp;AV892,LARGE(INDEX(ISNUMBER(--MID(AV892,ROW($1:$8),1))*ROW($1:$8),),ROW($1:$8))+1,1)*10^ROW($1:$8)/10)</f>
        <v>30390456</v>
      </c>
      <c r="AX892" s="471" t="str">
        <f>VLOOKUP($AW892,'Item Master Data'!$A:$F,3,FALSE)</f>
        <v>Q.PEAK DUO BLK ML G10+</v>
      </c>
      <c r="AY892" s="471">
        <f>VLOOKUP($AW892,'Item Master Data'!$A:$F,6,FALSE)</f>
        <v>400</v>
      </c>
      <c r="AZ892" s="471">
        <f t="shared" si="182"/>
        <v>24</v>
      </c>
      <c r="BA892" s="471">
        <f>VLOOKUP(AW892,'Item Master Data'!$A:$G,7,FALSE)</f>
        <v>32</v>
      </c>
      <c r="BB892" s="471"/>
      <c r="BC892" s="471">
        <f t="shared" si="183"/>
        <v>0</v>
      </c>
    </row>
    <row r="893" spans="1:55">
      <c r="A893" s="472"/>
      <c r="B893" s="514">
        <v>44557</v>
      </c>
      <c r="C893" s="514">
        <v>44587</v>
      </c>
      <c r="D893" s="485" t="s">
        <v>2322</v>
      </c>
      <c r="E893" s="474" t="s">
        <v>1283</v>
      </c>
      <c r="F893" s="474"/>
      <c r="G893" s="474">
        <v>2022</v>
      </c>
      <c r="H893" s="474">
        <v>5</v>
      </c>
      <c r="I893" s="485"/>
      <c r="J893" s="475"/>
      <c r="K893" s="654" t="s">
        <v>2629</v>
      </c>
      <c r="L893" s="474" t="s">
        <v>2459</v>
      </c>
      <c r="M893" s="487">
        <v>44546</v>
      </c>
      <c r="N893" s="487">
        <v>44691</v>
      </c>
      <c r="O893" s="487"/>
      <c r="P893" s="502" t="s">
        <v>5693</v>
      </c>
      <c r="Q893" s="475"/>
      <c r="R893" s="475"/>
      <c r="S893" s="474" t="s">
        <v>1563</v>
      </c>
      <c r="T893" s="474">
        <v>60</v>
      </c>
      <c r="U893" s="474">
        <v>49204132</v>
      </c>
      <c r="V893" s="474" t="s">
        <v>1223</v>
      </c>
      <c r="W893" s="474">
        <v>360</v>
      </c>
      <c r="X893" s="476">
        <v>832</v>
      </c>
      <c r="Y893" s="477">
        <f>X893*W893</f>
        <v>299520</v>
      </c>
      <c r="Z893" s="478">
        <f>298.8/360</f>
        <v>0.83000000000000007</v>
      </c>
      <c r="AA893" s="479">
        <f>Z893*Y893</f>
        <v>248601.60000000003</v>
      </c>
      <c r="AB893" s="480"/>
      <c r="AC893" s="481">
        <v>0</v>
      </c>
      <c r="AD893" s="490"/>
      <c r="AE893" s="482"/>
      <c r="AF893" s="493">
        <f>AA893+AE893</f>
        <v>248601.60000000003</v>
      </c>
      <c r="AG893" s="474" t="s">
        <v>1071</v>
      </c>
      <c r="AH893" s="474"/>
      <c r="AI893" s="483" t="s">
        <v>2442</v>
      </c>
      <c r="AJ893" s="474" t="s">
        <v>2461</v>
      </c>
      <c r="AK893" s="494" t="s">
        <v>1823</v>
      </c>
      <c r="AL893" s="474">
        <v>97210</v>
      </c>
      <c r="AM893" s="474" t="s">
        <v>52</v>
      </c>
      <c r="AN893" s="474" t="s">
        <v>1106</v>
      </c>
      <c r="AO893" s="474"/>
      <c r="AP893" s="486"/>
      <c r="AQ893" s="486" t="s">
        <v>37</v>
      </c>
      <c r="AR893" s="486"/>
      <c r="AS893" s="495"/>
      <c r="AT893" s="495"/>
      <c r="AU893" s="478"/>
      <c r="AV893" s="471">
        <f t="shared" si="181"/>
        <v>49204132</v>
      </c>
      <c r="AW893" s="471" cm="1">
        <f t="array" ref="AW893">SUM(MID(0&amp;AV893,LARGE(INDEX(ISNUMBER(--MID(AV893,ROW($1:$8),1))*ROW($1:$8),),ROW($1:$8))+1,1)*10^ROW($1:$8)/10)</f>
        <v>49204132</v>
      </c>
      <c r="AX893" s="471" t="str">
        <f>VLOOKUP($AW893,'Item Master Data'!$A:$F,3,FALSE)</f>
        <v>Q.PEAK DUO BLK G10+/AC</v>
      </c>
      <c r="AY893" s="471">
        <f>VLOOKUP($AW893,'Item Master Data'!$A:$F,6,FALSE)</f>
        <v>360</v>
      </c>
      <c r="AZ893" s="471">
        <f t="shared" si="182"/>
        <v>32</v>
      </c>
      <c r="BA893" s="471">
        <f>VLOOKUP(AW893,'Item Master Data'!$A:$G,7,FALSE)</f>
        <v>26</v>
      </c>
      <c r="BB893" s="471"/>
      <c r="BC893" s="471">
        <f t="shared" si="183"/>
        <v>0</v>
      </c>
    </row>
    <row r="894" spans="1:55">
      <c r="A894" s="472"/>
      <c r="B894" s="514"/>
      <c r="C894" s="514">
        <v>44587</v>
      </c>
      <c r="D894" s="485" t="s">
        <v>2322</v>
      </c>
      <c r="E894" s="474" t="s">
        <v>1283</v>
      </c>
      <c r="F894" s="474"/>
      <c r="G894" s="474">
        <v>2022</v>
      </c>
      <c r="H894" s="474">
        <v>5</v>
      </c>
      <c r="I894" s="485"/>
      <c r="J894" s="475"/>
      <c r="K894" s="654" t="s">
        <v>2630</v>
      </c>
      <c r="L894" s="474" t="s">
        <v>2459</v>
      </c>
      <c r="M894" s="487">
        <v>44505</v>
      </c>
      <c r="N894" s="487">
        <v>44691</v>
      </c>
      <c r="O894" s="487"/>
      <c r="P894" s="502" t="s">
        <v>5693</v>
      </c>
      <c r="Q894" s="475"/>
      <c r="R894" s="475"/>
      <c r="S894" s="474" t="s">
        <v>1563</v>
      </c>
      <c r="T894" s="474">
        <v>60</v>
      </c>
      <c r="U894" s="474">
        <v>49204132</v>
      </c>
      <c r="V894" s="474" t="s">
        <v>1223</v>
      </c>
      <c r="W894" s="474">
        <v>360</v>
      </c>
      <c r="X894" s="476">
        <v>832</v>
      </c>
      <c r="Y894" s="477">
        <f>X894*W894</f>
        <v>299520</v>
      </c>
      <c r="Z894" s="478">
        <f>298.8/360</f>
        <v>0.83000000000000007</v>
      </c>
      <c r="AA894" s="479">
        <f>Z894*Y894</f>
        <v>248601.60000000003</v>
      </c>
      <c r="AB894" s="480"/>
      <c r="AC894" s="481">
        <v>0</v>
      </c>
      <c r="AD894" s="490"/>
      <c r="AE894" s="482"/>
      <c r="AF894" s="493">
        <f>AA894+AE894</f>
        <v>248601.60000000003</v>
      </c>
      <c r="AG894" s="474" t="s">
        <v>1071</v>
      </c>
      <c r="AH894" s="474"/>
      <c r="AI894" s="483" t="s">
        <v>2442</v>
      </c>
      <c r="AJ894" s="474" t="s">
        <v>2461</v>
      </c>
      <c r="AK894" s="494" t="s">
        <v>1823</v>
      </c>
      <c r="AL894" s="474" t="s">
        <v>2631</v>
      </c>
      <c r="AM894" s="474" t="s">
        <v>52</v>
      </c>
      <c r="AN894" s="474" t="s">
        <v>1106</v>
      </c>
      <c r="AO894" s="474"/>
      <c r="AP894" s="486"/>
      <c r="AQ894" s="486" t="s">
        <v>37</v>
      </c>
      <c r="AR894" s="486"/>
      <c r="AS894" s="495"/>
      <c r="AT894" s="495"/>
      <c r="AU894" s="478"/>
      <c r="AV894" s="471">
        <f t="shared" ref="AV894:AV957" si="189">U894</f>
        <v>49204132</v>
      </c>
      <c r="AW894" s="471" cm="1">
        <f t="array" ref="AW894">SUM(MID(0&amp;AV894,LARGE(INDEX(ISNUMBER(--MID(AV894,ROW($1:$8),1))*ROW($1:$8),),ROW($1:$8))+1,1)*10^ROW($1:$8)/10)</f>
        <v>49204132</v>
      </c>
      <c r="AX894" s="471" t="str">
        <f>VLOOKUP($AW894,'Item Master Data'!$A:$F,3,FALSE)</f>
        <v>Q.PEAK DUO BLK G10+/AC</v>
      </c>
      <c r="AY894" s="471">
        <f>VLOOKUP($AW894,'Item Master Data'!$A:$F,6,FALSE)</f>
        <v>360</v>
      </c>
      <c r="AZ894" s="471">
        <f t="shared" ref="AZ894:AZ957" si="190">X894/BA894</f>
        <v>32</v>
      </c>
      <c r="BA894" s="471">
        <f>VLOOKUP(AW894,'Item Master Data'!$A:$G,7,FALSE)</f>
        <v>26</v>
      </c>
      <c r="BB894" s="471"/>
      <c r="BC894" s="471">
        <f t="shared" ref="BC894:BC957" si="191">W894-AY894</f>
        <v>0</v>
      </c>
    </row>
    <row r="895" spans="1:55">
      <c r="A895" s="472"/>
      <c r="B895" s="514">
        <v>44557</v>
      </c>
      <c r="C895" s="514">
        <v>44587</v>
      </c>
      <c r="D895" s="485" t="s">
        <v>2322</v>
      </c>
      <c r="E895" s="474"/>
      <c r="F895" s="474"/>
      <c r="G895" s="474">
        <v>2022</v>
      </c>
      <c r="H895" s="474">
        <v>4</v>
      </c>
      <c r="I895" s="485">
        <v>128200</v>
      </c>
      <c r="J895" s="475">
        <v>44676</v>
      </c>
      <c r="K895" s="654" t="s">
        <v>2582</v>
      </c>
      <c r="L895" s="474" t="s">
        <v>2551</v>
      </c>
      <c r="M895" s="487">
        <v>44544</v>
      </c>
      <c r="N895" s="487">
        <v>44655</v>
      </c>
      <c r="O895" s="487"/>
      <c r="P895" s="475">
        <v>44664</v>
      </c>
      <c r="Q895" s="475">
        <v>44676</v>
      </c>
      <c r="R895" s="475">
        <v>44680</v>
      </c>
      <c r="S895" s="474" t="s">
        <v>1563</v>
      </c>
      <c r="T895" s="474">
        <v>60</v>
      </c>
      <c r="U895" s="474">
        <v>49204132</v>
      </c>
      <c r="V895" s="474" t="s">
        <v>1223</v>
      </c>
      <c r="W895" s="474">
        <v>360</v>
      </c>
      <c r="X895" s="476">
        <v>624</v>
      </c>
      <c r="Y895" s="477">
        <f>X895*W895</f>
        <v>224640</v>
      </c>
      <c r="Z895" s="478">
        <v>0.78999999999999992</v>
      </c>
      <c r="AA895" s="479">
        <f>Z895*Y895</f>
        <v>177465.59999999998</v>
      </c>
      <c r="AB895" s="480"/>
      <c r="AC895" s="481">
        <v>0</v>
      </c>
      <c r="AD895" s="490"/>
      <c r="AE895" s="482"/>
      <c r="AF895" s="493">
        <f>AA895+AE895</f>
        <v>177465.59999999998</v>
      </c>
      <c r="AG895" s="474" t="s">
        <v>1071</v>
      </c>
      <c r="AH895" s="474"/>
      <c r="AI895" s="483" t="s">
        <v>2442</v>
      </c>
      <c r="AJ895" s="474" t="s">
        <v>1860</v>
      </c>
      <c r="AK895" s="494" t="s">
        <v>50</v>
      </c>
      <c r="AL895" s="474">
        <v>93722</v>
      </c>
      <c r="AM895" s="474" t="s">
        <v>52</v>
      </c>
      <c r="AN895" s="474" t="s">
        <v>1106</v>
      </c>
      <c r="AO895" s="474"/>
      <c r="AP895" s="486"/>
      <c r="AQ895" s="486" t="s">
        <v>37</v>
      </c>
      <c r="AR895" s="486"/>
      <c r="AS895" s="495"/>
      <c r="AT895" s="495"/>
      <c r="AU895" s="478"/>
      <c r="AV895" s="471">
        <f t="shared" si="189"/>
        <v>49204132</v>
      </c>
      <c r="AW895" s="471" cm="1">
        <f t="array" ref="AW895">SUM(MID(0&amp;AV895,LARGE(INDEX(ISNUMBER(--MID(AV895,ROW($1:$8),1))*ROW($1:$8),),ROW($1:$8))+1,1)*10^ROW($1:$8)/10)</f>
        <v>49204132</v>
      </c>
      <c r="AX895" s="471" t="str">
        <f>VLOOKUP($AW895,'Item Master Data'!$A:$F,3,FALSE)</f>
        <v>Q.PEAK DUO BLK G10+/AC</v>
      </c>
      <c r="AY895" s="471">
        <f>VLOOKUP($AW895,'Item Master Data'!$A:$F,6,FALSE)</f>
        <v>360</v>
      </c>
      <c r="AZ895" s="471">
        <f t="shared" si="190"/>
        <v>24</v>
      </c>
      <c r="BA895" s="471">
        <f>VLOOKUP(AW895,'Item Master Data'!$A:$G,7,FALSE)</f>
        <v>26</v>
      </c>
      <c r="BB895" s="471"/>
      <c r="BC895" s="471">
        <f t="shared" si="191"/>
        <v>0</v>
      </c>
    </row>
    <row r="896" spans="1:55">
      <c r="A896" s="472"/>
      <c r="B896" s="514">
        <v>44522</v>
      </c>
      <c r="C896" s="514"/>
      <c r="D896" s="485" t="s">
        <v>2322</v>
      </c>
      <c r="E896" s="474" t="s">
        <v>2726</v>
      </c>
      <c r="F896" s="474"/>
      <c r="G896" s="474">
        <v>2022</v>
      </c>
      <c r="H896" s="474">
        <v>5</v>
      </c>
      <c r="I896" s="485"/>
      <c r="J896" s="475"/>
      <c r="K896" s="654" t="s">
        <v>2757</v>
      </c>
      <c r="L896" s="474" t="s">
        <v>2459</v>
      </c>
      <c r="M896" s="487">
        <v>44518</v>
      </c>
      <c r="N896" s="487">
        <v>44685</v>
      </c>
      <c r="O896" s="487"/>
      <c r="P896" s="475"/>
      <c r="Q896" s="475"/>
      <c r="R896" s="475"/>
      <c r="S896" s="474" t="s">
        <v>1563</v>
      </c>
      <c r="T896" s="474">
        <v>60</v>
      </c>
      <c r="U896" s="474" t="s">
        <v>1281</v>
      </c>
      <c r="V896" s="474" t="s">
        <v>973</v>
      </c>
      <c r="W896" s="474">
        <v>400</v>
      </c>
      <c r="X896" s="476">
        <v>768</v>
      </c>
      <c r="Y896" s="477">
        <v>307200</v>
      </c>
      <c r="Z896" s="478">
        <v>0.55500000000000005</v>
      </c>
      <c r="AA896" s="479">
        <v>170496.00000000003</v>
      </c>
      <c r="AB896" s="480"/>
      <c r="AC896" s="481">
        <v>0</v>
      </c>
      <c r="AD896" s="490"/>
      <c r="AE896" s="482"/>
      <c r="AF896" s="493">
        <v>170496.00000000003</v>
      </c>
      <c r="AG896" s="474" t="s">
        <v>1071</v>
      </c>
      <c r="AH896" s="474"/>
      <c r="AI896" s="483" t="s">
        <v>2442</v>
      </c>
      <c r="AJ896" s="474" t="s">
        <v>2510</v>
      </c>
      <c r="AK896" s="494" t="s">
        <v>1144</v>
      </c>
      <c r="AL896" s="474">
        <v>75063</v>
      </c>
      <c r="AM896" s="474" t="s">
        <v>52</v>
      </c>
      <c r="AN896" s="474"/>
      <c r="AO896" s="474"/>
      <c r="AP896" s="486"/>
      <c r="AQ896" s="486"/>
      <c r="AR896" s="486"/>
      <c r="AS896" s="495"/>
      <c r="AT896" s="495"/>
      <c r="AU896" s="478"/>
      <c r="AV896" s="471" t="str">
        <f t="shared" si="189"/>
        <v>30390456H</v>
      </c>
      <c r="AW896" s="471" cm="1">
        <f t="array" ref="AW896">SUM(MID(0&amp;AV896,LARGE(INDEX(ISNUMBER(--MID(AV896,ROW($1:$8),1))*ROW($1:$8),),ROW($1:$8))+1,1)*10^ROW($1:$8)/10)</f>
        <v>30390456</v>
      </c>
      <c r="AX896" s="471" t="str">
        <f>VLOOKUP($AW896,'Item Master Data'!$A:$F,3,FALSE)</f>
        <v>Q.PEAK DUO BLK ML G10+</v>
      </c>
      <c r="AY896" s="471">
        <f>VLOOKUP($AW896,'Item Master Data'!$A:$F,6,FALSE)</f>
        <v>400</v>
      </c>
      <c r="AZ896" s="471">
        <f t="shared" si="190"/>
        <v>24</v>
      </c>
      <c r="BA896" s="471">
        <f>VLOOKUP(AW896,'Item Master Data'!$A:$G,7,FALSE)</f>
        <v>32</v>
      </c>
      <c r="BB896" s="471"/>
      <c r="BC896" s="471">
        <f t="shared" si="191"/>
        <v>0</v>
      </c>
    </row>
    <row r="897" spans="1:55">
      <c r="A897" s="472"/>
      <c r="B897" s="514">
        <v>44522</v>
      </c>
      <c r="C897" s="514"/>
      <c r="D897" s="485" t="s">
        <v>2322</v>
      </c>
      <c r="E897" s="474" t="s">
        <v>2726</v>
      </c>
      <c r="F897" s="474"/>
      <c r="G897" s="474">
        <v>2022</v>
      </c>
      <c r="H897" s="474">
        <v>9</v>
      </c>
      <c r="I897" s="485"/>
      <c r="J897" s="475"/>
      <c r="K897" s="483" t="s">
        <v>2797</v>
      </c>
      <c r="L897" s="474" t="s">
        <v>2459</v>
      </c>
      <c r="M897" s="487">
        <v>44518</v>
      </c>
      <c r="N897" s="487">
        <v>44716</v>
      </c>
      <c r="O897" s="487"/>
      <c r="P897" s="475"/>
      <c r="Q897" s="475"/>
      <c r="R897" s="475"/>
      <c r="S897" s="474" t="s">
        <v>1563</v>
      </c>
      <c r="T897" s="474">
        <v>60</v>
      </c>
      <c r="U897" s="474">
        <v>49401140</v>
      </c>
      <c r="V897" s="474" t="s">
        <v>973</v>
      </c>
      <c r="W897" s="474">
        <v>400</v>
      </c>
      <c r="X897" s="476">
        <v>768</v>
      </c>
      <c r="Y897" s="477">
        <v>307200</v>
      </c>
      <c r="Z897" s="478">
        <v>0.55500000000000005</v>
      </c>
      <c r="AA897" s="479">
        <v>170496.00000000003</v>
      </c>
      <c r="AB897" s="480"/>
      <c r="AC897" s="481">
        <v>0</v>
      </c>
      <c r="AD897" s="490"/>
      <c r="AE897" s="482"/>
      <c r="AF897" s="493">
        <v>170496.00000000003</v>
      </c>
      <c r="AG897" s="474" t="s">
        <v>1071</v>
      </c>
      <c r="AH897" s="474"/>
      <c r="AI897" s="483" t="s">
        <v>2442</v>
      </c>
      <c r="AJ897" s="474" t="s">
        <v>2384</v>
      </c>
      <c r="AK897" s="494" t="s">
        <v>1144</v>
      </c>
      <c r="AL897" s="474">
        <v>75063</v>
      </c>
      <c r="AM897" s="474" t="s">
        <v>52</v>
      </c>
      <c r="AN897" s="474"/>
      <c r="AO897" s="474"/>
      <c r="AP897" s="486"/>
      <c r="AQ897" s="486"/>
      <c r="AR897" s="486"/>
      <c r="AS897" s="495"/>
      <c r="AT897" s="495"/>
      <c r="AU897" s="478"/>
      <c r="AV897" s="471">
        <f t="shared" si="189"/>
        <v>49401140</v>
      </c>
      <c r="AW897" s="471" cm="1">
        <f t="array" ref="AW897">SUM(MID(0&amp;AV897,LARGE(INDEX(ISNUMBER(--MID(AV897,ROW($1:$8),1))*ROW($1:$8),),ROW($1:$8))+1,1)*10^ROW($1:$8)/10)</f>
        <v>49401140</v>
      </c>
      <c r="AX897" s="471" t="str">
        <f>VLOOKUP($AW897,'Item Master Data'!$A:$F,3,FALSE)</f>
        <v>Q.PEAK DUO BLK ML G10.a+</v>
      </c>
      <c r="AY897" s="471">
        <f>VLOOKUP($AW897,'Item Master Data'!$A:$F,6,FALSE)</f>
        <v>400</v>
      </c>
      <c r="AZ897" s="471">
        <f t="shared" si="190"/>
        <v>24</v>
      </c>
      <c r="BA897" s="471">
        <f>VLOOKUP(AW897,'Item Master Data'!$A:$G,7,FALSE)</f>
        <v>32</v>
      </c>
      <c r="BB897" s="471"/>
      <c r="BC897" s="471">
        <f t="shared" si="191"/>
        <v>0</v>
      </c>
    </row>
    <row r="898" spans="1:55">
      <c r="A898" s="472"/>
      <c r="B898" s="514">
        <v>44599</v>
      </c>
      <c r="C898" s="514"/>
      <c r="D898" s="485" t="s">
        <v>2322</v>
      </c>
      <c r="E898" s="474" t="s">
        <v>2726</v>
      </c>
      <c r="F898" s="474"/>
      <c r="G898" s="474">
        <v>2022</v>
      </c>
      <c r="H898" s="474">
        <v>7</v>
      </c>
      <c r="I898" s="485"/>
      <c r="J898" s="475"/>
      <c r="K898" s="483" t="s">
        <v>2727</v>
      </c>
      <c r="L898" s="474" t="s">
        <v>2459</v>
      </c>
      <c r="M898" s="487">
        <v>44596</v>
      </c>
      <c r="N898" s="487">
        <v>44658</v>
      </c>
      <c r="O898" s="487"/>
      <c r="P898" s="475"/>
      <c r="Q898" s="475"/>
      <c r="R898" s="475"/>
      <c r="S898" s="474" t="s">
        <v>1563</v>
      </c>
      <c r="T898" s="474">
        <v>60</v>
      </c>
      <c r="U898" s="474" t="s">
        <v>1281</v>
      </c>
      <c r="V898" s="474" t="s">
        <v>973</v>
      </c>
      <c r="W898" s="474">
        <v>400</v>
      </c>
      <c r="X898" s="476">
        <v>768</v>
      </c>
      <c r="Y898" s="477">
        <v>307200</v>
      </c>
      <c r="Z898" s="478">
        <v>0.55500000000000005</v>
      </c>
      <c r="AA898" s="479">
        <v>170496.00000000003</v>
      </c>
      <c r="AB898" s="480"/>
      <c r="AC898" s="481">
        <v>0</v>
      </c>
      <c r="AD898" s="490"/>
      <c r="AE898" s="482"/>
      <c r="AF898" s="493">
        <v>170496.00000000003</v>
      </c>
      <c r="AG898" s="474" t="s">
        <v>1071</v>
      </c>
      <c r="AH898" s="474"/>
      <c r="AI898" s="483" t="s">
        <v>2728</v>
      </c>
      <c r="AJ898" s="474" t="s">
        <v>2510</v>
      </c>
      <c r="AK898" s="494" t="s">
        <v>1144</v>
      </c>
      <c r="AL898" s="474">
        <v>75063</v>
      </c>
      <c r="AM898" s="474" t="s">
        <v>52</v>
      </c>
      <c r="AN898" s="474"/>
      <c r="AO898" s="474"/>
      <c r="AP898" s="486"/>
      <c r="AQ898" s="486" t="s">
        <v>37</v>
      </c>
      <c r="AR898" s="486"/>
      <c r="AS898" s="495"/>
      <c r="AT898" s="495"/>
      <c r="AU898" s="478"/>
      <c r="AV898" s="471" t="str">
        <f t="shared" si="189"/>
        <v>30390456H</v>
      </c>
      <c r="AW898" s="471" cm="1">
        <f t="array" ref="AW898">SUM(MID(0&amp;AV898,LARGE(INDEX(ISNUMBER(--MID(AV898,ROW($1:$8),1))*ROW($1:$8),),ROW($1:$8))+1,1)*10^ROW($1:$8)/10)</f>
        <v>30390456</v>
      </c>
      <c r="AX898" s="471" t="str">
        <f>VLOOKUP($AW898,'Item Master Data'!$A:$F,3,FALSE)</f>
        <v>Q.PEAK DUO BLK ML G10+</v>
      </c>
      <c r="AY898" s="471">
        <f>VLOOKUP($AW898,'Item Master Data'!$A:$F,6,FALSE)</f>
        <v>400</v>
      </c>
      <c r="AZ898" s="471">
        <f t="shared" si="190"/>
        <v>24</v>
      </c>
      <c r="BA898" s="471">
        <f>VLOOKUP(AW898,'Item Master Data'!$A:$G,7,FALSE)</f>
        <v>32</v>
      </c>
      <c r="BB898" s="471"/>
      <c r="BC898" s="471">
        <f t="shared" si="191"/>
        <v>0</v>
      </c>
    </row>
    <row r="899" spans="1:55">
      <c r="A899" s="472"/>
      <c r="B899" s="514">
        <v>44599</v>
      </c>
      <c r="C899" s="514"/>
      <c r="D899" s="485" t="s">
        <v>2322</v>
      </c>
      <c r="E899" s="474" t="s">
        <v>2726</v>
      </c>
      <c r="F899" s="474"/>
      <c r="G899" s="474">
        <v>2022</v>
      </c>
      <c r="H899" s="474">
        <v>7</v>
      </c>
      <c r="I899" s="485"/>
      <c r="J899" s="475"/>
      <c r="K899" s="483" t="s">
        <v>2729</v>
      </c>
      <c r="L899" s="474" t="s">
        <v>2459</v>
      </c>
      <c r="M899" s="487">
        <v>44596</v>
      </c>
      <c r="N899" s="487">
        <v>44661</v>
      </c>
      <c r="O899" s="487"/>
      <c r="P899" s="475"/>
      <c r="Q899" s="475"/>
      <c r="R899" s="475"/>
      <c r="S899" s="474" t="s">
        <v>1563</v>
      </c>
      <c r="T899" s="474">
        <v>60</v>
      </c>
      <c r="U899" s="474" t="s">
        <v>1281</v>
      </c>
      <c r="V899" s="474" t="s">
        <v>973</v>
      </c>
      <c r="W899" s="474">
        <v>400</v>
      </c>
      <c r="X899" s="476">
        <v>768</v>
      </c>
      <c r="Y899" s="477">
        <v>307200</v>
      </c>
      <c r="Z899" s="478">
        <v>0.55500000000000005</v>
      </c>
      <c r="AA899" s="479">
        <v>170496.00000000003</v>
      </c>
      <c r="AB899" s="480"/>
      <c r="AC899" s="481">
        <v>0</v>
      </c>
      <c r="AD899" s="490"/>
      <c r="AE899" s="482"/>
      <c r="AF899" s="493">
        <v>170496.00000000003</v>
      </c>
      <c r="AG899" s="474" t="s">
        <v>1071</v>
      </c>
      <c r="AH899" s="474"/>
      <c r="AI899" s="483" t="s">
        <v>2730</v>
      </c>
      <c r="AJ899" s="474" t="s">
        <v>2510</v>
      </c>
      <c r="AK899" s="494" t="s">
        <v>1144</v>
      </c>
      <c r="AL899" s="474">
        <v>75064</v>
      </c>
      <c r="AM899" s="474" t="s">
        <v>52</v>
      </c>
      <c r="AN899" s="474"/>
      <c r="AO899" s="474"/>
      <c r="AP899" s="486"/>
      <c r="AQ899" s="486" t="s">
        <v>37</v>
      </c>
      <c r="AR899" s="486"/>
      <c r="AS899" s="495"/>
      <c r="AT899" s="495"/>
      <c r="AU899" s="478"/>
      <c r="AV899" s="471" t="str">
        <f t="shared" si="189"/>
        <v>30390456H</v>
      </c>
      <c r="AW899" s="471" cm="1">
        <f t="array" ref="AW899">SUM(MID(0&amp;AV899,LARGE(INDEX(ISNUMBER(--MID(AV899,ROW($1:$8),1))*ROW($1:$8),),ROW($1:$8))+1,1)*10^ROW($1:$8)/10)</f>
        <v>30390456</v>
      </c>
      <c r="AX899" s="471" t="str">
        <f>VLOOKUP($AW899,'Item Master Data'!$A:$F,3,FALSE)</f>
        <v>Q.PEAK DUO BLK ML G10+</v>
      </c>
      <c r="AY899" s="471">
        <f>VLOOKUP($AW899,'Item Master Data'!$A:$F,6,FALSE)</f>
        <v>400</v>
      </c>
      <c r="AZ899" s="471">
        <f t="shared" si="190"/>
        <v>24</v>
      </c>
      <c r="BA899" s="471">
        <f>VLOOKUP(AW899,'Item Master Data'!$A:$G,7,FALSE)</f>
        <v>32</v>
      </c>
      <c r="BB899" s="471"/>
      <c r="BC899" s="471">
        <f t="shared" si="191"/>
        <v>0</v>
      </c>
    </row>
    <row r="900" spans="1:55">
      <c r="A900" s="472"/>
      <c r="B900" s="514">
        <v>44599</v>
      </c>
      <c r="C900" s="514"/>
      <c r="D900" s="485" t="s">
        <v>2322</v>
      </c>
      <c r="E900" s="474" t="s">
        <v>2726</v>
      </c>
      <c r="F900" s="474"/>
      <c r="G900" s="474">
        <v>2022</v>
      </c>
      <c r="H900" s="474">
        <v>7</v>
      </c>
      <c r="I900" s="485"/>
      <c r="J900" s="475"/>
      <c r="K900" s="483" t="s">
        <v>2731</v>
      </c>
      <c r="L900" s="474" t="s">
        <v>2459</v>
      </c>
      <c r="M900" s="487">
        <v>44596</v>
      </c>
      <c r="N900" s="487">
        <v>44663</v>
      </c>
      <c r="O900" s="487"/>
      <c r="P900" s="475"/>
      <c r="Q900" s="475"/>
      <c r="R900" s="475"/>
      <c r="S900" s="474" t="s">
        <v>1563</v>
      </c>
      <c r="T900" s="474">
        <v>60</v>
      </c>
      <c r="U900" s="474" t="s">
        <v>1281</v>
      </c>
      <c r="V900" s="474" t="s">
        <v>973</v>
      </c>
      <c r="W900" s="474">
        <v>400</v>
      </c>
      <c r="X900" s="476">
        <v>768</v>
      </c>
      <c r="Y900" s="477">
        <v>307200</v>
      </c>
      <c r="Z900" s="478">
        <v>0.55500000000000005</v>
      </c>
      <c r="AA900" s="479">
        <v>170496.00000000003</v>
      </c>
      <c r="AB900" s="480"/>
      <c r="AC900" s="481">
        <v>0</v>
      </c>
      <c r="AD900" s="490"/>
      <c r="AE900" s="482"/>
      <c r="AF900" s="493">
        <v>170496.00000000003</v>
      </c>
      <c r="AG900" s="474" t="s">
        <v>1071</v>
      </c>
      <c r="AH900" s="474"/>
      <c r="AI900" s="483" t="s">
        <v>2732</v>
      </c>
      <c r="AJ900" s="474" t="s">
        <v>2510</v>
      </c>
      <c r="AK900" s="494" t="s">
        <v>1144</v>
      </c>
      <c r="AL900" s="474">
        <v>75065</v>
      </c>
      <c r="AM900" s="474" t="s">
        <v>52</v>
      </c>
      <c r="AN900" s="474"/>
      <c r="AO900" s="474"/>
      <c r="AP900" s="486"/>
      <c r="AQ900" s="486" t="s">
        <v>37</v>
      </c>
      <c r="AR900" s="486"/>
      <c r="AS900" s="495"/>
      <c r="AT900" s="495"/>
      <c r="AU900" s="478"/>
      <c r="AV900" s="471" t="str">
        <f t="shared" si="189"/>
        <v>30390456H</v>
      </c>
      <c r="AW900" s="471" cm="1">
        <f t="array" ref="AW900">SUM(MID(0&amp;AV900,LARGE(INDEX(ISNUMBER(--MID(AV900,ROW($1:$8),1))*ROW($1:$8),),ROW($1:$8))+1,1)*10^ROW($1:$8)/10)</f>
        <v>30390456</v>
      </c>
      <c r="AX900" s="471" t="str">
        <f>VLOOKUP($AW900,'Item Master Data'!$A:$F,3,FALSE)</f>
        <v>Q.PEAK DUO BLK ML G10+</v>
      </c>
      <c r="AY900" s="471">
        <f>VLOOKUP($AW900,'Item Master Data'!$A:$F,6,FALSE)</f>
        <v>400</v>
      </c>
      <c r="AZ900" s="471">
        <f t="shared" si="190"/>
        <v>24</v>
      </c>
      <c r="BA900" s="471">
        <f>VLOOKUP(AW900,'Item Master Data'!$A:$G,7,FALSE)</f>
        <v>32</v>
      </c>
      <c r="BB900" s="471"/>
      <c r="BC900" s="471">
        <f t="shared" si="191"/>
        <v>0</v>
      </c>
    </row>
    <row r="901" spans="1:55">
      <c r="A901" s="472"/>
      <c r="B901" s="514">
        <v>44599</v>
      </c>
      <c r="C901" s="514"/>
      <c r="D901" s="485" t="s">
        <v>2322</v>
      </c>
      <c r="E901" s="474" t="s">
        <v>2726</v>
      </c>
      <c r="F901" s="474"/>
      <c r="G901" s="474">
        <v>2022</v>
      </c>
      <c r="H901" s="474">
        <v>8</v>
      </c>
      <c r="I901" s="485"/>
      <c r="J901" s="475"/>
      <c r="K901" s="483" t="s">
        <v>2759</v>
      </c>
      <c r="L901" s="474" t="s">
        <v>2459</v>
      </c>
      <c r="M901" s="487">
        <v>44596</v>
      </c>
      <c r="N901" s="487">
        <v>44688</v>
      </c>
      <c r="O901" s="487"/>
      <c r="P901" s="475"/>
      <c r="Q901" s="475"/>
      <c r="R901" s="475"/>
      <c r="S901" s="474" t="s">
        <v>1563</v>
      </c>
      <c r="T901" s="474">
        <v>60</v>
      </c>
      <c r="U901" s="474" t="s">
        <v>1281</v>
      </c>
      <c r="V901" s="474" t="s">
        <v>973</v>
      </c>
      <c r="W901" s="474">
        <v>400</v>
      </c>
      <c r="X901" s="476">
        <v>768</v>
      </c>
      <c r="Y901" s="477">
        <v>307200</v>
      </c>
      <c r="Z901" s="478">
        <v>0.55500000000000005</v>
      </c>
      <c r="AA901" s="479">
        <v>170496.00000000003</v>
      </c>
      <c r="AB901" s="480"/>
      <c r="AC901" s="481">
        <v>0</v>
      </c>
      <c r="AD901" s="490"/>
      <c r="AE901" s="482"/>
      <c r="AF901" s="493">
        <v>170496.00000000003</v>
      </c>
      <c r="AG901" s="474" t="s">
        <v>1071</v>
      </c>
      <c r="AH901" s="474"/>
      <c r="AI901" s="483" t="s">
        <v>2760</v>
      </c>
      <c r="AJ901" s="474" t="s">
        <v>2510</v>
      </c>
      <c r="AK901" s="494" t="s">
        <v>1144</v>
      </c>
      <c r="AL901" s="474">
        <v>75066</v>
      </c>
      <c r="AM901" s="474" t="s">
        <v>52</v>
      </c>
      <c r="AN901" s="474"/>
      <c r="AO901" s="474"/>
      <c r="AP901" s="486"/>
      <c r="AQ901" s="486" t="s">
        <v>37</v>
      </c>
      <c r="AR901" s="486"/>
      <c r="AS901" s="495"/>
      <c r="AT901" s="495"/>
      <c r="AU901" s="478"/>
      <c r="AV901" s="471" t="str">
        <f t="shared" si="189"/>
        <v>30390456H</v>
      </c>
      <c r="AW901" s="471" cm="1">
        <f t="array" ref="AW901">SUM(MID(0&amp;AV901,LARGE(INDEX(ISNUMBER(--MID(AV901,ROW($1:$8),1))*ROW($1:$8),),ROW($1:$8))+1,1)*10^ROW($1:$8)/10)</f>
        <v>30390456</v>
      </c>
      <c r="AX901" s="471" t="str">
        <f>VLOOKUP($AW901,'Item Master Data'!$A:$F,3,FALSE)</f>
        <v>Q.PEAK DUO BLK ML G10+</v>
      </c>
      <c r="AY901" s="471">
        <f>VLOOKUP($AW901,'Item Master Data'!$A:$F,6,FALSE)</f>
        <v>400</v>
      </c>
      <c r="AZ901" s="471">
        <f t="shared" si="190"/>
        <v>24</v>
      </c>
      <c r="BA901" s="471">
        <f>VLOOKUP(AW901,'Item Master Data'!$A:$G,7,FALSE)</f>
        <v>32</v>
      </c>
      <c r="BB901" s="471"/>
      <c r="BC901" s="471">
        <f t="shared" si="191"/>
        <v>0</v>
      </c>
    </row>
    <row r="902" spans="1:55">
      <c r="A902" s="472"/>
      <c r="B902" s="514">
        <v>44599</v>
      </c>
      <c r="C902" s="514"/>
      <c r="D902" s="485" t="s">
        <v>2322</v>
      </c>
      <c r="E902" s="474" t="s">
        <v>2726</v>
      </c>
      <c r="F902" s="474"/>
      <c r="G902" s="474">
        <v>2022</v>
      </c>
      <c r="H902" s="474">
        <v>8</v>
      </c>
      <c r="I902" s="485"/>
      <c r="J902" s="475"/>
      <c r="K902" s="483" t="s">
        <v>2761</v>
      </c>
      <c r="L902" s="474" t="s">
        <v>2459</v>
      </c>
      <c r="M902" s="487">
        <v>44596</v>
      </c>
      <c r="N902" s="487">
        <v>44691</v>
      </c>
      <c r="O902" s="487"/>
      <c r="P902" s="475"/>
      <c r="Q902" s="475"/>
      <c r="R902" s="475"/>
      <c r="S902" s="474" t="s">
        <v>1563</v>
      </c>
      <c r="T902" s="474">
        <v>60</v>
      </c>
      <c r="U902" s="474" t="s">
        <v>1281</v>
      </c>
      <c r="V902" s="474" t="s">
        <v>973</v>
      </c>
      <c r="W902" s="474">
        <v>400</v>
      </c>
      <c r="X902" s="476">
        <v>768</v>
      </c>
      <c r="Y902" s="477">
        <v>307200</v>
      </c>
      <c r="Z902" s="478">
        <v>0.55500000000000005</v>
      </c>
      <c r="AA902" s="479">
        <v>170496.00000000003</v>
      </c>
      <c r="AB902" s="480"/>
      <c r="AC902" s="481">
        <v>0</v>
      </c>
      <c r="AD902" s="490"/>
      <c r="AE902" s="482"/>
      <c r="AF902" s="493">
        <v>170496.00000000003</v>
      </c>
      <c r="AG902" s="474" t="s">
        <v>1071</v>
      </c>
      <c r="AH902" s="474"/>
      <c r="AI902" s="483" t="s">
        <v>2440</v>
      </c>
      <c r="AJ902" s="474" t="s">
        <v>2510</v>
      </c>
      <c r="AK902" s="494" t="s">
        <v>1144</v>
      </c>
      <c r="AL902" s="474">
        <v>75067</v>
      </c>
      <c r="AM902" s="474" t="s">
        <v>52</v>
      </c>
      <c r="AN902" s="474"/>
      <c r="AO902" s="474"/>
      <c r="AP902" s="486"/>
      <c r="AQ902" s="486" t="s">
        <v>37</v>
      </c>
      <c r="AR902" s="486"/>
      <c r="AS902" s="495"/>
      <c r="AT902" s="495"/>
      <c r="AU902" s="478"/>
      <c r="AV902" s="471" t="str">
        <f t="shared" si="189"/>
        <v>30390456H</v>
      </c>
      <c r="AW902" s="471" cm="1">
        <f t="array" ref="AW902">SUM(MID(0&amp;AV902,LARGE(INDEX(ISNUMBER(--MID(AV902,ROW($1:$8),1))*ROW($1:$8),),ROW($1:$8))+1,1)*10^ROW($1:$8)/10)</f>
        <v>30390456</v>
      </c>
      <c r="AX902" s="471" t="str">
        <f>VLOOKUP($AW902,'Item Master Data'!$A:$F,3,FALSE)</f>
        <v>Q.PEAK DUO BLK ML G10+</v>
      </c>
      <c r="AY902" s="471">
        <f>VLOOKUP($AW902,'Item Master Data'!$A:$F,6,FALSE)</f>
        <v>400</v>
      </c>
      <c r="AZ902" s="471">
        <f t="shared" si="190"/>
        <v>24</v>
      </c>
      <c r="BA902" s="471">
        <f>VLOOKUP(AW902,'Item Master Data'!$A:$G,7,FALSE)</f>
        <v>32</v>
      </c>
      <c r="BB902" s="471"/>
      <c r="BC902" s="471">
        <f t="shared" si="191"/>
        <v>0</v>
      </c>
    </row>
    <row r="903" spans="1:55">
      <c r="A903" s="472"/>
      <c r="B903" s="514">
        <v>44599</v>
      </c>
      <c r="C903" s="514"/>
      <c r="D903" s="485" t="s">
        <v>2322</v>
      </c>
      <c r="E903" s="474" t="s">
        <v>2726</v>
      </c>
      <c r="F903" s="474"/>
      <c r="G903" s="474">
        <v>2022</v>
      </c>
      <c r="H903" s="474">
        <v>8</v>
      </c>
      <c r="I903" s="485"/>
      <c r="J903" s="475"/>
      <c r="K903" s="483" t="s">
        <v>2762</v>
      </c>
      <c r="L903" s="474" t="s">
        <v>2459</v>
      </c>
      <c r="M903" s="487">
        <v>44596</v>
      </c>
      <c r="N903" s="487">
        <v>44693</v>
      </c>
      <c r="O903" s="487"/>
      <c r="P903" s="475"/>
      <c r="Q903" s="475"/>
      <c r="R903" s="475"/>
      <c r="S903" s="474" t="s">
        <v>1563</v>
      </c>
      <c r="T903" s="474">
        <v>60</v>
      </c>
      <c r="U903" s="474" t="s">
        <v>1281</v>
      </c>
      <c r="V903" s="474" t="s">
        <v>973</v>
      </c>
      <c r="W903" s="474">
        <v>400</v>
      </c>
      <c r="X903" s="476">
        <v>768</v>
      </c>
      <c r="Y903" s="477">
        <v>307200</v>
      </c>
      <c r="Z903" s="478">
        <v>0.55500000000000005</v>
      </c>
      <c r="AA903" s="479">
        <v>170496.00000000003</v>
      </c>
      <c r="AB903" s="480"/>
      <c r="AC903" s="481">
        <v>0</v>
      </c>
      <c r="AD903" s="490"/>
      <c r="AE903" s="482"/>
      <c r="AF903" s="493">
        <v>170496.00000000003</v>
      </c>
      <c r="AG903" s="474" t="s">
        <v>1071</v>
      </c>
      <c r="AH903" s="474"/>
      <c r="AI903" s="483" t="s">
        <v>2763</v>
      </c>
      <c r="AJ903" s="474" t="s">
        <v>2510</v>
      </c>
      <c r="AK903" s="494" t="s">
        <v>1144</v>
      </c>
      <c r="AL903" s="474">
        <v>75068</v>
      </c>
      <c r="AM903" s="474" t="s">
        <v>52</v>
      </c>
      <c r="AN903" s="474"/>
      <c r="AO903" s="474"/>
      <c r="AP903" s="486"/>
      <c r="AQ903" s="486" t="s">
        <v>37</v>
      </c>
      <c r="AR903" s="486"/>
      <c r="AS903" s="495"/>
      <c r="AT903" s="495"/>
      <c r="AU903" s="478"/>
      <c r="AV903" s="471" t="str">
        <f t="shared" si="189"/>
        <v>30390456H</v>
      </c>
      <c r="AW903" s="471" cm="1">
        <f t="array" ref="AW903">SUM(MID(0&amp;AV903,LARGE(INDEX(ISNUMBER(--MID(AV903,ROW($1:$8),1))*ROW($1:$8),),ROW($1:$8))+1,1)*10^ROW($1:$8)/10)</f>
        <v>30390456</v>
      </c>
      <c r="AX903" s="471" t="str">
        <f>VLOOKUP($AW903,'Item Master Data'!$A:$F,3,FALSE)</f>
        <v>Q.PEAK DUO BLK ML G10+</v>
      </c>
      <c r="AY903" s="471">
        <f>VLOOKUP($AW903,'Item Master Data'!$A:$F,6,FALSE)</f>
        <v>400</v>
      </c>
      <c r="AZ903" s="471">
        <f t="shared" si="190"/>
        <v>24</v>
      </c>
      <c r="BA903" s="471">
        <f>VLOOKUP(AW903,'Item Master Data'!$A:$G,7,FALSE)</f>
        <v>32</v>
      </c>
      <c r="BB903" s="471"/>
      <c r="BC903" s="471">
        <f t="shared" si="191"/>
        <v>0</v>
      </c>
    </row>
    <row r="904" spans="1:55">
      <c r="A904" s="472"/>
      <c r="B904" s="514">
        <v>44557</v>
      </c>
      <c r="C904" s="514">
        <v>44587</v>
      </c>
      <c r="D904" s="485" t="s">
        <v>2322</v>
      </c>
      <c r="E904" s="474" t="s">
        <v>1283</v>
      </c>
      <c r="F904" s="474"/>
      <c r="G904" s="474">
        <v>2022</v>
      </c>
      <c r="H904" s="474">
        <v>7</v>
      </c>
      <c r="I904" s="485"/>
      <c r="J904" s="475"/>
      <c r="K904" s="483" t="s">
        <v>2733</v>
      </c>
      <c r="L904" s="474" t="s">
        <v>2459</v>
      </c>
      <c r="M904" s="487">
        <v>44544</v>
      </c>
      <c r="N904" s="487">
        <v>44747</v>
      </c>
      <c r="O904" s="487"/>
      <c r="P904" s="475"/>
      <c r="Q904" s="475"/>
      <c r="R904" s="475"/>
      <c r="S904" s="474" t="s">
        <v>1563</v>
      </c>
      <c r="T904" s="474">
        <v>60</v>
      </c>
      <c r="U904" s="474" t="s">
        <v>1281</v>
      </c>
      <c r="V904" s="474" t="s">
        <v>1223</v>
      </c>
      <c r="W904" s="474">
        <v>360</v>
      </c>
      <c r="X904" s="476">
        <v>832</v>
      </c>
      <c r="Y904" s="477">
        <f>X904*W904</f>
        <v>299520</v>
      </c>
      <c r="Z904" s="478">
        <v>0.79</v>
      </c>
      <c r="AA904" s="479">
        <f>Z904*Y904</f>
        <v>236620.80000000002</v>
      </c>
      <c r="AB904" s="480"/>
      <c r="AC904" s="481">
        <v>0</v>
      </c>
      <c r="AD904" s="490"/>
      <c r="AE904" s="482"/>
      <c r="AF904" s="493">
        <f>AA904+AE904</f>
        <v>236620.80000000002</v>
      </c>
      <c r="AG904" s="474" t="s">
        <v>1071</v>
      </c>
      <c r="AH904" s="474"/>
      <c r="AI904" s="483" t="s">
        <v>2442</v>
      </c>
      <c r="AJ904" s="474" t="s">
        <v>2461</v>
      </c>
      <c r="AK904" s="494" t="s">
        <v>1823</v>
      </c>
      <c r="AL904" s="474">
        <v>97210</v>
      </c>
      <c r="AM904" s="474" t="s">
        <v>52</v>
      </c>
      <c r="AN904" s="474" t="s">
        <v>1074</v>
      </c>
      <c r="AO904" s="474"/>
      <c r="AP904" s="486"/>
      <c r="AQ904" s="486" t="s">
        <v>37</v>
      </c>
      <c r="AR904" s="486"/>
      <c r="AS904" s="495"/>
      <c r="AT904" s="495"/>
      <c r="AU904" s="478"/>
      <c r="AV904" s="471" t="str">
        <f t="shared" si="189"/>
        <v>30390456H</v>
      </c>
      <c r="AW904" s="471" cm="1">
        <f t="array" ref="AW904">SUM(MID(0&amp;AV904,LARGE(INDEX(ISNUMBER(--MID(AV904,ROW($1:$8),1))*ROW($1:$8),),ROW($1:$8))+1,1)*10^ROW($1:$8)/10)</f>
        <v>30390456</v>
      </c>
      <c r="AX904" s="471" t="str">
        <f>VLOOKUP($AW904,'Item Master Data'!$A:$F,3,FALSE)</f>
        <v>Q.PEAK DUO BLK ML G10+</v>
      </c>
      <c r="AY904" s="471">
        <f>VLOOKUP($AW904,'Item Master Data'!$A:$F,6,FALSE)</f>
        <v>400</v>
      </c>
      <c r="AZ904" s="471">
        <f t="shared" si="190"/>
        <v>26</v>
      </c>
      <c r="BA904" s="471">
        <f>VLOOKUP(AW904,'Item Master Data'!$A:$G,7,FALSE)</f>
        <v>32</v>
      </c>
      <c r="BB904" s="471"/>
      <c r="BC904" s="471">
        <f t="shared" si="191"/>
        <v>-40</v>
      </c>
    </row>
    <row r="905" spans="1:55">
      <c r="A905" s="472"/>
      <c r="B905" s="514">
        <v>44522</v>
      </c>
      <c r="C905" s="514"/>
      <c r="D905" s="485" t="s">
        <v>2322</v>
      </c>
      <c r="E905" s="474" t="s">
        <v>2726</v>
      </c>
      <c r="F905" s="474"/>
      <c r="G905" s="474">
        <v>2022</v>
      </c>
      <c r="H905" s="474">
        <v>5</v>
      </c>
      <c r="I905" s="485"/>
      <c r="J905" s="475"/>
      <c r="K905" s="654" t="s">
        <v>2758</v>
      </c>
      <c r="L905" s="474" t="s">
        <v>2459</v>
      </c>
      <c r="M905" s="487">
        <v>44518</v>
      </c>
      <c r="N905" s="487">
        <v>44690</v>
      </c>
      <c r="O905" s="487"/>
      <c r="P905" s="475"/>
      <c r="Q905" s="475"/>
      <c r="R905" s="475"/>
      <c r="S905" s="474" t="s">
        <v>1563</v>
      </c>
      <c r="T905" s="474">
        <v>60</v>
      </c>
      <c r="U905" s="474" t="s">
        <v>1281</v>
      </c>
      <c r="V905" s="474" t="s">
        <v>973</v>
      </c>
      <c r="W905" s="474">
        <v>400</v>
      </c>
      <c r="X905" s="476">
        <v>768</v>
      </c>
      <c r="Y905" s="477">
        <v>307200</v>
      </c>
      <c r="Z905" s="478">
        <v>0.55500000000000005</v>
      </c>
      <c r="AA905" s="479">
        <v>170496.00000000003</v>
      </c>
      <c r="AB905" s="480"/>
      <c r="AC905" s="481">
        <v>0</v>
      </c>
      <c r="AD905" s="490"/>
      <c r="AE905" s="482"/>
      <c r="AF905" s="493">
        <v>170496.00000000003</v>
      </c>
      <c r="AG905" s="474" t="s">
        <v>1071</v>
      </c>
      <c r="AH905" s="474"/>
      <c r="AI905" s="483" t="s">
        <v>2442</v>
      </c>
      <c r="AJ905" s="474" t="s">
        <v>2384</v>
      </c>
      <c r="AK905" s="494" t="s">
        <v>1144</v>
      </c>
      <c r="AL905" s="474">
        <v>75063</v>
      </c>
      <c r="AM905" s="474" t="s">
        <v>52</v>
      </c>
      <c r="AN905" s="474"/>
      <c r="AO905" s="474"/>
      <c r="AP905" s="486"/>
      <c r="AQ905" s="486"/>
      <c r="AR905" s="486"/>
      <c r="AS905" s="495"/>
      <c r="AT905" s="495"/>
      <c r="AU905" s="478"/>
      <c r="AV905" s="471" t="str">
        <f t="shared" si="189"/>
        <v>30390456H</v>
      </c>
      <c r="AW905" s="471" cm="1">
        <f t="array" ref="AW905">SUM(MID(0&amp;AV905,LARGE(INDEX(ISNUMBER(--MID(AV905,ROW($1:$8),1))*ROW($1:$8),),ROW($1:$8))+1,1)*10^ROW($1:$8)/10)</f>
        <v>30390456</v>
      </c>
      <c r="AX905" s="471" t="str">
        <f>VLOOKUP($AW905,'Item Master Data'!$A:$F,3,FALSE)</f>
        <v>Q.PEAK DUO BLK ML G10+</v>
      </c>
      <c r="AY905" s="471">
        <f>VLOOKUP($AW905,'Item Master Data'!$A:$F,6,FALSE)</f>
        <v>400</v>
      </c>
      <c r="AZ905" s="471">
        <f t="shared" si="190"/>
        <v>24</v>
      </c>
      <c r="BA905" s="471">
        <f>VLOOKUP(AW905,'Item Master Data'!$A:$G,7,FALSE)</f>
        <v>32</v>
      </c>
      <c r="BB905" s="471"/>
      <c r="BC905" s="471">
        <f t="shared" si="191"/>
        <v>0</v>
      </c>
    </row>
    <row r="906" spans="1:55">
      <c r="A906" s="472"/>
      <c r="B906" s="514">
        <v>44557</v>
      </c>
      <c r="C906" s="514">
        <v>44587</v>
      </c>
      <c r="D906" s="485" t="s">
        <v>2322</v>
      </c>
      <c r="E906" s="474" t="s">
        <v>1283</v>
      </c>
      <c r="F906" s="474"/>
      <c r="G906" s="474">
        <v>2022</v>
      </c>
      <c r="H906" s="474">
        <v>7</v>
      </c>
      <c r="I906" s="485"/>
      <c r="J906" s="475"/>
      <c r="K906" s="483" t="s">
        <v>2734</v>
      </c>
      <c r="L906" s="474" t="s">
        <v>2459</v>
      </c>
      <c r="M906" s="487">
        <v>44546</v>
      </c>
      <c r="N906" s="487">
        <v>44754</v>
      </c>
      <c r="O906" s="487"/>
      <c r="P906" s="475"/>
      <c r="Q906" s="475"/>
      <c r="R906" s="475"/>
      <c r="S906" s="474" t="s">
        <v>1563</v>
      </c>
      <c r="T906" s="474">
        <v>60</v>
      </c>
      <c r="U906" s="474" t="s">
        <v>1281</v>
      </c>
      <c r="V906" s="474" t="s">
        <v>1223</v>
      </c>
      <c r="W906" s="474">
        <v>360</v>
      </c>
      <c r="X906" s="476">
        <v>832</v>
      </c>
      <c r="Y906" s="477">
        <f t="shared" ref="Y906:Y911" si="192">X906*W906</f>
        <v>299520</v>
      </c>
      <c r="Z906" s="478">
        <v>0.79</v>
      </c>
      <c r="AA906" s="479">
        <f t="shared" ref="AA906:AA911" si="193">Z906*Y906</f>
        <v>236620.80000000002</v>
      </c>
      <c r="AB906" s="480"/>
      <c r="AC906" s="481">
        <v>0</v>
      </c>
      <c r="AD906" s="490"/>
      <c r="AE906" s="482"/>
      <c r="AF906" s="493">
        <f t="shared" ref="AF906:AF911" si="194">AA906+AE906</f>
        <v>236620.80000000002</v>
      </c>
      <c r="AG906" s="474" t="s">
        <v>1071</v>
      </c>
      <c r="AH906" s="474"/>
      <c r="AI906" s="483" t="s">
        <v>2442</v>
      </c>
      <c r="AJ906" s="474" t="s">
        <v>2461</v>
      </c>
      <c r="AK906" s="494" t="s">
        <v>1823</v>
      </c>
      <c r="AL906" s="474">
        <v>97210</v>
      </c>
      <c r="AM906" s="474" t="s">
        <v>52</v>
      </c>
      <c r="AN906" s="474" t="s">
        <v>1074</v>
      </c>
      <c r="AO906" s="474"/>
      <c r="AP906" s="486"/>
      <c r="AQ906" s="486" t="s">
        <v>37</v>
      </c>
      <c r="AR906" s="486"/>
      <c r="AS906" s="495"/>
      <c r="AT906" s="495"/>
      <c r="AU906" s="478"/>
      <c r="AV906" s="471" t="str">
        <f t="shared" si="189"/>
        <v>30390456H</v>
      </c>
      <c r="AW906" s="471" cm="1">
        <f t="array" ref="AW906">SUM(MID(0&amp;AV906,LARGE(INDEX(ISNUMBER(--MID(AV906,ROW($1:$8),1))*ROW($1:$8),),ROW($1:$8))+1,1)*10^ROW($1:$8)/10)</f>
        <v>30390456</v>
      </c>
      <c r="AX906" s="471" t="str">
        <f>VLOOKUP($AW906,'Item Master Data'!$A:$F,3,FALSE)</f>
        <v>Q.PEAK DUO BLK ML G10+</v>
      </c>
      <c r="AY906" s="471">
        <f>VLOOKUP($AW906,'Item Master Data'!$A:$F,6,FALSE)</f>
        <v>400</v>
      </c>
      <c r="AZ906" s="471">
        <f t="shared" si="190"/>
        <v>26</v>
      </c>
      <c r="BA906" s="471">
        <f>VLOOKUP(AW906,'Item Master Data'!$A:$G,7,FALSE)</f>
        <v>32</v>
      </c>
      <c r="BB906" s="471"/>
      <c r="BC906" s="471">
        <f t="shared" si="191"/>
        <v>-40</v>
      </c>
    </row>
    <row r="907" spans="1:55">
      <c r="A907" s="472"/>
      <c r="B907" s="514"/>
      <c r="C907" s="514"/>
      <c r="D907" s="485" t="s">
        <v>2322</v>
      </c>
      <c r="E907" s="474"/>
      <c r="F907" s="474"/>
      <c r="G907" s="474">
        <v>2022</v>
      </c>
      <c r="H907" s="474">
        <v>3</v>
      </c>
      <c r="I907" s="485">
        <v>127571</v>
      </c>
      <c r="J907" s="475">
        <v>44644</v>
      </c>
      <c r="K907" s="483" t="s">
        <v>2460</v>
      </c>
      <c r="L907" s="474" t="s">
        <v>2459</v>
      </c>
      <c r="M907" s="487">
        <v>44497</v>
      </c>
      <c r="N907" s="487">
        <v>44593</v>
      </c>
      <c r="O907" s="487"/>
      <c r="P907" s="475">
        <v>44637</v>
      </c>
      <c r="Q907" s="475">
        <v>44644</v>
      </c>
      <c r="R907" s="475">
        <v>44649</v>
      </c>
      <c r="S907" s="474" t="s">
        <v>1563</v>
      </c>
      <c r="T907" s="474">
        <v>60</v>
      </c>
      <c r="U907" s="474">
        <v>49204132</v>
      </c>
      <c r="V907" s="474" t="s">
        <v>1223</v>
      </c>
      <c r="W907" s="474">
        <v>360</v>
      </c>
      <c r="X907" s="476">
        <v>832</v>
      </c>
      <c r="Y907" s="491">
        <f t="shared" si="192"/>
        <v>299520</v>
      </c>
      <c r="Z907" s="478">
        <f>284.4/360</f>
        <v>0.78999999999999992</v>
      </c>
      <c r="AA907" s="479">
        <f t="shared" si="193"/>
        <v>236620.79999999999</v>
      </c>
      <c r="AB907" s="480"/>
      <c r="AC907" s="481">
        <v>0</v>
      </c>
      <c r="AD907" s="490"/>
      <c r="AE907" s="482"/>
      <c r="AF907" s="493">
        <f t="shared" si="194"/>
        <v>236620.79999999999</v>
      </c>
      <c r="AG907" s="474" t="s">
        <v>1071</v>
      </c>
      <c r="AH907" s="474"/>
      <c r="AI907" s="483" t="s">
        <v>2442</v>
      </c>
      <c r="AJ907" s="474" t="s">
        <v>2461</v>
      </c>
      <c r="AK907" s="494" t="s">
        <v>1823</v>
      </c>
      <c r="AL907" s="474">
        <v>97210</v>
      </c>
      <c r="AM907" s="474" t="s">
        <v>52</v>
      </c>
      <c r="AN907" s="474" t="s">
        <v>1074</v>
      </c>
      <c r="AO907" s="474"/>
      <c r="AP907" s="486"/>
      <c r="AQ907" s="486" t="s">
        <v>37</v>
      </c>
      <c r="AR907" s="486"/>
      <c r="AS907" s="495"/>
      <c r="AT907" s="495"/>
      <c r="AU907" s="478"/>
      <c r="AV907" s="471">
        <f t="shared" si="189"/>
        <v>49204132</v>
      </c>
      <c r="AW907" s="471" cm="1">
        <f t="array" ref="AW907">SUM(MID(0&amp;AV907,LARGE(INDEX(ISNUMBER(--MID(AV907,ROW($1:$8),1))*ROW($1:$8),),ROW($1:$8))+1,1)*10^ROW($1:$8)/10)</f>
        <v>49204132</v>
      </c>
      <c r="AX907" s="471" t="str">
        <f>VLOOKUP($AW907,'Item Master Data'!$A:$F,3,FALSE)</f>
        <v>Q.PEAK DUO BLK G10+/AC</v>
      </c>
      <c r="AY907" s="471">
        <f>VLOOKUP($AW907,'Item Master Data'!$A:$F,6,FALSE)</f>
        <v>360</v>
      </c>
      <c r="AZ907" s="471">
        <f t="shared" si="190"/>
        <v>32</v>
      </c>
      <c r="BA907" s="471">
        <f>VLOOKUP(AW907,'Item Master Data'!$A:$G,7,FALSE)</f>
        <v>26</v>
      </c>
      <c r="BB907" s="471"/>
      <c r="BC907" s="471">
        <f t="shared" si="191"/>
        <v>0</v>
      </c>
    </row>
    <row r="908" spans="1:55">
      <c r="A908" s="472"/>
      <c r="B908" s="514"/>
      <c r="C908" s="514"/>
      <c r="D908" s="485" t="s">
        <v>2322</v>
      </c>
      <c r="E908" s="474"/>
      <c r="F908" s="474"/>
      <c r="G908" s="474">
        <v>2022</v>
      </c>
      <c r="H908" s="474">
        <v>3</v>
      </c>
      <c r="I908" s="485">
        <v>127801</v>
      </c>
      <c r="J908" s="475">
        <v>44651</v>
      </c>
      <c r="K908" s="483" t="s">
        <v>2462</v>
      </c>
      <c r="L908" s="474" t="s">
        <v>2459</v>
      </c>
      <c r="M908" s="487">
        <v>44497</v>
      </c>
      <c r="N908" s="487">
        <v>44622</v>
      </c>
      <c r="O908" s="487"/>
      <c r="P908" s="475">
        <v>44637</v>
      </c>
      <c r="Q908" s="475">
        <v>44651</v>
      </c>
      <c r="R908" s="475">
        <v>44656</v>
      </c>
      <c r="S908" s="474" t="s">
        <v>1563</v>
      </c>
      <c r="T908" s="474">
        <v>60</v>
      </c>
      <c r="U908" s="474">
        <v>49204132</v>
      </c>
      <c r="V908" s="474" t="s">
        <v>1223</v>
      </c>
      <c r="W908" s="474">
        <v>360</v>
      </c>
      <c r="X908" s="476">
        <v>650</v>
      </c>
      <c r="Y908" s="491">
        <f t="shared" si="192"/>
        <v>234000</v>
      </c>
      <c r="Z908" s="478">
        <f>298.8/360</f>
        <v>0.83000000000000007</v>
      </c>
      <c r="AA908" s="479">
        <f t="shared" si="193"/>
        <v>194220.00000000003</v>
      </c>
      <c r="AB908" s="480"/>
      <c r="AC908" s="481">
        <v>0</v>
      </c>
      <c r="AD908" s="490"/>
      <c r="AE908" s="482"/>
      <c r="AF908" s="493">
        <f t="shared" si="194"/>
        <v>194220.00000000003</v>
      </c>
      <c r="AG908" s="474" t="s">
        <v>1071</v>
      </c>
      <c r="AH908" s="474"/>
      <c r="AI908" s="483" t="s">
        <v>2442</v>
      </c>
      <c r="AJ908" s="474" t="s">
        <v>2461</v>
      </c>
      <c r="AK908" s="494" t="s">
        <v>1823</v>
      </c>
      <c r="AL908" s="474">
        <v>97210</v>
      </c>
      <c r="AM908" s="474" t="s">
        <v>52</v>
      </c>
      <c r="AN908" s="474" t="s">
        <v>1106</v>
      </c>
      <c r="AO908" s="474"/>
      <c r="AP908" s="486"/>
      <c r="AQ908" s="486" t="s">
        <v>37</v>
      </c>
      <c r="AR908" s="486"/>
      <c r="AS908" s="495"/>
      <c r="AT908" s="495"/>
      <c r="AU908" s="478"/>
      <c r="AV908" s="471">
        <f t="shared" si="189"/>
        <v>49204132</v>
      </c>
      <c r="AW908" s="471" cm="1">
        <f t="array" ref="AW908">SUM(MID(0&amp;AV908,LARGE(INDEX(ISNUMBER(--MID(AV908,ROW($1:$8),1))*ROW($1:$8),),ROW($1:$8))+1,1)*10^ROW($1:$8)/10)</f>
        <v>49204132</v>
      </c>
      <c r="AX908" s="471" t="str">
        <f>VLOOKUP($AW908,'Item Master Data'!$A:$F,3,FALSE)</f>
        <v>Q.PEAK DUO BLK G10+/AC</v>
      </c>
      <c r="AY908" s="471">
        <f>VLOOKUP($AW908,'Item Master Data'!$A:$F,6,FALSE)</f>
        <v>360</v>
      </c>
      <c r="AZ908" s="471">
        <f t="shared" si="190"/>
        <v>25</v>
      </c>
      <c r="BA908" s="471">
        <f>VLOOKUP(AW908,'Item Master Data'!$A:$G,7,FALSE)</f>
        <v>26</v>
      </c>
      <c r="BB908" s="471"/>
      <c r="BC908" s="471">
        <f t="shared" si="191"/>
        <v>0</v>
      </c>
    </row>
    <row r="909" spans="1:55">
      <c r="A909" s="472"/>
      <c r="B909" s="514"/>
      <c r="C909" s="514"/>
      <c r="D909" s="485" t="s">
        <v>2322</v>
      </c>
      <c r="E909" s="474" t="s">
        <v>2369</v>
      </c>
      <c r="F909" s="474"/>
      <c r="G909" s="474">
        <v>2022</v>
      </c>
      <c r="H909" s="474">
        <v>3</v>
      </c>
      <c r="I909" s="415">
        <v>127855</v>
      </c>
      <c r="J909" s="538">
        <v>44651</v>
      </c>
      <c r="K909" s="523" t="s">
        <v>2462</v>
      </c>
      <c r="L909" s="524" t="s">
        <v>2459</v>
      </c>
      <c r="M909" s="487">
        <v>44497</v>
      </c>
      <c r="N909" s="487">
        <v>44622</v>
      </c>
      <c r="O909" s="487"/>
      <c r="P909" s="475">
        <v>44637</v>
      </c>
      <c r="Q909" s="475">
        <v>44651</v>
      </c>
      <c r="R909" s="475">
        <v>44656</v>
      </c>
      <c r="S909" s="474" t="s">
        <v>1563</v>
      </c>
      <c r="T909" s="474">
        <v>60</v>
      </c>
      <c r="U909" s="474">
        <v>49204132</v>
      </c>
      <c r="V909" s="474" t="s">
        <v>1223</v>
      </c>
      <c r="W909" s="474">
        <v>360</v>
      </c>
      <c r="X909" s="476">
        <v>26</v>
      </c>
      <c r="Y909" s="491">
        <f t="shared" si="192"/>
        <v>9360</v>
      </c>
      <c r="Z909" s="478">
        <f>298.8/360</f>
        <v>0.83000000000000007</v>
      </c>
      <c r="AA909" s="479">
        <f t="shared" si="193"/>
        <v>7768.8000000000011</v>
      </c>
      <c r="AB909" s="480"/>
      <c r="AC909" s="481">
        <v>0</v>
      </c>
      <c r="AD909" s="490"/>
      <c r="AE909" s="482"/>
      <c r="AF909" s="493">
        <f t="shared" si="194"/>
        <v>7768.8000000000011</v>
      </c>
      <c r="AG909" s="474" t="s">
        <v>1071</v>
      </c>
      <c r="AH909" s="474"/>
      <c r="AI909" s="483" t="s">
        <v>2442</v>
      </c>
      <c r="AJ909" s="474" t="s">
        <v>2461</v>
      </c>
      <c r="AK909" s="494" t="s">
        <v>1823</v>
      </c>
      <c r="AL909" s="474">
        <v>97210</v>
      </c>
      <c r="AM909" s="474" t="s">
        <v>52</v>
      </c>
      <c r="AN909" s="474" t="s">
        <v>1106</v>
      </c>
      <c r="AO909" s="474"/>
      <c r="AP909" s="486"/>
      <c r="AQ909" s="486" t="s">
        <v>37</v>
      </c>
      <c r="AR909" s="486"/>
      <c r="AS909" s="495"/>
      <c r="AT909" s="495"/>
      <c r="AU909" s="478"/>
      <c r="AV909" s="471">
        <f t="shared" si="189"/>
        <v>49204132</v>
      </c>
      <c r="AW909" s="471" cm="1">
        <f t="array" ref="AW909">SUM(MID(0&amp;AV909,LARGE(INDEX(ISNUMBER(--MID(AV909,ROW($1:$8),1))*ROW($1:$8),),ROW($1:$8))+1,1)*10^ROW($1:$8)/10)</f>
        <v>49204132</v>
      </c>
      <c r="AX909" s="471" t="str">
        <f>VLOOKUP($AW909,'Item Master Data'!$A:$F,3,FALSE)</f>
        <v>Q.PEAK DUO BLK G10+/AC</v>
      </c>
      <c r="AY909" s="471">
        <f>VLOOKUP($AW909,'Item Master Data'!$A:$F,6,FALSE)</f>
        <v>360</v>
      </c>
      <c r="AZ909" s="471">
        <f t="shared" si="190"/>
        <v>1</v>
      </c>
      <c r="BA909" s="471">
        <f>VLOOKUP(AW909,'Item Master Data'!$A:$G,7,FALSE)</f>
        <v>26</v>
      </c>
      <c r="BB909" s="471"/>
      <c r="BC909" s="471">
        <f t="shared" si="191"/>
        <v>0</v>
      </c>
    </row>
    <row r="910" spans="1:55">
      <c r="A910" s="472"/>
      <c r="B910" s="514"/>
      <c r="C910" s="514"/>
      <c r="D910" s="485" t="s">
        <v>2322</v>
      </c>
      <c r="E910" s="474" t="s">
        <v>5394</v>
      </c>
      <c r="F910" s="474"/>
      <c r="G910" s="474">
        <v>2022</v>
      </c>
      <c r="H910" s="474">
        <v>4</v>
      </c>
      <c r="I910" s="485" t="s">
        <v>3023</v>
      </c>
      <c r="J910" s="475">
        <v>44677</v>
      </c>
      <c r="K910" s="483" t="s">
        <v>2462</v>
      </c>
      <c r="L910" s="474" t="s">
        <v>2459</v>
      </c>
      <c r="M910" s="487">
        <v>44497</v>
      </c>
      <c r="N910" s="487">
        <v>44622</v>
      </c>
      <c r="O910" s="487"/>
      <c r="P910" s="475">
        <v>44637</v>
      </c>
      <c r="Q910" s="475">
        <v>44677</v>
      </c>
      <c r="R910" s="475">
        <v>44683</v>
      </c>
      <c r="S910" s="474" t="s">
        <v>1563</v>
      </c>
      <c r="T910" s="474">
        <v>60</v>
      </c>
      <c r="U910" s="474">
        <v>49204132</v>
      </c>
      <c r="V910" s="474" t="s">
        <v>1223</v>
      </c>
      <c r="W910" s="474">
        <v>360</v>
      </c>
      <c r="X910" s="476">
        <v>156</v>
      </c>
      <c r="Y910" s="491">
        <f t="shared" si="192"/>
        <v>56160</v>
      </c>
      <c r="Z910" s="478">
        <f>298.8/360</f>
        <v>0.83000000000000007</v>
      </c>
      <c r="AA910" s="479">
        <f t="shared" si="193"/>
        <v>46612.800000000003</v>
      </c>
      <c r="AB910" s="480"/>
      <c r="AC910" s="481">
        <v>0</v>
      </c>
      <c r="AD910" s="490"/>
      <c r="AE910" s="482"/>
      <c r="AF910" s="493">
        <f t="shared" si="194"/>
        <v>46612.800000000003</v>
      </c>
      <c r="AG910" s="474" t="s">
        <v>1071</v>
      </c>
      <c r="AH910" s="474"/>
      <c r="AI910" s="483" t="s">
        <v>2442</v>
      </c>
      <c r="AJ910" s="474" t="s">
        <v>2461</v>
      </c>
      <c r="AK910" s="494" t="s">
        <v>1823</v>
      </c>
      <c r="AL910" s="474">
        <v>97210</v>
      </c>
      <c r="AM910" s="474" t="s">
        <v>52</v>
      </c>
      <c r="AN910" s="474" t="s">
        <v>1106</v>
      </c>
      <c r="AO910" s="474"/>
      <c r="AP910" s="486"/>
      <c r="AQ910" s="486" t="s">
        <v>37</v>
      </c>
      <c r="AR910" s="486"/>
      <c r="AS910" s="495"/>
      <c r="AT910" s="495"/>
      <c r="AU910" s="478"/>
      <c r="AV910" s="471">
        <f t="shared" si="189"/>
        <v>49204132</v>
      </c>
      <c r="AW910" s="471" cm="1">
        <f t="array" ref="AW910">SUM(MID(0&amp;AV910,LARGE(INDEX(ISNUMBER(--MID(AV910,ROW($1:$8),1))*ROW($1:$8),),ROW($1:$8))+1,1)*10^ROW($1:$8)/10)</f>
        <v>49204132</v>
      </c>
      <c r="AX910" s="471" t="str">
        <f>VLOOKUP($AW910,'Item Master Data'!$A:$F,3,FALSE)</f>
        <v>Q.PEAK DUO BLK G10+/AC</v>
      </c>
      <c r="AY910" s="471">
        <f>VLOOKUP($AW910,'Item Master Data'!$A:$F,6,FALSE)</f>
        <v>360</v>
      </c>
      <c r="AZ910" s="471">
        <f t="shared" si="190"/>
        <v>6</v>
      </c>
      <c r="BA910" s="471">
        <f>VLOOKUP(AW910,'Item Master Data'!$A:$G,7,FALSE)</f>
        <v>26</v>
      </c>
      <c r="BB910" s="471"/>
      <c r="BC910" s="471">
        <f t="shared" si="191"/>
        <v>0</v>
      </c>
    </row>
    <row r="911" spans="1:55">
      <c r="A911" s="472"/>
      <c r="B911" s="514"/>
      <c r="C911" s="514"/>
      <c r="D911" s="485" t="s">
        <v>2322</v>
      </c>
      <c r="E911" s="474"/>
      <c r="F911" s="474"/>
      <c r="G911" s="474">
        <v>2022</v>
      </c>
      <c r="H911" s="474">
        <v>4</v>
      </c>
      <c r="I911" s="485" t="s">
        <v>5389</v>
      </c>
      <c r="J911" s="475">
        <v>44679</v>
      </c>
      <c r="K911" s="483" t="s">
        <v>2583</v>
      </c>
      <c r="L911" s="474" t="s">
        <v>2459</v>
      </c>
      <c r="M911" s="487">
        <v>44497</v>
      </c>
      <c r="N911" s="487">
        <v>44653</v>
      </c>
      <c r="O911" s="487"/>
      <c r="P911" s="475">
        <v>44671</v>
      </c>
      <c r="Q911" s="475">
        <v>44679</v>
      </c>
      <c r="R911" s="475">
        <v>44684</v>
      </c>
      <c r="S911" s="474" t="s">
        <v>1563</v>
      </c>
      <c r="T911" s="474">
        <v>60</v>
      </c>
      <c r="U911" s="474">
        <v>49204132</v>
      </c>
      <c r="V911" s="474" t="s">
        <v>1223</v>
      </c>
      <c r="W911" s="474">
        <v>360</v>
      </c>
      <c r="X911" s="476">
        <v>832</v>
      </c>
      <c r="Y911" s="477">
        <f t="shared" si="192"/>
        <v>299520</v>
      </c>
      <c r="Z911" s="478">
        <f>298.8/360</f>
        <v>0.83000000000000007</v>
      </c>
      <c r="AA911" s="479">
        <f t="shared" si="193"/>
        <v>248601.60000000003</v>
      </c>
      <c r="AB911" s="480"/>
      <c r="AC911" s="481">
        <v>0</v>
      </c>
      <c r="AD911" s="490"/>
      <c r="AE911" s="482"/>
      <c r="AF911" s="493">
        <f t="shared" si="194"/>
        <v>248601.60000000003</v>
      </c>
      <c r="AG911" s="474" t="s">
        <v>1071</v>
      </c>
      <c r="AH911" s="474"/>
      <c r="AI911" s="483" t="s">
        <v>2442</v>
      </c>
      <c r="AJ911" s="474" t="s">
        <v>2461</v>
      </c>
      <c r="AK911" s="494" t="s">
        <v>1823</v>
      </c>
      <c r="AL911" s="474">
        <v>97210</v>
      </c>
      <c r="AM911" s="474" t="s">
        <v>52</v>
      </c>
      <c r="AN911" s="474" t="s">
        <v>1106</v>
      </c>
      <c r="AO911" s="474"/>
      <c r="AP911" s="486"/>
      <c r="AQ911" s="486" t="s">
        <v>37</v>
      </c>
      <c r="AR911" s="486"/>
      <c r="AS911" s="495"/>
      <c r="AT911" s="495"/>
      <c r="AU911" s="478"/>
      <c r="AV911" s="471">
        <f t="shared" si="189"/>
        <v>49204132</v>
      </c>
      <c r="AW911" s="471" cm="1">
        <f t="array" ref="AW911">SUM(MID(0&amp;AV911,LARGE(INDEX(ISNUMBER(--MID(AV911,ROW($1:$8),1))*ROW($1:$8),),ROW($1:$8))+1,1)*10^ROW($1:$8)/10)</f>
        <v>49204132</v>
      </c>
      <c r="AX911" s="471" t="str">
        <f>VLOOKUP($AW911,'Item Master Data'!$A:$F,3,FALSE)</f>
        <v>Q.PEAK DUO BLK G10+/AC</v>
      </c>
      <c r="AY911" s="471">
        <f>VLOOKUP($AW911,'Item Master Data'!$A:$F,6,FALSE)</f>
        <v>360</v>
      </c>
      <c r="AZ911" s="471">
        <f t="shared" si="190"/>
        <v>32</v>
      </c>
      <c r="BA911" s="471">
        <f>VLOOKUP(AW911,'Item Master Data'!$A:$G,7,FALSE)</f>
        <v>26</v>
      </c>
      <c r="BB911" s="471"/>
      <c r="BC911" s="471">
        <f t="shared" si="191"/>
        <v>0</v>
      </c>
    </row>
    <row r="912" spans="1:55">
      <c r="A912" s="472"/>
      <c r="B912" s="514">
        <v>44522</v>
      </c>
      <c r="C912" s="514"/>
      <c r="D912" s="485" t="s">
        <v>2322</v>
      </c>
      <c r="E912" s="474" t="s">
        <v>2726</v>
      </c>
      <c r="F912" s="474"/>
      <c r="G912" s="474">
        <v>2022</v>
      </c>
      <c r="H912" s="474">
        <v>5</v>
      </c>
      <c r="I912" s="485"/>
      <c r="J912" s="475"/>
      <c r="K912" s="654" t="s">
        <v>2795</v>
      </c>
      <c r="L912" s="474" t="s">
        <v>2459</v>
      </c>
      <c r="M912" s="487">
        <v>44518</v>
      </c>
      <c r="N912" s="487">
        <v>44694</v>
      </c>
      <c r="O912" s="487"/>
      <c r="P912" s="475"/>
      <c r="Q912" s="475"/>
      <c r="R912" s="475"/>
      <c r="S912" s="474" t="s">
        <v>1563</v>
      </c>
      <c r="T912" s="474">
        <v>60</v>
      </c>
      <c r="U912" s="474">
        <v>49401140</v>
      </c>
      <c r="V912" s="474" t="s">
        <v>973</v>
      </c>
      <c r="W912" s="474">
        <v>400</v>
      </c>
      <c r="X912" s="476">
        <v>768</v>
      </c>
      <c r="Y912" s="477">
        <v>307200</v>
      </c>
      <c r="Z912" s="478">
        <v>0.55500000000000005</v>
      </c>
      <c r="AA912" s="479">
        <v>170496.00000000003</v>
      </c>
      <c r="AB912" s="480"/>
      <c r="AC912" s="481">
        <v>0</v>
      </c>
      <c r="AD912" s="490"/>
      <c r="AE912" s="482"/>
      <c r="AF912" s="493">
        <v>170496.00000000003</v>
      </c>
      <c r="AG912" s="474" t="s">
        <v>1071</v>
      </c>
      <c r="AH912" s="474"/>
      <c r="AI912" s="483" t="s">
        <v>2442</v>
      </c>
      <c r="AJ912" s="474" t="s">
        <v>2384</v>
      </c>
      <c r="AK912" s="494" t="s">
        <v>1144</v>
      </c>
      <c r="AL912" s="474">
        <v>75063</v>
      </c>
      <c r="AM912" s="474" t="s">
        <v>52</v>
      </c>
      <c r="AN912" s="474"/>
      <c r="AO912" s="474"/>
      <c r="AP912" s="486"/>
      <c r="AQ912" s="486"/>
      <c r="AR912" s="486"/>
      <c r="AS912" s="495"/>
      <c r="AT912" s="495"/>
      <c r="AU912" s="478"/>
      <c r="AV912" s="471">
        <f t="shared" si="189"/>
        <v>49401140</v>
      </c>
      <c r="AW912" s="471" cm="1">
        <f t="array" ref="AW912">SUM(MID(0&amp;AV912,LARGE(INDEX(ISNUMBER(--MID(AV912,ROW($1:$8),1))*ROW($1:$8),),ROW($1:$8))+1,1)*10^ROW($1:$8)/10)</f>
        <v>49401140</v>
      </c>
      <c r="AX912" s="471" t="str">
        <f>VLOOKUP($AW912,'Item Master Data'!$A:$F,3,FALSE)</f>
        <v>Q.PEAK DUO BLK ML G10.a+</v>
      </c>
      <c r="AY912" s="471">
        <f>VLOOKUP($AW912,'Item Master Data'!$A:$F,6,FALSE)</f>
        <v>400</v>
      </c>
      <c r="AZ912" s="471">
        <f t="shared" si="190"/>
        <v>24</v>
      </c>
      <c r="BA912" s="471">
        <f>VLOOKUP(AW912,'Item Master Data'!$A:$G,7,FALSE)</f>
        <v>32</v>
      </c>
      <c r="BB912" s="471"/>
      <c r="BC912" s="471">
        <f t="shared" si="191"/>
        <v>0</v>
      </c>
    </row>
    <row r="913" spans="1:55">
      <c r="A913" s="472"/>
      <c r="B913" s="514">
        <v>44522</v>
      </c>
      <c r="C913" s="514">
        <v>44587</v>
      </c>
      <c r="D913" s="485" t="s">
        <v>2322</v>
      </c>
      <c r="E913" s="474" t="s">
        <v>1283</v>
      </c>
      <c r="F913" s="474"/>
      <c r="G913" s="474">
        <v>2022</v>
      </c>
      <c r="H913" s="474">
        <v>6</v>
      </c>
      <c r="I913" s="485"/>
      <c r="J913" s="475"/>
      <c r="K913" s="483" t="s">
        <v>2676</v>
      </c>
      <c r="L913" s="474" t="s">
        <v>2459</v>
      </c>
      <c r="M913" s="487">
        <v>44505</v>
      </c>
      <c r="N913" s="487">
        <v>44717</v>
      </c>
      <c r="O913" s="487"/>
      <c r="P913" s="475"/>
      <c r="Q913" s="475"/>
      <c r="R913" s="475"/>
      <c r="S913" s="474" t="s">
        <v>1563</v>
      </c>
      <c r="T913" s="474">
        <v>60</v>
      </c>
      <c r="U913" s="474" t="s">
        <v>1281</v>
      </c>
      <c r="V913" s="474" t="s">
        <v>1223</v>
      </c>
      <c r="W913" s="474">
        <v>360</v>
      </c>
      <c r="X913" s="476">
        <v>832</v>
      </c>
      <c r="Y913" s="477">
        <f t="shared" ref="Y913:Y946" si="195">X913*W913</f>
        <v>299520</v>
      </c>
      <c r="Z913" s="478">
        <f>298.8/360</f>
        <v>0.83000000000000007</v>
      </c>
      <c r="AA913" s="479">
        <f t="shared" ref="AA913:AA946" si="196">Z913*Y913</f>
        <v>248601.60000000003</v>
      </c>
      <c r="AB913" s="480"/>
      <c r="AC913" s="481">
        <v>0</v>
      </c>
      <c r="AD913" s="490"/>
      <c r="AE913" s="482"/>
      <c r="AF913" s="493">
        <f t="shared" ref="AF913:AF946" si="197">AA913+AE913</f>
        <v>248601.60000000003</v>
      </c>
      <c r="AG913" s="474" t="s">
        <v>1071</v>
      </c>
      <c r="AH913" s="474"/>
      <c r="AI913" s="483" t="s">
        <v>2442</v>
      </c>
      <c r="AJ913" s="474" t="s">
        <v>2461</v>
      </c>
      <c r="AK913" s="494" t="s">
        <v>1823</v>
      </c>
      <c r="AL913" s="474" t="s">
        <v>2631</v>
      </c>
      <c r="AM913" s="474" t="s">
        <v>52</v>
      </c>
      <c r="AN913" s="474"/>
      <c r="AO913" s="474"/>
      <c r="AP913" s="486"/>
      <c r="AQ913" s="486" t="s">
        <v>37</v>
      </c>
      <c r="AR913" s="486"/>
      <c r="AS913" s="495"/>
      <c r="AT913" s="495"/>
      <c r="AU913" s="478"/>
      <c r="AV913" s="471" t="str">
        <f t="shared" si="189"/>
        <v>30390456H</v>
      </c>
      <c r="AW913" s="471" cm="1">
        <f t="array" ref="AW913">SUM(MID(0&amp;AV913,LARGE(INDEX(ISNUMBER(--MID(AV913,ROW($1:$8),1))*ROW($1:$8),),ROW($1:$8))+1,1)*10^ROW($1:$8)/10)</f>
        <v>30390456</v>
      </c>
      <c r="AX913" s="471" t="str">
        <f>VLOOKUP($AW913,'Item Master Data'!$A:$F,3,FALSE)</f>
        <v>Q.PEAK DUO BLK ML G10+</v>
      </c>
      <c r="AY913" s="471">
        <f>VLOOKUP($AW913,'Item Master Data'!$A:$F,6,FALSE)</f>
        <v>400</v>
      </c>
      <c r="AZ913" s="471">
        <f t="shared" si="190"/>
        <v>26</v>
      </c>
      <c r="BA913" s="471">
        <f>VLOOKUP(AW913,'Item Master Data'!$A:$G,7,FALSE)</f>
        <v>32</v>
      </c>
      <c r="BB913" s="471"/>
      <c r="BC913" s="471">
        <f t="shared" si="191"/>
        <v>-40</v>
      </c>
    </row>
    <row r="914" spans="1:55">
      <c r="A914" s="472"/>
      <c r="B914" s="514">
        <v>44522</v>
      </c>
      <c r="C914" s="514">
        <v>44587</v>
      </c>
      <c r="D914" s="485" t="s">
        <v>2322</v>
      </c>
      <c r="E914" s="474" t="s">
        <v>1283</v>
      </c>
      <c r="F914" s="474"/>
      <c r="G914" s="474">
        <v>2022</v>
      </c>
      <c r="H914" s="474">
        <v>6</v>
      </c>
      <c r="I914" s="485"/>
      <c r="J914" s="475"/>
      <c r="K914" s="483" t="s">
        <v>2677</v>
      </c>
      <c r="L914" s="474" t="s">
        <v>2459</v>
      </c>
      <c r="M914" s="487">
        <v>44505</v>
      </c>
      <c r="N914" s="487">
        <v>44727</v>
      </c>
      <c r="O914" s="487"/>
      <c r="P914" s="475"/>
      <c r="Q914" s="475"/>
      <c r="R914" s="475"/>
      <c r="S914" s="474" t="s">
        <v>1563</v>
      </c>
      <c r="T914" s="474">
        <v>60</v>
      </c>
      <c r="U914" s="474" t="s">
        <v>1281</v>
      </c>
      <c r="V914" s="474" t="s">
        <v>1223</v>
      </c>
      <c r="W914" s="474">
        <v>360</v>
      </c>
      <c r="X914" s="476">
        <v>832</v>
      </c>
      <c r="Y914" s="477">
        <f t="shared" si="195"/>
        <v>299520</v>
      </c>
      <c r="Z914" s="478">
        <f>298.8/360</f>
        <v>0.83000000000000007</v>
      </c>
      <c r="AA914" s="479">
        <f t="shared" si="196"/>
        <v>248601.60000000003</v>
      </c>
      <c r="AB914" s="480"/>
      <c r="AC914" s="481">
        <v>0</v>
      </c>
      <c r="AD914" s="490"/>
      <c r="AE914" s="482"/>
      <c r="AF914" s="493">
        <f t="shared" si="197"/>
        <v>248601.60000000003</v>
      </c>
      <c r="AG914" s="474" t="s">
        <v>1071</v>
      </c>
      <c r="AH914" s="474"/>
      <c r="AI914" s="483" t="s">
        <v>2442</v>
      </c>
      <c r="AJ914" s="474" t="s">
        <v>2461</v>
      </c>
      <c r="AK914" s="494" t="s">
        <v>1823</v>
      </c>
      <c r="AL914" s="474" t="s">
        <v>2631</v>
      </c>
      <c r="AM914" s="474" t="s">
        <v>52</v>
      </c>
      <c r="AN914" s="474"/>
      <c r="AO914" s="474"/>
      <c r="AP914" s="486"/>
      <c r="AQ914" s="486" t="s">
        <v>37</v>
      </c>
      <c r="AR914" s="486"/>
      <c r="AS914" s="495"/>
      <c r="AT914" s="495"/>
      <c r="AU914" s="478"/>
      <c r="AV914" s="471" t="str">
        <f t="shared" si="189"/>
        <v>30390456H</v>
      </c>
      <c r="AW914" s="471" cm="1">
        <f t="array" ref="AW914">SUM(MID(0&amp;AV914,LARGE(INDEX(ISNUMBER(--MID(AV914,ROW($1:$8),1))*ROW($1:$8),),ROW($1:$8))+1,1)*10^ROW($1:$8)/10)</f>
        <v>30390456</v>
      </c>
      <c r="AX914" s="471" t="str">
        <f>VLOOKUP($AW914,'Item Master Data'!$A:$F,3,FALSE)</f>
        <v>Q.PEAK DUO BLK ML G10+</v>
      </c>
      <c r="AY914" s="471">
        <f>VLOOKUP($AW914,'Item Master Data'!$A:$F,6,FALSE)</f>
        <v>400</v>
      </c>
      <c r="AZ914" s="471">
        <f t="shared" si="190"/>
        <v>26</v>
      </c>
      <c r="BA914" s="471">
        <f>VLOOKUP(AW914,'Item Master Data'!$A:$G,7,FALSE)</f>
        <v>32</v>
      </c>
      <c r="BB914" s="471"/>
      <c r="BC914" s="471">
        <f t="shared" si="191"/>
        <v>-40</v>
      </c>
    </row>
    <row r="915" spans="1:55">
      <c r="A915" s="472"/>
      <c r="B915" s="514"/>
      <c r="C915" s="514"/>
      <c r="D915" s="485" t="s">
        <v>2322</v>
      </c>
      <c r="E915" s="474" t="s">
        <v>2740</v>
      </c>
      <c r="F915" s="474"/>
      <c r="G915" s="474">
        <v>2022</v>
      </c>
      <c r="H915" s="474">
        <v>8</v>
      </c>
      <c r="I915" s="485"/>
      <c r="J915" s="475"/>
      <c r="K915" s="483" t="s">
        <v>2741</v>
      </c>
      <c r="L915" s="474" t="s">
        <v>2459</v>
      </c>
      <c r="M915" s="487">
        <v>44483</v>
      </c>
      <c r="N915" s="487">
        <v>44632</v>
      </c>
      <c r="O915" s="487"/>
      <c r="P915" s="475"/>
      <c r="Q915" s="475"/>
      <c r="R915" s="475"/>
      <c r="S915" s="474" t="s">
        <v>1563</v>
      </c>
      <c r="T915" s="474">
        <v>60</v>
      </c>
      <c r="U915" s="474">
        <v>49401140</v>
      </c>
      <c r="V915" s="474" t="s">
        <v>973</v>
      </c>
      <c r="W915" s="474">
        <v>400</v>
      </c>
      <c r="X915" s="476">
        <v>768</v>
      </c>
      <c r="Y915" s="477">
        <f t="shared" si="195"/>
        <v>307200</v>
      </c>
      <c r="Z915" s="478">
        <f>210/400</f>
        <v>0.52500000000000002</v>
      </c>
      <c r="AA915" s="479">
        <f t="shared" si="196"/>
        <v>161280</v>
      </c>
      <c r="AB915" s="480"/>
      <c r="AC915" s="481">
        <v>0</v>
      </c>
      <c r="AD915" s="490"/>
      <c r="AE915" s="482"/>
      <c r="AF915" s="493">
        <f t="shared" si="197"/>
        <v>161280</v>
      </c>
      <c r="AG915" s="474" t="s">
        <v>1071</v>
      </c>
      <c r="AH915" s="474"/>
      <c r="AI915" s="483">
        <v>60</v>
      </c>
      <c r="AJ915" s="474" t="s">
        <v>1790</v>
      </c>
      <c r="AK915" s="494" t="s">
        <v>50</v>
      </c>
      <c r="AL915" s="474">
        <v>95834</v>
      </c>
      <c r="AM915" s="474" t="s">
        <v>52</v>
      </c>
      <c r="AN915" s="474" t="s">
        <v>1074</v>
      </c>
      <c r="AO915" s="474"/>
      <c r="AP915" s="486"/>
      <c r="AQ915" s="486" t="s">
        <v>37</v>
      </c>
      <c r="AR915" s="486"/>
      <c r="AS915" s="495"/>
      <c r="AT915" s="495"/>
      <c r="AU915" s="478"/>
      <c r="AV915" s="471">
        <f t="shared" si="189"/>
        <v>49401140</v>
      </c>
      <c r="AW915" s="471" cm="1">
        <f t="array" ref="AW915">SUM(MID(0&amp;AV915,LARGE(INDEX(ISNUMBER(--MID(AV915,ROW($1:$8),1))*ROW($1:$8),),ROW($1:$8))+1,1)*10^ROW($1:$8)/10)</f>
        <v>49401140</v>
      </c>
      <c r="AX915" s="471" t="str">
        <f>VLOOKUP($AW915,'Item Master Data'!$A:$F,3,FALSE)</f>
        <v>Q.PEAK DUO BLK ML G10.a+</v>
      </c>
      <c r="AY915" s="471">
        <f>VLOOKUP($AW915,'Item Master Data'!$A:$F,6,FALSE)</f>
        <v>400</v>
      </c>
      <c r="AZ915" s="471">
        <f t="shared" si="190"/>
        <v>24</v>
      </c>
      <c r="BA915" s="471">
        <f>VLOOKUP(AW915,'Item Master Data'!$A:$G,7,FALSE)</f>
        <v>32</v>
      </c>
      <c r="BB915" s="471"/>
      <c r="BC915" s="471">
        <f t="shared" si="191"/>
        <v>0</v>
      </c>
    </row>
    <row r="916" spans="1:55">
      <c r="A916" s="472"/>
      <c r="B916" s="514"/>
      <c r="C916" s="514"/>
      <c r="D916" s="485" t="s">
        <v>2322</v>
      </c>
      <c r="E916" s="474"/>
      <c r="F916" s="474"/>
      <c r="G916" s="474">
        <v>2022</v>
      </c>
      <c r="H916" s="474">
        <v>3</v>
      </c>
      <c r="I916" s="485">
        <v>127697</v>
      </c>
      <c r="J916" s="475">
        <v>44645</v>
      </c>
      <c r="K916" s="483" t="s">
        <v>2463</v>
      </c>
      <c r="L916" s="474" t="s">
        <v>2459</v>
      </c>
      <c r="M916" s="487">
        <v>44483</v>
      </c>
      <c r="N916" s="487">
        <v>44631</v>
      </c>
      <c r="O916" s="487"/>
      <c r="P916" s="475">
        <v>44630</v>
      </c>
      <c r="Q916" s="475">
        <v>44645</v>
      </c>
      <c r="R916" s="475">
        <v>44649</v>
      </c>
      <c r="S916" s="474" t="s">
        <v>1563</v>
      </c>
      <c r="T916" s="474">
        <v>60</v>
      </c>
      <c r="U916" s="474">
        <v>49201132</v>
      </c>
      <c r="V916" s="474" t="s">
        <v>986</v>
      </c>
      <c r="W916" s="474">
        <v>360</v>
      </c>
      <c r="X916" s="476">
        <v>832</v>
      </c>
      <c r="Y916" s="491">
        <f t="shared" si="195"/>
        <v>299520</v>
      </c>
      <c r="Z916" s="478">
        <f>192.6/360</f>
        <v>0.53500000000000003</v>
      </c>
      <c r="AA916" s="479">
        <f t="shared" si="196"/>
        <v>160243.20000000001</v>
      </c>
      <c r="AB916" s="480"/>
      <c r="AC916" s="481">
        <v>0</v>
      </c>
      <c r="AD916" s="490"/>
      <c r="AE916" s="482"/>
      <c r="AF916" s="493">
        <f t="shared" si="197"/>
        <v>160243.20000000001</v>
      </c>
      <c r="AG916" s="474" t="s">
        <v>1071</v>
      </c>
      <c r="AH916" s="474"/>
      <c r="AI916" s="483">
        <v>60</v>
      </c>
      <c r="AJ916" s="474" t="s">
        <v>1790</v>
      </c>
      <c r="AK916" s="494" t="s">
        <v>50</v>
      </c>
      <c r="AL916" s="474">
        <v>95834</v>
      </c>
      <c r="AM916" s="474" t="s">
        <v>52</v>
      </c>
      <c r="AN916" s="474" t="s">
        <v>1106</v>
      </c>
      <c r="AO916" s="474"/>
      <c r="AP916" s="486"/>
      <c r="AQ916" s="486" t="s">
        <v>37</v>
      </c>
      <c r="AR916" s="486"/>
      <c r="AS916" s="495"/>
      <c r="AT916" s="495"/>
      <c r="AU916" s="478"/>
      <c r="AV916" s="471">
        <f t="shared" si="189"/>
        <v>49201132</v>
      </c>
      <c r="AW916" s="471" cm="1">
        <f t="array" ref="AW916">SUM(MID(0&amp;AV916,LARGE(INDEX(ISNUMBER(--MID(AV916,ROW($1:$8),1))*ROW($1:$8),),ROW($1:$8))+1,1)*10^ROW($1:$8)/10)</f>
        <v>49201132</v>
      </c>
      <c r="AX916" s="471" t="str">
        <f>VLOOKUP($AW916,'Item Master Data'!$A:$F,3,FALSE)</f>
        <v>Q.PEAK DUO BLK G10+</v>
      </c>
      <c r="AY916" s="471">
        <f>VLOOKUP($AW916,'Item Master Data'!$A:$F,6,FALSE)</f>
        <v>360</v>
      </c>
      <c r="AZ916" s="471">
        <f t="shared" si="190"/>
        <v>26</v>
      </c>
      <c r="BA916" s="471">
        <f>VLOOKUP(AW916,'Item Master Data'!$A:$G,7,FALSE)</f>
        <v>32</v>
      </c>
      <c r="BB916" s="471"/>
      <c r="BC916" s="471">
        <f t="shared" si="191"/>
        <v>0</v>
      </c>
    </row>
    <row r="917" spans="1:55">
      <c r="A917" s="599"/>
      <c r="B917" s="514"/>
      <c r="C917" s="514"/>
      <c r="D917" s="485" t="s">
        <v>2322</v>
      </c>
      <c r="E917" s="474" t="s">
        <v>1053</v>
      </c>
      <c r="F917" s="474"/>
      <c r="G917" s="474">
        <v>2022</v>
      </c>
      <c r="H917" s="474">
        <v>7</v>
      </c>
      <c r="I917" s="485"/>
      <c r="J917" s="475"/>
      <c r="K917" s="483" t="s">
        <v>2695</v>
      </c>
      <c r="L917" s="474" t="s">
        <v>2459</v>
      </c>
      <c r="M917" s="487">
        <v>44483</v>
      </c>
      <c r="N917" s="487">
        <v>44639</v>
      </c>
      <c r="O917" s="487"/>
      <c r="P917" s="475"/>
      <c r="Q917" s="475"/>
      <c r="R917" s="475"/>
      <c r="S917" s="474" t="s">
        <v>1563</v>
      </c>
      <c r="T917" s="474">
        <v>60</v>
      </c>
      <c r="U917" s="474">
        <v>49401140</v>
      </c>
      <c r="V917" s="474" t="s">
        <v>973</v>
      </c>
      <c r="W917" s="474">
        <v>400</v>
      </c>
      <c r="X917" s="476">
        <v>768</v>
      </c>
      <c r="Y917" s="491">
        <f t="shared" si="195"/>
        <v>307200</v>
      </c>
      <c r="Z917" s="478">
        <f>210/400</f>
        <v>0.52500000000000002</v>
      </c>
      <c r="AA917" s="479">
        <f t="shared" si="196"/>
        <v>161280</v>
      </c>
      <c r="AB917" s="480"/>
      <c r="AC917" s="481">
        <v>0</v>
      </c>
      <c r="AD917" s="490"/>
      <c r="AE917" s="482"/>
      <c r="AF917" s="493">
        <f t="shared" si="197"/>
        <v>161280</v>
      </c>
      <c r="AG917" s="474" t="s">
        <v>1071</v>
      </c>
      <c r="AH917" s="474"/>
      <c r="AI917" s="483">
        <v>60</v>
      </c>
      <c r="AJ917" s="474" t="s">
        <v>1790</v>
      </c>
      <c r="AK917" s="494" t="s">
        <v>50</v>
      </c>
      <c r="AL917" s="474">
        <v>95834</v>
      </c>
      <c r="AM917" s="474" t="s">
        <v>52</v>
      </c>
      <c r="AN917" s="474" t="s">
        <v>1074</v>
      </c>
      <c r="AO917" s="474"/>
      <c r="AP917" s="486"/>
      <c r="AQ917" s="486" t="s">
        <v>37</v>
      </c>
      <c r="AR917" s="486"/>
      <c r="AS917" s="495"/>
      <c r="AT917" s="495"/>
      <c r="AU917" s="478"/>
      <c r="AV917" s="471">
        <f t="shared" si="189"/>
        <v>49401140</v>
      </c>
      <c r="AW917" s="471" cm="1">
        <f t="array" ref="AW917">SUM(MID(0&amp;AV917,LARGE(INDEX(ISNUMBER(--MID(AV917,ROW($1:$8),1))*ROW($1:$8),),ROW($1:$8))+1,1)*10^ROW($1:$8)/10)</f>
        <v>49401140</v>
      </c>
      <c r="AX917" s="471" t="str">
        <f>VLOOKUP($AW917,'Item Master Data'!$A:$F,3,FALSE)</f>
        <v>Q.PEAK DUO BLK ML G10.a+</v>
      </c>
      <c r="AY917" s="471">
        <f>VLOOKUP($AW917,'Item Master Data'!$A:$F,6,FALSE)</f>
        <v>400</v>
      </c>
      <c r="AZ917" s="471">
        <f t="shared" si="190"/>
        <v>24</v>
      </c>
      <c r="BA917" s="471">
        <f>VLOOKUP(AW917,'Item Master Data'!$A:$G,7,FALSE)</f>
        <v>32</v>
      </c>
      <c r="BB917" s="471"/>
      <c r="BC917" s="471">
        <f t="shared" si="191"/>
        <v>0</v>
      </c>
    </row>
    <row r="918" spans="1:55">
      <c r="A918" s="472"/>
      <c r="B918" s="514" t="s">
        <v>5443</v>
      </c>
      <c r="C918" s="514" t="s">
        <v>5443</v>
      </c>
      <c r="D918" s="485" t="s">
        <v>2322</v>
      </c>
      <c r="E918" s="474" t="s">
        <v>5444</v>
      </c>
      <c r="F918" s="474"/>
      <c r="G918" s="474">
        <v>2022</v>
      </c>
      <c r="H918" s="474">
        <v>6</v>
      </c>
      <c r="I918" s="485"/>
      <c r="J918" s="475"/>
      <c r="K918" s="483" t="s">
        <v>2678</v>
      </c>
      <c r="L918" s="474" t="s">
        <v>2459</v>
      </c>
      <c r="M918" s="487">
        <v>44483</v>
      </c>
      <c r="N918" s="487">
        <v>44628</v>
      </c>
      <c r="O918" s="487"/>
      <c r="P918" s="475"/>
      <c r="Q918" s="475"/>
      <c r="R918" s="475"/>
      <c r="S918" s="474" t="s">
        <v>1563</v>
      </c>
      <c r="T918" s="474">
        <v>72</v>
      </c>
      <c r="U918" s="474" t="s">
        <v>1109</v>
      </c>
      <c r="V918" s="474" t="s">
        <v>1070</v>
      </c>
      <c r="W918" s="474">
        <v>480</v>
      </c>
      <c r="X918" s="476">
        <v>696</v>
      </c>
      <c r="Y918" s="491">
        <f t="shared" si="195"/>
        <v>334080</v>
      </c>
      <c r="Z918" s="478">
        <f>228/480</f>
        <v>0.47499999999999998</v>
      </c>
      <c r="AA918" s="479">
        <f t="shared" si="196"/>
        <v>158688</v>
      </c>
      <c r="AB918" s="480"/>
      <c r="AC918" s="481">
        <v>0</v>
      </c>
      <c r="AD918" s="490"/>
      <c r="AE918" s="482"/>
      <c r="AF918" s="493">
        <f t="shared" si="197"/>
        <v>158688</v>
      </c>
      <c r="AG918" s="474" t="s">
        <v>1071</v>
      </c>
      <c r="AH918" s="474"/>
      <c r="AI918" s="483">
        <v>60</v>
      </c>
      <c r="AJ918" s="474" t="s">
        <v>1790</v>
      </c>
      <c r="AK918" s="494" t="s">
        <v>50</v>
      </c>
      <c r="AL918" s="474">
        <v>95834</v>
      </c>
      <c r="AM918" s="474" t="s">
        <v>52</v>
      </c>
      <c r="AN918" s="474" t="s">
        <v>1074</v>
      </c>
      <c r="AO918" s="474"/>
      <c r="AP918" s="486"/>
      <c r="AQ918" s="486" t="s">
        <v>37</v>
      </c>
      <c r="AR918" s="486"/>
      <c r="AS918" s="495"/>
      <c r="AT918" s="495"/>
      <c r="AU918" s="478"/>
      <c r="AV918" s="471" t="str">
        <f t="shared" si="189"/>
        <v>TBD</v>
      </c>
      <c r="AW918" s="471" cm="1">
        <f t="array" ref="AW918">SUM(MID(0&amp;AV918,LARGE(INDEX(ISNUMBER(--MID(AV918,ROW($1:$8),1))*ROW($1:$8),),ROW($1:$8))+1,1)*10^ROW($1:$8)/10)</f>
        <v>0</v>
      </c>
      <c r="AX918" s="471" t="e">
        <f>VLOOKUP($AW918,'Item Master Data'!$A:$F,3,FALSE)</f>
        <v>#N/A</v>
      </c>
      <c r="AY918" s="471" t="e">
        <f>VLOOKUP($AW918,'Item Master Data'!$A:$F,6,FALSE)</f>
        <v>#N/A</v>
      </c>
      <c r="AZ918" s="471" t="e">
        <f t="shared" si="190"/>
        <v>#N/A</v>
      </c>
      <c r="BA918" s="471" t="e">
        <f>VLOOKUP(AW918,'Item Master Data'!$A:$G,7,FALSE)</f>
        <v>#N/A</v>
      </c>
      <c r="BB918" s="471"/>
      <c r="BC918" s="471" t="e">
        <f t="shared" si="191"/>
        <v>#N/A</v>
      </c>
    </row>
    <row r="919" spans="1:55">
      <c r="A919" s="472"/>
      <c r="B919" s="514">
        <v>44522</v>
      </c>
      <c r="C919" s="472"/>
      <c r="D919" s="485" t="s">
        <v>2322</v>
      </c>
      <c r="E919" s="474"/>
      <c r="F919" s="474"/>
      <c r="G919" s="474">
        <v>2022</v>
      </c>
      <c r="H919" s="474">
        <v>3</v>
      </c>
      <c r="I919" s="485">
        <v>127683</v>
      </c>
      <c r="J919" s="475">
        <v>44651</v>
      </c>
      <c r="K919" s="483" t="s">
        <v>2464</v>
      </c>
      <c r="L919" s="474" t="s">
        <v>2459</v>
      </c>
      <c r="M919" s="487">
        <v>44505</v>
      </c>
      <c r="N919" s="487">
        <v>44661</v>
      </c>
      <c r="O919" s="487"/>
      <c r="P919" s="487">
        <v>44648</v>
      </c>
      <c r="Q919" s="475">
        <v>44651</v>
      </c>
      <c r="R919" s="475">
        <v>44656</v>
      </c>
      <c r="S919" s="474" t="s">
        <v>1563</v>
      </c>
      <c r="T919" s="474">
        <v>60</v>
      </c>
      <c r="U919" s="474">
        <v>49203132</v>
      </c>
      <c r="V919" s="474" t="s">
        <v>986</v>
      </c>
      <c r="W919" s="474">
        <v>360</v>
      </c>
      <c r="X919" s="476">
        <v>832</v>
      </c>
      <c r="Y919" s="477">
        <f t="shared" si="195"/>
        <v>299520</v>
      </c>
      <c r="Z919" s="478">
        <f>192.6/360</f>
        <v>0.53500000000000003</v>
      </c>
      <c r="AA919" s="492">
        <f t="shared" si="196"/>
        <v>160243.20000000001</v>
      </c>
      <c r="AB919" s="480"/>
      <c r="AC919" s="481">
        <f>AB919*Y919</f>
        <v>0</v>
      </c>
      <c r="AD919" s="490"/>
      <c r="AE919" s="482"/>
      <c r="AF919" s="493">
        <f t="shared" si="197"/>
        <v>160243.20000000001</v>
      </c>
      <c r="AG919" s="474" t="s">
        <v>1071</v>
      </c>
      <c r="AH919" s="474"/>
      <c r="AI919" s="483" t="s">
        <v>2442</v>
      </c>
      <c r="AJ919" s="474" t="s">
        <v>1790</v>
      </c>
      <c r="AK919" s="494" t="s">
        <v>50</v>
      </c>
      <c r="AL919" s="474" t="s">
        <v>1959</v>
      </c>
      <c r="AM919" s="474" t="s">
        <v>52</v>
      </c>
      <c r="AN919" s="474" t="s">
        <v>1074</v>
      </c>
      <c r="AO919" s="474"/>
      <c r="AP919" s="486"/>
      <c r="AQ919" s="486" t="s">
        <v>37</v>
      </c>
      <c r="AR919" s="486"/>
      <c r="AS919" s="495"/>
      <c r="AT919" s="495"/>
      <c r="AU919" s="478"/>
      <c r="AV919" s="471">
        <f t="shared" si="189"/>
        <v>49203132</v>
      </c>
      <c r="AW919" s="471" cm="1">
        <f t="array" ref="AW919">SUM(MID(0&amp;AV919,LARGE(INDEX(ISNUMBER(--MID(AV919,ROW($1:$8),1))*ROW($1:$8),),ROW($1:$8))+1,1)*10^ROW($1:$8)/10)</f>
        <v>49203132</v>
      </c>
      <c r="AX919" s="471" t="str">
        <f>VLOOKUP($AW919,'Item Master Data'!$A:$F,3,FALSE)</f>
        <v>Q.PEAK DUO BLK G10+</v>
      </c>
      <c r="AY919" s="471">
        <f>VLOOKUP($AW919,'Item Master Data'!$A:$F,6,FALSE)</f>
        <v>360</v>
      </c>
      <c r="AZ919" s="471">
        <f t="shared" si="190"/>
        <v>26</v>
      </c>
      <c r="BA919" s="471">
        <f>VLOOKUP(AW919,'Item Master Data'!$A:$G,7,FALSE)</f>
        <v>32</v>
      </c>
      <c r="BB919" s="471"/>
      <c r="BC919" s="471">
        <f t="shared" si="191"/>
        <v>0</v>
      </c>
    </row>
    <row r="920" spans="1:55">
      <c r="A920" s="472"/>
      <c r="B920" s="514">
        <v>44522</v>
      </c>
      <c r="C920" s="472"/>
      <c r="D920" s="485" t="s">
        <v>2322</v>
      </c>
      <c r="E920" s="474"/>
      <c r="F920" s="474"/>
      <c r="G920" s="474">
        <v>2022</v>
      </c>
      <c r="H920" s="474">
        <v>4</v>
      </c>
      <c r="I920" s="485">
        <v>128045</v>
      </c>
      <c r="J920" s="475">
        <v>44652</v>
      </c>
      <c r="K920" s="483" t="s">
        <v>2544</v>
      </c>
      <c r="L920" s="474" t="s">
        <v>2459</v>
      </c>
      <c r="M920" s="487">
        <v>44505</v>
      </c>
      <c r="N920" s="487">
        <v>44695</v>
      </c>
      <c r="O920" s="487"/>
      <c r="P920" s="487">
        <v>44648</v>
      </c>
      <c r="Q920" s="475">
        <v>44652</v>
      </c>
      <c r="R920" s="475">
        <v>44657</v>
      </c>
      <c r="S920" s="474" t="s">
        <v>1563</v>
      </c>
      <c r="T920" s="474">
        <v>60</v>
      </c>
      <c r="U920" s="474">
        <v>49203132</v>
      </c>
      <c r="V920" s="474" t="s">
        <v>986</v>
      </c>
      <c r="W920" s="474">
        <v>360</v>
      </c>
      <c r="X920" s="476">
        <v>832</v>
      </c>
      <c r="Y920" s="477">
        <f t="shared" si="195"/>
        <v>299520</v>
      </c>
      <c r="Z920" s="478">
        <f>192.6/360</f>
        <v>0.53500000000000003</v>
      </c>
      <c r="AA920" s="492">
        <f t="shared" si="196"/>
        <v>160243.20000000001</v>
      </c>
      <c r="AB920" s="480"/>
      <c r="AC920" s="481">
        <f>AB920*Y920</f>
        <v>0</v>
      </c>
      <c r="AD920" s="490"/>
      <c r="AE920" s="482"/>
      <c r="AF920" s="493">
        <f t="shared" si="197"/>
        <v>160243.20000000001</v>
      </c>
      <c r="AG920" s="474" t="s">
        <v>1071</v>
      </c>
      <c r="AH920" s="474"/>
      <c r="AI920" s="483" t="s">
        <v>2442</v>
      </c>
      <c r="AJ920" s="474" t="s">
        <v>2545</v>
      </c>
      <c r="AK920" s="494" t="s">
        <v>50</v>
      </c>
      <c r="AL920" s="474" t="s">
        <v>1959</v>
      </c>
      <c r="AM920" s="474" t="s">
        <v>52</v>
      </c>
      <c r="AN920" s="474" t="s">
        <v>1074</v>
      </c>
      <c r="AO920" s="474"/>
      <c r="AP920" s="486"/>
      <c r="AQ920" s="486" t="s">
        <v>37</v>
      </c>
      <c r="AR920" s="486"/>
      <c r="AS920" s="495"/>
      <c r="AT920" s="495"/>
      <c r="AU920" s="478"/>
      <c r="AV920" s="471">
        <f t="shared" si="189"/>
        <v>49203132</v>
      </c>
      <c r="AW920" s="471" cm="1">
        <f t="array" ref="AW920">SUM(MID(0&amp;AV920,LARGE(INDEX(ISNUMBER(--MID(AV920,ROW($1:$8),1))*ROW($1:$8),),ROW($1:$8))+1,1)*10^ROW($1:$8)/10)</f>
        <v>49203132</v>
      </c>
      <c r="AX920" s="471" t="str">
        <f>VLOOKUP($AW920,'Item Master Data'!$A:$F,3,FALSE)</f>
        <v>Q.PEAK DUO BLK G10+</v>
      </c>
      <c r="AY920" s="471">
        <f>VLOOKUP($AW920,'Item Master Data'!$A:$F,6,FALSE)</f>
        <v>360</v>
      </c>
      <c r="AZ920" s="471">
        <f t="shared" si="190"/>
        <v>26</v>
      </c>
      <c r="BA920" s="471">
        <f>VLOOKUP(AW920,'Item Master Data'!$A:$G,7,FALSE)</f>
        <v>32</v>
      </c>
      <c r="BB920" s="471"/>
      <c r="BC920" s="471">
        <f t="shared" si="191"/>
        <v>0</v>
      </c>
    </row>
    <row r="921" spans="1:55">
      <c r="A921" s="472"/>
      <c r="B921" s="514">
        <v>44522</v>
      </c>
      <c r="C921" s="472"/>
      <c r="D921" s="485" t="s">
        <v>2322</v>
      </c>
      <c r="E921" s="474"/>
      <c r="F921" s="474"/>
      <c r="G921" s="474">
        <v>2022</v>
      </c>
      <c r="H921" s="474">
        <v>5</v>
      </c>
      <c r="I921" s="485"/>
      <c r="J921" s="475"/>
      <c r="K921" s="483" t="s">
        <v>2546</v>
      </c>
      <c r="L921" s="474" t="s">
        <v>2459</v>
      </c>
      <c r="M921" s="487">
        <v>44505</v>
      </c>
      <c r="N921" s="487">
        <v>44726</v>
      </c>
      <c r="O921" s="487"/>
      <c r="P921" s="475">
        <v>44664</v>
      </c>
      <c r="Q921" s="475"/>
      <c r="R921" s="475"/>
      <c r="S921" s="474" t="s">
        <v>1563</v>
      </c>
      <c r="T921" s="474">
        <v>60</v>
      </c>
      <c r="U921" s="474">
        <v>49203132</v>
      </c>
      <c r="V921" s="474" t="s">
        <v>986</v>
      </c>
      <c r="W921" s="474">
        <v>360</v>
      </c>
      <c r="X921" s="476">
        <v>832</v>
      </c>
      <c r="Y921" s="477">
        <f t="shared" si="195"/>
        <v>299520</v>
      </c>
      <c r="Z921" s="478">
        <f>192.66/360</f>
        <v>0.53516666666666668</v>
      </c>
      <c r="AA921" s="492">
        <f t="shared" si="196"/>
        <v>160293.12</v>
      </c>
      <c r="AB921" s="480"/>
      <c r="AC921" s="481">
        <f>AB921*Y921</f>
        <v>0</v>
      </c>
      <c r="AD921" s="490"/>
      <c r="AE921" s="482"/>
      <c r="AF921" s="493">
        <f t="shared" si="197"/>
        <v>160293.12</v>
      </c>
      <c r="AG921" s="474" t="s">
        <v>1071</v>
      </c>
      <c r="AH921" s="474"/>
      <c r="AI921" s="483" t="s">
        <v>2442</v>
      </c>
      <c r="AJ921" s="474" t="s">
        <v>2545</v>
      </c>
      <c r="AK921" s="494" t="s">
        <v>50</v>
      </c>
      <c r="AL921" s="474" t="s">
        <v>1959</v>
      </c>
      <c r="AM921" s="474" t="s">
        <v>52</v>
      </c>
      <c r="AN921" s="474" t="s">
        <v>1106</v>
      </c>
      <c r="AO921" s="474"/>
      <c r="AP921" s="486"/>
      <c r="AQ921" s="486" t="s">
        <v>37</v>
      </c>
      <c r="AR921" s="486"/>
      <c r="AS921" s="495"/>
      <c r="AT921" s="495"/>
      <c r="AU921" s="478"/>
      <c r="AV921" s="471">
        <f t="shared" si="189"/>
        <v>49203132</v>
      </c>
      <c r="AW921" s="471" cm="1">
        <f t="array" ref="AW921">SUM(MID(0&amp;AV921,LARGE(INDEX(ISNUMBER(--MID(AV921,ROW($1:$8),1))*ROW($1:$8),),ROW($1:$8))+1,1)*10^ROW($1:$8)/10)</f>
        <v>49203132</v>
      </c>
      <c r="AX921" s="471" t="str">
        <f>VLOOKUP($AW921,'Item Master Data'!$A:$F,3,FALSE)</f>
        <v>Q.PEAK DUO BLK G10+</v>
      </c>
      <c r="AY921" s="471">
        <f>VLOOKUP($AW921,'Item Master Data'!$A:$F,6,FALSE)</f>
        <v>360</v>
      </c>
      <c r="AZ921" s="471">
        <f t="shared" si="190"/>
        <v>26</v>
      </c>
      <c r="BA921" s="471">
        <f>VLOOKUP(AW921,'Item Master Data'!$A:$G,7,FALSE)</f>
        <v>32</v>
      </c>
      <c r="BB921" s="471"/>
      <c r="BC921" s="471">
        <f t="shared" si="191"/>
        <v>0</v>
      </c>
    </row>
    <row r="922" spans="1:55">
      <c r="A922" s="472"/>
      <c r="B922" s="514" t="s">
        <v>5443</v>
      </c>
      <c r="C922" s="514" t="s">
        <v>5443</v>
      </c>
      <c r="D922" s="485" t="s">
        <v>2322</v>
      </c>
      <c r="E922" s="474" t="s">
        <v>5446</v>
      </c>
      <c r="F922" s="474"/>
      <c r="G922" s="474">
        <v>2022</v>
      </c>
      <c r="H922" s="474">
        <v>9</v>
      </c>
      <c r="I922" s="485"/>
      <c r="J922" s="475"/>
      <c r="K922" s="483" t="s">
        <v>2552</v>
      </c>
      <c r="L922" s="474" t="s">
        <v>2459</v>
      </c>
      <c r="M922" s="487">
        <v>44595</v>
      </c>
      <c r="N922" s="487">
        <v>44658</v>
      </c>
      <c r="O922" s="487"/>
      <c r="P922" s="475"/>
      <c r="Q922" s="475"/>
      <c r="R922" s="475"/>
      <c r="S922" s="474" t="s">
        <v>1563</v>
      </c>
      <c r="T922" s="474">
        <v>72</v>
      </c>
      <c r="U922" s="474" t="s">
        <v>1109</v>
      </c>
      <c r="V922" s="474" t="s">
        <v>1070</v>
      </c>
      <c r="W922" s="474">
        <v>480</v>
      </c>
      <c r="X922" s="476">
        <v>696</v>
      </c>
      <c r="Y922" s="477">
        <f t="shared" si="195"/>
        <v>334080</v>
      </c>
      <c r="Z922" s="478">
        <f t="shared" ref="Z922:Z930" si="198">237.6/480</f>
        <v>0.495</v>
      </c>
      <c r="AA922" s="479">
        <f t="shared" si="196"/>
        <v>165369.60000000001</v>
      </c>
      <c r="AB922" s="480"/>
      <c r="AC922" s="481">
        <v>0</v>
      </c>
      <c r="AD922" s="490"/>
      <c r="AE922" s="482"/>
      <c r="AF922" s="493">
        <f t="shared" si="197"/>
        <v>165369.60000000001</v>
      </c>
      <c r="AG922" s="474" t="s">
        <v>1071</v>
      </c>
      <c r="AH922" s="474"/>
      <c r="AI922" s="483" t="s">
        <v>2442</v>
      </c>
      <c r="AJ922" s="474" t="s">
        <v>1790</v>
      </c>
      <c r="AK922" s="494" t="s">
        <v>50</v>
      </c>
      <c r="AL922" s="474">
        <v>95834</v>
      </c>
      <c r="AM922" s="474" t="s">
        <v>52</v>
      </c>
      <c r="AN922" s="474" t="s">
        <v>1074</v>
      </c>
      <c r="AO922" s="474"/>
      <c r="AP922" s="486"/>
      <c r="AQ922" s="486" t="s">
        <v>37</v>
      </c>
      <c r="AR922" s="486"/>
      <c r="AS922" s="495"/>
      <c r="AT922" s="495"/>
      <c r="AU922" s="478"/>
      <c r="AV922" s="471" t="str">
        <f t="shared" si="189"/>
        <v>TBD</v>
      </c>
      <c r="AW922" s="471" cm="1">
        <f t="array" ref="AW922">SUM(MID(0&amp;AV922,LARGE(INDEX(ISNUMBER(--MID(AV922,ROW($1:$8),1))*ROW($1:$8),),ROW($1:$8))+1,1)*10^ROW($1:$8)/10)</f>
        <v>0</v>
      </c>
      <c r="AX922" s="471" t="e">
        <f>VLOOKUP($AW922,'Item Master Data'!$A:$F,3,FALSE)</f>
        <v>#N/A</v>
      </c>
      <c r="AY922" s="471" t="e">
        <f>VLOOKUP($AW922,'Item Master Data'!$A:$F,6,FALSE)</f>
        <v>#N/A</v>
      </c>
      <c r="AZ922" s="471" t="e">
        <f t="shared" si="190"/>
        <v>#N/A</v>
      </c>
      <c r="BA922" s="471" t="e">
        <f>VLOOKUP(AW922,'Item Master Data'!$A:$G,7,FALSE)</f>
        <v>#N/A</v>
      </c>
      <c r="BB922" s="471"/>
      <c r="BC922" s="471" t="e">
        <f t="shared" si="191"/>
        <v>#N/A</v>
      </c>
    </row>
    <row r="923" spans="1:55">
      <c r="A923" s="472"/>
      <c r="B923" s="514" t="s">
        <v>5443</v>
      </c>
      <c r="C923" s="514" t="s">
        <v>5443</v>
      </c>
      <c r="D923" s="485" t="s">
        <v>2322</v>
      </c>
      <c r="E923" s="474" t="s">
        <v>5447</v>
      </c>
      <c r="F923" s="474"/>
      <c r="G923" s="474">
        <v>2022</v>
      </c>
      <c r="H923" s="474">
        <v>9</v>
      </c>
      <c r="I923" s="485"/>
      <c r="J923" s="475"/>
      <c r="K923" s="483" t="s">
        <v>2632</v>
      </c>
      <c r="L923" s="474" t="s">
        <v>2459</v>
      </c>
      <c r="M923" s="487">
        <v>44595</v>
      </c>
      <c r="N923" s="487">
        <v>44693</v>
      </c>
      <c r="O923" s="487"/>
      <c r="P923" s="475"/>
      <c r="Q923" s="475"/>
      <c r="R923" s="475"/>
      <c r="S923" s="474" t="s">
        <v>1563</v>
      </c>
      <c r="T923" s="474">
        <v>72</v>
      </c>
      <c r="U923" s="474" t="s">
        <v>1109</v>
      </c>
      <c r="V923" s="474" t="s">
        <v>1070</v>
      </c>
      <c r="W923" s="474">
        <v>480</v>
      </c>
      <c r="X923" s="476">
        <v>696</v>
      </c>
      <c r="Y923" s="477">
        <f t="shared" si="195"/>
        <v>334080</v>
      </c>
      <c r="Z923" s="478">
        <f t="shared" si="198"/>
        <v>0.495</v>
      </c>
      <c r="AA923" s="479">
        <f t="shared" si="196"/>
        <v>165369.60000000001</v>
      </c>
      <c r="AB923" s="480"/>
      <c r="AC923" s="481">
        <v>0</v>
      </c>
      <c r="AD923" s="490"/>
      <c r="AE923" s="482"/>
      <c r="AF923" s="493">
        <f t="shared" si="197"/>
        <v>165369.60000000001</v>
      </c>
      <c r="AG923" s="474" t="s">
        <v>1071</v>
      </c>
      <c r="AH923" s="474"/>
      <c r="AI923" s="483" t="s">
        <v>2442</v>
      </c>
      <c r="AJ923" s="474" t="s">
        <v>1790</v>
      </c>
      <c r="AK923" s="494" t="s">
        <v>50</v>
      </c>
      <c r="AL923" s="474">
        <v>95834</v>
      </c>
      <c r="AM923" s="474" t="s">
        <v>52</v>
      </c>
      <c r="AN923" s="474" t="s">
        <v>1074</v>
      </c>
      <c r="AO923" s="474"/>
      <c r="AP923" s="486"/>
      <c r="AQ923" s="486" t="s">
        <v>37</v>
      </c>
      <c r="AR923" s="486"/>
      <c r="AS923" s="495"/>
      <c r="AT923" s="495"/>
      <c r="AU923" s="478"/>
      <c r="AV923" s="471" t="str">
        <f t="shared" si="189"/>
        <v>TBD</v>
      </c>
      <c r="AW923" s="471" cm="1">
        <f t="array" ref="AW923">SUM(MID(0&amp;AV923,LARGE(INDEX(ISNUMBER(--MID(AV923,ROW($1:$8),1))*ROW($1:$8),),ROW($1:$8))+1,1)*10^ROW($1:$8)/10)</f>
        <v>0</v>
      </c>
      <c r="AX923" s="471" t="e">
        <f>VLOOKUP($AW923,'Item Master Data'!$A:$F,3,FALSE)</f>
        <v>#N/A</v>
      </c>
      <c r="AY923" s="471" t="e">
        <f>VLOOKUP($AW923,'Item Master Data'!$A:$F,6,FALSE)</f>
        <v>#N/A</v>
      </c>
      <c r="AZ923" s="471" t="e">
        <f t="shared" si="190"/>
        <v>#N/A</v>
      </c>
      <c r="BA923" s="471" t="e">
        <f>VLOOKUP(AW923,'Item Master Data'!$A:$G,7,FALSE)</f>
        <v>#N/A</v>
      </c>
      <c r="BB923" s="471"/>
      <c r="BC923" s="471" t="e">
        <f t="shared" si="191"/>
        <v>#N/A</v>
      </c>
    </row>
    <row r="924" spans="1:55">
      <c r="A924" s="472"/>
      <c r="B924" s="514" t="s">
        <v>5443</v>
      </c>
      <c r="C924" s="514" t="s">
        <v>5443</v>
      </c>
      <c r="D924" s="485" t="s">
        <v>2322</v>
      </c>
      <c r="E924" s="474" t="s">
        <v>5445</v>
      </c>
      <c r="F924" s="474"/>
      <c r="G924" s="474">
        <v>2022</v>
      </c>
      <c r="H924" s="474">
        <v>6</v>
      </c>
      <c r="I924" s="485"/>
      <c r="J924" s="475"/>
      <c r="K924" s="483" t="s">
        <v>2679</v>
      </c>
      <c r="L924" s="474" t="s">
        <v>2459</v>
      </c>
      <c r="M924" s="487">
        <v>44595</v>
      </c>
      <c r="N924" s="487">
        <v>44724</v>
      </c>
      <c r="O924" s="487"/>
      <c r="P924" s="475"/>
      <c r="Q924" s="475"/>
      <c r="R924" s="475"/>
      <c r="S924" s="474" t="s">
        <v>1563</v>
      </c>
      <c r="T924" s="474">
        <v>72</v>
      </c>
      <c r="U924" s="474" t="s">
        <v>1109</v>
      </c>
      <c r="V924" s="474" t="s">
        <v>1070</v>
      </c>
      <c r="W924" s="474">
        <v>480</v>
      </c>
      <c r="X924" s="476">
        <v>696</v>
      </c>
      <c r="Y924" s="477">
        <f t="shared" si="195"/>
        <v>334080</v>
      </c>
      <c r="Z924" s="478">
        <f t="shared" si="198"/>
        <v>0.495</v>
      </c>
      <c r="AA924" s="479">
        <f t="shared" si="196"/>
        <v>165369.60000000001</v>
      </c>
      <c r="AB924" s="480"/>
      <c r="AC924" s="481">
        <v>0</v>
      </c>
      <c r="AD924" s="490"/>
      <c r="AE924" s="482"/>
      <c r="AF924" s="493">
        <f t="shared" si="197"/>
        <v>165369.60000000001</v>
      </c>
      <c r="AG924" s="474" t="s">
        <v>1071</v>
      </c>
      <c r="AH924" s="474"/>
      <c r="AI924" s="483" t="s">
        <v>2442</v>
      </c>
      <c r="AJ924" s="474" t="s">
        <v>1790</v>
      </c>
      <c r="AK924" s="494" t="s">
        <v>50</v>
      </c>
      <c r="AL924" s="474">
        <v>95834</v>
      </c>
      <c r="AM924" s="474" t="s">
        <v>52</v>
      </c>
      <c r="AN924" s="474" t="s">
        <v>1074</v>
      </c>
      <c r="AO924" s="474"/>
      <c r="AP924" s="486"/>
      <c r="AQ924" s="486" t="s">
        <v>37</v>
      </c>
      <c r="AR924" s="486"/>
      <c r="AS924" s="495"/>
      <c r="AT924" s="495"/>
      <c r="AU924" s="478"/>
      <c r="AV924" s="471" t="str">
        <f t="shared" si="189"/>
        <v>TBD</v>
      </c>
      <c r="AW924" s="471" cm="1">
        <f t="array" ref="AW924">SUM(MID(0&amp;AV924,LARGE(INDEX(ISNUMBER(--MID(AV924,ROW($1:$8),1))*ROW($1:$8),),ROW($1:$8))+1,1)*10^ROW($1:$8)/10)</f>
        <v>0</v>
      </c>
      <c r="AX924" s="471" t="e">
        <f>VLOOKUP($AW924,'Item Master Data'!$A:$F,3,FALSE)</f>
        <v>#N/A</v>
      </c>
      <c r="AY924" s="471" t="e">
        <f>VLOOKUP($AW924,'Item Master Data'!$A:$F,6,FALSE)</f>
        <v>#N/A</v>
      </c>
      <c r="AZ924" s="471" t="e">
        <f t="shared" si="190"/>
        <v>#N/A</v>
      </c>
      <c r="BA924" s="471" t="e">
        <f>VLOOKUP(AW924,'Item Master Data'!$A:$G,7,FALSE)</f>
        <v>#N/A</v>
      </c>
      <c r="BB924" s="471"/>
      <c r="BC924" s="471" t="e">
        <f t="shared" si="191"/>
        <v>#N/A</v>
      </c>
    </row>
    <row r="925" spans="1:55">
      <c r="A925" s="472"/>
      <c r="B925" s="514" t="s">
        <v>5443</v>
      </c>
      <c r="C925" s="514">
        <v>44673</v>
      </c>
      <c r="D925" s="485" t="s">
        <v>2322</v>
      </c>
      <c r="E925" s="474" t="s">
        <v>4690</v>
      </c>
      <c r="F925" s="474"/>
      <c r="G925" s="474">
        <v>2022</v>
      </c>
      <c r="H925" s="474">
        <v>7</v>
      </c>
      <c r="I925" s="485"/>
      <c r="J925" s="475"/>
      <c r="K925" s="483" t="s">
        <v>2735</v>
      </c>
      <c r="L925" s="474" t="s">
        <v>2459</v>
      </c>
      <c r="M925" s="487">
        <v>44636</v>
      </c>
      <c r="N925" s="487">
        <v>44752</v>
      </c>
      <c r="O925" s="487"/>
      <c r="P925" s="475"/>
      <c r="Q925" s="475"/>
      <c r="R925" s="475"/>
      <c r="S925" s="474" t="s">
        <v>1563</v>
      </c>
      <c r="T925" s="474">
        <v>72</v>
      </c>
      <c r="U925" s="474" t="s">
        <v>1109</v>
      </c>
      <c r="V925" s="474" t="s">
        <v>1070</v>
      </c>
      <c r="W925" s="474">
        <v>480</v>
      </c>
      <c r="X925" s="476">
        <v>696</v>
      </c>
      <c r="Y925" s="477">
        <f t="shared" si="195"/>
        <v>334080</v>
      </c>
      <c r="Z925" s="478">
        <f t="shared" si="198"/>
        <v>0.495</v>
      </c>
      <c r="AA925" s="479">
        <f t="shared" si="196"/>
        <v>165369.60000000001</v>
      </c>
      <c r="AB925" s="480"/>
      <c r="AC925" s="481">
        <v>0</v>
      </c>
      <c r="AD925" s="490"/>
      <c r="AE925" s="482"/>
      <c r="AF925" s="493">
        <f t="shared" si="197"/>
        <v>165369.60000000001</v>
      </c>
      <c r="AG925" s="474" t="s">
        <v>1071</v>
      </c>
      <c r="AH925" s="474"/>
      <c r="AI925" s="483">
        <v>60</v>
      </c>
      <c r="AJ925" s="474" t="s">
        <v>1790</v>
      </c>
      <c r="AK925" s="494" t="s">
        <v>50</v>
      </c>
      <c r="AL925" s="474">
        <v>95834</v>
      </c>
      <c r="AM925" s="474" t="s">
        <v>52</v>
      </c>
      <c r="AN925" s="474" t="s">
        <v>1074</v>
      </c>
      <c r="AO925" s="474"/>
      <c r="AP925" s="486"/>
      <c r="AQ925" s="486" t="s">
        <v>37</v>
      </c>
      <c r="AR925" s="486"/>
      <c r="AS925" s="495"/>
      <c r="AT925" s="495"/>
      <c r="AU925" s="478"/>
      <c r="AV925" s="471" t="str">
        <f t="shared" si="189"/>
        <v>TBD</v>
      </c>
      <c r="AW925" s="471" cm="1">
        <f t="array" ref="AW925">SUM(MID(0&amp;AV925,LARGE(INDEX(ISNUMBER(--MID(AV925,ROW($1:$8),1))*ROW($1:$8),),ROW($1:$8))+1,1)*10^ROW($1:$8)/10)</f>
        <v>0</v>
      </c>
      <c r="AX925" s="471" t="e">
        <f>VLOOKUP($AW925,'Item Master Data'!$A:$F,3,FALSE)</f>
        <v>#N/A</v>
      </c>
      <c r="AY925" s="471" t="e">
        <f>VLOOKUP($AW925,'Item Master Data'!$A:$F,6,FALSE)</f>
        <v>#N/A</v>
      </c>
      <c r="AZ925" s="471" t="e">
        <f t="shared" si="190"/>
        <v>#N/A</v>
      </c>
      <c r="BA925" s="471" t="e">
        <f>VLOOKUP(AW925,'Item Master Data'!$A:$G,7,FALSE)</f>
        <v>#N/A</v>
      </c>
      <c r="BB925" s="471"/>
      <c r="BC925" s="471" t="e">
        <f t="shared" si="191"/>
        <v>#N/A</v>
      </c>
    </row>
    <row r="926" spans="1:55">
      <c r="A926" s="472"/>
      <c r="B926" s="514" t="s">
        <v>5443</v>
      </c>
      <c r="C926" s="514">
        <v>44673</v>
      </c>
      <c r="D926" s="485" t="s">
        <v>2322</v>
      </c>
      <c r="E926" s="474" t="s">
        <v>4690</v>
      </c>
      <c r="F926" s="474"/>
      <c r="G926" s="474">
        <v>2022</v>
      </c>
      <c r="H926" s="474">
        <v>8</v>
      </c>
      <c r="I926" s="485"/>
      <c r="J926" s="475"/>
      <c r="K926" s="483" t="s">
        <v>2764</v>
      </c>
      <c r="L926" s="474" t="s">
        <v>2459</v>
      </c>
      <c r="M926" s="487">
        <v>44636</v>
      </c>
      <c r="N926" s="487">
        <v>44783</v>
      </c>
      <c r="O926" s="487"/>
      <c r="P926" s="475"/>
      <c r="Q926" s="475"/>
      <c r="R926" s="475"/>
      <c r="S926" s="474" t="s">
        <v>1563</v>
      </c>
      <c r="T926" s="474">
        <v>72</v>
      </c>
      <c r="U926" s="474" t="s">
        <v>1109</v>
      </c>
      <c r="V926" s="474" t="s">
        <v>1070</v>
      </c>
      <c r="W926" s="474">
        <v>480</v>
      </c>
      <c r="X926" s="476">
        <v>696</v>
      </c>
      <c r="Y926" s="477">
        <f t="shared" si="195"/>
        <v>334080</v>
      </c>
      <c r="Z926" s="478">
        <f t="shared" si="198"/>
        <v>0.495</v>
      </c>
      <c r="AA926" s="479">
        <f t="shared" si="196"/>
        <v>165369.60000000001</v>
      </c>
      <c r="AB926" s="480"/>
      <c r="AC926" s="481">
        <v>0</v>
      </c>
      <c r="AD926" s="490"/>
      <c r="AE926" s="482"/>
      <c r="AF926" s="493">
        <f t="shared" si="197"/>
        <v>165369.60000000001</v>
      </c>
      <c r="AG926" s="474" t="s">
        <v>1071</v>
      </c>
      <c r="AH926" s="474"/>
      <c r="AI926" s="483">
        <v>60</v>
      </c>
      <c r="AJ926" s="474" t="s">
        <v>1790</v>
      </c>
      <c r="AK926" s="494" t="s">
        <v>50</v>
      </c>
      <c r="AL926" s="474">
        <v>95834</v>
      </c>
      <c r="AM926" s="474" t="s">
        <v>52</v>
      </c>
      <c r="AN926" s="474" t="s">
        <v>1074</v>
      </c>
      <c r="AO926" s="474"/>
      <c r="AP926" s="486"/>
      <c r="AQ926" s="486" t="s">
        <v>37</v>
      </c>
      <c r="AR926" s="486"/>
      <c r="AS926" s="495"/>
      <c r="AT926" s="495"/>
      <c r="AU926" s="478"/>
      <c r="AV926" s="471" t="str">
        <f t="shared" si="189"/>
        <v>TBD</v>
      </c>
      <c r="AW926" s="471" cm="1">
        <f t="array" ref="AW926">SUM(MID(0&amp;AV926,LARGE(INDEX(ISNUMBER(--MID(AV926,ROW($1:$8),1))*ROW($1:$8),),ROW($1:$8))+1,1)*10^ROW($1:$8)/10)</f>
        <v>0</v>
      </c>
      <c r="AX926" s="471" t="e">
        <f>VLOOKUP($AW926,'Item Master Data'!$A:$F,3,FALSE)</f>
        <v>#N/A</v>
      </c>
      <c r="AY926" s="471" t="e">
        <f>VLOOKUP($AW926,'Item Master Data'!$A:$F,6,FALSE)</f>
        <v>#N/A</v>
      </c>
      <c r="AZ926" s="471" t="e">
        <f t="shared" si="190"/>
        <v>#N/A</v>
      </c>
      <c r="BA926" s="471" t="e">
        <f>VLOOKUP(AW926,'Item Master Data'!$A:$G,7,FALSE)</f>
        <v>#N/A</v>
      </c>
      <c r="BB926" s="471"/>
      <c r="BC926" s="471" t="e">
        <f t="shared" si="191"/>
        <v>#N/A</v>
      </c>
    </row>
    <row r="927" spans="1:55">
      <c r="A927" s="472"/>
      <c r="B927" s="514" t="s">
        <v>5443</v>
      </c>
      <c r="C927" s="514">
        <v>44673</v>
      </c>
      <c r="D927" s="485" t="s">
        <v>2322</v>
      </c>
      <c r="E927" s="474" t="s">
        <v>4690</v>
      </c>
      <c r="F927" s="474"/>
      <c r="G927" s="474">
        <v>2022</v>
      </c>
      <c r="H927" s="474">
        <v>9</v>
      </c>
      <c r="I927" s="485"/>
      <c r="J927" s="475"/>
      <c r="K927" s="483" t="s">
        <v>2798</v>
      </c>
      <c r="L927" s="474" t="s">
        <v>2459</v>
      </c>
      <c r="M927" s="487">
        <v>44636</v>
      </c>
      <c r="N927" s="487">
        <v>44814</v>
      </c>
      <c r="O927" s="487"/>
      <c r="P927" s="475"/>
      <c r="Q927" s="475"/>
      <c r="R927" s="475"/>
      <c r="S927" s="474" t="s">
        <v>1563</v>
      </c>
      <c r="T927" s="474">
        <v>72</v>
      </c>
      <c r="U927" s="474" t="s">
        <v>1109</v>
      </c>
      <c r="V927" s="474" t="s">
        <v>1070</v>
      </c>
      <c r="W927" s="474">
        <v>480</v>
      </c>
      <c r="X927" s="476">
        <v>696</v>
      </c>
      <c r="Y927" s="477">
        <f t="shared" si="195"/>
        <v>334080</v>
      </c>
      <c r="Z927" s="478">
        <f t="shared" si="198"/>
        <v>0.495</v>
      </c>
      <c r="AA927" s="479">
        <f t="shared" si="196"/>
        <v>165369.60000000001</v>
      </c>
      <c r="AB927" s="480"/>
      <c r="AC927" s="481">
        <v>0</v>
      </c>
      <c r="AD927" s="490"/>
      <c r="AE927" s="482"/>
      <c r="AF927" s="493">
        <f t="shared" si="197"/>
        <v>165369.60000000001</v>
      </c>
      <c r="AG927" s="474" t="s">
        <v>1071</v>
      </c>
      <c r="AH927" s="474"/>
      <c r="AI927" s="483">
        <v>60</v>
      </c>
      <c r="AJ927" s="474" t="s">
        <v>1790</v>
      </c>
      <c r="AK927" s="494" t="s">
        <v>50</v>
      </c>
      <c r="AL927" s="474">
        <v>95834</v>
      </c>
      <c r="AM927" s="474" t="s">
        <v>52</v>
      </c>
      <c r="AN927" s="474" t="s">
        <v>1074</v>
      </c>
      <c r="AO927" s="474"/>
      <c r="AP927" s="486"/>
      <c r="AQ927" s="486" t="s">
        <v>37</v>
      </c>
      <c r="AR927" s="486"/>
      <c r="AS927" s="495"/>
      <c r="AT927" s="495"/>
      <c r="AU927" s="478"/>
      <c r="AV927" s="471" t="str">
        <f t="shared" si="189"/>
        <v>TBD</v>
      </c>
      <c r="AW927" s="471" cm="1">
        <f t="array" ref="AW927">SUM(MID(0&amp;AV927,LARGE(INDEX(ISNUMBER(--MID(AV927,ROW($1:$8),1))*ROW($1:$8),),ROW($1:$8))+1,1)*10^ROW($1:$8)/10)</f>
        <v>0</v>
      </c>
      <c r="AX927" s="471" t="e">
        <f>VLOOKUP($AW927,'Item Master Data'!$A:$F,3,FALSE)</f>
        <v>#N/A</v>
      </c>
      <c r="AY927" s="471" t="e">
        <f>VLOOKUP($AW927,'Item Master Data'!$A:$F,6,FALSE)</f>
        <v>#N/A</v>
      </c>
      <c r="AZ927" s="471" t="e">
        <f t="shared" si="190"/>
        <v>#N/A</v>
      </c>
      <c r="BA927" s="471" t="e">
        <f>VLOOKUP(AW927,'Item Master Data'!$A:$G,7,FALSE)</f>
        <v>#N/A</v>
      </c>
      <c r="BB927" s="471"/>
      <c r="BC927" s="471" t="e">
        <f t="shared" si="191"/>
        <v>#N/A</v>
      </c>
    </row>
    <row r="928" spans="1:55">
      <c r="A928" s="472"/>
      <c r="B928" s="514" t="s">
        <v>5443</v>
      </c>
      <c r="C928" s="514">
        <v>44673</v>
      </c>
      <c r="D928" s="485" t="s">
        <v>2322</v>
      </c>
      <c r="E928" s="474" t="s">
        <v>4690</v>
      </c>
      <c r="F928" s="474"/>
      <c r="G928" s="474">
        <v>2022</v>
      </c>
      <c r="H928" s="474">
        <v>10</v>
      </c>
      <c r="I928" s="485"/>
      <c r="J928" s="475"/>
      <c r="K928" s="483" t="s">
        <v>2835</v>
      </c>
      <c r="L928" s="474" t="s">
        <v>2459</v>
      </c>
      <c r="M928" s="487">
        <v>44636</v>
      </c>
      <c r="N928" s="487">
        <v>44844</v>
      </c>
      <c r="O928" s="487"/>
      <c r="P928" s="475"/>
      <c r="Q928" s="475"/>
      <c r="R928" s="475"/>
      <c r="S928" s="474" t="s">
        <v>1563</v>
      </c>
      <c r="T928" s="474">
        <v>72</v>
      </c>
      <c r="U928" s="474" t="s">
        <v>1109</v>
      </c>
      <c r="V928" s="474" t="s">
        <v>1070</v>
      </c>
      <c r="W928" s="474">
        <v>480</v>
      </c>
      <c r="X928" s="476">
        <v>696</v>
      </c>
      <c r="Y928" s="477">
        <f t="shared" si="195"/>
        <v>334080</v>
      </c>
      <c r="Z928" s="478">
        <f t="shared" si="198"/>
        <v>0.495</v>
      </c>
      <c r="AA928" s="479">
        <f t="shared" si="196"/>
        <v>165369.60000000001</v>
      </c>
      <c r="AB928" s="480"/>
      <c r="AC928" s="481">
        <v>0</v>
      </c>
      <c r="AD928" s="490"/>
      <c r="AE928" s="482"/>
      <c r="AF928" s="493">
        <f t="shared" si="197"/>
        <v>165369.60000000001</v>
      </c>
      <c r="AG928" s="474" t="s">
        <v>1071</v>
      </c>
      <c r="AH928" s="474"/>
      <c r="AI928" s="483">
        <v>60</v>
      </c>
      <c r="AJ928" s="474" t="s">
        <v>1790</v>
      </c>
      <c r="AK928" s="494" t="s">
        <v>50</v>
      </c>
      <c r="AL928" s="474">
        <v>95834</v>
      </c>
      <c r="AM928" s="474" t="s">
        <v>52</v>
      </c>
      <c r="AN928" s="474" t="s">
        <v>1074</v>
      </c>
      <c r="AO928" s="474"/>
      <c r="AP928" s="486"/>
      <c r="AQ928" s="486" t="s">
        <v>37</v>
      </c>
      <c r="AR928" s="486"/>
      <c r="AS928" s="495"/>
      <c r="AT928" s="495"/>
      <c r="AU928" s="478"/>
      <c r="AV928" s="471" t="str">
        <f t="shared" si="189"/>
        <v>TBD</v>
      </c>
      <c r="AW928" s="471" cm="1">
        <f t="array" ref="AW928">SUM(MID(0&amp;AV928,LARGE(INDEX(ISNUMBER(--MID(AV928,ROW($1:$8),1))*ROW($1:$8),),ROW($1:$8))+1,1)*10^ROW($1:$8)/10)</f>
        <v>0</v>
      </c>
      <c r="AX928" s="471" t="e">
        <f>VLOOKUP($AW928,'Item Master Data'!$A:$F,3,FALSE)</f>
        <v>#N/A</v>
      </c>
      <c r="AY928" s="471" t="e">
        <f>VLOOKUP($AW928,'Item Master Data'!$A:$F,6,FALSE)</f>
        <v>#N/A</v>
      </c>
      <c r="AZ928" s="471" t="e">
        <f t="shared" si="190"/>
        <v>#N/A</v>
      </c>
      <c r="BA928" s="471" t="e">
        <f>VLOOKUP(AW928,'Item Master Data'!$A:$G,7,FALSE)</f>
        <v>#N/A</v>
      </c>
      <c r="BB928" s="471"/>
      <c r="BC928" s="471" t="e">
        <f t="shared" si="191"/>
        <v>#N/A</v>
      </c>
    </row>
    <row r="929" spans="1:55">
      <c r="A929" s="472"/>
      <c r="B929" s="514" t="s">
        <v>5443</v>
      </c>
      <c r="C929" s="514">
        <v>44673</v>
      </c>
      <c r="D929" s="485" t="s">
        <v>2322</v>
      </c>
      <c r="E929" s="474" t="s">
        <v>4690</v>
      </c>
      <c r="F929" s="474"/>
      <c r="G929" s="474">
        <v>2022</v>
      </c>
      <c r="H929" s="474">
        <v>11</v>
      </c>
      <c r="I929" s="485"/>
      <c r="J929" s="475"/>
      <c r="K929" s="483" t="s">
        <v>2863</v>
      </c>
      <c r="L929" s="474" t="s">
        <v>2459</v>
      </c>
      <c r="M929" s="487">
        <v>44636</v>
      </c>
      <c r="N929" s="487">
        <v>44875</v>
      </c>
      <c r="O929" s="487"/>
      <c r="P929" s="475"/>
      <c r="Q929" s="475"/>
      <c r="R929" s="475"/>
      <c r="S929" s="474" t="s">
        <v>1563</v>
      </c>
      <c r="T929" s="474">
        <v>72</v>
      </c>
      <c r="U929" s="474" t="s">
        <v>1109</v>
      </c>
      <c r="V929" s="474" t="s">
        <v>1070</v>
      </c>
      <c r="W929" s="474">
        <v>480</v>
      </c>
      <c r="X929" s="476">
        <v>696</v>
      </c>
      <c r="Y929" s="477">
        <f t="shared" si="195"/>
        <v>334080</v>
      </c>
      <c r="Z929" s="478">
        <f t="shared" si="198"/>
        <v>0.495</v>
      </c>
      <c r="AA929" s="479">
        <f t="shared" si="196"/>
        <v>165369.60000000001</v>
      </c>
      <c r="AB929" s="480"/>
      <c r="AC929" s="481">
        <v>0</v>
      </c>
      <c r="AD929" s="490"/>
      <c r="AE929" s="482"/>
      <c r="AF929" s="493">
        <f t="shared" si="197"/>
        <v>165369.60000000001</v>
      </c>
      <c r="AG929" s="474" t="s">
        <v>1071</v>
      </c>
      <c r="AH929" s="474"/>
      <c r="AI929" s="483">
        <v>60</v>
      </c>
      <c r="AJ929" s="474" t="s">
        <v>1790</v>
      </c>
      <c r="AK929" s="494" t="s">
        <v>50</v>
      </c>
      <c r="AL929" s="474">
        <v>95834</v>
      </c>
      <c r="AM929" s="474" t="s">
        <v>52</v>
      </c>
      <c r="AN929" s="474" t="s">
        <v>1074</v>
      </c>
      <c r="AO929" s="474"/>
      <c r="AP929" s="486"/>
      <c r="AQ929" s="486" t="s">
        <v>37</v>
      </c>
      <c r="AR929" s="486"/>
      <c r="AS929" s="495"/>
      <c r="AT929" s="495"/>
      <c r="AU929" s="478"/>
      <c r="AV929" s="471" t="str">
        <f t="shared" si="189"/>
        <v>TBD</v>
      </c>
      <c r="AW929" s="471" cm="1">
        <f t="array" ref="AW929">SUM(MID(0&amp;AV929,LARGE(INDEX(ISNUMBER(--MID(AV929,ROW($1:$8),1))*ROW($1:$8),),ROW($1:$8))+1,1)*10^ROW($1:$8)/10)</f>
        <v>0</v>
      </c>
      <c r="AX929" s="471" t="e">
        <f>VLOOKUP($AW929,'Item Master Data'!$A:$F,3,FALSE)</f>
        <v>#N/A</v>
      </c>
      <c r="AY929" s="471" t="e">
        <f>VLOOKUP($AW929,'Item Master Data'!$A:$F,6,FALSE)</f>
        <v>#N/A</v>
      </c>
      <c r="AZ929" s="471" t="e">
        <f t="shared" si="190"/>
        <v>#N/A</v>
      </c>
      <c r="BA929" s="471" t="e">
        <f>VLOOKUP(AW929,'Item Master Data'!$A:$G,7,FALSE)</f>
        <v>#N/A</v>
      </c>
      <c r="BB929" s="471"/>
      <c r="BC929" s="471" t="e">
        <f t="shared" si="191"/>
        <v>#N/A</v>
      </c>
    </row>
    <row r="930" spans="1:55">
      <c r="A930" s="472"/>
      <c r="B930" s="514">
        <v>44636</v>
      </c>
      <c r="C930" s="514">
        <v>44636</v>
      </c>
      <c r="D930" s="485" t="s">
        <v>2322</v>
      </c>
      <c r="E930" s="474" t="s">
        <v>5448</v>
      </c>
      <c r="F930" s="474"/>
      <c r="G930" s="474">
        <v>2022</v>
      </c>
      <c r="H930" s="474">
        <v>12</v>
      </c>
      <c r="I930" s="485"/>
      <c r="J930" s="475"/>
      <c r="K930" s="483" t="s">
        <v>2895</v>
      </c>
      <c r="L930" s="474" t="s">
        <v>2459</v>
      </c>
      <c r="M930" s="487">
        <v>44636</v>
      </c>
      <c r="N930" s="487">
        <v>44902</v>
      </c>
      <c r="O930" s="487"/>
      <c r="P930" s="475"/>
      <c r="Q930" s="475"/>
      <c r="R930" s="475"/>
      <c r="S930" s="474" t="s">
        <v>1563</v>
      </c>
      <c r="T930" s="474">
        <v>72</v>
      </c>
      <c r="U930" s="474"/>
      <c r="V930" s="474" t="s">
        <v>1104</v>
      </c>
      <c r="W930" s="474">
        <v>480</v>
      </c>
      <c r="X930" s="476">
        <v>696</v>
      </c>
      <c r="Y930" s="477">
        <f t="shared" si="195"/>
        <v>334080</v>
      </c>
      <c r="Z930" s="478">
        <f t="shared" si="198"/>
        <v>0.495</v>
      </c>
      <c r="AA930" s="479">
        <f t="shared" si="196"/>
        <v>165369.60000000001</v>
      </c>
      <c r="AB930" s="480"/>
      <c r="AC930" s="481">
        <v>0</v>
      </c>
      <c r="AD930" s="490"/>
      <c r="AE930" s="482"/>
      <c r="AF930" s="493">
        <f t="shared" si="197"/>
        <v>165369.60000000001</v>
      </c>
      <c r="AG930" s="474" t="s">
        <v>1071</v>
      </c>
      <c r="AH930" s="474"/>
      <c r="AI930" s="483">
        <v>60</v>
      </c>
      <c r="AJ930" s="474" t="s">
        <v>1790</v>
      </c>
      <c r="AK930" s="494" t="s">
        <v>50</v>
      </c>
      <c r="AL930" s="474">
        <v>95834</v>
      </c>
      <c r="AM930" s="474" t="s">
        <v>52</v>
      </c>
      <c r="AN930" s="474" t="s">
        <v>1074</v>
      </c>
      <c r="AO930" s="474"/>
      <c r="AP930" s="486"/>
      <c r="AQ930" s="486" t="s">
        <v>37</v>
      </c>
      <c r="AR930" s="486"/>
      <c r="AS930" s="495"/>
      <c r="AT930" s="495"/>
      <c r="AU930" s="478"/>
      <c r="AV930" s="471">
        <f t="shared" si="189"/>
        <v>0</v>
      </c>
      <c r="AW930" s="471" cm="1">
        <f t="array" ref="AW930">SUM(MID(0&amp;AV930,LARGE(INDEX(ISNUMBER(--MID(AV930,ROW($1:$8),1))*ROW($1:$8),),ROW($1:$8))+1,1)*10^ROW($1:$8)/10)</f>
        <v>0</v>
      </c>
      <c r="AX930" s="471" t="e">
        <f>VLOOKUP($AW930,'Item Master Data'!$A:$F,3,FALSE)</f>
        <v>#N/A</v>
      </c>
      <c r="AY930" s="471" t="e">
        <f>VLOOKUP($AW930,'Item Master Data'!$A:$F,6,FALSE)</f>
        <v>#N/A</v>
      </c>
      <c r="AZ930" s="471" t="e">
        <f t="shared" si="190"/>
        <v>#N/A</v>
      </c>
      <c r="BA930" s="471" t="e">
        <f>VLOOKUP(AW930,'Item Master Data'!$A:$G,7,FALSE)</f>
        <v>#N/A</v>
      </c>
      <c r="BB930" s="471"/>
      <c r="BC930" s="471" t="e">
        <f t="shared" si="191"/>
        <v>#N/A</v>
      </c>
    </row>
    <row r="931" spans="1:55">
      <c r="A931" s="472"/>
      <c r="B931" s="514"/>
      <c r="C931" s="514"/>
      <c r="D931" s="485" t="s">
        <v>2322</v>
      </c>
      <c r="E931" s="474"/>
      <c r="F931" s="474"/>
      <c r="G931" s="474">
        <v>2022</v>
      </c>
      <c r="H931" s="474">
        <v>7</v>
      </c>
      <c r="I931" s="485"/>
      <c r="J931" s="475"/>
      <c r="K931" s="483" t="s">
        <v>2696</v>
      </c>
      <c r="L931" s="474" t="s">
        <v>2459</v>
      </c>
      <c r="M931" s="487">
        <v>44510</v>
      </c>
      <c r="N931" s="487">
        <v>44566</v>
      </c>
      <c r="O931" s="487"/>
      <c r="P931" s="475"/>
      <c r="Q931" s="475"/>
      <c r="R931" s="475"/>
      <c r="S931" s="474" t="s">
        <v>1563</v>
      </c>
      <c r="T931" s="474">
        <v>60</v>
      </c>
      <c r="U931" s="474">
        <v>49401140</v>
      </c>
      <c r="V931" s="474" t="s">
        <v>973</v>
      </c>
      <c r="W931" s="474">
        <v>400</v>
      </c>
      <c r="X931" s="476">
        <v>768</v>
      </c>
      <c r="Y931" s="477">
        <f t="shared" si="195"/>
        <v>307200</v>
      </c>
      <c r="Z931" s="478">
        <f>210/400</f>
        <v>0.52500000000000002</v>
      </c>
      <c r="AA931" s="479">
        <f t="shared" si="196"/>
        <v>161280</v>
      </c>
      <c r="AB931" s="480"/>
      <c r="AC931" s="481">
        <v>0</v>
      </c>
      <c r="AD931" s="490"/>
      <c r="AE931" s="482"/>
      <c r="AF931" s="493">
        <f t="shared" si="197"/>
        <v>161280</v>
      </c>
      <c r="AG931" s="474" t="s">
        <v>1071</v>
      </c>
      <c r="AH931" s="474"/>
      <c r="AI931" s="483" t="s">
        <v>2442</v>
      </c>
      <c r="AJ931" s="474" t="s">
        <v>1860</v>
      </c>
      <c r="AK931" s="494" t="s">
        <v>50</v>
      </c>
      <c r="AL931" s="474">
        <v>93722</v>
      </c>
      <c r="AM931" s="474" t="s">
        <v>52</v>
      </c>
      <c r="AN931" s="474"/>
      <c r="AO931" s="474"/>
      <c r="AP931" s="486"/>
      <c r="AQ931" s="486" t="s">
        <v>37</v>
      </c>
      <c r="AR931" s="486"/>
      <c r="AS931" s="495"/>
      <c r="AT931" s="495"/>
      <c r="AU931" s="478"/>
      <c r="AV931" s="471">
        <f t="shared" si="189"/>
        <v>49401140</v>
      </c>
      <c r="AW931" s="471" cm="1">
        <f t="array" ref="AW931">SUM(MID(0&amp;AV931,LARGE(INDEX(ISNUMBER(--MID(AV931,ROW($1:$8),1))*ROW($1:$8),),ROW($1:$8))+1,1)*10^ROW($1:$8)/10)</f>
        <v>49401140</v>
      </c>
      <c r="AX931" s="471" t="str">
        <f>VLOOKUP($AW931,'Item Master Data'!$A:$F,3,FALSE)</f>
        <v>Q.PEAK DUO BLK ML G10.a+</v>
      </c>
      <c r="AY931" s="471">
        <f>VLOOKUP($AW931,'Item Master Data'!$A:$F,6,FALSE)</f>
        <v>400</v>
      </c>
      <c r="AZ931" s="471">
        <f t="shared" si="190"/>
        <v>24</v>
      </c>
      <c r="BA931" s="471">
        <f>VLOOKUP(AW931,'Item Master Data'!$A:$G,7,FALSE)</f>
        <v>32</v>
      </c>
      <c r="BB931" s="471"/>
      <c r="BC931" s="471">
        <f t="shared" si="191"/>
        <v>0</v>
      </c>
    </row>
    <row r="932" spans="1:55">
      <c r="A932" s="472"/>
      <c r="B932" s="514"/>
      <c r="C932" s="514"/>
      <c r="D932" s="485" t="s">
        <v>2322</v>
      </c>
      <c r="E932" s="474"/>
      <c r="F932" s="474" t="s">
        <v>1147</v>
      </c>
      <c r="G932" s="474">
        <v>2022</v>
      </c>
      <c r="H932" s="474">
        <v>4</v>
      </c>
      <c r="I932" s="485" t="s">
        <v>2316</v>
      </c>
      <c r="J932" s="475">
        <v>44656</v>
      </c>
      <c r="K932" s="483" t="s">
        <v>2553</v>
      </c>
      <c r="L932" s="474" t="s">
        <v>2459</v>
      </c>
      <c r="M932" s="487">
        <v>44510</v>
      </c>
      <c r="N932" s="487">
        <v>44568</v>
      </c>
      <c r="O932" s="487"/>
      <c r="P932" s="475">
        <v>44649</v>
      </c>
      <c r="Q932" s="475">
        <v>44656</v>
      </c>
      <c r="R932" s="475">
        <v>44658</v>
      </c>
      <c r="S932" s="474" t="s">
        <v>1563</v>
      </c>
      <c r="T932" s="474">
        <v>60</v>
      </c>
      <c r="U932" s="474">
        <v>49203132</v>
      </c>
      <c r="V932" s="474" t="s">
        <v>986</v>
      </c>
      <c r="W932" s="474">
        <v>360</v>
      </c>
      <c r="X932" s="476">
        <v>832</v>
      </c>
      <c r="Y932" s="477">
        <f t="shared" si="195"/>
        <v>299520</v>
      </c>
      <c r="Z932" s="478">
        <f>192.6/360</f>
        <v>0.53500000000000003</v>
      </c>
      <c r="AA932" s="479">
        <f t="shared" si="196"/>
        <v>160243.20000000001</v>
      </c>
      <c r="AB932" s="480"/>
      <c r="AC932" s="481">
        <v>0</v>
      </c>
      <c r="AD932" s="490"/>
      <c r="AE932" s="482"/>
      <c r="AF932" s="493">
        <f t="shared" si="197"/>
        <v>160243.20000000001</v>
      </c>
      <c r="AG932" s="474" t="s">
        <v>1071</v>
      </c>
      <c r="AH932" s="474"/>
      <c r="AI932" s="483" t="s">
        <v>2442</v>
      </c>
      <c r="AJ932" s="474" t="s">
        <v>1860</v>
      </c>
      <c r="AK932" s="494" t="s">
        <v>50</v>
      </c>
      <c r="AL932" s="474">
        <v>93722</v>
      </c>
      <c r="AM932" s="474" t="s">
        <v>52</v>
      </c>
      <c r="AN932" s="474" t="s">
        <v>1074</v>
      </c>
      <c r="AO932" s="474"/>
      <c r="AP932" s="486"/>
      <c r="AQ932" s="486" t="s">
        <v>37</v>
      </c>
      <c r="AR932" s="486"/>
      <c r="AS932" s="495"/>
      <c r="AT932" s="495"/>
      <c r="AU932" s="478"/>
      <c r="AV932" s="471">
        <f t="shared" si="189"/>
        <v>49203132</v>
      </c>
      <c r="AW932" s="471" cm="1">
        <f t="array" ref="AW932">SUM(MID(0&amp;AV932,LARGE(INDEX(ISNUMBER(--MID(AV932,ROW($1:$8),1))*ROW($1:$8),),ROW($1:$8))+1,1)*10^ROW($1:$8)/10)</f>
        <v>49203132</v>
      </c>
      <c r="AX932" s="471" t="str">
        <f>VLOOKUP($AW932,'Item Master Data'!$A:$F,3,FALSE)</f>
        <v>Q.PEAK DUO BLK G10+</v>
      </c>
      <c r="AY932" s="471">
        <f>VLOOKUP($AW932,'Item Master Data'!$A:$F,6,FALSE)</f>
        <v>360</v>
      </c>
      <c r="AZ932" s="471">
        <f t="shared" si="190"/>
        <v>26</v>
      </c>
      <c r="BA932" s="471">
        <f>VLOOKUP(AW932,'Item Master Data'!$A:$G,7,FALSE)</f>
        <v>32</v>
      </c>
      <c r="BB932" s="471"/>
      <c r="BC932" s="471">
        <f t="shared" si="191"/>
        <v>0</v>
      </c>
    </row>
    <row r="933" spans="1:55">
      <c r="A933" s="472"/>
      <c r="B933" s="514"/>
      <c r="C933" s="514"/>
      <c r="D933" s="485" t="s">
        <v>2322</v>
      </c>
      <c r="E933" s="474"/>
      <c r="F933" s="474"/>
      <c r="G933" s="474">
        <v>2022</v>
      </c>
      <c r="H933" s="474">
        <v>3</v>
      </c>
      <c r="I933" s="485">
        <v>127702</v>
      </c>
      <c r="J933" s="475">
        <v>44645</v>
      </c>
      <c r="K933" s="483" t="s">
        <v>2465</v>
      </c>
      <c r="L933" s="474" t="s">
        <v>2459</v>
      </c>
      <c r="M933" s="487">
        <v>44510</v>
      </c>
      <c r="N933" s="487">
        <v>44571</v>
      </c>
      <c r="O933" s="487"/>
      <c r="P933" s="475">
        <v>44629</v>
      </c>
      <c r="Q933" s="475">
        <v>44645</v>
      </c>
      <c r="R933" s="475">
        <v>44650</v>
      </c>
      <c r="S933" s="474" t="s">
        <v>1563</v>
      </c>
      <c r="T933" s="474">
        <v>60</v>
      </c>
      <c r="U933" s="474">
        <v>49204132</v>
      </c>
      <c r="V933" s="474" t="s">
        <v>1223</v>
      </c>
      <c r="W933" s="474">
        <v>360</v>
      </c>
      <c r="X933" s="476">
        <v>624</v>
      </c>
      <c r="Y933" s="491">
        <f t="shared" si="195"/>
        <v>224640</v>
      </c>
      <c r="Z933" s="478">
        <f>284.4/360</f>
        <v>0.78999999999999992</v>
      </c>
      <c r="AA933" s="479">
        <f t="shared" si="196"/>
        <v>177465.59999999998</v>
      </c>
      <c r="AB933" s="480"/>
      <c r="AC933" s="481">
        <v>0</v>
      </c>
      <c r="AD933" s="490"/>
      <c r="AE933" s="482"/>
      <c r="AF933" s="493">
        <f t="shared" si="197"/>
        <v>177465.59999999998</v>
      </c>
      <c r="AG933" s="474" t="s">
        <v>1071</v>
      </c>
      <c r="AH933" s="474"/>
      <c r="AI933" s="483" t="s">
        <v>2442</v>
      </c>
      <c r="AJ933" s="474" t="s">
        <v>1860</v>
      </c>
      <c r="AK933" s="494" t="s">
        <v>50</v>
      </c>
      <c r="AL933" s="474">
        <v>93722</v>
      </c>
      <c r="AM933" s="474" t="s">
        <v>52</v>
      </c>
      <c r="AN933" s="474" t="s">
        <v>1106</v>
      </c>
      <c r="AO933" s="474"/>
      <c r="AP933" s="486"/>
      <c r="AQ933" s="486" t="s">
        <v>37</v>
      </c>
      <c r="AR933" s="486"/>
      <c r="AS933" s="495"/>
      <c r="AT933" s="495"/>
      <c r="AU933" s="478"/>
      <c r="AV933" s="471">
        <f t="shared" si="189"/>
        <v>49204132</v>
      </c>
      <c r="AW933" s="471" cm="1">
        <f t="array" ref="AW933">SUM(MID(0&amp;AV933,LARGE(INDEX(ISNUMBER(--MID(AV933,ROW($1:$8),1))*ROW($1:$8),),ROW($1:$8))+1,1)*10^ROW($1:$8)/10)</f>
        <v>49204132</v>
      </c>
      <c r="AX933" s="471" t="str">
        <f>VLOOKUP($AW933,'Item Master Data'!$A:$F,3,FALSE)</f>
        <v>Q.PEAK DUO BLK G10+/AC</v>
      </c>
      <c r="AY933" s="471">
        <f>VLOOKUP($AW933,'Item Master Data'!$A:$F,6,FALSE)</f>
        <v>360</v>
      </c>
      <c r="AZ933" s="471">
        <f t="shared" si="190"/>
        <v>24</v>
      </c>
      <c r="BA933" s="471">
        <f>VLOOKUP(AW933,'Item Master Data'!$A:$G,7,FALSE)</f>
        <v>26</v>
      </c>
      <c r="BB933" s="471"/>
      <c r="BC933" s="471">
        <f t="shared" si="191"/>
        <v>0</v>
      </c>
    </row>
    <row r="934" spans="1:55">
      <c r="A934" s="472"/>
      <c r="B934" s="514"/>
      <c r="C934" s="514"/>
      <c r="D934" s="485" t="s">
        <v>2322</v>
      </c>
      <c r="E934" s="474"/>
      <c r="F934" s="474"/>
      <c r="G934" s="474">
        <v>2022</v>
      </c>
      <c r="H934" s="474">
        <v>3</v>
      </c>
      <c r="I934" s="485">
        <v>127703</v>
      </c>
      <c r="J934" s="475">
        <v>44645</v>
      </c>
      <c r="K934" s="483" t="s">
        <v>2466</v>
      </c>
      <c r="L934" s="474" t="s">
        <v>2459</v>
      </c>
      <c r="M934" s="487">
        <v>44510</v>
      </c>
      <c r="N934" s="487">
        <v>44566</v>
      </c>
      <c r="O934" s="487"/>
      <c r="P934" s="475">
        <v>44629</v>
      </c>
      <c r="Q934" s="475">
        <v>44645</v>
      </c>
      <c r="R934" s="475">
        <v>44650</v>
      </c>
      <c r="S934" s="474" t="s">
        <v>1563</v>
      </c>
      <c r="T934" s="474">
        <v>60</v>
      </c>
      <c r="U934" s="474">
        <v>49204132</v>
      </c>
      <c r="V934" s="474" t="s">
        <v>1223</v>
      </c>
      <c r="W934" s="474">
        <v>360</v>
      </c>
      <c r="X934" s="476">
        <v>624</v>
      </c>
      <c r="Y934" s="491">
        <f t="shared" si="195"/>
        <v>224640</v>
      </c>
      <c r="Z934" s="478">
        <f>284.4/360</f>
        <v>0.78999999999999992</v>
      </c>
      <c r="AA934" s="479">
        <f t="shared" si="196"/>
        <v>177465.59999999998</v>
      </c>
      <c r="AB934" s="480"/>
      <c r="AC934" s="481">
        <v>0</v>
      </c>
      <c r="AD934" s="490"/>
      <c r="AE934" s="482"/>
      <c r="AF934" s="493">
        <f t="shared" si="197"/>
        <v>177465.59999999998</v>
      </c>
      <c r="AG934" s="474" t="s">
        <v>1071</v>
      </c>
      <c r="AH934" s="474"/>
      <c r="AI934" s="483" t="s">
        <v>2442</v>
      </c>
      <c r="AJ934" s="474" t="s">
        <v>1860</v>
      </c>
      <c r="AK934" s="494" t="s">
        <v>50</v>
      </c>
      <c r="AL934" s="474">
        <v>93722</v>
      </c>
      <c r="AM934" s="474" t="s">
        <v>52</v>
      </c>
      <c r="AN934" s="474" t="s">
        <v>1106</v>
      </c>
      <c r="AO934" s="474"/>
      <c r="AP934" s="486"/>
      <c r="AQ934" s="486" t="s">
        <v>37</v>
      </c>
      <c r="AR934" s="486"/>
      <c r="AS934" s="495"/>
      <c r="AT934" s="495"/>
      <c r="AU934" s="478"/>
      <c r="AV934" s="471">
        <f t="shared" si="189"/>
        <v>49204132</v>
      </c>
      <c r="AW934" s="471" cm="1">
        <f t="array" ref="AW934">SUM(MID(0&amp;AV934,LARGE(INDEX(ISNUMBER(--MID(AV934,ROW($1:$8),1))*ROW($1:$8),),ROW($1:$8))+1,1)*10^ROW($1:$8)/10)</f>
        <v>49204132</v>
      </c>
      <c r="AX934" s="471" t="str">
        <f>VLOOKUP($AW934,'Item Master Data'!$A:$F,3,FALSE)</f>
        <v>Q.PEAK DUO BLK G10+/AC</v>
      </c>
      <c r="AY934" s="471">
        <f>VLOOKUP($AW934,'Item Master Data'!$A:$F,6,FALSE)</f>
        <v>360</v>
      </c>
      <c r="AZ934" s="471">
        <f t="shared" si="190"/>
        <v>24</v>
      </c>
      <c r="BA934" s="471">
        <f>VLOOKUP(AW934,'Item Master Data'!$A:$G,7,FALSE)</f>
        <v>26</v>
      </c>
      <c r="BB934" s="471"/>
      <c r="BC934" s="471">
        <f t="shared" si="191"/>
        <v>0</v>
      </c>
    </row>
    <row r="935" spans="1:55">
      <c r="A935" s="472"/>
      <c r="B935" s="514"/>
      <c r="C935" s="514"/>
      <c r="D935" s="485" t="s">
        <v>2322</v>
      </c>
      <c r="E935" s="474"/>
      <c r="F935" s="474"/>
      <c r="G935" s="474">
        <v>2022</v>
      </c>
      <c r="H935" s="474">
        <v>7</v>
      </c>
      <c r="I935" s="485"/>
      <c r="J935" s="475"/>
      <c r="K935" s="483" t="s">
        <v>2697</v>
      </c>
      <c r="L935" s="474" t="s">
        <v>2459</v>
      </c>
      <c r="M935" s="487">
        <v>44510</v>
      </c>
      <c r="N935" s="487">
        <v>44607</v>
      </c>
      <c r="O935" s="487"/>
      <c r="P935" s="475"/>
      <c r="Q935" s="475"/>
      <c r="R935" s="475"/>
      <c r="S935" s="474" t="s">
        <v>1563</v>
      </c>
      <c r="T935" s="474">
        <v>60</v>
      </c>
      <c r="U935" s="474">
        <v>49401140</v>
      </c>
      <c r="V935" s="474" t="s">
        <v>973</v>
      </c>
      <c r="W935" s="474">
        <v>400</v>
      </c>
      <c r="X935" s="476">
        <v>768</v>
      </c>
      <c r="Y935" s="477">
        <f t="shared" si="195"/>
        <v>307200</v>
      </c>
      <c r="Z935" s="478">
        <f>210/400</f>
        <v>0.52500000000000002</v>
      </c>
      <c r="AA935" s="479">
        <f t="shared" si="196"/>
        <v>161280</v>
      </c>
      <c r="AB935" s="480"/>
      <c r="AC935" s="481">
        <v>0</v>
      </c>
      <c r="AD935" s="490"/>
      <c r="AE935" s="482"/>
      <c r="AF935" s="493">
        <f t="shared" si="197"/>
        <v>161280</v>
      </c>
      <c r="AG935" s="474" t="s">
        <v>1071</v>
      </c>
      <c r="AH935" s="474"/>
      <c r="AI935" s="483" t="s">
        <v>2442</v>
      </c>
      <c r="AJ935" s="474" t="s">
        <v>1860</v>
      </c>
      <c r="AK935" s="494" t="s">
        <v>50</v>
      </c>
      <c r="AL935" s="474">
        <v>93722</v>
      </c>
      <c r="AM935" s="474" t="s">
        <v>52</v>
      </c>
      <c r="AN935" s="474"/>
      <c r="AO935" s="474"/>
      <c r="AP935" s="486"/>
      <c r="AQ935" s="486" t="s">
        <v>37</v>
      </c>
      <c r="AR935" s="486"/>
      <c r="AS935" s="495"/>
      <c r="AT935" s="495"/>
      <c r="AU935" s="478"/>
      <c r="AV935" s="471">
        <f t="shared" si="189"/>
        <v>49401140</v>
      </c>
      <c r="AW935" s="471" cm="1">
        <f t="array" ref="AW935">SUM(MID(0&amp;AV935,LARGE(INDEX(ISNUMBER(--MID(AV935,ROW($1:$8),1))*ROW($1:$8),),ROW($1:$8))+1,1)*10^ROW($1:$8)/10)</f>
        <v>49401140</v>
      </c>
      <c r="AX935" s="471" t="str">
        <f>VLOOKUP($AW935,'Item Master Data'!$A:$F,3,FALSE)</f>
        <v>Q.PEAK DUO BLK ML G10.a+</v>
      </c>
      <c r="AY935" s="471">
        <f>VLOOKUP($AW935,'Item Master Data'!$A:$F,6,FALSE)</f>
        <v>400</v>
      </c>
      <c r="AZ935" s="471">
        <f t="shared" si="190"/>
        <v>24</v>
      </c>
      <c r="BA935" s="471">
        <f>VLOOKUP(AW935,'Item Master Data'!$A:$G,7,FALSE)</f>
        <v>32</v>
      </c>
      <c r="BB935" s="471"/>
      <c r="BC935" s="471">
        <f t="shared" si="191"/>
        <v>0</v>
      </c>
    </row>
    <row r="936" spans="1:55">
      <c r="A936" s="472"/>
      <c r="B936" s="514"/>
      <c r="C936" s="514"/>
      <c r="D936" s="485" t="s">
        <v>2322</v>
      </c>
      <c r="E936" s="474" t="s">
        <v>2633</v>
      </c>
      <c r="F936" s="474"/>
      <c r="G936" s="474">
        <v>2022</v>
      </c>
      <c r="H936" s="474">
        <v>6</v>
      </c>
      <c r="I936" s="485"/>
      <c r="J936" s="475"/>
      <c r="K936" s="483" t="s">
        <v>2634</v>
      </c>
      <c r="L936" s="474" t="s">
        <v>2459</v>
      </c>
      <c r="M936" s="487">
        <v>44544</v>
      </c>
      <c r="N936" s="487">
        <v>44685</v>
      </c>
      <c r="O936" s="487"/>
      <c r="P936" s="475"/>
      <c r="Q936" s="475"/>
      <c r="R936" s="475"/>
      <c r="S936" s="474" t="s">
        <v>1563</v>
      </c>
      <c r="T936" s="474">
        <v>60</v>
      </c>
      <c r="U936" s="474" t="s">
        <v>1109</v>
      </c>
      <c r="V936" s="474" t="s">
        <v>1223</v>
      </c>
      <c r="W936" s="474">
        <v>360</v>
      </c>
      <c r="X936" s="476">
        <v>624</v>
      </c>
      <c r="Y936" s="477">
        <f t="shared" si="195"/>
        <v>224640</v>
      </c>
      <c r="Z936" s="478">
        <f>284.4/360</f>
        <v>0.78999999999999992</v>
      </c>
      <c r="AA936" s="479">
        <f t="shared" si="196"/>
        <v>177465.59999999998</v>
      </c>
      <c r="AB936" s="480"/>
      <c r="AC936" s="481">
        <v>0</v>
      </c>
      <c r="AD936" s="490"/>
      <c r="AE936" s="482"/>
      <c r="AF936" s="493">
        <f t="shared" si="197"/>
        <v>177465.59999999998</v>
      </c>
      <c r="AG936" s="474" t="s">
        <v>1071</v>
      </c>
      <c r="AH936" s="474"/>
      <c r="AI936" s="483" t="s">
        <v>2442</v>
      </c>
      <c r="AJ936" s="474" t="s">
        <v>1860</v>
      </c>
      <c r="AK936" s="494" t="s">
        <v>50</v>
      </c>
      <c r="AL936" s="474">
        <v>93772</v>
      </c>
      <c r="AM936" s="474" t="s">
        <v>52</v>
      </c>
      <c r="AN936" s="474"/>
      <c r="AO936" s="474"/>
      <c r="AP936" s="486"/>
      <c r="AQ936" s="486" t="s">
        <v>37</v>
      </c>
      <c r="AR936" s="486"/>
      <c r="AS936" s="495"/>
      <c r="AT936" s="495"/>
      <c r="AU936" s="478"/>
      <c r="AV936" s="471" t="str">
        <f t="shared" si="189"/>
        <v>TBD</v>
      </c>
      <c r="AW936" s="471" cm="1">
        <f t="array" ref="AW936">SUM(MID(0&amp;AV936,LARGE(INDEX(ISNUMBER(--MID(AV936,ROW($1:$8),1))*ROW($1:$8),),ROW($1:$8))+1,1)*10^ROW($1:$8)/10)</f>
        <v>0</v>
      </c>
      <c r="AX936" s="471" t="e">
        <f>VLOOKUP($AW936,'Item Master Data'!$A:$F,3,FALSE)</f>
        <v>#N/A</v>
      </c>
      <c r="AY936" s="471" t="e">
        <f>VLOOKUP($AW936,'Item Master Data'!$A:$F,6,FALSE)</f>
        <v>#N/A</v>
      </c>
      <c r="AZ936" s="471" t="e">
        <f t="shared" si="190"/>
        <v>#N/A</v>
      </c>
      <c r="BA936" s="471" t="e">
        <f>VLOOKUP(AW936,'Item Master Data'!$A:$G,7,FALSE)</f>
        <v>#N/A</v>
      </c>
      <c r="BB936" s="471"/>
      <c r="BC936" s="471" t="e">
        <f t="shared" si="191"/>
        <v>#N/A</v>
      </c>
    </row>
    <row r="937" spans="1:55">
      <c r="A937" s="472"/>
      <c r="B937" s="514"/>
      <c r="C937" s="514"/>
      <c r="D937" s="485" t="s">
        <v>2322</v>
      </c>
      <c r="E937" s="474" t="s">
        <v>2633</v>
      </c>
      <c r="F937" s="474"/>
      <c r="G937" s="474">
        <v>2022</v>
      </c>
      <c r="H937" s="474">
        <v>8</v>
      </c>
      <c r="I937" s="485"/>
      <c r="J937" s="475"/>
      <c r="K937" s="483" t="s">
        <v>2765</v>
      </c>
      <c r="L937" s="474" t="s">
        <v>2459</v>
      </c>
      <c r="M937" s="487">
        <v>44545</v>
      </c>
      <c r="N937" s="487">
        <v>44787</v>
      </c>
      <c r="O937" s="487"/>
      <c r="P937" s="475"/>
      <c r="Q937" s="475"/>
      <c r="R937" s="475"/>
      <c r="S937" s="474" t="s">
        <v>1563</v>
      </c>
      <c r="T937" s="474">
        <v>60</v>
      </c>
      <c r="U937" s="474" t="s">
        <v>1281</v>
      </c>
      <c r="V937" s="474" t="s">
        <v>1223</v>
      </c>
      <c r="W937" s="474">
        <v>360</v>
      </c>
      <c r="X937" s="476">
        <v>624</v>
      </c>
      <c r="Y937" s="477">
        <f t="shared" si="195"/>
        <v>224640</v>
      </c>
      <c r="Z937" s="478">
        <f>284.4/360</f>
        <v>0.78999999999999992</v>
      </c>
      <c r="AA937" s="479">
        <f t="shared" si="196"/>
        <v>177465.59999999998</v>
      </c>
      <c r="AB937" s="480"/>
      <c r="AC937" s="481">
        <v>0</v>
      </c>
      <c r="AD937" s="490"/>
      <c r="AE937" s="482"/>
      <c r="AF937" s="493">
        <f t="shared" si="197"/>
        <v>177465.59999999998</v>
      </c>
      <c r="AG937" s="474" t="s">
        <v>1071</v>
      </c>
      <c r="AH937" s="474"/>
      <c r="AI937" s="483" t="s">
        <v>2442</v>
      </c>
      <c r="AJ937" s="474" t="s">
        <v>1860</v>
      </c>
      <c r="AK937" s="494" t="s">
        <v>50</v>
      </c>
      <c r="AL937" s="474">
        <v>93722</v>
      </c>
      <c r="AM937" s="474" t="s">
        <v>52</v>
      </c>
      <c r="AN937" s="474"/>
      <c r="AO937" s="474"/>
      <c r="AP937" s="486"/>
      <c r="AQ937" s="486" t="s">
        <v>37</v>
      </c>
      <c r="AR937" s="486"/>
      <c r="AS937" s="495"/>
      <c r="AT937" s="495"/>
      <c r="AU937" s="478"/>
      <c r="AV937" s="471" t="str">
        <f t="shared" si="189"/>
        <v>30390456H</v>
      </c>
      <c r="AW937" s="471" cm="1">
        <f t="array" ref="AW937">SUM(MID(0&amp;AV937,LARGE(INDEX(ISNUMBER(--MID(AV937,ROW($1:$8),1))*ROW($1:$8),),ROW($1:$8))+1,1)*10^ROW($1:$8)/10)</f>
        <v>30390456</v>
      </c>
      <c r="AX937" s="471" t="str">
        <f>VLOOKUP($AW937,'Item Master Data'!$A:$F,3,FALSE)</f>
        <v>Q.PEAK DUO BLK ML G10+</v>
      </c>
      <c r="AY937" s="471">
        <f>VLOOKUP($AW937,'Item Master Data'!$A:$F,6,FALSE)</f>
        <v>400</v>
      </c>
      <c r="AZ937" s="471">
        <f t="shared" si="190"/>
        <v>19.5</v>
      </c>
      <c r="BA937" s="471">
        <f>VLOOKUP(AW937,'Item Master Data'!$A:$G,7,FALSE)</f>
        <v>32</v>
      </c>
      <c r="BB937" s="471"/>
      <c r="BC937" s="471">
        <f t="shared" si="191"/>
        <v>-40</v>
      </c>
    </row>
    <row r="938" spans="1:55">
      <c r="A938" s="472"/>
      <c r="B938" s="514"/>
      <c r="C938" s="514"/>
      <c r="D938" s="485" t="s">
        <v>2322</v>
      </c>
      <c r="E938" s="474" t="s">
        <v>1053</v>
      </c>
      <c r="F938" s="474"/>
      <c r="G938" s="474">
        <v>2022</v>
      </c>
      <c r="H938" s="474">
        <v>8</v>
      </c>
      <c r="I938" s="485"/>
      <c r="J938" s="475"/>
      <c r="K938" s="483" t="s">
        <v>2742</v>
      </c>
      <c r="L938" s="474" t="s">
        <v>2459</v>
      </c>
      <c r="M938" s="487">
        <v>44484</v>
      </c>
      <c r="N938" s="487">
        <v>44602</v>
      </c>
      <c r="O938" s="487"/>
      <c r="P938" s="475"/>
      <c r="Q938" s="475"/>
      <c r="R938" s="475"/>
      <c r="S938" s="474" t="s">
        <v>1563</v>
      </c>
      <c r="T938" s="474">
        <v>60</v>
      </c>
      <c r="U938" s="474">
        <v>49403140</v>
      </c>
      <c r="V938" s="474" t="s">
        <v>973</v>
      </c>
      <c r="W938" s="474">
        <v>400</v>
      </c>
      <c r="X938" s="476">
        <v>768</v>
      </c>
      <c r="Y938" s="477">
        <f t="shared" si="195"/>
        <v>307200</v>
      </c>
      <c r="Z938" s="478">
        <f>210/400</f>
        <v>0.52500000000000002</v>
      </c>
      <c r="AA938" s="479">
        <f t="shared" si="196"/>
        <v>161280</v>
      </c>
      <c r="AB938" s="480"/>
      <c r="AC938" s="481">
        <v>0</v>
      </c>
      <c r="AD938" s="490"/>
      <c r="AE938" s="482"/>
      <c r="AF938" s="493">
        <f t="shared" si="197"/>
        <v>161280</v>
      </c>
      <c r="AG938" s="474" t="s">
        <v>1071</v>
      </c>
      <c r="AH938" s="474"/>
      <c r="AI938" s="483">
        <v>60</v>
      </c>
      <c r="AJ938" s="474" t="s">
        <v>2353</v>
      </c>
      <c r="AK938" s="494" t="s">
        <v>50</v>
      </c>
      <c r="AL938" s="474">
        <v>90620</v>
      </c>
      <c r="AM938" s="474" t="s">
        <v>52</v>
      </c>
      <c r="AN938" s="474" t="s">
        <v>1074</v>
      </c>
      <c r="AO938" s="474"/>
      <c r="AP938" s="486"/>
      <c r="AQ938" s="486" t="s">
        <v>37</v>
      </c>
      <c r="AR938" s="486"/>
      <c r="AS938" s="495"/>
      <c r="AT938" s="495"/>
      <c r="AU938" s="478"/>
      <c r="AV938" s="471">
        <f t="shared" si="189"/>
        <v>49403140</v>
      </c>
      <c r="AW938" s="471" cm="1">
        <f t="array" ref="AW938">SUM(MID(0&amp;AV938,LARGE(INDEX(ISNUMBER(--MID(AV938,ROW($1:$8),1))*ROW($1:$8),),ROW($1:$8))+1,1)*10^ROW($1:$8)/10)</f>
        <v>49403140</v>
      </c>
      <c r="AX938" s="471" t="str">
        <f>VLOOKUP($AW938,'Item Master Data'!$A:$F,3,FALSE)</f>
        <v>Q.PEAK DUO BLK ML G10+</v>
      </c>
      <c r="AY938" s="471">
        <f>VLOOKUP($AW938,'Item Master Data'!$A:$F,6,FALSE)</f>
        <v>400</v>
      </c>
      <c r="AZ938" s="471">
        <f t="shared" si="190"/>
        <v>24</v>
      </c>
      <c r="BA938" s="471">
        <f>VLOOKUP(AW938,'Item Master Data'!$A:$G,7,FALSE)</f>
        <v>32</v>
      </c>
      <c r="BB938" s="471"/>
      <c r="BC938" s="471">
        <f t="shared" si="191"/>
        <v>0</v>
      </c>
    </row>
    <row r="939" spans="1:55">
      <c r="A939" s="472"/>
      <c r="B939" s="514"/>
      <c r="C939" s="514"/>
      <c r="D939" s="485" t="s">
        <v>2322</v>
      </c>
      <c r="E939" s="474" t="s">
        <v>1283</v>
      </c>
      <c r="F939" s="474"/>
      <c r="G939" s="474">
        <v>2022</v>
      </c>
      <c r="H939" s="474">
        <v>12</v>
      </c>
      <c r="I939" s="485"/>
      <c r="J939" s="475"/>
      <c r="K939" s="483" t="s">
        <v>2896</v>
      </c>
      <c r="L939" s="474" t="s">
        <v>2459</v>
      </c>
      <c r="M939" s="487">
        <v>44545</v>
      </c>
      <c r="N939" s="487">
        <v>44778</v>
      </c>
      <c r="O939" s="487"/>
      <c r="P939" s="475"/>
      <c r="Q939" s="475"/>
      <c r="R939" s="475"/>
      <c r="S939" s="474" t="s">
        <v>1563</v>
      </c>
      <c r="T939" s="474">
        <v>60</v>
      </c>
      <c r="U939" s="474">
        <v>49401140</v>
      </c>
      <c r="V939" s="474" t="s">
        <v>973</v>
      </c>
      <c r="W939" s="474">
        <v>400</v>
      </c>
      <c r="X939" s="476">
        <v>768</v>
      </c>
      <c r="Y939" s="477">
        <f t="shared" si="195"/>
        <v>307200</v>
      </c>
      <c r="Z939" s="478">
        <f>210/400</f>
        <v>0.52500000000000002</v>
      </c>
      <c r="AA939" s="479">
        <f t="shared" si="196"/>
        <v>161280</v>
      </c>
      <c r="AB939" s="480"/>
      <c r="AC939" s="481">
        <v>0</v>
      </c>
      <c r="AD939" s="490"/>
      <c r="AE939" s="482"/>
      <c r="AF939" s="493">
        <f t="shared" si="197"/>
        <v>161280</v>
      </c>
      <c r="AG939" s="474" t="s">
        <v>1071</v>
      </c>
      <c r="AH939" s="474"/>
      <c r="AI939" s="483" t="s">
        <v>2442</v>
      </c>
      <c r="AJ939" s="474" t="s">
        <v>2353</v>
      </c>
      <c r="AK939" s="494" t="s">
        <v>50</v>
      </c>
      <c r="AL939" s="474">
        <v>90620</v>
      </c>
      <c r="AM939" s="474" t="s">
        <v>52</v>
      </c>
      <c r="AN939" s="474"/>
      <c r="AO939" s="474"/>
      <c r="AP939" s="486"/>
      <c r="AQ939" s="486" t="s">
        <v>37</v>
      </c>
      <c r="AR939" s="486"/>
      <c r="AS939" s="495"/>
      <c r="AT939" s="495"/>
      <c r="AU939" s="478"/>
      <c r="AV939" s="471">
        <f t="shared" si="189"/>
        <v>49401140</v>
      </c>
      <c r="AW939" s="471" cm="1">
        <f t="array" ref="AW939">SUM(MID(0&amp;AV939,LARGE(INDEX(ISNUMBER(--MID(AV939,ROW($1:$8),1))*ROW($1:$8),),ROW($1:$8))+1,1)*10^ROW($1:$8)/10)</f>
        <v>49401140</v>
      </c>
      <c r="AX939" s="471" t="str">
        <f>VLOOKUP($AW939,'Item Master Data'!$A:$F,3,FALSE)</f>
        <v>Q.PEAK DUO BLK ML G10.a+</v>
      </c>
      <c r="AY939" s="471">
        <f>VLOOKUP($AW939,'Item Master Data'!$A:$F,6,FALSE)</f>
        <v>400</v>
      </c>
      <c r="AZ939" s="471">
        <f t="shared" si="190"/>
        <v>24</v>
      </c>
      <c r="BA939" s="471">
        <f>VLOOKUP(AW939,'Item Master Data'!$A:$G,7,FALSE)</f>
        <v>32</v>
      </c>
      <c r="BB939" s="471"/>
      <c r="BC939" s="471">
        <f t="shared" si="191"/>
        <v>0</v>
      </c>
    </row>
    <row r="940" spans="1:55">
      <c r="A940" s="599"/>
      <c r="B940" s="514"/>
      <c r="C940" s="514"/>
      <c r="D940" s="485" t="s">
        <v>2322</v>
      </c>
      <c r="E940" s="474" t="s">
        <v>1053</v>
      </c>
      <c r="F940" s="474"/>
      <c r="G940" s="474">
        <v>2022</v>
      </c>
      <c r="H940" s="474">
        <v>6</v>
      </c>
      <c r="I940" s="485"/>
      <c r="J940" s="475"/>
      <c r="K940" s="483" t="s">
        <v>2584</v>
      </c>
      <c r="L940" s="474" t="s">
        <v>2459</v>
      </c>
      <c r="M940" s="487">
        <v>44484</v>
      </c>
      <c r="N940" s="487">
        <v>44599</v>
      </c>
      <c r="O940" s="487"/>
      <c r="P940" s="475"/>
      <c r="Q940" s="475"/>
      <c r="R940" s="475"/>
      <c r="S940" s="474" t="s">
        <v>1563</v>
      </c>
      <c r="T940" s="474">
        <v>60</v>
      </c>
      <c r="U940" s="474">
        <v>49403140</v>
      </c>
      <c r="V940" s="474" t="s">
        <v>973</v>
      </c>
      <c r="W940" s="474">
        <v>400</v>
      </c>
      <c r="X940" s="476">
        <v>768</v>
      </c>
      <c r="Y940" s="491">
        <f t="shared" si="195"/>
        <v>307200</v>
      </c>
      <c r="Z940" s="478">
        <f>210/400</f>
        <v>0.52500000000000002</v>
      </c>
      <c r="AA940" s="479">
        <f t="shared" si="196"/>
        <v>161280</v>
      </c>
      <c r="AB940" s="480"/>
      <c r="AC940" s="481">
        <v>0</v>
      </c>
      <c r="AD940" s="490"/>
      <c r="AE940" s="482"/>
      <c r="AF940" s="493">
        <f t="shared" si="197"/>
        <v>161280</v>
      </c>
      <c r="AG940" s="474" t="s">
        <v>1071</v>
      </c>
      <c r="AH940" s="474"/>
      <c r="AI940" s="483">
        <v>60</v>
      </c>
      <c r="AJ940" s="474" t="s">
        <v>1777</v>
      </c>
      <c r="AK940" s="494" t="s">
        <v>50</v>
      </c>
      <c r="AL940" s="474">
        <v>93308</v>
      </c>
      <c r="AM940" s="474" t="s">
        <v>52</v>
      </c>
      <c r="AN940" s="474" t="s">
        <v>1074</v>
      </c>
      <c r="AO940" s="474"/>
      <c r="AP940" s="486"/>
      <c r="AQ940" s="486" t="s">
        <v>37</v>
      </c>
      <c r="AR940" s="486"/>
      <c r="AS940" s="495"/>
      <c r="AT940" s="495"/>
      <c r="AU940" s="478"/>
      <c r="AV940" s="471">
        <f t="shared" si="189"/>
        <v>49403140</v>
      </c>
      <c r="AW940" s="471" cm="1">
        <f t="array" ref="AW940">SUM(MID(0&amp;AV940,LARGE(INDEX(ISNUMBER(--MID(AV940,ROW($1:$8),1))*ROW($1:$8),),ROW($1:$8))+1,1)*10^ROW($1:$8)/10)</f>
        <v>49403140</v>
      </c>
      <c r="AX940" s="471" t="str">
        <f>VLOOKUP($AW940,'Item Master Data'!$A:$F,3,FALSE)</f>
        <v>Q.PEAK DUO BLK ML G10+</v>
      </c>
      <c r="AY940" s="471">
        <f>VLOOKUP($AW940,'Item Master Data'!$A:$F,6,FALSE)</f>
        <v>400</v>
      </c>
      <c r="AZ940" s="471">
        <f t="shared" si="190"/>
        <v>24</v>
      </c>
      <c r="BA940" s="471">
        <f>VLOOKUP(AW940,'Item Master Data'!$A:$G,7,FALSE)</f>
        <v>32</v>
      </c>
      <c r="BB940" s="471"/>
      <c r="BC940" s="471">
        <f t="shared" si="191"/>
        <v>0</v>
      </c>
    </row>
    <row r="941" spans="1:55">
      <c r="A941" s="599"/>
      <c r="B941" s="514"/>
      <c r="C941" s="514"/>
      <c r="D941" s="485" t="s">
        <v>2322</v>
      </c>
      <c r="E941" s="474" t="s">
        <v>2507</v>
      </c>
      <c r="F941" s="474"/>
      <c r="G941" s="474">
        <v>2022</v>
      </c>
      <c r="H941" s="474">
        <v>6</v>
      </c>
      <c r="I941" s="485"/>
      <c r="J941" s="475"/>
      <c r="K941" s="483" t="s">
        <v>2585</v>
      </c>
      <c r="L941" s="474" t="s">
        <v>2459</v>
      </c>
      <c r="M941" s="487">
        <v>44484</v>
      </c>
      <c r="N941" s="487">
        <v>44605</v>
      </c>
      <c r="O941" s="487"/>
      <c r="P941" s="475"/>
      <c r="Q941" s="475"/>
      <c r="R941" s="475"/>
      <c r="S941" s="474" t="s">
        <v>1563</v>
      </c>
      <c r="T941" s="474">
        <v>60</v>
      </c>
      <c r="U941" s="474">
        <v>49403140</v>
      </c>
      <c r="V941" s="474" t="s">
        <v>973</v>
      </c>
      <c r="W941" s="474">
        <v>400</v>
      </c>
      <c r="X941" s="476">
        <v>768</v>
      </c>
      <c r="Y941" s="491">
        <f t="shared" si="195"/>
        <v>307200</v>
      </c>
      <c r="Z941" s="478">
        <f>210/400</f>
        <v>0.52500000000000002</v>
      </c>
      <c r="AA941" s="479">
        <f t="shared" si="196"/>
        <v>161280</v>
      </c>
      <c r="AB941" s="480"/>
      <c r="AC941" s="481">
        <v>0</v>
      </c>
      <c r="AD941" s="490"/>
      <c r="AE941" s="482"/>
      <c r="AF941" s="493">
        <f t="shared" si="197"/>
        <v>161280</v>
      </c>
      <c r="AG941" s="474" t="s">
        <v>1071</v>
      </c>
      <c r="AH941" s="474"/>
      <c r="AI941" s="483">
        <v>60</v>
      </c>
      <c r="AJ941" s="474" t="s">
        <v>1777</v>
      </c>
      <c r="AK941" s="494" t="s">
        <v>50</v>
      </c>
      <c r="AL941" s="474">
        <v>93308</v>
      </c>
      <c r="AM941" s="474" t="s">
        <v>52</v>
      </c>
      <c r="AN941" s="474" t="s">
        <v>1074</v>
      </c>
      <c r="AO941" s="474"/>
      <c r="AP941" s="486"/>
      <c r="AQ941" s="486" t="s">
        <v>37</v>
      </c>
      <c r="AR941" s="486"/>
      <c r="AS941" s="495"/>
      <c r="AT941" s="495"/>
      <c r="AU941" s="478"/>
      <c r="AV941" s="471">
        <f t="shared" si="189"/>
        <v>49403140</v>
      </c>
      <c r="AW941" s="471" cm="1">
        <f t="array" ref="AW941">SUM(MID(0&amp;AV941,LARGE(INDEX(ISNUMBER(--MID(AV941,ROW($1:$8),1))*ROW($1:$8),),ROW($1:$8))+1,1)*10^ROW($1:$8)/10)</f>
        <v>49403140</v>
      </c>
      <c r="AX941" s="471" t="str">
        <f>VLOOKUP($AW941,'Item Master Data'!$A:$F,3,FALSE)</f>
        <v>Q.PEAK DUO BLK ML G10+</v>
      </c>
      <c r="AY941" s="471">
        <f>VLOOKUP($AW941,'Item Master Data'!$A:$F,6,FALSE)</f>
        <v>400</v>
      </c>
      <c r="AZ941" s="471">
        <f t="shared" si="190"/>
        <v>24</v>
      </c>
      <c r="BA941" s="471">
        <f>VLOOKUP(AW941,'Item Master Data'!$A:$G,7,FALSE)</f>
        <v>32</v>
      </c>
      <c r="BB941" s="471"/>
      <c r="BC941" s="471">
        <f t="shared" si="191"/>
        <v>0</v>
      </c>
    </row>
    <row r="942" spans="1:55">
      <c r="A942" s="599">
        <v>10</v>
      </c>
      <c r="B942" s="514"/>
      <c r="C942" s="514"/>
      <c r="D942" s="485" t="s">
        <v>2322</v>
      </c>
      <c r="E942" s="474"/>
      <c r="F942" s="474"/>
      <c r="G942" s="474">
        <v>2022</v>
      </c>
      <c r="H942" s="474">
        <v>3</v>
      </c>
      <c r="I942" s="485">
        <v>127576</v>
      </c>
      <c r="J942" s="475">
        <v>44644</v>
      </c>
      <c r="K942" s="483" t="s">
        <v>2467</v>
      </c>
      <c r="L942" s="474" t="s">
        <v>2459</v>
      </c>
      <c r="M942" s="487">
        <v>44484</v>
      </c>
      <c r="N942" s="487">
        <v>44611</v>
      </c>
      <c r="O942" s="487"/>
      <c r="P942" s="475">
        <v>44630</v>
      </c>
      <c r="Q942" s="475">
        <v>44644</v>
      </c>
      <c r="R942" s="475">
        <v>44644</v>
      </c>
      <c r="S942" s="474" t="s">
        <v>1563</v>
      </c>
      <c r="T942" s="474">
        <v>60</v>
      </c>
      <c r="U942" s="474" t="s">
        <v>2184</v>
      </c>
      <c r="V942" s="474" t="s">
        <v>973</v>
      </c>
      <c r="W942" s="474">
        <v>400</v>
      </c>
      <c r="X942" s="476">
        <v>704</v>
      </c>
      <c r="Y942" s="491">
        <f t="shared" si="195"/>
        <v>281600</v>
      </c>
      <c r="Z942" s="478">
        <f>222/400</f>
        <v>0.55500000000000005</v>
      </c>
      <c r="AA942" s="479">
        <f t="shared" si="196"/>
        <v>156288</v>
      </c>
      <c r="AB942" s="480"/>
      <c r="AC942" s="481">
        <v>0</v>
      </c>
      <c r="AD942" s="490"/>
      <c r="AE942" s="482"/>
      <c r="AF942" s="493">
        <f t="shared" si="197"/>
        <v>156288</v>
      </c>
      <c r="AG942" s="474" t="s">
        <v>1071</v>
      </c>
      <c r="AH942" s="474"/>
      <c r="AI942" s="483">
        <v>60</v>
      </c>
      <c r="AJ942" s="474" t="s">
        <v>1777</v>
      </c>
      <c r="AK942" s="494" t="s">
        <v>50</v>
      </c>
      <c r="AL942" s="474">
        <v>93308</v>
      </c>
      <c r="AM942" s="474" t="s">
        <v>52</v>
      </c>
      <c r="AN942" s="474" t="s">
        <v>50</v>
      </c>
      <c r="AO942" s="474"/>
      <c r="AP942" s="486" t="s">
        <v>92</v>
      </c>
      <c r="AQ942" s="486" t="s">
        <v>37</v>
      </c>
      <c r="AR942" s="486"/>
      <c r="AS942" s="495"/>
      <c r="AT942" s="495"/>
      <c r="AU942" s="478"/>
      <c r="AV942" s="471" t="str">
        <f t="shared" si="189"/>
        <v>30390456C+</v>
      </c>
      <c r="AW942" s="471" cm="1">
        <f t="array" ref="AW942">SUM(MID(0&amp;AV942,LARGE(INDEX(ISNUMBER(--MID(AV942,ROW($1:$8),1))*ROW($1:$8),),ROW($1:$8))+1,1)*10^ROW($1:$8)/10)</f>
        <v>30390456</v>
      </c>
      <c r="AX942" s="471" t="str">
        <f>VLOOKUP($AW942,'Item Master Data'!$A:$F,3,FALSE)</f>
        <v>Q.PEAK DUO BLK ML G10+</v>
      </c>
      <c r="AY942" s="471">
        <f>VLOOKUP($AW942,'Item Master Data'!$A:$F,6,FALSE)</f>
        <v>400</v>
      </c>
      <c r="AZ942" s="471">
        <f t="shared" si="190"/>
        <v>22</v>
      </c>
      <c r="BA942" s="471">
        <f>VLOOKUP(AW942,'Item Master Data'!$A:$G,7,FALSE)</f>
        <v>32</v>
      </c>
      <c r="BB942" s="471"/>
      <c r="BC942" s="471">
        <f t="shared" si="191"/>
        <v>0</v>
      </c>
    </row>
    <row r="943" spans="1:55">
      <c r="A943" s="599">
        <v>10</v>
      </c>
      <c r="B943" s="514"/>
      <c r="C943" s="514"/>
      <c r="D943" s="485" t="s">
        <v>2322</v>
      </c>
      <c r="E943" s="474"/>
      <c r="F943" s="474"/>
      <c r="G943" s="474">
        <v>2022</v>
      </c>
      <c r="H943" s="474">
        <v>3</v>
      </c>
      <c r="I943" s="485">
        <v>127576</v>
      </c>
      <c r="J943" s="475">
        <v>44644</v>
      </c>
      <c r="K943" s="483" t="s">
        <v>2467</v>
      </c>
      <c r="L943" s="474" t="s">
        <v>2459</v>
      </c>
      <c r="M943" s="487">
        <v>44484</v>
      </c>
      <c r="N943" s="487">
        <v>44611</v>
      </c>
      <c r="O943" s="487"/>
      <c r="P943" s="475">
        <v>44630</v>
      </c>
      <c r="Q943" s="475">
        <v>44644</v>
      </c>
      <c r="R943" s="475">
        <v>44644</v>
      </c>
      <c r="S943" s="474" t="s">
        <v>1563</v>
      </c>
      <c r="T943" s="474">
        <v>60</v>
      </c>
      <c r="U943" s="474" t="s">
        <v>1247</v>
      </c>
      <c r="V943" s="474" t="s">
        <v>973</v>
      </c>
      <c r="W943" s="474">
        <v>400</v>
      </c>
      <c r="X943" s="476">
        <v>64</v>
      </c>
      <c r="Y943" s="491">
        <f t="shared" si="195"/>
        <v>25600</v>
      </c>
      <c r="Z943" s="478">
        <f>222/400</f>
        <v>0.55500000000000005</v>
      </c>
      <c r="AA943" s="479">
        <f t="shared" si="196"/>
        <v>14208.000000000002</v>
      </c>
      <c r="AB943" s="480"/>
      <c r="AC943" s="481">
        <v>0</v>
      </c>
      <c r="AD943" s="490"/>
      <c r="AE943" s="482"/>
      <c r="AF943" s="493">
        <f t="shared" si="197"/>
        <v>14208.000000000002</v>
      </c>
      <c r="AG943" s="474" t="s">
        <v>1071</v>
      </c>
      <c r="AH943" s="474"/>
      <c r="AI943" s="483">
        <v>60</v>
      </c>
      <c r="AJ943" s="474" t="s">
        <v>1777</v>
      </c>
      <c r="AK943" s="494" t="s">
        <v>50</v>
      </c>
      <c r="AL943" s="474">
        <v>93308</v>
      </c>
      <c r="AM943" s="474" t="s">
        <v>52</v>
      </c>
      <c r="AN943" s="474" t="s">
        <v>50</v>
      </c>
      <c r="AO943" s="474"/>
      <c r="AP943" s="486" t="s">
        <v>92</v>
      </c>
      <c r="AQ943" s="486" t="s">
        <v>37</v>
      </c>
      <c r="AR943" s="486"/>
      <c r="AS943" s="495"/>
      <c r="AT943" s="495"/>
      <c r="AU943" s="478"/>
      <c r="AV943" s="471" t="str">
        <f t="shared" si="189"/>
        <v>30390456C</v>
      </c>
      <c r="AW943" s="471" cm="1">
        <f t="array" ref="AW943">SUM(MID(0&amp;AV943,LARGE(INDEX(ISNUMBER(--MID(AV943,ROW($1:$8),1))*ROW($1:$8),),ROW($1:$8))+1,1)*10^ROW($1:$8)/10)</f>
        <v>30390456</v>
      </c>
      <c r="AX943" s="471" t="str">
        <f>VLOOKUP($AW943,'Item Master Data'!$A:$F,3,FALSE)</f>
        <v>Q.PEAK DUO BLK ML G10+</v>
      </c>
      <c r="AY943" s="471">
        <f>VLOOKUP($AW943,'Item Master Data'!$A:$F,6,FALSE)</f>
        <v>400</v>
      </c>
      <c r="AZ943" s="471">
        <f t="shared" si="190"/>
        <v>2</v>
      </c>
      <c r="BA943" s="471">
        <f>VLOOKUP(AW943,'Item Master Data'!$A:$G,7,FALSE)</f>
        <v>32</v>
      </c>
      <c r="BB943" s="471"/>
      <c r="BC943" s="471">
        <f t="shared" si="191"/>
        <v>0</v>
      </c>
    </row>
    <row r="944" spans="1:55">
      <c r="A944" s="599">
        <v>10</v>
      </c>
      <c r="B944" s="514"/>
      <c r="C944" s="514"/>
      <c r="D944" s="485" t="s">
        <v>2322</v>
      </c>
      <c r="E944" s="474"/>
      <c r="F944" s="474"/>
      <c r="G944" s="474">
        <v>2022</v>
      </c>
      <c r="H944" s="474">
        <v>3</v>
      </c>
      <c r="I944" s="485">
        <v>127599</v>
      </c>
      <c r="J944" s="475">
        <v>44649</v>
      </c>
      <c r="K944" s="483" t="s">
        <v>2468</v>
      </c>
      <c r="L944" s="474" t="s">
        <v>2459</v>
      </c>
      <c r="M944" s="487">
        <v>44484</v>
      </c>
      <c r="N944" s="487">
        <v>44623</v>
      </c>
      <c r="O944" s="487"/>
      <c r="P944" s="475">
        <v>44630</v>
      </c>
      <c r="Q944" s="475">
        <v>44649</v>
      </c>
      <c r="R944" s="475">
        <v>44649</v>
      </c>
      <c r="S944" s="474" t="s">
        <v>1563</v>
      </c>
      <c r="T944" s="474">
        <v>60</v>
      </c>
      <c r="U944" s="474" t="s">
        <v>1760</v>
      </c>
      <c r="V944" s="474" t="s">
        <v>973</v>
      </c>
      <c r="W944" s="474">
        <v>400</v>
      </c>
      <c r="X944" s="476">
        <v>384</v>
      </c>
      <c r="Y944" s="491">
        <f t="shared" si="195"/>
        <v>153600</v>
      </c>
      <c r="Z944" s="478">
        <f>222/400</f>
        <v>0.55500000000000005</v>
      </c>
      <c r="AA944" s="479">
        <f t="shared" si="196"/>
        <v>85248.000000000015</v>
      </c>
      <c r="AB944" s="480"/>
      <c r="AC944" s="481">
        <v>0</v>
      </c>
      <c r="AD944" s="490"/>
      <c r="AE944" s="482"/>
      <c r="AF944" s="493">
        <f t="shared" si="197"/>
        <v>85248.000000000015</v>
      </c>
      <c r="AG944" s="474" t="s">
        <v>1071</v>
      </c>
      <c r="AH944" s="474"/>
      <c r="AI944" s="483">
        <v>60</v>
      </c>
      <c r="AJ944" s="474" t="s">
        <v>1777</v>
      </c>
      <c r="AK944" s="494" t="s">
        <v>50</v>
      </c>
      <c r="AL944" s="474">
        <v>93308</v>
      </c>
      <c r="AM944" s="474" t="s">
        <v>52</v>
      </c>
      <c r="AN944" s="474" t="s">
        <v>50</v>
      </c>
      <c r="AO944" s="474"/>
      <c r="AP944" s="486" t="s">
        <v>92</v>
      </c>
      <c r="AQ944" s="486" t="s">
        <v>37</v>
      </c>
      <c r="AR944" s="486"/>
      <c r="AS944" s="495"/>
      <c r="AT944" s="495"/>
      <c r="AU944" s="478"/>
      <c r="AV944" s="471" t="str">
        <f t="shared" si="189"/>
        <v>30390156H</v>
      </c>
      <c r="AW944" s="471" cm="1">
        <f t="array" ref="AW944">SUM(MID(0&amp;AV944,LARGE(INDEX(ISNUMBER(--MID(AV944,ROW($1:$8),1))*ROW($1:$8),),ROW($1:$8))+1,1)*10^ROW($1:$8)/10)</f>
        <v>30390156</v>
      </c>
      <c r="AX944" s="471" t="str">
        <f>VLOOKUP($AW944,'Item Master Data'!$A:$F,3,FALSE)</f>
        <v>Q.PEAK DUO BLK ML G10+</v>
      </c>
      <c r="AY944" s="471">
        <f>VLOOKUP($AW944,'Item Master Data'!$A:$F,6,FALSE)</f>
        <v>400</v>
      </c>
      <c r="AZ944" s="471">
        <f t="shared" si="190"/>
        <v>12</v>
      </c>
      <c r="BA944" s="471">
        <f>VLOOKUP(AW944,'Item Master Data'!$A:$G,7,FALSE)</f>
        <v>32</v>
      </c>
      <c r="BB944" s="471"/>
      <c r="BC944" s="471">
        <f t="shared" si="191"/>
        <v>0</v>
      </c>
    </row>
    <row r="945" spans="1:55">
      <c r="A945" s="599">
        <v>10</v>
      </c>
      <c r="B945" s="514"/>
      <c r="C945" s="514"/>
      <c r="D945" s="485" t="s">
        <v>2322</v>
      </c>
      <c r="E945" s="474"/>
      <c r="F945" s="474"/>
      <c r="G945" s="474">
        <v>2022</v>
      </c>
      <c r="H945" s="474">
        <v>3</v>
      </c>
      <c r="I945" s="485">
        <v>127600</v>
      </c>
      <c r="J945" s="475">
        <v>44649</v>
      </c>
      <c r="K945" s="483" t="s">
        <v>2469</v>
      </c>
      <c r="L945" s="474" t="s">
        <v>2459</v>
      </c>
      <c r="M945" s="487">
        <v>44484</v>
      </c>
      <c r="N945" s="487">
        <v>44630</v>
      </c>
      <c r="O945" s="487"/>
      <c r="P945" s="475">
        <v>44630</v>
      </c>
      <c r="Q945" s="475">
        <v>44649</v>
      </c>
      <c r="R945" s="475">
        <v>44649</v>
      </c>
      <c r="S945" s="474" t="s">
        <v>1563</v>
      </c>
      <c r="T945" s="474">
        <v>60</v>
      </c>
      <c r="U945" s="474" t="s">
        <v>1760</v>
      </c>
      <c r="V945" s="474" t="s">
        <v>973</v>
      </c>
      <c r="W945" s="474">
        <v>400</v>
      </c>
      <c r="X945" s="476">
        <v>768</v>
      </c>
      <c r="Y945" s="491">
        <f t="shared" si="195"/>
        <v>307200</v>
      </c>
      <c r="Z945" s="478">
        <f>222/400</f>
        <v>0.55500000000000005</v>
      </c>
      <c r="AA945" s="479">
        <f t="shared" si="196"/>
        <v>170496.00000000003</v>
      </c>
      <c r="AB945" s="480"/>
      <c r="AC945" s="481">
        <v>0</v>
      </c>
      <c r="AD945" s="490"/>
      <c r="AE945" s="482"/>
      <c r="AF945" s="493">
        <f t="shared" si="197"/>
        <v>170496.00000000003</v>
      </c>
      <c r="AG945" s="474" t="s">
        <v>1071</v>
      </c>
      <c r="AH945" s="474"/>
      <c r="AI945" s="483">
        <v>60</v>
      </c>
      <c r="AJ945" s="474" t="s">
        <v>1777</v>
      </c>
      <c r="AK945" s="494" t="s">
        <v>50</v>
      </c>
      <c r="AL945" s="474">
        <v>93308</v>
      </c>
      <c r="AM945" s="474" t="s">
        <v>52</v>
      </c>
      <c r="AN945" s="474" t="s">
        <v>50</v>
      </c>
      <c r="AO945" s="474"/>
      <c r="AP945" s="486" t="s">
        <v>92</v>
      </c>
      <c r="AQ945" s="486" t="s">
        <v>37</v>
      </c>
      <c r="AR945" s="486"/>
      <c r="AS945" s="495"/>
      <c r="AT945" s="495"/>
      <c r="AU945" s="478"/>
      <c r="AV945" s="471" t="str">
        <f t="shared" si="189"/>
        <v>30390156H</v>
      </c>
      <c r="AW945" s="471" cm="1">
        <f t="array" ref="AW945">SUM(MID(0&amp;AV945,LARGE(INDEX(ISNUMBER(--MID(AV945,ROW($1:$8),1))*ROW($1:$8),),ROW($1:$8))+1,1)*10^ROW($1:$8)/10)</f>
        <v>30390156</v>
      </c>
      <c r="AX945" s="471" t="str">
        <f>VLOOKUP($AW945,'Item Master Data'!$A:$F,3,FALSE)</f>
        <v>Q.PEAK DUO BLK ML G10+</v>
      </c>
      <c r="AY945" s="471">
        <f>VLOOKUP($AW945,'Item Master Data'!$A:$F,6,FALSE)</f>
        <v>400</v>
      </c>
      <c r="AZ945" s="471">
        <f t="shared" si="190"/>
        <v>24</v>
      </c>
      <c r="BA945" s="471">
        <f>VLOOKUP(AW945,'Item Master Data'!$A:$G,7,FALSE)</f>
        <v>32</v>
      </c>
      <c r="BB945" s="471"/>
      <c r="BC945" s="471">
        <f t="shared" si="191"/>
        <v>0</v>
      </c>
    </row>
    <row r="946" spans="1:55">
      <c r="A946" s="436">
        <v>10</v>
      </c>
      <c r="B946" s="514"/>
      <c r="C946" s="514"/>
      <c r="D946" s="485" t="s">
        <v>2322</v>
      </c>
      <c r="E946" s="474"/>
      <c r="F946" s="474"/>
      <c r="G946" s="474">
        <v>2022</v>
      </c>
      <c r="H946" s="474">
        <v>3</v>
      </c>
      <c r="I946" s="485">
        <v>127601</v>
      </c>
      <c r="J946" s="475">
        <v>44649</v>
      </c>
      <c r="K946" s="483" t="s">
        <v>2470</v>
      </c>
      <c r="L946" s="474" t="s">
        <v>2459</v>
      </c>
      <c r="M946" s="487">
        <v>44484</v>
      </c>
      <c r="N946" s="487">
        <v>44639</v>
      </c>
      <c r="O946" s="487"/>
      <c r="P946" s="475">
        <v>44630</v>
      </c>
      <c r="Q946" s="475">
        <v>44649</v>
      </c>
      <c r="R946" s="475">
        <v>44649</v>
      </c>
      <c r="S946" s="474" t="s">
        <v>1563</v>
      </c>
      <c r="T946" s="474">
        <v>60</v>
      </c>
      <c r="U946" s="474" t="s">
        <v>1760</v>
      </c>
      <c r="V946" s="474" t="s">
        <v>973</v>
      </c>
      <c r="W946" s="474">
        <v>400</v>
      </c>
      <c r="X946" s="476">
        <v>768</v>
      </c>
      <c r="Y946" s="477">
        <f t="shared" si="195"/>
        <v>307200</v>
      </c>
      <c r="Z946" s="478">
        <f>222/400</f>
        <v>0.55500000000000005</v>
      </c>
      <c r="AA946" s="479">
        <f t="shared" si="196"/>
        <v>170496.00000000003</v>
      </c>
      <c r="AB946" s="480"/>
      <c r="AC946" s="481">
        <v>0</v>
      </c>
      <c r="AD946" s="490"/>
      <c r="AE946" s="482"/>
      <c r="AF946" s="493">
        <f t="shared" si="197"/>
        <v>170496.00000000003</v>
      </c>
      <c r="AG946" s="474" t="s">
        <v>1071</v>
      </c>
      <c r="AH946" s="474"/>
      <c r="AI946" s="483">
        <v>60</v>
      </c>
      <c r="AJ946" s="474" t="s">
        <v>1777</v>
      </c>
      <c r="AK946" s="494" t="s">
        <v>50</v>
      </c>
      <c r="AL946" s="474">
        <v>93308</v>
      </c>
      <c r="AM946" s="474" t="s">
        <v>52</v>
      </c>
      <c r="AN946" s="474" t="s">
        <v>50</v>
      </c>
      <c r="AO946" s="474"/>
      <c r="AP946" s="486" t="s">
        <v>92</v>
      </c>
      <c r="AQ946" s="486" t="s">
        <v>37</v>
      </c>
      <c r="AR946" s="486"/>
      <c r="AS946" s="495"/>
      <c r="AT946" s="495"/>
      <c r="AU946" s="478"/>
      <c r="AV946" s="471" t="str">
        <f t="shared" si="189"/>
        <v>30390156H</v>
      </c>
      <c r="AW946" s="471" cm="1">
        <f t="array" ref="AW946">SUM(MID(0&amp;AV946,LARGE(INDEX(ISNUMBER(--MID(AV946,ROW($1:$8),1))*ROW($1:$8),),ROW($1:$8))+1,1)*10^ROW($1:$8)/10)</f>
        <v>30390156</v>
      </c>
      <c r="AX946" s="471" t="str">
        <f>VLOOKUP($AW946,'Item Master Data'!$A:$F,3,FALSE)</f>
        <v>Q.PEAK DUO BLK ML G10+</v>
      </c>
      <c r="AY946" s="471">
        <f>VLOOKUP($AW946,'Item Master Data'!$A:$F,6,FALSE)</f>
        <v>400</v>
      </c>
      <c r="AZ946" s="471">
        <f t="shared" si="190"/>
        <v>24</v>
      </c>
      <c r="BA946" s="471">
        <f>VLOOKUP(AW946,'Item Master Data'!$A:$G,7,FALSE)</f>
        <v>32</v>
      </c>
      <c r="BB946" s="471"/>
      <c r="BC946" s="471">
        <f t="shared" si="191"/>
        <v>0</v>
      </c>
    </row>
    <row r="947" spans="1:55">
      <c r="A947" s="472"/>
      <c r="B947" s="514">
        <v>44522</v>
      </c>
      <c r="C947" s="449">
        <v>44658</v>
      </c>
      <c r="D947" s="485" t="s">
        <v>2322</v>
      </c>
      <c r="E947" s="474"/>
      <c r="F947" s="474"/>
      <c r="G947" s="474">
        <v>2022</v>
      </c>
      <c r="H947" s="474">
        <v>4</v>
      </c>
      <c r="I947" s="485">
        <v>128064</v>
      </c>
      <c r="J947" s="475">
        <v>44665</v>
      </c>
      <c r="K947" s="483" t="s">
        <v>2574</v>
      </c>
      <c r="L947" s="474" t="s">
        <v>2459</v>
      </c>
      <c r="M947" s="487">
        <v>44505</v>
      </c>
      <c r="N947" s="487">
        <v>44656</v>
      </c>
      <c r="O947" s="487"/>
      <c r="P947" s="475">
        <v>44659</v>
      </c>
      <c r="Q947" s="475">
        <v>44665</v>
      </c>
      <c r="R947" s="475">
        <v>44666</v>
      </c>
      <c r="S947" s="474" t="s">
        <v>1563</v>
      </c>
      <c r="T947" s="474">
        <v>60</v>
      </c>
      <c r="U947" s="474" t="s">
        <v>1281</v>
      </c>
      <c r="V947" s="474" t="s">
        <v>973</v>
      </c>
      <c r="W947" s="474">
        <v>400</v>
      </c>
      <c r="X947" s="476">
        <v>768</v>
      </c>
      <c r="Y947" s="477">
        <v>307200</v>
      </c>
      <c r="Z947" s="478">
        <v>0.55500000000000005</v>
      </c>
      <c r="AA947" s="492">
        <v>170496.00000000003</v>
      </c>
      <c r="AB947" s="480"/>
      <c r="AC947" s="481">
        <v>0</v>
      </c>
      <c r="AD947" s="490"/>
      <c r="AE947" s="482"/>
      <c r="AF947" s="493">
        <v>170496.00000000003</v>
      </c>
      <c r="AG947" s="474" t="s">
        <v>1071</v>
      </c>
      <c r="AH947" s="474"/>
      <c r="AI947" s="483" t="s">
        <v>2442</v>
      </c>
      <c r="AJ947" s="474" t="s">
        <v>1777</v>
      </c>
      <c r="AK947" s="494" t="s">
        <v>50</v>
      </c>
      <c r="AL947" s="474" t="s">
        <v>1990</v>
      </c>
      <c r="AM947" s="474" t="s">
        <v>52</v>
      </c>
      <c r="AN947" s="474" t="s">
        <v>50</v>
      </c>
      <c r="AO947" s="474"/>
      <c r="AP947" s="486" t="s">
        <v>38</v>
      </c>
      <c r="AQ947" s="486" t="s">
        <v>37</v>
      </c>
      <c r="AR947" s="486"/>
      <c r="AS947" s="495"/>
      <c r="AT947" s="495"/>
      <c r="AU947" s="478"/>
      <c r="AV947" s="471" t="str">
        <f t="shared" si="189"/>
        <v>30390456H</v>
      </c>
      <c r="AW947" s="471" cm="1">
        <f t="array" ref="AW947">SUM(MID(0&amp;AV947,LARGE(INDEX(ISNUMBER(--MID(AV947,ROW($1:$8),1))*ROW($1:$8),),ROW($1:$8))+1,1)*10^ROW($1:$8)/10)</f>
        <v>30390456</v>
      </c>
      <c r="AX947" s="471" t="str">
        <f>VLOOKUP($AW947,'Item Master Data'!$A:$F,3,FALSE)</f>
        <v>Q.PEAK DUO BLK ML G10+</v>
      </c>
      <c r="AY947" s="471">
        <f>VLOOKUP($AW947,'Item Master Data'!$A:$F,6,FALSE)</f>
        <v>400</v>
      </c>
      <c r="AZ947" s="471">
        <f t="shared" si="190"/>
        <v>24</v>
      </c>
      <c r="BA947" s="471">
        <f>VLOOKUP(AW947,'Item Master Data'!$A:$G,7,FALSE)</f>
        <v>32</v>
      </c>
      <c r="BB947" s="471"/>
      <c r="BC947" s="471">
        <f t="shared" si="191"/>
        <v>0</v>
      </c>
    </row>
    <row r="948" spans="1:55">
      <c r="A948" s="472"/>
      <c r="B948" s="514">
        <v>44522</v>
      </c>
      <c r="C948" s="449">
        <v>44658</v>
      </c>
      <c r="D948" s="485" t="s">
        <v>2322</v>
      </c>
      <c r="E948" s="474"/>
      <c r="F948" s="474"/>
      <c r="G948" s="474">
        <v>2022</v>
      </c>
      <c r="H948" s="474">
        <v>4</v>
      </c>
      <c r="I948" s="485">
        <v>128065</v>
      </c>
      <c r="J948" s="475">
        <v>44665</v>
      </c>
      <c r="K948" s="483" t="s">
        <v>2575</v>
      </c>
      <c r="L948" s="474" t="s">
        <v>2459</v>
      </c>
      <c r="M948" s="487">
        <v>44505</v>
      </c>
      <c r="N948" s="487">
        <v>44657</v>
      </c>
      <c r="O948" s="487"/>
      <c r="P948" s="475">
        <v>44659</v>
      </c>
      <c r="Q948" s="475">
        <v>44665</v>
      </c>
      <c r="R948" s="475">
        <v>44666</v>
      </c>
      <c r="S948" s="474" t="s">
        <v>1563</v>
      </c>
      <c r="T948" s="474">
        <v>60</v>
      </c>
      <c r="U948" s="474" t="s">
        <v>1281</v>
      </c>
      <c r="V948" s="474" t="s">
        <v>973</v>
      </c>
      <c r="W948" s="474">
        <v>400</v>
      </c>
      <c r="X948" s="476">
        <v>768</v>
      </c>
      <c r="Y948" s="477">
        <v>307200</v>
      </c>
      <c r="Z948" s="478">
        <v>0.55500000000000005</v>
      </c>
      <c r="AA948" s="492">
        <v>170496.00000000003</v>
      </c>
      <c r="AB948" s="480"/>
      <c r="AC948" s="481">
        <v>0</v>
      </c>
      <c r="AD948" s="490"/>
      <c r="AE948" s="482"/>
      <c r="AF948" s="493">
        <v>170496.00000000003</v>
      </c>
      <c r="AG948" s="474" t="s">
        <v>1071</v>
      </c>
      <c r="AH948" s="474"/>
      <c r="AI948" s="483" t="s">
        <v>2442</v>
      </c>
      <c r="AJ948" s="474" t="s">
        <v>1777</v>
      </c>
      <c r="AK948" s="494" t="s">
        <v>50</v>
      </c>
      <c r="AL948" s="474" t="s">
        <v>1990</v>
      </c>
      <c r="AM948" s="474" t="s">
        <v>52</v>
      </c>
      <c r="AN948" s="474" t="s">
        <v>50</v>
      </c>
      <c r="AO948" s="474"/>
      <c r="AP948" s="486" t="s">
        <v>38</v>
      </c>
      <c r="AQ948" s="486" t="s">
        <v>37</v>
      </c>
      <c r="AR948" s="486"/>
      <c r="AS948" s="495"/>
      <c r="AT948" s="495"/>
      <c r="AU948" s="478"/>
      <c r="AV948" s="471" t="str">
        <f t="shared" si="189"/>
        <v>30390456H</v>
      </c>
      <c r="AW948" s="471" cm="1">
        <f t="array" ref="AW948">SUM(MID(0&amp;AV948,LARGE(INDEX(ISNUMBER(--MID(AV948,ROW($1:$8),1))*ROW($1:$8),),ROW($1:$8))+1,1)*10^ROW($1:$8)/10)</f>
        <v>30390456</v>
      </c>
      <c r="AX948" s="471" t="str">
        <f>VLOOKUP($AW948,'Item Master Data'!$A:$F,3,FALSE)</f>
        <v>Q.PEAK DUO BLK ML G10+</v>
      </c>
      <c r="AY948" s="471">
        <f>VLOOKUP($AW948,'Item Master Data'!$A:$F,6,FALSE)</f>
        <v>400</v>
      </c>
      <c r="AZ948" s="471">
        <f t="shared" si="190"/>
        <v>24</v>
      </c>
      <c r="BA948" s="471">
        <f>VLOOKUP(AW948,'Item Master Data'!$A:$G,7,FALSE)</f>
        <v>32</v>
      </c>
      <c r="BB948" s="471"/>
      <c r="BC948" s="471">
        <f t="shared" si="191"/>
        <v>0</v>
      </c>
    </row>
    <row r="949" spans="1:55">
      <c r="A949" s="472"/>
      <c r="B949" s="514">
        <v>44522</v>
      </c>
      <c r="C949" s="449">
        <v>44658</v>
      </c>
      <c r="D949" s="485" t="s">
        <v>2322</v>
      </c>
      <c r="E949" s="474"/>
      <c r="F949" s="474"/>
      <c r="G949" s="474">
        <v>2022</v>
      </c>
      <c r="H949" s="474">
        <v>4</v>
      </c>
      <c r="I949" s="485">
        <v>128066</v>
      </c>
      <c r="J949" s="475">
        <v>44665</v>
      </c>
      <c r="K949" s="483" t="s">
        <v>2576</v>
      </c>
      <c r="L949" s="474" t="s">
        <v>2459</v>
      </c>
      <c r="M949" s="487">
        <v>44505</v>
      </c>
      <c r="N949" s="487">
        <v>44666</v>
      </c>
      <c r="O949" s="487"/>
      <c r="P949" s="475">
        <v>44659</v>
      </c>
      <c r="Q949" s="475">
        <v>44665</v>
      </c>
      <c r="R949" s="475">
        <v>44666</v>
      </c>
      <c r="S949" s="474" t="s">
        <v>1563</v>
      </c>
      <c r="T949" s="474">
        <v>60</v>
      </c>
      <c r="U949" s="474" t="s">
        <v>1281</v>
      </c>
      <c r="V949" s="474" t="s">
        <v>973</v>
      </c>
      <c r="W949" s="474">
        <v>400</v>
      </c>
      <c r="X949" s="476">
        <v>768</v>
      </c>
      <c r="Y949" s="477">
        <v>307200</v>
      </c>
      <c r="Z949" s="478">
        <v>0.55500000000000005</v>
      </c>
      <c r="AA949" s="492">
        <v>170496.00000000003</v>
      </c>
      <c r="AB949" s="480"/>
      <c r="AC949" s="481">
        <v>0</v>
      </c>
      <c r="AD949" s="490"/>
      <c r="AE949" s="482"/>
      <c r="AF949" s="493">
        <v>170496.00000000003</v>
      </c>
      <c r="AG949" s="474" t="s">
        <v>1071</v>
      </c>
      <c r="AH949" s="474"/>
      <c r="AI949" s="483" t="s">
        <v>2442</v>
      </c>
      <c r="AJ949" s="474" t="s">
        <v>1777</v>
      </c>
      <c r="AK949" s="494" t="s">
        <v>50</v>
      </c>
      <c r="AL949" s="474" t="s">
        <v>1990</v>
      </c>
      <c r="AM949" s="474" t="s">
        <v>52</v>
      </c>
      <c r="AN949" s="474" t="s">
        <v>50</v>
      </c>
      <c r="AO949" s="474"/>
      <c r="AP949" s="486" t="s">
        <v>38</v>
      </c>
      <c r="AQ949" s="486" t="s">
        <v>37</v>
      </c>
      <c r="AR949" s="486"/>
      <c r="AS949" s="495"/>
      <c r="AT949" s="495"/>
      <c r="AU949" s="478"/>
      <c r="AV949" s="471" t="str">
        <f t="shared" si="189"/>
        <v>30390456H</v>
      </c>
      <c r="AW949" s="471" cm="1">
        <f t="array" ref="AW949">SUM(MID(0&amp;AV949,LARGE(INDEX(ISNUMBER(--MID(AV949,ROW($1:$8),1))*ROW($1:$8),),ROW($1:$8))+1,1)*10^ROW($1:$8)/10)</f>
        <v>30390456</v>
      </c>
      <c r="AX949" s="471" t="str">
        <f>VLOOKUP($AW949,'Item Master Data'!$A:$F,3,FALSE)</f>
        <v>Q.PEAK DUO BLK ML G10+</v>
      </c>
      <c r="AY949" s="471">
        <f>VLOOKUP($AW949,'Item Master Data'!$A:$F,6,FALSE)</f>
        <v>400</v>
      </c>
      <c r="AZ949" s="471">
        <f t="shared" si="190"/>
        <v>24</v>
      </c>
      <c r="BA949" s="471">
        <f>VLOOKUP(AW949,'Item Master Data'!$A:$G,7,FALSE)</f>
        <v>32</v>
      </c>
      <c r="BB949" s="471"/>
      <c r="BC949" s="471">
        <f t="shared" si="191"/>
        <v>0</v>
      </c>
    </row>
    <row r="950" spans="1:55">
      <c r="A950" s="472"/>
      <c r="B950" s="514">
        <v>44522</v>
      </c>
      <c r="C950" s="449">
        <v>44658</v>
      </c>
      <c r="D950" s="485" t="s">
        <v>2322</v>
      </c>
      <c r="E950" s="474"/>
      <c r="F950" s="474"/>
      <c r="G950" s="474">
        <v>2022</v>
      </c>
      <c r="H950" s="474">
        <v>4</v>
      </c>
      <c r="I950" s="485">
        <v>128068</v>
      </c>
      <c r="J950" s="475">
        <v>44665</v>
      </c>
      <c r="K950" s="483" t="s">
        <v>2581</v>
      </c>
      <c r="L950" s="474" t="s">
        <v>2459</v>
      </c>
      <c r="M950" s="487">
        <v>44505</v>
      </c>
      <c r="N950" s="487">
        <v>44669</v>
      </c>
      <c r="O950" s="487"/>
      <c r="P950" s="475">
        <v>44659</v>
      </c>
      <c r="Q950" s="475">
        <v>44665</v>
      </c>
      <c r="R950" s="475">
        <v>44666</v>
      </c>
      <c r="S950" s="474" t="s">
        <v>1563</v>
      </c>
      <c r="T950" s="474">
        <v>60</v>
      </c>
      <c r="U950" s="474" t="s">
        <v>1281</v>
      </c>
      <c r="V950" s="474" t="s">
        <v>973</v>
      </c>
      <c r="W950" s="474">
        <v>400</v>
      </c>
      <c r="X950" s="476">
        <v>768</v>
      </c>
      <c r="Y950" s="477">
        <v>307200</v>
      </c>
      <c r="Z950" s="478">
        <v>0.55500000000000005</v>
      </c>
      <c r="AA950" s="492">
        <v>170496.00000000003</v>
      </c>
      <c r="AB950" s="480"/>
      <c r="AC950" s="481">
        <v>0</v>
      </c>
      <c r="AD950" s="490"/>
      <c r="AE950" s="482"/>
      <c r="AF950" s="493">
        <v>170496.00000000003</v>
      </c>
      <c r="AG950" s="474" t="s">
        <v>1071</v>
      </c>
      <c r="AH950" s="474"/>
      <c r="AI950" s="483" t="s">
        <v>2442</v>
      </c>
      <c r="AJ950" s="474" t="s">
        <v>1777</v>
      </c>
      <c r="AK950" s="494" t="s">
        <v>50</v>
      </c>
      <c r="AL950" s="474" t="s">
        <v>1990</v>
      </c>
      <c r="AM950" s="474" t="s">
        <v>52</v>
      </c>
      <c r="AN950" s="474" t="s">
        <v>50</v>
      </c>
      <c r="AO950" s="474"/>
      <c r="AP950" s="486" t="s">
        <v>38</v>
      </c>
      <c r="AQ950" s="486" t="s">
        <v>37</v>
      </c>
      <c r="AR950" s="486"/>
      <c r="AS950" s="495"/>
      <c r="AT950" s="495"/>
      <c r="AU950" s="478"/>
      <c r="AV950" s="471" t="str">
        <f t="shared" si="189"/>
        <v>30390456H</v>
      </c>
      <c r="AW950" s="471" cm="1">
        <f t="array" ref="AW950">SUM(MID(0&amp;AV950,LARGE(INDEX(ISNUMBER(--MID(AV950,ROW($1:$8),1))*ROW($1:$8),),ROW($1:$8))+1,1)*10^ROW($1:$8)/10)</f>
        <v>30390456</v>
      </c>
      <c r="AX950" s="471" t="str">
        <f>VLOOKUP($AW950,'Item Master Data'!$A:$F,3,FALSE)</f>
        <v>Q.PEAK DUO BLK ML G10+</v>
      </c>
      <c r="AY950" s="471">
        <f>VLOOKUP($AW950,'Item Master Data'!$A:$F,6,FALSE)</f>
        <v>400</v>
      </c>
      <c r="AZ950" s="471">
        <f t="shared" si="190"/>
        <v>24</v>
      </c>
      <c r="BA950" s="471">
        <f>VLOOKUP(AW950,'Item Master Data'!$A:$G,7,FALSE)</f>
        <v>32</v>
      </c>
      <c r="BB950" s="471"/>
      <c r="BC950" s="471">
        <f t="shared" si="191"/>
        <v>0</v>
      </c>
    </row>
    <row r="951" spans="1:55">
      <c r="A951" s="472"/>
      <c r="B951" s="514">
        <v>44522</v>
      </c>
      <c r="C951" s="514"/>
      <c r="D951" s="485" t="s">
        <v>2322</v>
      </c>
      <c r="E951" s="474" t="s">
        <v>2726</v>
      </c>
      <c r="F951" s="474"/>
      <c r="G951" s="474">
        <v>2022</v>
      </c>
      <c r="H951" s="474">
        <v>5</v>
      </c>
      <c r="I951" s="485"/>
      <c r="J951" s="475"/>
      <c r="K951" s="654" t="s">
        <v>2796</v>
      </c>
      <c r="L951" s="474" t="s">
        <v>2459</v>
      </c>
      <c r="M951" s="487">
        <v>44518</v>
      </c>
      <c r="N951" s="487">
        <v>44700</v>
      </c>
      <c r="O951" s="487"/>
      <c r="P951" s="475"/>
      <c r="Q951" s="475"/>
      <c r="R951" s="475"/>
      <c r="S951" s="474" t="s">
        <v>1563</v>
      </c>
      <c r="T951" s="474">
        <v>60</v>
      </c>
      <c r="U951" s="474">
        <v>49401140</v>
      </c>
      <c r="V951" s="474" t="s">
        <v>973</v>
      </c>
      <c r="W951" s="474">
        <v>400</v>
      </c>
      <c r="X951" s="476">
        <v>768</v>
      </c>
      <c r="Y951" s="477">
        <v>307200</v>
      </c>
      <c r="Z951" s="478">
        <v>0.55500000000000005</v>
      </c>
      <c r="AA951" s="479">
        <v>170496.00000000003</v>
      </c>
      <c r="AB951" s="480"/>
      <c r="AC951" s="481">
        <v>0</v>
      </c>
      <c r="AD951" s="490"/>
      <c r="AE951" s="482"/>
      <c r="AF951" s="493">
        <v>170496.00000000003</v>
      </c>
      <c r="AG951" s="474" t="s">
        <v>1071</v>
      </c>
      <c r="AH951" s="474"/>
      <c r="AI951" s="483" t="s">
        <v>2442</v>
      </c>
      <c r="AJ951" s="474" t="s">
        <v>2384</v>
      </c>
      <c r="AK951" s="494" t="s">
        <v>1144</v>
      </c>
      <c r="AL951" s="474">
        <v>75063</v>
      </c>
      <c r="AM951" s="474" t="s">
        <v>52</v>
      </c>
      <c r="AN951" s="474"/>
      <c r="AO951" s="474"/>
      <c r="AP951" s="486"/>
      <c r="AQ951" s="486"/>
      <c r="AR951" s="486"/>
      <c r="AS951" s="495"/>
      <c r="AT951" s="495"/>
      <c r="AU951" s="478"/>
      <c r="AV951" s="471">
        <f t="shared" si="189"/>
        <v>49401140</v>
      </c>
      <c r="AW951" s="471" cm="1">
        <f t="array" ref="AW951">SUM(MID(0&amp;AV951,LARGE(INDEX(ISNUMBER(--MID(AV951,ROW($1:$8),1))*ROW($1:$8),),ROW($1:$8))+1,1)*10^ROW($1:$8)/10)</f>
        <v>49401140</v>
      </c>
      <c r="AX951" s="471" t="str">
        <f>VLOOKUP($AW951,'Item Master Data'!$A:$F,3,FALSE)</f>
        <v>Q.PEAK DUO BLK ML G10.a+</v>
      </c>
      <c r="AY951" s="471">
        <f>VLOOKUP($AW951,'Item Master Data'!$A:$F,6,FALSE)</f>
        <v>400</v>
      </c>
      <c r="AZ951" s="471">
        <f t="shared" si="190"/>
        <v>24</v>
      </c>
      <c r="BA951" s="471">
        <f>VLOOKUP(AW951,'Item Master Data'!$A:$G,7,FALSE)</f>
        <v>32</v>
      </c>
      <c r="BB951" s="471"/>
      <c r="BC951" s="471">
        <f t="shared" si="191"/>
        <v>0</v>
      </c>
    </row>
    <row r="952" spans="1:55">
      <c r="A952" s="472"/>
      <c r="B952" s="514">
        <v>44522</v>
      </c>
      <c r="C952" s="514"/>
      <c r="D952" s="485" t="s">
        <v>2322</v>
      </c>
      <c r="E952" s="474" t="s">
        <v>2726</v>
      </c>
      <c r="F952" s="474"/>
      <c r="G952" s="474">
        <v>2022</v>
      </c>
      <c r="H952" s="474">
        <v>5</v>
      </c>
      <c r="I952" s="485"/>
      <c r="J952" s="475"/>
      <c r="K952" s="654" t="s">
        <v>2766</v>
      </c>
      <c r="L952" s="474" t="s">
        <v>2459</v>
      </c>
      <c r="M952" s="487">
        <v>44505</v>
      </c>
      <c r="N952" s="487">
        <v>44686</v>
      </c>
      <c r="O952" s="487"/>
      <c r="P952" s="475"/>
      <c r="Q952" s="475"/>
      <c r="R952" s="475"/>
      <c r="S952" s="474" t="s">
        <v>1563</v>
      </c>
      <c r="T952" s="474">
        <v>60</v>
      </c>
      <c r="U952" s="474" t="s">
        <v>1281</v>
      </c>
      <c r="V952" s="474" t="s">
        <v>973</v>
      </c>
      <c r="W952" s="474">
        <v>400</v>
      </c>
      <c r="X952" s="476">
        <v>768</v>
      </c>
      <c r="Y952" s="477">
        <v>307200</v>
      </c>
      <c r="Z952" s="478">
        <v>0.55500000000000005</v>
      </c>
      <c r="AA952" s="479">
        <v>170496.00000000003</v>
      </c>
      <c r="AB952" s="480"/>
      <c r="AC952" s="481">
        <v>0</v>
      </c>
      <c r="AD952" s="490"/>
      <c r="AE952" s="482"/>
      <c r="AF952" s="493">
        <v>170496.00000000003</v>
      </c>
      <c r="AG952" s="474" t="s">
        <v>1071</v>
      </c>
      <c r="AH952" s="474"/>
      <c r="AI952" s="483" t="s">
        <v>2442</v>
      </c>
      <c r="AJ952" s="474" t="s">
        <v>1777</v>
      </c>
      <c r="AK952" s="494" t="s">
        <v>50</v>
      </c>
      <c r="AL952" s="474" t="s">
        <v>1990</v>
      </c>
      <c r="AM952" s="474" t="s">
        <v>52</v>
      </c>
      <c r="AN952" s="474"/>
      <c r="AO952" s="474"/>
      <c r="AP952" s="486"/>
      <c r="AQ952" s="486" t="s">
        <v>37</v>
      </c>
      <c r="AR952" s="486"/>
      <c r="AS952" s="495"/>
      <c r="AT952" s="495"/>
      <c r="AU952" s="478"/>
      <c r="AV952" s="471" t="str">
        <f t="shared" si="189"/>
        <v>30390456H</v>
      </c>
      <c r="AW952" s="471" cm="1">
        <f t="array" ref="AW952">SUM(MID(0&amp;AV952,LARGE(INDEX(ISNUMBER(--MID(AV952,ROW($1:$8),1))*ROW($1:$8),),ROW($1:$8))+1,1)*10^ROW($1:$8)/10)</f>
        <v>30390456</v>
      </c>
      <c r="AX952" s="471" t="str">
        <f>VLOOKUP($AW952,'Item Master Data'!$A:$F,3,FALSE)</f>
        <v>Q.PEAK DUO BLK ML G10+</v>
      </c>
      <c r="AY952" s="471">
        <f>VLOOKUP($AW952,'Item Master Data'!$A:$F,6,FALSE)</f>
        <v>400</v>
      </c>
      <c r="AZ952" s="471">
        <f t="shared" si="190"/>
        <v>24</v>
      </c>
      <c r="BA952" s="471">
        <f>VLOOKUP(AW952,'Item Master Data'!$A:$G,7,FALSE)</f>
        <v>32</v>
      </c>
      <c r="BB952" s="471"/>
      <c r="BC952" s="471">
        <f t="shared" si="191"/>
        <v>0</v>
      </c>
    </row>
    <row r="953" spans="1:55">
      <c r="A953" s="472"/>
      <c r="B953" s="514">
        <v>44522</v>
      </c>
      <c r="C953" s="514"/>
      <c r="D953" s="485" t="s">
        <v>2322</v>
      </c>
      <c r="E953" s="474" t="s">
        <v>2726</v>
      </c>
      <c r="F953" s="474"/>
      <c r="G953" s="474">
        <v>2022</v>
      </c>
      <c r="H953" s="474">
        <v>5</v>
      </c>
      <c r="I953" s="485"/>
      <c r="J953" s="475"/>
      <c r="K953" s="654" t="s">
        <v>2767</v>
      </c>
      <c r="L953" s="474" t="s">
        <v>2459</v>
      </c>
      <c r="M953" s="487">
        <v>44505</v>
      </c>
      <c r="N953" s="487">
        <v>44685</v>
      </c>
      <c r="O953" s="487"/>
      <c r="P953" s="475"/>
      <c r="Q953" s="475"/>
      <c r="R953" s="475"/>
      <c r="S953" s="474" t="s">
        <v>1563</v>
      </c>
      <c r="T953" s="474">
        <v>60</v>
      </c>
      <c r="U953" s="474" t="s">
        <v>1281</v>
      </c>
      <c r="V953" s="474" t="s">
        <v>973</v>
      </c>
      <c r="W953" s="474">
        <v>400</v>
      </c>
      <c r="X953" s="476">
        <v>768</v>
      </c>
      <c r="Y953" s="477">
        <v>307200</v>
      </c>
      <c r="Z953" s="478">
        <v>0.55500000000000005</v>
      </c>
      <c r="AA953" s="479">
        <v>170496.00000000003</v>
      </c>
      <c r="AB953" s="480"/>
      <c r="AC953" s="481">
        <v>0</v>
      </c>
      <c r="AD953" s="490"/>
      <c r="AE953" s="482"/>
      <c r="AF953" s="493">
        <v>170496.00000000003</v>
      </c>
      <c r="AG953" s="474" t="s">
        <v>1071</v>
      </c>
      <c r="AH953" s="474"/>
      <c r="AI953" s="483" t="s">
        <v>2442</v>
      </c>
      <c r="AJ953" s="474" t="s">
        <v>1777</v>
      </c>
      <c r="AK953" s="494" t="s">
        <v>50</v>
      </c>
      <c r="AL953" s="474" t="s">
        <v>1990</v>
      </c>
      <c r="AM953" s="474" t="s">
        <v>52</v>
      </c>
      <c r="AN953" s="474"/>
      <c r="AO953" s="474"/>
      <c r="AP953" s="486"/>
      <c r="AQ953" s="486" t="s">
        <v>37</v>
      </c>
      <c r="AR953" s="486"/>
      <c r="AS953" s="495"/>
      <c r="AT953" s="495"/>
      <c r="AU953" s="478"/>
      <c r="AV953" s="471" t="str">
        <f t="shared" si="189"/>
        <v>30390456H</v>
      </c>
      <c r="AW953" s="471" cm="1">
        <f t="array" ref="AW953">SUM(MID(0&amp;AV953,LARGE(INDEX(ISNUMBER(--MID(AV953,ROW($1:$8),1))*ROW($1:$8),),ROW($1:$8))+1,1)*10^ROW($1:$8)/10)</f>
        <v>30390456</v>
      </c>
      <c r="AX953" s="471" t="str">
        <f>VLOOKUP($AW953,'Item Master Data'!$A:$F,3,FALSE)</f>
        <v>Q.PEAK DUO BLK ML G10+</v>
      </c>
      <c r="AY953" s="471">
        <f>VLOOKUP($AW953,'Item Master Data'!$A:$F,6,FALSE)</f>
        <v>400</v>
      </c>
      <c r="AZ953" s="471">
        <f t="shared" si="190"/>
        <v>24</v>
      </c>
      <c r="BA953" s="471">
        <f>VLOOKUP(AW953,'Item Master Data'!$A:$G,7,FALSE)</f>
        <v>32</v>
      </c>
      <c r="BB953" s="471"/>
      <c r="BC953" s="471">
        <f t="shared" si="191"/>
        <v>0</v>
      </c>
    </row>
    <row r="954" spans="1:55">
      <c r="A954" s="472"/>
      <c r="B954" s="514">
        <v>44522</v>
      </c>
      <c r="C954" s="514"/>
      <c r="D954" s="485" t="s">
        <v>2322</v>
      </c>
      <c r="E954" s="474" t="s">
        <v>2726</v>
      </c>
      <c r="F954" s="474"/>
      <c r="G954" s="474">
        <v>2022</v>
      </c>
      <c r="H954" s="474">
        <v>5</v>
      </c>
      <c r="I954" s="485"/>
      <c r="J954" s="475"/>
      <c r="K954" s="654" t="s">
        <v>2799</v>
      </c>
      <c r="L954" s="474" t="s">
        <v>2459</v>
      </c>
      <c r="M954" s="487">
        <v>44505</v>
      </c>
      <c r="N954" s="487">
        <v>44697</v>
      </c>
      <c r="O954" s="487"/>
      <c r="P954" s="475"/>
      <c r="Q954" s="475"/>
      <c r="R954" s="475"/>
      <c r="S954" s="474" t="s">
        <v>1563</v>
      </c>
      <c r="T954" s="474">
        <v>60</v>
      </c>
      <c r="U954" s="474">
        <v>49401140</v>
      </c>
      <c r="V954" s="474" t="s">
        <v>973</v>
      </c>
      <c r="W954" s="474">
        <v>400</v>
      </c>
      <c r="X954" s="476">
        <v>768</v>
      </c>
      <c r="Y954" s="477">
        <v>307200</v>
      </c>
      <c r="Z954" s="478">
        <v>0.55500000000000005</v>
      </c>
      <c r="AA954" s="479">
        <v>170496.00000000003</v>
      </c>
      <c r="AB954" s="480"/>
      <c r="AC954" s="481">
        <v>0</v>
      </c>
      <c r="AD954" s="490"/>
      <c r="AE954" s="482"/>
      <c r="AF954" s="493">
        <v>170496.00000000003</v>
      </c>
      <c r="AG954" s="474" t="s">
        <v>1071</v>
      </c>
      <c r="AH954" s="474"/>
      <c r="AI954" s="483" t="s">
        <v>2442</v>
      </c>
      <c r="AJ954" s="474" t="s">
        <v>1777</v>
      </c>
      <c r="AK954" s="494" t="s">
        <v>50</v>
      </c>
      <c r="AL954" s="474" t="s">
        <v>1990</v>
      </c>
      <c r="AM954" s="474" t="s">
        <v>52</v>
      </c>
      <c r="AN954" s="474"/>
      <c r="AO954" s="474"/>
      <c r="AP954" s="486"/>
      <c r="AQ954" s="486" t="s">
        <v>37</v>
      </c>
      <c r="AR954" s="486"/>
      <c r="AS954" s="495"/>
      <c r="AT954" s="495"/>
      <c r="AU954" s="478"/>
      <c r="AV954" s="471">
        <f t="shared" si="189"/>
        <v>49401140</v>
      </c>
      <c r="AW954" s="471" cm="1">
        <f t="array" ref="AW954">SUM(MID(0&amp;AV954,LARGE(INDEX(ISNUMBER(--MID(AV954,ROW($1:$8),1))*ROW($1:$8),),ROW($1:$8))+1,1)*10^ROW($1:$8)/10)</f>
        <v>49401140</v>
      </c>
      <c r="AX954" s="471" t="str">
        <f>VLOOKUP($AW954,'Item Master Data'!$A:$F,3,FALSE)</f>
        <v>Q.PEAK DUO BLK ML G10.a+</v>
      </c>
      <c r="AY954" s="471">
        <f>VLOOKUP($AW954,'Item Master Data'!$A:$F,6,FALSE)</f>
        <v>400</v>
      </c>
      <c r="AZ954" s="471">
        <f t="shared" si="190"/>
        <v>24</v>
      </c>
      <c r="BA954" s="471">
        <f>VLOOKUP(AW954,'Item Master Data'!$A:$G,7,FALSE)</f>
        <v>32</v>
      </c>
      <c r="BB954" s="471"/>
      <c r="BC954" s="471">
        <f t="shared" si="191"/>
        <v>0</v>
      </c>
    </row>
    <row r="955" spans="1:55">
      <c r="A955" s="472"/>
      <c r="B955" s="514">
        <v>44522</v>
      </c>
      <c r="C955" s="514"/>
      <c r="D955" s="485" t="s">
        <v>2322</v>
      </c>
      <c r="E955" s="474" t="s">
        <v>2726</v>
      </c>
      <c r="F955" s="474"/>
      <c r="G955" s="474">
        <v>2022</v>
      </c>
      <c r="H955" s="474">
        <v>9</v>
      </c>
      <c r="I955" s="485"/>
      <c r="J955" s="475"/>
      <c r="K955" s="483" t="s">
        <v>2801</v>
      </c>
      <c r="L955" s="474" t="s">
        <v>2459</v>
      </c>
      <c r="M955" s="487">
        <v>44505</v>
      </c>
      <c r="N955" s="487">
        <v>44718</v>
      </c>
      <c r="O955" s="487"/>
      <c r="P955" s="475"/>
      <c r="Q955" s="475"/>
      <c r="R955" s="475"/>
      <c r="S955" s="474" t="s">
        <v>1563</v>
      </c>
      <c r="T955" s="474">
        <v>60</v>
      </c>
      <c r="U955" s="474">
        <v>49401140</v>
      </c>
      <c r="V955" s="474" t="s">
        <v>2482</v>
      </c>
      <c r="W955" s="474">
        <v>400</v>
      </c>
      <c r="X955" s="476">
        <v>768</v>
      </c>
      <c r="Y955" s="477">
        <v>307200</v>
      </c>
      <c r="Z955" s="478">
        <v>0.55500000000000005</v>
      </c>
      <c r="AA955" s="479">
        <v>170496.00000000003</v>
      </c>
      <c r="AB955" s="480"/>
      <c r="AC955" s="481">
        <v>0</v>
      </c>
      <c r="AD955" s="490"/>
      <c r="AE955" s="482"/>
      <c r="AF955" s="493">
        <v>170496.00000000003</v>
      </c>
      <c r="AG955" s="474" t="s">
        <v>1071</v>
      </c>
      <c r="AH955" s="474"/>
      <c r="AI955" s="483" t="s">
        <v>2442</v>
      </c>
      <c r="AJ955" s="474" t="s">
        <v>1777</v>
      </c>
      <c r="AK955" s="494" t="s">
        <v>50</v>
      </c>
      <c r="AL955" s="474" t="s">
        <v>1990</v>
      </c>
      <c r="AM955" s="474" t="s">
        <v>52</v>
      </c>
      <c r="AN955" s="474"/>
      <c r="AO955" s="474"/>
      <c r="AP955" s="486"/>
      <c r="AQ955" s="486" t="s">
        <v>37</v>
      </c>
      <c r="AR955" s="486"/>
      <c r="AS955" s="495"/>
      <c r="AT955" s="495"/>
      <c r="AU955" s="478"/>
      <c r="AV955" s="471">
        <f t="shared" si="189"/>
        <v>49401140</v>
      </c>
      <c r="AW955" s="471" cm="1">
        <f t="array" ref="AW955">SUM(MID(0&amp;AV955,LARGE(INDEX(ISNUMBER(--MID(AV955,ROW($1:$8),1))*ROW($1:$8),),ROW($1:$8))+1,1)*10^ROW($1:$8)/10)</f>
        <v>49401140</v>
      </c>
      <c r="AX955" s="471" t="str">
        <f>VLOOKUP($AW955,'Item Master Data'!$A:$F,3,FALSE)</f>
        <v>Q.PEAK DUO BLK ML G10.a+</v>
      </c>
      <c r="AY955" s="471">
        <f>VLOOKUP($AW955,'Item Master Data'!$A:$F,6,FALSE)</f>
        <v>400</v>
      </c>
      <c r="AZ955" s="471">
        <f t="shared" si="190"/>
        <v>24</v>
      </c>
      <c r="BA955" s="471">
        <f>VLOOKUP(AW955,'Item Master Data'!$A:$G,7,FALSE)</f>
        <v>32</v>
      </c>
      <c r="BB955" s="471"/>
      <c r="BC955" s="471">
        <f t="shared" si="191"/>
        <v>0</v>
      </c>
    </row>
    <row r="956" spans="1:55">
      <c r="A956" s="472"/>
      <c r="B956" s="514"/>
      <c r="C956" s="514"/>
      <c r="D956" s="485" t="s">
        <v>2322</v>
      </c>
      <c r="E956" s="474"/>
      <c r="F956" s="474"/>
      <c r="G956" s="474">
        <v>2022</v>
      </c>
      <c r="H956" s="474">
        <v>5</v>
      </c>
      <c r="I956" s="485"/>
      <c r="J956" s="475"/>
      <c r="K956" s="483" t="s">
        <v>2554</v>
      </c>
      <c r="L956" s="474" t="s">
        <v>2459</v>
      </c>
      <c r="M956" s="487">
        <v>44487</v>
      </c>
      <c r="N956" s="487">
        <v>44627</v>
      </c>
      <c r="O956" s="487"/>
      <c r="P956" s="475">
        <v>44664</v>
      </c>
      <c r="Q956" s="475"/>
      <c r="R956" s="475"/>
      <c r="S956" s="474" t="s">
        <v>1563</v>
      </c>
      <c r="T956" s="474">
        <v>60</v>
      </c>
      <c r="U956" s="474">
        <v>49203132</v>
      </c>
      <c r="V956" s="474" t="s">
        <v>986</v>
      </c>
      <c r="W956" s="474">
        <v>360</v>
      </c>
      <c r="X956" s="476">
        <v>832</v>
      </c>
      <c r="Y956" s="491">
        <f t="shared" ref="Y956:Y964" si="199">X956*W956</f>
        <v>299520</v>
      </c>
      <c r="Z956" s="478">
        <f>192.6/360</f>
        <v>0.53500000000000003</v>
      </c>
      <c r="AA956" s="479">
        <f t="shared" ref="AA956:AA964" si="200">Z956*Y956</f>
        <v>160243.20000000001</v>
      </c>
      <c r="AB956" s="480"/>
      <c r="AC956" s="481">
        <v>0</v>
      </c>
      <c r="AD956" s="490"/>
      <c r="AE956" s="482"/>
      <c r="AF956" s="493">
        <f t="shared" ref="AF956:AF964" si="201">AA956+AE956</f>
        <v>160243.20000000001</v>
      </c>
      <c r="AG956" s="474" t="s">
        <v>1071</v>
      </c>
      <c r="AH956" s="474"/>
      <c r="AI956" s="483">
        <v>60</v>
      </c>
      <c r="AJ956" s="474" t="s">
        <v>2472</v>
      </c>
      <c r="AK956" s="494" t="s">
        <v>1133</v>
      </c>
      <c r="AL956" s="474">
        <v>85008</v>
      </c>
      <c r="AM956" s="474" t="s">
        <v>52</v>
      </c>
      <c r="AN956" s="474" t="s">
        <v>1106</v>
      </c>
      <c r="AO956" s="474"/>
      <c r="AP956" s="486"/>
      <c r="AQ956" s="486" t="s">
        <v>37</v>
      </c>
      <c r="AR956" s="486"/>
      <c r="AS956" s="495"/>
      <c r="AT956" s="495"/>
      <c r="AU956" s="478"/>
      <c r="AV956" s="471">
        <f t="shared" si="189"/>
        <v>49203132</v>
      </c>
      <c r="AW956" s="471" cm="1">
        <f t="array" ref="AW956">SUM(MID(0&amp;AV956,LARGE(INDEX(ISNUMBER(--MID(AV956,ROW($1:$8),1))*ROW($1:$8),),ROW($1:$8))+1,1)*10^ROW($1:$8)/10)</f>
        <v>49203132</v>
      </c>
      <c r="AX956" s="471" t="str">
        <f>VLOOKUP($AW956,'Item Master Data'!$A:$F,3,FALSE)</f>
        <v>Q.PEAK DUO BLK G10+</v>
      </c>
      <c r="AY956" s="471">
        <f>VLOOKUP($AW956,'Item Master Data'!$A:$F,6,FALSE)</f>
        <v>360</v>
      </c>
      <c r="AZ956" s="471">
        <f t="shared" si="190"/>
        <v>26</v>
      </c>
      <c r="BA956" s="471">
        <f>VLOOKUP(AW956,'Item Master Data'!$A:$G,7,FALSE)</f>
        <v>32</v>
      </c>
      <c r="BB956" s="471"/>
      <c r="BC956" s="471">
        <f t="shared" si="191"/>
        <v>0</v>
      </c>
    </row>
    <row r="957" spans="1:55">
      <c r="A957" s="472"/>
      <c r="B957" s="514">
        <v>44679</v>
      </c>
      <c r="C957" s="514">
        <v>44679</v>
      </c>
      <c r="D957" s="485" t="s">
        <v>2322</v>
      </c>
      <c r="E957" s="474" t="s">
        <v>5569</v>
      </c>
      <c r="F957" s="474"/>
      <c r="G957" s="474">
        <v>2022</v>
      </c>
      <c r="H957" s="474">
        <v>4</v>
      </c>
      <c r="I957" s="485"/>
      <c r="J957" s="475"/>
      <c r="K957" s="483" t="s">
        <v>5570</v>
      </c>
      <c r="L957" s="474" t="s">
        <v>2459</v>
      </c>
      <c r="M957" s="487">
        <v>44673</v>
      </c>
      <c r="N957" s="487">
        <v>44673</v>
      </c>
      <c r="O957" s="487"/>
      <c r="P957" s="475">
        <v>44679</v>
      </c>
      <c r="Q957" s="475">
        <v>44680</v>
      </c>
      <c r="R957" s="475">
        <v>44683</v>
      </c>
      <c r="S957" s="474" t="s">
        <v>1563</v>
      </c>
      <c r="T957" s="474">
        <v>60</v>
      </c>
      <c r="U957" s="474" t="s">
        <v>1760</v>
      </c>
      <c r="V957" s="474" t="s">
        <v>2525</v>
      </c>
      <c r="W957" s="474">
        <v>400</v>
      </c>
      <c r="X957" s="476">
        <v>768</v>
      </c>
      <c r="Y957" s="477">
        <f t="shared" si="199"/>
        <v>307200</v>
      </c>
      <c r="Z957" s="478">
        <f>197.86/400</f>
        <v>0.49465000000000003</v>
      </c>
      <c r="AA957" s="479">
        <f t="shared" si="200"/>
        <v>151956.48000000001</v>
      </c>
      <c r="AB957" s="480"/>
      <c r="AC957" s="481">
        <v>0</v>
      </c>
      <c r="AD957" s="490"/>
      <c r="AE957" s="482"/>
      <c r="AF957" s="493">
        <f t="shared" si="201"/>
        <v>151956.48000000001</v>
      </c>
      <c r="AG957" s="474" t="s">
        <v>1071</v>
      </c>
      <c r="AH957" s="474"/>
      <c r="AI957" s="483">
        <v>60</v>
      </c>
      <c r="AJ957" s="474" t="s">
        <v>5571</v>
      </c>
      <c r="AK957" s="494" t="s">
        <v>1133</v>
      </c>
      <c r="AL957" s="474">
        <v>85226</v>
      </c>
      <c r="AM957" s="474" t="s">
        <v>52</v>
      </c>
      <c r="AN957" s="474" t="s">
        <v>50</v>
      </c>
      <c r="AO957" s="474"/>
      <c r="AP957" s="486" t="s">
        <v>38</v>
      </c>
      <c r="AQ957" s="486" t="s">
        <v>37</v>
      </c>
      <c r="AR957" s="486"/>
      <c r="AS957" s="495"/>
      <c r="AT957" s="495"/>
      <c r="AU957" s="478"/>
      <c r="AV957" s="471" t="str">
        <f t="shared" si="189"/>
        <v>30390156H</v>
      </c>
      <c r="AW957" s="471" cm="1">
        <f t="array" ref="AW957">SUM(MID(0&amp;AV957,LARGE(INDEX(ISNUMBER(--MID(AV957,ROW($1:$8),1))*ROW($1:$8),),ROW($1:$8))+1,1)*10^ROW($1:$8)/10)</f>
        <v>30390156</v>
      </c>
      <c r="AX957" s="471" t="str">
        <f>VLOOKUP($AW957,'Item Master Data'!$A:$F,3,FALSE)</f>
        <v>Q.PEAK DUO BLK ML G10+</v>
      </c>
      <c r="AY957" s="471">
        <f>VLOOKUP($AW957,'Item Master Data'!$A:$F,6,FALSE)</f>
        <v>400</v>
      </c>
      <c r="AZ957" s="471">
        <f t="shared" si="190"/>
        <v>24</v>
      </c>
      <c r="BA957" s="471">
        <f>VLOOKUP(AW957,'Item Master Data'!$A:$G,7,FALSE)</f>
        <v>32</v>
      </c>
      <c r="BB957" s="471"/>
      <c r="BC957" s="471">
        <f t="shared" si="191"/>
        <v>0</v>
      </c>
    </row>
    <row r="958" spans="1:55">
      <c r="A958" s="472"/>
      <c r="B958" s="514"/>
      <c r="C958" s="514"/>
      <c r="D958" s="485" t="s">
        <v>2322</v>
      </c>
      <c r="E958" s="474" t="s">
        <v>2586</v>
      </c>
      <c r="F958" s="474"/>
      <c r="G958" s="474">
        <v>2022</v>
      </c>
      <c r="H958" s="474">
        <v>6</v>
      </c>
      <c r="I958" s="485"/>
      <c r="J958" s="475"/>
      <c r="K958" s="483" t="s">
        <v>2587</v>
      </c>
      <c r="L958" s="474" t="s">
        <v>2459</v>
      </c>
      <c r="M958" s="487">
        <v>44496</v>
      </c>
      <c r="N958" s="487">
        <v>44610</v>
      </c>
      <c r="O958" s="487"/>
      <c r="P958" s="475"/>
      <c r="Q958" s="475"/>
      <c r="R958" s="475"/>
      <c r="S958" s="474" t="s">
        <v>1563</v>
      </c>
      <c r="T958" s="474">
        <v>60</v>
      </c>
      <c r="U958" s="474">
        <v>49403140</v>
      </c>
      <c r="V958" s="474" t="s">
        <v>973</v>
      </c>
      <c r="W958" s="474">
        <v>400</v>
      </c>
      <c r="X958" s="476">
        <v>768</v>
      </c>
      <c r="Y958" s="477">
        <f t="shared" si="199"/>
        <v>307200</v>
      </c>
      <c r="Z958" s="478">
        <f>210/400</f>
        <v>0.52500000000000002</v>
      </c>
      <c r="AA958" s="479">
        <f t="shared" si="200"/>
        <v>161280</v>
      </c>
      <c r="AB958" s="480"/>
      <c r="AC958" s="481">
        <v>0</v>
      </c>
      <c r="AD958" s="490"/>
      <c r="AE958" s="482"/>
      <c r="AF958" s="493">
        <f t="shared" si="201"/>
        <v>161280</v>
      </c>
      <c r="AG958" s="474" t="s">
        <v>1071</v>
      </c>
      <c r="AH958" s="474"/>
      <c r="AI958" s="483" t="s">
        <v>2442</v>
      </c>
      <c r="AJ958" s="474" t="s">
        <v>2472</v>
      </c>
      <c r="AK958" s="494" t="s">
        <v>1133</v>
      </c>
      <c r="AL958" s="474">
        <v>85008</v>
      </c>
      <c r="AM958" s="474" t="s">
        <v>52</v>
      </c>
      <c r="AN958" s="474" t="s">
        <v>1074</v>
      </c>
      <c r="AO958" s="474"/>
      <c r="AP958" s="486"/>
      <c r="AQ958" s="486" t="s">
        <v>37</v>
      </c>
      <c r="AR958" s="486"/>
      <c r="AS958" s="495"/>
      <c r="AT958" s="495"/>
      <c r="AU958" s="478"/>
      <c r="AV958" s="471">
        <f t="shared" ref="AV958:AV1021" si="202">U958</f>
        <v>49403140</v>
      </c>
      <c r="AW958" s="471" cm="1">
        <f t="array" ref="AW958">SUM(MID(0&amp;AV958,LARGE(INDEX(ISNUMBER(--MID(AV958,ROW($1:$8),1))*ROW($1:$8),),ROW($1:$8))+1,1)*10^ROW($1:$8)/10)</f>
        <v>49403140</v>
      </c>
      <c r="AX958" s="471" t="str">
        <f>VLOOKUP($AW958,'Item Master Data'!$A:$F,3,FALSE)</f>
        <v>Q.PEAK DUO BLK ML G10+</v>
      </c>
      <c r="AY958" s="471">
        <f>VLOOKUP($AW958,'Item Master Data'!$A:$F,6,FALSE)</f>
        <v>400</v>
      </c>
      <c r="AZ958" s="471">
        <f t="shared" ref="AZ958:AZ1021" si="203">X958/BA958</f>
        <v>24</v>
      </c>
      <c r="BA958" s="471">
        <f>VLOOKUP(AW958,'Item Master Data'!$A:$G,7,FALSE)</f>
        <v>32</v>
      </c>
      <c r="BB958" s="471"/>
      <c r="BC958" s="471">
        <f t="shared" ref="BC958:BC1021" si="204">W958-AY958</f>
        <v>0</v>
      </c>
    </row>
    <row r="959" spans="1:55">
      <c r="A959" s="599">
        <v>10</v>
      </c>
      <c r="B959" s="514"/>
      <c r="C959" s="514"/>
      <c r="D959" s="485" t="s">
        <v>2322</v>
      </c>
      <c r="E959" s="474"/>
      <c r="F959" s="474"/>
      <c r="G959" s="474">
        <v>2022</v>
      </c>
      <c r="H959" s="474">
        <v>3</v>
      </c>
      <c r="I959" s="485">
        <v>127696</v>
      </c>
      <c r="J959" s="475">
        <v>44643</v>
      </c>
      <c r="K959" s="483" t="s">
        <v>2471</v>
      </c>
      <c r="L959" s="474" t="s">
        <v>2459</v>
      </c>
      <c r="M959" s="487">
        <v>44496</v>
      </c>
      <c r="N959" s="487">
        <v>44623</v>
      </c>
      <c r="O959" s="487"/>
      <c r="P959" s="475">
        <v>44630</v>
      </c>
      <c r="Q959" s="475">
        <v>44643</v>
      </c>
      <c r="R959" s="475">
        <v>44644</v>
      </c>
      <c r="S959" s="474" t="s">
        <v>1563</v>
      </c>
      <c r="T959" s="474">
        <v>60</v>
      </c>
      <c r="U959" s="474" t="s">
        <v>1281</v>
      </c>
      <c r="V959" s="474" t="s">
        <v>973</v>
      </c>
      <c r="W959" s="474">
        <v>400</v>
      </c>
      <c r="X959" s="476">
        <v>768</v>
      </c>
      <c r="Y959" s="477">
        <f t="shared" si="199"/>
        <v>307200</v>
      </c>
      <c r="Z959" s="478">
        <f>222/400</f>
        <v>0.55500000000000005</v>
      </c>
      <c r="AA959" s="479">
        <f t="shared" si="200"/>
        <v>170496.00000000003</v>
      </c>
      <c r="AB959" s="480"/>
      <c r="AC959" s="481">
        <v>0</v>
      </c>
      <c r="AD959" s="490"/>
      <c r="AE959" s="482"/>
      <c r="AF959" s="493">
        <f t="shared" si="201"/>
        <v>170496.00000000003</v>
      </c>
      <c r="AG959" s="474" t="s">
        <v>1071</v>
      </c>
      <c r="AH959" s="474"/>
      <c r="AI959" s="483" t="s">
        <v>2442</v>
      </c>
      <c r="AJ959" s="474" t="s">
        <v>2472</v>
      </c>
      <c r="AK959" s="494" t="s">
        <v>1133</v>
      </c>
      <c r="AL959" s="474">
        <v>85008</v>
      </c>
      <c r="AM959" s="474" t="s">
        <v>52</v>
      </c>
      <c r="AN959" s="474" t="s">
        <v>50</v>
      </c>
      <c r="AO959" s="474"/>
      <c r="AP959" s="486" t="s">
        <v>92</v>
      </c>
      <c r="AQ959" s="486" t="s">
        <v>37</v>
      </c>
      <c r="AR959" s="486"/>
      <c r="AS959" s="495"/>
      <c r="AT959" s="495"/>
      <c r="AU959" s="478"/>
      <c r="AV959" s="471" t="str">
        <f t="shared" si="202"/>
        <v>30390456H</v>
      </c>
      <c r="AW959" s="471" cm="1">
        <f t="array" ref="AW959">SUM(MID(0&amp;AV959,LARGE(INDEX(ISNUMBER(--MID(AV959,ROW($1:$8),1))*ROW($1:$8),),ROW($1:$8))+1,1)*10^ROW($1:$8)/10)</f>
        <v>30390456</v>
      </c>
      <c r="AX959" s="471" t="str">
        <f>VLOOKUP($AW959,'Item Master Data'!$A:$F,3,FALSE)</f>
        <v>Q.PEAK DUO BLK ML G10+</v>
      </c>
      <c r="AY959" s="471">
        <f>VLOOKUP($AW959,'Item Master Data'!$A:$F,6,FALSE)</f>
        <v>400</v>
      </c>
      <c r="AZ959" s="471">
        <f t="shared" si="203"/>
        <v>24</v>
      </c>
      <c r="BA959" s="471">
        <f>VLOOKUP(AW959,'Item Master Data'!$A:$G,7,FALSE)</f>
        <v>32</v>
      </c>
      <c r="BB959" s="471"/>
      <c r="BC959" s="471">
        <f t="shared" si="204"/>
        <v>0</v>
      </c>
    </row>
    <row r="960" spans="1:55">
      <c r="A960" s="599">
        <v>10</v>
      </c>
      <c r="B960" s="514"/>
      <c r="C960" s="514"/>
      <c r="D960" s="485" t="s">
        <v>2322</v>
      </c>
      <c r="E960" s="474"/>
      <c r="F960" s="474"/>
      <c r="G960" s="474">
        <v>2022</v>
      </c>
      <c r="H960" s="474">
        <v>3</v>
      </c>
      <c r="I960" s="485">
        <v>127648</v>
      </c>
      <c r="J960" s="475">
        <v>44651</v>
      </c>
      <c r="K960" s="483" t="s">
        <v>2473</v>
      </c>
      <c r="L960" s="474" t="s">
        <v>2459</v>
      </c>
      <c r="M960" s="487">
        <v>44496</v>
      </c>
      <c r="N960" s="487">
        <v>44632</v>
      </c>
      <c r="O960" s="487"/>
      <c r="P960" s="475">
        <v>44630</v>
      </c>
      <c r="Q960" s="475">
        <v>44651</v>
      </c>
      <c r="R960" s="475">
        <v>44652</v>
      </c>
      <c r="S960" s="474" t="s">
        <v>1563</v>
      </c>
      <c r="T960" s="474">
        <v>60</v>
      </c>
      <c r="U960" s="474" t="s">
        <v>1760</v>
      </c>
      <c r="V960" s="474" t="s">
        <v>973</v>
      </c>
      <c r="W960" s="474">
        <v>400</v>
      </c>
      <c r="X960" s="476">
        <v>768</v>
      </c>
      <c r="Y960" s="477">
        <f t="shared" si="199"/>
        <v>307200</v>
      </c>
      <c r="Z960" s="478">
        <f>222/400</f>
        <v>0.55500000000000005</v>
      </c>
      <c r="AA960" s="479">
        <f t="shared" si="200"/>
        <v>170496.00000000003</v>
      </c>
      <c r="AB960" s="480"/>
      <c r="AC960" s="481">
        <v>0</v>
      </c>
      <c r="AD960" s="490"/>
      <c r="AE960" s="482"/>
      <c r="AF960" s="493">
        <f t="shared" si="201"/>
        <v>170496.00000000003</v>
      </c>
      <c r="AG960" s="474" t="s">
        <v>1071</v>
      </c>
      <c r="AH960" s="474"/>
      <c r="AI960" s="483" t="s">
        <v>2442</v>
      </c>
      <c r="AJ960" s="474" t="s">
        <v>2472</v>
      </c>
      <c r="AK960" s="494" t="s">
        <v>1133</v>
      </c>
      <c r="AL960" s="474">
        <v>85008</v>
      </c>
      <c r="AM960" s="474" t="s">
        <v>52</v>
      </c>
      <c r="AN960" s="474" t="s">
        <v>50</v>
      </c>
      <c r="AO960" s="474"/>
      <c r="AP960" s="486" t="s">
        <v>92</v>
      </c>
      <c r="AQ960" s="486" t="s">
        <v>37</v>
      </c>
      <c r="AR960" s="486"/>
      <c r="AS960" s="495"/>
      <c r="AT960" s="495"/>
      <c r="AU960" s="478"/>
      <c r="AV960" s="471" t="str">
        <f t="shared" si="202"/>
        <v>30390156H</v>
      </c>
      <c r="AW960" s="471" cm="1">
        <f t="array" ref="AW960">SUM(MID(0&amp;AV960,LARGE(INDEX(ISNUMBER(--MID(AV960,ROW($1:$8),1))*ROW($1:$8),),ROW($1:$8))+1,1)*10^ROW($1:$8)/10)</f>
        <v>30390156</v>
      </c>
      <c r="AX960" s="471" t="str">
        <f>VLOOKUP($AW960,'Item Master Data'!$A:$F,3,FALSE)</f>
        <v>Q.PEAK DUO BLK ML G10+</v>
      </c>
      <c r="AY960" s="471">
        <f>VLOOKUP($AW960,'Item Master Data'!$A:$F,6,FALSE)</f>
        <v>400</v>
      </c>
      <c r="AZ960" s="471">
        <f t="shared" si="203"/>
        <v>24</v>
      </c>
      <c r="BA960" s="471">
        <f>VLOOKUP(AW960,'Item Master Data'!$A:$G,7,FALSE)</f>
        <v>32</v>
      </c>
      <c r="BB960" s="471"/>
      <c r="BC960" s="471">
        <f t="shared" si="204"/>
        <v>0</v>
      </c>
    </row>
    <row r="961" spans="1:55">
      <c r="A961" s="436">
        <v>10</v>
      </c>
      <c r="B961" s="514"/>
      <c r="C961" s="514"/>
      <c r="D961" s="485" t="s">
        <v>2322</v>
      </c>
      <c r="E961" s="474"/>
      <c r="F961" s="474"/>
      <c r="G961" s="474">
        <v>2022</v>
      </c>
      <c r="H961" s="474">
        <v>3</v>
      </c>
      <c r="I961" s="485">
        <v>127403</v>
      </c>
      <c r="J961" s="475">
        <v>44642</v>
      </c>
      <c r="K961" s="483" t="s">
        <v>2474</v>
      </c>
      <c r="L961" s="474" t="s">
        <v>2459</v>
      </c>
      <c r="M961" s="487">
        <v>44496</v>
      </c>
      <c r="N961" s="487">
        <v>44640</v>
      </c>
      <c r="O961" s="487"/>
      <c r="P961" s="475">
        <v>44630</v>
      </c>
      <c r="Q961" s="475">
        <v>44642</v>
      </c>
      <c r="R961" s="475">
        <v>44643</v>
      </c>
      <c r="S961" s="474" t="s">
        <v>1563</v>
      </c>
      <c r="T961" s="474">
        <v>60</v>
      </c>
      <c r="U961" s="474" t="s">
        <v>1760</v>
      </c>
      <c r="V961" s="474" t="s">
        <v>973</v>
      </c>
      <c r="W961" s="474">
        <v>400</v>
      </c>
      <c r="X961" s="476">
        <v>768</v>
      </c>
      <c r="Y961" s="491">
        <f t="shared" si="199"/>
        <v>307200</v>
      </c>
      <c r="Z961" s="478">
        <f>222/400</f>
        <v>0.55500000000000005</v>
      </c>
      <c r="AA961" s="479">
        <f t="shared" si="200"/>
        <v>170496.00000000003</v>
      </c>
      <c r="AB961" s="480"/>
      <c r="AC961" s="481">
        <v>0</v>
      </c>
      <c r="AD961" s="490"/>
      <c r="AE961" s="482"/>
      <c r="AF961" s="493">
        <f t="shared" si="201"/>
        <v>170496.00000000003</v>
      </c>
      <c r="AG961" s="474" t="s">
        <v>1071</v>
      </c>
      <c r="AH961" s="474"/>
      <c r="AI961" s="483" t="s">
        <v>2442</v>
      </c>
      <c r="AJ961" s="474" t="s">
        <v>2472</v>
      </c>
      <c r="AK961" s="494" t="s">
        <v>1133</v>
      </c>
      <c r="AL961" s="474">
        <v>85008</v>
      </c>
      <c r="AM961" s="474" t="s">
        <v>52</v>
      </c>
      <c r="AN961" s="474" t="s">
        <v>50</v>
      </c>
      <c r="AO961" s="474"/>
      <c r="AP961" s="486" t="s">
        <v>92</v>
      </c>
      <c r="AQ961" s="486" t="s">
        <v>37</v>
      </c>
      <c r="AR961" s="486"/>
      <c r="AS961" s="495"/>
      <c r="AT961" s="495"/>
      <c r="AU961" s="478"/>
      <c r="AV961" s="471" t="str">
        <f t="shared" si="202"/>
        <v>30390156H</v>
      </c>
      <c r="AW961" s="471" cm="1">
        <f t="array" ref="AW961">SUM(MID(0&amp;AV961,LARGE(INDEX(ISNUMBER(--MID(AV961,ROW($1:$8),1))*ROW($1:$8),),ROW($1:$8))+1,1)*10^ROW($1:$8)/10)</f>
        <v>30390156</v>
      </c>
      <c r="AX961" s="471" t="str">
        <f>VLOOKUP($AW961,'Item Master Data'!$A:$F,3,FALSE)</f>
        <v>Q.PEAK DUO BLK ML G10+</v>
      </c>
      <c r="AY961" s="471">
        <f>VLOOKUP($AW961,'Item Master Data'!$A:$F,6,FALSE)</f>
        <v>400</v>
      </c>
      <c r="AZ961" s="471">
        <f t="shared" si="203"/>
        <v>24</v>
      </c>
      <c r="BA961" s="471">
        <f>VLOOKUP(AW961,'Item Master Data'!$A:$G,7,FALSE)</f>
        <v>32</v>
      </c>
      <c r="BB961" s="471"/>
      <c r="BC961" s="471">
        <f t="shared" si="204"/>
        <v>0</v>
      </c>
    </row>
    <row r="962" spans="1:55">
      <c r="A962" s="472"/>
      <c r="B962" s="514"/>
      <c r="C962" s="514"/>
      <c r="D962" s="485" t="s">
        <v>2322</v>
      </c>
      <c r="E962" s="474"/>
      <c r="F962" s="474"/>
      <c r="G962" s="474">
        <v>2022</v>
      </c>
      <c r="H962" s="474">
        <v>3</v>
      </c>
      <c r="I962" s="485">
        <v>127327</v>
      </c>
      <c r="J962" s="475">
        <v>44622</v>
      </c>
      <c r="K962" s="483" t="s">
        <v>2475</v>
      </c>
      <c r="L962" s="474" t="s">
        <v>2459</v>
      </c>
      <c r="M962" s="487">
        <v>44496</v>
      </c>
      <c r="N962" s="487">
        <v>44599</v>
      </c>
      <c r="O962" s="487"/>
      <c r="P962" s="475">
        <v>44595</v>
      </c>
      <c r="Q962" s="475">
        <v>44622</v>
      </c>
      <c r="R962" s="475">
        <v>44624</v>
      </c>
      <c r="S962" s="474" t="s">
        <v>1563</v>
      </c>
      <c r="T962" s="474">
        <v>60</v>
      </c>
      <c r="U962" s="474">
        <v>49201132</v>
      </c>
      <c r="V962" s="474" t="s">
        <v>986</v>
      </c>
      <c r="W962" s="474">
        <v>360</v>
      </c>
      <c r="X962" s="476">
        <v>832</v>
      </c>
      <c r="Y962" s="491">
        <f t="shared" si="199"/>
        <v>299520</v>
      </c>
      <c r="Z962" s="478">
        <f>181.8/360</f>
        <v>0.505</v>
      </c>
      <c r="AA962" s="479">
        <f t="shared" si="200"/>
        <v>151257.60000000001</v>
      </c>
      <c r="AB962" s="480"/>
      <c r="AC962" s="481">
        <v>0</v>
      </c>
      <c r="AD962" s="490"/>
      <c r="AE962" s="482"/>
      <c r="AF962" s="493">
        <f t="shared" si="201"/>
        <v>151257.60000000001</v>
      </c>
      <c r="AG962" s="474" t="s">
        <v>1071</v>
      </c>
      <c r="AH962" s="474"/>
      <c r="AI962" s="483" t="s">
        <v>2442</v>
      </c>
      <c r="AJ962" s="474" t="s">
        <v>2472</v>
      </c>
      <c r="AK962" s="494" t="s">
        <v>1133</v>
      </c>
      <c r="AL962" s="474">
        <v>85008</v>
      </c>
      <c r="AM962" s="474" t="s">
        <v>52</v>
      </c>
      <c r="AN962" s="474" t="s">
        <v>1074</v>
      </c>
      <c r="AO962" s="474"/>
      <c r="AP962" s="486"/>
      <c r="AQ962" s="486" t="s">
        <v>37</v>
      </c>
      <c r="AR962" s="486"/>
      <c r="AS962" s="495"/>
      <c r="AT962" s="495"/>
      <c r="AU962" s="478"/>
      <c r="AV962" s="471">
        <f t="shared" si="202"/>
        <v>49201132</v>
      </c>
      <c r="AW962" s="471" cm="1">
        <f t="array" ref="AW962">SUM(MID(0&amp;AV962,LARGE(INDEX(ISNUMBER(--MID(AV962,ROW($1:$8),1))*ROW($1:$8),),ROW($1:$8))+1,1)*10^ROW($1:$8)/10)</f>
        <v>49201132</v>
      </c>
      <c r="AX962" s="471" t="str">
        <f>VLOOKUP($AW962,'Item Master Data'!$A:$F,3,FALSE)</f>
        <v>Q.PEAK DUO BLK G10+</v>
      </c>
      <c r="AY962" s="471">
        <f>VLOOKUP($AW962,'Item Master Data'!$A:$F,6,FALSE)</f>
        <v>360</v>
      </c>
      <c r="AZ962" s="471">
        <f t="shared" si="203"/>
        <v>26</v>
      </c>
      <c r="BA962" s="471">
        <f>VLOOKUP(AW962,'Item Master Data'!$A:$G,7,FALSE)</f>
        <v>32</v>
      </c>
      <c r="BB962" s="471"/>
      <c r="BC962" s="471">
        <f t="shared" si="204"/>
        <v>0</v>
      </c>
    </row>
    <row r="963" spans="1:55">
      <c r="A963" s="472"/>
      <c r="B963" s="514"/>
      <c r="C963" s="514"/>
      <c r="D963" s="485" t="s">
        <v>2322</v>
      </c>
      <c r="E963" s="474"/>
      <c r="F963" s="474"/>
      <c r="G963" s="474">
        <v>2022</v>
      </c>
      <c r="H963" s="474">
        <v>5</v>
      </c>
      <c r="I963" s="485"/>
      <c r="J963" s="475"/>
      <c r="K963" s="483" t="s">
        <v>2558</v>
      </c>
      <c r="L963" s="474" t="s">
        <v>2459</v>
      </c>
      <c r="M963" s="487">
        <v>44496</v>
      </c>
      <c r="N963" s="487">
        <v>44627</v>
      </c>
      <c r="O963" s="487"/>
      <c r="P963" s="475">
        <v>44664</v>
      </c>
      <c r="Q963" s="475"/>
      <c r="R963" s="475"/>
      <c r="S963" s="474" t="s">
        <v>1563</v>
      </c>
      <c r="T963" s="474">
        <v>60</v>
      </c>
      <c r="U963" s="474">
        <v>49203132</v>
      </c>
      <c r="V963" s="474" t="s">
        <v>986</v>
      </c>
      <c r="W963" s="474">
        <v>360</v>
      </c>
      <c r="X963" s="476">
        <v>832</v>
      </c>
      <c r="Y963" s="491">
        <f t="shared" si="199"/>
        <v>299520</v>
      </c>
      <c r="Z963" s="478">
        <f>192.6/360</f>
        <v>0.53500000000000003</v>
      </c>
      <c r="AA963" s="479">
        <f t="shared" si="200"/>
        <v>160243.20000000001</v>
      </c>
      <c r="AB963" s="480"/>
      <c r="AC963" s="481">
        <v>0</v>
      </c>
      <c r="AD963" s="490"/>
      <c r="AE963" s="482"/>
      <c r="AF963" s="493">
        <f t="shared" si="201"/>
        <v>160243.20000000001</v>
      </c>
      <c r="AG963" s="474" t="s">
        <v>1071</v>
      </c>
      <c r="AH963" s="474"/>
      <c r="AI963" s="483" t="s">
        <v>2442</v>
      </c>
      <c r="AJ963" s="474" t="s">
        <v>2472</v>
      </c>
      <c r="AK963" s="494" t="s">
        <v>1133</v>
      </c>
      <c r="AL963" s="474">
        <v>85008</v>
      </c>
      <c r="AM963" s="474" t="s">
        <v>52</v>
      </c>
      <c r="AN963" s="474" t="s">
        <v>1106</v>
      </c>
      <c r="AO963" s="474"/>
      <c r="AP963" s="486"/>
      <c r="AQ963" s="486" t="s">
        <v>37</v>
      </c>
      <c r="AR963" s="486"/>
      <c r="AS963" s="495"/>
      <c r="AT963" s="495"/>
      <c r="AU963" s="478"/>
      <c r="AV963" s="471">
        <f t="shared" si="202"/>
        <v>49203132</v>
      </c>
      <c r="AW963" s="471" cm="1">
        <f t="array" ref="AW963">SUM(MID(0&amp;AV963,LARGE(INDEX(ISNUMBER(--MID(AV963,ROW($1:$8),1))*ROW($1:$8),),ROW($1:$8))+1,1)*10^ROW($1:$8)/10)</f>
        <v>49203132</v>
      </c>
      <c r="AX963" s="471" t="str">
        <f>VLOOKUP($AW963,'Item Master Data'!$A:$F,3,FALSE)</f>
        <v>Q.PEAK DUO BLK G10+</v>
      </c>
      <c r="AY963" s="471">
        <f>VLOOKUP($AW963,'Item Master Data'!$A:$F,6,FALSE)</f>
        <v>360</v>
      </c>
      <c r="AZ963" s="471">
        <f t="shared" si="203"/>
        <v>26</v>
      </c>
      <c r="BA963" s="471">
        <f>VLOOKUP(AW963,'Item Master Data'!$A:$G,7,FALSE)</f>
        <v>32</v>
      </c>
      <c r="BB963" s="471"/>
      <c r="BC963" s="471">
        <f t="shared" si="204"/>
        <v>0</v>
      </c>
    </row>
    <row r="964" spans="1:55">
      <c r="A964" s="472"/>
      <c r="B964" s="514"/>
      <c r="C964" s="514"/>
      <c r="D964" s="485" t="s">
        <v>2322</v>
      </c>
      <c r="E964" s="474" t="s">
        <v>50</v>
      </c>
      <c r="F964" s="474"/>
      <c r="G964" s="474">
        <v>2022</v>
      </c>
      <c r="H964" s="474">
        <v>4</v>
      </c>
      <c r="I964" s="485" t="s">
        <v>3023</v>
      </c>
      <c r="J964" s="475">
        <v>44676</v>
      </c>
      <c r="K964" s="483" t="s">
        <v>2557</v>
      </c>
      <c r="L964" s="474" t="s">
        <v>2459</v>
      </c>
      <c r="M964" s="487">
        <v>44496</v>
      </c>
      <c r="N964" s="487">
        <v>44602</v>
      </c>
      <c r="O964" s="487"/>
      <c r="P964" s="475">
        <v>44659</v>
      </c>
      <c r="Q964" s="475">
        <v>44676</v>
      </c>
      <c r="R964" s="475">
        <v>44677</v>
      </c>
      <c r="S964" s="474" t="s">
        <v>1563</v>
      </c>
      <c r="T964" s="474">
        <v>60</v>
      </c>
      <c r="U964" s="474" t="s">
        <v>1760</v>
      </c>
      <c r="V964" s="474" t="s">
        <v>973</v>
      </c>
      <c r="W964" s="474">
        <v>400</v>
      </c>
      <c r="X964" s="476">
        <v>768</v>
      </c>
      <c r="Y964" s="477">
        <f t="shared" si="199"/>
        <v>307200</v>
      </c>
      <c r="Z964" s="478">
        <f>222/400</f>
        <v>0.55500000000000005</v>
      </c>
      <c r="AA964" s="479">
        <f t="shared" si="200"/>
        <v>170496.00000000003</v>
      </c>
      <c r="AB964" s="480"/>
      <c r="AC964" s="481">
        <v>0</v>
      </c>
      <c r="AD964" s="490"/>
      <c r="AE964" s="482"/>
      <c r="AF964" s="493">
        <f t="shared" si="201"/>
        <v>170496.00000000003</v>
      </c>
      <c r="AG964" s="474" t="s">
        <v>1071</v>
      </c>
      <c r="AH964" s="474"/>
      <c r="AI964" s="483" t="s">
        <v>2442</v>
      </c>
      <c r="AJ964" s="474" t="s">
        <v>2472</v>
      </c>
      <c r="AK964" s="494" t="s">
        <v>1133</v>
      </c>
      <c r="AL964" s="474">
        <v>85008</v>
      </c>
      <c r="AM964" s="474" t="s">
        <v>52</v>
      </c>
      <c r="AN964" s="474" t="s">
        <v>50</v>
      </c>
      <c r="AO964" s="474"/>
      <c r="AP964" s="486" t="s">
        <v>38</v>
      </c>
      <c r="AQ964" s="486" t="s">
        <v>37</v>
      </c>
      <c r="AR964" s="486"/>
      <c r="AS964" s="495"/>
      <c r="AT964" s="495"/>
      <c r="AU964" s="478"/>
      <c r="AV964" s="471" t="str">
        <f t="shared" si="202"/>
        <v>30390156H</v>
      </c>
      <c r="AW964" s="471" cm="1">
        <f t="array" ref="AW964">SUM(MID(0&amp;AV964,LARGE(INDEX(ISNUMBER(--MID(AV964,ROW($1:$8),1))*ROW($1:$8),),ROW($1:$8))+1,1)*10^ROW($1:$8)/10)</f>
        <v>30390156</v>
      </c>
      <c r="AX964" s="471" t="str">
        <f>VLOOKUP($AW964,'Item Master Data'!$A:$F,3,FALSE)</f>
        <v>Q.PEAK DUO BLK ML G10+</v>
      </c>
      <c r="AY964" s="471">
        <f>VLOOKUP($AW964,'Item Master Data'!$A:$F,6,FALSE)</f>
        <v>400</v>
      </c>
      <c r="AZ964" s="471">
        <f t="shared" si="203"/>
        <v>24</v>
      </c>
      <c r="BA964" s="471">
        <f>VLOOKUP(AW964,'Item Master Data'!$A:$G,7,FALSE)</f>
        <v>32</v>
      </c>
      <c r="BB964" s="471"/>
      <c r="BC964" s="471">
        <f t="shared" si="204"/>
        <v>0</v>
      </c>
    </row>
    <row r="965" spans="1:55">
      <c r="A965" s="472"/>
      <c r="B965" s="514">
        <v>44557</v>
      </c>
      <c r="C965" s="449">
        <v>44658</v>
      </c>
      <c r="D965" s="485" t="s">
        <v>2322</v>
      </c>
      <c r="E965" s="474"/>
      <c r="F965" s="474"/>
      <c r="G965" s="474">
        <v>2022</v>
      </c>
      <c r="H965" s="474">
        <v>4</v>
      </c>
      <c r="I965" s="485">
        <v>128063</v>
      </c>
      <c r="J965" s="475">
        <v>44669</v>
      </c>
      <c r="K965" s="483" t="s">
        <v>2577</v>
      </c>
      <c r="L965" s="474" t="s">
        <v>2459</v>
      </c>
      <c r="M965" s="487">
        <v>44505</v>
      </c>
      <c r="N965" s="487">
        <v>44656</v>
      </c>
      <c r="O965" s="487"/>
      <c r="P965" s="475">
        <v>44659</v>
      </c>
      <c r="Q965" s="475">
        <v>44669</v>
      </c>
      <c r="R965" s="475">
        <v>44670</v>
      </c>
      <c r="S965" s="474" t="s">
        <v>1563</v>
      </c>
      <c r="T965" s="474">
        <v>60</v>
      </c>
      <c r="U965" s="474" t="s">
        <v>1760</v>
      </c>
      <c r="V965" s="474" t="s">
        <v>973</v>
      </c>
      <c r="W965" s="474">
        <v>400</v>
      </c>
      <c r="X965" s="476">
        <v>768</v>
      </c>
      <c r="Y965" s="477">
        <v>307200</v>
      </c>
      <c r="Z965" s="478">
        <v>0.55500000000000005</v>
      </c>
      <c r="AA965" s="492">
        <v>170496.00000000003</v>
      </c>
      <c r="AB965" s="480"/>
      <c r="AC965" s="481">
        <v>0</v>
      </c>
      <c r="AD965" s="490"/>
      <c r="AE965" s="482"/>
      <c r="AF965" s="493">
        <v>170496.00000000003</v>
      </c>
      <c r="AG965" s="474" t="s">
        <v>1071</v>
      </c>
      <c r="AH965" s="474"/>
      <c r="AI965" s="483" t="s">
        <v>2442</v>
      </c>
      <c r="AJ965" s="474" t="s">
        <v>2472</v>
      </c>
      <c r="AK965" s="494" t="s">
        <v>1133</v>
      </c>
      <c r="AL965" s="474" t="s">
        <v>2578</v>
      </c>
      <c r="AM965" s="474" t="s">
        <v>52</v>
      </c>
      <c r="AN965" s="474" t="s">
        <v>50</v>
      </c>
      <c r="AO965" s="474"/>
      <c r="AP965" s="486" t="s">
        <v>38</v>
      </c>
      <c r="AQ965" s="486" t="s">
        <v>37</v>
      </c>
      <c r="AR965" s="486"/>
      <c r="AS965" s="495"/>
      <c r="AT965" s="495"/>
      <c r="AU965" s="478"/>
      <c r="AV965" s="471" t="str">
        <f t="shared" si="202"/>
        <v>30390156H</v>
      </c>
      <c r="AW965" s="471" cm="1">
        <f t="array" ref="AW965">SUM(MID(0&amp;AV965,LARGE(INDEX(ISNUMBER(--MID(AV965,ROW($1:$8),1))*ROW($1:$8),),ROW($1:$8))+1,1)*10^ROW($1:$8)/10)</f>
        <v>30390156</v>
      </c>
      <c r="AX965" s="471" t="str">
        <f>VLOOKUP($AW965,'Item Master Data'!$A:$F,3,FALSE)</f>
        <v>Q.PEAK DUO BLK ML G10+</v>
      </c>
      <c r="AY965" s="471">
        <f>VLOOKUP($AW965,'Item Master Data'!$A:$F,6,FALSE)</f>
        <v>400</v>
      </c>
      <c r="AZ965" s="471">
        <f t="shared" si="203"/>
        <v>24</v>
      </c>
      <c r="BA965" s="471">
        <f>VLOOKUP(AW965,'Item Master Data'!$A:$G,7,FALSE)</f>
        <v>32</v>
      </c>
      <c r="BB965" s="471"/>
      <c r="BC965" s="471">
        <f t="shared" si="204"/>
        <v>0</v>
      </c>
    </row>
    <row r="966" spans="1:55">
      <c r="A966" s="472"/>
      <c r="B966" s="514">
        <v>44522</v>
      </c>
      <c r="C966" s="449">
        <v>44658</v>
      </c>
      <c r="D966" s="485" t="s">
        <v>2322</v>
      </c>
      <c r="E966" s="474"/>
      <c r="F966" s="474"/>
      <c r="G966" s="474">
        <v>2022</v>
      </c>
      <c r="H966" s="474">
        <v>4</v>
      </c>
      <c r="I966" s="485">
        <v>128167</v>
      </c>
      <c r="J966" s="475">
        <v>44673</v>
      </c>
      <c r="K966" s="483" t="s">
        <v>2579</v>
      </c>
      <c r="L966" s="474" t="s">
        <v>2459</v>
      </c>
      <c r="M966" s="487">
        <v>44505</v>
      </c>
      <c r="N966" s="487">
        <v>44658</v>
      </c>
      <c r="O966" s="487"/>
      <c r="P966" s="475">
        <v>44659</v>
      </c>
      <c r="Q966" s="475">
        <v>44673</v>
      </c>
      <c r="R966" s="475">
        <v>44676</v>
      </c>
      <c r="S966" s="474" t="s">
        <v>1563</v>
      </c>
      <c r="T966" s="474">
        <v>60</v>
      </c>
      <c r="U966" s="474" t="s">
        <v>1281</v>
      </c>
      <c r="V966" s="474" t="s">
        <v>973</v>
      </c>
      <c r="W966" s="474">
        <v>400</v>
      </c>
      <c r="X966" s="476">
        <v>768</v>
      </c>
      <c r="Y966" s="477">
        <v>307200</v>
      </c>
      <c r="Z966" s="478">
        <v>0.55500000000000005</v>
      </c>
      <c r="AA966" s="492">
        <v>170496.00000000003</v>
      </c>
      <c r="AB966" s="480"/>
      <c r="AC966" s="481">
        <v>0</v>
      </c>
      <c r="AD966" s="490"/>
      <c r="AE966" s="482"/>
      <c r="AF966" s="493">
        <v>170496.00000000003</v>
      </c>
      <c r="AG966" s="474" t="s">
        <v>1071</v>
      </c>
      <c r="AH966" s="474"/>
      <c r="AI966" s="483" t="s">
        <v>2442</v>
      </c>
      <c r="AJ966" s="474" t="s">
        <v>2472</v>
      </c>
      <c r="AK966" s="494" t="s">
        <v>1133</v>
      </c>
      <c r="AL966" s="474" t="s">
        <v>2578</v>
      </c>
      <c r="AM966" s="474" t="s">
        <v>52</v>
      </c>
      <c r="AN966" s="474" t="s">
        <v>50</v>
      </c>
      <c r="AO966" s="474"/>
      <c r="AP966" s="486" t="s">
        <v>38</v>
      </c>
      <c r="AQ966" s="486" t="s">
        <v>37</v>
      </c>
      <c r="AR966" s="486"/>
      <c r="AS966" s="495"/>
      <c r="AT966" s="495"/>
      <c r="AU966" s="478"/>
      <c r="AV966" s="471" t="str">
        <f t="shared" si="202"/>
        <v>30390456H</v>
      </c>
      <c r="AW966" s="471" cm="1">
        <f t="array" ref="AW966">SUM(MID(0&amp;AV966,LARGE(INDEX(ISNUMBER(--MID(AV966,ROW($1:$8),1))*ROW($1:$8),),ROW($1:$8))+1,1)*10^ROW($1:$8)/10)</f>
        <v>30390456</v>
      </c>
      <c r="AX966" s="471" t="str">
        <f>VLOOKUP($AW966,'Item Master Data'!$A:$F,3,FALSE)</f>
        <v>Q.PEAK DUO BLK ML G10+</v>
      </c>
      <c r="AY966" s="471">
        <f>VLOOKUP($AW966,'Item Master Data'!$A:$F,6,FALSE)</f>
        <v>400</v>
      </c>
      <c r="AZ966" s="471">
        <f t="shared" si="203"/>
        <v>24</v>
      </c>
      <c r="BA966" s="471">
        <f>VLOOKUP(AW966,'Item Master Data'!$A:$G,7,FALSE)</f>
        <v>32</v>
      </c>
      <c r="BB966" s="471"/>
      <c r="BC966" s="471">
        <f t="shared" si="204"/>
        <v>0</v>
      </c>
    </row>
    <row r="967" spans="1:55">
      <c r="A967" s="472"/>
      <c r="B967" s="514">
        <v>44522</v>
      </c>
      <c r="C967" s="514"/>
      <c r="D967" s="485" t="s">
        <v>2322</v>
      </c>
      <c r="E967" s="474" t="s">
        <v>2726</v>
      </c>
      <c r="F967" s="474"/>
      <c r="G967" s="474">
        <v>2022</v>
      </c>
      <c r="H967" s="474">
        <v>5</v>
      </c>
      <c r="I967" s="485"/>
      <c r="J967" s="475"/>
      <c r="K967" s="654" t="s">
        <v>2800</v>
      </c>
      <c r="L967" s="474" t="s">
        <v>2459</v>
      </c>
      <c r="M967" s="487">
        <v>44505</v>
      </c>
      <c r="N967" s="487">
        <v>44700</v>
      </c>
      <c r="O967" s="487"/>
      <c r="P967" s="475"/>
      <c r="Q967" s="475"/>
      <c r="R967" s="475"/>
      <c r="S967" s="474" t="s">
        <v>1563</v>
      </c>
      <c r="T967" s="474">
        <v>60</v>
      </c>
      <c r="U967" s="474">
        <v>49401140</v>
      </c>
      <c r="V967" s="474" t="s">
        <v>973</v>
      </c>
      <c r="W967" s="474">
        <v>400</v>
      </c>
      <c r="X967" s="476">
        <v>768</v>
      </c>
      <c r="Y967" s="477">
        <v>307200</v>
      </c>
      <c r="Z967" s="478">
        <v>0.55500000000000005</v>
      </c>
      <c r="AA967" s="479">
        <v>170496.00000000003</v>
      </c>
      <c r="AB967" s="480"/>
      <c r="AC967" s="481">
        <v>0</v>
      </c>
      <c r="AD967" s="490"/>
      <c r="AE967" s="482"/>
      <c r="AF967" s="493">
        <v>170496.00000000003</v>
      </c>
      <c r="AG967" s="474" t="s">
        <v>1071</v>
      </c>
      <c r="AH967" s="474"/>
      <c r="AI967" s="483" t="s">
        <v>2442</v>
      </c>
      <c r="AJ967" s="474" t="s">
        <v>1777</v>
      </c>
      <c r="AK967" s="494" t="s">
        <v>50</v>
      </c>
      <c r="AL967" s="474" t="s">
        <v>1990</v>
      </c>
      <c r="AM967" s="474" t="s">
        <v>52</v>
      </c>
      <c r="AN967" s="474"/>
      <c r="AO967" s="474"/>
      <c r="AP967" s="486"/>
      <c r="AQ967" s="486" t="s">
        <v>37</v>
      </c>
      <c r="AR967" s="486"/>
      <c r="AS967" s="495"/>
      <c r="AT967" s="495"/>
      <c r="AU967" s="478"/>
      <c r="AV967" s="471">
        <f t="shared" si="202"/>
        <v>49401140</v>
      </c>
      <c r="AW967" s="471" cm="1">
        <f t="array" ref="AW967">SUM(MID(0&amp;AV967,LARGE(INDEX(ISNUMBER(--MID(AV967,ROW($1:$8),1))*ROW($1:$8),),ROW($1:$8))+1,1)*10^ROW($1:$8)/10)</f>
        <v>49401140</v>
      </c>
      <c r="AX967" s="471" t="str">
        <f>VLOOKUP($AW967,'Item Master Data'!$A:$F,3,FALSE)</f>
        <v>Q.PEAK DUO BLK ML G10.a+</v>
      </c>
      <c r="AY967" s="471">
        <f>VLOOKUP($AW967,'Item Master Data'!$A:$F,6,FALSE)</f>
        <v>400</v>
      </c>
      <c r="AZ967" s="471">
        <f t="shared" si="203"/>
        <v>24</v>
      </c>
      <c r="BA967" s="471">
        <f>VLOOKUP(AW967,'Item Master Data'!$A:$G,7,FALSE)</f>
        <v>32</v>
      </c>
      <c r="BB967" s="471"/>
      <c r="BC967" s="471">
        <f t="shared" si="204"/>
        <v>0</v>
      </c>
    </row>
    <row r="968" spans="1:55">
      <c r="A968" s="472"/>
      <c r="B968" s="514">
        <v>44557</v>
      </c>
      <c r="C968" s="514"/>
      <c r="D968" s="485" t="s">
        <v>2322</v>
      </c>
      <c r="E968" s="474" t="s">
        <v>2726</v>
      </c>
      <c r="F968" s="474"/>
      <c r="G968" s="474">
        <v>2022</v>
      </c>
      <c r="H968" s="474">
        <v>5</v>
      </c>
      <c r="I968" s="485"/>
      <c r="J968" s="475"/>
      <c r="K968" s="654" t="s">
        <v>2768</v>
      </c>
      <c r="L968" s="474" t="s">
        <v>2459</v>
      </c>
      <c r="M968" s="487">
        <v>44505</v>
      </c>
      <c r="N968" s="487">
        <v>44682</v>
      </c>
      <c r="O968" s="487"/>
      <c r="P968" s="475"/>
      <c r="Q968" s="475"/>
      <c r="R968" s="475"/>
      <c r="S968" s="474" t="s">
        <v>1563</v>
      </c>
      <c r="T968" s="474">
        <v>60</v>
      </c>
      <c r="U968" s="474">
        <v>49401140</v>
      </c>
      <c r="V968" s="474" t="s">
        <v>973</v>
      </c>
      <c r="W968" s="474">
        <v>400</v>
      </c>
      <c r="X968" s="476">
        <v>768</v>
      </c>
      <c r="Y968" s="477">
        <v>307200</v>
      </c>
      <c r="Z968" s="478">
        <v>0.55500000000000005</v>
      </c>
      <c r="AA968" s="479">
        <v>170496.00000000003</v>
      </c>
      <c r="AB968" s="480"/>
      <c r="AC968" s="481"/>
      <c r="AD968" s="490"/>
      <c r="AE968" s="482"/>
      <c r="AF968" s="493">
        <v>170496.00000000003</v>
      </c>
      <c r="AG968" s="474" t="s">
        <v>1071</v>
      </c>
      <c r="AH968" s="474"/>
      <c r="AI968" s="483" t="s">
        <v>2442</v>
      </c>
      <c r="AJ968" s="474" t="s">
        <v>2472</v>
      </c>
      <c r="AK968" s="494" t="s">
        <v>1133</v>
      </c>
      <c r="AL968" s="474" t="s">
        <v>2578</v>
      </c>
      <c r="AM968" s="474" t="s">
        <v>52</v>
      </c>
      <c r="AN968" s="474"/>
      <c r="AO968" s="474"/>
      <c r="AP968" s="486"/>
      <c r="AQ968" s="486" t="s">
        <v>37</v>
      </c>
      <c r="AR968" s="486"/>
      <c r="AS968" s="495"/>
      <c r="AT968" s="495"/>
      <c r="AU968" s="478"/>
      <c r="AV968" s="471">
        <f t="shared" si="202"/>
        <v>49401140</v>
      </c>
      <c r="AW968" s="471" cm="1">
        <f t="array" ref="AW968">SUM(MID(0&amp;AV968,LARGE(INDEX(ISNUMBER(--MID(AV968,ROW($1:$8),1))*ROW($1:$8),),ROW($1:$8))+1,1)*10^ROW($1:$8)/10)</f>
        <v>49401140</v>
      </c>
      <c r="AX968" s="471" t="str">
        <f>VLOOKUP($AW968,'Item Master Data'!$A:$F,3,FALSE)</f>
        <v>Q.PEAK DUO BLK ML G10.a+</v>
      </c>
      <c r="AY968" s="471">
        <f>VLOOKUP($AW968,'Item Master Data'!$A:$F,6,FALSE)</f>
        <v>400</v>
      </c>
      <c r="AZ968" s="471">
        <f t="shared" si="203"/>
        <v>24</v>
      </c>
      <c r="BA968" s="471">
        <f>VLOOKUP(AW968,'Item Master Data'!$A:$G,7,FALSE)</f>
        <v>32</v>
      </c>
      <c r="BB968" s="471"/>
      <c r="BC968" s="471">
        <f t="shared" si="204"/>
        <v>0</v>
      </c>
    </row>
    <row r="969" spans="1:55">
      <c r="A969" s="472"/>
      <c r="B969" s="514">
        <v>44522</v>
      </c>
      <c r="C969" s="514"/>
      <c r="D969" s="485" t="s">
        <v>2322</v>
      </c>
      <c r="E969" s="474" t="s">
        <v>2726</v>
      </c>
      <c r="F969" s="474"/>
      <c r="G969" s="474">
        <v>2022</v>
      </c>
      <c r="H969" s="474">
        <v>5</v>
      </c>
      <c r="I969" s="485"/>
      <c r="J969" s="475"/>
      <c r="K969" s="654" t="s">
        <v>2769</v>
      </c>
      <c r="L969" s="474" t="s">
        <v>2459</v>
      </c>
      <c r="M969" s="487">
        <v>44505</v>
      </c>
      <c r="N969" s="487">
        <v>44687</v>
      </c>
      <c r="O969" s="487"/>
      <c r="P969" s="475"/>
      <c r="Q969" s="475"/>
      <c r="R969" s="475"/>
      <c r="S969" s="474" t="s">
        <v>1563</v>
      </c>
      <c r="T969" s="474">
        <v>60</v>
      </c>
      <c r="U969" s="474">
        <v>49401140</v>
      </c>
      <c r="V969" s="474" t="s">
        <v>973</v>
      </c>
      <c r="W969" s="474">
        <v>400</v>
      </c>
      <c r="X969" s="476">
        <v>768</v>
      </c>
      <c r="Y969" s="477">
        <v>307200</v>
      </c>
      <c r="Z969" s="478">
        <v>0.55500000000000005</v>
      </c>
      <c r="AA969" s="479">
        <v>170496.00000000003</v>
      </c>
      <c r="AB969" s="480"/>
      <c r="AC969" s="481">
        <v>0</v>
      </c>
      <c r="AD969" s="490"/>
      <c r="AE969" s="482"/>
      <c r="AF969" s="493">
        <v>170496.00000000003</v>
      </c>
      <c r="AG969" s="474" t="s">
        <v>1071</v>
      </c>
      <c r="AH969" s="474"/>
      <c r="AI969" s="483" t="s">
        <v>2442</v>
      </c>
      <c r="AJ969" s="474" t="s">
        <v>2472</v>
      </c>
      <c r="AK969" s="494" t="s">
        <v>1133</v>
      </c>
      <c r="AL969" s="474" t="s">
        <v>2578</v>
      </c>
      <c r="AM969" s="474" t="s">
        <v>52</v>
      </c>
      <c r="AN969" s="474"/>
      <c r="AO969" s="474"/>
      <c r="AP969" s="486"/>
      <c r="AQ969" s="486" t="s">
        <v>37</v>
      </c>
      <c r="AR969" s="486"/>
      <c r="AS969" s="495"/>
      <c r="AT969" s="495"/>
      <c r="AU969" s="478"/>
      <c r="AV969" s="471">
        <f t="shared" si="202"/>
        <v>49401140</v>
      </c>
      <c r="AW969" s="471" cm="1">
        <f t="array" ref="AW969">SUM(MID(0&amp;AV969,LARGE(INDEX(ISNUMBER(--MID(AV969,ROW($1:$8),1))*ROW($1:$8),),ROW($1:$8))+1,1)*10^ROW($1:$8)/10)</f>
        <v>49401140</v>
      </c>
      <c r="AX969" s="471" t="str">
        <f>VLOOKUP($AW969,'Item Master Data'!$A:$F,3,FALSE)</f>
        <v>Q.PEAK DUO BLK ML G10.a+</v>
      </c>
      <c r="AY969" s="471">
        <f>VLOOKUP($AW969,'Item Master Data'!$A:$F,6,FALSE)</f>
        <v>400</v>
      </c>
      <c r="AZ969" s="471">
        <f t="shared" si="203"/>
        <v>24</v>
      </c>
      <c r="BA969" s="471">
        <f>VLOOKUP(AW969,'Item Master Data'!$A:$G,7,FALSE)</f>
        <v>32</v>
      </c>
      <c r="BB969" s="471"/>
      <c r="BC969" s="471">
        <f t="shared" si="204"/>
        <v>0</v>
      </c>
    </row>
    <row r="970" spans="1:55">
      <c r="A970" s="472"/>
      <c r="B970" s="514">
        <v>44522</v>
      </c>
      <c r="C970" s="514"/>
      <c r="D970" s="485" t="s">
        <v>2322</v>
      </c>
      <c r="E970" s="474" t="s">
        <v>2726</v>
      </c>
      <c r="F970" s="474"/>
      <c r="G970" s="474">
        <v>2022</v>
      </c>
      <c r="H970" s="474">
        <v>5</v>
      </c>
      <c r="I970" s="485"/>
      <c r="J970" s="475"/>
      <c r="K970" s="654" t="s">
        <v>2770</v>
      </c>
      <c r="L970" s="474" t="s">
        <v>2459</v>
      </c>
      <c r="M970" s="487">
        <v>44505</v>
      </c>
      <c r="N970" s="487">
        <v>44691</v>
      </c>
      <c r="O970" s="487"/>
      <c r="P970" s="475"/>
      <c r="Q970" s="475"/>
      <c r="R970" s="475"/>
      <c r="S970" s="474" t="s">
        <v>1563</v>
      </c>
      <c r="T970" s="474">
        <v>60</v>
      </c>
      <c r="U970" s="474">
        <v>49401140</v>
      </c>
      <c r="V970" s="474" t="s">
        <v>973</v>
      </c>
      <c r="W970" s="474">
        <v>400</v>
      </c>
      <c r="X970" s="476">
        <v>768</v>
      </c>
      <c r="Y970" s="477">
        <v>307200</v>
      </c>
      <c r="Z970" s="478">
        <v>0.55500000000000005</v>
      </c>
      <c r="AA970" s="479">
        <v>170496.00000000003</v>
      </c>
      <c r="AB970" s="480"/>
      <c r="AC970" s="481">
        <v>0</v>
      </c>
      <c r="AD970" s="490"/>
      <c r="AE970" s="482"/>
      <c r="AF970" s="493">
        <v>170496.00000000003</v>
      </c>
      <c r="AG970" s="474" t="s">
        <v>1071</v>
      </c>
      <c r="AH970" s="474"/>
      <c r="AI970" s="483" t="s">
        <v>2442</v>
      </c>
      <c r="AJ970" s="474" t="s">
        <v>2472</v>
      </c>
      <c r="AK970" s="494" t="s">
        <v>1133</v>
      </c>
      <c r="AL970" s="474" t="s">
        <v>2578</v>
      </c>
      <c r="AM970" s="474" t="s">
        <v>52</v>
      </c>
      <c r="AN970" s="474"/>
      <c r="AO970" s="474"/>
      <c r="AP970" s="486"/>
      <c r="AQ970" s="486" t="s">
        <v>37</v>
      </c>
      <c r="AR970" s="486"/>
      <c r="AS970" s="495"/>
      <c r="AT970" s="495"/>
      <c r="AU970" s="478"/>
      <c r="AV970" s="471">
        <f t="shared" si="202"/>
        <v>49401140</v>
      </c>
      <c r="AW970" s="471" cm="1">
        <f t="array" ref="AW970">SUM(MID(0&amp;AV970,LARGE(INDEX(ISNUMBER(--MID(AV970,ROW($1:$8),1))*ROW($1:$8),),ROW($1:$8))+1,1)*10^ROW($1:$8)/10)</f>
        <v>49401140</v>
      </c>
      <c r="AX970" s="471" t="str">
        <f>VLOOKUP($AW970,'Item Master Data'!$A:$F,3,FALSE)</f>
        <v>Q.PEAK DUO BLK ML G10.a+</v>
      </c>
      <c r="AY970" s="471">
        <f>VLOOKUP($AW970,'Item Master Data'!$A:$F,6,FALSE)</f>
        <v>400</v>
      </c>
      <c r="AZ970" s="471">
        <f t="shared" si="203"/>
        <v>24</v>
      </c>
      <c r="BA970" s="471">
        <f>VLOOKUP(AW970,'Item Master Data'!$A:$G,7,FALSE)</f>
        <v>32</v>
      </c>
      <c r="BB970" s="471"/>
      <c r="BC970" s="471">
        <f t="shared" si="204"/>
        <v>0</v>
      </c>
    </row>
    <row r="971" spans="1:55">
      <c r="A971" s="472"/>
      <c r="B971" s="514">
        <v>44522</v>
      </c>
      <c r="C971" s="514"/>
      <c r="D971" s="485" t="s">
        <v>2322</v>
      </c>
      <c r="E971" s="474" t="s">
        <v>2726</v>
      </c>
      <c r="F971" s="474"/>
      <c r="G971" s="474">
        <v>2022</v>
      </c>
      <c r="H971" s="474">
        <v>9</v>
      </c>
      <c r="I971" s="485"/>
      <c r="J971" s="475"/>
      <c r="K971" s="483" t="s">
        <v>2803</v>
      </c>
      <c r="L971" s="474" t="s">
        <v>2459</v>
      </c>
      <c r="M971" s="487">
        <v>44505</v>
      </c>
      <c r="N971" s="487">
        <v>44718</v>
      </c>
      <c r="O971" s="487"/>
      <c r="P971" s="475"/>
      <c r="Q971" s="475"/>
      <c r="R971" s="475"/>
      <c r="S971" s="474" t="s">
        <v>1563</v>
      </c>
      <c r="T971" s="474">
        <v>60</v>
      </c>
      <c r="U971" s="474">
        <v>49401140</v>
      </c>
      <c r="V971" s="474" t="s">
        <v>2482</v>
      </c>
      <c r="W971" s="474">
        <v>400</v>
      </c>
      <c r="X971" s="476">
        <v>768</v>
      </c>
      <c r="Y971" s="477">
        <v>307200</v>
      </c>
      <c r="Z971" s="478">
        <v>0.55500000000000005</v>
      </c>
      <c r="AA971" s="479">
        <v>170496.00000000003</v>
      </c>
      <c r="AB971" s="480"/>
      <c r="AC971" s="481">
        <v>0</v>
      </c>
      <c r="AD971" s="490"/>
      <c r="AE971" s="482"/>
      <c r="AF971" s="493">
        <v>170496.00000000003</v>
      </c>
      <c r="AG971" s="474" t="s">
        <v>1071</v>
      </c>
      <c r="AH971" s="474"/>
      <c r="AI971" s="483" t="s">
        <v>2442</v>
      </c>
      <c r="AJ971" s="474" t="s">
        <v>2472</v>
      </c>
      <c r="AK971" s="494" t="s">
        <v>1133</v>
      </c>
      <c r="AL971" s="474" t="s">
        <v>2578</v>
      </c>
      <c r="AM971" s="474" t="s">
        <v>52</v>
      </c>
      <c r="AN971" s="474"/>
      <c r="AO971" s="474"/>
      <c r="AP971" s="486"/>
      <c r="AQ971" s="486" t="s">
        <v>37</v>
      </c>
      <c r="AR971" s="486"/>
      <c r="AS971" s="495"/>
      <c r="AT971" s="495"/>
      <c r="AU971" s="478"/>
      <c r="AV971" s="471">
        <f t="shared" si="202"/>
        <v>49401140</v>
      </c>
      <c r="AW971" s="471" cm="1">
        <f t="array" ref="AW971">SUM(MID(0&amp;AV971,LARGE(INDEX(ISNUMBER(--MID(AV971,ROW($1:$8),1))*ROW($1:$8),),ROW($1:$8))+1,1)*10^ROW($1:$8)/10)</f>
        <v>49401140</v>
      </c>
      <c r="AX971" s="471" t="str">
        <f>VLOOKUP($AW971,'Item Master Data'!$A:$F,3,FALSE)</f>
        <v>Q.PEAK DUO BLK ML G10.a+</v>
      </c>
      <c r="AY971" s="471">
        <f>VLOOKUP($AW971,'Item Master Data'!$A:$F,6,FALSE)</f>
        <v>400</v>
      </c>
      <c r="AZ971" s="471">
        <f t="shared" si="203"/>
        <v>24</v>
      </c>
      <c r="BA971" s="471">
        <f>VLOOKUP(AW971,'Item Master Data'!$A:$G,7,FALSE)</f>
        <v>32</v>
      </c>
      <c r="BB971" s="471"/>
      <c r="BC971" s="471">
        <f t="shared" si="204"/>
        <v>0</v>
      </c>
    </row>
    <row r="972" spans="1:55">
      <c r="A972" s="472"/>
      <c r="B972" s="514"/>
      <c r="C972" s="514"/>
      <c r="D972" s="485" t="s">
        <v>2322</v>
      </c>
      <c r="E972" s="474" t="s">
        <v>1283</v>
      </c>
      <c r="F972" s="474"/>
      <c r="G972" s="474">
        <v>2022</v>
      </c>
      <c r="H972" s="474">
        <v>11</v>
      </c>
      <c r="I972" s="485"/>
      <c r="J972" s="475"/>
      <c r="K972" s="483" t="s">
        <v>2864</v>
      </c>
      <c r="L972" s="474" t="s">
        <v>2459</v>
      </c>
      <c r="M972" s="487">
        <v>44505</v>
      </c>
      <c r="N972" s="487">
        <v>44727</v>
      </c>
      <c r="O972" s="487"/>
      <c r="P972" s="475"/>
      <c r="Q972" s="475"/>
      <c r="R972" s="475"/>
      <c r="S972" s="474" t="s">
        <v>1563</v>
      </c>
      <c r="T972" s="474">
        <v>60</v>
      </c>
      <c r="U972" s="474">
        <v>49401140</v>
      </c>
      <c r="V972" s="474" t="s">
        <v>973</v>
      </c>
      <c r="W972" s="474">
        <v>400</v>
      </c>
      <c r="X972" s="476">
        <v>768</v>
      </c>
      <c r="Y972" s="477">
        <f>X972*W972</f>
        <v>307200</v>
      </c>
      <c r="Z972" s="478">
        <f>222/400</f>
        <v>0.55500000000000005</v>
      </c>
      <c r="AA972" s="479">
        <f>Z972*Y972</f>
        <v>170496.00000000003</v>
      </c>
      <c r="AB972" s="480"/>
      <c r="AC972" s="481">
        <v>0</v>
      </c>
      <c r="AD972" s="490"/>
      <c r="AE972" s="482"/>
      <c r="AF972" s="493">
        <f>AA972+AE972</f>
        <v>170496.00000000003</v>
      </c>
      <c r="AG972" s="474" t="s">
        <v>1071</v>
      </c>
      <c r="AH972" s="474"/>
      <c r="AI972" s="483" t="s">
        <v>2442</v>
      </c>
      <c r="AJ972" s="474" t="s">
        <v>2472</v>
      </c>
      <c r="AK972" s="494" t="s">
        <v>1133</v>
      </c>
      <c r="AL972" s="474">
        <v>85008</v>
      </c>
      <c r="AM972" s="474" t="s">
        <v>52</v>
      </c>
      <c r="AN972" s="474"/>
      <c r="AO972" s="474"/>
      <c r="AP972" s="486"/>
      <c r="AQ972" s="486" t="s">
        <v>37</v>
      </c>
      <c r="AR972" s="486"/>
      <c r="AS972" s="495"/>
      <c r="AT972" s="495"/>
      <c r="AU972" s="478"/>
      <c r="AV972" s="471">
        <f t="shared" si="202"/>
        <v>49401140</v>
      </c>
      <c r="AW972" s="471" cm="1">
        <f t="array" ref="AW972">SUM(MID(0&amp;AV972,LARGE(INDEX(ISNUMBER(--MID(AV972,ROW($1:$8),1))*ROW($1:$8),),ROW($1:$8))+1,1)*10^ROW($1:$8)/10)</f>
        <v>49401140</v>
      </c>
      <c r="AX972" s="471" t="str">
        <f>VLOOKUP($AW972,'Item Master Data'!$A:$F,3,FALSE)</f>
        <v>Q.PEAK DUO BLK ML G10.a+</v>
      </c>
      <c r="AY972" s="471">
        <f>VLOOKUP($AW972,'Item Master Data'!$A:$F,6,FALSE)</f>
        <v>400</v>
      </c>
      <c r="AZ972" s="471">
        <f t="shared" si="203"/>
        <v>24</v>
      </c>
      <c r="BA972" s="471">
        <f>VLOOKUP(AW972,'Item Master Data'!$A:$G,7,FALSE)</f>
        <v>32</v>
      </c>
      <c r="BB972" s="471"/>
      <c r="BC972" s="471">
        <f t="shared" si="204"/>
        <v>0</v>
      </c>
    </row>
    <row r="973" spans="1:55">
      <c r="A973" s="472"/>
      <c r="B973" s="514"/>
      <c r="C973" s="514"/>
      <c r="D973" s="485" t="s">
        <v>2322</v>
      </c>
      <c r="E973" s="474"/>
      <c r="F973" s="474"/>
      <c r="G973" s="474">
        <v>2022</v>
      </c>
      <c r="H973" s="474">
        <v>6</v>
      </c>
      <c r="I973" s="485"/>
      <c r="J973" s="475"/>
      <c r="K973" s="483" t="s">
        <v>2588</v>
      </c>
      <c r="L973" s="474" t="s">
        <v>2459</v>
      </c>
      <c r="M973" s="487">
        <v>44512</v>
      </c>
      <c r="N973" s="487">
        <v>44597</v>
      </c>
      <c r="O973" s="487"/>
      <c r="P973" s="475"/>
      <c r="Q973" s="475"/>
      <c r="R973" s="475"/>
      <c r="S973" s="474" t="s">
        <v>1563</v>
      </c>
      <c r="T973" s="474">
        <v>60</v>
      </c>
      <c r="U973" s="474">
        <v>49401140</v>
      </c>
      <c r="V973" s="474" t="s">
        <v>2525</v>
      </c>
      <c r="W973" s="474">
        <v>400</v>
      </c>
      <c r="X973" s="476">
        <v>768</v>
      </c>
      <c r="Y973" s="477">
        <f>X973*W973</f>
        <v>307200</v>
      </c>
      <c r="Z973" s="478">
        <f>210/400</f>
        <v>0.52500000000000002</v>
      </c>
      <c r="AA973" s="479">
        <f>Z973*Y973</f>
        <v>161280</v>
      </c>
      <c r="AB973" s="480"/>
      <c r="AC973" s="481">
        <v>0</v>
      </c>
      <c r="AD973" s="490"/>
      <c r="AE973" s="482"/>
      <c r="AF973" s="493">
        <f>AA973+AE973</f>
        <v>161280</v>
      </c>
      <c r="AG973" s="474" t="s">
        <v>1071</v>
      </c>
      <c r="AH973" s="474"/>
      <c r="AI973" s="483">
        <v>60</v>
      </c>
      <c r="AJ973" s="474" t="s">
        <v>2472</v>
      </c>
      <c r="AK973" s="494" t="s">
        <v>1133</v>
      </c>
      <c r="AL973" s="474">
        <v>85008</v>
      </c>
      <c r="AM973" s="474" t="s">
        <v>52</v>
      </c>
      <c r="AN973" s="474"/>
      <c r="AO973" s="474"/>
      <c r="AP973" s="486"/>
      <c r="AQ973" s="486" t="s">
        <v>37</v>
      </c>
      <c r="AR973" s="486"/>
      <c r="AS973" s="495"/>
      <c r="AT973" s="495"/>
      <c r="AU973" s="478"/>
      <c r="AV973" s="471">
        <f t="shared" si="202"/>
        <v>49401140</v>
      </c>
      <c r="AW973" s="471" cm="1">
        <f t="array" ref="AW973">SUM(MID(0&amp;AV973,LARGE(INDEX(ISNUMBER(--MID(AV973,ROW($1:$8),1))*ROW($1:$8),),ROW($1:$8))+1,1)*10^ROW($1:$8)/10)</f>
        <v>49401140</v>
      </c>
      <c r="AX973" s="471" t="str">
        <f>VLOOKUP($AW973,'Item Master Data'!$A:$F,3,FALSE)</f>
        <v>Q.PEAK DUO BLK ML G10.a+</v>
      </c>
      <c r="AY973" s="471">
        <f>VLOOKUP($AW973,'Item Master Data'!$A:$F,6,FALSE)</f>
        <v>400</v>
      </c>
      <c r="AZ973" s="471">
        <f t="shared" si="203"/>
        <v>24</v>
      </c>
      <c r="BA973" s="471">
        <f>VLOOKUP(AW973,'Item Master Data'!$A:$G,7,FALSE)</f>
        <v>32</v>
      </c>
      <c r="BB973" s="471"/>
      <c r="BC973" s="471">
        <f t="shared" si="204"/>
        <v>0</v>
      </c>
    </row>
    <row r="974" spans="1:55">
      <c r="A974" s="472"/>
      <c r="B974" s="514"/>
      <c r="C974" s="514"/>
      <c r="D974" s="485" t="s">
        <v>2322</v>
      </c>
      <c r="E974" s="474"/>
      <c r="F974" s="474"/>
      <c r="G974" s="474">
        <v>2022</v>
      </c>
      <c r="H974" s="474">
        <v>7</v>
      </c>
      <c r="I974" s="485"/>
      <c r="J974" s="475"/>
      <c r="K974" s="483" t="s">
        <v>2698</v>
      </c>
      <c r="L974" s="474" t="s">
        <v>2459</v>
      </c>
      <c r="M974" s="487">
        <v>44512</v>
      </c>
      <c r="N974" s="487">
        <v>44602</v>
      </c>
      <c r="O974" s="487"/>
      <c r="P974" s="475"/>
      <c r="Q974" s="475"/>
      <c r="R974" s="475"/>
      <c r="S974" s="474" t="s">
        <v>1563</v>
      </c>
      <c r="T974" s="474">
        <v>60</v>
      </c>
      <c r="U974" s="474">
        <v>49401140</v>
      </c>
      <c r="V974" s="474" t="s">
        <v>2525</v>
      </c>
      <c r="W974" s="474">
        <v>400</v>
      </c>
      <c r="X974" s="476">
        <v>768</v>
      </c>
      <c r="Y974" s="477">
        <f>X974*W974</f>
        <v>307200</v>
      </c>
      <c r="Z974" s="478">
        <f>210/400</f>
        <v>0.52500000000000002</v>
      </c>
      <c r="AA974" s="479">
        <f>Z974*Y974</f>
        <v>161280</v>
      </c>
      <c r="AB974" s="480"/>
      <c r="AC974" s="481">
        <v>0</v>
      </c>
      <c r="AD974" s="490"/>
      <c r="AE974" s="482"/>
      <c r="AF974" s="493">
        <f>AA974+AE974</f>
        <v>161280</v>
      </c>
      <c r="AG974" s="474" t="s">
        <v>1071</v>
      </c>
      <c r="AH974" s="474"/>
      <c r="AI974" s="483">
        <v>60</v>
      </c>
      <c r="AJ974" s="474" t="s">
        <v>2472</v>
      </c>
      <c r="AK974" s="494" t="s">
        <v>1133</v>
      </c>
      <c r="AL974" s="474">
        <v>85008</v>
      </c>
      <c r="AM974" s="474" t="s">
        <v>52</v>
      </c>
      <c r="AN974" s="474"/>
      <c r="AO974" s="474"/>
      <c r="AP974" s="486"/>
      <c r="AQ974" s="486" t="s">
        <v>37</v>
      </c>
      <c r="AR974" s="486"/>
      <c r="AS974" s="495"/>
      <c r="AT974" s="495"/>
      <c r="AU974" s="478"/>
      <c r="AV974" s="471">
        <f t="shared" si="202"/>
        <v>49401140</v>
      </c>
      <c r="AW974" s="471" cm="1">
        <f t="array" ref="AW974">SUM(MID(0&amp;AV974,LARGE(INDEX(ISNUMBER(--MID(AV974,ROW($1:$8),1))*ROW($1:$8),),ROW($1:$8))+1,1)*10^ROW($1:$8)/10)</f>
        <v>49401140</v>
      </c>
      <c r="AX974" s="471" t="str">
        <f>VLOOKUP($AW974,'Item Master Data'!$A:$F,3,FALSE)</f>
        <v>Q.PEAK DUO BLK ML G10.a+</v>
      </c>
      <c r="AY974" s="471">
        <f>VLOOKUP($AW974,'Item Master Data'!$A:$F,6,FALSE)</f>
        <v>400</v>
      </c>
      <c r="AZ974" s="471">
        <f t="shared" si="203"/>
        <v>24</v>
      </c>
      <c r="BA974" s="471">
        <f>VLOOKUP(AW974,'Item Master Data'!$A:$G,7,FALSE)</f>
        <v>32</v>
      </c>
      <c r="BB974" s="471"/>
      <c r="BC974" s="471">
        <f t="shared" si="204"/>
        <v>0</v>
      </c>
    </row>
    <row r="975" spans="1:55">
      <c r="A975" s="472"/>
      <c r="B975" s="514">
        <v>44557</v>
      </c>
      <c r="C975" s="514"/>
      <c r="D975" s="485" t="s">
        <v>2322</v>
      </c>
      <c r="E975" s="474" t="s">
        <v>2726</v>
      </c>
      <c r="F975" s="474"/>
      <c r="G975" s="474">
        <v>2022</v>
      </c>
      <c r="H975" s="474">
        <v>5</v>
      </c>
      <c r="I975" s="485"/>
      <c r="J975" s="475"/>
      <c r="K975" s="654" t="s">
        <v>2802</v>
      </c>
      <c r="L975" s="474" t="s">
        <v>2459</v>
      </c>
      <c r="M975" s="487">
        <v>44505</v>
      </c>
      <c r="N975" s="487">
        <v>44699</v>
      </c>
      <c r="O975" s="487"/>
      <c r="P975" s="475"/>
      <c r="Q975" s="475"/>
      <c r="R975" s="475"/>
      <c r="S975" s="474" t="s">
        <v>1563</v>
      </c>
      <c r="T975" s="474">
        <v>60</v>
      </c>
      <c r="U975" s="474">
        <v>49401140</v>
      </c>
      <c r="V975" s="474" t="s">
        <v>973</v>
      </c>
      <c r="W975" s="474">
        <v>400</v>
      </c>
      <c r="X975" s="476">
        <v>768</v>
      </c>
      <c r="Y975" s="477">
        <v>307200</v>
      </c>
      <c r="Z975" s="478">
        <v>0.55500000000000005</v>
      </c>
      <c r="AA975" s="479">
        <v>170496.00000000003</v>
      </c>
      <c r="AB975" s="480"/>
      <c r="AC975" s="481"/>
      <c r="AD975" s="490"/>
      <c r="AE975" s="482"/>
      <c r="AF975" s="493">
        <v>170496.00000000003</v>
      </c>
      <c r="AG975" s="474" t="s">
        <v>1071</v>
      </c>
      <c r="AH975" s="474"/>
      <c r="AI975" s="483" t="s">
        <v>2442</v>
      </c>
      <c r="AJ975" s="474" t="s">
        <v>2472</v>
      </c>
      <c r="AK975" s="494" t="s">
        <v>1133</v>
      </c>
      <c r="AL975" s="474" t="s">
        <v>2578</v>
      </c>
      <c r="AM975" s="474" t="s">
        <v>52</v>
      </c>
      <c r="AN975" s="474"/>
      <c r="AO975" s="474"/>
      <c r="AP975" s="486"/>
      <c r="AQ975" s="486" t="s">
        <v>37</v>
      </c>
      <c r="AR975" s="486"/>
      <c r="AS975" s="495"/>
      <c r="AT975" s="495"/>
      <c r="AU975" s="478"/>
      <c r="AV975" s="471">
        <f t="shared" si="202"/>
        <v>49401140</v>
      </c>
      <c r="AW975" s="471" cm="1">
        <f t="array" ref="AW975">SUM(MID(0&amp;AV975,LARGE(INDEX(ISNUMBER(--MID(AV975,ROW($1:$8),1))*ROW($1:$8),),ROW($1:$8))+1,1)*10^ROW($1:$8)/10)</f>
        <v>49401140</v>
      </c>
      <c r="AX975" s="471" t="str">
        <f>VLOOKUP($AW975,'Item Master Data'!$A:$F,3,FALSE)</f>
        <v>Q.PEAK DUO BLK ML G10.a+</v>
      </c>
      <c r="AY975" s="471">
        <f>VLOOKUP($AW975,'Item Master Data'!$A:$F,6,FALSE)</f>
        <v>400</v>
      </c>
      <c r="AZ975" s="471">
        <f t="shared" si="203"/>
        <v>24</v>
      </c>
      <c r="BA975" s="471">
        <f>VLOOKUP(AW975,'Item Master Data'!$A:$G,7,FALSE)</f>
        <v>32</v>
      </c>
      <c r="BB975" s="471"/>
      <c r="BC975" s="471">
        <f t="shared" si="204"/>
        <v>0</v>
      </c>
    </row>
    <row r="976" spans="1:55">
      <c r="A976" s="472"/>
      <c r="B976" s="514"/>
      <c r="C976" s="514"/>
      <c r="D976" s="485" t="s">
        <v>2322</v>
      </c>
      <c r="E976" s="474"/>
      <c r="F976" s="474"/>
      <c r="G976" s="474">
        <v>2022</v>
      </c>
      <c r="H976" s="474">
        <v>8</v>
      </c>
      <c r="I976" s="485"/>
      <c r="J976" s="475"/>
      <c r="K976" s="483" t="s">
        <v>2743</v>
      </c>
      <c r="L976" s="474" t="s">
        <v>2459</v>
      </c>
      <c r="M976" s="487">
        <v>44512</v>
      </c>
      <c r="N976" s="487">
        <v>44625</v>
      </c>
      <c r="O976" s="487"/>
      <c r="P976" s="475"/>
      <c r="Q976" s="475"/>
      <c r="R976" s="475"/>
      <c r="S976" s="474" t="s">
        <v>1563</v>
      </c>
      <c r="T976" s="474">
        <v>60</v>
      </c>
      <c r="U976" s="474">
        <v>49401140</v>
      </c>
      <c r="V976" s="474" t="s">
        <v>2525</v>
      </c>
      <c r="W976" s="474">
        <v>400</v>
      </c>
      <c r="X976" s="476">
        <v>768</v>
      </c>
      <c r="Y976" s="477">
        <f>X976*W976</f>
        <v>307200</v>
      </c>
      <c r="Z976" s="478">
        <f>210/400</f>
        <v>0.52500000000000002</v>
      </c>
      <c r="AA976" s="479">
        <f>Z976*Y976</f>
        <v>161280</v>
      </c>
      <c r="AB976" s="480"/>
      <c r="AC976" s="481">
        <v>0</v>
      </c>
      <c r="AD976" s="490"/>
      <c r="AE976" s="482"/>
      <c r="AF976" s="493">
        <f>AA976+AE976</f>
        <v>161280</v>
      </c>
      <c r="AG976" s="474" t="s">
        <v>1071</v>
      </c>
      <c r="AH976" s="474"/>
      <c r="AI976" s="483">
        <v>60</v>
      </c>
      <c r="AJ976" s="474" t="s">
        <v>2472</v>
      </c>
      <c r="AK976" s="494" t="s">
        <v>1133</v>
      </c>
      <c r="AL976" s="474">
        <v>85008</v>
      </c>
      <c r="AM976" s="474" t="s">
        <v>52</v>
      </c>
      <c r="AN976" s="474"/>
      <c r="AO976" s="474"/>
      <c r="AP976" s="486"/>
      <c r="AQ976" s="486" t="s">
        <v>37</v>
      </c>
      <c r="AR976" s="486"/>
      <c r="AS976" s="495"/>
      <c r="AT976" s="495"/>
      <c r="AU976" s="478"/>
      <c r="AV976" s="471">
        <f t="shared" si="202"/>
        <v>49401140</v>
      </c>
      <c r="AW976" s="471" cm="1">
        <f t="array" ref="AW976">SUM(MID(0&amp;AV976,LARGE(INDEX(ISNUMBER(--MID(AV976,ROW($1:$8),1))*ROW($1:$8),),ROW($1:$8))+1,1)*10^ROW($1:$8)/10)</f>
        <v>49401140</v>
      </c>
      <c r="AX976" s="471" t="str">
        <f>VLOOKUP($AW976,'Item Master Data'!$A:$F,3,FALSE)</f>
        <v>Q.PEAK DUO BLK ML G10.a+</v>
      </c>
      <c r="AY976" s="471">
        <f>VLOOKUP($AW976,'Item Master Data'!$A:$F,6,FALSE)</f>
        <v>400</v>
      </c>
      <c r="AZ976" s="471">
        <f t="shared" si="203"/>
        <v>24</v>
      </c>
      <c r="BA976" s="471">
        <f>VLOOKUP(AW976,'Item Master Data'!$A:$G,7,FALSE)</f>
        <v>32</v>
      </c>
      <c r="BB976" s="471"/>
      <c r="BC976" s="471">
        <f t="shared" si="204"/>
        <v>0</v>
      </c>
    </row>
    <row r="977" spans="1:55">
      <c r="A977" s="599"/>
      <c r="B977" s="514"/>
      <c r="C977" s="514"/>
      <c r="D977" s="485" t="s">
        <v>2322</v>
      </c>
      <c r="E977" s="474"/>
      <c r="F977" s="474"/>
      <c r="G977" s="474">
        <v>2022</v>
      </c>
      <c r="H977" s="474">
        <v>7</v>
      </c>
      <c r="I977" s="485"/>
      <c r="J977" s="475"/>
      <c r="K977" s="483" t="s">
        <v>2700</v>
      </c>
      <c r="L977" s="474" t="s">
        <v>2459</v>
      </c>
      <c r="M977" s="487">
        <v>44512</v>
      </c>
      <c r="N977" s="487">
        <v>44630</v>
      </c>
      <c r="O977" s="487"/>
      <c r="P977" s="475"/>
      <c r="Q977" s="475"/>
      <c r="R977" s="475"/>
      <c r="S977" s="474" t="s">
        <v>1563</v>
      </c>
      <c r="T977" s="474">
        <v>60</v>
      </c>
      <c r="U977" s="474">
        <v>49401140</v>
      </c>
      <c r="V977" s="474" t="s">
        <v>2525</v>
      </c>
      <c r="W977" s="474">
        <v>400</v>
      </c>
      <c r="X977" s="476">
        <v>768</v>
      </c>
      <c r="Y977" s="491">
        <f>X977*W977</f>
        <v>307200</v>
      </c>
      <c r="Z977" s="478">
        <f>210/400</f>
        <v>0.52500000000000002</v>
      </c>
      <c r="AA977" s="479">
        <f>Z977*Y977</f>
        <v>161280</v>
      </c>
      <c r="AB977" s="480"/>
      <c r="AC977" s="481">
        <v>0</v>
      </c>
      <c r="AD977" s="490"/>
      <c r="AE977" s="482"/>
      <c r="AF977" s="493">
        <f>AA977+AE977</f>
        <v>161280</v>
      </c>
      <c r="AG977" s="474" t="s">
        <v>1071</v>
      </c>
      <c r="AH977" s="474"/>
      <c r="AI977" s="483">
        <v>60</v>
      </c>
      <c r="AJ977" s="474" t="s">
        <v>2472</v>
      </c>
      <c r="AK977" s="494" t="s">
        <v>1133</v>
      </c>
      <c r="AL977" s="474">
        <v>85008</v>
      </c>
      <c r="AM977" s="474" t="s">
        <v>52</v>
      </c>
      <c r="AN977" s="474" t="s">
        <v>1074</v>
      </c>
      <c r="AO977" s="474"/>
      <c r="AP977" s="486"/>
      <c r="AQ977" s="486" t="s">
        <v>37</v>
      </c>
      <c r="AR977" s="486"/>
      <c r="AS977" s="495"/>
      <c r="AT977" s="495"/>
      <c r="AU977" s="478"/>
      <c r="AV977" s="471">
        <f t="shared" si="202"/>
        <v>49401140</v>
      </c>
      <c r="AW977" s="471" cm="1">
        <f t="array" ref="AW977">SUM(MID(0&amp;AV977,LARGE(INDEX(ISNUMBER(--MID(AV977,ROW($1:$8),1))*ROW($1:$8),),ROW($1:$8))+1,1)*10^ROW($1:$8)/10)</f>
        <v>49401140</v>
      </c>
      <c r="AX977" s="471" t="str">
        <f>VLOOKUP($AW977,'Item Master Data'!$A:$F,3,FALSE)</f>
        <v>Q.PEAK DUO BLK ML G10.a+</v>
      </c>
      <c r="AY977" s="471">
        <f>VLOOKUP($AW977,'Item Master Data'!$A:$F,6,FALSE)</f>
        <v>400</v>
      </c>
      <c r="AZ977" s="471">
        <f t="shared" si="203"/>
        <v>24</v>
      </c>
      <c r="BA977" s="471">
        <f>VLOOKUP(AW977,'Item Master Data'!$A:$G,7,FALSE)</f>
        <v>32</v>
      </c>
      <c r="BB977" s="471"/>
      <c r="BC977" s="471">
        <f t="shared" si="204"/>
        <v>0</v>
      </c>
    </row>
    <row r="978" spans="1:55">
      <c r="A978" s="599"/>
      <c r="B978" s="514"/>
      <c r="C978" s="514"/>
      <c r="D978" s="485" t="s">
        <v>2322</v>
      </c>
      <c r="E978" s="474"/>
      <c r="F978" s="474"/>
      <c r="G978" s="474">
        <v>2022</v>
      </c>
      <c r="H978" s="474">
        <v>6</v>
      </c>
      <c r="I978" s="485"/>
      <c r="J978" s="475"/>
      <c r="K978" s="483" t="s">
        <v>2635</v>
      </c>
      <c r="L978" s="474" t="s">
        <v>2459</v>
      </c>
      <c r="M978" s="487">
        <v>44512</v>
      </c>
      <c r="N978" s="487">
        <v>44635</v>
      </c>
      <c r="O978" s="487"/>
      <c r="P978" s="475"/>
      <c r="Q978" s="475"/>
      <c r="R978" s="475"/>
      <c r="S978" s="474" t="s">
        <v>1563</v>
      </c>
      <c r="T978" s="474">
        <v>60</v>
      </c>
      <c r="U978" s="474">
        <v>49401140</v>
      </c>
      <c r="V978" s="474" t="s">
        <v>2525</v>
      </c>
      <c r="W978" s="474">
        <v>400</v>
      </c>
      <c r="X978" s="476">
        <v>768</v>
      </c>
      <c r="Y978" s="491">
        <f>X978*W978</f>
        <v>307200</v>
      </c>
      <c r="Z978" s="478">
        <f>210/400</f>
        <v>0.52500000000000002</v>
      </c>
      <c r="AA978" s="479">
        <f>Z978*Y978</f>
        <v>161280</v>
      </c>
      <c r="AB978" s="480"/>
      <c r="AC978" s="481">
        <v>0</v>
      </c>
      <c r="AD978" s="490"/>
      <c r="AE978" s="482"/>
      <c r="AF978" s="493">
        <f>AA978+AE978</f>
        <v>161280</v>
      </c>
      <c r="AG978" s="474" t="s">
        <v>1071</v>
      </c>
      <c r="AH978" s="474"/>
      <c r="AI978" s="483">
        <v>60</v>
      </c>
      <c r="AJ978" s="474" t="s">
        <v>2472</v>
      </c>
      <c r="AK978" s="494" t="s">
        <v>1133</v>
      </c>
      <c r="AL978" s="474">
        <v>85008</v>
      </c>
      <c r="AM978" s="474" t="s">
        <v>52</v>
      </c>
      <c r="AN978" s="474" t="s">
        <v>1074</v>
      </c>
      <c r="AO978" s="474"/>
      <c r="AP978" s="486"/>
      <c r="AQ978" s="486" t="s">
        <v>37</v>
      </c>
      <c r="AR978" s="486"/>
      <c r="AS978" s="495"/>
      <c r="AT978" s="495"/>
      <c r="AU978" s="478"/>
      <c r="AV978" s="471">
        <f t="shared" si="202"/>
        <v>49401140</v>
      </c>
      <c r="AW978" s="471" cm="1">
        <f t="array" ref="AW978">SUM(MID(0&amp;AV978,LARGE(INDEX(ISNUMBER(--MID(AV978,ROW($1:$8),1))*ROW($1:$8),),ROW($1:$8))+1,1)*10^ROW($1:$8)/10)</f>
        <v>49401140</v>
      </c>
      <c r="AX978" s="471" t="str">
        <f>VLOOKUP($AW978,'Item Master Data'!$A:$F,3,FALSE)</f>
        <v>Q.PEAK DUO BLK ML G10.a+</v>
      </c>
      <c r="AY978" s="471">
        <f>VLOOKUP($AW978,'Item Master Data'!$A:$F,6,FALSE)</f>
        <v>400</v>
      </c>
      <c r="AZ978" s="471">
        <f t="shared" si="203"/>
        <v>24</v>
      </c>
      <c r="BA978" s="471">
        <f>VLOOKUP(AW978,'Item Master Data'!$A:$G,7,FALSE)</f>
        <v>32</v>
      </c>
      <c r="BB978" s="471"/>
      <c r="BC978" s="471">
        <f t="shared" si="204"/>
        <v>0</v>
      </c>
    </row>
    <row r="979" spans="1:55">
      <c r="A979" s="472"/>
      <c r="B979" s="514"/>
      <c r="C979" s="514"/>
      <c r="D979" s="485" t="s">
        <v>2322</v>
      </c>
      <c r="E979" s="474"/>
      <c r="F979" s="474"/>
      <c r="G979" s="474">
        <v>2022</v>
      </c>
      <c r="H979" s="474">
        <v>5</v>
      </c>
      <c r="I979" s="485" t="s">
        <v>5418</v>
      </c>
      <c r="J979" s="475"/>
      <c r="K979" s="483" t="s">
        <v>2559</v>
      </c>
      <c r="L979" s="474" t="s">
        <v>2459</v>
      </c>
      <c r="M979" s="487">
        <v>44512</v>
      </c>
      <c r="N979" s="487">
        <v>44655</v>
      </c>
      <c r="O979" s="487"/>
      <c r="P979" s="475">
        <v>44659</v>
      </c>
      <c r="Q979" s="475">
        <v>44683</v>
      </c>
      <c r="R979" s="475">
        <v>44684</v>
      </c>
      <c r="S979" s="474" t="s">
        <v>1563</v>
      </c>
      <c r="T979" s="474">
        <v>60</v>
      </c>
      <c r="U979" s="474" t="s">
        <v>1760</v>
      </c>
      <c r="V979" s="474" t="s">
        <v>2525</v>
      </c>
      <c r="W979" s="474">
        <v>400</v>
      </c>
      <c r="X979" s="476">
        <v>768</v>
      </c>
      <c r="Y979" s="477">
        <f>X979*W979</f>
        <v>307200</v>
      </c>
      <c r="Z979" s="478">
        <f>222/400</f>
        <v>0.55500000000000005</v>
      </c>
      <c r="AA979" s="479">
        <f>Z979*Y979</f>
        <v>170496.00000000003</v>
      </c>
      <c r="AB979" s="480"/>
      <c r="AC979" s="481">
        <v>0</v>
      </c>
      <c r="AD979" s="490"/>
      <c r="AE979" s="482"/>
      <c r="AF979" s="493">
        <f>AA979+AE979</f>
        <v>170496.00000000003</v>
      </c>
      <c r="AG979" s="474" t="s">
        <v>1071</v>
      </c>
      <c r="AH979" s="474"/>
      <c r="AI979" s="483">
        <v>60</v>
      </c>
      <c r="AJ979" s="474" t="s">
        <v>2472</v>
      </c>
      <c r="AK979" s="494" t="s">
        <v>1133</v>
      </c>
      <c r="AL979" s="474">
        <v>85008</v>
      </c>
      <c r="AM979" s="474" t="s">
        <v>52</v>
      </c>
      <c r="AN979" s="474" t="s">
        <v>50</v>
      </c>
      <c r="AO979" s="474"/>
      <c r="AP979" s="486" t="s">
        <v>38</v>
      </c>
      <c r="AQ979" s="486" t="s">
        <v>37</v>
      </c>
      <c r="AR979" s="486"/>
      <c r="AS979" s="495"/>
      <c r="AT979" s="495"/>
      <c r="AU979" s="478"/>
      <c r="AV979" s="471" t="str">
        <f t="shared" si="202"/>
        <v>30390156H</v>
      </c>
      <c r="AW979" s="471" cm="1">
        <f t="array" ref="AW979">SUM(MID(0&amp;AV979,LARGE(INDEX(ISNUMBER(--MID(AV979,ROW($1:$8),1))*ROW($1:$8),),ROW($1:$8))+1,1)*10^ROW($1:$8)/10)</f>
        <v>30390156</v>
      </c>
      <c r="AX979" s="471" t="str">
        <f>VLOOKUP($AW979,'Item Master Data'!$A:$F,3,FALSE)</f>
        <v>Q.PEAK DUO BLK ML G10+</v>
      </c>
      <c r="AY979" s="471">
        <f>VLOOKUP($AW979,'Item Master Data'!$A:$F,6,FALSE)</f>
        <v>400</v>
      </c>
      <c r="AZ979" s="471">
        <f t="shared" si="203"/>
        <v>24</v>
      </c>
      <c r="BA979" s="471">
        <f>VLOOKUP(AW979,'Item Master Data'!$A:$G,7,FALSE)</f>
        <v>32</v>
      </c>
      <c r="BB979" s="471"/>
      <c r="BC979" s="471">
        <f t="shared" si="204"/>
        <v>0</v>
      </c>
    </row>
    <row r="980" spans="1:55">
      <c r="A980" s="472"/>
      <c r="B980" s="514"/>
      <c r="C980" s="514"/>
      <c r="D980" s="485" t="s">
        <v>2322</v>
      </c>
      <c r="E980" s="474"/>
      <c r="F980" s="474"/>
      <c r="G980" s="474">
        <v>2022</v>
      </c>
      <c r="H980" s="474">
        <v>4</v>
      </c>
      <c r="I980" s="485">
        <v>128094</v>
      </c>
      <c r="J980" s="475">
        <v>44671</v>
      </c>
      <c r="K980" s="483" t="s">
        <v>2560</v>
      </c>
      <c r="L980" s="474" t="s">
        <v>2459</v>
      </c>
      <c r="M980" s="487">
        <v>44512</v>
      </c>
      <c r="N980" s="487">
        <v>44659</v>
      </c>
      <c r="O980" s="487"/>
      <c r="P980" s="475">
        <v>44659</v>
      </c>
      <c r="Q980" s="475">
        <v>44671</v>
      </c>
      <c r="R980" s="475">
        <v>44672</v>
      </c>
      <c r="S980" s="474" t="s">
        <v>1563</v>
      </c>
      <c r="T980" s="474">
        <v>60</v>
      </c>
      <c r="U980" s="474" t="s">
        <v>1760</v>
      </c>
      <c r="V980" s="474" t="s">
        <v>2525</v>
      </c>
      <c r="W980" s="474">
        <v>400</v>
      </c>
      <c r="X980" s="476">
        <v>768</v>
      </c>
      <c r="Y980" s="477">
        <f t="shared" ref="Y980:Y1017" si="205">X980*W980</f>
        <v>307200</v>
      </c>
      <c r="Z980" s="478">
        <f t="shared" ref="Z980:Z989" si="206">222/400</f>
        <v>0.55500000000000005</v>
      </c>
      <c r="AA980" s="479">
        <f t="shared" ref="AA980:AA1017" si="207">Z980*Y980</f>
        <v>170496.00000000003</v>
      </c>
      <c r="AB980" s="480"/>
      <c r="AC980" s="481">
        <v>0</v>
      </c>
      <c r="AD980" s="490"/>
      <c r="AE980" s="482"/>
      <c r="AF980" s="493">
        <f t="shared" ref="AF980:AF1017" si="208">AA980+AE980</f>
        <v>170496.00000000003</v>
      </c>
      <c r="AG980" s="474" t="s">
        <v>1071</v>
      </c>
      <c r="AH980" s="474"/>
      <c r="AI980" s="483">
        <v>60</v>
      </c>
      <c r="AJ980" s="474" t="s">
        <v>2472</v>
      </c>
      <c r="AK980" s="494" t="s">
        <v>1133</v>
      </c>
      <c r="AL980" s="474">
        <v>85008</v>
      </c>
      <c r="AM980" s="474" t="s">
        <v>52</v>
      </c>
      <c r="AN980" s="474" t="s">
        <v>50</v>
      </c>
      <c r="AO980" s="474"/>
      <c r="AP980" s="486" t="s">
        <v>38</v>
      </c>
      <c r="AQ980" s="486" t="s">
        <v>37</v>
      </c>
      <c r="AR980" s="486"/>
      <c r="AS980" s="495"/>
      <c r="AT980" s="495"/>
      <c r="AU980" s="478"/>
      <c r="AV980" s="471" t="str">
        <f t="shared" si="202"/>
        <v>30390156H</v>
      </c>
      <c r="AW980" s="471" cm="1">
        <f t="array" ref="AW980">SUM(MID(0&amp;AV980,LARGE(INDEX(ISNUMBER(--MID(AV980,ROW($1:$8),1))*ROW($1:$8),),ROW($1:$8))+1,1)*10^ROW($1:$8)/10)</f>
        <v>30390156</v>
      </c>
      <c r="AX980" s="471" t="str">
        <f>VLOOKUP($AW980,'Item Master Data'!$A:$F,3,FALSE)</f>
        <v>Q.PEAK DUO BLK ML G10+</v>
      </c>
      <c r="AY980" s="471">
        <f>VLOOKUP($AW980,'Item Master Data'!$A:$F,6,FALSE)</f>
        <v>400</v>
      </c>
      <c r="AZ980" s="471">
        <f t="shared" si="203"/>
        <v>24</v>
      </c>
      <c r="BA980" s="471">
        <f>VLOOKUP(AW980,'Item Master Data'!$A:$G,7,FALSE)</f>
        <v>32</v>
      </c>
      <c r="BB980" s="471"/>
      <c r="BC980" s="471">
        <f t="shared" si="204"/>
        <v>0</v>
      </c>
    </row>
    <row r="981" spans="1:55">
      <c r="A981" s="472"/>
      <c r="B981" s="514"/>
      <c r="C981" s="514"/>
      <c r="D981" s="485" t="s">
        <v>2322</v>
      </c>
      <c r="E981" s="474"/>
      <c r="F981" s="474"/>
      <c r="G981" s="474">
        <v>2022</v>
      </c>
      <c r="H981" s="474">
        <v>4</v>
      </c>
      <c r="I981" s="485">
        <v>128067</v>
      </c>
      <c r="J981" s="475">
        <v>44665</v>
      </c>
      <c r="K981" s="483" t="s">
        <v>2561</v>
      </c>
      <c r="L981" s="474" t="s">
        <v>2459</v>
      </c>
      <c r="M981" s="487">
        <v>44512</v>
      </c>
      <c r="N981" s="487">
        <v>44663</v>
      </c>
      <c r="O981" s="487"/>
      <c r="P981" s="475">
        <v>44659</v>
      </c>
      <c r="Q981" s="475">
        <v>44665</v>
      </c>
      <c r="R981" s="475">
        <v>44666</v>
      </c>
      <c r="S981" s="474" t="s">
        <v>1563</v>
      </c>
      <c r="T981" s="474">
        <v>60</v>
      </c>
      <c r="U981" s="474" t="s">
        <v>1760</v>
      </c>
      <c r="V981" s="474" t="s">
        <v>2525</v>
      </c>
      <c r="W981" s="474">
        <v>400</v>
      </c>
      <c r="X981" s="476">
        <v>768</v>
      </c>
      <c r="Y981" s="477">
        <f t="shared" si="205"/>
        <v>307200</v>
      </c>
      <c r="Z981" s="478">
        <f t="shared" si="206"/>
        <v>0.55500000000000005</v>
      </c>
      <c r="AA981" s="479">
        <f t="shared" si="207"/>
        <v>170496.00000000003</v>
      </c>
      <c r="AB981" s="480"/>
      <c r="AC981" s="481">
        <v>0</v>
      </c>
      <c r="AD981" s="490"/>
      <c r="AE981" s="482"/>
      <c r="AF981" s="493">
        <f t="shared" si="208"/>
        <v>170496.00000000003</v>
      </c>
      <c r="AG981" s="474" t="s">
        <v>1071</v>
      </c>
      <c r="AH981" s="474"/>
      <c r="AI981" s="483">
        <v>60</v>
      </c>
      <c r="AJ981" s="474" t="s">
        <v>2472</v>
      </c>
      <c r="AK981" s="494" t="s">
        <v>1133</v>
      </c>
      <c r="AL981" s="474">
        <v>85008</v>
      </c>
      <c r="AM981" s="474" t="s">
        <v>52</v>
      </c>
      <c r="AN981" s="474" t="s">
        <v>50</v>
      </c>
      <c r="AO981" s="474"/>
      <c r="AP981" s="486" t="s">
        <v>38</v>
      </c>
      <c r="AQ981" s="486" t="s">
        <v>37</v>
      </c>
      <c r="AR981" s="486"/>
      <c r="AS981" s="495"/>
      <c r="AT981" s="495"/>
      <c r="AU981" s="478"/>
      <c r="AV981" s="471" t="str">
        <f t="shared" si="202"/>
        <v>30390156H</v>
      </c>
      <c r="AW981" s="471" cm="1">
        <f t="array" ref="AW981">SUM(MID(0&amp;AV981,LARGE(INDEX(ISNUMBER(--MID(AV981,ROW($1:$8),1))*ROW($1:$8),),ROW($1:$8))+1,1)*10^ROW($1:$8)/10)</f>
        <v>30390156</v>
      </c>
      <c r="AX981" s="471" t="str">
        <f>VLOOKUP($AW981,'Item Master Data'!$A:$F,3,FALSE)</f>
        <v>Q.PEAK DUO BLK ML G10+</v>
      </c>
      <c r="AY981" s="471">
        <f>VLOOKUP($AW981,'Item Master Data'!$A:$F,6,FALSE)</f>
        <v>400</v>
      </c>
      <c r="AZ981" s="471">
        <f t="shared" si="203"/>
        <v>24</v>
      </c>
      <c r="BA981" s="471">
        <f>VLOOKUP(AW981,'Item Master Data'!$A:$G,7,FALSE)</f>
        <v>32</v>
      </c>
      <c r="BB981" s="471"/>
      <c r="BC981" s="471">
        <f t="shared" si="204"/>
        <v>0</v>
      </c>
    </row>
    <row r="982" spans="1:55">
      <c r="A982" s="472"/>
      <c r="B982" s="514"/>
      <c r="C982" s="514"/>
      <c r="D982" s="485" t="s">
        <v>2322</v>
      </c>
      <c r="E982" s="474"/>
      <c r="F982" s="474"/>
      <c r="G982" s="474">
        <v>2022</v>
      </c>
      <c r="H982" s="474">
        <v>4</v>
      </c>
      <c r="I982" s="485">
        <v>128060</v>
      </c>
      <c r="J982" s="475">
        <v>44666</v>
      </c>
      <c r="K982" s="483" t="s">
        <v>2562</v>
      </c>
      <c r="L982" s="474" t="s">
        <v>2459</v>
      </c>
      <c r="M982" s="487">
        <v>44512</v>
      </c>
      <c r="N982" s="487">
        <v>44669</v>
      </c>
      <c r="O982" s="487"/>
      <c r="P982" s="475">
        <v>44659</v>
      </c>
      <c r="Q982" s="475">
        <v>44666</v>
      </c>
      <c r="R982" s="475">
        <v>44669</v>
      </c>
      <c r="S982" s="474" t="s">
        <v>1563</v>
      </c>
      <c r="T982" s="474">
        <v>60</v>
      </c>
      <c r="U982" s="474" t="s">
        <v>1760</v>
      </c>
      <c r="V982" s="474" t="s">
        <v>2525</v>
      </c>
      <c r="W982" s="474">
        <v>400</v>
      </c>
      <c r="X982" s="476">
        <v>768</v>
      </c>
      <c r="Y982" s="477">
        <f t="shared" si="205"/>
        <v>307200</v>
      </c>
      <c r="Z982" s="478">
        <f t="shared" si="206"/>
        <v>0.55500000000000005</v>
      </c>
      <c r="AA982" s="479">
        <f t="shared" si="207"/>
        <v>170496.00000000003</v>
      </c>
      <c r="AB982" s="480"/>
      <c r="AC982" s="481">
        <v>0</v>
      </c>
      <c r="AD982" s="490"/>
      <c r="AE982" s="482"/>
      <c r="AF982" s="493">
        <f t="shared" si="208"/>
        <v>170496.00000000003</v>
      </c>
      <c r="AG982" s="474" t="s">
        <v>1071</v>
      </c>
      <c r="AH982" s="474"/>
      <c r="AI982" s="483">
        <v>60</v>
      </c>
      <c r="AJ982" s="474" t="s">
        <v>2472</v>
      </c>
      <c r="AK982" s="494" t="s">
        <v>1133</v>
      </c>
      <c r="AL982" s="474">
        <v>85008</v>
      </c>
      <c r="AM982" s="474" t="s">
        <v>52</v>
      </c>
      <c r="AN982" s="474" t="s">
        <v>50</v>
      </c>
      <c r="AO982" s="474"/>
      <c r="AP982" s="486" t="s">
        <v>38</v>
      </c>
      <c r="AQ982" s="486" t="s">
        <v>37</v>
      </c>
      <c r="AR982" s="486"/>
      <c r="AS982" s="495"/>
      <c r="AT982" s="495"/>
      <c r="AU982" s="478"/>
      <c r="AV982" s="471" t="str">
        <f t="shared" si="202"/>
        <v>30390156H</v>
      </c>
      <c r="AW982" s="471" cm="1">
        <f t="array" ref="AW982">SUM(MID(0&amp;AV982,LARGE(INDEX(ISNUMBER(--MID(AV982,ROW($1:$8),1))*ROW($1:$8),),ROW($1:$8))+1,1)*10^ROW($1:$8)/10)</f>
        <v>30390156</v>
      </c>
      <c r="AX982" s="471" t="str">
        <f>VLOOKUP($AW982,'Item Master Data'!$A:$F,3,FALSE)</f>
        <v>Q.PEAK DUO BLK ML G10+</v>
      </c>
      <c r="AY982" s="471">
        <f>VLOOKUP($AW982,'Item Master Data'!$A:$F,6,FALSE)</f>
        <v>400</v>
      </c>
      <c r="AZ982" s="471">
        <f t="shared" si="203"/>
        <v>24</v>
      </c>
      <c r="BA982" s="471">
        <f>VLOOKUP(AW982,'Item Master Data'!$A:$G,7,FALSE)</f>
        <v>32</v>
      </c>
      <c r="BB982" s="471"/>
      <c r="BC982" s="471">
        <f t="shared" si="204"/>
        <v>0</v>
      </c>
    </row>
    <row r="983" spans="1:55">
      <c r="A983" s="472"/>
      <c r="B983" s="514"/>
      <c r="C983" s="514"/>
      <c r="D983" s="485" t="s">
        <v>2322</v>
      </c>
      <c r="E983" s="474"/>
      <c r="F983" s="474"/>
      <c r="G983" s="474">
        <v>2022</v>
      </c>
      <c r="H983" s="474">
        <v>6</v>
      </c>
      <c r="I983" s="485"/>
      <c r="J983" s="475"/>
      <c r="K983" s="483" t="s">
        <v>2680</v>
      </c>
      <c r="L983" s="474" t="s">
        <v>2459</v>
      </c>
      <c r="M983" s="487">
        <v>44512</v>
      </c>
      <c r="N983" s="487">
        <v>44686</v>
      </c>
      <c r="O983" s="487"/>
      <c r="P983" s="475"/>
      <c r="Q983" s="475"/>
      <c r="R983" s="475"/>
      <c r="S983" s="474" t="s">
        <v>1563</v>
      </c>
      <c r="T983" s="474">
        <v>60</v>
      </c>
      <c r="U983" s="474" t="s">
        <v>1281</v>
      </c>
      <c r="V983" s="474" t="s">
        <v>2525</v>
      </c>
      <c r="W983" s="474">
        <v>400</v>
      </c>
      <c r="X983" s="476">
        <v>768</v>
      </c>
      <c r="Y983" s="477">
        <f t="shared" si="205"/>
        <v>307200</v>
      </c>
      <c r="Z983" s="478">
        <f t="shared" si="206"/>
        <v>0.55500000000000005</v>
      </c>
      <c r="AA983" s="479">
        <f t="shared" si="207"/>
        <v>170496.00000000003</v>
      </c>
      <c r="AB983" s="480"/>
      <c r="AC983" s="481">
        <v>0</v>
      </c>
      <c r="AD983" s="490"/>
      <c r="AE983" s="482"/>
      <c r="AF983" s="493">
        <f t="shared" si="208"/>
        <v>170496.00000000003</v>
      </c>
      <c r="AG983" s="474" t="s">
        <v>1071</v>
      </c>
      <c r="AH983" s="474"/>
      <c r="AI983" s="483">
        <v>60</v>
      </c>
      <c r="AJ983" s="474" t="s">
        <v>2472</v>
      </c>
      <c r="AK983" s="494" t="s">
        <v>1133</v>
      </c>
      <c r="AL983" s="474">
        <v>85008</v>
      </c>
      <c r="AM983" s="474" t="s">
        <v>52</v>
      </c>
      <c r="AN983" s="474"/>
      <c r="AO983" s="474"/>
      <c r="AP983" s="486"/>
      <c r="AQ983" s="486" t="s">
        <v>37</v>
      </c>
      <c r="AR983" s="486"/>
      <c r="AS983" s="495"/>
      <c r="AT983" s="495"/>
      <c r="AU983" s="478"/>
      <c r="AV983" s="471" t="str">
        <f t="shared" si="202"/>
        <v>30390456H</v>
      </c>
      <c r="AW983" s="471" cm="1">
        <f t="array" ref="AW983">SUM(MID(0&amp;AV983,LARGE(INDEX(ISNUMBER(--MID(AV983,ROW($1:$8),1))*ROW($1:$8),),ROW($1:$8))+1,1)*10^ROW($1:$8)/10)</f>
        <v>30390456</v>
      </c>
      <c r="AX983" s="471" t="str">
        <f>VLOOKUP($AW983,'Item Master Data'!$A:$F,3,FALSE)</f>
        <v>Q.PEAK DUO BLK ML G10+</v>
      </c>
      <c r="AY983" s="471">
        <f>VLOOKUP($AW983,'Item Master Data'!$A:$F,6,FALSE)</f>
        <v>400</v>
      </c>
      <c r="AZ983" s="471">
        <f t="shared" si="203"/>
        <v>24</v>
      </c>
      <c r="BA983" s="471">
        <f>VLOOKUP(AW983,'Item Master Data'!$A:$G,7,FALSE)</f>
        <v>32</v>
      </c>
      <c r="BB983" s="471"/>
      <c r="BC983" s="471">
        <f t="shared" si="204"/>
        <v>0</v>
      </c>
    </row>
    <row r="984" spans="1:55">
      <c r="A984" s="472"/>
      <c r="B984" s="514"/>
      <c r="C984" s="514"/>
      <c r="D984" s="485" t="s">
        <v>2322</v>
      </c>
      <c r="E984" s="474"/>
      <c r="F984" s="474"/>
      <c r="G984" s="474">
        <v>2022</v>
      </c>
      <c r="H984" s="474">
        <v>5</v>
      </c>
      <c r="I984" s="485"/>
      <c r="J984" s="475"/>
      <c r="K984" s="654" t="s">
        <v>2699</v>
      </c>
      <c r="L984" s="474" t="s">
        <v>2459</v>
      </c>
      <c r="M984" s="487">
        <v>44512</v>
      </c>
      <c r="N984" s="487">
        <v>44607</v>
      </c>
      <c r="O984" s="487"/>
      <c r="P984" s="502" t="s">
        <v>5693</v>
      </c>
      <c r="Q984" s="475"/>
      <c r="R984" s="475"/>
      <c r="S984" s="474" t="s">
        <v>1563</v>
      </c>
      <c r="T984" s="474">
        <v>60</v>
      </c>
      <c r="U984" s="474" t="s">
        <v>1760</v>
      </c>
      <c r="V984" s="474" t="s">
        <v>973</v>
      </c>
      <c r="W984" s="474">
        <v>400</v>
      </c>
      <c r="X984" s="476">
        <v>768</v>
      </c>
      <c r="Y984" s="477">
        <f t="shared" si="205"/>
        <v>307200</v>
      </c>
      <c r="Z984" s="478">
        <f t="shared" si="206"/>
        <v>0.55500000000000005</v>
      </c>
      <c r="AA984" s="479">
        <f t="shared" si="207"/>
        <v>170496.00000000003</v>
      </c>
      <c r="AB984" s="480"/>
      <c r="AC984" s="481">
        <v>0</v>
      </c>
      <c r="AD984" s="490"/>
      <c r="AE984" s="482"/>
      <c r="AF984" s="493">
        <f t="shared" si="208"/>
        <v>170496.00000000003</v>
      </c>
      <c r="AG984" s="474" t="s">
        <v>1071</v>
      </c>
      <c r="AH984" s="474"/>
      <c r="AI984" s="483">
        <v>60</v>
      </c>
      <c r="AJ984" s="474" t="s">
        <v>2472</v>
      </c>
      <c r="AK984" s="494" t="s">
        <v>1133</v>
      </c>
      <c r="AL984" s="474">
        <v>85008</v>
      </c>
      <c r="AM984" s="474" t="s">
        <v>52</v>
      </c>
      <c r="AN984" s="474" t="s">
        <v>50</v>
      </c>
      <c r="AO984" s="474"/>
      <c r="AP984" s="486"/>
      <c r="AQ984" s="486" t="s">
        <v>37</v>
      </c>
      <c r="AR984" s="486"/>
      <c r="AS984" s="495"/>
      <c r="AT984" s="495"/>
      <c r="AU984" s="478"/>
      <c r="AV984" s="471" t="str">
        <f t="shared" si="202"/>
        <v>30390156H</v>
      </c>
      <c r="AW984" s="471" cm="1">
        <f t="array" ref="AW984">SUM(MID(0&amp;AV984,LARGE(INDEX(ISNUMBER(--MID(AV984,ROW($1:$8),1))*ROW($1:$8),),ROW($1:$8))+1,1)*10^ROW($1:$8)/10)</f>
        <v>30390156</v>
      </c>
      <c r="AX984" s="471" t="str">
        <f>VLOOKUP($AW984,'Item Master Data'!$A:$F,3,FALSE)</f>
        <v>Q.PEAK DUO BLK ML G10+</v>
      </c>
      <c r="AY984" s="471">
        <f>VLOOKUP($AW984,'Item Master Data'!$A:$F,6,FALSE)</f>
        <v>400</v>
      </c>
      <c r="AZ984" s="471">
        <f t="shared" si="203"/>
        <v>24</v>
      </c>
      <c r="BA984" s="471">
        <f>VLOOKUP(AW984,'Item Master Data'!$A:$G,7,FALSE)</f>
        <v>32</v>
      </c>
      <c r="BB984" s="471"/>
      <c r="BC984" s="471">
        <f t="shared" si="204"/>
        <v>0</v>
      </c>
    </row>
    <row r="985" spans="1:55">
      <c r="A985" s="472"/>
      <c r="B985" s="514"/>
      <c r="C985" s="514"/>
      <c r="D985" s="485" t="s">
        <v>2322</v>
      </c>
      <c r="E985" s="474"/>
      <c r="F985" s="474"/>
      <c r="G985" s="474">
        <v>2022</v>
      </c>
      <c r="H985" s="474">
        <v>5</v>
      </c>
      <c r="I985" s="485"/>
      <c r="J985" s="475"/>
      <c r="K985" s="654" t="s">
        <v>2681</v>
      </c>
      <c r="L985" s="474" t="s">
        <v>2459</v>
      </c>
      <c r="M985" s="487">
        <v>44512</v>
      </c>
      <c r="N985" s="487">
        <v>44691</v>
      </c>
      <c r="O985" s="487"/>
      <c r="P985" s="502" t="s">
        <v>5693</v>
      </c>
      <c r="Q985" s="475"/>
      <c r="R985" s="475"/>
      <c r="S985" s="474" t="s">
        <v>1563</v>
      </c>
      <c r="T985" s="474">
        <v>60</v>
      </c>
      <c r="U985" s="474" t="s">
        <v>1760</v>
      </c>
      <c r="V985" s="474" t="s">
        <v>973</v>
      </c>
      <c r="W985" s="474">
        <v>400</v>
      </c>
      <c r="X985" s="476">
        <v>768</v>
      </c>
      <c r="Y985" s="477">
        <f t="shared" si="205"/>
        <v>307200</v>
      </c>
      <c r="Z985" s="478">
        <f t="shared" si="206"/>
        <v>0.55500000000000005</v>
      </c>
      <c r="AA985" s="479">
        <f t="shared" si="207"/>
        <v>170496.00000000003</v>
      </c>
      <c r="AB985" s="480"/>
      <c r="AC985" s="481">
        <v>0</v>
      </c>
      <c r="AD985" s="490"/>
      <c r="AE985" s="482"/>
      <c r="AF985" s="493">
        <f t="shared" si="208"/>
        <v>170496.00000000003</v>
      </c>
      <c r="AG985" s="474" t="s">
        <v>1071</v>
      </c>
      <c r="AH985" s="474"/>
      <c r="AI985" s="483">
        <v>60</v>
      </c>
      <c r="AJ985" s="474" t="s">
        <v>2472</v>
      </c>
      <c r="AK985" s="494" t="s">
        <v>1133</v>
      </c>
      <c r="AL985" s="474">
        <v>85008</v>
      </c>
      <c r="AM985" s="474" t="s">
        <v>52</v>
      </c>
      <c r="AN985" s="474" t="s">
        <v>50</v>
      </c>
      <c r="AO985" s="474"/>
      <c r="AP985" s="486"/>
      <c r="AQ985" s="486" t="s">
        <v>37</v>
      </c>
      <c r="AR985" s="486"/>
      <c r="AS985" s="495"/>
      <c r="AT985" s="495"/>
      <c r="AU985" s="478"/>
      <c r="AV985" s="471" t="str">
        <f t="shared" si="202"/>
        <v>30390156H</v>
      </c>
      <c r="AW985" s="471" cm="1">
        <f t="array" ref="AW985">SUM(MID(0&amp;AV985,LARGE(INDEX(ISNUMBER(--MID(AV985,ROW($1:$8),1))*ROW($1:$8),),ROW($1:$8))+1,1)*10^ROW($1:$8)/10)</f>
        <v>30390156</v>
      </c>
      <c r="AX985" s="471" t="str">
        <f>VLOOKUP($AW985,'Item Master Data'!$A:$F,3,FALSE)</f>
        <v>Q.PEAK DUO BLK ML G10+</v>
      </c>
      <c r="AY985" s="471">
        <f>VLOOKUP($AW985,'Item Master Data'!$A:$F,6,FALSE)</f>
        <v>400</v>
      </c>
      <c r="AZ985" s="471">
        <f t="shared" si="203"/>
        <v>24</v>
      </c>
      <c r="BA985" s="471">
        <f>VLOOKUP(AW985,'Item Master Data'!$A:$G,7,FALSE)</f>
        <v>32</v>
      </c>
      <c r="BB985" s="471"/>
      <c r="BC985" s="471">
        <f t="shared" si="204"/>
        <v>0</v>
      </c>
    </row>
    <row r="986" spans="1:55">
      <c r="A986" s="472"/>
      <c r="B986" s="514"/>
      <c r="C986" s="514"/>
      <c r="D986" s="485" t="s">
        <v>2322</v>
      </c>
      <c r="E986" s="474" t="s">
        <v>1283</v>
      </c>
      <c r="F986" s="474"/>
      <c r="G986" s="474">
        <v>2022</v>
      </c>
      <c r="H986" s="474">
        <v>11</v>
      </c>
      <c r="I986" s="485"/>
      <c r="J986" s="475"/>
      <c r="K986" s="483" t="s">
        <v>2865</v>
      </c>
      <c r="L986" s="474" t="s">
        <v>2459</v>
      </c>
      <c r="M986" s="487">
        <v>44512</v>
      </c>
      <c r="N986" s="487">
        <v>44716</v>
      </c>
      <c r="O986" s="487"/>
      <c r="P986" s="475"/>
      <c r="Q986" s="475"/>
      <c r="R986" s="475"/>
      <c r="S986" s="474" t="s">
        <v>1563</v>
      </c>
      <c r="T986" s="474">
        <v>60</v>
      </c>
      <c r="U986" s="474">
        <v>49401140</v>
      </c>
      <c r="V986" s="474" t="s">
        <v>2525</v>
      </c>
      <c r="W986" s="474">
        <v>400</v>
      </c>
      <c r="X986" s="476">
        <v>768</v>
      </c>
      <c r="Y986" s="477">
        <f t="shared" si="205"/>
        <v>307200</v>
      </c>
      <c r="Z986" s="478">
        <f t="shared" si="206"/>
        <v>0.55500000000000005</v>
      </c>
      <c r="AA986" s="479">
        <f t="shared" si="207"/>
        <v>170496.00000000003</v>
      </c>
      <c r="AB986" s="480"/>
      <c r="AC986" s="481">
        <v>0</v>
      </c>
      <c r="AD986" s="490"/>
      <c r="AE986" s="482"/>
      <c r="AF986" s="493">
        <f t="shared" si="208"/>
        <v>170496.00000000003</v>
      </c>
      <c r="AG986" s="474" t="s">
        <v>1071</v>
      </c>
      <c r="AH986" s="474"/>
      <c r="AI986" s="483">
        <v>60</v>
      </c>
      <c r="AJ986" s="474" t="s">
        <v>2472</v>
      </c>
      <c r="AK986" s="494" t="s">
        <v>1133</v>
      </c>
      <c r="AL986" s="474">
        <v>85008</v>
      </c>
      <c r="AM986" s="474" t="s">
        <v>52</v>
      </c>
      <c r="AN986" s="474"/>
      <c r="AO986" s="474"/>
      <c r="AP986" s="486"/>
      <c r="AQ986" s="486" t="s">
        <v>37</v>
      </c>
      <c r="AR986" s="486"/>
      <c r="AS986" s="495"/>
      <c r="AT986" s="495"/>
      <c r="AU986" s="478"/>
      <c r="AV986" s="471">
        <f t="shared" si="202"/>
        <v>49401140</v>
      </c>
      <c r="AW986" s="471" cm="1">
        <f t="array" ref="AW986">SUM(MID(0&amp;AV986,LARGE(INDEX(ISNUMBER(--MID(AV986,ROW($1:$8),1))*ROW($1:$8),),ROW($1:$8))+1,1)*10^ROW($1:$8)/10)</f>
        <v>49401140</v>
      </c>
      <c r="AX986" s="471" t="str">
        <f>VLOOKUP($AW986,'Item Master Data'!$A:$F,3,FALSE)</f>
        <v>Q.PEAK DUO BLK ML G10.a+</v>
      </c>
      <c r="AY986" s="471">
        <f>VLOOKUP($AW986,'Item Master Data'!$A:$F,6,FALSE)</f>
        <v>400</v>
      </c>
      <c r="AZ986" s="471">
        <f t="shared" si="203"/>
        <v>24</v>
      </c>
      <c r="BA986" s="471">
        <f>VLOOKUP(AW986,'Item Master Data'!$A:$G,7,FALSE)</f>
        <v>32</v>
      </c>
      <c r="BB986" s="471"/>
      <c r="BC986" s="471">
        <f t="shared" si="204"/>
        <v>0</v>
      </c>
    </row>
    <row r="987" spans="1:55">
      <c r="A987" s="472"/>
      <c r="B987" s="514"/>
      <c r="C987" s="514"/>
      <c r="D987" s="485" t="s">
        <v>2322</v>
      </c>
      <c r="E987" s="474" t="s">
        <v>1283</v>
      </c>
      <c r="F987" s="474"/>
      <c r="G987" s="474">
        <v>2022</v>
      </c>
      <c r="H987" s="474">
        <v>11</v>
      </c>
      <c r="I987" s="485"/>
      <c r="J987" s="475"/>
      <c r="K987" s="483" t="s">
        <v>2866</v>
      </c>
      <c r="L987" s="474" t="s">
        <v>2459</v>
      </c>
      <c r="M987" s="487">
        <v>44512</v>
      </c>
      <c r="N987" s="487">
        <v>44720</v>
      </c>
      <c r="O987" s="487"/>
      <c r="P987" s="475"/>
      <c r="Q987" s="475"/>
      <c r="R987" s="475"/>
      <c r="S987" s="474" t="s">
        <v>1563</v>
      </c>
      <c r="T987" s="474">
        <v>60</v>
      </c>
      <c r="U987" s="474">
        <v>49401140</v>
      </c>
      <c r="V987" s="474" t="s">
        <v>2525</v>
      </c>
      <c r="W987" s="474">
        <v>400</v>
      </c>
      <c r="X987" s="476">
        <v>768</v>
      </c>
      <c r="Y987" s="477">
        <f t="shared" si="205"/>
        <v>307200</v>
      </c>
      <c r="Z987" s="478">
        <f t="shared" si="206"/>
        <v>0.55500000000000005</v>
      </c>
      <c r="AA987" s="479">
        <f t="shared" si="207"/>
        <v>170496.00000000003</v>
      </c>
      <c r="AB987" s="480"/>
      <c r="AC987" s="481">
        <v>0</v>
      </c>
      <c r="AD987" s="490"/>
      <c r="AE987" s="482"/>
      <c r="AF987" s="493">
        <f t="shared" si="208"/>
        <v>170496.00000000003</v>
      </c>
      <c r="AG987" s="474" t="s">
        <v>1071</v>
      </c>
      <c r="AH987" s="474"/>
      <c r="AI987" s="483">
        <v>60</v>
      </c>
      <c r="AJ987" s="474" t="s">
        <v>2472</v>
      </c>
      <c r="AK987" s="494" t="s">
        <v>1133</v>
      </c>
      <c r="AL987" s="474">
        <v>85008</v>
      </c>
      <c r="AM987" s="474" t="s">
        <v>52</v>
      </c>
      <c r="AN987" s="474"/>
      <c r="AO987" s="474"/>
      <c r="AP987" s="486"/>
      <c r="AQ987" s="486" t="s">
        <v>37</v>
      </c>
      <c r="AR987" s="486"/>
      <c r="AS987" s="495"/>
      <c r="AT987" s="495"/>
      <c r="AU987" s="478"/>
      <c r="AV987" s="471">
        <f t="shared" si="202"/>
        <v>49401140</v>
      </c>
      <c r="AW987" s="471" cm="1">
        <f t="array" ref="AW987">SUM(MID(0&amp;AV987,LARGE(INDEX(ISNUMBER(--MID(AV987,ROW($1:$8),1))*ROW($1:$8),),ROW($1:$8))+1,1)*10^ROW($1:$8)/10)</f>
        <v>49401140</v>
      </c>
      <c r="AX987" s="471" t="str">
        <f>VLOOKUP($AW987,'Item Master Data'!$A:$F,3,FALSE)</f>
        <v>Q.PEAK DUO BLK ML G10.a+</v>
      </c>
      <c r="AY987" s="471">
        <f>VLOOKUP($AW987,'Item Master Data'!$A:$F,6,FALSE)</f>
        <v>400</v>
      </c>
      <c r="AZ987" s="471">
        <f t="shared" si="203"/>
        <v>24</v>
      </c>
      <c r="BA987" s="471">
        <f>VLOOKUP(AW987,'Item Master Data'!$A:$G,7,FALSE)</f>
        <v>32</v>
      </c>
      <c r="BB987" s="471"/>
      <c r="BC987" s="471">
        <f t="shared" si="204"/>
        <v>0</v>
      </c>
    </row>
    <row r="988" spans="1:55">
      <c r="A988" s="472"/>
      <c r="B988" s="514"/>
      <c r="C988" s="514"/>
      <c r="D988" s="485" t="s">
        <v>2322</v>
      </c>
      <c r="E988" s="474" t="s">
        <v>1283</v>
      </c>
      <c r="F988" s="474"/>
      <c r="G988" s="474">
        <v>2022</v>
      </c>
      <c r="H988" s="474">
        <v>11</v>
      </c>
      <c r="I988" s="485"/>
      <c r="J988" s="475"/>
      <c r="K988" s="483" t="s">
        <v>2867</v>
      </c>
      <c r="L988" s="474" t="s">
        <v>2459</v>
      </c>
      <c r="M988" s="487">
        <v>44512</v>
      </c>
      <c r="N988" s="487">
        <v>44724</v>
      </c>
      <c r="O988" s="487"/>
      <c r="P988" s="475"/>
      <c r="Q988" s="475"/>
      <c r="R988" s="475"/>
      <c r="S988" s="474" t="s">
        <v>1563</v>
      </c>
      <c r="T988" s="474">
        <v>60</v>
      </c>
      <c r="U988" s="474">
        <v>49401140</v>
      </c>
      <c r="V988" s="474" t="s">
        <v>2525</v>
      </c>
      <c r="W988" s="474">
        <v>400</v>
      </c>
      <c r="X988" s="476">
        <v>768</v>
      </c>
      <c r="Y988" s="477">
        <f t="shared" si="205"/>
        <v>307200</v>
      </c>
      <c r="Z988" s="478">
        <f t="shared" si="206"/>
        <v>0.55500000000000005</v>
      </c>
      <c r="AA988" s="479">
        <f t="shared" si="207"/>
        <v>170496.00000000003</v>
      </c>
      <c r="AB988" s="480"/>
      <c r="AC988" s="481">
        <v>0</v>
      </c>
      <c r="AD988" s="490"/>
      <c r="AE988" s="482"/>
      <c r="AF988" s="493">
        <f t="shared" si="208"/>
        <v>170496.00000000003</v>
      </c>
      <c r="AG988" s="474" t="s">
        <v>1071</v>
      </c>
      <c r="AH988" s="474"/>
      <c r="AI988" s="483">
        <v>60</v>
      </c>
      <c r="AJ988" s="474" t="s">
        <v>2472</v>
      </c>
      <c r="AK988" s="494" t="s">
        <v>1133</v>
      </c>
      <c r="AL988" s="474">
        <v>85008</v>
      </c>
      <c r="AM988" s="474" t="s">
        <v>52</v>
      </c>
      <c r="AN988" s="474"/>
      <c r="AO988" s="474"/>
      <c r="AP988" s="486"/>
      <c r="AQ988" s="486" t="s">
        <v>37</v>
      </c>
      <c r="AR988" s="486"/>
      <c r="AS988" s="495"/>
      <c r="AT988" s="495"/>
      <c r="AU988" s="478"/>
      <c r="AV988" s="471">
        <f t="shared" si="202"/>
        <v>49401140</v>
      </c>
      <c r="AW988" s="471" cm="1">
        <f t="array" ref="AW988">SUM(MID(0&amp;AV988,LARGE(INDEX(ISNUMBER(--MID(AV988,ROW($1:$8),1))*ROW($1:$8),),ROW($1:$8))+1,1)*10^ROW($1:$8)/10)</f>
        <v>49401140</v>
      </c>
      <c r="AX988" s="471" t="str">
        <f>VLOOKUP($AW988,'Item Master Data'!$A:$F,3,FALSE)</f>
        <v>Q.PEAK DUO BLK ML G10.a+</v>
      </c>
      <c r="AY988" s="471">
        <f>VLOOKUP($AW988,'Item Master Data'!$A:$F,6,FALSE)</f>
        <v>400</v>
      </c>
      <c r="AZ988" s="471">
        <f t="shared" si="203"/>
        <v>24</v>
      </c>
      <c r="BA988" s="471">
        <f>VLOOKUP(AW988,'Item Master Data'!$A:$G,7,FALSE)</f>
        <v>32</v>
      </c>
      <c r="BB988" s="471"/>
      <c r="BC988" s="471">
        <f t="shared" si="204"/>
        <v>0</v>
      </c>
    </row>
    <row r="989" spans="1:55">
      <c r="A989" s="472"/>
      <c r="B989" s="514"/>
      <c r="C989" s="514"/>
      <c r="D989" s="485" t="s">
        <v>2322</v>
      </c>
      <c r="E989" s="474" t="s">
        <v>1283</v>
      </c>
      <c r="F989" s="474"/>
      <c r="G989" s="474">
        <v>2022</v>
      </c>
      <c r="H989" s="474">
        <v>11</v>
      </c>
      <c r="I989" s="485"/>
      <c r="J989" s="475"/>
      <c r="K989" s="483" t="s">
        <v>2868</v>
      </c>
      <c r="L989" s="474" t="s">
        <v>2459</v>
      </c>
      <c r="M989" s="487">
        <v>44512</v>
      </c>
      <c r="N989" s="487">
        <v>44730</v>
      </c>
      <c r="O989" s="487"/>
      <c r="P989" s="475"/>
      <c r="Q989" s="475"/>
      <c r="R989" s="475"/>
      <c r="S989" s="474" t="s">
        <v>1563</v>
      </c>
      <c r="T989" s="474">
        <v>60</v>
      </c>
      <c r="U989" s="474">
        <v>49401140</v>
      </c>
      <c r="V989" s="474" t="s">
        <v>2525</v>
      </c>
      <c r="W989" s="474">
        <v>400</v>
      </c>
      <c r="X989" s="476">
        <v>768</v>
      </c>
      <c r="Y989" s="477">
        <f t="shared" si="205"/>
        <v>307200</v>
      </c>
      <c r="Z989" s="478">
        <f t="shared" si="206"/>
        <v>0.55500000000000005</v>
      </c>
      <c r="AA989" s="479">
        <f t="shared" si="207"/>
        <v>170496.00000000003</v>
      </c>
      <c r="AB989" s="480"/>
      <c r="AC989" s="481">
        <v>0</v>
      </c>
      <c r="AD989" s="490"/>
      <c r="AE989" s="482"/>
      <c r="AF989" s="493">
        <f t="shared" si="208"/>
        <v>170496.00000000003</v>
      </c>
      <c r="AG989" s="474" t="s">
        <v>1071</v>
      </c>
      <c r="AH989" s="474"/>
      <c r="AI989" s="483">
        <v>60</v>
      </c>
      <c r="AJ989" s="474" t="s">
        <v>2472</v>
      </c>
      <c r="AK989" s="494" t="s">
        <v>1133</v>
      </c>
      <c r="AL989" s="474">
        <v>85008</v>
      </c>
      <c r="AM989" s="474" t="s">
        <v>52</v>
      </c>
      <c r="AN989" s="474"/>
      <c r="AO989" s="474"/>
      <c r="AP989" s="486"/>
      <c r="AQ989" s="486" t="s">
        <v>37</v>
      </c>
      <c r="AR989" s="486"/>
      <c r="AS989" s="495"/>
      <c r="AT989" s="495"/>
      <c r="AU989" s="478"/>
      <c r="AV989" s="471">
        <f t="shared" si="202"/>
        <v>49401140</v>
      </c>
      <c r="AW989" s="471" cm="1">
        <f t="array" ref="AW989">SUM(MID(0&amp;AV989,LARGE(INDEX(ISNUMBER(--MID(AV989,ROW($1:$8),1))*ROW($1:$8),),ROW($1:$8))+1,1)*10^ROW($1:$8)/10)</f>
        <v>49401140</v>
      </c>
      <c r="AX989" s="471" t="str">
        <f>VLOOKUP($AW989,'Item Master Data'!$A:$F,3,FALSE)</f>
        <v>Q.PEAK DUO BLK ML G10.a+</v>
      </c>
      <c r="AY989" s="471">
        <f>VLOOKUP($AW989,'Item Master Data'!$A:$F,6,FALSE)</f>
        <v>400</v>
      </c>
      <c r="AZ989" s="471">
        <f t="shared" si="203"/>
        <v>24</v>
      </c>
      <c r="BA989" s="471">
        <f>VLOOKUP(AW989,'Item Master Data'!$A:$G,7,FALSE)</f>
        <v>32</v>
      </c>
      <c r="BB989" s="471"/>
      <c r="BC989" s="471">
        <f t="shared" si="204"/>
        <v>0</v>
      </c>
    </row>
    <row r="990" spans="1:55">
      <c r="A990" s="472"/>
      <c r="B990" s="514"/>
      <c r="C990" s="514"/>
      <c r="D990" s="485" t="s">
        <v>2322</v>
      </c>
      <c r="E990" s="474" t="s">
        <v>5395</v>
      </c>
      <c r="F990" s="474"/>
      <c r="G990" s="474">
        <v>2022</v>
      </c>
      <c r="H990" s="474">
        <v>6</v>
      </c>
      <c r="I990" s="485"/>
      <c r="J990" s="475"/>
      <c r="K990" s="483" t="s">
        <v>2547</v>
      </c>
      <c r="L990" s="474" t="s">
        <v>2459</v>
      </c>
      <c r="M990" s="487">
        <v>44524</v>
      </c>
      <c r="N990" s="487">
        <v>44576</v>
      </c>
      <c r="O990" s="487"/>
      <c r="P990" s="475"/>
      <c r="Q990" s="475"/>
      <c r="R990" s="475"/>
      <c r="S990" s="474" t="s">
        <v>1563</v>
      </c>
      <c r="T990" s="474">
        <v>60</v>
      </c>
      <c r="U990" s="474">
        <v>49202132</v>
      </c>
      <c r="V990" s="474" t="s">
        <v>1223</v>
      </c>
      <c r="W990" s="474">
        <v>360</v>
      </c>
      <c r="X990" s="476">
        <v>624</v>
      </c>
      <c r="Y990" s="491">
        <f t="shared" si="205"/>
        <v>224640</v>
      </c>
      <c r="Z990" s="478">
        <f>284.4/360</f>
        <v>0.78999999999999992</v>
      </c>
      <c r="AA990" s="479">
        <f t="shared" si="207"/>
        <v>177465.59999999998</v>
      </c>
      <c r="AB990" s="480"/>
      <c r="AC990" s="481">
        <v>0</v>
      </c>
      <c r="AD990" s="490"/>
      <c r="AE990" s="482"/>
      <c r="AF990" s="493">
        <f t="shared" si="208"/>
        <v>177465.59999999998</v>
      </c>
      <c r="AG990" s="474" t="s">
        <v>1071</v>
      </c>
      <c r="AH990" s="474"/>
      <c r="AI990" s="483" t="s">
        <v>2442</v>
      </c>
      <c r="AJ990" s="474" t="s">
        <v>2472</v>
      </c>
      <c r="AK990" s="494" t="s">
        <v>1133</v>
      </c>
      <c r="AL990" s="474">
        <v>85008</v>
      </c>
      <c r="AM990" s="474" t="s">
        <v>52</v>
      </c>
      <c r="AN990" s="474" t="s">
        <v>1074</v>
      </c>
      <c r="AO990" s="474"/>
      <c r="AP990" s="486"/>
      <c r="AQ990" s="486" t="s">
        <v>37</v>
      </c>
      <c r="AR990" s="486"/>
      <c r="AS990" s="495"/>
      <c r="AT990" s="495"/>
      <c r="AU990" s="478"/>
      <c r="AV990" s="471">
        <f t="shared" si="202"/>
        <v>49202132</v>
      </c>
      <c r="AW990" s="471" cm="1">
        <f t="array" ref="AW990">SUM(MID(0&amp;AV990,LARGE(INDEX(ISNUMBER(--MID(AV990,ROW($1:$8),1))*ROW($1:$8),),ROW($1:$8))+1,1)*10^ROW($1:$8)/10)</f>
        <v>49202132</v>
      </c>
      <c r="AX990" s="471" t="str">
        <f>VLOOKUP($AW990,'Item Master Data'!$A:$F,3,FALSE)</f>
        <v>Q.PEAK DUO BLK G10+/AC</v>
      </c>
      <c r="AY990" s="471">
        <f>VLOOKUP($AW990,'Item Master Data'!$A:$F,6,FALSE)</f>
        <v>360</v>
      </c>
      <c r="AZ990" s="471">
        <f t="shared" si="203"/>
        <v>24</v>
      </c>
      <c r="BA990" s="471">
        <f>VLOOKUP(AW990,'Item Master Data'!$A:$G,7,FALSE)</f>
        <v>26</v>
      </c>
      <c r="BB990" s="471"/>
      <c r="BC990" s="471">
        <f t="shared" si="204"/>
        <v>0</v>
      </c>
    </row>
    <row r="991" spans="1:55">
      <c r="A991" s="472"/>
      <c r="B991" s="514"/>
      <c r="C991" s="514"/>
      <c r="D991" s="485" t="s">
        <v>2322</v>
      </c>
      <c r="E991" s="474" t="s">
        <v>5395</v>
      </c>
      <c r="F991" s="474"/>
      <c r="G991" s="474">
        <v>2022</v>
      </c>
      <c r="H991" s="474">
        <v>6</v>
      </c>
      <c r="I991" s="485"/>
      <c r="J991" s="475"/>
      <c r="K991" s="483" t="s">
        <v>2548</v>
      </c>
      <c r="L991" s="474" t="s">
        <v>2459</v>
      </c>
      <c r="M991" s="487">
        <v>44524</v>
      </c>
      <c r="N991" s="487">
        <v>44607</v>
      </c>
      <c r="O991" s="487"/>
      <c r="P991" s="475"/>
      <c r="Q991" s="475"/>
      <c r="R991" s="475"/>
      <c r="S991" s="474" t="s">
        <v>1563</v>
      </c>
      <c r="T991" s="474">
        <v>60</v>
      </c>
      <c r="U991" s="474">
        <v>49202132</v>
      </c>
      <c r="V991" s="474" t="s">
        <v>1223</v>
      </c>
      <c r="W991" s="474">
        <v>360</v>
      </c>
      <c r="X991" s="476">
        <v>624</v>
      </c>
      <c r="Y991" s="491">
        <f t="shared" si="205"/>
        <v>224640</v>
      </c>
      <c r="Z991" s="478">
        <f>284.4/360</f>
        <v>0.78999999999999992</v>
      </c>
      <c r="AA991" s="479">
        <f t="shared" si="207"/>
        <v>177465.59999999998</v>
      </c>
      <c r="AB991" s="480"/>
      <c r="AC991" s="481">
        <v>0</v>
      </c>
      <c r="AD991" s="490"/>
      <c r="AE991" s="482"/>
      <c r="AF991" s="493">
        <f t="shared" si="208"/>
        <v>177465.59999999998</v>
      </c>
      <c r="AG991" s="474" t="s">
        <v>1071</v>
      </c>
      <c r="AH991" s="474"/>
      <c r="AI991" s="483" t="s">
        <v>2442</v>
      </c>
      <c r="AJ991" s="474" t="s">
        <v>2472</v>
      </c>
      <c r="AK991" s="494" t="s">
        <v>1133</v>
      </c>
      <c r="AL991" s="474">
        <v>85008</v>
      </c>
      <c r="AM991" s="474" t="s">
        <v>52</v>
      </c>
      <c r="AN991" s="474" t="s">
        <v>1074</v>
      </c>
      <c r="AO991" s="474"/>
      <c r="AP991" s="486"/>
      <c r="AQ991" s="486" t="s">
        <v>37</v>
      </c>
      <c r="AR991" s="486"/>
      <c r="AS991" s="495"/>
      <c r="AT991" s="495"/>
      <c r="AU991" s="478"/>
      <c r="AV991" s="471">
        <f t="shared" si="202"/>
        <v>49202132</v>
      </c>
      <c r="AW991" s="471" cm="1">
        <f t="array" ref="AW991">SUM(MID(0&amp;AV991,LARGE(INDEX(ISNUMBER(--MID(AV991,ROW($1:$8),1))*ROW($1:$8),),ROW($1:$8))+1,1)*10^ROW($1:$8)/10)</f>
        <v>49202132</v>
      </c>
      <c r="AX991" s="471" t="str">
        <f>VLOOKUP($AW991,'Item Master Data'!$A:$F,3,FALSE)</f>
        <v>Q.PEAK DUO BLK G10+/AC</v>
      </c>
      <c r="AY991" s="471">
        <f>VLOOKUP($AW991,'Item Master Data'!$A:$F,6,FALSE)</f>
        <v>360</v>
      </c>
      <c r="AZ991" s="471">
        <f t="shared" si="203"/>
        <v>24</v>
      </c>
      <c r="BA991" s="471">
        <f>VLOOKUP(AW991,'Item Master Data'!$A:$G,7,FALSE)</f>
        <v>26</v>
      </c>
      <c r="BB991" s="471"/>
      <c r="BC991" s="471">
        <f t="shared" si="204"/>
        <v>0</v>
      </c>
    </row>
    <row r="992" spans="1:55">
      <c r="A992" s="472"/>
      <c r="B992" s="514"/>
      <c r="C992" s="514"/>
      <c r="D992" s="485" t="s">
        <v>2322</v>
      </c>
      <c r="E992" s="474"/>
      <c r="F992" s="474"/>
      <c r="G992" s="474">
        <v>2022</v>
      </c>
      <c r="H992" s="474">
        <v>4</v>
      </c>
      <c r="I992" s="485"/>
      <c r="J992" s="475">
        <v>44680</v>
      </c>
      <c r="K992" s="483" t="s">
        <v>2549</v>
      </c>
      <c r="L992" s="474" t="s">
        <v>2459</v>
      </c>
      <c r="M992" s="487">
        <v>44524</v>
      </c>
      <c r="N992" s="487">
        <v>44635</v>
      </c>
      <c r="O992" s="487"/>
      <c r="P992" s="475">
        <v>44664</v>
      </c>
      <c r="Q992" s="475">
        <v>44680</v>
      </c>
      <c r="R992" s="475">
        <v>44684</v>
      </c>
      <c r="S992" s="474" t="s">
        <v>1563</v>
      </c>
      <c r="T992" s="474">
        <v>60</v>
      </c>
      <c r="U992" s="474">
        <v>49204132</v>
      </c>
      <c r="V992" s="474" t="s">
        <v>1223</v>
      </c>
      <c r="W992" s="474">
        <v>360</v>
      </c>
      <c r="X992" s="476">
        <v>624</v>
      </c>
      <c r="Y992" s="491">
        <f t="shared" si="205"/>
        <v>224640</v>
      </c>
      <c r="Z992" s="478">
        <f>298.8/360</f>
        <v>0.83000000000000007</v>
      </c>
      <c r="AA992" s="479">
        <f t="shared" si="207"/>
        <v>186451.20000000001</v>
      </c>
      <c r="AB992" s="480"/>
      <c r="AC992" s="481">
        <v>0</v>
      </c>
      <c r="AD992" s="490"/>
      <c r="AE992" s="482"/>
      <c r="AF992" s="493">
        <f t="shared" si="208"/>
        <v>186451.20000000001</v>
      </c>
      <c r="AG992" s="474" t="s">
        <v>1071</v>
      </c>
      <c r="AH992" s="474"/>
      <c r="AI992" s="483" t="s">
        <v>2442</v>
      </c>
      <c r="AJ992" s="474" t="s">
        <v>2472</v>
      </c>
      <c r="AK992" s="494" t="s">
        <v>1133</v>
      </c>
      <c r="AL992" s="474">
        <v>85008</v>
      </c>
      <c r="AM992" s="474" t="s">
        <v>52</v>
      </c>
      <c r="AN992" s="474" t="s">
        <v>1106</v>
      </c>
      <c r="AO992" s="474"/>
      <c r="AP992" s="486"/>
      <c r="AQ992" s="486" t="s">
        <v>37</v>
      </c>
      <c r="AR992" s="486"/>
      <c r="AS992" s="495"/>
      <c r="AT992" s="495"/>
      <c r="AU992" s="478"/>
      <c r="AV992" s="471">
        <f t="shared" si="202"/>
        <v>49204132</v>
      </c>
      <c r="AW992" s="471" cm="1">
        <f t="array" ref="AW992">SUM(MID(0&amp;AV992,LARGE(INDEX(ISNUMBER(--MID(AV992,ROW($1:$8),1))*ROW($1:$8),),ROW($1:$8))+1,1)*10^ROW($1:$8)/10)</f>
        <v>49204132</v>
      </c>
      <c r="AX992" s="471" t="str">
        <f>VLOOKUP($AW992,'Item Master Data'!$A:$F,3,FALSE)</f>
        <v>Q.PEAK DUO BLK G10+/AC</v>
      </c>
      <c r="AY992" s="471">
        <f>VLOOKUP($AW992,'Item Master Data'!$A:$F,6,FALSE)</f>
        <v>360</v>
      </c>
      <c r="AZ992" s="471">
        <f t="shared" si="203"/>
        <v>24</v>
      </c>
      <c r="BA992" s="471">
        <f>VLOOKUP(AW992,'Item Master Data'!$A:$G,7,FALSE)</f>
        <v>26</v>
      </c>
      <c r="BB992" s="471"/>
      <c r="BC992" s="471">
        <f t="shared" si="204"/>
        <v>0</v>
      </c>
    </row>
    <row r="993" spans="1:55">
      <c r="A993" s="472"/>
      <c r="B993" s="514"/>
      <c r="C993" s="514"/>
      <c r="D993" s="485" t="s">
        <v>2322</v>
      </c>
      <c r="E993" s="474" t="s">
        <v>1283</v>
      </c>
      <c r="F993" s="474"/>
      <c r="G993" s="474">
        <v>2022</v>
      </c>
      <c r="H993" s="474">
        <v>6</v>
      </c>
      <c r="I993" s="485"/>
      <c r="J993" s="475"/>
      <c r="K993" s="483" t="s">
        <v>2589</v>
      </c>
      <c r="L993" s="474" t="s">
        <v>2459</v>
      </c>
      <c r="M993" s="487">
        <v>44524</v>
      </c>
      <c r="N993" s="487">
        <v>44666</v>
      </c>
      <c r="O993" s="487"/>
      <c r="P993" s="475"/>
      <c r="Q993" s="475"/>
      <c r="R993" s="475"/>
      <c r="S993" s="474" t="s">
        <v>1563</v>
      </c>
      <c r="T993" s="474">
        <v>60</v>
      </c>
      <c r="U993" s="474">
        <v>49202132</v>
      </c>
      <c r="V993" s="474" t="s">
        <v>1223</v>
      </c>
      <c r="W993" s="474">
        <v>360</v>
      </c>
      <c r="X993" s="476">
        <v>624</v>
      </c>
      <c r="Y993" s="477">
        <f t="shared" si="205"/>
        <v>224640</v>
      </c>
      <c r="Z993" s="478">
        <f>284.4/360</f>
        <v>0.78999999999999992</v>
      </c>
      <c r="AA993" s="479">
        <f t="shared" si="207"/>
        <v>177465.59999999998</v>
      </c>
      <c r="AB993" s="480"/>
      <c r="AC993" s="481">
        <v>0</v>
      </c>
      <c r="AD993" s="490"/>
      <c r="AE993" s="482"/>
      <c r="AF993" s="493">
        <f t="shared" si="208"/>
        <v>177465.59999999998</v>
      </c>
      <c r="AG993" s="474" t="s">
        <v>1071</v>
      </c>
      <c r="AH993" s="474"/>
      <c r="AI993" s="483" t="s">
        <v>2442</v>
      </c>
      <c r="AJ993" s="474" t="s">
        <v>2472</v>
      </c>
      <c r="AK993" s="494" t="s">
        <v>1133</v>
      </c>
      <c r="AL993" s="474">
        <v>85008</v>
      </c>
      <c r="AM993" s="474" t="s">
        <v>52</v>
      </c>
      <c r="AN993" s="474"/>
      <c r="AO993" s="474"/>
      <c r="AP993" s="486"/>
      <c r="AQ993" s="486" t="s">
        <v>37</v>
      </c>
      <c r="AR993" s="486"/>
      <c r="AS993" s="495"/>
      <c r="AT993" s="495"/>
      <c r="AU993" s="478"/>
      <c r="AV993" s="471">
        <f t="shared" si="202"/>
        <v>49202132</v>
      </c>
      <c r="AW993" s="471" cm="1">
        <f t="array" ref="AW993">SUM(MID(0&amp;AV993,LARGE(INDEX(ISNUMBER(--MID(AV993,ROW($1:$8),1))*ROW($1:$8),),ROW($1:$8))+1,1)*10^ROW($1:$8)/10)</f>
        <v>49202132</v>
      </c>
      <c r="AX993" s="471" t="str">
        <f>VLOOKUP($AW993,'Item Master Data'!$A:$F,3,FALSE)</f>
        <v>Q.PEAK DUO BLK G10+/AC</v>
      </c>
      <c r="AY993" s="471">
        <f>VLOOKUP($AW993,'Item Master Data'!$A:$F,6,FALSE)</f>
        <v>360</v>
      </c>
      <c r="AZ993" s="471">
        <f t="shared" si="203"/>
        <v>24</v>
      </c>
      <c r="BA993" s="471">
        <f>VLOOKUP(AW993,'Item Master Data'!$A:$G,7,FALSE)</f>
        <v>26</v>
      </c>
      <c r="BB993" s="471"/>
      <c r="BC993" s="471">
        <f t="shared" si="204"/>
        <v>0</v>
      </c>
    </row>
    <row r="994" spans="1:55">
      <c r="A994" s="472"/>
      <c r="B994" s="514">
        <v>44557</v>
      </c>
      <c r="C994" s="514">
        <v>44587</v>
      </c>
      <c r="D994" s="485" t="s">
        <v>2322</v>
      </c>
      <c r="E994" s="474" t="s">
        <v>1283</v>
      </c>
      <c r="F994" s="474"/>
      <c r="G994" s="474">
        <v>2022</v>
      </c>
      <c r="H994" s="474">
        <v>6</v>
      </c>
      <c r="I994" s="485"/>
      <c r="J994" s="475"/>
      <c r="K994" s="483" t="s">
        <v>2683</v>
      </c>
      <c r="L994" s="474" t="s">
        <v>2459</v>
      </c>
      <c r="M994" s="487">
        <v>44524</v>
      </c>
      <c r="N994" s="487">
        <v>44727</v>
      </c>
      <c r="O994" s="487"/>
      <c r="P994" s="475"/>
      <c r="Q994" s="475"/>
      <c r="R994" s="475"/>
      <c r="S994" s="474" t="s">
        <v>1563</v>
      </c>
      <c r="T994" s="474">
        <v>60</v>
      </c>
      <c r="U994" s="474" t="s">
        <v>1281</v>
      </c>
      <c r="V994" s="474" t="s">
        <v>1223</v>
      </c>
      <c r="W994" s="474">
        <v>360</v>
      </c>
      <c r="X994" s="476">
        <v>624</v>
      </c>
      <c r="Y994" s="477">
        <f t="shared" si="205"/>
        <v>224640</v>
      </c>
      <c r="Z994" s="478">
        <f>284.4/360</f>
        <v>0.78999999999999992</v>
      </c>
      <c r="AA994" s="479">
        <f t="shared" si="207"/>
        <v>177465.59999999998</v>
      </c>
      <c r="AB994" s="480"/>
      <c r="AC994" s="481">
        <v>0</v>
      </c>
      <c r="AD994" s="490"/>
      <c r="AE994" s="482"/>
      <c r="AF994" s="493">
        <f t="shared" si="208"/>
        <v>177465.59999999998</v>
      </c>
      <c r="AG994" s="474" t="s">
        <v>1071</v>
      </c>
      <c r="AH994" s="474"/>
      <c r="AI994" s="483" t="s">
        <v>2442</v>
      </c>
      <c r="AJ994" s="474" t="s">
        <v>2472</v>
      </c>
      <c r="AK994" s="494" t="s">
        <v>1133</v>
      </c>
      <c r="AL994" s="474">
        <v>85008</v>
      </c>
      <c r="AM994" s="474" t="s">
        <v>52</v>
      </c>
      <c r="AN994" s="474"/>
      <c r="AO994" s="474"/>
      <c r="AP994" s="486"/>
      <c r="AQ994" s="486" t="s">
        <v>37</v>
      </c>
      <c r="AR994" s="486"/>
      <c r="AS994" s="495"/>
      <c r="AT994" s="495"/>
      <c r="AU994" s="478"/>
      <c r="AV994" s="471" t="str">
        <f t="shared" si="202"/>
        <v>30390456H</v>
      </c>
      <c r="AW994" s="471" cm="1">
        <f t="array" ref="AW994">SUM(MID(0&amp;AV994,LARGE(INDEX(ISNUMBER(--MID(AV994,ROW($1:$8),1))*ROW($1:$8),),ROW($1:$8))+1,1)*10^ROW($1:$8)/10)</f>
        <v>30390456</v>
      </c>
      <c r="AX994" s="471" t="str">
        <f>VLOOKUP($AW994,'Item Master Data'!$A:$F,3,FALSE)</f>
        <v>Q.PEAK DUO BLK ML G10+</v>
      </c>
      <c r="AY994" s="471">
        <f>VLOOKUP($AW994,'Item Master Data'!$A:$F,6,FALSE)</f>
        <v>400</v>
      </c>
      <c r="AZ994" s="471">
        <f t="shared" si="203"/>
        <v>19.5</v>
      </c>
      <c r="BA994" s="471">
        <f>VLOOKUP(AW994,'Item Master Data'!$A:$G,7,FALSE)</f>
        <v>32</v>
      </c>
      <c r="BB994" s="471"/>
      <c r="BC994" s="471">
        <f t="shared" si="204"/>
        <v>-40</v>
      </c>
    </row>
    <row r="995" spans="1:55">
      <c r="A995" s="472"/>
      <c r="B995" s="514">
        <v>44557</v>
      </c>
      <c r="C995" s="514">
        <v>44587</v>
      </c>
      <c r="D995" s="485" t="s">
        <v>2322</v>
      </c>
      <c r="E995" s="474" t="s">
        <v>1283</v>
      </c>
      <c r="F995" s="474"/>
      <c r="G995" s="474">
        <v>2022</v>
      </c>
      <c r="H995" s="474">
        <v>7</v>
      </c>
      <c r="I995" s="485"/>
      <c r="J995" s="475"/>
      <c r="K995" s="483" t="s">
        <v>2736</v>
      </c>
      <c r="L995" s="474" t="s">
        <v>2459</v>
      </c>
      <c r="M995" s="487">
        <v>44544</v>
      </c>
      <c r="N995" s="487">
        <v>44752</v>
      </c>
      <c r="O995" s="487"/>
      <c r="P995" s="475"/>
      <c r="Q995" s="475"/>
      <c r="R995" s="475"/>
      <c r="S995" s="474" t="s">
        <v>1563</v>
      </c>
      <c r="T995" s="474">
        <v>60</v>
      </c>
      <c r="U995" s="474" t="s">
        <v>1281</v>
      </c>
      <c r="V995" s="474" t="s">
        <v>1223</v>
      </c>
      <c r="W995" s="474">
        <v>360</v>
      </c>
      <c r="X995" s="476">
        <v>624</v>
      </c>
      <c r="Y995" s="477">
        <f t="shared" si="205"/>
        <v>224640</v>
      </c>
      <c r="Z995" s="478">
        <v>0.79</v>
      </c>
      <c r="AA995" s="479">
        <f t="shared" si="207"/>
        <v>177465.60000000001</v>
      </c>
      <c r="AB995" s="480"/>
      <c r="AC995" s="481">
        <v>0</v>
      </c>
      <c r="AD995" s="490"/>
      <c r="AE995" s="482"/>
      <c r="AF995" s="493">
        <f t="shared" si="208"/>
        <v>177465.60000000001</v>
      </c>
      <c r="AG995" s="474" t="s">
        <v>1071</v>
      </c>
      <c r="AH995" s="474"/>
      <c r="AI995" s="483" t="s">
        <v>2442</v>
      </c>
      <c r="AJ995" s="474" t="s">
        <v>2472</v>
      </c>
      <c r="AK995" s="494" t="s">
        <v>1133</v>
      </c>
      <c r="AL995" s="474">
        <v>85008</v>
      </c>
      <c r="AM995" s="474" t="s">
        <v>52</v>
      </c>
      <c r="AN995" s="474" t="s">
        <v>1074</v>
      </c>
      <c r="AO995" s="474"/>
      <c r="AP995" s="486"/>
      <c r="AQ995" s="486" t="s">
        <v>37</v>
      </c>
      <c r="AR995" s="486"/>
      <c r="AS995" s="495"/>
      <c r="AT995" s="495"/>
      <c r="AU995" s="478"/>
      <c r="AV995" s="471" t="str">
        <f t="shared" si="202"/>
        <v>30390456H</v>
      </c>
      <c r="AW995" s="471" cm="1">
        <f t="array" ref="AW995">SUM(MID(0&amp;AV995,LARGE(INDEX(ISNUMBER(--MID(AV995,ROW($1:$8),1))*ROW($1:$8),),ROW($1:$8))+1,1)*10^ROW($1:$8)/10)</f>
        <v>30390456</v>
      </c>
      <c r="AX995" s="471" t="str">
        <f>VLOOKUP($AW995,'Item Master Data'!$A:$F,3,FALSE)</f>
        <v>Q.PEAK DUO BLK ML G10+</v>
      </c>
      <c r="AY995" s="471">
        <f>VLOOKUP($AW995,'Item Master Data'!$A:$F,6,FALSE)</f>
        <v>400</v>
      </c>
      <c r="AZ995" s="471">
        <f t="shared" si="203"/>
        <v>19.5</v>
      </c>
      <c r="BA995" s="471">
        <f>VLOOKUP(AW995,'Item Master Data'!$A:$G,7,FALSE)</f>
        <v>32</v>
      </c>
      <c r="BB995" s="471"/>
      <c r="BC995" s="471">
        <f t="shared" si="204"/>
        <v>-40</v>
      </c>
    </row>
    <row r="996" spans="1:55">
      <c r="A996" s="472"/>
      <c r="B996" s="514">
        <v>44557</v>
      </c>
      <c r="C996" s="514">
        <v>44587</v>
      </c>
      <c r="D996" s="485" t="s">
        <v>2322</v>
      </c>
      <c r="E996" s="474" t="s">
        <v>1283</v>
      </c>
      <c r="F996" s="474"/>
      <c r="G996" s="474">
        <v>2022</v>
      </c>
      <c r="H996" s="474">
        <v>8</v>
      </c>
      <c r="I996" s="485"/>
      <c r="J996" s="475"/>
      <c r="K996" s="483" t="s">
        <v>2771</v>
      </c>
      <c r="L996" s="474" t="s">
        <v>2459</v>
      </c>
      <c r="M996" s="487">
        <v>44545</v>
      </c>
      <c r="N996" s="487">
        <v>44781</v>
      </c>
      <c r="O996" s="487"/>
      <c r="P996" s="475"/>
      <c r="Q996" s="475"/>
      <c r="R996" s="475"/>
      <c r="S996" s="474" t="s">
        <v>1563</v>
      </c>
      <c r="T996" s="474">
        <v>60</v>
      </c>
      <c r="U996" s="474" t="s">
        <v>1109</v>
      </c>
      <c r="V996" s="474" t="s">
        <v>1223</v>
      </c>
      <c r="W996" s="474">
        <v>360</v>
      </c>
      <c r="X996" s="476">
        <v>624</v>
      </c>
      <c r="Y996" s="477">
        <f t="shared" si="205"/>
        <v>224640</v>
      </c>
      <c r="Z996" s="478">
        <v>0.79</v>
      </c>
      <c r="AA996" s="479">
        <f t="shared" si="207"/>
        <v>177465.60000000001</v>
      </c>
      <c r="AB996" s="480"/>
      <c r="AC996" s="481">
        <v>0</v>
      </c>
      <c r="AD996" s="490"/>
      <c r="AE996" s="482"/>
      <c r="AF996" s="493">
        <f t="shared" si="208"/>
        <v>177465.60000000001</v>
      </c>
      <c r="AG996" s="474" t="s">
        <v>1071</v>
      </c>
      <c r="AH996" s="474"/>
      <c r="AI996" s="483" t="s">
        <v>2442</v>
      </c>
      <c r="AJ996" s="474" t="s">
        <v>2472</v>
      </c>
      <c r="AK996" s="494" t="s">
        <v>1133</v>
      </c>
      <c r="AL996" s="474">
        <v>85008</v>
      </c>
      <c r="AM996" s="474" t="s">
        <v>52</v>
      </c>
      <c r="AN996" s="474" t="s">
        <v>1074</v>
      </c>
      <c r="AO996" s="474"/>
      <c r="AP996" s="486"/>
      <c r="AQ996" s="486" t="s">
        <v>37</v>
      </c>
      <c r="AR996" s="486"/>
      <c r="AS996" s="495"/>
      <c r="AT996" s="495"/>
      <c r="AU996" s="478"/>
      <c r="AV996" s="471" t="str">
        <f t="shared" si="202"/>
        <v>TBD</v>
      </c>
      <c r="AW996" s="471" cm="1">
        <f t="array" ref="AW996">SUM(MID(0&amp;AV996,LARGE(INDEX(ISNUMBER(--MID(AV996,ROW($1:$8),1))*ROW($1:$8),),ROW($1:$8))+1,1)*10^ROW($1:$8)/10)</f>
        <v>0</v>
      </c>
      <c r="AX996" s="471" t="e">
        <f>VLOOKUP($AW996,'Item Master Data'!$A:$F,3,FALSE)</f>
        <v>#N/A</v>
      </c>
      <c r="AY996" s="471" t="e">
        <f>VLOOKUP($AW996,'Item Master Data'!$A:$F,6,FALSE)</f>
        <v>#N/A</v>
      </c>
      <c r="AZ996" s="471" t="e">
        <f t="shared" si="203"/>
        <v>#N/A</v>
      </c>
      <c r="BA996" s="471" t="e">
        <f>VLOOKUP(AW996,'Item Master Data'!$A:$G,7,FALSE)</f>
        <v>#N/A</v>
      </c>
      <c r="BB996" s="471"/>
      <c r="BC996" s="471" t="e">
        <f t="shared" si="204"/>
        <v>#N/A</v>
      </c>
    </row>
    <row r="997" spans="1:55">
      <c r="A997" s="472"/>
      <c r="B997" s="514">
        <v>44557</v>
      </c>
      <c r="C997" s="514">
        <v>44587</v>
      </c>
      <c r="D997" s="485" t="s">
        <v>2322</v>
      </c>
      <c r="E997" s="474" t="s">
        <v>1283</v>
      </c>
      <c r="F997" s="474"/>
      <c r="G997" s="474">
        <v>2022</v>
      </c>
      <c r="H997" s="474">
        <v>8</v>
      </c>
      <c r="I997" s="485"/>
      <c r="J997" s="475"/>
      <c r="K997" s="483" t="s">
        <v>2772</v>
      </c>
      <c r="L997" s="474" t="s">
        <v>2459</v>
      </c>
      <c r="M997" s="487">
        <v>44545</v>
      </c>
      <c r="N997" s="487">
        <v>44789</v>
      </c>
      <c r="O997" s="487"/>
      <c r="P997" s="475"/>
      <c r="Q997" s="475"/>
      <c r="R997" s="475"/>
      <c r="S997" s="474" t="s">
        <v>1563</v>
      </c>
      <c r="T997" s="474">
        <v>60</v>
      </c>
      <c r="U997" s="474" t="s">
        <v>1109</v>
      </c>
      <c r="V997" s="474" t="s">
        <v>1223</v>
      </c>
      <c r="W997" s="474">
        <v>360</v>
      </c>
      <c r="X997" s="476">
        <v>624</v>
      </c>
      <c r="Y997" s="477">
        <f t="shared" si="205"/>
        <v>224640</v>
      </c>
      <c r="Z997" s="478">
        <v>0.79</v>
      </c>
      <c r="AA997" s="479">
        <f t="shared" si="207"/>
        <v>177465.60000000001</v>
      </c>
      <c r="AB997" s="480"/>
      <c r="AC997" s="481">
        <v>0</v>
      </c>
      <c r="AD997" s="490"/>
      <c r="AE997" s="482"/>
      <c r="AF997" s="493">
        <f t="shared" si="208"/>
        <v>177465.60000000001</v>
      </c>
      <c r="AG997" s="474" t="s">
        <v>1071</v>
      </c>
      <c r="AH997" s="474"/>
      <c r="AI997" s="483" t="s">
        <v>2442</v>
      </c>
      <c r="AJ997" s="474" t="s">
        <v>2472</v>
      </c>
      <c r="AK997" s="494" t="s">
        <v>1133</v>
      </c>
      <c r="AL997" s="474">
        <v>85008</v>
      </c>
      <c r="AM997" s="474" t="s">
        <v>52</v>
      </c>
      <c r="AN997" s="474" t="s">
        <v>1074</v>
      </c>
      <c r="AO997" s="474"/>
      <c r="AP997" s="486"/>
      <c r="AQ997" s="486" t="s">
        <v>37</v>
      </c>
      <c r="AR997" s="486"/>
      <c r="AS997" s="495"/>
      <c r="AT997" s="495"/>
      <c r="AU997" s="478"/>
      <c r="AV997" s="471" t="str">
        <f t="shared" si="202"/>
        <v>TBD</v>
      </c>
      <c r="AW997" s="471" cm="1">
        <f t="array" ref="AW997">SUM(MID(0&amp;AV997,LARGE(INDEX(ISNUMBER(--MID(AV997,ROW($1:$8),1))*ROW($1:$8),),ROW($1:$8))+1,1)*10^ROW($1:$8)/10)</f>
        <v>0</v>
      </c>
      <c r="AX997" s="471" t="e">
        <f>VLOOKUP($AW997,'Item Master Data'!$A:$F,3,FALSE)</f>
        <v>#N/A</v>
      </c>
      <c r="AY997" s="471" t="e">
        <f>VLOOKUP($AW997,'Item Master Data'!$A:$F,6,FALSE)</f>
        <v>#N/A</v>
      </c>
      <c r="AZ997" s="471" t="e">
        <f t="shared" si="203"/>
        <v>#N/A</v>
      </c>
      <c r="BA997" s="471" t="e">
        <f>VLOOKUP(AW997,'Item Master Data'!$A:$G,7,FALSE)</f>
        <v>#N/A</v>
      </c>
      <c r="BB997" s="471"/>
      <c r="BC997" s="471" t="e">
        <f t="shared" si="204"/>
        <v>#N/A</v>
      </c>
    </row>
    <row r="998" spans="1:55">
      <c r="A998" s="472"/>
      <c r="B998" s="514">
        <v>44557</v>
      </c>
      <c r="C998" s="514">
        <v>44587</v>
      </c>
      <c r="D998" s="485" t="s">
        <v>2322</v>
      </c>
      <c r="E998" s="474" t="s">
        <v>1283</v>
      </c>
      <c r="F998" s="474"/>
      <c r="G998" s="474">
        <v>2022</v>
      </c>
      <c r="H998" s="474">
        <v>9</v>
      </c>
      <c r="I998" s="485"/>
      <c r="J998" s="475"/>
      <c r="K998" s="483" t="s">
        <v>2804</v>
      </c>
      <c r="L998" s="474" t="s">
        <v>2459</v>
      </c>
      <c r="M998" s="487">
        <v>44545</v>
      </c>
      <c r="N998" s="487">
        <v>44814</v>
      </c>
      <c r="O998" s="487"/>
      <c r="P998" s="475"/>
      <c r="Q998" s="475"/>
      <c r="R998" s="475"/>
      <c r="S998" s="474" t="s">
        <v>1563</v>
      </c>
      <c r="T998" s="474">
        <v>60</v>
      </c>
      <c r="U998" s="474" t="s">
        <v>1109</v>
      </c>
      <c r="V998" s="474" t="s">
        <v>1223</v>
      </c>
      <c r="W998" s="474">
        <v>360</v>
      </c>
      <c r="X998" s="476">
        <v>624</v>
      </c>
      <c r="Y998" s="477">
        <f t="shared" si="205"/>
        <v>224640</v>
      </c>
      <c r="Z998" s="478">
        <v>0.79</v>
      </c>
      <c r="AA998" s="479">
        <f t="shared" si="207"/>
        <v>177465.60000000001</v>
      </c>
      <c r="AB998" s="480"/>
      <c r="AC998" s="481">
        <v>0</v>
      </c>
      <c r="AD998" s="490"/>
      <c r="AE998" s="482"/>
      <c r="AF998" s="493">
        <f t="shared" si="208"/>
        <v>177465.60000000001</v>
      </c>
      <c r="AG998" s="474" t="s">
        <v>1071</v>
      </c>
      <c r="AH998" s="474"/>
      <c r="AI998" s="483" t="s">
        <v>2442</v>
      </c>
      <c r="AJ998" s="474" t="s">
        <v>2472</v>
      </c>
      <c r="AK998" s="494" t="s">
        <v>1133</v>
      </c>
      <c r="AL998" s="474">
        <v>85008</v>
      </c>
      <c r="AM998" s="474" t="s">
        <v>52</v>
      </c>
      <c r="AN998" s="474" t="s">
        <v>1074</v>
      </c>
      <c r="AO998" s="474"/>
      <c r="AP998" s="486"/>
      <c r="AQ998" s="486" t="s">
        <v>37</v>
      </c>
      <c r="AR998" s="486"/>
      <c r="AS998" s="495"/>
      <c r="AT998" s="495"/>
      <c r="AU998" s="478"/>
      <c r="AV998" s="471" t="str">
        <f t="shared" si="202"/>
        <v>TBD</v>
      </c>
      <c r="AW998" s="471" cm="1">
        <f t="array" ref="AW998">SUM(MID(0&amp;AV998,LARGE(INDEX(ISNUMBER(--MID(AV998,ROW($1:$8),1))*ROW($1:$8),),ROW($1:$8))+1,1)*10^ROW($1:$8)/10)</f>
        <v>0</v>
      </c>
      <c r="AX998" s="471" t="e">
        <f>VLOOKUP($AW998,'Item Master Data'!$A:$F,3,FALSE)</f>
        <v>#N/A</v>
      </c>
      <c r="AY998" s="471" t="e">
        <f>VLOOKUP($AW998,'Item Master Data'!$A:$F,6,FALSE)</f>
        <v>#N/A</v>
      </c>
      <c r="AZ998" s="471" t="e">
        <f t="shared" si="203"/>
        <v>#N/A</v>
      </c>
      <c r="BA998" s="471" t="e">
        <f>VLOOKUP(AW998,'Item Master Data'!$A:$G,7,FALSE)</f>
        <v>#N/A</v>
      </c>
      <c r="BB998" s="471"/>
      <c r="BC998" s="471" t="e">
        <f t="shared" si="204"/>
        <v>#N/A</v>
      </c>
    </row>
    <row r="999" spans="1:55">
      <c r="A999" s="472"/>
      <c r="B999" s="514">
        <v>44557</v>
      </c>
      <c r="C999" s="514">
        <v>44587</v>
      </c>
      <c r="D999" s="485" t="s">
        <v>2322</v>
      </c>
      <c r="E999" s="474" t="s">
        <v>1283</v>
      </c>
      <c r="F999" s="474"/>
      <c r="G999" s="474">
        <v>2022</v>
      </c>
      <c r="H999" s="474">
        <v>10</v>
      </c>
      <c r="I999" s="485"/>
      <c r="J999" s="475"/>
      <c r="K999" s="483" t="s">
        <v>2836</v>
      </c>
      <c r="L999" s="474" t="s">
        <v>2459</v>
      </c>
      <c r="M999" s="487">
        <v>44545</v>
      </c>
      <c r="N999" s="487">
        <v>44844</v>
      </c>
      <c r="O999" s="487"/>
      <c r="P999" s="475"/>
      <c r="Q999" s="475"/>
      <c r="R999" s="475"/>
      <c r="S999" s="474" t="s">
        <v>1563</v>
      </c>
      <c r="T999" s="474">
        <v>60</v>
      </c>
      <c r="U999" s="474" t="s">
        <v>1109</v>
      </c>
      <c r="V999" s="474" t="s">
        <v>1223</v>
      </c>
      <c r="W999" s="474">
        <v>360</v>
      </c>
      <c r="X999" s="476">
        <v>624</v>
      </c>
      <c r="Y999" s="477">
        <f t="shared" si="205"/>
        <v>224640</v>
      </c>
      <c r="Z999" s="478">
        <v>0.79</v>
      </c>
      <c r="AA999" s="479">
        <f t="shared" si="207"/>
        <v>177465.60000000001</v>
      </c>
      <c r="AB999" s="480"/>
      <c r="AC999" s="481">
        <v>0</v>
      </c>
      <c r="AD999" s="490"/>
      <c r="AE999" s="482"/>
      <c r="AF999" s="493">
        <f t="shared" si="208"/>
        <v>177465.60000000001</v>
      </c>
      <c r="AG999" s="474" t="s">
        <v>1071</v>
      </c>
      <c r="AH999" s="474"/>
      <c r="AI999" s="483" t="s">
        <v>2442</v>
      </c>
      <c r="AJ999" s="474" t="s">
        <v>2472</v>
      </c>
      <c r="AK999" s="494" t="s">
        <v>1133</v>
      </c>
      <c r="AL999" s="474">
        <v>85008</v>
      </c>
      <c r="AM999" s="474" t="s">
        <v>52</v>
      </c>
      <c r="AN999" s="474" t="s">
        <v>1074</v>
      </c>
      <c r="AO999" s="474"/>
      <c r="AP999" s="486"/>
      <c r="AQ999" s="486" t="s">
        <v>37</v>
      </c>
      <c r="AR999" s="486"/>
      <c r="AS999" s="495"/>
      <c r="AT999" s="495"/>
      <c r="AU999" s="478"/>
      <c r="AV999" s="471" t="str">
        <f t="shared" si="202"/>
        <v>TBD</v>
      </c>
      <c r="AW999" s="471" cm="1">
        <f t="array" ref="AW999">SUM(MID(0&amp;AV999,LARGE(INDEX(ISNUMBER(--MID(AV999,ROW($1:$8),1))*ROW($1:$8),),ROW($1:$8))+1,1)*10^ROW($1:$8)/10)</f>
        <v>0</v>
      </c>
      <c r="AX999" s="471" t="e">
        <f>VLOOKUP($AW999,'Item Master Data'!$A:$F,3,FALSE)</f>
        <v>#N/A</v>
      </c>
      <c r="AY999" s="471" t="e">
        <f>VLOOKUP($AW999,'Item Master Data'!$A:$F,6,FALSE)</f>
        <v>#N/A</v>
      </c>
      <c r="AZ999" s="471" t="e">
        <f t="shared" si="203"/>
        <v>#N/A</v>
      </c>
      <c r="BA999" s="471" t="e">
        <f>VLOOKUP(AW999,'Item Master Data'!$A:$G,7,FALSE)</f>
        <v>#N/A</v>
      </c>
      <c r="BB999" s="471"/>
      <c r="BC999" s="471" t="e">
        <f t="shared" si="204"/>
        <v>#N/A</v>
      </c>
    </row>
    <row r="1000" spans="1:55">
      <c r="A1000" s="472"/>
      <c r="B1000" s="514">
        <v>44557</v>
      </c>
      <c r="C1000" s="514">
        <v>44587</v>
      </c>
      <c r="D1000" s="485" t="s">
        <v>2322</v>
      </c>
      <c r="E1000" s="474" t="s">
        <v>1283</v>
      </c>
      <c r="F1000" s="474"/>
      <c r="G1000" s="474">
        <v>2022</v>
      </c>
      <c r="H1000" s="474">
        <v>10</v>
      </c>
      <c r="I1000" s="485"/>
      <c r="J1000" s="475"/>
      <c r="K1000" s="483" t="s">
        <v>2837</v>
      </c>
      <c r="L1000" s="474" t="s">
        <v>2459</v>
      </c>
      <c r="M1000" s="487">
        <v>44545</v>
      </c>
      <c r="N1000" s="487">
        <v>44854</v>
      </c>
      <c r="O1000" s="487"/>
      <c r="P1000" s="475"/>
      <c r="Q1000" s="475"/>
      <c r="R1000" s="475"/>
      <c r="S1000" s="474" t="s">
        <v>1563</v>
      </c>
      <c r="T1000" s="474">
        <v>60</v>
      </c>
      <c r="U1000" s="474" t="s">
        <v>1109</v>
      </c>
      <c r="V1000" s="474" t="s">
        <v>1223</v>
      </c>
      <c r="W1000" s="474">
        <v>360</v>
      </c>
      <c r="X1000" s="476">
        <v>624</v>
      </c>
      <c r="Y1000" s="477">
        <f t="shared" si="205"/>
        <v>224640</v>
      </c>
      <c r="Z1000" s="478">
        <v>0.79</v>
      </c>
      <c r="AA1000" s="479">
        <f t="shared" si="207"/>
        <v>177465.60000000001</v>
      </c>
      <c r="AB1000" s="480"/>
      <c r="AC1000" s="481">
        <v>0</v>
      </c>
      <c r="AD1000" s="490"/>
      <c r="AE1000" s="482"/>
      <c r="AF1000" s="493">
        <f t="shared" si="208"/>
        <v>177465.60000000001</v>
      </c>
      <c r="AG1000" s="474" t="s">
        <v>1071</v>
      </c>
      <c r="AH1000" s="474"/>
      <c r="AI1000" s="483" t="s">
        <v>2442</v>
      </c>
      <c r="AJ1000" s="474" t="s">
        <v>2472</v>
      </c>
      <c r="AK1000" s="494" t="s">
        <v>1133</v>
      </c>
      <c r="AL1000" s="474">
        <v>85008</v>
      </c>
      <c r="AM1000" s="474" t="s">
        <v>52</v>
      </c>
      <c r="AN1000" s="474" t="s">
        <v>1074</v>
      </c>
      <c r="AO1000" s="474"/>
      <c r="AP1000" s="486"/>
      <c r="AQ1000" s="486" t="s">
        <v>37</v>
      </c>
      <c r="AR1000" s="486"/>
      <c r="AS1000" s="495"/>
      <c r="AT1000" s="495"/>
      <c r="AU1000" s="478"/>
      <c r="AV1000" s="471" t="str">
        <f t="shared" si="202"/>
        <v>TBD</v>
      </c>
      <c r="AW1000" s="471" cm="1">
        <f t="array" ref="AW1000">SUM(MID(0&amp;AV1000,LARGE(INDEX(ISNUMBER(--MID(AV1000,ROW($1:$8),1))*ROW($1:$8),),ROW($1:$8))+1,1)*10^ROW($1:$8)/10)</f>
        <v>0</v>
      </c>
      <c r="AX1000" s="471" t="e">
        <f>VLOOKUP($AW1000,'Item Master Data'!$A:$F,3,FALSE)</f>
        <v>#N/A</v>
      </c>
      <c r="AY1000" s="471" t="e">
        <f>VLOOKUP($AW1000,'Item Master Data'!$A:$F,6,FALSE)</f>
        <v>#N/A</v>
      </c>
      <c r="AZ1000" s="471" t="e">
        <f t="shared" si="203"/>
        <v>#N/A</v>
      </c>
      <c r="BA1000" s="471" t="e">
        <f>VLOOKUP(AW1000,'Item Master Data'!$A:$G,7,FALSE)</f>
        <v>#N/A</v>
      </c>
      <c r="BB1000" s="471"/>
      <c r="BC1000" s="471" t="e">
        <f t="shared" si="204"/>
        <v>#N/A</v>
      </c>
    </row>
    <row r="1001" spans="1:55">
      <c r="A1001" s="472"/>
      <c r="B1001" s="514">
        <v>44557</v>
      </c>
      <c r="C1001" s="514">
        <v>44587</v>
      </c>
      <c r="D1001" s="485" t="s">
        <v>2322</v>
      </c>
      <c r="E1001" s="474" t="s">
        <v>1283</v>
      </c>
      <c r="F1001" s="474"/>
      <c r="G1001" s="474">
        <v>2022</v>
      </c>
      <c r="H1001" s="474">
        <v>11</v>
      </c>
      <c r="I1001" s="485"/>
      <c r="J1001" s="475"/>
      <c r="K1001" s="483" t="s">
        <v>2869</v>
      </c>
      <c r="L1001" s="474" t="s">
        <v>2459</v>
      </c>
      <c r="M1001" s="487">
        <v>44545</v>
      </c>
      <c r="N1001" s="487">
        <v>44875</v>
      </c>
      <c r="O1001" s="487"/>
      <c r="P1001" s="475"/>
      <c r="Q1001" s="475"/>
      <c r="R1001" s="475"/>
      <c r="S1001" s="474" t="s">
        <v>1563</v>
      </c>
      <c r="T1001" s="474">
        <v>60</v>
      </c>
      <c r="U1001" s="474" t="s">
        <v>1109</v>
      </c>
      <c r="V1001" s="474" t="s">
        <v>1223</v>
      </c>
      <c r="W1001" s="474">
        <v>360</v>
      </c>
      <c r="X1001" s="476">
        <v>624</v>
      </c>
      <c r="Y1001" s="477">
        <f t="shared" si="205"/>
        <v>224640</v>
      </c>
      <c r="Z1001" s="478">
        <v>0.79</v>
      </c>
      <c r="AA1001" s="479">
        <f t="shared" si="207"/>
        <v>177465.60000000001</v>
      </c>
      <c r="AB1001" s="480"/>
      <c r="AC1001" s="481">
        <v>0</v>
      </c>
      <c r="AD1001" s="490"/>
      <c r="AE1001" s="482"/>
      <c r="AF1001" s="493">
        <f t="shared" si="208"/>
        <v>177465.60000000001</v>
      </c>
      <c r="AG1001" s="474" t="s">
        <v>1071</v>
      </c>
      <c r="AH1001" s="474"/>
      <c r="AI1001" s="483" t="s">
        <v>2442</v>
      </c>
      <c r="AJ1001" s="474" t="s">
        <v>2472</v>
      </c>
      <c r="AK1001" s="494" t="s">
        <v>1133</v>
      </c>
      <c r="AL1001" s="474">
        <v>85008</v>
      </c>
      <c r="AM1001" s="474" t="s">
        <v>52</v>
      </c>
      <c r="AN1001" s="474" t="s">
        <v>1074</v>
      </c>
      <c r="AO1001" s="474"/>
      <c r="AP1001" s="486"/>
      <c r="AQ1001" s="486" t="s">
        <v>37</v>
      </c>
      <c r="AR1001" s="486"/>
      <c r="AS1001" s="495"/>
      <c r="AT1001" s="495"/>
      <c r="AU1001" s="478"/>
      <c r="AV1001" s="471" t="str">
        <f t="shared" si="202"/>
        <v>TBD</v>
      </c>
      <c r="AW1001" s="471" cm="1">
        <f t="array" ref="AW1001">SUM(MID(0&amp;AV1001,LARGE(INDEX(ISNUMBER(--MID(AV1001,ROW($1:$8),1))*ROW($1:$8),),ROW($1:$8))+1,1)*10^ROW($1:$8)/10)</f>
        <v>0</v>
      </c>
      <c r="AX1001" s="471" t="e">
        <f>VLOOKUP($AW1001,'Item Master Data'!$A:$F,3,FALSE)</f>
        <v>#N/A</v>
      </c>
      <c r="AY1001" s="471" t="e">
        <f>VLOOKUP($AW1001,'Item Master Data'!$A:$F,6,FALSE)</f>
        <v>#N/A</v>
      </c>
      <c r="AZ1001" s="471" t="e">
        <f t="shared" si="203"/>
        <v>#N/A</v>
      </c>
      <c r="BA1001" s="471" t="e">
        <f>VLOOKUP(AW1001,'Item Master Data'!$A:$G,7,FALSE)</f>
        <v>#N/A</v>
      </c>
      <c r="BB1001" s="471"/>
      <c r="BC1001" s="471" t="e">
        <f t="shared" si="204"/>
        <v>#N/A</v>
      </c>
    </row>
    <row r="1002" spans="1:55">
      <c r="A1002" s="436">
        <v>10</v>
      </c>
      <c r="B1002" s="514">
        <v>44623</v>
      </c>
      <c r="C1002" s="514">
        <v>44623</v>
      </c>
      <c r="D1002" s="485" t="s">
        <v>2322</v>
      </c>
      <c r="E1002" s="474"/>
      <c r="F1002" s="474"/>
      <c r="G1002" s="474">
        <v>2022</v>
      </c>
      <c r="H1002" s="474">
        <v>3</v>
      </c>
      <c r="I1002" s="485">
        <v>127649</v>
      </c>
      <c r="J1002" s="475">
        <v>44651</v>
      </c>
      <c r="K1002" s="483" t="s">
        <v>2476</v>
      </c>
      <c r="L1002" s="474" t="s">
        <v>2459</v>
      </c>
      <c r="M1002" s="487">
        <v>44614</v>
      </c>
      <c r="N1002" s="487">
        <v>44622</v>
      </c>
      <c r="O1002" s="487"/>
      <c r="P1002" s="475">
        <v>44630</v>
      </c>
      <c r="Q1002" s="475">
        <v>44651</v>
      </c>
      <c r="R1002" s="475">
        <v>44652</v>
      </c>
      <c r="S1002" s="474" t="s">
        <v>1563</v>
      </c>
      <c r="T1002" s="474">
        <v>60</v>
      </c>
      <c r="U1002" s="474" t="s">
        <v>1760</v>
      </c>
      <c r="V1002" s="474" t="s">
        <v>973</v>
      </c>
      <c r="W1002" s="474">
        <v>400</v>
      </c>
      <c r="X1002" s="476">
        <v>768</v>
      </c>
      <c r="Y1002" s="477">
        <f t="shared" si="205"/>
        <v>307200</v>
      </c>
      <c r="Z1002" s="478">
        <f>222/400</f>
        <v>0.55500000000000005</v>
      </c>
      <c r="AA1002" s="479">
        <f t="shared" si="207"/>
        <v>170496.00000000003</v>
      </c>
      <c r="AB1002" s="480"/>
      <c r="AC1002" s="481">
        <v>0</v>
      </c>
      <c r="AD1002" s="490"/>
      <c r="AE1002" s="482"/>
      <c r="AF1002" s="493">
        <f t="shared" si="208"/>
        <v>170496.00000000003</v>
      </c>
      <c r="AG1002" s="474" t="s">
        <v>1071</v>
      </c>
      <c r="AH1002" s="474"/>
      <c r="AI1002" s="483">
        <v>60</v>
      </c>
      <c r="AJ1002" s="474" t="s">
        <v>2472</v>
      </c>
      <c r="AK1002" s="494" t="s">
        <v>1133</v>
      </c>
      <c r="AL1002" s="474">
        <v>85008</v>
      </c>
      <c r="AM1002" s="474" t="s">
        <v>52</v>
      </c>
      <c r="AN1002" s="474" t="s">
        <v>50</v>
      </c>
      <c r="AO1002" s="474"/>
      <c r="AP1002" s="486" t="s">
        <v>92</v>
      </c>
      <c r="AQ1002" s="486" t="s">
        <v>37</v>
      </c>
      <c r="AR1002" s="486"/>
      <c r="AS1002" s="495"/>
      <c r="AT1002" s="495"/>
      <c r="AU1002" s="478"/>
      <c r="AV1002" s="471" t="str">
        <f t="shared" si="202"/>
        <v>30390156H</v>
      </c>
      <c r="AW1002" s="471" cm="1">
        <f t="array" ref="AW1002">SUM(MID(0&amp;AV1002,LARGE(INDEX(ISNUMBER(--MID(AV1002,ROW($1:$8),1))*ROW($1:$8),),ROW($1:$8))+1,1)*10^ROW($1:$8)/10)</f>
        <v>30390156</v>
      </c>
      <c r="AX1002" s="471" t="str">
        <f>VLOOKUP($AW1002,'Item Master Data'!$A:$F,3,FALSE)</f>
        <v>Q.PEAK DUO BLK ML G10+</v>
      </c>
      <c r="AY1002" s="471">
        <f>VLOOKUP($AW1002,'Item Master Data'!$A:$F,6,FALSE)</f>
        <v>400</v>
      </c>
      <c r="AZ1002" s="471">
        <f t="shared" si="203"/>
        <v>24</v>
      </c>
      <c r="BA1002" s="471">
        <f>VLOOKUP(AW1002,'Item Master Data'!$A:$G,7,FALSE)</f>
        <v>32</v>
      </c>
      <c r="BB1002" s="471"/>
      <c r="BC1002" s="471">
        <f t="shared" si="204"/>
        <v>0</v>
      </c>
    </row>
    <row r="1003" spans="1:55">
      <c r="A1003" s="472"/>
      <c r="B1003" s="514">
        <v>44557</v>
      </c>
      <c r="C1003" s="514">
        <v>44587</v>
      </c>
      <c r="D1003" s="485" t="s">
        <v>2322</v>
      </c>
      <c r="E1003" s="474" t="s">
        <v>1283</v>
      </c>
      <c r="F1003" s="474"/>
      <c r="G1003" s="474">
        <v>2022</v>
      </c>
      <c r="H1003" s="474">
        <v>8</v>
      </c>
      <c r="I1003" s="485"/>
      <c r="J1003" s="475"/>
      <c r="K1003" s="483" t="s">
        <v>2773</v>
      </c>
      <c r="L1003" s="474" t="s">
        <v>2551</v>
      </c>
      <c r="M1003" s="487">
        <v>44545</v>
      </c>
      <c r="N1003" s="487">
        <v>44778</v>
      </c>
      <c r="O1003" s="487"/>
      <c r="P1003" s="475"/>
      <c r="Q1003" s="475"/>
      <c r="R1003" s="475"/>
      <c r="S1003" s="474" t="s">
        <v>1563</v>
      </c>
      <c r="T1003" s="474">
        <v>60</v>
      </c>
      <c r="U1003" s="474" t="s">
        <v>1109</v>
      </c>
      <c r="V1003" s="474" t="s">
        <v>1223</v>
      </c>
      <c r="W1003" s="474">
        <v>360</v>
      </c>
      <c r="X1003" s="476">
        <v>832</v>
      </c>
      <c r="Y1003" s="477">
        <f t="shared" si="205"/>
        <v>299520</v>
      </c>
      <c r="Z1003" s="478">
        <v>0.78999999999999992</v>
      </c>
      <c r="AA1003" s="479">
        <f t="shared" si="207"/>
        <v>236620.79999999999</v>
      </c>
      <c r="AB1003" s="480"/>
      <c r="AC1003" s="481">
        <v>0</v>
      </c>
      <c r="AD1003" s="490"/>
      <c r="AE1003" s="482"/>
      <c r="AF1003" s="493">
        <f t="shared" si="208"/>
        <v>236620.79999999999</v>
      </c>
      <c r="AG1003" s="474" t="s">
        <v>1071</v>
      </c>
      <c r="AH1003" s="474"/>
      <c r="AI1003" s="483" t="s">
        <v>2442</v>
      </c>
      <c r="AJ1003" s="474" t="s">
        <v>2461</v>
      </c>
      <c r="AK1003" s="494" t="s">
        <v>1823</v>
      </c>
      <c r="AL1003" s="474">
        <v>97210</v>
      </c>
      <c r="AM1003" s="474" t="s">
        <v>52</v>
      </c>
      <c r="AN1003" s="474"/>
      <c r="AO1003" s="474"/>
      <c r="AP1003" s="486"/>
      <c r="AQ1003" s="486" t="s">
        <v>37</v>
      </c>
      <c r="AR1003" s="486"/>
      <c r="AS1003" s="495"/>
      <c r="AT1003" s="495"/>
      <c r="AU1003" s="478"/>
      <c r="AV1003" s="471" t="str">
        <f t="shared" si="202"/>
        <v>TBD</v>
      </c>
      <c r="AW1003" s="471" cm="1">
        <f t="array" ref="AW1003">SUM(MID(0&amp;AV1003,LARGE(INDEX(ISNUMBER(--MID(AV1003,ROW($1:$8),1))*ROW($1:$8),),ROW($1:$8))+1,1)*10^ROW($1:$8)/10)</f>
        <v>0</v>
      </c>
      <c r="AX1003" s="471" t="e">
        <f>VLOOKUP($AW1003,'Item Master Data'!$A:$F,3,FALSE)</f>
        <v>#N/A</v>
      </c>
      <c r="AY1003" s="471" t="e">
        <f>VLOOKUP($AW1003,'Item Master Data'!$A:$F,6,FALSE)</f>
        <v>#N/A</v>
      </c>
      <c r="AZ1003" s="471" t="e">
        <f t="shared" si="203"/>
        <v>#N/A</v>
      </c>
      <c r="BA1003" s="471" t="e">
        <f>VLOOKUP(AW1003,'Item Master Data'!$A:$G,7,FALSE)</f>
        <v>#N/A</v>
      </c>
      <c r="BB1003" s="471"/>
      <c r="BC1003" s="471" t="e">
        <f t="shared" si="204"/>
        <v>#N/A</v>
      </c>
    </row>
    <row r="1004" spans="1:55">
      <c r="A1004" s="472"/>
      <c r="B1004" s="514">
        <v>44557</v>
      </c>
      <c r="C1004" s="514">
        <v>44587</v>
      </c>
      <c r="D1004" s="485" t="s">
        <v>2322</v>
      </c>
      <c r="E1004" s="474" t="s">
        <v>1283</v>
      </c>
      <c r="F1004" s="474"/>
      <c r="G1004" s="474">
        <v>2022</v>
      </c>
      <c r="H1004" s="474">
        <v>8</v>
      </c>
      <c r="I1004" s="485"/>
      <c r="J1004" s="475"/>
      <c r="K1004" s="483" t="s">
        <v>2774</v>
      </c>
      <c r="L1004" s="474" t="s">
        <v>2551</v>
      </c>
      <c r="M1004" s="487">
        <v>44544</v>
      </c>
      <c r="N1004" s="487">
        <v>44787</v>
      </c>
      <c r="O1004" s="487"/>
      <c r="P1004" s="475"/>
      <c r="Q1004" s="475"/>
      <c r="R1004" s="475"/>
      <c r="S1004" s="474" t="s">
        <v>1563</v>
      </c>
      <c r="T1004" s="474">
        <v>60</v>
      </c>
      <c r="U1004" s="474" t="s">
        <v>1109</v>
      </c>
      <c r="V1004" s="474" t="s">
        <v>1223</v>
      </c>
      <c r="W1004" s="474">
        <v>360</v>
      </c>
      <c r="X1004" s="476">
        <v>832</v>
      </c>
      <c r="Y1004" s="477">
        <f t="shared" si="205"/>
        <v>299520</v>
      </c>
      <c r="Z1004" s="478">
        <v>0.78999999999999992</v>
      </c>
      <c r="AA1004" s="479">
        <f t="shared" si="207"/>
        <v>236620.79999999999</v>
      </c>
      <c r="AB1004" s="480"/>
      <c r="AC1004" s="481">
        <v>0</v>
      </c>
      <c r="AD1004" s="490"/>
      <c r="AE1004" s="482"/>
      <c r="AF1004" s="493">
        <f t="shared" si="208"/>
        <v>236620.79999999999</v>
      </c>
      <c r="AG1004" s="474" t="s">
        <v>1071</v>
      </c>
      <c r="AH1004" s="474"/>
      <c r="AI1004" s="483" t="s">
        <v>2442</v>
      </c>
      <c r="AJ1004" s="474" t="s">
        <v>2461</v>
      </c>
      <c r="AK1004" s="494" t="s">
        <v>1823</v>
      </c>
      <c r="AL1004" s="474">
        <v>97210</v>
      </c>
      <c r="AM1004" s="474" t="s">
        <v>52</v>
      </c>
      <c r="AN1004" s="474"/>
      <c r="AO1004" s="474"/>
      <c r="AP1004" s="486"/>
      <c r="AQ1004" s="486" t="s">
        <v>37</v>
      </c>
      <c r="AR1004" s="486"/>
      <c r="AS1004" s="495"/>
      <c r="AT1004" s="495"/>
      <c r="AU1004" s="478"/>
      <c r="AV1004" s="471" t="str">
        <f t="shared" si="202"/>
        <v>TBD</v>
      </c>
      <c r="AW1004" s="471" cm="1">
        <f t="array" ref="AW1004">SUM(MID(0&amp;AV1004,LARGE(INDEX(ISNUMBER(--MID(AV1004,ROW($1:$8),1))*ROW($1:$8),),ROW($1:$8))+1,1)*10^ROW($1:$8)/10)</f>
        <v>0</v>
      </c>
      <c r="AX1004" s="471" t="e">
        <f>VLOOKUP($AW1004,'Item Master Data'!$A:$F,3,FALSE)</f>
        <v>#N/A</v>
      </c>
      <c r="AY1004" s="471" t="e">
        <f>VLOOKUP($AW1004,'Item Master Data'!$A:$F,6,FALSE)</f>
        <v>#N/A</v>
      </c>
      <c r="AZ1004" s="471" t="e">
        <f t="shared" si="203"/>
        <v>#N/A</v>
      </c>
      <c r="BA1004" s="471" t="e">
        <f>VLOOKUP(AW1004,'Item Master Data'!$A:$G,7,FALSE)</f>
        <v>#N/A</v>
      </c>
      <c r="BB1004" s="471"/>
      <c r="BC1004" s="471" t="e">
        <f t="shared" si="204"/>
        <v>#N/A</v>
      </c>
    </row>
    <row r="1005" spans="1:55">
      <c r="A1005" s="472"/>
      <c r="B1005" s="514">
        <v>44557</v>
      </c>
      <c r="C1005" s="514">
        <v>44587</v>
      </c>
      <c r="D1005" s="485" t="s">
        <v>2322</v>
      </c>
      <c r="E1005" s="474" t="s">
        <v>1283</v>
      </c>
      <c r="F1005" s="474"/>
      <c r="G1005" s="474">
        <v>2022</v>
      </c>
      <c r="H1005" s="474">
        <v>9</v>
      </c>
      <c r="I1005" s="485"/>
      <c r="J1005" s="475"/>
      <c r="K1005" s="483" t="s">
        <v>2805</v>
      </c>
      <c r="L1005" s="474" t="s">
        <v>2551</v>
      </c>
      <c r="M1005" s="487">
        <v>44545</v>
      </c>
      <c r="N1005" s="487">
        <v>44809</v>
      </c>
      <c r="O1005" s="487"/>
      <c r="P1005" s="475"/>
      <c r="Q1005" s="475"/>
      <c r="R1005" s="475"/>
      <c r="S1005" s="474" t="s">
        <v>1563</v>
      </c>
      <c r="T1005" s="474">
        <v>60</v>
      </c>
      <c r="U1005" s="474" t="s">
        <v>1109</v>
      </c>
      <c r="V1005" s="474" t="s">
        <v>1223</v>
      </c>
      <c r="W1005" s="474">
        <v>360</v>
      </c>
      <c r="X1005" s="476">
        <v>832</v>
      </c>
      <c r="Y1005" s="477">
        <f t="shared" si="205"/>
        <v>299520</v>
      </c>
      <c r="Z1005" s="478">
        <v>0.78999999999999992</v>
      </c>
      <c r="AA1005" s="479">
        <f t="shared" si="207"/>
        <v>236620.79999999999</v>
      </c>
      <c r="AB1005" s="480"/>
      <c r="AC1005" s="481">
        <v>0</v>
      </c>
      <c r="AD1005" s="490"/>
      <c r="AE1005" s="482"/>
      <c r="AF1005" s="493">
        <f t="shared" si="208"/>
        <v>236620.79999999999</v>
      </c>
      <c r="AG1005" s="474" t="s">
        <v>1071</v>
      </c>
      <c r="AH1005" s="474"/>
      <c r="AI1005" s="483" t="s">
        <v>2442</v>
      </c>
      <c r="AJ1005" s="474" t="s">
        <v>2461</v>
      </c>
      <c r="AK1005" s="494" t="s">
        <v>1823</v>
      </c>
      <c r="AL1005" s="474">
        <v>97210</v>
      </c>
      <c r="AM1005" s="474" t="s">
        <v>52</v>
      </c>
      <c r="AN1005" s="474"/>
      <c r="AO1005" s="474"/>
      <c r="AP1005" s="486"/>
      <c r="AQ1005" s="486" t="s">
        <v>37</v>
      </c>
      <c r="AR1005" s="486"/>
      <c r="AS1005" s="495"/>
      <c r="AT1005" s="495"/>
      <c r="AU1005" s="478"/>
      <c r="AV1005" s="471" t="str">
        <f t="shared" si="202"/>
        <v>TBD</v>
      </c>
      <c r="AW1005" s="471" cm="1">
        <f t="array" ref="AW1005">SUM(MID(0&amp;AV1005,LARGE(INDEX(ISNUMBER(--MID(AV1005,ROW($1:$8),1))*ROW($1:$8),),ROW($1:$8))+1,1)*10^ROW($1:$8)/10)</f>
        <v>0</v>
      </c>
      <c r="AX1005" s="471" t="e">
        <f>VLOOKUP($AW1005,'Item Master Data'!$A:$F,3,FALSE)</f>
        <v>#N/A</v>
      </c>
      <c r="AY1005" s="471" t="e">
        <f>VLOOKUP($AW1005,'Item Master Data'!$A:$F,6,FALSE)</f>
        <v>#N/A</v>
      </c>
      <c r="AZ1005" s="471" t="e">
        <f t="shared" si="203"/>
        <v>#N/A</v>
      </c>
      <c r="BA1005" s="471" t="e">
        <f>VLOOKUP(AW1005,'Item Master Data'!$A:$G,7,FALSE)</f>
        <v>#N/A</v>
      </c>
      <c r="BB1005" s="471"/>
      <c r="BC1005" s="471" t="e">
        <f t="shared" si="204"/>
        <v>#N/A</v>
      </c>
    </row>
    <row r="1006" spans="1:55">
      <c r="A1006" s="472"/>
      <c r="B1006" s="514">
        <v>44557</v>
      </c>
      <c r="C1006" s="514">
        <v>44587</v>
      </c>
      <c r="D1006" s="485" t="s">
        <v>2322</v>
      </c>
      <c r="E1006" s="474" t="s">
        <v>1283</v>
      </c>
      <c r="F1006" s="474"/>
      <c r="G1006" s="474">
        <v>2022</v>
      </c>
      <c r="H1006" s="474">
        <v>9</v>
      </c>
      <c r="I1006" s="485"/>
      <c r="J1006" s="475"/>
      <c r="K1006" s="483" t="s">
        <v>2806</v>
      </c>
      <c r="L1006" s="474" t="s">
        <v>2551</v>
      </c>
      <c r="M1006" s="487">
        <v>44545</v>
      </c>
      <c r="N1006" s="487">
        <v>44819</v>
      </c>
      <c r="O1006" s="487"/>
      <c r="P1006" s="475"/>
      <c r="Q1006" s="475"/>
      <c r="R1006" s="475"/>
      <c r="S1006" s="474" t="s">
        <v>1563</v>
      </c>
      <c r="T1006" s="474">
        <v>60</v>
      </c>
      <c r="U1006" s="474" t="s">
        <v>1109</v>
      </c>
      <c r="V1006" s="474" t="s">
        <v>1223</v>
      </c>
      <c r="W1006" s="474">
        <v>360</v>
      </c>
      <c r="X1006" s="476">
        <v>832</v>
      </c>
      <c r="Y1006" s="477">
        <f t="shared" si="205"/>
        <v>299520</v>
      </c>
      <c r="Z1006" s="478">
        <v>0.78999999999999992</v>
      </c>
      <c r="AA1006" s="479">
        <f t="shared" si="207"/>
        <v>236620.79999999999</v>
      </c>
      <c r="AB1006" s="480"/>
      <c r="AC1006" s="481">
        <v>0</v>
      </c>
      <c r="AD1006" s="490"/>
      <c r="AE1006" s="482"/>
      <c r="AF1006" s="493">
        <f t="shared" si="208"/>
        <v>236620.79999999999</v>
      </c>
      <c r="AG1006" s="474" t="s">
        <v>1071</v>
      </c>
      <c r="AH1006" s="474"/>
      <c r="AI1006" s="483" t="s">
        <v>2442</v>
      </c>
      <c r="AJ1006" s="474" t="s">
        <v>2461</v>
      </c>
      <c r="AK1006" s="494" t="s">
        <v>1823</v>
      </c>
      <c r="AL1006" s="474">
        <v>97210</v>
      </c>
      <c r="AM1006" s="474" t="s">
        <v>52</v>
      </c>
      <c r="AN1006" s="474"/>
      <c r="AO1006" s="474"/>
      <c r="AP1006" s="486"/>
      <c r="AQ1006" s="486" t="s">
        <v>37</v>
      </c>
      <c r="AR1006" s="486"/>
      <c r="AS1006" s="495"/>
      <c r="AT1006" s="495"/>
      <c r="AU1006" s="478"/>
      <c r="AV1006" s="471" t="str">
        <f t="shared" si="202"/>
        <v>TBD</v>
      </c>
      <c r="AW1006" s="471" cm="1">
        <f t="array" ref="AW1006">SUM(MID(0&amp;AV1006,LARGE(INDEX(ISNUMBER(--MID(AV1006,ROW($1:$8),1))*ROW($1:$8),),ROW($1:$8))+1,1)*10^ROW($1:$8)/10)</f>
        <v>0</v>
      </c>
      <c r="AX1006" s="471" t="e">
        <f>VLOOKUP($AW1006,'Item Master Data'!$A:$F,3,FALSE)</f>
        <v>#N/A</v>
      </c>
      <c r="AY1006" s="471" t="e">
        <f>VLOOKUP($AW1006,'Item Master Data'!$A:$F,6,FALSE)</f>
        <v>#N/A</v>
      </c>
      <c r="AZ1006" s="471" t="e">
        <f t="shared" si="203"/>
        <v>#N/A</v>
      </c>
      <c r="BA1006" s="471" t="e">
        <f>VLOOKUP(AW1006,'Item Master Data'!$A:$G,7,FALSE)</f>
        <v>#N/A</v>
      </c>
      <c r="BB1006" s="471"/>
      <c r="BC1006" s="471" t="e">
        <f t="shared" si="204"/>
        <v>#N/A</v>
      </c>
    </row>
    <row r="1007" spans="1:55">
      <c r="A1007" s="472"/>
      <c r="B1007" s="514">
        <v>44557</v>
      </c>
      <c r="C1007" s="514">
        <v>44587</v>
      </c>
      <c r="D1007" s="485" t="s">
        <v>2322</v>
      </c>
      <c r="E1007" s="474" t="s">
        <v>1283</v>
      </c>
      <c r="F1007" s="474"/>
      <c r="G1007" s="474">
        <v>2022</v>
      </c>
      <c r="H1007" s="474">
        <v>10</v>
      </c>
      <c r="I1007" s="485"/>
      <c r="J1007" s="475"/>
      <c r="K1007" s="483" t="s">
        <v>2838</v>
      </c>
      <c r="L1007" s="474" t="s">
        <v>2551</v>
      </c>
      <c r="M1007" s="487">
        <v>44545</v>
      </c>
      <c r="N1007" s="487">
        <v>44839</v>
      </c>
      <c r="O1007" s="487"/>
      <c r="P1007" s="475"/>
      <c r="Q1007" s="475"/>
      <c r="R1007" s="475"/>
      <c r="S1007" s="474" t="s">
        <v>1563</v>
      </c>
      <c r="T1007" s="474">
        <v>60</v>
      </c>
      <c r="U1007" s="474" t="s">
        <v>1109</v>
      </c>
      <c r="V1007" s="474" t="s">
        <v>1223</v>
      </c>
      <c r="W1007" s="474">
        <v>360</v>
      </c>
      <c r="X1007" s="476">
        <v>832</v>
      </c>
      <c r="Y1007" s="477">
        <f t="shared" si="205"/>
        <v>299520</v>
      </c>
      <c r="Z1007" s="478">
        <v>0.78999999999999992</v>
      </c>
      <c r="AA1007" s="479">
        <f t="shared" si="207"/>
        <v>236620.79999999999</v>
      </c>
      <c r="AB1007" s="480"/>
      <c r="AC1007" s="481">
        <v>0</v>
      </c>
      <c r="AD1007" s="490"/>
      <c r="AE1007" s="482"/>
      <c r="AF1007" s="493">
        <f t="shared" si="208"/>
        <v>236620.79999999999</v>
      </c>
      <c r="AG1007" s="474" t="s">
        <v>1071</v>
      </c>
      <c r="AH1007" s="474"/>
      <c r="AI1007" s="483" t="s">
        <v>2442</v>
      </c>
      <c r="AJ1007" s="474" t="s">
        <v>2461</v>
      </c>
      <c r="AK1007" s="494" t="s">
        <v>1823</v>
      </c>
      <c r="AL1007" s="474">
        <v>97210</v>
      </c>
      <c r="AM1007" s="474" t="s">
        <v>52</v>
      </c>
      <c r="AN1007" s="474"/>
      <c r="AO1007" s="474"/>
      <c r="AP1007" s="486"/>
      <c r="AQ1007" s="486" t="s">
        <v>37</v>
      </c>
      <c r="AR1007" s="486"/>
      <c r="AS1007" s="495"/>
      <c r="AT1007" s="495"/>
      <c r="AU1007" s="478"/>
      <c r="AV1007" s="471" t="str">
        <f t="shared" si="202"/>
        <v>TBD</v>
      </c>
      <c r="AW1007" s="471" cm="1">
        <f t="array" ref="AW1007">SUM(MID(0&amp;AV1007,LARGE(INDEX(ISNUMBER(--MID(AV1007,ROW($1:$8),1))*ROW($1:$8),),ROW($1:$8))+1,1)*10^ROW($1:$8)/10)</f>
        <v>0</v>
      </c>
      <c r="AX1007" s="471" t="e">
        <f>VLOOKUP($AW1007,'Item Master Data'!$A:$F,3,FALSE)</f>
        <v>#N/A</v>
      </c>
      <c r="AY1007" s="471" t="e">
        <f>VLOOKUP($AW1007,'Item Master Data'!$A:$F,6,FALSE)</f>
        <v>#N/A</v>
      </c>
      <c r="AZ1007" s="471" t="e">
        <f t="shared" si="203"/>
        <v>#N/A</v>
      </c>
      <c r="BA1007" s="471" t="e">
        <f>VLOOKUP(AW1007,'Item Master Data'!$A:$G,7,FALSE)</f>
        <v>#N/A</v>
      </c>
      <c r="BB1007" s="471"/>
      <c r="BC1007" s="471" t="e">
        <f t="shared" si="204"/>
        <v>#N/A</v>
      </c>
    </row>
    <row r="1008" spans="1:55">
      <c r="A1008" s="472"/>
      <c r="B1008" s="514">
        <v>44557</v>
      </c>
      <c r="C1008" s="514">
        <v>44587</v>
      </c>
      <c r="D1008" s="485" t="s">
        <v>2322</v>
      </c>
      <c r="E1008" s="474" t="s">
        <v>1283</v>
      </c>
      <c r="F1008" s="474"/>
      <c r="G1008" s="474">
        <v>2022</v>
      </c>
      <c r="H1008" s="474">
        <v>11</v>
      </c>
      <c r="I1008" s="485"/>
      <c r="J1008" s="475"/>
      <c r="K1008" s="483" t="s">
        <v>2870</v>
      </c>
      <c r="L1008" s="474" t="s">
        <v>2551</v>
      </c>
      <c r="M1008" s="487">
        <v>44545</v>
      </c>
      <c r="N1008" s="487">
        <v>44870</v>
      </c>
      <c r="O1008" s="487"/>
      <c r="P1008" s="475"/>
      <c r="Q1008" s="475"/>
      <c r="R1008" s="475"/>
      <c r="S1008" s="474" t="s">
        <v>1563</v>
      </c>
      <c r="T1008" s="474">
        <v>60</v>
      </c>
      <c r="U1008" s="474" t="s">
        <v>1109</v>
      </c>
      <c r="V1008" s="474" t="s">
        <v>1223</v>
      </c>
      <c r="W1008" s="474">
        <v>360</v>
      </c>
      <c r="X1008" s="476">
        <v>832</v>
      </c>
      <c r="Y1008" s="477">
        <f t="shared" si="205"/>
        <v>299520</v>
      </c>
      <c r="Z1008" s="478">
        <v>0.78999999999999992</v>
      </c>
      <c r="AA1008" s="479">
        <f t="shared" si="207"/>
        <v>236620.79999999999</v>
      </c>
      <c r="AB1008" s="480"/>
      <c r="AC1008" s="481">
        <v>0</v>
      </c>
      <c r="AD1008" s="490"/>
      <c r="AE1008" s="482"/>
      <c r="AF1008" s="493">
        <f t="shared" si="208"/>
        <v>236620.79999999999</v>
      </c>
      <c r="AG1008" s="474" t="s">
        <v>1071</v>
      </c>
      <c r="AH1008" s="474"/>
      <c r="AI1008" s="483" t="s">
        <v>2442</v>
      </c>
      <c r="AJ1008" s="474" t="s">
        <v>2461</v>
      </c>
      <c r="AK1008" s="494" t="s">
        <v>1823</v>
      </c>
      <c r="AL1008" s="474">
        <v>97210</v>
      </c>
      <c r="AM1008" s="474" t="s">
        <v>52</v>
      </c>
      <c r="AN1008" s="474"/>
      <c r="AO1008" s="474"/>
      <c r="AP1008" s="486"/>
      <c r="AQ1008" s="486" t="s">
        <v>37</v>
      </c>
      <c r="AR1008" s="486"/>
      <c r="AS1008" s="495"/>
      <c r="AT1008" s="495"/>
      <c r="AU1008" s="478"/>
      <c r="AV1008" s="471" t="str">
        <f t="shared" si="202"/>
        <v>TBD</v>
      </c>
      <c r="AW1008" s="471" cm="1">
        <f t="array" ref="AW1008">SUM(MID(0&amp;AV1008,LARGE(INDEX(ISNUMBER(--MID(AV1008,ROW($1:$8),1))*ROW($1:$8),),ROW($1:$8))+1,1)*10^ROW($1:$8)/10)</f>
        <v>0</v>
      </c>
      <c r="AX1008" s="471" t="e">
        <f>VLOOKUP($AW1008,'Item Master Data'!$A:$F,3,FALSE)</f>
        <v>#N/A</v>
      </c>
      <c r="AY1008" s="471" t="e">
        <f>VLOOKUP($AW1008,'Item Master Data'!$A:$F,6,FALSE)</f>
        <v>#N/A</v>
      </c>
      <c r="AZ1008" s="471" t="e">
        <f t="shared" si="203"/>
        <v>#N/A</v>
      </c>
      <c r="BA1008" s="471" t="e">
        <f>VLOOKUP(AW1008,'Item Master Data'!$A:$G,7,FALSE)</f>
        <v>#N/A</v>
      </c>
      <c r="BB1008" s="471"/>
      <c r="BC1008" s="471" t="e">
        <f t="shared" si="204"/>
        <v>#N/A</v>
      </c>
    </row>
    <row r="1009" spans="1:55">
      <c r="A1009" s="472"/>
      <c r="B1009" s="514">
        <v>44557</v>
      </c>
      <c r="C1009" s="514">
        <v>44587</v>
      </c>
      <c r="D1009" s="485" t="s">
        <v>2322</v>
      </c>
      <c r="E1009" s="474" t="s">
        <v>1283</v>
      </c>
      <c r="F1009" s="474"/>
      <c r="G1009" s="474">
        <v>2022</v>
      </c>
      <c r="H1009" s="474">
        <v>11</v>
      </c>
      <c r="I1009" s="485"/>
      <c r="J1009" s="475"/>
      <c r="K1009" s="483" t="s">
        <v>2871</v>
      </c>
      <c r="L1009" s="474" t="s">
        <v>2551</v>
      </c>
      <c r="M1009" s="487">
        <v>44545</v>
      </c>
      <c r="N1009" s="487">
        <v>44875</v>
      </c>
      <c r="O1009" s="487"/>
      <c r="P1009" s="475"/>
      <c r="Q1009" s="475"/>
      <c r="R1009" s="475"/>
      <c r="S1009" s="474" t="s">
        <v>1563</v>
      </c>
      <c r="T1009" s="474">
        <v>60</v>
      </c>
      <c r="U1009" s="474" t="s">
        <v>1109</v>
      </c>
      <c r="V1009" s="474" t="s">
        <v>1223</v>
      </c>
      <c r="W1009" s="474">
        <v>360</v>
      </c>
      <c r="X1009" s="476">
        <v>832</v>
      </c>
      <c r="Y1009" s="477">
        <f t="shared" si="205"/>
        <v>299520</v>
      </c>
      <c r="Z1009" s="478">
        <v>0.78999999999999992</v>
      </c>
      <c r="AA1009" s="479">
        <f t="shared" si="207"/>
        <v>236620.79999999999</v>
      </c>
      <c r="AB1009" s="480"/>
      <c r="AC1009" s="481">
        <v>0</v>
      </c>
      <c r="AD1009" s="490"/>
      <c r="AE1009" s="482"/>
      <c r="AF1009" s="493">
        <f t="shared" si="208"/>
        <v>236620.79999999999</v>
      </c>
      <c r="AG1009" s="474" t="s">
        <v>1071</v>
      </c>
      <c r="AH1009" s="474"/>
      <c r="AI1009" s="483" t="s">
        <v>2442</v>
      </c>
      <c r="AJ1009" s="474" t="s">
        <v>2461</v>
      </c>
      <c r="AK1009" s="494" t="s">
        <v>1823</v>
      </c>
      <c r="AL1009" s="474">
        <v>97210</v>
      </c>
      <c r="AM1009" s="474" t="s">
        <v>52</v>
      </c>
      <c r="AN1009" s="474"/>
      <c r="AO1009" s="474"/>
      <c r="AP1009" s="486"/>
      <c r="AQ1009" s="486" t="s">
        <v>37</v>
      </c>
      <c r="AR1009" s="486"/>
      <c r="AS1009" s="495"/>
      <c r="AT1009" s="495"/>
      <c r="AU1009" s="478"/>
      <c r="AV1009" s="471" t="str">
        <f t="shared" si="202"/>
        <v>TBD</v>
      </c>
      <c r="AW1009" s="471" cm="1">
        <f t="array" ref="AW1009">SUM(MID(0&amp;AV1009,LARGE(INDEX(ISNUMBER(--MID(AV1009,ROW($1:$8),1))*ROW($1:$8),),ROW($1:$8))+1,1)*10^ROW($1:$8)/10)</f>
        <v>0</v>
      </c>
      <c r="AX1009" s="471" t="e">
        <f>VLOOKUP($AW1009,'Item Master Data'!$A:$F,3,FALSE)</f>
        <v>#N/A</v>
      </c>
      <c r="AY1009" s="471" t="e">
        <f>VLOOKUP($AW1009,'Item Master Data'!$A:$F,6,FALSE)</f>
        <v>#N/A</v>
      </c>
      <c r="AZ1009" s="471" t="e">
        <f t="shared" si="203"/>
        <v>#N/A</v>
      </c>
      <c r="BA1009" s="471" t="e">
        <f>VLOOKUP(AW1009,'Item Master Data'!$A:$G,7,FALSE)</f>
        <v>#N/A</v>
      </c>
      <c r="BB1009" s="471"/>
      <c r="BC1009" s="471" t="e">
        <f t="shared" si="204"/>
        <v>#N/A</v>
      </c>
    </row>
    <row r="1010" spans="1:55">
      <c r="A1010" s="472"/>
      <c r="B1010" s="514">
        <v>44557</v>
      </c>
      <c r="C1010" s="514">
        <v>44587</v>
      </c>
      <c r="D1010" s="485" t="s">
        <v>2322</v>
      </c>
      <c r="E1010" s="474" t="s">
        <v>1283</v>
      </c>
      <c r="F1010" s="474"/>
      <c r="G1010" s="474">
        <v>2022</v>
      </c>
      <c r="H1010" s="474">
        <v>11</v>
      </c>
      <c r="I1010" s="485"/>
      <c r="J1010" s="475"/>
      <c r="K1010" s="483" t="s">
        <v>2872</v>
      </c>
      <c r="L1010" s="474" t="s">
        <v>2551</v>
      </c>
      <c r="M1010" s="487">
        <v>44545</v>
      </c>
      <c r="N1010" s="487">
        <v>44880</v>
      </c>
      <c r="O1010" s="487"/>
      <c r="P1010" s="475"/>
      <c r="Q1010" s="475"/>
      <c r="R1010" s="475"/>
      <c r="S1010" s="474" t="s">
        <v>1563</v>
      </c>
      <c r="T1010" s="474">
        <v>60</v>
      </c>
      <c r="U1010" s="474" t="s">
        <v>1109</v>
      </c>
      <c r="V1010" s="474" t="s">
        <v>1223</v>
      </c>
      <c r="W1010" s="474">
        <v>360</v>
      </c>
      <c r="X1010" s="476">
        <v>832</v>
      </c>
      <c r="Y1010" s="477">
        <f t="shared" si="205"/>
        <v>299520</v>
      </c>
      <c r="Z1010" s="478">
        <v>0.78999999999999992</v>
      </c>
      <c r="AA1010" s="479">
        <f t="shared" si="207"/>
        <v>236620.79999999999</v>
      </c>
      <c r="AB1010" s="480"/>
      <c r="AC1010" s="481">
        <v>0</v>
      </c>
      <c r="AD1010" s="490"/>
      <c r="AE1010" s="482"/>
      <c r="AF1010" s="493">
        <f t="shared" si="208"/>
        <v>236620.79999999999</v>
      </c>
      <c r="AG1010" s="474" t="s">
        <v>1071</v>
      </c>
      <c r="AH1010" s="474"/>
      <c r="AI1010" s="483" t="s">
        <v>2442</v>
      </c>
      <c r="AJ1010" s="474" t="s">
        <v>2461</v>
      </c>
      <c r="AK1010" s="494" t="s">
        <v>1823</v>
      </c>
      <c r="AL1010" s="474">
        <v>97210</v>
      </c>
      <c r="AM1010" s="474" t="s">
        <v>52</v>
      </c>
      <c r="AN1010" s="474"/>
      <c r="AO1010" s="474"/>
      <c r="AP1010" s="486"/>
      <c r="AQ1010" s="486" t="s">
        <v>37</v>
      </c>
      <c r="AR1010" s="486"/>
      <c r="AS1010" s="495"/>
      <c r="AT1010" s="495"/>
      <c r="AU1010" s="478"/>
      <c r="AV1010" s="471" t="str">
        <f t="shared" si="202"/>
        <v>TBD</v>
      </c>
      <c r="AW1010" s="471" cm="1">
        <f t="array" ref="AW1010">SUM(MID(0&amp;AV1010,LARGE(INDEX(ISNUMBER(--MID(AV1010,ROW($1:$8),1))*ROW($1:$8),),ROW($1:$8))+1,1)*10^ROW($1:$8)/10)</f>
        <v>0</v>
      </c>
      <c r="AX1010" s="471" t="e">
        <f>VLOOKUP($AW1010,'Item Master Data'!$A:$F,3,FALSE)</f>
        <v>#N/A</v>
      </c>
      <c r="AY1010" s="471" t="e">
        <f>VLOOKUP($AW1010,'Item Master Data'!$A:$F,6,FALSE)</f>
        <v>#N/A</v>
      </c>
      <c r="AZ1010" s="471" t="e">
        <f t="shared" si="203"/>
        <v>#N/A</v>
      </c>
      <c r="BA1010" s="471" t="e">
        <f>VLOOKUP(AW1010,'Item Master Data'!$A:$G,7,FALSE)</f>
        <v>#N/A</v>
      </c>
      <c r="BB1010" s="471"/>
      <c r="BC1010" s="471" t="e">
        <f t="shared" si="204"/>
        <v>#N/A</v>
      </c>
    </row>
    <row r="1011" spans="1:55">
      <c r="A1011" s="472"/>
      <c r="B1011" s="514">
        <v>44557</v>
      </c>
      <c r="C1011" s="514">
        <v>44587</v>
      </c>
      <c r="D1011" s="485" t="s">
        <v>2322</v>
      </c>
      <c r="E1011" s="474" t="s">
        <v>1283</v>
      </c>
      <c r="F1011" s="474"/>
      <c r="G1011" s="474">
        <v>2022</v>
      </c>
      <c r="H1011" s="474">
        <v>12</v>
      </c>
      <c r="I1011" s="485"/>
      <c r="J1011" s="475"/>
      <c r="K1011" s="483" t="s">
        <v>2897</v>
      </c>
      <c r="L1011" s="474" t="s">
        <v>2551</v>
      </c>
      <c r="M1011" s="487">
        <v>44545</v>
      </c>
      <c r="N1011" s="487">
        <v>44910</v>
      </c>
      <c r="O1011" s="487"/>
      <c r="P1011" s="377"/>
      <c r="Q1011" s="475"/>
      <c r="R1011" s="475"/>
      <c r="S1011" s="474" t="s">
        <v>1563</v>
      </c>
      <c r="T1011" s="474">
        <v>60</v>
      </c>
      <c r="U1011" s="380" t="s">
        <v>1109</v>
      </c>
      <c r="V1011" s="474" t="s">
        <v>1223</v>
      </c>
      <c r="W1011" s="474">
        <v>360</v>
      </c>
      <c r="X1011" s="476">
        <v>832</v>
      </c>
      <c r="Y1011" s="477">
        <f t="shared" si="205"/>
        <v>299520</v>
      </c>
      <c r="Z1011" s="478">
        <v>0.78999999999999992</v>
      </c>
      <c r="AA1011" s="479">
        <f t="shared" si="207"/>
        <v>236620.79999999999</v>
      </c>
      <c r="AB1011" s="480"/>
      <c r="AC1011" s="481">
        <v>0</v>
      </c>
      <c r="AD1011" s="490"/>
      <c r="AE1011" s="482"/>
      <c r="AF1011" s="493">
        <f t="shared" si="208"/>
        <v>236620.79999999999</v>
      </c>
      <c r="AG1011" s="474" t="s">
        <v>1071</v>
      </c>
      <c r="AH1011" s="474"/>
      <c r="AI1011" s="483" t="s">
        <v>2442</v>
      </c>
      <c r="AJ1011" s="474" t="s">
        <v>2461</v>
      </c>
      <c r="AK1011" s="494" t="s">
        <v>1823</v>
      </c>
      <c r="AL1011" s="474">
        <v>97210</v>
      </c>
      <c r="AM1011" s="474" t="s">
        <v>52</v>
      </c>
      <c r="AN1011" s="474"/>
      <c r="AO1011" s="474"/>
      <c r="AP1011" s="486"/>
      <c r="AQ1011" s="486" t="s">
        <v>37</v>
      </c>
      <c r="AR1011" s="486"/>
      <c r="AS1011" s="495"/>
      <c r="AT1011" s="378"/>
      <c r="AU1011" s="478"/>
      <c r="AV1011" s="471" t="str">
        <f t="shared" si="202"/>
        <v>TBD</v>
      </c>
      <c r="AW1011" s="471" cm="1">
        <f t="array" ref="AW1011">SUM(MID(0&amp;AV1011,LARGE(INDEX(ISNUMBER(--MID(AV1011,ROW($1:$8),1))*ROW($1:$8),),ROW($1:$8))+1,1)*10^ROW($1:$8)/10)</f>
        <v>0</v>
      </c>
      <c r="AX1011" s="471" t="e">
        <f>VLOOKUP($AW1011,'Item Master Data'!$A:$F,3,FALSE)</f>
        <v>#N/A</v>
      </c>
      <c r="AY1011" s="471" t="e">
        <f>VLOOKUP($AW1011,'Item Master Data'!$A:$F,6,FALSE)</f>
        <v>#N/A</v>
      </c>
      <c r="AZ1011" s="471" t="e">
        <f t="shared" si="203"/>
        <v>#N/A</v>
      </c>
      <c r="BA1011" s="471" t="e">
        <f>VLOOKUP(AW1011,'Item Master Data'!$A:$G,7,FALSE)</f>
        <v>#N/A</v>
      </c>
      <c r="BB1011" s="471"/>
      <c r="BC1011" s="471" t="e">
        <f t="shared" si="204"/>
        <v>#N/A</v>
      </c>
    </row>
    <row r="1012" spans="1:55">
      <c r="A1012" s="472"/>
      <c r="B1012" s="514">
        <v>44557</v>
      </c>
      <c r="C1012" s="514">
        <v>44587</v>
      </c>
      <c r="D1012" s="485" t="s">
        <v>2322</v>
      </c>
      <c r="E1012" s="474" t="s">
        <v>1283</v>
      </c>
      <c r="F1012" s="474"/>
      <c r="G1012" s="474">
        <v>2022</v>
      </c>
      <c r="H1012" s="474">
        <v>12</v>
      </c>
      <c r="I1012" s="485"/>
      <c r="J1012" s="475"/>
      <c r="K1012" s="483" t="s">
        <v>2898</v>
      </c>
      <c r="L1012" s="474" t="s">
        <v>2551</v>
      </c>
      <c r="M1012" s="487">
        <v>44545</v>
      </c>
      <c r="N1012" s="487">
        <v>44905</v>
      </c>
      <c r="O1012" s="487"/>
      <c r="P1012" s="377"/>
      <c r="Q1012" s="475"/>
      <c r="R1012" s="475"/>
      <c r="S1012" s="474" t="s">
        <v>1563</v>
      </c>
      <c r="T1012" s="474">
        <v>60</v>
      </c>
      <c r="U1012" s="380" t="s">
        <v>1109</v>
      </c>
      <c r="V1012" s="474" t="s">
        <v>1223</v>
      </c>
      <c r="W1012" s="474">
        <v>360</v>
      </c>
      <c r="X1012" s="476">
        <v>832</v>
      </c>
      <c r="Y1012" s="477">
        <f t="shared" si="205"/>
        <v>299520</v>
      </c>
      <c r="Z1012" s="478">
        <v>0.78999999999999992</v>
      </c>
      <c r="AA1012" s="479">
        <f t="shared" si="207"/>
        <v>236620.79999999999</v>
      </c>
      <c r="AB1012" s="480"/>
      <c r="AC1012" s="481">
        <v>0</v>
      </c>
      <c r="AD1012" s="490"/>
      <c r="AE1012" s="482"/>
      <c r="AF1012" s="493">
        <f t="shared" si="208"/>
        <v>236620.79999999999</v>
      </c>
      <c r="AG1012" s="474" t="s">
        <v>1071</v>
      </c>
      <c r="AH1012" s="474"/>
      <c r="AI1012" s="483" t="s">
        <v>2442</v>
      </c>
      <c r="AJ1012" s="474" t="s">
        <v>2461</v>
      </c>
      <c r="AK1012" s="494" t="s">
        <v>1823</v>
      </c>
      <c r="AL1012" s="474">
        <v>97210</v>
      </c>
      <c r="AM1012" s="474" t="s">
        <v>52</v>
      </c>
      <c r="AN1012" s="474"/>
      <c r="AO1012" s="474"/>
      <c r="AP1012" s="486"/>
      <c r="AQ1012" s="486" t="s">
        <v>37</v>
      </c>
      <c r="AR1012" s="486"/>
      <c r="AS1012" s="495"/>
      <c r="AT1012" s="378"/>
      <c r="AU1012" s="478"/>
      <c r="AV1012" s="471" t="str">
        <f t="shared" si="202"/>
        <v>TBD</v>
      </c>
      <c r="AW1012" s="471" cm="1">
        <f t="array" ref="AW1012">SUM(MID(0&amp;AV1012,LARGE(INDEX(ISNUMBER(--MID(AV1012,ROW($1:$8),1))*ROW($1:$8),),ROW($1:$8))+1,1)*10^ROW($1:$8)/10)</f>
        <v>0</v>
      </c>
      <c r="AX1012" s="471" t="e">
        <f>VLOOKUP($AW1012,'Item Master Data'!$A:$F,3,FALSE)</f>
        <v>#N/A</v>
      </c>
      <c r="AY1012" s="471" t="e">
        <f>VLOOKUP($AW1012,'Item Master Data'!$A:$F,6,FALSE)</f>
        <v>#N/A</v>
      </c>
      <c r="AZ1012" s="471" t="e">
        <f t="shared" si="203"/>
        <v>#N/A</v>
      </c>
      <c r="BA1012" s="471" t="e">
        <f>VLOOKUP(AW1012,'Item Master Data'!$A:$G,7,FALSE)</f>
        <v>#N/A</v>
      </c>
      <c r="BB1012" s="471"/>
      <c r="BC1012" s="471" t="e">
        <f t="shared" si="204"/>
        <v>#N/A</v>
      </c>
    </row>
    <row r="1013" spans="1:55">
      <c r="A1013" s="472"/>
      <c r="B1013" s="514">
        <v>44557</v>
      </c>
      <c r="C1013" s="514">
        <v>44587</v>
      </c>
      <c r="D1013" s="485" t="s">
        <v>2322</v>
      </c>
      <c r="E1013" s="474"/>
      <c r="F1013" s="474"/>
      <c r="G1013" s="474">
        <v>2022</v>
      </c>
      <c r="H1013" s="474">
        <v>4</v>
      </c>
      <c r="I1013" s="485" t="s">
        <v>5744</v>
      </c>
      <c r="J1013" s="475">
        <v>44679</v>
      </c>
      <c r="K1013" s="483" t="s">
        <v>2550</v>
      </c>
      <c r="L1013" s="474" t="s">
        <v>2551</v>
      </c>
      <c r="M1013" s="487">
        <v>44545</v>
      </c>
      <c r="N1013" s="487">
        <v>44661</v>
      </c>
      <c r="O1013" s="487"/>
      <c r="P1013" s="377">
        <v>44671</v>
      </c>
      <c r="Q1013" s="475">
        <v>44679</v>
      </c>
      <c r="R1013" s="475">
        <v>44684</v>
      </c>
      <c r="S1013" s="474" t="s">
        <v>1563</v>
      </c>
      <c r="T1013" s="474">
        <v>60</v>
      </c>
      <c r="U1013" s="380">
        <v>49204132</v>
      </c>
      <c r="V1013" s="474" t="s">
        <v>1223</v>
      </c>
      <c r="W1013" s="474">
        <v>360</v>
      </c>
      <c r="X1013" s="476">
        <v>832</v>
      </c>
      <c r="Y1013" s="477">
        <f t="shared" si="205"/>
        <v>299520</v>
      </c>
      <c r="Z1013" s="478">
        <f>298.8/360</f>
        <v>0.83000000000000007</v>
      </c>
      <c r="AA1013" s="479">
        <f t="shared" si="207"/>
        <v>248601.60000000003</v>
      </c>
      <c r="AB1013" s="480"/>
      <c r="AC1013" s="481">
        <v>0</v>
      </c>
      <c r="AD1013" s="490"/>
      <c r="AE1013" s="482"/>
      <c r="AF1013" s="493">
        <f t="shared" si="208"/>
        <v>248601.60000000003</v>
      </c>
      <c r="AG1013" s="474" t="s">
        <v>1071</v>
      </c>
      <c r="AH1013" s="474"/>
      <c r="AI1013" s="483" t="s">
        <v>2442</v>
      </c>
      <c r="AJ1013" s="474" t="s">
        <v>2461</v>
      </c>
      <c r="AK1013" s="494" t="s">
        <v>1823</v>
      </c>
      <c r="AL1013" s="474">
        <v>97210</v>
      </c>
      <c r="AM1013" s="474" t="s">
        <v>52</v>
      </c>
      <c r="AN1013" s="474" t="s">
        <v>1106</v>
      </c>
      <c r="AO1013" s="474"/>
      <c r="AP1013" s="486"/>
      <c r="AQ1013" s="486" t="s">
        <v>37</v>
      </c>
      <c r="AR1013" s="486"/>
      <c r="AS1013" s="495"/>
      <c r="AT1013" s="378"/>
      <c r="AU1013" s="478"/>
      <c r="AV1013" s="471">
        <f t="shared" si="202"/>
        <v>49204132</v>
      </c>
      <c r="AW1013" s="471" cm="1">
        <f t="array" ref="AW1013">SUM(MID(0&amp;AV1013,LARGE(INDEX(ISNUMBER(--MID(AV1013,ROW($1:$8),1))*ROW($1:$8),),ROW($1:$8))+1,1)*10^ROW($1:$8)/10)</f>
        <v>49204132</v>
      </c>
      <c r="AX1013" s="471" t="str">
        <f>VLOOKUP($AW1013,'Item Master Data'!$A:$F,3,FALSE)</f>
        <v>Q.PEAK DUO BLK G10+/AC</v>
      </c>
      <c r="AY1013" s="471">
        <f>VLOOKUP($AW1013,'Item Master Data'!$A:$F,6,FALSE)</f>
        <v>360</v>
      </c>
      <c r="AZ1013" s="471">
        <f t="shared" si="203"/>
        <v>32</v>
      </c>
      <c r="BA1013" s="471">
        <f>VLOOKUP(AW1013,'Item Master Data'!$A:$G,7,FALSE)</f>
        <v>26</v>
      </c>
      <c r="BB1013" s="471"/>
      <c r="BC1013" s="471">
        <f t="shared" si="204"/>
        <v>0</v>
      </c>
    </row>
    <row r="1014" spans="1:55">
      <c r="A1014" s="472"/>
      <c r="B1014" s="514">
        <v>44557</v>
      </c>
      <c r="C1014" s="514">
        <v>44587</v>
      </c>
      <c r="D1014" s="485" t="s">
        <v>2322</v>
      </c>
      <c r="E1014" s="474" t="s">
        <v>1283</v>
      </c>
      <c r="F1014" s="474"/>
      <c r="G1014" s="474">
        <v>2022</v>
      </c>
      <c r="H1014" s="474">
        <v>9</v>
      </c>
      <c r="I1014" s="485"/>
      <c r="J1014" s="475"/>
      <c r="K1014" s="483" t="s">
        <v>2807</v>
      </c>
      <c r="L1014" s="474" t="s">
        <v>2551</v>
      </c>
      <c r="M1014" s="487">
        <v>44545</v>
      </c>
      <c r="N1014" s="487">
        <v>44814</v>
      </c>
      <c r="O1014" s="487"/>
      <c r="P1014" s="377"/>
      <c r="Q1014" s="475"/>
      <c r="R1014" s="475"/>
      <c r="S1014" s="474" t="s">
        <v>1563</v>
      </c>
      <c r="T1014" s="474">
        <v>60</v>
      </c>
      <c r="U1014" s="380" t="s">
        <v>1109</v>
      </c>
      <c r="V1014" s="474" t="s">
        <v>1223</v>
      </c>
      <c r="W1014" s="474">
        <v>360</v>
      </c>
      <c r="X1014" s="476">
        <v>832</v>
      </c>
      <c r="Y1014" s="477">
        <f t="shared" si="205"/>
        <v>299520</v>
      </c>
      <c r="Z1014" s="478">
        <v>0.78999999999999992</v>
      </c>
      <c r="AA1014" s="479">
        <f t="shared" si="207"/>
        <v>236620.79999999999</v>
      </c>
      <c r="AB1014" s="480"/>
      <c r="AC1014" s="481">
        <v>0</v>
      </c>
      <c r="AD1014" s="490"/>
      <c r="AE1014" s="482"/>
      <c r="AF1014" s="493">
        <f t="shared" si="208"/>
        <v>236620.79999999999</v>
      </c>
      <c r="AG1014" s="474" t="s">
        <v>1071</v>
      </c>
      <c r="AH1014" s="474"/>
      <c r="AI1014" s="483" t="s">
        <v>2442</v>
      </c>
      <c r="AJ1014" s="474" t="s">
        <v>2461</v>
      </c>
      <c r="AK1014" s="494" t="s">
        <v>1823</v>
      </c>
      <c r="AL1014" s="474">
        <v>97210</v>
      </c>
      <c r="AM1014" s="474" t="s">
        <v>52</v>
      </c>
      <c r="AN1014" s="474"/>
      <c r="AO1014" s="474"/>
      <c r="AP1014" s="486"/>
      <c r="AQ1014" s="486" t="s">
        <v>37</v>
      </c>
      <c r="AR1014" s="486"/>
      <c r="AS1014" s="495"/>
      <c r="AT1014" s="378"/>
      <c r="AU1014" s="478"/>
      <c r="AV1014" s="471" t="str">
        <f t="shared" si="202"/>
        <v>TBD</v>
      </c>
      <c r="AW1014" s="471" cm="1">
        <f t="array" ref="AW1014">SUM(MID(0&amp;AV1014,LARGE(INDEX(ISNUMBER(--MID(AV1014,ROW($1:$8),1))*ROW($1:$8),),ROW($1:$8))+1,1)*10^ROW($1:$8)/10)</f>
        <v>0</v>
      </c>
      <c r="AX1014" s="471" t="e">
        <f>VLOOKUP($AW1014,'Item Master Data'!$A:$F,3,FALSE)</f>
        <v>#N/A</v>
      </c>
      <c r="AY1014" s="471" t="e">
        <f>VLOOKUP($AW1014,'Item Master Data'!$A:$F,6,FALSE)</f>
        <v>#N/A</v>
      </c>
      <c r="AZ1014" s="471" t="e">
        <f t="shared" si="203"/>
        <v>#N/A</v>
      </c>
      <c r="BA1014" s="471" t="e">
        <f>VLOOKUP(AW1014,'Item Master Data'!$A:$G,7,FALSE)</f>
        <v>#N/A</v>
      </c>
      <c r="BB1014" s="471"/>
      <c r="BC1014" s="471" t="e">
        <f t="shared" si="204"/>
        <v>#N/A</v>
      </c>
    </row>
    <row r="1015" spans="1:55">
      <c r="A1015" s="472"/>
      <c r="B1015" s="514">
        <v>44557</v>
      </c>
      <c r="C1015" s="514">
        <v>44587</v>
      </c>
      <c r="D1015" s="485" t="s">
        <v>2322</v>
      </c>
      <c r="E1015" s="474" t="s">
        <v>1283</v>
      </c>
      <c r="F1015" s="474"/>
      <c r="G1015" s="474">
        <v>2022</v>
      </c>
      <c r="H1015" s="474">
        <v>10</v>
      </c>
      <c r="I1015" s="485"/>
      <c r="J1015" s="475"/>
      <c r="K1015" s="483" t="s">
        <v>2839</v>
      </c>
      <c r="L1015" s="474" t="s">
        <v>2551</v>
      </c>
      <c r="M1015" s="487">
        <v>44545</v>
      </c>
      <c r="N1015" s="487">
        <v>44844</v>
      </c>
      <c r="O1015" s="487"/>
      <c r="P1015" s="377"/>
      <c r="Q1015" s="475"/>
      <c r="R1015" s="475"/>
      <c r="S1015" s="474" t="s">
        <v>1563</v>
      </c>
      <c r="T1015" s="474">
        <v>60</v>
      </c>
      <c r="U1015" s="380" t="s">
        <v>1109</v>
      </c>
      <c r="V1015" s="474" t="s">
        <v>1223</v>
      </c>
      <c r="W1015" s="474">
        <v>360</v>
      </c>
      <c r="X1015" s="476">
        <v>832</v>
      </c>
      <c r="Y1015" s="477">
        <f t="shared" si="205"/>
        <v>299520</v>
      </c>
      <c r="Z1015" s="478">
        <v>0.78999999999999992</v>
      </c>
      <c r="AA1015" s="479">
        <f t="shared" si="207"/>
        <v>236620.79999999999</v>
      </c>
      <c r="AB1015" s="480"/>
      <c r="AC1015" s="481">
        <v>0</v>
      </c>
      <c r="AD1015" s="490"/>
      <c r="AE1015" s="482"/>
      <c r="AF1015" s="493">
        <f t="shared" si="208"/>
        <v>236620.79999999999</v>
      </c>
      <c r="AG1015" s="474" t="s">
        <v>1071</v>
      </c>
      <c r="AH1015" s="474"/>
      <c r="AI1015" s="483" t="s">
        <v>2442</v>
      </c>
      <c r="AJ1015" s="474" t="s">
        <v>2461</v>
      </c>
      <c r="AK1015" s="494" t="s">
        <v>1823</v>
      </c>
      <c r="AL1015" s="474">
        <v>97210</v>
      </c>
      <c r="AM1015" s="474" t="s">
        <v>52</v>
      </c>
      <c r="AN1015" s="474"/>
      <c r="AO1015" s="474"/>
      <c r="AP1015" s="486"/>
      <c r="AQ1015" s="486" t="s">
        <v>37</v>
      </c>
      <c r="AR1015" s="486"/>
      <c r="AS1015" s="495"/>
      <c r="AT1015" s="378"/>
      <c r="AU1015" s="478"/>
      <c r="AV1015" s="471" t="str">
        <f t="shared" si="202"/>
        <v>TBD</v>
      </c>
      <c r="AW1015" s="471" cm="1">
        <f t="array" ref="AW1015">SUM(MID(0&amp;AV1015,LARGE(INDEX(ISNUMBER(--MID(AV1015,ROW($1:$8),1))*ROW($1:$8),),ROW($1:$8))+1,1)*10^ROW($1:$8)/10)</f>
        <v>0</v>
      </c>
      <c r="AX1015" s="471" t="e">
        <f>VLOOKUP($AW1015,'Item Master Data'!$A:$F,3,FALSE)</f>
        <v>#N/A</v>
      </c>
      <c r="AY1015" s="471" t="e">
        <f>VLOOKUP($AW1015,'Item Master Data'!$A:$F,6,FALSE)</f>
        <v>#N/A</v>
      </c>
      <c r="AZ1015" s="471" t="e">
        <f t="shared" si="203"/>
        <v>#N/A</v>
      </c>
      <c r="BA1015" s="471" t="e">
        <f>VLOOKUP(AW1015,'Item Master Data'!$A:$G,7,FALSE)</f>
        <v>#N/A</v>
      </c>
      <c r="BB1015" s="471"/>
      <c r="BC1015" s="471" t="e">
        <f t="shared" si="204"/>
        <v>#N/A</v>
      </c>
    </row>
    <row r="1016" spans="1:55">
      <c r="A1016" s="472"/>
      <c r="B1016" s="514">
        <v>44557</v>
      </c>
      <c r="C1016" s="514">
        <v>44587</v>
      </c>
      <c r="D1016" s="485" t="s">
        <v>2322</v>
      </c>
      <c r="E1016" s="474" t="s">
        <v>1283</v>
      </c>
      <c r="F1016" s="474"/>
      <c r="G1016" s="474">
        <v>2022</v>
      </c>
      <c r="H1016" s="474">
        <v>11</v>
      </c>
      <c r="I1016" s="485"/>
      <c r="J1016" s="475"/>
      <c r="K1016" s="483" t="s">
        <v>2873</v>
      </c>
      <c r="L1016" s="474" t="s">
        <v>2551</v>
      </c>
      <c r="M1016" s="487">
        <v>44545</v>
      </c>
      <c r="N1016" s="487">
        <v>44875</v>
      </c>
      <c r="O1016" s="487"/>
      <c r="P1016" s="377"/>
      <c r="Q1016" s="475"/>
      <c r="R1016" s="475"/>
      <c r="S1016" s="474" t="s">
        <v>1563</v>
      </c>
      <c r="T1016" s="474">
        <v>60</v>
      </c>
      <c r="U1016" s="380" t="s">
        <v>1109</v>
      </c>
      <c r="V1016" s="474" t="s">
        <v>1223</v>
      </c>
      <c r="W1016" s="474">
        <v>360</v>
      </c>
      <c r="X1016" s="476">
        <v>832</v>
      </c>
      <c r="Y1016" s="477">
        <f t="shared" si="205"/>
        <v>299520</v>
      </c>
      <c r="Z1016" s="478">
        <v>0.78999999999999992</v>
      </c>
      <c r="AA1016" s="479">
        <f t="shared" si="207"/>
        <v>236620.79999999999</v>
      </c>
      <c r="AB1016" s="480"/>
      <c r="AC1016" s="481">
        <v>0</v>
      </c>
      <c r="AD1016" s="490"/>
      <c r="AE1016" s="482"/>
      <c r="AF1016" s="493">
        <f t="shared" si="208"/>
        <v>236620.79999999999</v>
      </c>
      <c r="AG1016" s="474" t="s">
        <v>1071</v>
      </c>
      <c r="AH1016" s="474"/>
      <c r="AI1016" s="483" t="s">
        <v>2442</v>
      </c>
      <c r="AJ1016" s="474" t="s">
        <v>2461</v>
      </c>
      <c r="AK1016" s="494" t="s">
        <v>1823</v>
      </c>
      <c r="AL1016" s="474">
        <v>97210</v>
      </c>
      <c r="AM1016" s="474" t="s">
        <v>52</v>
      </c>
      <c r="AN1016" s="474"/>
      <c r="AO1016" s="474"/>
      <c r="AP1016" s="486"/>
      <c r="AQ1016" s="486" t="s">
        <v>37</v>
      </c>
      <c r="AR1016" s="486"/>
      <c r="AS1016" s="495"/>
      <c r="AT1016" s="378"/>
      <c r="AU1016" s="478"/>
      <c r="AV1016" s="471" t="str">
        <f t="shared" si="202"/>
        <v>TBD</v>
      </c>
      <c r="AW1016" s="471" cm="1">
        <f t="array" ref="AW1016">SUM(MID(0&amp;AV1016,LARGE(INDEX(ISNUMBER(--MID(AV1016,ROW($1:$8),1))*ROW($1:$8),),ROW($1:$8))+1,1)*10^ROW($1:$8)/10)</f>
        <v>0</v>
      </c>
      <c r="AX1016" s="471" t="e">
        <f>VLOOKUP($AW1016,'Item Master Data'!$A:$F,3,FALSE)</f>
        <v>#N/A</v>
      </c>
      <c r="AY1016" s="471" t="e">
        <f>VLOOKUP($AW1016,'Item Master Data'!$A:$F,6,FALSE)</f>
        <v>#N/A</v>
      </c>
      <c r="AZ1016" s="471" t="e">
        <f t="shared" si="203"/>
        <v>#N/A</v>
      </c>
      <c r="BA1016" s="471" t="e">
        <f>VLOOKUP(AW1016,'Item Master Data'!$A:$G,7,FALSE)</f>
        <v>#N/A</v>
      </c>
      <c r="BB1016" s="471"/>
      <c r="BC1016" s="471" t="e">
        <f t="shared" si="204"/>
        <v>#N/A</v>
      </c>
    </row>
    <row r="1017" spans="1:55">
      <c r="A1017" s="472"/>
      <c r="B1017" s="514"/>
      <c r="C1017" s="514"/>
      <c r="D1017" s="485" t="s">
        <v>2322</v>
      </c>
      <c r="E1017" s="474"/>
      <c r="F1017" s="474"/>
      <c r="G1017" s="474">
        <v>2022</v>
      </c>
      <c r="H1017" s="474">
        <v>5</v>
      </c>
      <c r="I1017" s="485"/>
      <c r="J1017" s="475"/>
      <c r="K1017" s="654" t="s">
        <v>2682</v>
      </c>
      <c r="L1017" s="474" t="s">
        <v>2459</v>
      </c>
      <c r="M1017" s="487">
        <v>44512</v>
      </c>
      <c r="N1017" s="487">
        <v>44696</v>
      </c>
      <c r="O1017" s="487"/>
      <c r="P1017" s="502" t="s">
        <v>5693</v>
      </c>
      <c r="Q1017" s="475"/>
      <c r="R1017" s="475"/>
      <c r="S1017" s="474" t="s">
        <v>1563</v>
      </c>
      <c r="T1017" s="474">
        <v>60</v>
      </c>
      <c r="U1017" s="380" t="s">
        <v>1281</v>
      </c>
      <c r="V1017" s="474" t="s">
        <v>973</v>
      </c>
      <c r="W1017" s="474">
        <v>400</v>
      </c>
      <c r="X1017" s="476">
        <v>768</v>
      </c>
      <c r="Y1017" s="477">
        <f t="shared" si="205"/>
        <v>307200</v>
      </c>
      <c r="Z1017" s="478">
        <f>222/400</f>
        <v>0.55500000000000005</v>
      </c>
      <c r="AA1017" s="479">
        <f t="shared" si="207"/>
        <v>170496.00000000003</v>
      </c>
      <c r="AB1017" s="480"/>
      <c r="AC1017" s="481">
        <v>0</v>
      </c>
      <c r="AD1017" s="490"/>
      <c r="AE1017" s="482"/>
      <c r="AF1017" s="493">
        <f t="shared" si="208"/>
        <v>170496.00000000003</v>
      </c>
      <c r="AG1017" s="474" t="s">
        <v>1071</v>
      </c>
      <c r="AH1017" s="474"/>
      <c r="AI1017" s="483">
        <v>60</v>
      </c>
      <c r="AJ1017" s="474" t="s">
        <v>2472</v>
      </c>
      <c r="AK1017" s="494" t="s">
        <v>1133</v>
      </c>
      <c r="AL1017" s="474">
        <v>85008</v>
      </c>
      <c r="AM1017" s="474" t="s">
        <v>52</v>
      </c>
      <c r="AN1017" s="474" t="s">
        <v>50</v>
      </c>
      <c r="AO1017" s="474"/>
      <c r="AP1017" s="486"/>
      <c r="AQ1017" s="486" t="s">
        <v>37</v>
      </c>
      <c r="AR1017" s="486"/>
      <c r="AS1017" s="495"/>
      <c r="AT1017" s="378"/>
      <c r="AU1017" s="478"/>
      <c r="AV1017" s="471" t="str">
        <f t="shared" si="202"/>
        <v>30390456H</v>
      </c>
      <c r="AW1017" s="471" cm="1">
        <f t="array" ref="AW1017">SUM(MID(0&amp;AV1017,LARGE(INDEX(ISNUMBER(--MID(AV1017,ROW($1:$8),1))*ROW($1:$8),),ROW($1:$8))+1,1)*10^ROW($1:$8)/10)</f>
        <v>30390456</v>
      </c>
      <c r="AX1017" s="471" t="str">
        <f>VLOOKUP($AW1017,'Item Master Data'!$A:$F,3,FALSE)</f>
        <v>Q.PEAK DUO BLK ML G10+</v>
      </c>
      <c r="AY1017" s="471">
        <f>VLOOKUP($AW1017,'Item Master Data'!$A:$F,6,FALSE)</f>
        <v>400</v>
      </c>
      <c r="AZ1017" s="471">
        <f t="shared" si="203"/>
        <v>24</v>
      </c>
      <c r="BA1017" s="471">
        <f>VLOOKUP(AW1017,'Item Master Data'!$A:$G,7,FALSE)</f>
        <v>32</v>
      </c>
      <c r="BB1017" s="471"/>
      <c r="BC1017" s="471">
        <f t="shared" si="204"/>
        <v>0</v>
      </c>
    </row>
    <row r="1018" spans="1:55">
      <c r="A1018" s="472"/>
      <c r="B1018" s="514">
        <v>44557</v>
      </c>
      <c r="C1018" s="514"/>
      <c r="D1018" s="485" t="s">
        <v>2322</v>
      </c>
      <c r="E1018" s="474" t="s">
        <v>2726</v>
      </c>
      <c r="F1018" s="474"/>
      <c r="G1018" s="474">
        <v>2022</v>
      </c>
      <c r="H1018" s="474">
        <v>7</v>
      </c>
      <c r="I1018" s="485"/>
      <c r="J1018" s="475"/>
      <c r="K1018" s="483" t="s">
        <v>2737</v>
      </c>
      <c r="L1018" s="474" t="s">
        <v>2551</v>
      </c>
      <c r="M1018" s="487">
        <v>44544</v>
      </c>
      <c r="N1018" s="487">
        <v>44656</v>
      </c>
      <c r="O1018" s="487"/>
      <c r="P1018" s="377"/>
      <c r="Q1018" s="475"/>
      <c r="R1018" s="475"/>
      <c r="S1018" s="474" t="s">
        <v>1563</v>
      </c>
      <c r="T1018" s="474">
        <v>60</v>
      </c>
      <c r="U1018" s="380" t="s">
        <v>1281</v>
      </c>
      <c r="V1018" s="474" t="s">
        <v>973</v>
      </c>
      <c r="W1018" s="474">
        <v>400</v>
      </c>
      <c r="X1018" s="476">
        <v>768</v>
      </c>
      <c r="Y1018" s="477">
        <v>307200</v>
      </c>
      <c r="Z1018" s="478">
        <v>0.55500000000000005</v>
      </c>
      <c r="AA1018" s="479">
        <v>170496.00000000003</v>
      </c>
      <c r="AB1018" s="480"/>
      <c r="AC1018" s="481">
        <v>0</v>
      </c>
      <c r="AD1018" s="490"/>
      <c r="AE1018" s="482"/>
      <c r="AF1018" s="493">
        <v>170496.00000000003</v>
      </c>
      <c r="AG1018" s="474" t="s">
        <v>1071</v>
      </c>
      <c r="AH1018" s="474"/>
      <c r="AI1018" s="483" t="s">
        <v>2442</v>
      </c>
      <c r="AJ1018" s="474" t="s">
        <v>1860</v>
      </c>
      <c r="AK1018" s="494" t="s">
        <v>50</v>
      </c>
      <c r="AL1018" s="474">
        <v>93722</v>
      </c>
      <c r="AM1018" s="474" t="s">
        <v>52</v>
      </c>
      <c r="AN1018" s="474"/>
      <c r="AO1018" s="474"/>
      <c r="AP1018" s="486"/>
      <c r="AQ1018" s="486" t="s">
        <v>37</v>
      </c>
      <c r="AR1018" s="486"/>
      <c r="AS1018" s="495"/>
      <c r="AT1018" s="378"/>
      <c r="AU1018" s="478"/>
      <c r="AV1018" s="471" t="str">
        <f t="shared" si="202"/>
        <v>30390456H</v>
      </c>
      <c r="AW1018" s="471" cm="1">
        <f t="array" ref="AW1018">SUM(MID(0&amp;AV1018,LARGE(INDEX(ISNUMBER(--MID(AV1018,ROW($1:$8),1))*ROW($1:$8),),ROW($1:$8))+1,1)*10^ROW($1:$8)/10)</f>
        <v>30390456</v>
      </c>
      <c r="AX1018" s="471" t="str">
        <f>VLOOKUP($AW1018,'Item Master Data'!$A:$F,3,FALSE)</f>
        <v>Q.PEAK DUO BLK ML G10+</v>
      </c>
      <c r="AY1018" s="471">
        <f>VLOOKUP($AW1018,'Item Master Data'!$A:$F,6,FALSE)</f>
        <v>400</v>
      </c>
      <c r="AZ1018" s="471">
        <f t="shared" si="203"/>
        <v>24</v>
      </c>
      <c r="BA1018" s="471">
        <f>VLOOKUP(AW1018,'Item Master Data'!$A:$G,7,FALSE)</f>
        <v>32</v>
      </c>
      <c r="BB1018" s="471"/>
      <c r="BC1018" s="471">
        <f t="shared" si="204"/>
        <v>0</v>
      </c>
    </row>
    <row r="1019" spans="1:55">
      <c r="A1019" s="472"/>
      <c r="B1019" s="514">
        <v>44557</v>
      </c>
      <c r="C1019" s="514">
        <v>44587</v>
      </c>
      <c r="D1019" s="485" t="s">
        <v>2322</v>
      </c>
      <c r="E1019" s="474" t="s">
        <v>1283</v>
      </c>
      <c r="F1019" s="474"/>
      <c r="G1019" s="474">
        <v>2022</v>
      </c>
      <c r="H1019" s="474">
        <v>6</v>
      </c>
      <c r="I1019" s="485"/>
      <c r="J1019" s="475"/>
      <c r="K1019" s="483" t="s">
        <v>2684</v>
      </c>
      <c r="L1019" s="474" t="s">
        <v>2551</v>
      </c>
      <c r="M1019" s="487">
        <v>44544</v>
      </c>
      <c r="N1019" s="487">
        <v>44716</v>
      </c>
      <c r="O1019" s="487"/>
      <c r="P1019" s="377"/>
      <c r="Q1019" s="475"/>
      <c r="R1019" s="475"/>
      <c r="S1019" s="474" t="s">
        <v>1563</v>
      </c>
      <c r="T1019" s="474">
        <v>60</v>
      </c>
      <c r="U1019" s="380" t="s">
        <v>1281</v>
      </c>
      <c r="V1019" s="474" t="s">
        <v>1223</v>
      </c>
      <c r="W1019" s="474">
        <v>360</v>
      </c>
      <c r="X1019" s="476">
        <v>624</v>
      </c>
      <c r="Y1019" s="477">
        <f t="shared" ref="Y1019:Y1057" si="209">X1019*W1019</f>
        <v>224640</v>
      </c>
      <c r="Z1019" s="478">
        <v>0.78999999999999992</v>
      </c>
      <c r="AA1019" s="479">
        <f t="shared" ref="AA1019:AA1082" si="210">Z1019*Y1019</f>
        <v>177465.59999999998</v>
      </c>
      <c r="AB1019" s="480"/>
      <c r="AC1019" s="481">
        <v>0</v>
      </c>
      <c r="AD1019" s="490"/>
      <c r="AE1019" s="482"/>
      <c r="AF1019" s="493">
        <f t="shared" ref="AF1019:AF1082" si="211">AA1019+AE1019</f>
        <v>177465.59999999998</v>
      </c>
      <c r="AG1019" s="474" t="s">
        <v>1071</v>
      </c>
      <c r="AH1019" s="474"/>
      <c r="AI1019" s="483" t="s">
        <v>2442</v>
      </c>
      <c r="AJ1019" s="474" t="s">
        <v>1860</v>
      </c>
      <c r="AK1019" s="494" t="s">
        <v>50</v>
      </c>
      <c r="AL1019" s="474">
        <v>93722</v>
      </c>
      <c r="AM1019" s="474" t="s">
        <v>52</v>
      </c>
      <c r="AN1019" s="474"/>
      <c r="AO1019" s="474"/>
      <c r="AP1019" s="486"/>
      <c r="AQ1019" s="486" t="s">
        <v>37</v>
      </c>
      <c r="AR1019" s="486"/>
      <c r="AS1019" s="495"/>
      <c r="AT1019" s="378"/>
      <c r="AU1019" s="478"/>
      <c r="AV1019" s="471" t="str">
        <f t="shared" si="202"/>
        <v>30390456H</v>
      </c>
      <c r="AW1019" s="471" cm="1">
        <f t="array" ref="AW1019">SUM(MID(0&amp;AV1019,LARGE(INDEX(ISNUMBER(--MID(AV1019,ROW($1:$8),1))*ROW($1:$8),),ROW($1:$8))+1,1)*10^ROW($1:$8)/10)</f>
        <v>30390456</v>
      </c>
      <c r="AX1019" s="471" t="str">
        <f>VLOOKUP($AW1019,'Item Master Data'!$A:$F,3,FALSE)</f>
        <v>Q.PEAK DUO BLK ML G10+</v>
      </c>
      <c r="AY1019" s="471">
        <f>VLOOKUP($AW1019,'Item Master Data'!$A:$F,6,FALSE)</f>
        <v>400</v>
      </c>
      <c r="AZ1019" s="471">
        <f t="shared" si="203"/>
        <v>19.5</v>
      </c>
      <c r="BA1019" s="471">
        <f>VLOOKUP(AW1019,'Item Master Data'!$A:$G,7,FALSE)</f>
        <v>32</v>
      </c>
      <c r="BB1019" s="471"/>
      <c r="BC1019" s="471">
        <f t="shared" si="204"/>
        <v>-40</v>
      </c>
    </row>
    <row r="1020" spans="1:55">
      <c r="A1020" s="472"/>
      <c r="B1020" s="514">
        <v>44557</v>
      </c>
      <c r="C1020" s="514">
        <v>44587</v>
      </c>
      <c r="D1020" s="485" t="s">
        <v>2322</v>
      </c>
      <c r="E1020" s="474" t="s">
        <v>1283</v>
      </c>
      <c r="F1020" s="474"/>
      <c r="G1020" s="474">
        <v>2022</v>
      </c>
      <c r="H1020" s="474">
        <v>7</v>
      </c>
      <c r="I1020" s="485"/>
      <c r="J1020" s="475"/>
      <c r="K1020" s="483" t="s">
        <v>2738</v>
      </c>
      <c r="L1020" s="474" t="s">
        <v>2551</v>
      </c>
      <c r="M1020" s="487">
        <v>44544</v>
      </c>
      <c r="N1020" s="487">
        <v>44754</v>
      </c>
      <c r="O1020" s="487"/>
      <c r="P1020" s="377"/>
      <c r="Q1020" s="475"/>
      <c r="R1020" s="475"/>
      <c r="S1020" s="474" t="s">
        <v>1563</v>
      </c>
      <c r="T1020" s="474">
        <v>60</v>
      </c>
      <c r="U1020" s="380" t="s">
        <v>1281</v>
      </c>
      <c r="V1020" s="474" t="s">
        <v>1223</v>
      </c>
      <c r="W1020" s="474">
        <v>360</v>
      </c>
      <c r="X1020" s="476">
        <v>624</v>
      </c>
      <c r="Y1020" s="477">
        <f t="shared" si="209"/>
        <v>224640</v>
      </c>
      <c r="Z1020" s="478">
        <v>0.78999999999999992</v>
      </c>
      <c r="AA1020" s="479">
        <f t="shared" si="210"/>
        <v>177465.59999999998</v>
      </c>
      <c r="AB1020" s="480"/>
      <c r="AC1020" s="481">
        <v>0</v>
      </c>
      <c r="AD1020" s="490"/>
      <c r="AE1020" s="482"/>
      <c r="AF1020" s="493">
        <f t="shared" si="211"/>
        <v>177465.59999999998</v>
      </c>
      <c r="AG1020" s="474" t="s">
        <v>1071</v>
      </c>
      <c r="AH1020" s="474"/>
      <c r="AI1020" s="483" t="s">
        <v>2442</v>
      </c>
      <c r="AJ1020" s="474" t="s">
        <v>1860</v>
      </c>
      <c r="AK1020" s="494" t="s">
        <v>50</v>
      </c>
      <c r="AL1020" s="474">
        <v>93722</v>
      </c>
      <c r="AM1020" s="474" t="s">
        <v>52</v>
      </c>
      <c r="AN1020" s="474"/>
      <c r="AO1020" s="474"/>
      <c r="AP1020" s="486"/>
      <c r="AQ1020" s="486" t="s">
        <v>37</v>
      </c>
      <c r="AR1020" s="486"/>
      <c r="AS1020" s="495"/>
      <c r="AT1020" s="378"/>
      <c r="AU1020" s="478"/>
      <c r="AV1020" s="471" t="str">
        <f t="shared" si="202"/>
        <v>30390456H</v>
      </c>
      <c r="AW1020" s="471" cm="1">
        <f t="array" ref="AW1020">SUM(MID(0&amp;AV1020,LARGE(INDEX(ISNUMBER(--MID(AV1020,ROW($1:$8),1))*ROW($1:$8),),ROW($1:$8))+1,1)*10^ROW($1:$8)/10)</f>
        <v>30390456</v>
      </c>
      <c r="AX1020" s="471" t="str">
        <f>VLOOKUP($AW1020,'Item Master Data'!$A:$F,3,FALSE)</f>
        <v>Q.PEAK DUO BLK ML G10+</v>
      </c>
      <c r="AY1020" s="471">
        <f>VLOOKUP($AW1020,'Item Master Data'!$A:$F,6,FALSE)</f>
        <v>400</v>
      </c>
      <c r="AZ1020" s="471">
        <f t="shared" si="203"/>
        <v>19.5</v>
      </c>
      <c r="BA1020" s="471">
        <f>VLOOKUP(AW1020,'Item Master Data'!$A:$G,7,FALSE)</f>
        <v>32</v>
      </c>
      <c r="BB1020" s="471"/>
      <c r="BC1020" s="471">
        <f t="shared" si="204"/>
        <v>-40</v>
      </c>
    </row>
    <row r="1021" spans="1:55">
      <c r="A1021" s="472"/>
      <c r="B1021" s="514">
        <v>44557</v>
      </c>
      <c r="C1021" s="514">
        <v>44587</v>
      </c>
      <c r="D1021" s="485" t="s">
        <v>2322</v>
      </c>
      <c r="E1021" s="474" t="s">
        <v>1283</v>
      </c>
      <c r="F1021" s="474"/>
      <c r="G1021" s="474">
        <v>2022</v>
      </c>
      <c r="H1021" s="474">
        <v>8</v>
      </c>
      <c r="I1021" s="485"/>
      <c r="J1021" s="475"/>
      <c r="K1021" s="483" t="s">
        <v>2775</v>
      </c>
      <c r="L1021" s="474" t="s">
        <v>2551</v>
      </c>
      <c r="M1021" s="487">
        <v>44545</v>
      </c>
      <c r="N1021" s="487">
        <v>44778</v>
      </c>
      <c r="O1021" s="487"/>
      <c r="P1021" s="377"/>
      <c r="Q1021" s="475"/>
      <c r="R1021" s="475"/>
      <c r="S1021" s="474" t="s">
        <v>1563</v>
      </c>
      <c r="T1021" s="474">
        <v>60</v>
      </c>
      <c r="U1021" s="380" t="s">
        <v>1109</v>
      </c>
      <c r="V1021" s="474" t="s">
        <v>1223</v>
      </c>
      <c r="W1021" s="474">
        <v>360</v>
      </c>
      <c r="X1021" s="476">
        <v>624</v>
      </c>
      <c r="Y1021" s="477">
        <f t="shared" si="209"/>
        <v>224640</v>
      </c>
      <c r="Z1021" s="478">
        <v>0.78999999999999992</v>
      </c>
      <c r="AA1021" s="479">
        <f t="shared" si="210"/>
        <v>177465.59999999998</v>
      </c>
      <c r="AB1021" s="480"/>
      <c r="AC1021" s="481">
        <v>0</v>
      </c>
      <c r="AD1021" s="490"/>
      <c r="AE1021" s="482"/>
      <c r="AF1021" s="493">
        <f t="shared" si="211"/>
        <v>177465.59999999998</v>
      </c>
      <c r="AG1021" s="474" t="s">
        <v>1071</v>
      </c>
      <c r="AH1021" s="474"/>
      <c r="AI1021" s="483" t="s">
        <v>2442</v>
      </c>
      <c r="AJ1021" s="474" t="s">
        <v>1860</v>
      </c>
      <c r="AK1021" s="494" t="s">
        <v>50</v>
      </c>
      <c r="AL1021" s="474">
        <v>93722</v>
      </c>
      <c r="AM1021" s="474" t="s">
        <v>52</v>
      </c>
      <c r="AN1021" s="474"/>
      <c r="AO1021" s="474"/>
      <c r="AP1021" s="486"/>
      <c r="AQ1021" s="486" t="s">
        <v>37</v>
      </c>
      <c r="AR1021" s="486"/>
      <c r="AS1021" s="495"/>
      <c r="AT1021" s="378"/>
      <c r="AU1021" s="478"/>
      <c r="AV1021" s="471" t="str">
        <f t="shared" si="202"/>
        <v>TBD</v>
      </c>
      <c r="AW1021" s="471" cm="1">
        <f t="array" ref="AW1021">SUM(MID(0&amp;AV1021,LARGE(INDEX(ISNUMBER(--MID(AV1021,ROW($1:$8),1))*ROW($1:$8),),ROW($1:$8))+1,1)*10^ROW($1:$8)/10)</f>
        <v>0</v>
      </c>
      <c r="AX1021" s="471" t="e">
        <f>VLOOKUP($AW1021,'Item Master Data'!$A:$F,3,FALSE)</f>
        <v>#N/A</v>
      </c>
      <c r="AY1021" s="471" t="e">
        <f>VLOOKUP($AW1021,'Item Master Data'!$A:$F,6,FALSE)</f>
        <v>#N/A</v>
      </c>
      <c r="AZ1021" s="471" t="e">
        <f t="shared" si="203"/>
        <v>#N/A</v>
      </c>
      <c r="BA1021" s="471" t="e">
        <f>VLOOKUP(AW1021,'Item Master Data'!$A:$G,7,FALSE)</f>
        <v>#N/A</v>
      </c>
      <c r="BB1021" s="471"/>
      <c r="BC1021" s="471" t="e">
        <f t="shared" si="204"/>
        <v>#N/A</v>
      </c>
    </row>
    <row r="1022" spans="1:55">
      <c r="A1022" s="472"/>
      <c r="B1022" s="514">
        <v>44557</v>
      </c>
      <c r="C1022" s="514">
        <v>44587</v>
      </c>
      <c r="D1022" s="485" t="s">
        <v>2322</v>
      </c>
      <c r="E1022" s="474" t="s">
        <v>1283</v>
      </c>
      <c r="F1022" s="474"/>
      <c r="G1022" s="474">
        <v>2022</v>
      </c>
      <c r="H1022" s="474">
        <v>9</v>
      </c>
      <c r="I1022" s="485"/>
      <c r="J1022" s="475"/>
      <c r="K1022" s="483" t="s">
        <v>2808</v>
      </c>
      <c r="L1022" s="474" t="s">
        <v>2551</v>
      </c>
      <c r="M1022" s="487">
        <v>44545</v>
      </c>
      <c r="N1022" s="487">
        <v>44816</v>
      </c>
      <c r="O1022" s="487"/>
      <c r="P1022" s="377"/>
      <c r="Q1022" s="475"/>
      <c r="R1022" s="475"/>
      <c r="S1022" s="474" t="s">
        <v>1563</v>
      </c>
      <c r="T1022" s="474">
        <v>60</v>
      </c>
      <c r="U1022" s="380" t="s">
        <v>1109</v>
      </c>
      <c r="V1022" s="474" t="s">
        <v>1223</v>
      </c>
      <c r="W1022" s="474">
        <v>360</v>
      </c>
      <c r="X1022" s="476">
        <v>624</v>
      </c>
      <c r="Y1022" s="477">
        <f t="shared" si="209"/>
        <v>224640</v>
      </c>
      <c r="Z1022" s="478">
        <v>0.78999999999999992</v>
      </c>
      <c r="AA1022" s="479">
        <f t="shared" si="210"/>
        <v>177465.59999999998</v>
      </c>
      <c r="AB1022" s="480"/>
      <c r="AC1022" s="481">
        <v>0</v>
      </c>
      <c r="AD1022" s="490"/>
      <c r="AE1022" s="482"/>
      <c r="AF1022" s="493">
        <f t="shared" si="211"/>
        <v>177465.59999999998</v>
      </c>
      <c r="AG1022" s="474" t="s">
        <v>1071</v>
      </c>
      <c r="AH1022" s="474"/>
      <c r="AI1022" s="483" t="s">
        <v>2442</v>
      </c>
      <c r="AJ1022" s="474" t="s">
        <v>1860</v>
      </c>
      <c r="AK1022" s="494" t="s">
        <v>50</v>
      </c>
      <c r="AL1022" s="474">
        <v>93722</v>
      </c>
      <c r="AM1022" s="474" t="s">
        <v>52</v>
      </c>
      <c r="AN1022" s="474"/>
      <c r="AO1022" s="474"/>
      <c r="AP1022" s="486"/>
      <c r="AQ1022" s="486" t="s">
        <v>37</v>
      </c>
      <c r="AR1022" s="486"/>
      <c r="AS1022" s="495"/>
      <c r="AT1022" s="378"/>
      <c r="AU1022" s="478"/>
      <c r="AV1022" s="471" t="str">
        <f t="shared" ref="AV1022:AV1085" si="212">U1022</f>
        <v>TBD</v>
      </c>
      <c r="AW1022" s="471" cm="1">
        <f t="array" ref="AW1022">SUM(MID(0&amp;AV1022,LARGE(INDEX(ISNUMBER(--MID(AV1022,ROW($1:$8),1))*ROW($1:$8),),ROW($1:$8))+1,1)*10^ROW($1:$8)/10)</f>
        <v>0</v>
      </c>
      <c r="AX1022" s="471" t="e">
        <f>VLOOKUP($AW1022,'Item Master Data'!$A:$F,3,FALSE)</f>
        <v>#N/A</v>
      </c>
      <c r="AY1022" s="471" t="e">
        <f>VLOOKUP($AW1022,'Item Master Data'!$A:$F,6,FALSE)</f>
        <v>#N/A</v>
      </c>
      <c r="AZ1022" s="471" t="e">
        <f t="shared" ref="AZ1022:AZ1085" si="213">X1022/BA1022</f>
        <v>#N/A</v>
      </c>
      <c r="BA1022" s="471" t="e">
        <f>VLOOKUP(AW1022,'Item Master Data'!$A:$G,7,FALSE)</f>
        <v>#N/A</v>
      </c>
      <c r="BB1022" s="471"/>
      <c r="BC1022" s="471" t="e">
        <f t="shared" ref="BC1022:BC1085" si="214">W1022-AY1022</f>
        <v>#N/A</v>
      </c>
    </row>
    <row r="1023" spans="1:55">
      <c r="A1023" s="472"/>
      <c r="B1023" s="514">
        <v>44557</v>
      </c>
      <c r="C1023" s="514">
        <v>44587</v>
      </c>
      <c r="D1023" s="485" t="s">
        <v>2322</v>
      </c>
      <c r="E1023" s="474" t="s">
        <v>1283</v>
      </c>
      <c r="F1023" s="474"/>
      <c r="G1023" s="474">
        <v>2022</v>
      </c>
      <c r="H1023" s="474">
        <v>10</v>
      </c>
      <c r="I1023" s="485"/>
      <c r="J1023" s="475"/>
      <c r="K1023" s="483" t="s">
        <v>2840</v>
      </c>
      <c r="L1023" s="474" t="s">
        <v>2551</v>
      </c>
      <c r="M1023" s="487">
        <v>44545</v>
      </c>
      <c r="N1023" s="487">
        <v>44838</v>
      </c>
      <c r="O1023" s="487"/>
      <c r="P1023" s="377"/>
      <c r="Q1023" s="475"/>
      <c r="R1023" s="475"/>
      <c r="S1023" s="474" t="s">
        <v>1563</v>
      </c>
      <c r="T1023" s="474">
        <v>60</v>
      </c>
      <c r="U1023" s="380" t="s">
        <v>1109</v>
      </c>
      <c r="V1023" s="474" t="s">
        <v>1223</v>
      </c>
      <c r="W1023" s="474">
        <v>360</v>
      </c>
      <c r="X1023" s="476">
        <v>624</v>
      </c>
      <c r="Y1023" s="477">
        <f t="shared" si="209"/>
        <v>224640</v>
      </c>
      <c r="Z1023" s="478">
        <v>0.78999999999999992</v>
      </c>
      <c r="AA1023" s="479">
        <f t="shared" si="210"/>
        <v>177465.59999999998</v>
      </c>
      <c r="AB1023" s="480"/>
      <c r="AC1023" s="481">
        <v>0</v>
      </c>
      <c r="AD1023" s="490"/>
      <c r="AE1023" s="482"/>
      <c r="AF1023" s="493">
        <f t="shared" si="211"/>
        <v>177465.59999999998</v>
      </c>
      <c r="AG1023" s="474" t="s">
        <v>1071</v>
      </c>
      <c r="AH1023" s="474"/>
      <c r="AI1023" s="483" t="s">
        <v>2442</v>
      </c>
      <c r="AJ1023" s="474" t="s">
        <v>1860</v>
      </c>
      <c r="AK1023" s="494" t="s">
        <v>50</v>
      </c>
      <c r="AL1023" s="474">
        <v>93722</v>
      </c>
      <c r="AM1023" s="474" t="s">
        <v>52</v>
      </c>
      <c r="AN1023" s="474"/>
      <c r="AO1023" s="474"/>
      <c r="AP1023" s="486"/>
      <c r="AQ1023" s="486" t="s">
        <v>37</v>
      </c>
      <c r="AR1023" s="486"/>
      <c r="AS1023" s="495"/>
      <c r="AT1023" s="378"/>
      <c r="AU1023" s="478"/>
      <c r="AV1023" s="471" t="str">
        <f t="shared" si="212"/>
        <v>TBD</v>
      </c>
      <c r="AW1023" s="471" cm="1">
        <f t="array" ref="AW1023">SUM(MID(0&amp;AV1023,LARGE(INDEX(ISNUMBER(--MID(AV1023,ROW($1:$8),1))*ROW($1:$8),),ROW($1:$8))+1,1)*10^ROW($1:$8)/10)</f>
        <v>0</v>
      </c>
      <c r="AX1023" s="471" t="e">
        <f>VLOOKUP($AW1023,'Item Master Data'!$A:$F,3,FALSE)</f>
        <v>#N/A</v>
      </c>
      <c r="AY1023" s="471" t="e">
        <f>VLOOKUP($AW1023,'Item Master Data'!$A:$F,6,FALSE)</f>
        <v>#N/A</v>
      </c>
      <c r="AZ1023" s="471" t="e">
        <f t="shared" si="213"/>
        <v>#N/A</v>
      </c>
      <c r="BA1023" s="471" t="e">
        <f>VLOOKUP(AW1023,'Item Master Data'!$A:$G,7,FALSE)</f>
        <v>#N/A</v>
      </c>
      <c r="BB1023" s="471"/>
      <c r="BC1023" s="471" t="e">
        <f t="shared" si="214"/>
        <v>#N/A</v>
      </c>
    </row>
    <row r="1024" spans="1:55">
      <c r="A1024" s="472"/>
      <c r="B1024" s="514">
        <v>44557</v>
      </c>
      <c r="C1024" s="514">
        <v>44587</v>
      </c>
      <c r="D1024" s="485" t="s">
        <v>2322</v>
      </c>
      <c r="E1024" s="474" t="s">
        <v>1283</v>
      </c>
      <c r="F1024" s="474"/>
      <c r="G1024" s="474">
        <v>2022</v>
      </c>
      <c r="H1024" s="474">
        <v>10</v>
      </c>
      <c r="I1024" s="485"/>
      <c r="J1024" s="475"/>
      <c r="K1024" s="483" t="s">
        <v>2841</v>
      </c>
      <c r="L1024" s="474" t="s">
        <v>2551</v>
      </c>
      <c r="M1024" s="487">
        <v>44545</v>
      </c>
      <c r="N1024" s="487">
        <v>44848</v>
      </c>
      <c r="O1024" s="487"/>
      <c r="P1024" s="377"/>
      <c r="Q1024" s="475"/>
      <c r="R1024" s="475"/>
      <c r="S1024" s="474" t="s">
        <v>1563</v>
      </c>
      <c r="T1024" s="474">
        <v>60</v>
      </c>
      <c r="U1024" s="380" t="s">
        <v>1109</v>
      </c>
      <c r="V1024" s="474" t="s">
        <v>1223</v>
      </c>
      <c r="W1024" s="474">
        <v>360</v>
      </c>
      <c r="X1024" s="476">
        <v>624</v>
      </c>
      <c r="Y1024" s="477">
        <f t="shared" si="209"/>
        <v>224640</v>
      </c>
      <c r="Z1024" s="478">
        <v>0.78999999999999992</v>
      </c>
      <c r="AA1024" s="479">
        <f t="shared" si="210"/>
        <v>177465.59999999998</v>
      </c>
      <c r="AB1024" s="480"/>
      <c r="AC1024" s="481">
        <v>0</v>
      </c>
      <c r="AD1024" s="490"/>
      <c r="AE1024" s="482"/>
      <c r="AF1024" s="493">
        <f t="shared" si="211"/>
        <v>177465.59999999998</v>
      </c>
      <c r="AG1024" s="474" t="s">
        <v>1071</v>
      </c>
      <c r="AH1024" s="474"/>
      <c r="AI1024" s="483" t="s">
        <v>2442</v>
      </c>
      <c r="AJ1024" s="474" t="s">
        <v>1860</v>
      </c>
      <c r="AK1024" s="494" t="s">
        <v>50</v>
      </c>
      <c r="AL1024" s="474">
        <v>93722</v>
      </c>
      <c r="AM1024" s="474" t="s">
        <v>52</v>
      </c>
      <c r="AN1024" s="474"/>
      <c r="AO1024" s="474"/>
      <c r="AP1024" s="486"/>
      <c r="AQ1024" s="486" t="s">
        <v>37</v>
      </c>
      <c r="AR1024" s="486"/>
      <c r="AS1024" s="495"/>
      <c r="AT1024" s="378"/>
      <c r="AU1024" s="478"/>
      <c r="AV1024" s="471" t="str">
        <f t="shared" si="212"/>
        <v>TBD</v>
      </c>
      <c r="AW1024" s="471" cm="1">
        <f t="array" ref="AW1024">SUM(MID(0&amp;AV1024,LARGE(INDEX(ISNUMBER(--MID(AV1024,ROW($1:$8),1))*ROW($1:$8),),ROW($1:$8))+1,1)*10^ROW($1:$8)/10)</f>
        <v>0</v>
      </c>
      <c r="AX1024" s="471" t="e">
        <f>VLOOKUP($AW1024,'Item Master Data'!$A:$F,3,FALSE)</f>
        <v>#N/A</v>
      </c>
      <c r="AY1024" s="471" t="e">
        <f>VLOOKUP($AW1024,'Item Master Data'!$A:$F,6,FALSE)</f>
        <v>#N/A</v>
      </c>
      <c r="AZ1024" s="471" t="e">
        <f t="shared" si="213"/>
        <v>#N/A</v>
      </c>
      <c r="BA1024" s="471" t="e">
        <f>VLOOKUP(AW1024,'Item Master Data'!$A:$G,7,FALSE)</f>
        <v>#N/A</v>
      </c>
      <c r="BB1024" s="471"/>
      <c r="BC1024" s="471" t="e">
        <f t="shared" si="214"/>
        <v>#N/A</v>
      </c>
    </row>
    <row r="1025" spans="1:55">
      <c r="A1025" s="472"/>
      <c r="B1025" s="514">
        <v>44557</v>
      </c>
      <c r="C1025" s="514">
        <v>44587</v>
      </c>
      <c r="D1025" s="485" t="s">
        <v>2322</v>
      </c>
      <c r="E1025" s="474" t="s">
        <v>1283</v>
      </c>
      <c r="F1025" s="474"/>
      <c r="G1025" s="474">
        <v>2022</v>
      </c>
      <c r="H1025" s="474">
        <v>11</v>
      </c>
      <c r="I1025" s="485"/>
      <c r="J1025" s="475"/>
      <c r="K1025" s="483" t="s">
        <v>2874</v>
      </c>
      <c r="L1025" s="474" t="s">
        <v>2551</v>
      </c>
      <c r="M1025" s="487">
        <v>44545</v>
      </c>
      <c r="N1025" s="487">
        <v>44869</v>
      </c>
      <c r="O1025" s="487"/>
      <c r="P1025" s="377"/>
      <c r="Q1025" s="475"/>
      <c r="R1025" s="475"/>
      <c r="S1025" s="474" t="s">
        <v>1563</v>
      </c>
      <c r="T1025" s="474">
        <v>60</v>
      </c>
      <c r="U1025" s="380" t="s">
        <v>1109</v>
      </c>
      <c r="V1025" s="474" t="s">
        <v>1223</v>
      </c>
      <c r="W1025" s="474">
        <v>360</v>
      </c>
      <c r="X1025" s="476">
        <v>624</v>
      </c>
      <c r="Y1025" s="477">
        <f t="shared" si="209"/>
        <v>224640</v>
      </c>
      <c r="Z1025" s="478">
        <v>0.78999999999999992</v>
      </c>
      <c r="AA1025" s="479">
        <f t="shared" si="210"/>
        <v>177465.59999999998</v>
      </c>
      <c r="AB1025" s="480"/>
      <c r="AC1025" s="481">
        <v>0</v>
      </c>
      <c r="AD1025" s="490"/>
      <c r="AE1025" s="482"/>
      <c r="AF1025" s="493">
        <f t="shared" si="211"/>
        <v>177465.59999999998</v>
      </c>
      <c r="AG1025" s="474" t="s">
        <v>1071</v>
      </c>
      <c r="AH1025" s="474"/>
      <c r="AI1025" s="483" t="s">
        <v>2442</v>
      </c>
      <c r="AJ1025" s="474" t="s">
        <v>1860</v>
      </c>
      <c r="AK1025" s="494" t="s">
        <v>50</v>
      </c>
      <c r="AL1025" s="474">
        <v>93722</v>
      </c>
      <c r="AM1025" s="474" t="s">
        <v>52</v>
      </c>
      <c r="AN1025" s="474"/>
      <c r="AO1025" s="474"/>
      <c r="AP1025" s="486"/>
      <c r="AQ1025" s="486" t="s">
        <v>37</v>
      </c>
      <c r="AR1025" s="486"/>
      <c r="AS1025" s="495"/>
      <c r="AT1025" s="378"/>
      <c r="AU1025" s="478"/>
      <c r="AV1025" s="471" t="str">
        <f t="shared" si="212"/>
        <v>TBD</v>
      </c>
      <c r="AW1025" s="471" cm="1">
        <f t="array" ref="AW1025">SUM(MID(0&amp;AV1025,LARGE(INDEX(ISNUMBER(--MID(AV1025,ROW($1:$8),1))*ROW($1:$8),),ROW($1:$8))+1,1)*10^ROW($1:$8)/10)</f>
        <v>0</v>
      </c>
      <c r="AX1025" s="471" t="e">
        <f>VLOOKUP($AW1025,'Item Master Data'!$A:$F,3,FALSE)</f>
        <v>#N/A</v>
      </c>
      <c r="AY1025" s="471" t="e">
        <f>VLOOKUP($AW1025,'Item Master Data'!$A:$F,6,FALSE)</f>
        <v>#N/A</v>
      </c>
      <c r="AZ1025" s="471" t="e">
        <f t="shared" si="213"/>
        <v>#N/A</v>
      </c>
      <c r="BA1025" s="471" t="e">
        <f>VLOOKUP(AW1025,'Item Master Data'!$A:$G,7,FALSE)</f>
        <v>#N/A</v>
      </c>
      <c r="BB1025" s="471"/>
      <c r="BC1025" s="471" t="e">
        <f t="shared" si="214"/>
        <v>#N/A</v>
      </c>
    </row>
    <row r="1026" spans="1:55">
      <c r="A1026" s="472"/>
      <c r="B1026" s="514">
        <v>44557</v>
      </c>
      <c r="C1026" s="514">
        <v>44587</v>
      </c>
      <c r="D1026" s="485" t="s">
        <v>2322</v>
      </c>
      <c r="E1026" s="474" t="s">
        <v>1283</v>
      </c>
      <c r="F1026" s="474"/>
      <c r="G1026" s="474">
        <v>2022</v>
      </c>
      <c r="H1026" s="474">
        <v>11</v>
      </c>
      <c r="I1026" s="485"/>
      <c r="J1026" s="475"/>
      <c r="K1026" s="483" t="s">
        <v>2875</v>
      </c>
      <c r="L1026" s="474" t="s">
        <v>2551</v>
      </c>
      <c r="M1026" s="487">
        <v>44545</v>
      </c>
      <c r="N1026" s="487">
        <v>44882</v>
      </c>
      <c r="O1026" s="487"/>
      <c r="P1026" s="377"/>
      <c r="Q1026" s="475"/>
      <c r="R1026" s="475"/>
      <c r="S1026" s="474" t="s">
        <v>1563</v>
      </c>
      <c r="T1026" s="474">
        <v>60</v>
      </c>
      <c r="U1026" s="380" t="s">
        <v>1109</v>
      </c>
      <c r="V1026" s="474" t="s">
        <v>1223</v>
      </c>
      <c r="W1026" s="474">
        <v>360</v>
      </c>
      <c r="X1026" s="476">
        <v>624</v>
      </c>
      <c r="Y1026" s="477">
        <f t="shared" si="209"/>
        <v>224640</v>
      </c>
      <c r="Z1026" s="478">
        <v>0.78999999999999992</v>
      </c>
      <c r="AA1026" s="479">
        <f t="shared" si="210"/>
        <v>177465.59999999998</v>
      </c>
      <c r="AB1026" s="480"/>
      <c r="AC1026" s="481">
        <v>0</v>
      </c>
      <c r="AD1026" s="490"/>
      <c r="AE1026" s="482"/>
      <c r="AF1026" s="493">
        <f t="shared" si="211"/>
        <v>177465.59999999998</v>
      </c>
      <c r="AG1026" s="474" t="s">
        <v>1071</v>
      </c>
      <c r="AH1026" s="474"/>
      <c r="AI1026" s="483" t="s">
        <v>2442</v>
      </c>
      <c r="AJ1026" s="474" t="s">
        <v>1860</v>
      </c>
      <c r="AK1026" s="494" t="s">
        <v>50</v>
      </c>
      <c r="AL1026" s="474">
        <v>93722</v>
      </c>
      <c r="AM1026" s="474" t="s">
        <v>52</v>
      </c>
      <c r="AN1026" s="474"/>
      <c r="AO1026" s="474"/>
      <c r="AP1026" s="486"/>
      <c r="AQ1026" s="486" t="s">
        <v>37</v>
      </c>
      <c r="AR1026" s="486"/>
      <c r="AS1026" s="495"/>
      <c r="AT1026" s="378"/>
      <c r="AU1026" s="478"/>
      <c r="AV1026" s="471" t="str">
        <f t="shared" si="212"/>
        <v>TBD</v>
      </c>
      <c r="AW1026" s="471" cm="1">
        <f t="array" ref="AW1026">SUM(MID(0&amp;AV1026,LARGE(INDEX(ISNUMBER(--MID(AV1026,ROW($1:$8),1))*ROW($1:$8),),ROW($1:$8))+1,1)*10^ROW($1:$8)/10)</f>
        <v>0</v>
      </c>
      <c r="AX1026" s="471" t="e">
        <f>VLOOKUP($AW1026,'Item Master Data'!$A:$F,3,FALSE)</f>
        <v>#N/A</v>
      </c>
      <c r="AY1026" s="471" t="e">
        <f>VLOOKUP($AW1026,'Item Master Data'!$A:$F,6,FALSE)</f>
        <v>#N/A</v>
      </c>
      <c r="AZ1026" s="471" t="e">
        <f t="shared" si="213"/>
        <v>#N/A</v>
      </c>
      <c r="BA1026" s="471" t="e">
        <f>VLOOKUP(AW1026,'Item Master Data'!$A:$G,7,FALSE)</f>
        <v>#N/A</v>
      </c>
      <c r="BB1026" s="471"/>
      <c r="BC1026" s="471" t="e">
        <f t="shared" si="214"/>
        <v>#N/A</v>
      </c>
    </row>
    <row r="1027" spans="1:55">
      <c r="A1027" s="472"/>
      <c r="B1027" s="514">
        <v>44557</v>
      </c>
      <c r="C1027" s="514">
        <v>44587</v>
      </c>
      <c r="D1027" s="485" t="s">
        <v>2322</v>
      </c>
      <c r="E1027" s="474" t="s">
        <v>1283</v>
      </c>
      <c r="F1027" s="474"/>
      <c r="G1027" s="474">
        <v>2022</v>
      </c>
      <c r="H1027" s="474">
        <v>12</v>
      </c>
      <c r="I1027" s="485"/>
      <c r="J1027" s="475"/>
      <c r="K1027" s="483" t="s">
        <v>2899</v>
      </c>
      <c r="L1027" s="474" t="s">
        <v>2551</v>
      </c>
      <c r="M1027" s="487">
        <v>44545</v>
      </c>
      <c r="N1027" s="487">
        <v>44899</v>
      </c>
      <c r="O1027" s="487"/>
      <c r="P1027" s="377"/>
      <c r="Q1027" s="475"/>
      <c r="R1027" s="475"/>
      <c r="S1027" s="474" t="s">
        <v>1563</v>
      </c>
      <c r="T1027" s="474">
        <v>60</v>
      </c>
      <c r="U1027" s="380" t="s">
        <v>1109</v>
      </c>
      <c r="V1027" s="474" t="s">
        <v>1223</v>
      </c>
      <c r="W1027" s="474">
        <v>360</v>
      </c>
      <c r="X1027" s="476">
        <v>624</v>
      </c>
      <c r="Y1027" s="477">
        <f t="shared" si="209"/>
        <v>224640</v>
      </c>
      <c r="Z1027" s="478">
        <v>0.78999999999999992</v>
      </c>
      <c r="AA1027" s="479">
        <f t="shared" si="210"/>
        <v>177465.59999999998</v>
      </c>
      <c r="AB1027" s="480"/>
      <c r="AC1027" s="481">
        <v>0</v>
      </c>
      <c r="AD1027" s="490"/>
      <c r="AE1027" s="482"/>
      <c r="AF1027" s="493">
        <f t="shared" si="211"/>
        <v>177465.59999999998</v>
      </c>
      <c r="AG1027" s="474" t="s">
        <v>1071</v>
      </c>
      <c r="AH1027" s="474"/>
      <c r="AI1027" s="483" t="s">
        <v>2442</v>
      </c>
      <c r="AJ1027" s="474" t="s">
        <v>1860</v>
      </c>
      <c r="AK1027" s="494" t="s">
        <v>50</v>
      </c>
      <c r="AL1027" s="474">
        <v>93722</v>
      </c>
      <c r="AM1027" s="474" t="s">
        <v>52</v>
      </c>
      <c r="AN1027" s="474"/>
      <c r="AO1027" s="474"/>
      <c r="AP1027" s="486"/>
      <c r="AQ1027" s="486" t="s">
        <v>37</v>
      </c>
      <c r="AR1027" s="486"/>
      <c r="AS1027" s="495"/>
      <c r="AT1027" s="378"/>
      <c r="AU1027" s="478"/>
      <c r="AV1027" s="471" t="str">
        <f t="shared" si="212"/>
        <v>TBD</v>
      </c>
      <c r="AW1027" s="471" cm="1">
        <f t="array" ref="AW1027">SUM(MID(0&amp;AV1027,LARGE(INDEX(ISNUMBER(--MID(AV1027,ROW($1:$8),1))*ROW($1:$8),),ROW($1:$8))+1,1)*10^ROW($1:$8)/10)</f>
        <v>0</v>
      </c>
      <c r="AX1027" s="471" t="e">
        <f>VLOOKUP($AW1027,'Item Master Data'!$A:$F,3,FALSE)</f>
        <v>#N/A</v>
      </c>
      <c r="AY1027" s="471" t="e">
        <f>VLOOKUP($AW1027,'Item Master Data'!$A:$F,6,FALSE)</f>
        <v>#N/A</v>
      </c>
      <c r="AZ1027" s="471" t="e">
        <f t="shared" si="213"/>
        <v>#N/A</v>
      </c>
      <c r="BA1027" s="471" t="e">
        <f>VLOOKUP(AW1027,'Item Master Data'!$A:$G,7,FALSE)</f>
        <v>#N/A</v>
      </c>
      <c r="BB1027" s="471"/>
      <c r="BC1027" s="471" t="e">
        <f t="shared" si="214"/>
        <v>#N/A</v>
      </c>
    </row>
    <row r="1028" spans="1:55">
      <c r="A1028" s="472"/>
      <c r="B1028" s="514">
        <v>44557</v>
      </c>
      <c r="C1028" s="514">
        <v>44587</v>
      </c>
      <c r="D1028" s="485" t="s">
        <v>2322</v>
      </c>
      <c r="E1028" s="474" t="s">
        <v>1283</v>
      </c>
      <c r="F1028" s="474"/>
      <c r="G1028" s="474">
        <v>2022</v>
      </c>
      <c r="H1028" s="474">
        <v>11</v>
      </c>
      <c r="I1028" s="485"/>
      <c r="J1028" s="475"/>
      <c r="K1028" s="483" t="s">
        <v>2876</v>
      </c>
      <c r="L1028" s="474" t="s">
        <v>2551</v>
      </c>
      <c r="M1028" s="487">
        <v>44545</v>
      </c>
      <c r="N1028" s="487">
        <v>44880</v>
      </c>
      <c r="O1028" s="487"/>
      <c r="P1028" s="377"/>
      <c r="Q1028" s="475"/>
      <c r="R1028" s="475"/>
      <c r="S1028" s="474" t="s">
        <v>1563</v>
      </c>
      <c r="T1028" s="474">
        <v>60</v>
      </c>
      <c r="U1028" s="380" t="s">
        <v>1109</v>
      </c>
      <c r="V1028" s="474" t="s">
        <v>1223</v>
      </c>
      <c r="W1028" s="474">
        <v>360</v>
      </c>
      <c r="X1028" s="476">
        <v>624</v>
      </c>
      <c r="Y1028" s="477">
        <f t="shared" si="209"/>
        <v>224640</v>
      </c>
      <c r="Z1028" s="478">
        <v>0.78999999999999992</v>
      </c>
      <c r="AA1028" s="479">
        <f t="shared" si="210"/>
        <v>177465.59999999998</v>
      </c>
      <c r="AB1028" s="480"/>
      <c r="AC1028" s="481">
        <v>0</v>
      </c>
      <c r="AD1028" s="490"/>
      <c r="AE1028" s="482"/>
      <c r="AF1028" s="493">
        <f t="shared" si="211"/>
        <v>177465.59999999998</v>
      </c>
      <c r="AG1028" s="474" t="s">
        <v>1071</v>
      </c>
      <c r="AH1028" s="474"/>
      <c r="AI1028" s="483" t="s">
        <v>2442</v>
      </c>
      <c r="AJ1028" s="474" t="s">
        <v>2472</v>
      </c>
      <c r="AK1028" s="494" t="s">
        <v>1133</v>
      </c>
      <c r="AL1028" s="474">
        <v>85008</v>
      </c>
      <c r="AM1028" s="474" t="s">
        <v>52</v>
      </c>
      <c r="AN1028" s="474"/>
      <c r="AO1028" s="474"/>
      <c r="AP1028" s="486"/>
      <c r="AQ1028" s="486" t="s">
        <v>37</v>
      </c>
      <c r="AR1028" s="486"/>
      <c r="AS1028" s="495"/>
      <c r="AT1028" s="378"/>
      <c r="AU1028" s="478"/>
      <c r="AV1028" s="471" t="str">
        <f t="shared" si="212"/>
        <v>TBD</v>
      </c>
      <c r="AW1028" s="471" cm="1">
        <f t="array" ref="AW1028">SUM(MID(0&amp;AV1028,LARGE(INDEX(ISNUMBER(--MID(AV1028,ROW($1:$8),1))*ROW($1:$8),),ROW($1:$8))+1,1)*10^ROW($1:$8)/10)</f>
        <v>0</v>
      </c>
      <c r="AX1028" s="471" t="e">
        <f>VLOOKUP($AW1028,'Item Master Data'!$A:$F,3,FALSE)</f>
        <v>#N/A</v>
      </c>
      <c r="AY1028" s="471" t="e">
        <f>VLOOKUP($AW1028,'Item Master Data'!$A:$F,6,FALSE)</f>
        <v>#N/A</v>
      </c>
      <c r="AZ1028" s="471" t="e">
        <f t="shared" si="213"/>
        <v>#N/A</v>
      </c>
      <c r="BA1028" s="471" t="e">
        <f>VLOOKUP(AW1028,'Item Master Data'!$A:$G,7,FALSE)</f>
        <v>#N/A</v>
      </c>
      <c r="BB1028" s="471"/>
      <c r="BC1028" s="471" t="e">
        <f t="shared" si="214"/>
        <v>#N/A</v>
      </c>
    </row>
    <row r="1029" spans="1:55">
      <c r="A1029" s="472"/>
      <c r="B1029" s="514">
        <v>44557</v>
      </c>
      <c r="C1029" s="514">
        <v>44587</v>
      </c>
      <c r="D1029" s="485" t="s">
        <v>2322</v>
      </c>
      <c r="E1029" s="474" t="s">
        <v>1283</v>
      </c>
      <c r="F1029" s="474"/>
      <c r="G1029" s="474">
        <v>2022</v>
      </c>
      <c r="H1029" s="474">
        <v>12</v>
      </c>
      <c r="I1029" s="485"/>
      <c r="J1029" s="475"/>
      <c r="K1029" s="483" t="s">
        <v>2900</v>
      </c>
      <c r="L1029" s="474" t="s">
        <v>2551</v>
      </c>
      <c r="M1029" s="487">
        <v>44545</v>
      </c>
      <c r="N1029" s="487">
        <v>44900</v>
      </c>
      <c r="O1029" s="487"/>
      <c r="P1029" s="377"/>
      <c r="Q1029" s="475"/>
      <c r="R1029" s="475"/>
      <c r="S1029" s="474" t="s">
        <v>1563</v>
      </c>
      <c r="T1029" s="474">
        <v>60</v>
      </c>
      <c r="U1029" s="380" t="s">
        <v>1109</v>
      </c>
      <c r="V1029" s="474" t="s">
        <v>1223</v>
      </c>
      <c r="W1029" s="474">
        <v>360</v>
      </c>
      <c r="X1029" s="476">
        <v>624</v>
      </c>
      <c r="Y1029" s="477">
        <f t="shared" si="209"/>
        <v>224640</v>
      </c>
      <c r="Z1029" s="478">
        <v>0.78999999999999992</v>
      </c>
      <c r="AA1029" s="479">
        <f t="shared" si="210"/>
        <v>177465.59999999998</v>
      </c>
      <c r="AB1029" s="480"/>
      <c r="AC1029" s="481">
        <v>0</v>
      </c>
      <c r="AD1029" s="490"/>
      <c r="AE1029" s="482"/>
      <c r="AF1029" s="493">
        <f t="shared" si="211"/>
        <v>177465.59999999998</v>
      </c>
      <c r="AG1029" s="474" t="s">
        <v>1071</v>
      </c>
      <c r="AH1029" s="474"/>
      <c r="AI1029" s="483" t="s">
        <v>2442</v>
      </c>
      <c r="AJ1029" s="474" t="s">
        <v>2472</v>
      </c>
      <c r="AK1029" s="494" t="s">
        <v>1133</v>
      </c>
      <c r="AL1029" s="474">
        <v>85008</v>
      </c>
      <c r="AM1029" s="474" t="s">
        <v>52</v>
      </c>
      <c r="AN1029" s="474"/>
      <c r="AO1029" s="474"/>
      <c r="AP1029" s="486"/>
      <c r="AQ1029" s="486" t="s">
        <v>37</v>
      </c>
      <c r="AR1029" s="486"/>
      <c r="AS1029" s="495"/>
      <c r="AT1029" s="378"/>
      <c r="AU1029" s="478"/>
      <c r="AV1029" s="471" t="str">
        <f t="shared" si="212"/>
        <v>TBD</v>
      </c>
      <c r="AW1029" s="471" cm="1">
        <f t="array" ref="AW1029">SUM(MID(0&amp;AV1029,LARGE(INDEX(ISNUMBER(--MID(AV1029,ROW($1:$8),1))*ROW($1:$8),),ROW($1:$8))+1,1)*10^ROW($1:$8)/10)</f>
        <v>0</v>
      </c>
      <c r="AX1029" s="471" t="e">
        <f>VLOOKUP($AW1029,'Item Master Data'!$A:$F,3,FALSE)</f>
        <v>#N/A</v>
      </c>
      <c r="AY1029" s="471" t="e">
        <f>VLOOKUP($AW1029,'Item Master Data'!$A:$F,6,FALSE)</f>
        <v>#N/A</v>
      </c>
      <c r="AZ1029" s="471" t="e">
        <f t="shared" si="213"/>
        <v>#N/A</v>
      </c>
      <c r="BA1029" s="471" t="e">
        <f>VLOOKUP(AW1029,'Item Master Data'!$A:$G,7,FALSE)</f>
        <v>#N/A</v>
      </c>
      <c r="BB1029" s="471"/>
      <c r="BC1029" s="471" t="e">
        <f t="shared" si="214"/>
        <v>#N/A</v>
      </c>
    </row>
    <row r="1030" spans="1:55">
      <c r="A1030" s="472"/>
      <c r="B1030" s="467">
        <v>44629</v>
      </c>
      <c r="C1030" s="467">
        <v>44629</v>
      </c>
      <c r="D1030" s="474" t="s">
        <v>2901</v>
      </c>
      <c r="E1030" s="445"/>
      <c r="F1030" s="474" t="s">
        <v>1147</v>
      </c>
      <c r="G1030" s="474">
        <v>2022</v>
      </c>
      <c r="H1030" s="474">
        <v>3</v>
      </c>
      <c r="I1030" s="474">
        <v>127411</v>
      </c>
      <c r="J1030" s="475">
        <v>44638</v>
      </c>
      <c r="K1030" s="483" t="s">
        <v>2902</v>
      </c>
      <c r="L1030" s="474" t="s">
        <v>2903</v>
      </c>
      <c r="M1030" s="475">
        <v>44620</v>
      </c>
      <c r="N1030" s="475">
        <v>44631</v>
      </c>
      <c r="O1030" s="475"/>
      <c r="P1030" s="475">
        <v>44631</v>
      </c>
      <c r="Q1030" s="475">
        <v>44638</v>
      </c>
      <c r="R1030" s="475">
        <v>44638</v>
      </c>
      <c r="S1030" s="474" t="s">
        <v>2904</v>
      </c>
      <c r="T1030" s="474">
        <v>72</v>
      </c>
      <c r="U1030" s="474">
        <v>49302155</v>
      </c>
      <c r="V1030" s="474" t="s">
        <v>1104</v>
      </c>
      <c r="W1030" s="474">
        <v>475</v>
      </c>
      <c r="X1030" s="476">
        <v>5</v>
      </c>
      <c r="Y1030" s="491">
        <f t="shared" si="209"/>
        <v>2375</v>
      </c>
      <c r="Z1030" s="478">
        <v>0.5</v>
      </c>
      <c r="AA1030" s="492">
        <f t="shared" si="210"/>
        <v>1187.5</v>
      </c>
      <c r="AB1030" s="492"/>
      <c r="AC1030" s="446">
        <v>0</v>
      </c>
      <c r="AD1030" s="490"/>
      <c r="AE1030" s="482">
        <v>83.125</v>
      </c>
      <c r="AF1030" s="580">
        <f t="shared" si="211"/>
        <v>1270.625</v>
      </c>
      <c r="AG1030" s="474" t="s">
        <v>1949</v>
      </c>
      <c r="AH1030" s="474">
        <v>10</v>
      </c>
      <c r="AI1030" s="474">
        <v>60</v>
      </c>
      <c r="AJ1030" s="475" t="s">
        <v>2905</v>
      </c>
      <c r="AK1030" s="483" t="s">
        <v>1074</v>
      </c>
      <c r="AL1030" s="483" t="s">
        <v>2906</v>
      </c>
      <c r="AM1030" s="474" t="s">
        <v>52</v>
      </c>
      <c r="AN1030" s="474" t="s">
        <v>1074</v>
      </c>
      <c r="AO1030" s="474"/>
      <c r="AP1030" s="482"/>
      <c r="AQ1030" s="482" t="s">
        <v>37</v>
      </c>
      <c r="AR1030" s="439"/>
      <c r="AS1030" s="436" t="s">
        <v>1076</v>
      </c>
      <c r="AT1030" s="436" t="s">
        <v>1076</v>
      </c>
      <c r="AU1030" s="478"/>
      <c r="AV1030" s="471">
        <f t="shared" si="212"/>
        <v>49302155</v>
      </c>
      <c r="AW1030" s="471" cm="1">
        <f t="array" ref="AW1030">SUM(MID(0&amp;AV1030,LARGE(INDEX(ISNUMBER(--MID(AV1030,ROW($1:$8),1))*ROW($1:$8),),ROW($1:$8))+1,1)*10^ROW($1:$8)/10)</f>
        <v>49302155</v>
      </c>
      <c r="AX1030" s="471" t="str">
        <f>VLOOKUP($AW1030,'Item Master Data'!$A:$F,3,FALSE)</f>
        <v>Q.PEAK DUO XL G10</v>
      </c>
      <c r="AY1030" s="471">
        <f>VLOOKUP($AW1030,'Item Master Data'!$A:$F,6,FALSE)</f>
        <v>475</v>
      </c>
      <c r="AZ1030" s="471">
        <f t="shared" si="213"/>
        <v>0.17241379310344829</v>
      </c>
      <c r="BA1030" s="471">
        <f>VLOOKUP(AW1030,'Item Master Data'!$A:$G,7,FALSE)</f>
        <v>29</v>
      </c>
      <c r="BB1030" s="471"/>
      <c r="BC1030" s="471">
        <f t="shared" si="214"/>
        <v>0</v>
      </c>
    </row>
    <row r="1031" spans="1:55">
      <c r="A1031" s="472"/>
      <c r="B1031" s="467">
        <v>44643</v>
      </c>
      <c r="C1031" s="467">
        <v>44606</v>
      </c>
      <c r="D1031" s="474" t="s">
        <v>2901</v>
      </c>
      <c r="E1031" s="445" t="s">
        <v>2909</v>
      </c>
      <c r="F1031" s="474" t="s">
        <v>1147</v>
      </c>
      <c r="G1031" s="474">
        <v>2022</v>
      </c>
      <c r="H1031" s="474">
        <v>3</v>
      </c>
      <c r="I1031" s="474">
        <v>127631</v>
      </c>
      <c r="J1031" s="487">
        <v>44649</v>
      </c>
      <c r="K1031" s="483" t="s">
        <v>2910</v>
      </c>
      <c r="L1031" s="474" t="s">
        <v>2911</v>
      </c>
      <c r="M1031" s="475">
        <v>44600</v>
      </c>
      <c r="N1031" s="475">
        <v>44651</v>
      </c>
      <c r="O1031" s="475"/>
      <c r="P1031" s="475">
        <v>44644</v>
      </c>
      <c r="Q1031" s="475">
        <v>44645</v>
      </c>
      <c r="R1031" s="475">
        <v>44649</v>
      </c>
      <c r="S1031" s="474" t="s">
        <v>2904</v>
      </c>
      <c r="T1031" s="474">
        <v>72</v>
      </c>
      <c r="U1031" s="474" t="s">
        <v>1103</v>
      </c>
      <c r="V1031" s="474" t="s">
        <v>1104</v>
      </c>
      <c r="W1031" s="474">
        <v>480</v>
      </c>
      <c r="X1031" s="476">
        <v>638</v>
      </c>
      <c r="Y1031" s="491">
        <f t="shared" si="209"/>
        <v>306240</v>
      </c>
      <c r="Z1031" s="478">
        <v>0.495</v>
      </c>
      <c r="AA1031" s="492">
        <f t="shared" si="210"/>
        <v>151588.79999999999</v>
      </c>
      <c r="AB1031" s="492"/>
      <c r="AC1031" s="446">
        <v>0</v>
      </c>
      <c r="AD1031" s="490"/>
      <c r="AE1031" s="482"/>
      <c r="AF1031" s="580">
        <f t="shared" si="211"/>
        <v>151588.79999999999</v>
      </c>
      <c r="AG1031" s="474" t="s">
        <v>47</v>
      </c>
      <c r="AH1031" s="474">
        <v>100</v>
      </c>
      <c r="AI1031" s="474">
        <v>0</v>
      </c>
      <c r="AJ1031" s="475" t="s">
        <v>2912</v>
      </c>
      <c r="AK1031" s="483" t="s">
        <v>1297</v>
      </c>
      <c r="AL1031" s="483" t="s">
        <v>2913</v>
      </c>
      <c r="AM1031" s="474" t="s">
        <v>52</v>
      </c>
      <c r="AN1031" s="474" t="s">
        <v>50</v>
      </c>
      <c r="AO1031" s="474"/>
      <c r="AP1031" s="482" t="s">
        <v>38</v>
      </c>
      <c r="AQ1031" s="482" t="s">
        <v>37</v>
      </c>
      <c r="AR1031" s="439"/>
      <c r="AS1031" s="436" t="s">
        <v>1076</v>
      </c>
      <c r="AT1031" s="436" t="s">
        <v>1076</v>
      </c>
      <c r="AU1031" s="478"/>
      <c r="AV1031" s="471" t="str">
        <f t="shared" si="212"/>
        <v>30397472F</v>
      </c>
      <c r="AW1031" s="471" cm="1">
        <f t="array" ref="AW1031">SUM(MID(0&amp;AV1031,LARGE(INDEX(ISNUMBER(--MID(AV1031,ROW($1:$8),1))*ROW($1:$8),),ROW($1:$8))+1,1)*10^ROW($1:$8)/10)</f>
        <v>30397472</v>
      </c>
      <c r="AX1031" s="471" t="str">
        <f>VLOOKUP($AW1031,'Item Master Data'!$A:$F,3,FALSE)</f>
        <v>Q.PEAK DUO XL G10</v>
      </c>
      <c r="AY1031" s="471">
        <f>VLOOKUP($AW1031,'Item Master Data'!$A:$F,6,FALSE)</f>
        <v>480</v>
      </c>
      <c r="AZ1031" s="471">
        <f t="shared" si="213"/>
        <v>22</v>
      </c>
      <c r="BA1031" s="471">
        <f>VLOOKUP(AW1031,'Item Master Data'!$A:$G,7,FALSE)</f>
        <v>29</v>
      </c>
      <c r="BB1031" s="471"/>
      <c r="BC1031" s="471">
        <f t="shared" si="214"/>
        <v>0</v>
      </c>
    </row>
    <row r="1032" spans="1:55">
      <c r="A1032" s="472"/>
      <c r="B1032" s="467">
        <v>44648</v>
      </c>
      <c r="C1032" s="467">
        <v>44648</v>
      </c>
      <c r="D1032" s="474" t="s">
        <v>2901</v>
      </c>
      <c r="E1032" s="445" t="s">
        <v>2914</v>
      </c>
      <c r="F1032" s="474" t="s">
        <v>1147</v>
      </c>
      <c r="G1032" s="474">
        <v>2022</v>
      </c>
      <c r="H1032" s="474">
        <v>3</v>
      </c>
      <c r="I1032" s="474">
        <v>127759</v>
      </c>
      <c r="J1032" s="475">
        <v>44649</v>
      </c>
      <c r="K1032" s="483" t="s">
        <v>2915</v>
      </c>
      <c r="L1032" s="474" t="s">
        <v>2916</v>
      </c>
      <c r="M1032" s="475">
        <v>44302</v>
      </c>
      <c r="N1032" s="475">
        <v>44383</v>
      </c>
      <c r="O1032" s="475">
        <v>44593</v>
      </c>
      <c r="P1032" s="475">
        <v>44648</v>
      </c>
      <c r="Q1032" s="475">
        <v>44649</v>
      </c>
      <c r="R1032" s="475">
        <v>44650</v>
      </c>
      <c r="S1032" s="474" t="s">
        <v>2904</v>
      </c>
      <c r="T1032" s="474">
        <v>60</v>
      </c>
      <c r="U1032" s="474" t="s">
        <v>2335</v>
      </c>
      <c r="V1032" s="474" t="s">
        <v>691</v>
      </c>
      <c r="W1032" s="474">
        <v>340</v>
      </c>
      <c r="X1032" s="476">
        <v>1248</v>
      </c>
      <c r="Y1032" s="491">
        <f t="shared" si="209"/>
        <v>424320</v>
      </c>
      <c r="Z1032" s="478">
        <v>0.44</v>
      </c>
      <c r="AA1032" s="492">
        <f t="shared" si="210"/>
        <v>186700.79999999999</v>
      </c>
      <c r="AB1032" s="492"/>
      <c r="AC1032" s="446">
        <v>0</v>
      </c>
      <c r="AD1032" s="490"/>
      <c r="AE1032" s="482"/>
      <c r="AF1032" s="580">
        <f t="shared" si="211"/>
        <v>186700.79999999999</v>
      </c>
      <c r="AG1032" s="474" t="s">
        <v>1071</v>
      </c>
      <c r="AH1032" s="474"/>
      <c r="AI1032" s="474">
        <v>60</v>
      </c>
      <c r="AJ1032" s="475" t="s">
        <v>2917</v>
      </c>
      <c r="AK1032" s="483" t="s">
        <v>1084</v>
      </c>
      <c r="AL1032" s="483" t="s">
        <v>2918</v>
      </c>
      <c r="AM1032" s="474" t="s">
        <v>52</v>
      </c>
      <c r="AN1032" s="474" t="s">
        <v>1384</v>
      </c>
      <c r="AO1032" s="474"/>
      <c r="AP1032" s="482" t="s">
        <v>38</v>
      </c>
      <c r="AQ1032" s="482" t="s">
        <v>37</v>
      </c>
      <c r="AR1032" s="439" t="s">
        <v>2919</v>
      </c>
      <c r="AS1032" s="436" t="s">
        <v>1076</v>
      </c>
      <c r="AT1032" s="436" t="s">
        <v>1076</v>
      </c>
      <c r="AU1032" s="478">
        <v>0.45</v>
      </c>
      <c r="AV1032" s="471" t="str">
        <f t="shared" si="212"/>
        <v>30376909C</v>
      </c>
      <c r="AW1032" s="471" cm="1">
        <f t="array" ref="AW1032">SUM(MID(0&amp;AV1032,LARGE(INDEX(ISNUMBER(--MID(AV1032,ROW($1:$8),1))*ROW($1:$8),),ROW($1:$8))+1,1)*10^ROW($1:$8)/10)</f>
        <v>30376909</v>
      </c>
      <c r="AX1032" s="471" t="str">
        <f>VLOOKUP($AW1032,'Item Master Data'!$A:$F,3,FALSE)</f>
        <v>Q.PEAK DUO BLK G6+</v>
      </c>
      <c r="AY1032" s="471">
        <f>VLOOKUP($AW1032,'Item Master Data'!$A:$F,6,FALSE)</f>
        <v>340</v>
      </c>
      <c r="AZ1032" s="471">
        <f t="shared" si="213"/>
        <v>39</v>
      </c>
      <c r="BA1032" s="471">
        <f>VLOOKUP(AW1032,'Item Master Data'!$A:$G,7,FALSE)</f>
        <v>32</v>
      </c>
      <c r="BB1032" s="471"/>
      <c r="BC1032" s="471">
        <f t="shared" si="214"/>
        <v>0</v>
      </c>
    </row>
    <row r="1033" spans="1:55">
      <c r="A1033" s="472"/>
      <c r="B1033" s="467">
        <v>44648</v>
      </c>
      <c r="C1033" s="467">
        <v>44648</v>
      </c>
      <c r="D1033" s="474" t="s">
        <v>2901</v>
      </c>
      <c r="E1033" s="445" t="s">
        <v>2920</v>
      </c>
      <c r="F1033" s="474" t="s">
        <v>1147</v>
      </c>
      <c r="G1033" s="474">
        <v>2022</v>
      </c>
      <c r="H1033" s="474">
        <v>3</v>
      </c>
      <c r="I1033" s="474">
        <v>127759</v>
      </c>
      <c r="J1033" s="475">
        <v>44649</v>
      </c>
      <c r="K1033" s="483" t="s">
        <v>2915</v>
      </c>
      <c r="L1033" s="474" t="s">
        <v>2916</v>
      </c>
      <c r="M1033" s="475">
        <v>44302</v>
      </c>
      <c r="N1033" s="475">
        <v>44383</v>
      </c>
      <c r="O1033" s="475">
        <v>44593</v>
      </c>
      <c r="P1033" s="475">
        <v>44648</v>
      </c>
      <c r="Q1033" s="475">
        <v>44649</v>
      </c>
      <c r="R1033" s="475">
        <v>44650</v>
      </c>
      <c r="S1033" s="474" t="s">
        <v>2904</v>
      </c>
      <c r="T1033" s="474">
        <v>60</v>
      </c>
      <c r="U1033" s="474" t="s">
        <v>2087</v>
      </c>
      <c r="V1033" s="474" t="s">
        <v>691</v>
      </c>
      <c r="W1033" s="474">
        <v>340</v>
      </c>
      <c r="X1033" s="476">
        <v>224</v>
      </c>
      <c r="Y1033" s="491">
        <f t="shared" si="209"/>
        <v>76160</v>
      </c>
      <c r="Z1033" s="478">
        <v>0.44</v>
      </c>
      <c r="AA1033" s="492">
        <f t="shared" si="210"/>
        <v>33510.400000000001</v>
      </c>
      <c r="AB1033" s="492"/>
      <c r="AC1033" s="446">
        <v>0</v>
      </c>
      <c r="AD1033" s="490"/>
      <c r="AE1033" s="482"/>
      <c r="AF1033" s="580">
        <f t="shared" si="211"/>
        <v>33510.400000000001</v>
      </c>
      <c r="AG1033" s="474" t="s">
        <v>1071</v>
      </c>
      <c r="AH1033" s="474"/>
      <c r="AI1033" s="474">
        <v>60</v>
      </c>
      <c r="AJ1033" s="475" t="s">
        <v>2917</v>
      </c>
      <c r="AK1033" s="483" t="s">
        <v>1084</v>
      </c>
      <c r="AL1033" s="483" t="s">
        <v>2918</v>
      </c>
      <c r="AM1033" s="474" t="s">
        <v>52</v>
      </c>
      <c r="AN1033" s="474" t="s">
        <v>1384</v>
      </c>
      <c r="AO1033" s="474"/>
      <c r="AP1033" s="482" t="s">
        <v>38</v>
      </c>
      <c r="AQ1033" s="482" t="s">
        <v>37</v>
      </c>
      <c r="AR1033" s="439" t="s">
        <v>2919</v>
      </c>
      <c r="AS1033" s="436" t="s">
        <v>1076</v>
      </c>
      <c r="AT1033" s="436" t="s">
        <v>1076</v>
      </c>
      <c r="AU1033" s="478">
        <v>0.45</v>
      </c>
      <c r="AV1033" s="471" t="str">
        <f t="shared" si="212"/>
        <v>30376609C</v>
      </c>
      <c r="AW1033" s="471" cm="1">
        <f t="array" ref="AW1033">SUM(MID(0&amp;AV1033,LARGE(INDEX(ISNUMBER(--MID(AV1033,ROW($1:$8),1))*ROW($1:$8),),ROW($1:$8))+1,1)*10^ROW($1:$8)/10)</f>
        <v>30376609</v>
      </c>
      <c r="AX1033" s="471" t="str">
        <f>VLOOKUP($AW1033,'Item Master Data'!$A:$F,3,FALSE)</f>
        <v>Q.PEAK DUO BLK G6+</v>
      </c>
      <c r="AY1033" s="471">
        <f>VLOOKUP($AW1033,'Item Master Data'!$A:$F,6,FALSE)</f>
        <v>340</v>
      </c>
      <c r="AZ1033" s="471">
        <f t="shared" si="213"/>
        <v>7</v>
      </c>
      <c r="BA1033" s="471">
        <f>VLOOKUP(AW1033,'Item Master Data'!$A:$G,7,FALSE)</f>
        <v>32</v>
      </c>
      <c r="BB1033" s="471"/>
      <c r="BC1033" s="471">
        <f t="shared" si="214"/>
        <v>0</v>
      </c>
    </row>
    <row r="1034" spans="1:55">
      <c r="A1034" s="472">
        <v>10</v>
      </c>
      <c r="B1034" s="467">
        <v>44628</v>
      </c>
      <c r="C1034" s="467">
        <v>44628</v>
      </c>
      <c r="D1034" s="474" t="s">
        <v>2901</v>
      </c>
      <c r="E1034" s="445"/>
      <c r="F1034" s="474" t="s">
        <v>1147</v>
      </c>
      <c r="G1034" s="474">
        <v>2022</v>
      </c>
      <c r="H1034" s="474">
        <v>3</v>
      </c>
      <c r="I1034" s="474">
        <v>127247</v>
      </c>
      <c r="J1034" s="475">
        <v>44630</v>
      </c>
      <c r="K1034" s="483" t="s">
        <v>2921</v>
      </c>
      <c r="L1034" s="474" t="s">
        <v>2916</v>
      </c>
      <c r="M1034" s="475">
        <v>44496</v>
      </c>
      <c r="N1034" s="475">
        <v>44627</v>
      </c>
      <c r="O1034" s="475" t="s">
        <v>1280</v>
      </c>
      <c r="P1034" s="475">
        <v>44628</v>
      </c>
      <c r="Q1034" s="475">
        <v>44630</v>
      </c>
      <c r="R1034" s="475">
        <v>44631</v>
      </c>
      <c r="S1034" s="474" t="s">
        <v>2904</v>
      </c>
      <c r="T1034" s="474">
        <v>60</v>
      </c>
      <c r="U1034" s="474">
        <v>49403140</v>
      </c>
      <c r="V1034" s="474" t="s">
        <v>973</v>
      </c>
      <c r="W1034" s="474">
        <v>400</v>
      </c>
      <c r="X1034" s="476">
        <v>2304</v>
      </c>
      <c r="Y1034" s="491">
        <f t="shared" si="209"/>
        <v>921600</v>
      </c>
      <c r="Z1034" s="478">
        <v>0.55000000000000004</v>
      </c>
      <c r="AA1034" s="492">
        <f t="shared" si="210"/>
        <v>506880.00000000006</v>
      </c>
      <c r="AB1034" s="492"/>
      <c r="AC1034" s="446">
        <v>0</v>
      </c>
      <c r="AD1034" s="490"/>
      <c r="AE1034" s="482"/>
      <c r="AF1034" s="580">
        <f t="shared" si="211"/>
        <v>506880.00000000006</v>
      </c>
      <c r="AG1034" s="474" t="s">
        <v>1071</v>
      </c>
      <c r="AH1034" s="474"/>
      <c r="AI1034" s="474">
        <v>60</v>
      </c>
      <c r="AJ1034" s="475" t="s">
        <v>2922</v>
      </c>
      <c r="AK1034" s="483" t="s">
        <v>2406</v>
      </c>
      <c r="AL1034" s="483" t="s">
        <v>2923</v>
      </c>
      <c r="AM1034" s="474" t="s">
        <v>52</v>
      </c>
      <c r="AN1034" s="474" t="s">
        <v>1074</v>
      </c>
      <c r="AO1034" s="474"/>
      <c r="AP1034" s="482"/>
      <c r="AQ1034" s="482" t="s">
        <v>37</v>
      </c>
      <c r="AR1034" s="439" t="s">
        <v>1677</v>
      </c>
      <c r="AS1034" s="436" t="s">
        <v>1076</v>
      </c>
      <c r="AT1034" s="436" t="s">
        <v>1076</v>
      </c>
      <c r="AU1034" s="478">
        <v>0.45500000000000002</v>
      </c>
      <c r="AV1034" s="471">
        <f t="shared" si="212"/>
        <v>49403140</v>
      </c>
      <c r="AW1034" s="471" cm="1">
        <f t="array" ref="AW1034">SUM(MID(0&amp;AV1034,LARGE(INDEX(ISNUMBER(--MID(AV1034,ROW($1:$8),1))*ROW($1:$8),),ROW($1:$8))+1,1)*10^ROW($1:$8)/10)</f>
        <v>49403140</v>
      </c>
      <c r="AX1034" s="471" t="str">
        <f>VLOOKUP($AW1034,'Item Master Data'!$A:$F,3,FALSE)</f>
        <v>Q.PEAK DUO BLK ML G10+</v>
      </c>
      <c r="AY1034" s="471">
        <f>VLOOKUP($AW1034,'Item Master Data'!$A:$F,6,FALSE)</f>
        <v>400</v>
      </c>
      <c r="AZ1034" s="471">
        <f t="shared" si="213"/>
        <v>72</v>
      </c>
      <c r="BA1034" s="471">
        <f>VLOOKUP(AW1034,'Item Master Data'!$A:$G,7,FALSE)</f>
        <v>32</v>
      </c>
      <c r="BB1034" s="471"/>
      <c r="BC1034" s="471">
        <f t="shared" si="214"/>
        <v>0</v>
      </c>
    </row>
    <row r="1035" spans="1:55">
      <c r="A1035" s="472">
        <v>10</v>
      </c>
      <c r="B1035" s="467">
        <v>44650</v>
      </c>
      <c r="C1035" s="467">
        <v>44650</v>
      </c>
      <c r="D1035" s="474" t="s">
        <v>2901</v>
      </c>
      <c r="E1035" s="445"/>
      <c r="F1035" s="474" t="s">
        <v>1147</v>
      </c>
      <c r="G1035" s="474">
        <v>2022</v>
      </c>
      <c r="H1035" s="474">
        <v>3</v>
      </c>
      <c r="I1035" s="474">
        <v>127663</v>
      </c>
      <c r="J1035" s="487">
        <v>44650</v>
      </c>
      <c r="K1035" s="483" t="s">
        <v>2924</v>
      </c>
      <c r="L1035" s="474" t="s">
        <v>2916</v>
      </c>
      <c r="M1035" s="475">
        <v>44498</v>
      </c>
      <c r="N1035" s="475">
        <v>44566</v>
      </c>
      <c r="O1035" s="475"/>
      <c r="P1035" s="475">
        <v>44650</v>
      </c>
      <c r="Q1035" s="475">
        <v>44650</v>
      </c>
      <c r="R1035" s="475">
        <v>44651</v>
      </c>
      <c r="S1035" s="474" t="s">
        <v>2904</v>
      </c>
      <c r="T1035" s="474">
        <v>60</v>
      </c>
      <c r="U1035" s="474">
        <v>49405140</v>
      </c>
      <c r="V1035" s="474" t="s">
        <v>973</v>
      </c>
      <c r="W1035" s="474">
        <v>400</v>
      </c>
      <c r="X1035" s="476">
        <v>768</v>
      </c>
      <c r="Y1035" s="491">
        <f t="shared" si="209"/>
        <v>307200</v>
      </c>
      <c r="Z1035" s="478">
        <v>0.55000000000000004</v>
      </c>
      <c r="AA1035" s="492">
        <f t="shared" si="210"/>
        <v>168960</v>
      </c>
      <c r="AB1035" s="492"/>
      <c r="AC1035" s="446">
        <v>0</v>
      </c>
      <c r="AD1035" s="490"/>
      <c r="AE1035" s="482"/>
      <c r="AF1035" s="580">
        <f t="shared" si="211"/>
        <v>168960</v>
      </c>
      <c r="AG1035" s="474" t="s">
        <v>1071</v>
      </c>
      <c r="AH1035" s="474"/>
      <c r="AI1035" s="474">
        <v>60</v>
      </c>
      <c r="AJ1035" s="475" t="s">
        <v>2922</v>
      </c>
      <c r="AK1035" s="483" t="s">
        <v>2406</v>
      </c>
      <c r="AL1035" s="483" t="s">
        <v>2925</v>
      </c>
      <c r="AM1035" s="474" t="s">
        <v>52</v>
      </c>
      <c r="AN1035" s="474" t="s">
        <v>1074</v>
      </c>
      <c r="AO1035" s="474"/>
      <c r="AP1035" s="482"/>
      <c r="AQ1035" s="482" t="s">
        <v>37</v>
      </c>
      <c r="AR1035" s="439" t="s">
        <v>1248</v>
      </c>
      <c r="AS1035" s="436" t="s">
        <v>1076</v>
      </c>
      <c r="AT1035" s="436" t="s">
        <v>1076</v>
      </c>
      <c r="AU1035" s="478">
        <v>0.47499999999999998</v>
      </c>
      <c r="AV1035" s="471">
        <f t="shared" si="212"/>
        <v>49405140</v>
      </c>
      <c r="AW1035" s="471" cm="1">
        <f t="array" ref="AW1035">SUM(MID(0&amp;AV1035,LARGE(INDEX(ISNUMBER(--MID(AV1035,ROW($1:$8),1))*ROW($1:$8),),ROW($1:$8))+1,1)*10^ROW($1:$8)/10)</f>
        <v>49405140</v>
      </c>
      <c r="AX1035" s="471" t="str">
        <f>VLOOKUP($AW1035,'Item Master Data'!$A:$F,3,FALSE)</f>
        <v>Q.PEAK DUO BLK ML G10+</v>
      </c>
      <c r="AY1035" s="471">
        <f>VLOOKUP($AW1035,'Item Master Data'!$A:$F,6,FALSE)</f>
        <v>400</v>
      </c>
      <c r="AZ1035" s="471">
        <f t="shared" si="213"/>
        <v>24</v>
      </c>
      <c r="BA1035" s="471">
        <f>VLOOKUP(AW1035,'Item Master Data'!$A:$G,7,FALSE)</f>
        <v>32</v>
      </c>
      <c r="BB1035" s="471"/>
      <c r="BC1035" s="471">
        <f t="shared" si="214"/>
        <v>0</v>
      </c>
    </row>
    <row r="1036" spans="1:55">
      <c r="A1036" s="472"/>
      <c r="B1036" s="467">
        <v>44628</v>
      </c>
      <c r="C1036" s="467">
        <v>44628</v>
      </c>
      <c r="D1036" s="474" t="s">
        <v>2901</v>
      </c>
      <c r="E1036" s="474"/>
      <c r="F1036" s="474" t="s">
        <v>1147</v>
      </c>
      <c r="G1036" s="474">
        <v>2022</v>
      </c>
      <c r="H1036" s="474">
        <v>3</v>
      </c>
      <c r="I1036" s="474">
        <v>127555</v>
      </c>
      <c r="J1036" s="475">
        <v>44644</v>
      </c>
      <c r="K1036" s="474" t="s">
        <v>2932</v>
      </c>
      <c r="L1036" s="474" t="s">
        <v>2933</v>
      </c>
      <c r="M1036" s="475">
        <v>44622</v>
      </c>
      <c r="N1036" s="475">
        <v>44622</v>
      </c>
      <c r="O1036" s="475"/>
      <c r="P1036" s="475">
        <v>44642</v>
      </c>
      <c r="Q1036" s="475">
        <v>44644</v>
      </c>
      <c r="R1036" s="475">
        <v>44645</v>
      </c>
      <c r="S1036" s="474" t="s">
        <v>2904</v>
      </c>
      <c r="T1036" s="474">
        <v>72</v>
      </c>
      <c r="U1036" s="474">
        <v>49302155</v>
      </c>
      <c r="V1036" s="474" t="s">
        <v>1104</v>
      </c>
      <c r="W1036" s="474">
        <v>475</v>
      </c>
      <c r="X1036" s="432">
        <v>1914</v>
      </c>
      <c r="Y1036" s="477">
        <f t="shared" si="209"/>
        <v>909150</v>
      </c>
      <c r="Z1036" s="478">
        <v>0.48501052631000002</v>
      </c>
      <c r="AA1036" s="479">
        <f t="shared" si="210"/>
        <v>440947.31999473652</v>
      </c>
      <c r="AB1036" s="479"/>
      <c r="AC1036" s="446">
        <v>0</v>
      </c>
      <c r="AD1036" s="490"/>
      <c r="AE1036" s="437"/>
      <c r="AF1036" s="580">
        <f t="shared" si="211"/>
        <v>440947.31999473652</v>
      </c>
      <c r="AG1036" s="474" t="s">
        <v>1071</v>
      </c>
      <c r="AH1036" s="438"/>
      <c r="AI1036" s="474">
        <v>60</v>
      </c>
      <c r="AJ1036" s="484" t="s">
        <v>1083</v>
      </c>
      <c r="AK1036" s="474" t="s">
        <v>1084</v>
      </c>
      <c r="AL1036" s="483" t="s">
        <v>2934</v>
      </c>
      <c r="AM1036" s="474" t="s">
        <v>52</v>
      </c>
      <c r="AN1036" s="474" t="s">
        <v>2928</v>
      </c>
      <c r="AO1036" s="474"/>
      <c r="AP1036" s="486"/>
      <c r="AQ1036" s="439" t="s">
        <v>37</v>
      </c>
      <c r="AR1036" s="439" t="s">
        <v>1248</v>
      </c>
      <c r="AS1036" s="473" t="s">
        <v>1076</v>
      </c>
      <c r="AT1036" s="473" t="s">
        <v>1076</v>
      </c>
      <c r="AU1036" s="472"/>
      <c r="AV1036" s="471">
        <f t="shared" si="212"/>
        <v>49302155</v>
      </c>
      <c r="AW1036" s="471" cm="1">
        <f t="array" ref="AW1036">SUM(MID(0&amp;AV1036,LARGE(INDEX(ISNUMBER(--MID(AV1036,ROW($1:$8),1))*ROW($1:$8),),ROW($1:$8))+1,1)*10^ROW($1:$8)/10)</f>
        <v>49302155</v>
      </c>
      <c r="AX1036" s="471" t="str">
        <f>VLOOKUP($AW1036,'Item Master Data'!$A:$F,3,FALSE)</f>
        <v>Q.PEAK DUO XL G10</v>
      </c>
      <c r="AY1036" s="471">
        <f>VLOOKUP($AW1036,'Item Master Data'!$A:$F,6,FALSE)</f>
        <v>475</v>
      </c>
      <c r="AZ1036" s="471">
        <f t="shared" si="213"/>
        <v>66</v>
      </c>
      <c r="BA1036" s="471">
        <f>VLOOKUP(AW1036,'Item Master Data'!$A:$G,7,FALSE)</f>
        <v>29</v>
      </c>
      <c r="BB1036" s="471"/>
      <c r="BC1036" s="471">
        <f t="shared" si="214"/>
        <v>0</v>
      </c>
    </row>
    <row r="1037" spans="1:55">
      <c r="A1037" s="472"/>
      <c r="B1037" s="467">
        <v>44628</v>
      </c>
      <c r="C1037" s="467">
        <v>44628</v>
      </c>
      <c r="D1037" s="474" t="s">
        <v>2901</v>
      </c>
      <c r="E1037" s="445"/>
      <c r="F1037" s="474" t="s">
        <v>1147</v>
      </c>
      <c r="G1037" s="474">
        <v>2022</v>
      </c>
      <c r="H1037" s="474">
        <v>3</v>
      </c>
      <c r="I1037" s="474">
        <v>127677</v>
      </c>
      <c r="J1037" s="487">
        <v>44648</v>
      </c>
      <c r="K1037" s="474" t="s">
        <v>2932</v>
      </c>
      <c r="L1037" s="474" t="s">
        <v>2933</v>
      </c>
      <c r="M1037" s="475">
        <v>44622</v>
      </c>
      <c r="N1037" s="475">
        <v>44622</v>
      </c>
      <c r="O1037" s="475"/>
      <c r="P1037" s="475">
        <v>44648</v>
      </c>
      <c r="Q1037" s="475">
        <v>44648</v>
      </c>
      <c r="R1037" s="475">
        <v>44649</v>
      </c>
      <c r="S1037" s="474" t="s">
        <v>2904</v>
      </c>
      <c r="T1037" s="474">
        <v>72</v>
      </c>
      <c r="U1037" s="474">
        <v>49302155</v>
      </c>
      <c r="V1037" s="474" t="s">
        <v>1104</v>
      </c>
      <c r="W1037" s="474">
        <v>475</v>
      </c>
      <c r="X1037" s="432">
        <v>638</v>
      </c>
      <c r="Y1037" s="477">
        <f t="shared" si="209"/>
        <v>303050</v>
      </c>
      <c r="Z1037" s="478">
        <v>0.48501052631000002</v>
      </c>
      <c r="AA1037" s="479">
        <f t="shared" si="210"/>
        <v>146982.43999824551</v>
      </c>
      <c r="AB1037" s="479"/>
      <c r="AC1037" s="446">
        <v>0</v>
      </c>
      <c r="AD1037" s="490"/>
      <c r="AE1037" s="437"/>
      <c r="AF1037" s="580">
        <f t="shared" si="211"/>
        <v>146982.43999824551</v>
      </c>
      <c r="AG1037" s="474" t="s">
        <v>1071</v>
      </c>
      <c r="AH1037" s="438"/>
      <c r="AI1037" s="474">
        <v>60</v>
      </c>
      <c r="AJ1037" s="484" t="s">
        <v>1083</v>
      </c>
      <c r="AK1037" s="474" t="s">
        <v>1084</v>
      </c>
      <c r="AL1037" s="483" t="s">
        <v>2934</v>
      </c>
      <c r="AM1037" s="474" t="s">
        <v>52</v>
      </c>
      <c r="AN1037" s="474" t="s">
        <v>2928</v>
      </c>
      <c r="AO1037" s="474"/>
      <c r="AP1037" s="486"/>
      <c r="AQ1037" s="439" t="s">
        <v>37</v>
      </c>
      <c r="AR1037" s="439" t="s">
        <v>1248</v>
      </c>
      <c r="AS1037" s="473" t="s">
        <v>1076</v>
      </c>
      <c r="AT1037" s="473" t="s">
        <v>1076</v>
      </c>
      <c r="AU1037" s="472"/>
      <c r="AV1037" s="471">
        <f t="shared" si="212"/>
        <v>49302155</v>
      </c>
      <c r="AW1037" s="471" cm="1">
        <f t="array" ref="AW1037">SUM(MID(0&amp;AV1037,LARGE(INDEX(ISNUMBER(--MID(AV1037,ROW($1:$8),1))*ROW($1:$8),),ROW($1:$8))+1,1)*10^ROW($1:$8)/10)</f>
        <v>49302155</v>
      </c>
      <c r="AX1037" s="471" t="str">
        <f>VLOOKUP($AW1037,'Item Master Data'!$A:$F,3,FALSE)</f>
        <v>Q.PEAK DUO XL G10</v>
      </c>
      <c r="AY1037" s="471">
        <f>VLOOKUP($AW1037,'Item Master Data'!$A:$F,6,FALSE)</f>
        <v>475</v>
      </c>
      <c r="AZ1037" s="471">
        <f t="shared" si="213"/>
        <v>22</v>
      </c>
      <c r="BA1037" s="471">
        <f>VLOOKUP(AW1037,'Item Master Data'!$A:$G,7,FALSE)</f>
        <v>29</v>
      </c>
      <c r="BB1037" s="471"/>
      <c r="BC1037" s="471">
        <f t="shared" si="214"/>
        <v>0</v>
      </c>
    </row>
    <row r="1038" spans="1:55">
      <c r="A1038" s="472"/>
      <c r="B1038" s="467">
        <v>44628</v>
      </c>
      <c r="C1038" s="467">
        <v>44628</v>
      </c>
      <c r="D1038" s="474" t="s">
        <v>2901</v>
      </c>
      <c r="E1038" s="445"/>
      <c r="F1038" s="474" t="s">
        <v>1147</v>
      </c>
      <c r="G1038" s="474">
        <v>2022</v>
      </c>
      <c r="H1038" s="474">
        <v>3</v>
      </c>
      <c r="I1038" s="474">
        <v>127736</v>
      </c>
      <c r="J1038" s="487">
        <v>44648</v>
      </c>
      <c r="K1038" s="474" t="s">
        <v>2932</v>
      </c>
      <c r="L1038" s="474" t="s">
        <v>2933</v>
      </c>
      <c r="M1038" s="475">
        <v>44622</v>
      </c>
      <c r="N1038" s="475">
        <v>44622</v>
      </c>
      <c r="O1038" s="475"/>
      <c r="P1038" s="475">
        <v>44648</v>
      </c>
      <c r="Q1038" s="475">
        <v>44648</v>
      </c>
      <c r="R1038" s="475">
        <v>44651</v>
      </c>
      <c r="S1038" s="474" t="s">
        <v>2904</v>
      </c>
      <c r="T1038" s="474">
        <v>72</v>
      </c>
      <c r="U1038" s="474">
        <v>49302155</v>
      </c>
      <c r="V1038" s="474" t="s">
        <v>1104</v>
      </c>
      <c r="W1038" s="474">
        <v>475</v>
      </c>
      <c r="X1038" s="432">
        <v>1276</v>
      </c>
      <c r="Y1038" s="477">
        <f t="shared" si="209"/>
        <v>606100</v>
      </c>
      <c r="Z1038" s="478">
        <v>0.48501052631000002</v>
      </c>
      <c r="AA1038" s="479">
        <f t="shared" si="210"/>
        <v>293964.87999649101</v>
      </c>
      <c r="AB1038" s="479"/>
      <c r="AC1038" s="446">
        <v>0</v>
      </c>
      <c r="AD1038" s="490"/>
      <c r="AE1038" s="437"/>
      <c r="AF1038" s="580">
        <f t="shared" si="211"/>
        <v>293964.87999649101</v>
      </c>
      <c r="AG1038" s="474" t="s">
        <v>1071</v>
      </c>
      <c r="AH1038" s="438"/>
      <c r="AI1038" s="474">
        <v>60</v>
      </c>
      <c r="AJ1038" s="484" t="s">
        <v>1083</v>
      </c>
      <c r="AK1038" s="474" t="s">
        <v>1084</v>
      </c>
      <c r="AL1038" s="483" t="s">
        <v>2934</v>
      </c>
      <c r="AM1038" s="474" t="s">
        <v>52</v>
      </c>
      <c r="AN1038" s="474" t="s">
        <v>2928</v>
      </c>
      <c r="AO1038" s="474"/>
      <c r="AP1038" s="486"/>
      <c r="AQ1038" s="439" t="s">
        <v>37</v>
      </c>
      <c r="AR1038" s="439" t="s">
        <v>1248</v>
      </c>
      <c r="AS1038" s="473" t="s">
        <v>1076</v>
      </c>
      <c r="AT1038" s="473" t="s">
        <v>1076</v>
      </c>
      <c r="AU1038" s="472"/>
      <c r="AV1038" s="471">
        <f t="shared" si="212"/>
        <v>49302155</v>
      </c>
      <c r="AW1038" s="471" cm="1">
        <f t="array" ref="AW1038">SUM(MID(0&amp;AV1038,LARGE(INDEX(ISNUMBER(--MID(AV1038,ROW($1:$8),1))*ROW($1:$8),),ROW($1:$8))+1,1)*10^ROW($1:$8)/10)</f>
        <v>49302155</v>
      </c>
      <c r="AX1038" s="471" t="str">
        <f>VLOOKUP($AW1038,'Item Master Data'!$A:$F,3,FALSE)</f>
        <v>Q.PEAK DUO XL G10</v>
      </c>
      <c r="AY1038" s="471">
        <f>VLOOKUP($AW1038,'Item Master Data'!$A:$F,6,FALSE)</f>
        <v>475</v>
      </c>
      <c r="AZ1038" s="471">
        <f t="shared" si="213"/>
        <v>44</v>
      </c>
      <c r="BA1038" s="471">
        <f>VLOOKUP(AW1038,'Item Master Data'!$A:$G,7,FALSE)</f>
        <v>29</v>
      </c>
      <c r="BB1038" s="471"/>
      <c r="BC1038" s="471">
        <f t="shared" si="214"/>
        <v>0</v>
      </c>
    </row>
    <row r="1039" spans="1:55">
      <c r="A1039" s="472">
        <v>10</v>
      </c>
      <c r="B1039" s="467">
        <v>44608</v>
      </c>
      <c r="C1039" s="467">
        <v>44608</v>
      </c>
      <c r="D1039" s="474" t="s">
        <v>2901</v>
      </c>
      <c r="E1039" s="445"/>
      <c r="F1039" s="474" t="s">
        <v>1147</v>
      </c>
      <c r="G1039" s="474">
        <v>2022</v>
      </c>
      <c r="H1039" s="474">
        <v>3</v>
      </c>
      <c r="I1039" s="474">
        <v>127679</v>
      </c>
      <c r="J1039" s="475">
        <v>44649</v>
      </c>
      <c r="K1039" s="483" t="s">
        <v>2946</v>
      </c>
      <c r="L1039" s="474" t="s">
        <v>2947</v>
      </c>
      <c r="M1039" s="475">
        <v>44431</v>
      </c>
      <c r="N1039" s="475">
        <v>44531</v>
      </c>
      <c r="O1039" s="475" t="s">
        <v>1280</v>
      </c>
      <c r="P1039" s="475">
        <v>44628</v>
      </c>
      <c r="Q1039" s="475">
        <v>44649</v>
      </c>
      <c r="R1039" s="475">
        <v>44650</v>
      </c>
      <c r="S1039" s="474" t="s">
        <v>2904</v>
      </c>
      <c r="T1039" s="474">
        <v>60</v>
      </c>
      <c r="U1039" s="474">
        <v>49405140</v>
      </c>
      <c r="V1039" s="474" t="s">
        <v>973</v>
      </c>
      <c r="W1039" s="474">
        <v>400</v>
      </c>
      <c r="X1039" s="476">
        <v>832</v>
      </c>
      <c r="Y1039" s="477">
        <f t="shared" si="209"/>
        <v>332800</v>
      </c>
      <c r="Z1039" s="478">
        <v>0.55000000000000004</v>
      </c>
      <c r="AA1039" s="479">
        <f t="shared" si="210"/>
        <v>183040.00000000003</v>
      </c>
      <c r="AB1039" s="479"/>
      <c r="AC1039" s="446">
        <v>0</v>
      </c>
      <c r="AD1039" s="490"/>
      <c r="AE1039" s="482"/>
      <c r="AF1039" s="580">
        <f t="shared" si="211"/>
        <v>183040.00000000003</v>
      </c>
      <c r="AG1039" s="474" t="s">
        <v>1071</v>
      </c>
      <c r="AH1039" s="474"/>
      <c r="AI1039" s="474">
        <v>60</v>
      </c>
      <c r="AJ1039" s="475" t="s">
        <v>2277</v>
      </c>
      <c r="AK1039" s="483" t="s">
        <v>1084</v>
      </c>
      <c r="AL1039" s="483" t="s">
        <v>2948</v>
      </c>
      <c r="AM1039" s="474" t="s">
        <v>52</v>
      </c>
      <c r="AN1039" s="474" t="s">
        <v>2928</v>
      </c>
      <c r="AO1039" s="474"/>
      <c r="AP1039" s="482"/>
      <c r="AQ1039" s="482" t="s">
        <v>37</v>
      </c>
      <c r="AR1039" s="439" t="s">
        <v>1248</v>
      </c>
      <c r="AS1039" s="436" t="s">
        <v>1076</v>
      </c>
      <c r="AT1039" s="436" t="s">
        <v>1076</v>
      </c>
      <c r="AU1039" s="478">
        <v>0.47499999999999998</v>
      </c>
      <c r="AV1039" s="471">
        <f t="shared" si="212"/>
        <v>49405140</v>
      </c>
      <c r="AW1039" s="471" cm="1">
        <f t="array" ref="AW1039">SUM(MID(0&amp;AV1039,LARGE(INDEX(ISNUMBER(--MID(AV1039,ROW($1:$8),1))*ROW($1:$8),),ROW($1:$8))+1,1)*10^ROW($1:$8)/10)</f>
        <v>49405140</v>
      </c>
      <c r="AX1039" s="471" t="str">
        <f>VLOOKUP($AW1039,'Item Master Data'!$A:$F,3,FALSE)</f>
        <v>Q.PEAK DUO BLK ML G10+</v>
      </c>
      <c r="AY1039" s="471">
        <f>VLOOKUP($AW1039,'Item Master Data'!$A:$F,6,FALSE)</f>
        <v>400</v>
      </c>
      <c r="AZ1039" s="471">
        <f t="shared" si="213"/>
        <v>26</v>
      </c>
      <c r="BA1039" s="471">
        <f>VLOOKUP(AW1039,'Item Master Data'!$A:$G,7,FALSE)</f>
        <v>32</v>
      </c>
      <c r="BB1039" s="471"/>
      <c r="BC1039" s="471">
        <f t="shared" si="214"/>
        <v>0</v>
      </c>
    </row>
    <row r="1040" spans="1:55">
      <c r="A1040" s="472">
        <v>10</v>
      </c>
      <c r="B1040" s="467">
        <v>44608</v>
      </c>
      <c r="C1040" s="467">
        <v>44608</v>
      </c>
      <c r="D1040" s="474" t="s">
        <v>2901</v>
      </c>
      <c r="E1040" s="445" t="s">
        <v>2949</v>
      </c>
      <c r="F1040" s="474" t="s">
        <v>1147</v>
      </c>
      <c r="G1040" s="474">
        <v>2022</v>
      </c>
      <c r="H1040" s="474">
        <v>3</v>
      </c>
      <c r="I1040" s="524">
        <v>127774</v>
      </c>
      <c r="J1040" s="578">
        <v>44649</v>
      </c>
      <c r="K1040" s="523" t="s">
        <v>2946</v>
      </c>
      <c r="L1040" s="524" t="s">
        <v>2947</v>
      </c>
      <c r="M1040" s="475">
        <v>44431</v>
      </c>
      <c r="N1040" s="475">
        <v>44531</v>
      </c>
      <c r="O1040" s="475" t="s">
        <v>1280</v>
      </c>
      <c r="P1040" s="475">
        <v>44628</v>
      </c>
      <c r="Q1040" s="475">
        <v>44649</v>
      </c>
      <c r="R1040" s="475">
        <v>44650</v>
      </c>
      <c r="S1040" s="474" t="s">
        <v>2904</v>
      </c>
      <c r="T1040" s="474">
        <v>60</v>
      </c>
      <c r="U1040" s="474">
        <v>49405140</v>
      </c>
      <c r="V1040" s="474" t="s">
        <v>973</v>
      </c>
      <c r="W1040" s="474">
        <v>400</v>
      </c>
      <c r="X1040" s="476">
        <v>832</v>
      </c>
      <c r="Y1040" s="491">
        <f t="shared" si="209"/>
        <v>332800</v>
      </c>
      <c r="Z1040" s="478">
        <v>0.55000000000000004</v>
      </c>
      <c r="AA1040" s="492">
        <f t="shared" si="210"/>
        <v>183040.00000000003</v>
      </c>
      <c r="AB1040" s="492"/>
      <c r="AC1040" s="446">
        <v>0</v>
      </c>
      <c r="AD1040" s="490"/>
      <c r="AE1040" s="482"/>
      <c r="AF1040" s="580">
        <f t="shared" si="211"/>
        <v>183040.00000000003</v>
      </c>
      <c r="AG1040" s="474" t="s">
        <v>1071</v>
      </c>
      <c r="AH1040" s="474"/>
      <c r="AI1040" s="474">
        <v>60</v>
      </c>
      <c r="AJ1040" s="475" t="s">
        <v>2277</v>
      </c>
      <c r="AK1040" s="483" t="s">
        <v>1084</v>
      </c>
      <c r="AL1040" s="483" t="s">
        <v>2948</v>
      </c>
      <c r="AM1040" s="474" t="s">
        <v>52</v>
      </c>
      <c r="AN1040" s="474" t="s">
        <v>2928</v>
      </c>
      <c r="AO1040" s="474"/>
      <c r="AP1040" s="482"/>
      <c r="AQ1040" s="482" t="s">
        <v>37</v>
      </c>
      <c r="AR1040" s="439" t="s">
        <v>1248</v>
      </c>
      <c r="AS1040" s="436" t="s">
        <v>1076</v>
      </c>
      <c r="AT1040" s="436" t="s">
        <v>1076</v>
      </c>
      <c r="AU1040" s="478">
        <v>0.47499999999999998</v>
      </c>
      <c r="AV1040" s="471">
        <f t="shared" si="212"/>
        <v>49405140</v>
      </c>
      <c r="AW1040" s="471" cm="1">
        <f t="array" ref="AW1040">SUM(MID(0&amp;AV1040,LARGE(INDEX(ISNUMBER(--MID(AV1040,ROW($1:$8),1))*ROW($1:$8),),ROW($1:$8))+1,1)*10^ROW($1:$8)/10)</f>
        <v>49405140</v>
      </c>
      <c r="AX1040" s="471" t="str">
        <f>VLOOKUP($AW1040,'Item Master Data'!$A:$F,3,FALSE)</f>
        <v>Q.PEAK DUO BLK ML G10+</v>
      </c>
      <c r="AY1040" s="471">
        <f>VLOOKUP($AW1040,'Item Master Data'!$A:$F,6,FALSE)</f>
        <v>400</v>
      </c>
      <c r="AZ1040" s="471">
        <f t="shared" si="213"/>
        <v>26</v>
      </c>
      <c r="BA1040" s="471">
        <f>VLOOKUP(AW1040,'Item Master Data'!$A:$G,7,FALSE)</f>
        <v>32</v>
      </c>
      <c r="BB1040" s="471"/>
      <c r="BC1040" s="471">
        <f t="shared" si="214"/>
        <v>0</v>
      </c>
    </row>
    <row r="1041" spans="1:55">
      <c r="A1041" s="472">
        <v>10</v>
      </c>
      <c r="B1041" s="467">
        <v>44635</v>
      </c>
      <c r="C1041" s="467">
        <v>44636</v>
      </c>
      <c r="D1041" s="474" t="s">
        <v>2901</v>
      </c>
      <c r="E1041" s="445"/>
      <c r="F1041" s="474" t="s">
        <v>1147</v>
      </c>
      <c r="G1041" s="474">
        <v>2022</v>
      </c>
      <c r="H1041" s="474">
        <v>3</v>
      </c>
      <c r="I1041" s="474">
        <v>127782</v>
      </c>
      <c r="J1041" s="556">
        <v>44649</v>
      </c>
      <c r="K1041" s="483" t="s">
        <v>2950</v>
      </c>
      <c r="L1041" s="474" t="s">
        <v>2947</v>
      </c>
      <c r="M1041" s="475">
        <v>44497</v>
      </c>
      <c r="N1041" s="475">
        <v>44621</v>
      </c>
      <c r="O1041" s="475"/>
      <c r="P1041" s="475">
        <v>44648</v>
      </c>
      <c r="Q1041" s="475">
        <v>44649</v>
      </c>
      <c r="R1041" s="475">
        <v>44650</v>
      </c>
      <c r="S1041" s="474" t="s">
        <v>2904</v>
      </c>
      <c r="T1041" s="474">
        <v>60</v>
      </c>
      <c r="U1041" s="474">
        <v>49201132</v>
      </c>
      <c r="V1041" s="474" t="s">
        <v>986</v>
      </c>
      <c r="W1041" s="474">
        <v>360</v>
      </c>
      <c r="X1041" s="476">
        <v>1568</v>
      </c>
      <c r="Y1041" s="491">
        <f t="shared" si="209"/>
        <v>564480</v>
      </c>
      <c r="Z1041" s="478">
        <v>0.53</v>
      </c>
      <c r="AA1041" s="492">
        <f t="shared" si="210"/>
        <v>299174.40000000002</v>
      </c>
      <c r="AB1041" s="492"/>
      <c r="AC1041" s="446">
        <v>0</v>
      </c>
      <c r="AD1041" s="490"/>
      <c r="AE1041" s="482"/>
      <c r="AF1041" s="580">
        <f t="shared" si="211"/>
        <v>299174.40000000002</v>
      </c>
      <c r="AG1041" s="474" t="s">
        <v>1071</v>
      </c>
      <c r="AH1041" s="474"/>
      <c r="AI1041" s="474">
        <v>60</v>
      </c>
      <c r="AJ1041" s="475" t="s">
        <v>2951</v>
      </c>
      <c r="AK1041" s="483" t="s">
        <v>1084</v>
      </c>
      <c r="AL1041" s="483" t="s">
        <v>2952</v>
      </c>
      <c r="AM1041" s="474" t="s">
        <v>52</v>
      </c>
      <c r="AN1041" s="474" t="s">
        <v>2928</v>
      </c>
      <c r="AO1041" s="474"/>
      <c r="AP1041" s="482"/>
      <c r="AQ1041" s="482" t="s">
        <v>37</v>
      </c>
      <c r="AR1041" s="439" t="s">
        <v>2953</v>
      </c>
      <c r="AS1041" s="436" t="s">
        <v>1076</v>
      </c>
      <c r="AT1041" s="436" t="s">
        <v>1076</v>
      </c>
      <c r="AU1041" s="478">
        <v>0.5</v>
      </c>
      <c r="AV1041" s="471">
        <f t="shared" si="212"/>
        <v>49201132</v>
      </c>
      <c r="AW1041" s="471" cm="1">
        <f t="array" ref="AW1041">SUM(MID(0&amp;AV1041,LARGE(INDEX(ISNUMBER(--MID(AV1041,ROW($1:$8),1))*ROW($1:$8),),ROW($1:$8))+1,1)*10^ROW($1:$8)/10)</f>
        <v>49201132</v>
      </c>
      <c r="AX1041" s="471" t="str">
        <f>VLOOKUP($AW1041,'Item Master Data'!$A:$F,3,FALSE)</f>
        <v>Q.PEAK DUO BLK G10+</v>
      </c>
      <c r="AY1041" s="471">
        <f>VLOOKUP($AW1041,'Item Master Data'!$A:$F,6,FALSE)</f>
        <v>360</v>
      </c>
      <c r="AZ1041" s="471">
        <f t="shared" si="213"/>
        <v>49</v>
      </c>
      <c r="BA1041" s="471">
        <f>VLOOKUP(AW1041,'Item Master Data'!$A:$G,7,FALSE)</f>
        <v>32</v>
      </c>
      <c r="BB1041" s="471"/>
      <c r="BC1041" s="471">
        <f t="shared" si="214"/>
        <v>0</v>
      </c>
    </row>
    <row r="1042" spans="1:55">
      <c r="A1042" s="472">
        <v>10</v>
      </c>
      <c r="B1042" s="467">
        <v>44635</v>
      </c>
      <c r="C1042" s="467">
        <v>44636</v>
      </c>
      <c r="D1042" s="474" t="s">
        <v>2901</v>
      </c>
      <c r="E1042" s="445" t="s">
        <v>2954</v>
      </c>
      <c r="F1042" s="474" t="s">
        <v>1147</v>
      </c>
      <c r="G1042" s="474">
        <v>2022</v>
      </c>
      <c r="H1042" s="474">
        <v>3</v>
      </c>
      <c r="I1042" s="524">
        <v>127839</v>
      </c>
      <c r="J1042" s="578">
        <v>44649</v>
      </c>
      <c r="K1042" s="523" t="s">
        <v>2950</v>
      </c>
      <c r="L1042" s="524" t="s">
        <v>2947</v>
      </c>
      <c r="M1042" s="475">
        <v>44497</v>
      </c>
      <c r="N1042" s="475">
        <v>44621</v>
      </c>
      <c r="O1042" s="475"/>
      <c r="P1042" s="475">
        <v>44648</v>
      </c>
      <c r="Q1042" s="475">
        <v>44649</v>
      </c>
      <c r="R1042" s="475">
        <v>44650</v>
      </c>
      <c r="S1042" s="474" t="s">
        <v>2904</v>
      </c>
      <c r="T1042" s="474">
        <v>60</v>
      </c>
      <c r="U1042" s="474">
        <v>49201132</v>
      </c>
      <c r="V1042" s="474" t="s">
        <v>986</v>
      </c>
      <c r="W1042" s="474">
        <v>360</v>
      </c>
      <c r="X1042" s="476">
        <v>1760</v>
      </c>
      <c r="Y1042" s="491">
        <f t="shared" si="209"/>
        <v>633600</v>
      </c>
      <c r="Z1042" s="478">
        <v>0.53</v>
      </c>
      <c r="AA1042" s="492">
        <f t="shared" si="210"/>
        <v>335808</v>
      </c>
      <c r="AB1042" s="492"/>
      <c r="AC1042" s="446">
        <v>0</v>
      </c>
      <c r="AD1042" s="490"/>
      <c r="AE1042" s="482"/>
      <c r="AF1042" s="580">
        <f t="shared" si="211"/>
        <v>335808</v>
      </c>
      <c r="AG1042" s="474" t="s">
        <v>1071</v>
      </c>
      <c r="AH1042" s="474"/>
      <c r="AI1042" s="474">
        <v>60</v>
      </c>
      <c r="AJ1042" s="475" t="s">
        <v>2951</v>
      </c>
      <c r="AK1042" s="483" t="s">
        <v>1084</v>
      </c>
      <c r="AL1042" s="483" t="s">
        <v>2952</v>
      </c>
      <c r="AM1042" s="474" t="s">
        <v>52</v>
      </c>
      <c r="AN1042" s="474" t="s">
        <v>2928</v>
      </c>
      <c r="AO1042" s="474"/>
      <c r="AP1042" s="482"/>
      <c r="AQ1042" s="482" t="s">
        <v>37</v>
      </c>
      <c r="AR1042" s="439" t="s">
        <v>2953</v>
      </c>
      <c r="AS1042" s="436" t="s">
        <v>1076</v>
      </c>
      <c r="AT1042" s="436" t="s">
        <v>1076</v>
      </c>
      <c r="AU1042" s="478">
        <v>0.5</v>
      </c>
      <c r="AV1042" s="471">
        <f t="shared" si="212"/>
        <v>49201132</v>
      </c>
      <c r="AW1042" s="471" cm="1">
        <f t="array" ref="AW1042">SUM(MID(0&amp;AV1042,LARGE(INDEX(ISNUMBER(--MID(AV1042,ROW($1:$8),1))*ROW($1:$8),),ROW($1:$8))+1,1)*10^ROW($1:$8)/10)</f>
        <v>49201132</v>
      </c>
      <c r="AX1042" s="471" t="str">
        <f>VLOOKUP($AW1042,'Item Master Data'!$A:$F,3,FALSE)</f>
        <v>Q.PEAK DUO BLK G10+</v>
      </c>
      <c r="AY1042" s="471">
        <f>VLOOKUP($AW1042,'Item Master Data'!$A:$F,6,FALSE)</f>
        <v>360</v>
      </c>
      <c r="AZ1042" s="471">
        <f t="shared" si="213"/>
        <v>55</v>
      </c>
      <c r="BA1042" s="471">
        <f>VLOOKUP(AW1042,'Item Master Data'!$A:$G,7,FALSE)</f>
        <v>32</v>
      </c>
      <c r="BB1042" s="471"/>
      <c r="BC1042" s="471">
        <f t="shared" si="214"/>
        <v>0</v>
      </c>
    </row>
    <row r="1043" spans="1:55">
      <c r="A1043" s="472">
        <v>10</v>
      </c>
      <c r="B1043" s="467">
        <v>44635</v>
      </c>
      <c r="C1043" s="467">
        <v>44636</v>
      </c>
      <c r="D1043" s="474" t="s">
        <v>2901</v>
      </c>
      <c r="E1043" s="445"/>
      <c r="F1043" s="474" t="s">
        <v>1147</v>
      </c>
      <c r="G1043" s="474">
        <v>2022</v>
      </c>
      <c r="H1043" s="474">
        <v>3</v>
      </c>
      <c r="I1043" s="474">
        <v>127783</v>
      </c>
      <c r="J1043" s="556">
        <v>44649</v>
      </c>
      <c r="K1043" s="483" t="s">
        <v>2950</v>
      </c>
      <c r="L1043" s="474" t="s">
        <v>2947</v>
      </c>
      <c r="M1043" s="475">
        <v>44497</v>
      </c>
      <c r="N1043" s="475">
        <v>44621</v>
      </c>
      <c r="O1043" s="475"/>
      <c r="P1043" s="475">
        <v>44648</v>
      </c>
      <c r="Q1043" s="475">
        <v>44649</v>
      </c>
      <c r="R1043" s="475">
        <v>44650</v>
      </c>
      <c r="S1043" s="474" t="s">
        <v>2904</v>
      </c>
      <c r="T1043" s="474">
        <v>60</v>
      </c>
      <c r="U1043" s="474">
        <v>49201132</v>
      </c>
      <c r="V1043" s="474" t="s">
        <v>986</v>
      </c>
      <c r="W1043" s="474">
        <v>360</v>
      </c>
      <c r="X1043" s="476">
        <v>832</v>
      </c>
      <c r="Y1043" s="491">
        <f t="shared" si="209"/>
        <v>299520</v>
      </c>
      <c r="Z1043" s="478">
        <v>0.53</v>
      </c>
      <c r="AA1043" s="492">
        <f t="shared" si="210"/>
        <v>158745.60000000001</v>
      </c>
      <c r="AB1043" s="492"/>
      <c r="AC1043" s="446">
        <v>0</v>
      </c>
      <c r="AD1043" s="490"/>
      <c r="AE1043" s="482"/>
      <c r="AF1043" s="580">
        <f t="shared" si="211"/>
        <v>158745.60000000001</v>
      </c>
      <c r="AG1043" s="474" t="s">
        <v>1071</v>
      </c>
      <c r="AH1043" s="474"/>
      <c r="AI1043" s="474">
        <v>60</v>
      </c>
      <c r="AJ1043" s="475" t="s">
        <v>2277</v>
      </c>
      <c r="AK1043" s="483" t="s">
        <v>1084</v>
      </c>
      <c r="AL1043" s="483">
        <v>32809</v>
      </c>
      <c r="AM1043" s="474" t="s">
        <v>52</v>
      </c>
      <c r="AN1043" s="474" t="s">
        <v>2928</v>
      </c>
      <c r="AO1043" s="474"/>
      <c r="AP1043" s="482"/>
      <c r="AQ1043" s="482" t="s">
        <v>37</v>
      </c>
      <c r="AR1043" s="439" t="s">
        <v>2953</v>
      </c>
      <c r="AS1043" s="436" t="s">
        <v>1076</v>
      </c>
      <c r="AT1043" s="436" t="s">
        <v>1076</v>
      </c>
      <c r="AU1043" s="478">
        <v>0.5</v>
      </c>
      <c r="AV1043" s="471">
        <f t="shared" si="212"/>
        <v>49201132</v>
      </c>
      <c r="AW1043" s="471" cm="1">
        <f t="array" ref="AW1043">SUM(MID(0&amp;AV1043,LARGE(INDEX(ISNUMBER(--MID(AV1043,ROW($1:$8),1))*ROW($1:$8),),ROW($1:$8))+1,1)*10^ROW($1:$8)/10)</f>
        <v>49201132</v>
      </c>
      <c r="AX1043" s="471" t="str">
        <f>VLOOKUP($AW1043,'Item Master Data'!$A:$F,3,FALSE)</f>
        <v>Q.PEAK DUO BLK G10+</v>
      </c>
      <c r="AY1043" s="471">
        <f>VLOOKUP($AW1043,'Item Master Data'!$A:$F,6,FALSE)</f>
        <v>360</v>
      </c>
      <c r="AZ1043" s="471">
        <f t="shared" si="213"/>
        <v>26</v>
      </c>
      <c r="BA1043" s="471">
        <f>VLOOKUP(AW1043,'Item Master Data'!$A:$G,7,FALSE)</f>
        <v>32</v>
      </c>
      <c r="BB1043" s="471"/>
      <c r="BC1043" s="471">
        <f t="shared" si="214"/>
        <v>0</v>
      </c>
    </row>
    <row r="1044" spans="1:55">
      <c r="A1044" s="472">
        <v>10</v>
      </c>
      <c r="B1044" s="467">
        <v>44635</v>
      </c>
      <c r="C1044" s="467">
        <v>44636</v>
      </c>
      <c r="D1044" s="474" t="s">
        <v>2901</v>
      </c>
      <c r="E1044" s="445"/>
      <c r="F1044" s="474" t="s">
        <v>1147</v>
      </c>
      <c r="G1044" s="474">
        <v>2022</v>
      </c>
      <c r="H1044" s="474">
        <v>3</v>
      </c>
      <c r="I1044" s="524">
        <v>127837</v>
      </c>
      <c r="J1044" s="578">
        <v>44647</v>
      </c>
      <c r="K1044" s="523" t="s">
        <v>2950</v>
      </c>
      <c r="L1044" s="524" t="s">
        <v>2947</v>
      </c>
      <c r="M1044" s="475">
        <v>44497</v>
      </c>
      <c r="N1044" s="475">
        <v>44621</v>
      </c>
      <c r="O1044" s="475"/>
      <c r="P1044" s="475">
        <v>44648</v>
      </c>
      <c r="Q1044" s="475">
        <v>44649</v>
      </c>
      <c r="R1044" s="475">
        <v>44650</v>
      </c>
      <c r="S1044" s="474" t="s">
        <v>2904</v>
      </c>
      <c r="T1044" s="474">
        <v>60</v>
      </c>
      <c r="U1044" s="474">
        <v>49201132</v>
      </c>
      <c r="V1044" s="474" t="s">
        <v>986</v>
      </c>
      <c r="W1044" s="474">
        <v>360</v>
      </c>
      <c r="X1044" s="476">
        <v>832</v>
      </c>
      <c r="Y1044" s="491">
        <f t="shared" si="209"/>
        <v>299520</v>
      </c>
      <c r="Z1044" s="478">
        <v>0.53</v>
      </c>
      <c r="AA1044" s="492">
        <f t="shared" si="210"/>
        <v>158745.60000000001</v>
      </c>
      <c r="AB1044" s="492"/>
      <c r="AC1044" s="446">
        <v>0</v>
      </c>
      <c r="AD1044" s="490"/>
      <c r="AE1044" s="482"/>
      <c r="AF1044" s="580">
        <f t="shared" si="211"/>
        <v>158745.60000000001</v>
      </c>
      <c r="AG1044" s="474" t="s">
        <v>1071</v>
      </c>
      <c r="AH1044" s="474"/>
      <c r="AI1044" s="474">
        <v>60</v>
      </c>
      <c r="AJ1044" s="475" t="s">
        <v>2277</v>
      </c>
      <c r="AK1044" s="483" t="s">
        <v>1084</v>
      </c>
      <c r="AL1044" s="483">
        <v>32809</v>
      </c>
      <c r="AM1044" s="474" t="s">
        <v>52</v>
      </c>
      <c r="AN1044" s="474" t="s">
        <v>2928</v>
      </c>
      <c r="AO1044" s="474"/>
      <c r="AP1044" s="482"/>
      <c r="AQ1044" s="482" t="s">
        <v>37</v>
      </c>
      <c r="AR1044" s="439" t="s">
        <v>2953</v>
      </c>
      <c r="AS1044" s="436" t="s">
        <v>1076</v>
      </c>
      <c r="AT1044" s="436" t="s">
        <v>1076</v>
      </c>
      <c r="AU1044" s="478">
        <v>0.5</v>
      </c>
      <c r="AV1044" s="471">
        <f t="shared" si="212"/>
        <v>49201132</v>
      </c>
      <c r="AW1044" s="471" cm="1">
        <f t="array" ref="AW1044">SUM(MID(0&amp;AV1044,LARGE(INDEX(ISNUMBER(--MID(AV1044,ROW($1:$8),1))*ROW($1:$8),),ROW($1:$8))+1,1)*10^ROW($1:$8)/10)</f>
        <v>49201132</v>
      </c>
      <c r="AX1044" s="471" t="str">
        <f>VLOOKUP($AW1044,'Item Master Data'!$A:$F,3,FALSE)</f>
        <v>Q.PEAK DUO BLK G10+</v>
      </c>
      <c r="AY1044" s="471">
        <f>VLOOKUP($AW1044,'Item Master Data'!$A:$F,6,FALSE)</f>
        <v>360</v>
      </c>
      <c r="AZ1044" s="471">
        <f t="shared" si="213"/>
        <v>26</v>
      </c>
      <c r="BA1044" s="471">
        <f>VLOOKUP(AW1044,'Item Master Data'!$A:$G,7,FALSE)</f>
        <v>32</v>
      </c>
      <c r="BB1044" s="471"/>
      <c r="BC1044" s="471">
        <f t="shared" si="214"/>
        <v>0</v>
      </c>
    </row>
    <row r="1045" spans="1:55">
      <c r="A1045" s="472"/>
      <c r="B1045" s="467"/>
      <c r="C1045" s="467"/>
      <c r="D1045" s="474" t="s">
        <v>2901</v>
      </c>
      <c r="E1045" s="445"/>
      <c r="F1045" s="474" t="s">
        <v>1147</v>
      </c>
      <c r="G1045" s="474">
        <v>2022</v>
      </c>
      <c r="H1045" s="474">
        <v>3</v>
      </c>
      <c r="I1045" s="474">
        <v>127735</v>
      </c>
      <c r="J1045" s="475">
        <v>44648</v>
      </c>
      <c r="K1045" s="483" t="s">
        <v>3000</v>
      </c>
      <c r="L1045" s="474" t="s">
        <v>2966</v>
      </c>
      <c r="M1045" s="475">
        <v>44474</v>
      </c>
      <c r="N1045" s="475">
        <v>44563</v>
      </c>
      <c r="O1045" s="475">
        <v>44631</v>
      </c>
      <c r="P1045" s="475">
        <v>44629</v>
      </c>
      <c r="Q1045" s="475">
        <v>44648</v>
      </c>
      <c r="R1045" s="475">
        <v>44650</v>
      </c>
      <c r="S1045" s="474" t="s">
        <v>2904</v>
      </c>
      <c r="T1045" s="474">
        <v>72</v>
      </c>
      <c r="U1045" s="474">
        <v>49303156</v>
      </c>
      <c r="V1045" s="474" t="s">
        <v>1070</v>
      </c>
      <c r="W1045" s="474">
        <v>480</v>
      </c>
      <c r="X1045" s="476">
        <v>638</v>
      </c>
      <c r="Y1045" s="491">
        <f t="shared" si="209"/>
        <v>306240</v>
      </c>
      <c r="Z1045" s="478">
        <v>0.45</v>
      </c>
      <c r="AA1045" s="492">
        <f t="shared" si="210"/>
        <v>137808</v>
      </c>
      <c r="AB1045" s="492"/>
      <c r="AC1045" s="446">
        <v>0</v>
      </c>
      <c r="AD1045" s="490"/>
      <c r="AE1045" s="482"/>
      <c r="AF1045" s="580">
        <f t="shared" si="211"/>
        <v>137808</v>
      </c>
      <c r="AG1045" s="474" t="s">
        <v>1071</v>
      </c>
      <c r="AH1045" s="474"/>
      <c r="AI1045" s="474">
        <v>60</v>
      </c>
      <c r="AJ1045" s="475" t="s">
        <v>2967</v>
      </c>
      <c r="AK1045" s="483" t="s">
        <v>1158</v>
      </c>
      <c r="AL1045" s="483" t="s">
        <v>2968</v>
      </c>
      <c r="AM1045" s="474" t="s">
        <v>52</v>
      </c>
      <c r="AN1045" s="474" t="s">
        <v>2928</v>
      </c>
      <c r="AO1045" s="474"/>
      <c r="AP1045" s="482"/>
      <c r="AQ1045" s="482" t="s">
        <v>37</v>
      </c>
      <c r="AR1045" s="439"/>
      <c r="AS1045" s="436" t="s">
        <v>1076</v>
      </c>
      <c r="AT1045" s="436" t="s">
        <v>1076</v>
      </c>
      <c r="AU1045" s="478"/>
      <c r="AV1045" s="471">
        <f t="shared" si="212"/>
        <v>49303156</v>
      </c>
      <c r="AW1045" s="471" cm="1">
        <f t="array" ref="AW1045">SUM(MID(0&amp;AV1045,LARGE(INDEX(ISNUMBER(--MID(AV1045,ROW($1:$8),1))*ROW($1:$8),),ROW($1:$8))+1,1)*10^ROW($1:$8)/10)</f>
        <v>49303156</v>
      </c>
      <c r="AX1045" s="471" t="str">
        <f>VLOOKUP($AW1045,'Item Master Data'!$A:$F,3,FALSE)</f>
        <v>Q.PEAK DUO XL G10 BFG</v>
      </c>
      <c r="AY1045" s="471">
        <f>VLOOKUP($AW1045,'Item Master Data'!$A:$F,6,FALSE)</f>
        <v>480</v>
      </c>
      <c r="AZ1045" s="471">
        <f t="shared" si="213"/>
        <v>22</v>
      </c>
      <c r="BA1045" s="471">
        <f>VLOOKUP(AW1045,'Item Master Data'!$A:$G,7,FALSE)</f>
        <v>29</v>
      </c>
      <c r="BB1045" s="471"/>
      <c r="BC1045" s="471">
        <f t="shared" si="214"/>
        <v>0</v>
      </c>
    </row>
    <row r="1046" spans="1:55">
      <c r="A1046" s="472">
        <v>10</v>
      </c>
      <c r="B1046" s="467">
        <v>44629</v>
      </c>
      <c r="C1046" s="467">
        <v>44629</v>
      </c>
      <c r="D1046" s="474" t="s">
        <v>2901</v>
      </c>
      <c r="E1046" s="445"/>
      <c r="F1046" s="474" t="s">
        <v>1147</v>
      </c>
      <c r="G1046" s="474">
        <v>2022</v>
      </c>
      <c r="H1046" s="474">
        <v>3</v>
      </c>
      <c r="I1046" s="474">
        <v>127775</v>
      </c>
      <c r="J1046" s="556">
        <v>44644</v>
      </c>
      <c r="K1046" s="483" t="s">
        <v>3003</v>
      </c>
      <c r="L1046" s="474" t="s">
        <v>2966</v>
      </c>
      <c r="M1046" s="475">
        <v>44512</v>
      </c>
      <c r="N1046" s="475">
        <v>44652</v>
      </c>
      <c r="O1046" s="475"/>
      <c r="P1046" s="475">
        <v>44631</v>
      </c>
      <c r="Q1046" s="475">
        <v>44644</v>
      </c>
      <c r="R1046" s="475">
        <v>44651</v>
      </c>
      <c r="S1046" s="474" t="s">
        <v>2904</v>
      </c>
      <c r="T1046" s="474">
        <v>60</v>
      </c>
      <c r="U1046" s="474">
        <v>49405140</v>
      </c>
      <c r="V1046" s="474" t="s">
        <v>973</v>
      </c>
      <c r="W1046" s="474">
        <v>400</v>
      </c>
      <c r="X1046" s="476">
        <v>832</v>
      </c>
      <c r="Y1046" s="477">
        <f t="shared" si="209"/>
        <v>332800</v>
      </c>
      <c r="Z1046" s="478">
        <v>0.55000000000000004</v>
      </c>
      <c r="AA1046" s="479">
        <f t="shared" si="210"/>
        <v>183040.00000000003</v>
      </c>
      <c r="AB1046" s="479"/>
      <c r="AC1046" s="446">
        <v>0</v>
      </c>
      <c r="AD1046" s="490"/>
      <c r="AE1046" s="482"/>
      <c r="AF1046" s="580">
        <f t="shared" si="211"/>
        <v>183040.00000000003</v>
      </c>
      <c r="AG1046" s="474" t="s">
        <v>1071</v>
      </c>
      <c r="AH1046" s="474"/>
      <c r="AI1046" s="474">
        <v>60</v>
      </c>
      <c r="AJ1046" s="475" t="s">
        <v>2967</v>
      </c>
      <c r="AK1046" s="483" t="s">
        <v>1158</v>
      </c>
      <c r="AL1046" s="483" t="s">
        <v>2968</v>
      </c>
      <c r="AM1046" s="474" t="s">
        <v>52</v>
      </c>
      <c r="AN1046" s="474" t="s">
        <v>2928</v>
      </c>
      <c r="AO1046" s="474"/>
      <c r="AP1046" s="482"/>
      <c r="AQ1046" s="482" t="s">
        <v>37</v>
      </c>
      <c r="AR1046" s="439" t="s">
        <v>1248</v>
      </c>
      <c r="AS1046" s="436" t="s">
        <v>1076</v>
      </c>
      <c r="AT1046" s="436" t="s">
        <v>1076</v>
      </c>
      <c r="AU1046" s="478">
        <v>0.47499999999999998</v>
      </c>
      <c r="AV1046" s="471">
        <f t="shared" si="212"/>
        <v>49405140</v>
      </c>
      <c r="AW1046" s="471" cm="1">
        <f t="array" ref="AW1046">SUM(MID(0&amp;AV1046,LARGE(INDEX(ISNUMBER(--MID(AV1046,ROW($1:$8),1))*ROW($1:$8),),ROW($1:$8))+1,1)*10^ROW($1:$8)/10)</f>
        <v>49405140</v>
      </c>
      <c r="AX1046" s="471" t="str">
        <f>VLOOKUP($AW1046,'Item Master Data'!$A:$F,3,FALSE)</f>
        <v>Q.PEAK DUO BLK ML G10+</v>
      </c>
      <c r="AY1046" s="471">
        <f>VLOOKUP($AW1046,'Item Master Data'!$A:$F,6,FALSE)</f>
        <v>400</v>
      </c>
      <c r="AZ1046" s="471">
        <f t="shared" si="213"/>
        <v>26</v>
      </c>
      <c r="BA1046" s="471">
        <f>VLOOKUP(AW1046,'Item Master Data'!$A:$G,7,FALSE)</f>
        <v>32</v>
      </c>
      <c r="BB1046" s="471"/>
      <c r="BC1046" s="471">
        <f t="shared" si="214"/>
        <v>0</v>
      </c>
    </row>
    <row r="1047" spans="1:55">
      <c r="A1047" s="472">
        <v>10</v>
      </c>
      <c r="B1047" s="467">
        <v>44629</v>
      </c>
      <c r="C1047" s="467">
        <v>44629</v>
      </c>
      <c r="D1047" s="474" t="s">
        <v>2901</v>
      </c>
      <c r="E1047" s="445"/>
      <c r="F1047" s="474" t="s">
        <v>1147</v>
      </c>
      <c r="G1047" s="474">
        <v>2022</v>
      </c>
      <c r="H1047" s="474">
        <v>3</v>
      </c>
      <c r="I1047" s="474">
        <v>127666</v>
      </c>
      <c r="J1047" s="487">
        <v>44651</v>
      </c>
      <c r="K1047" s="483" t="s">
        <v>3003</v>
      </c>
      <c r="L1047" s="474" t="s">
        <v>2966</v>
      </c>
      <c r="M1047" s="475">
        <v>44512</v>
      </c>
      <c r="N1047" s="475">
        <v>44652</v>
      </c>
      <c r="O1047" s="475"/>
      <c r="P1047" s="475">
        <v>44631</v>
      </c>
      <c r="Q1047" s="475">
        <v>44651</v>
      </c>
      <c r="R1047" s="475">
        <v>44652</v>
      </c>
      <c r="S1047" s="474" t="s">
        <v>2904</v>
      </c>
      <c r="T1047" s="474">
        <v>60</v>
      </c>
      <c r="U1047" s="474">
        <v>49405140</v>
      </c>
      <c r="V1047" s="474" t="s">
        <v>973</v>
      </c>
      <c r="W1047" s="474">
        <v>400</v>
      </c>
      <c r="X1047" s="476">
        <v>832</v>
      </c>
      <c r="Y1047" s="477">
        <f t="shared" si="209"/>
        <v>332800</v>
      </c>
      <c r="Z1047" s="478">
        <v>0.55000000000000004</v>
      </c>
      <c r="AA1047" s="479">
        <f t="shared" si="210"/>
        <v>183040.00000000003</v>
      </c>
      <c r="AB1047" s="479"/>
      <c r="AC1047" s="446">
        <v>0</v>
      </c>
      <c r="AD1047" s="490"/>
      <c r="AE1047" s="482"/>
      <c r="AF1047" s="580">
        <f t="shared" si="211"/>
        <v>183040.00000000003</v>
      </c>
      <c r="AG1047" s="474" t="s">
        <v>1071</v>
      </c>
      <c r="AH1047" s="474"/>
      <c r="AI1047" s="474">
        <v>60</v>
      </c>
      <c r="AJ1047" s="475" t="s">
        <v>2967</v>
      </c>
      <c r="AK1047" s="483" t="s">
        <v>1158</v>
      </c>
      <c r="AL1047" s="483" t="s">
        <v>2968</v>
      </c>
      <c r="AM1047" s="474" t="s">
        <v>52</v>
      </c>
      <c r="AN1047" s="474" t="s">
        <v>1074</v>
      </c>
      <c r="AO1047" s="474"/>
      <c r="AP1047" s="482"/>
      <c r="AQ1047" s="482" t="s">
        <v>37</v>
      </c>
      <c r="AR1047" s="439" t="s">
        <v>1248</v>
      </c>
      <c r="AS1047" s="436" t="s">
        <v>1076</v>
      </c>
      <c r="AT1047" s="436" t="s">
        <v>1076</v>
      </c>
      <c r="AU1047" s="478">
        <v>0.47499999999999998</v>
      </c>
      <c r="AV1047" s="471">
        <f t="shared" si="212"/>
        <v>49405140</v>
      </c>
      <c r="AW1047" s="471" cm="1">
        <f t="array" ref="AW1047">SUM(MID(0&amp;AV1047,LARGE(INDEX(ISNUMBER(--MID(AV1047,ROW($1:$8),1))*ROW($1:$8),),ROW($1:$8))+1,1)*10^ROW($1:$8)/10)</f>
        <v>49405140</v>
      </c>
      <c r="AX1047" s="471" t="str">
        <f>VLOOKUP($AW1047,'Item Master Data'!$A:$F,3,FALSE)</f>
        <v>Q.PEAK DUO BLK ML G10+</v>
      </c>
      <c r="AY1047" s="471">
        <f>VLOOKUP($AW1047,'Item Master Data'!$A:$F,6,FALSE)</f>
        <v>400</v>
      </c>
      <c r="AZ1047" s="471">
        <f t="shared" si="213"/>
        <v>26</v>
      </c>
      <c r="BA1047" s="471">
        <f>VLOOKUP(AW1047,'Item Master Data'!$A:$G,7,FALSE)</f>
        <v>32</v>
      </c>
      <c r="BB1047" s="471"/>
      <c r="BC1047" s="471">
        <f t="shared" si="214"/>
        <v>0</v>
      </c>
    </row>
    <row r="1048" spans="1:55">
      <c r="A1048" s="472">
        <v>10</v>
      </c>
      <c r="B1048" s="467">
        <v>44629</v>
      </c>
      <c r="C1048" s="467">
        <v>44629</v>
      </c>
      <c r="D1048" s="474" t="s">
        <v>2901</v>
      </c>
      <c r="E1048" s="445"/>
      <c r="F1048" s="474" t="s">
        <v>1147</v>
      </c>
      <c r="G1048" s="474">
        <v>2022</v>
      </c>
      <c r="H1048" s="474">
        <v>3</v>
      </c>
      <c r="I1048" s="474">
        <v>127552</v>
      </c>
      <c r="J1048" s="475">
        <v>44644</v>
      </c>
      <c r="K1048" s="483" t="s">
        <v>3019</v>
      </c>
      <c r="L1048" s="474" t="s">
        <v>2567</v>
      </c>
      <c r="M1048" s="475">
        <v>44483</v>
      </c>
      <c r="N1048" s="475">
        <v>44593</v>
      </c>
      <c r="O1048" s="475"/>
      <c r="P1048" s="475">
        <v>44642</v>
      </c>
      <c r="Q1048" s="475">
        <v>44644</v>
      </c>
      <c r="R1048" s="475">
        <v>44645</v>
      </c>
      <c r="S1048" s="474" t="s">
        <v>2904</v>
      </c>
      <c r="T1048" s="474">
        <v>60</v>
      </c>
      <c r="U1048" s="474">
        <v>49201132</v>
      </c>
      <c r="V1048" s="474" t="s">
        <v>986</v>
      </c>
      <c r="W1048" s="474">
        <v>360</v>
      </c>
      <c r="X1048" s="476">
        <v>832</v>
      </c>
      <c r="Y1048" s="491">
        <f t="shared" si="209"/>
        <v>299520</v>
      </c>
      <c r="Z1048" s="478">
        <v>0.53</v>
      </c>
      <c r="AA1048" s="492">
        <f t="shared" si="210"/>
        <v>158745.60000000001</v>
      </c>
      <c r="AB1048" s="492"/>
      <c r="AC1048" s="446">
        <v>0</v>
      </c>
      <c r="AD1048" s="490"/>
      <c r="AE1048" s="482"/>
      <c r="AF1048" s="580">
        <f t="shared" si="211"/>
        <v>158745.60000000001</v>
      </c>
      <c r="AG1048" s="474" t="s">
        <v>1071</v>
      </c>
      <c r="AH1048" s="474"/>
      <c r="AI1048" s="474">
        <v>60</v>
      </c>
      <c r="AJ1048" s="475" t="s">
        <v>2568</v>
      </c>
      <c r="AK1048" s="483" t="s">
        <v>1084</v>
      </c>
      <c r="AL1048" s="483" t="s">
        <v>2968</v>
      </c>
      <c r="AM1048" s="474" t="s">
        <v>52</v>
      </c>
      <c r="AN1048" s="474" t="s">
        <v>2928</v>
      </c>
      <c r="AO1048" s="474"/>
      <c r="AP1048" s="482"/>
      <c r="AQ1048" s="482" t="s">
        <v>37</v>
      </c>
      <c r="AR1048" s="439"/>
      <c r="AS1048" s="436"/>
      <c r="AT1048" s="436"/>
      <c r="AU1048" s="478"/>
      <c r="AV1048" s="471">
        <f t="shared" si="212"/>
        <v>49201132</v>
      </c>
      <c r="AW1048" s="471" cm="1">
        <f t="array" ref="AW1048">SUM(MID(0&amp;AV1048,LARGE(INDEX(ISNUMBER(--MID(AV1048,ROW($1:$8),1))*ROW($1:$8),),ROW($1:$8))+1,1)*10^ROW($1:$8)/10)</f>
        <v>49201132</v>
      </c>
      <c r="AX1048" s="471" t="str">
        <f>VLOOKUP($AW1048,'Item Master Data'!$A:$F,3,FALSE)</f>
        <v>Q.PEAK DUO BLK G10+</v>
      </c>
      <c r="AY1048" s="471">
        <f>VLOOKUP($AW1048,'Item Master Data'!$A:$F,6,FALSE)</f>
        <v>360</v>
      </c>
      <c r="AZ1048" s="471">
        <f t="shared" si="213"/>
        <v>26</v>
      </c>
      <c r="BA1048" s="471">
        <f>VLOOKUP(AW1048,'Item Master Data'!$A:$G,7,FALSE)</f>
        <v>32</v>
      </c>
      <c r="BB1048" s="471"/>
      <c r="BC1048" s="471">
        <f t="shared" si="214"/>
        <v>0</v>
      </c>
    </row>
    <row r="1049" spans="1:55">
      <c r="A1049" s="472">
        <v>10</v>
      </c>
      <c r="B1049" s="467">
        <v>44629</v>
      </c>
      <c r="C1049" s="467">
        <v>44629</v>
      </c>
      <c r="D1049" s="474" t="s">
        <v>2901</v>
      </c>
      <c r="E1049" s="445"/>
      <c r="F1049" s="474" t="s">
        <v>1147</v>
      </c>
      <c r="G1049" s="474">
        <v>2022</v>
      </c>
      <c r="H1049" s="474">
        <v>3</v>
      </c>
      <c r="I1049" s="474">
        <v>127768</v>
      </c>
      <c r="J1049" s="475">
        <v>44648</v>
      </c>
      <c r="K1049" s="483" t="s">
        <v>3019</v>
      </c>
      <c r="L1049" s="474" t="s">
        <v>2567</v>
      </c>
      <c r="M1049" s="475">
        <v>44483</v>
      </c>
      <c r="N1049" s="475">
        <v>44593</v>
      </c>
      <c r="O1049" s="475">
        <v>44648</v>
      </c>
      <c r="P1049" s="475">
        <v>44642</v>
      </c>
      <c r="Q1049" s="475">
        <v>44648</v>
      </c>
      <c r="R1049" s="475">
        <v>44649</v>
      </c>
      <c r="S1049" s="474" t="s">
        <v>2904</v>
      </c>
      <c r="T1049" s="474">
        <v>60</v>
      </c>
      <c r="U1049" s="474">
        <v>49201132</v>
      </c>
      <c r="V1049" s="474" t="s">
        <v>986</v>
      </c>
      <c r="W1049" s="474">
        <v>360</v>
      </c>
      <c r="X1049" s="476">
        <v>2432</v>
      </c>
      <c r="Y1049" s="491">
        <f t="shared" si="209"/>
        <v>875520</v>
      </c>
      <c r="Z1049" s="478">
        <v>0.53</v>
      </c>
      <c r="AA1049" s="492">
        <f t="shared" si="210"/>
        <v>464025.60000000003</v>
      </c>
      <c r="AB1049" s="492"/>
      <c r="AC1049" s="446">
        <v>0</v>
      </c>
      <c r="AD1049" s="490"/>
      <c r="AE1049" s="482"/>
      <c r="AF1049" s="580">
        <f t="shared" si="211"/>
        <v>464025.60000000003</v>
      </c>
      <c r="AG1049" s="474" t="s">
        <v>1071</v>
      </c>
      <c r="AH1049" s="474"/>
      <c r="AI1049" s="474">
        <v>60</v>
      </c>
      <c r="AJ1049" s="475" t="s">
        <v>2506</v>
      </c>
      <c r="AK1049" s="483" t="s">
        <v>1084</v>
      </c>
      <c r="AL1049" s="483" t="s">
        <v>2908</v>
      </c>
      <c r="AM1049" s="474" t="s">
        <v>52</v>
      </c>
      <c r="AN1049" s="474" t="s">
        <v>2928</v>
      </c>
      <c r="AO1049" s="474"/>
      <c r="AP1049" s="482"/>
      <c r="AQ1049" s="482" t="s">
        <v>37</v>
      </c>
      <c r="AR1049" s="439"/>
      <c r="AS1049" s="436"/>
      <c r="AT1049" s="436"/>
      <c r="AU1049" s="478"/>
      <c r="AV1049" s="471">
        <f t="shared" si="212"/>
        <v>49201132</v>
      </c>
      <c r="AW1049" s="471" cm="1">
        <f t="array" ref="AW1049">SUM(MID(0&amp;AV1049,LARGE(INDEX(ISNUMBER(--MID(AV1049,ROW($1:$8),1))*ROW($1:$8),),ROW($1:$8))+1,1)*10^ROW($1:$8)/10)</f>
        <v>49201132</v>
      </c>
      <c r="AX1049" s="471" t="str">
        <f>VLOOKUP($AW1049,'Item Master Data'!$A:$F,3,FALSE)</f>
        <v>Q.PEAK DUO BLK G10+</v>
      </c>
      <c r="AY1049" s="471">
        <f>VLOOKUP($AW1049,'Item Master Data'!$A:$F,6,FALSE)</f>
        <v>360</v>
      </c>
      <c r="AZ1049" s="471">
        <f t="shared" si="213"/>
        <v>76</v>
      </c>
      <c r="BA1049" s="471">
        <f>VLOOKUP(AW1049,'Item Master Data'!$A:$G,7,FALSE)</f>
        <v>32</v>
      </c>
      <c r="BB1049" s="471"/>
      <c r="BC1049" s="471">
        <f t="shared" si="214"/>
        <v>0</v>
      </c>
    </row>
    <row r="1050" spans="1:55">
      <c r="A1050" s="472">
        <v>10</v>
      </c>
      <c r="B1050" s="467">
        <v>44629</v>
      </c>
      <c r="C1050" s="467">
        <v>44629</v>
      </c>
      <c r="D1050" s="474" t="s">
        <v>2901</v>
      </c>
      <c r="E1050" s="445"/>
      <c r="F1050" s="474" t="s">
        <v>1147</v>
      </c>
      <c r="G1050" s="474">
        <v>2022</v>
      </c>
      <c r="H1050" s="474">
        <v>3</v>
      </c>
      <c r="I1050" s="474">
        <v>127777</v>
      </c>
      <c r="J1050" s="556">
        <v>44648</v>
      </c>
      <c r="K1050" s="483" t="s">
        <v>3019</v>
      </c>
      <c r="L1050" s="474" t="s">
        <v>2567</v>
      </c>
      <c r="M1050" s="475">
        <v>44483</v>
      </c>
      <c r="N1050" s="475">
        <v>44593</v>
      </c>
      <c r="O1050" s="475"/>
      <c r="P1050" s="475">
        <v>44642</v>
      </c>
      <c r="Q1050" s="475">
        <v>44648</v>
      </c>
      <c r="R1050" s="475">
        <v>44649</v>
      </c>
      <c r="S1050" s="474" t="s">
        <v>2904</v>
      </c>
      <c r="T1050" s="474">
        <v>60</v>
      </c>
      <c r="U1050" s="474">
        <v>49201132</v>
      </c>
      <c r="V1050" s="474" t="s">
        <v>986</v>
      </c>
      <c r="W1050" s="474">
        <v>360</v>
      </c>
      <c r="X1050" s="476">
        <v>896</v>
      </c>
      <c r="Y1050" s="491">
        <f t="shared" si="209"/>
        <v>322560</v>
      </c>
      <c r="Z1050" s="478">
        <v>0.53</v>
      </c>
      <c r="AA1050" s="492">
        <f t="shared" si="210"/>
        <v>170956.80000000002</v>
      </c>
      <c r="AB1050" s="492"/>
      <c r="AC1050" s="446">
        <v>0</v>
      </c>
      <c r="AD1050" s="490"/>
      <c r="AE1050" s="482"/>
      <c r="AF1050" s="580">
        <f t="shared" si="211"/>
        <v>170956.80000000002</v>
      </c>
      <c r="AG1050" s="474" t="s">
        <v>1071</v>
      </c>
      <c r="AH1050" s="474"/>
      <c r="AI1050" s="474">
        <v>60</v>
      </c>
      <c r="AJ1050" s="475" t="s">
        <v>2506</v>
      </c>
      <c r="AK1050" s="483" t="s">
        <v>1084</v>
      </c>
      <c r="AL1050" s="483" t="s">
        <v>2908</v>
      </c>
      <c r="AM1050" s="474" t="s">
        <v>52</v>
      </c>
      <c r="AN1050" s="474" t="s">
        <v>2928</v>
      </c>
      <c r="AO1050" s="474"/>
      <c r="AP1050" s="482"/>
      <c r="AQ1050" s="482" t="s">
        <v>37</v>
      </c>
      <c r="AR1050" s="439"/>
      <c r="AS1050" s="436"/>
      <c r="AT1050" s="436"/>
      <c r="AU1050" s="478"/>
      <c r="AV1050" s="471">
        <f t="shared" si="212"/>
        <v>49201132</v>
      </c>
      <c r="AW1050" s="471" cm="1">
        <f t="array" ref="AW1050">SUM(MID(0&amp;AV1050,LARGE(INDEX(ISNUMBER(--MID(AV1050,ROW($1:$8),1))*ROW($1:$8),),ROW($1:$8))+1,1)*10^ROW($1:$8)/10)</f>
        <v>49201132</v>
      </c>
      <c r="AX1050" s="471" t="str">
        <f>VLOOKUP($AW1050,'Item Master Data'!$A:$F,3,FALSE)</f>
        <v>Q.PEAK DUO BLK G10+</v>
      </c>
      <c r="AY1050" s="471">
        <f>VLOOKUP($AW1050,'Item Master Data'!$A:$F,6,FALSE)</f>
        <v>360</v>
      </c>
      <c r="AZ1050" s="471">
        <f t="shared" si="213"/>
        <v>28</v>
      </c>
      <c r="BA1050" s="471">
        <f>VLOOKUP(AW1050,'Item Master Data'!$A:$G,7,FALSE)</f>
        <v>32</v>
      </c>
      <c r="BB1050" s="471"/>
      <c r="BC1050" s="471">
        <f t="shared" si="214"/>
        <v>0</v>
      </c>
    </row>
    <row r="1051" spans="1:55">
      <c r="A1051" s="472">
        <v>10</v>
      </c>
      <c r="B1051" s="467">
        <v>44629</v>
      </c>
      <c r="C1051" s="467">
        <v>44629</v>
      </c>
      <c r="D1051" s="474" t="s">
        <v>2901</v>
      </c>
      <c r="E1051" s="445" t="s">
        <v>3020</v>
      </c>
      <c r="F1051" s="474" t="s">
        <v>1147</v>
      </c>
      <c r="G1051" s="474">
        <v>2022</v>
      </c>
      <c r="H1051" s="474">
        <v>3</v>
      </c>
      <c r="I1051" s="524">
        <v>127854</v>
      </c>
      <c r="J1051" s="578">
        <v>44648</v>
      </c>
      <c r="K1051" s="523" t="s">
        <v>3019</v>
      </c>
      <c r="L1051" s="524" t="s">
        <v>2567</v>
      </c>
      <c r="M1051" s="475">
        <v>44483</v>
      </c>
      <c r="N1051" s="475">
        <v>44593</v>
      </c>
      <c r="O1051" s="475"/>
      <c r="P1051" s="475">
        <v>44642</v>
      </c>
      <c r="Q1051" s="475">
        <v>44648</v>
      </c>
      <c r="R1051" s="475">
        <v>44649</v>
      </c>
      <c r="S1051" s="474" t="s">
        <v>2904</v>
      </c>
      <c r="T1051" s="474">
        <v>60</v>
      </c>
      <c r="U1051" s="474">
        <v>49201132</v>
      </c>
      <c r="V1051" s="474" t="s">
        <v>986</v>
      </c>
      <c r="W1051" s="474">
        <v>360</v>
      </c>
      <c r="X1051" s="476">
        <v>1248</v>
      </c>
      <c r="Y1051" s="491">
        <f t="shared" si="209"/>
        <v>449280</v>
      </c>
      <c r="Z1051" s="478">
        <v>0.53</v>
      </c>
      <c r="AA1051" s="492">
        <f t="shared" si="210"/>
        <v>238118.40000000002</v>
      </c>
      <c r="AB1051" s="492"/>
      <c r="AC1051" s="446">
        <v>0</v>
      </c>
      <c r="AD1051" s="490"/>
      <c r="AE1051" s="482"/>
      <c r="AF1051" s="580">
        <f t="shared" si="211"/>
        <v>238118.40000000002</v>
      </c>
      <c r="AG1051" s="474" t="s">
        <v>1071</v>
      </c>
      <c r="AH1051" s="474"/>
      <c r="AI1051" s="474">
        <v>60</v>
      </c>
      <c r="AJ1051" s="475" t="s">
        <v>2506</v>
      </c>
      <c r="AK1051" s="483" t="s">
        <v>1084</v>
      </c>
      <c r="AL1051" s="483" t="s">
        <v>2908</v>
      </c>
      <c r="AM1051" s="474" t="s">
        <v>52</v>
      </c>
      <c r="AN1051" s="474" t="s">
        <v>2928</v>
      </c>
      <c r="AO1051" s="474"/>
      <c r="AP1051" s="482"/>
      <c r="AQ1051" s="482" t="s">
        <v>37</v>
      </c>
      <c r="AR1051" s="439"/>
      <c r="AS1051" s="436"/>
      <c r="AT1051" s="436"/>
      <c r="AU1051" s="478"/>
      <c r="AV1051" s="471">
        <f t="shared" si="212"/>
        <v>49201132</v>
      </c>
      <c r="AW1051" s="471" cm="1">
        <f t="array" ref="AW1051">SUM(MID(0&amp;AV1051,LARGE(INDEX(ISNUMBER(--MID(AV1051,ROW($1:$8),1))*ROW($1:$8),),ROW($1:$8))+1,1)*10^ROW($1:$8)/10)</f>
        <v>49201132</v>
      </c>
      <c r="AX1051" s="471" t="str">
        <f>VLOOKUP($AW1051,'Item Master Data'!$A:$F,3,FALSE)</f>
        <v>Q.PEAK DUO BLK G10+</v>
      </c>
      <c r="AY1051" s="471">
        <f>VLOOKUP($AW1051,'Item Master Data'!$A:$F,6,FALSE)</f>
        <v>360</v>
      </c>
      <c r="AZ1051" s="471">
        <f t="shared" si="213"/>
        <v>39</v>
      </c>
      <c r="BA1051" s="471">
        <f>VLOOKUP(AW1051,'Item Master Data'!$A:$G,7,FALSE)</f>
        <v>32</v>
      </c>
      <c r="BB1051" s="471"/>
      <c r="BC1051" s="471">
        <f t="shared" si="214"/>
        <v>0</v>
      </c>
    </row>
    <row r="1052" spans="1:55">
      <c r="A1052" s="472"/>
      <c r="B1052" s="467">
        <v>44636</v>
      </c>
      <c r="C1052" s="467">
        <v>44636</v>
      </c>
      <c r="D1052" s="474" t="s">
        <v>2901</v>
      </c>
      <c r="E1052" s="445"/>
      <c r="F1052" s="474" t="s">
        <v>1147</v>
      </c>
      <c r="G1052" s="474">
        <v>2022</v>
      </c>
      <c r="H1052" s="474">
        <v>3</v>
      </c>
      <c r="I1052" s="474">
        <v>127310</v>
      </c>
      <c r="J1052" s="475">
        <v>44624</v>
      </c>
      <c r="K1052" s="483" t="s">
        <v>3019</v>
      </c>
      <c r="L1052" s="474" t="s">
        <v>2567</v>
      </c>
      <c r="M1052" s="475">
        <v>44483</v>
      </c>
      <c r="N1052" s="475">
        <v>44593</v>
      </c>
      <c r="O1052" s="475" t="s">
        <v>1280</v>
      </c>
      <c r="P1052" s="475">
        <v>44596</v>
      </c>
      <c r="Q1052" s="475">
        <v>44624</v>
      </c>
      <c r="R1052" s="475">
        <v>44627</v>
      </c>
      <c r="S1052" s="474" t="s">
        <v>2904</v>
      </c>
      <c r="T1052" s="474">
        <v>60</v>
      </c>
      <c r="U1052" s="474">
        <v>49403140</v>
      </c>
      <c r="V1052" s="474" t="s">
        <v>973</v>
      </c>
      <c r="W1052" s="474">
        <v>400</v>
      </c>
      <c r="X1052" s="476">
        <v>1664</v>
      </c>
      <c r="Y1052" s="491">
        <f t="shared" si="209"/>
        <v>665600</v>
      </c>
      <c r="Z1052" s="478">
        <v>0.52</v>
      </c>
      <c r="AA1052" s="492">
        <f t="shared" si="210"/>
        <v>346112</v>
      </c>
      <c r="AB1052" s="492"/>
      <c r="AC1052" s="446">
        <v>0</v>
      </c>
      <c r="AD1052" s="490"/>
      <c r="AE1052" s="482"/>
      <c r="AF1052" s="580">
        <f t="shared" si="211"/>
        <v>346112</v>
      </c>
      <c r="AG1052" s="474" t="s">
        <v>1071</v>
      </c>
      <c r="AH1052" s="474"/>
      <c r="AI1052" s="474">
        <v>60</v>
      </c>
      <c r="AJ1052" s="475" t="s">
        <v>2568</v>
      </c>
      <c r="AK1052" s="483" t="s">
        <v>1084</v>
      </c>
      <c r="AL1052" s="483" t="s">
        <v>2968</v>
      </c>
      <c r="AM1052" s="474" t="s">
        <v>52</v>
      </c>
      <c r="AN1052" s="474" t="s">
        <v>1074</v>
      </c>
      <c r="AO1052" s="474"/>
      <c r="AP1052" s="482"/>
      <c r="AQ1052" s="482" t="s">
        <v>37</v>
      </c>
      <c r="AR1052" s="439"/>
      <c r="AS1052" s="436"/>
      <c r="AT1052" s="436"/>
      <c r="AU1052" s="478"/>
      <c r="AV1052" s="471">
        <f t="shared" si="212"/>
        <v>49403140</v>
      </c>
      <c r="AW1052" s="471" cm="1">
        <f t="array" ref="AW1052">SUM(MID(0&amp;AV1052,LARGE(INDEX(ISNUMBER(--MID(AV1052,ROW($1:$8),1))*ROW($1:$8),),ROW($1:$8))+1,1)*10^ROW($1:$8)/10)</f>
        <v>49403140</v>
      </c>
      <c r="AX1052" s="471" t="str">
        <f>VLOOKUP($AW1052,'Item Master Data'!$A:$F,3,FALSE)</f>
        <v>Q.PEAK DUO BLK ML G10+</v>
      </c>
      <c r="AY1052" s="471">
        <f>VLOOKUP($AW1052,'Item Master Data'!$A:$F,6,FALSE)</f>
        <v>400</v>
      </c>
      <c r="AZ1052" s="471">
        <f t="shared" si="213"/>
        <v>52</v>
      </c>
      <c r="BA1052" s="471">
        <f>VLOOKUP(AW1052,'Item Master Data'!$A:$G,7,FALSE)</f>
        <v>32</v>
      </c>
      <c r="BB1052" s="471"/>
      <c r="BC1052" s="471">
        <f t="shared" si="214"/>
        <v>0</v>
      </c>
    </row>
    <row r="1053" spans="1:55">
      <c r="A1053" s="472">
        <v>10</v>
      </c>
      <c r="B1053" s="467">
        <v>44630</v>
      </c>
      <c r="C1053" s="467">
        <v>44630</v>
      </c>
      <c r="D1053" s="474" t="s">
        <v>2901</v>
      </c>
      <c r="E1053" s="445"/>
      <c r="F1053" s="474" t="s">
        <v>1147</v>
      </c>
      <c r="G1053" s="474">
        <v>2022</v>
      </c>
      <c r="H1053" s="474">
        <v>3</v>
      </c>
      <c r="I1053" s="474">
        <v>127325</v>
      </c>
      <c r="J1053" s="475">
        <v>44634</v>
      </c>
      <c r="K1053" s="483" t="s">
        <v>3021</v>
      </c>
      <c r="L1053" s="474" t="s">
        <v>2567</v>
      </c>
      <c r="M1053" s="475">
        <v>44483</v>
      </c>
      <c r="N1053" s="475">
        <v>44621</v>
      </c>
      <c r="O1053" s="475" t="s">
        <v>1280</v>
      </c>
      <c r="P1053" s="475">
        <v>44631</v>
      </c>
      <c r="Q1053" s="475">
        <v>44634</v>
      </c>
      <c r="R1053" s="475">
        <v>44635</v>
      </c>
      <c r="S1053" s="474" t="s">
        <v>2904</v>
      </c>
      <c r="T1053" s="474">
        <v>60</v>
      </c>
      <c r="U1053" s="474">
        <v>49403140</v>
      </c>
      <c r="V1053" s="474" t="s">
        <v>973</v>
      </c>
      <c r="W1053" s="474">
        <v>400</v>
      </c>
      <c r="X1053" s="476">
        <v>768</v>
      </c>
      <c r="Y1053" s="491">
        <f t="shared" si="209"/>
        <v>307200</v>
      </c>
      <c r="Z1053" s="478">
        <v>0.55000000000000004</v>
      </c>
      <c r="AA1053" s="492">
        <f t="shared" si="210"/>
        <v>168960</v>
      </c>
      <c r="AB1053" s="492"/>
      <c r="AC1053" s="446">
        <v>0</v>
      </c>
      <c r="AD1053" s="490"/>
      <c r="AE1053" s="482"/>
      <c r="AF1053" s="580">
        <f t="shared" si="211"/>
        <v>168960</v>
      </c>
      <c r="AG1053" s="474" t="s">
        <v>1071</v>
      </c>
      <c r="AH1053" s="474"/>
      <c r="AI1053" s="474">
        <v>60</v>
      </c>
      <c r="AJ1053" s="475" t="s">
        <v>2419</v>
      </c>
      <c r="AK1053" s="483" t="s">
        <v>1084</v>
      </c>
      <c r="AL1053" s="483" t="s">
        <v>3022</v>
      </c>
      <c r="AM1053" s="474" t="s">
        <v>52</v>
      </c>
      <c r="AN1053" s="474" t="s">
        <v>1074</v>
      </c>
      <c r="AO1053" s="474"/>
      <c r="AP1053" s="482"/>
      <c r="AQ1053" s="482" t="s">
        <v>37</v>
      </c>
      <c r="AR1053" s="439"/>
      <c r="AS1053" s="436"/>
      <c r="AT1053" s="436"/>
      <c r="AU1053" s="478"/>
      <c r="AV1053" s="471">
        <f t="shared" si="212"/>
        <v>49403140</v>
      </c>
      <c r="AW1053" s="471" cm="1">
        <f t="array" ref="AW1053">SUM(MID(0&amp;AV1053,LARGE(INDEX(ISNUMBER(--MID(AV1053,ROW($1:$8),1))*ROW($1:$8),),ROW($1:$8))+1,1)*10^ROW($1:$8)/10)</f>
        <v>49403140</v>
      </c>
      <c r="AX1053" s="471" t="str">
        <f>VLOOKUP($AW1053,'Item Master Data'!$A:$F,3,FALSE)</f>
        <v>Q.PEAK DUO BLK ML G10+</v>
      </c>
      <c r="AY1053" s="471">
        <f>VLOOKUP($AW1053,'Item Master Data'!$A:$F,6,FALSE)</f>
        <v>400</v>
      </c>
      <c r="AZ1053" s="471">
        <f t="shared" si="213"/>
        <v>24</v>
      </c>
      <c r="BA1053" s="471">
        <f>VLOOKUP(AW1053,'Item Master Data'!$A:$G,7,FALSE)</f>
        <v>32</v>
      </c>
      <c r="BB1053" s="471"/>
      <c r="BC1053" s="471">
        <f t="shared" si="214"/>
        <v>0</v>
      </c>
    </row>
    <row r="1054" spans="1:55">
      <c r="A1054" s="472">
        <v>10</v>
      </c>
      <c r="B1054" s="467">
        <v>44630</v>
      </c>
      <c r="C1054" s="467">
        <v>44630</v>
      </c>
      <c r="D1054" s="474" t="s">
        <v>2901</v>
      </c>
      <c r="E1054" s="445"/>
      <c r="F1054" s="474" t="s">
        <v>1147</v>
      </c>
      <c r="G1054" s="474">
        <v>2022</v>
      </c>
      <c r="H1054" s="474">
        <v>3</v>
      </c>
      <c r="I1054" s="474">
        <v>127309</v>
      </c>
      <c r="J1054" s="475">
        <v>44631</v>
      </c>
      <c r="K1054" s="483" t="s">
        <v>3021</v>
      </c>
      <c r="L1054" s="474" t="s">
        <v>2567</v>
      </c>
      <c r="M1054" s="475">
        <v>44483</v>
      </c>
      <c r="N1054" s="475">
        <v>44621</v>
      </c>
      <c r="O1054" s="475" t="s">
        <v>1280</v>
      </c>
      <c r="P1054" s="475">
        <v>44635</v>
      </c>
      <c r="Q1054" s="475">
        <v>44631</v>
      </c>
      <c r="R1054" s="475">
        <v>44632</v>
      </c>
      <c r="S1054" s="474" t="s">
        <v>2904</v>
      </c>
      <c r="T1054" s="474">
        <v>60</v>
      </c>
      <c r="U1054" s="474">
        <v>49403140</v>
      </c>
      <c r="V1054" s="474" t="s">
        <v>973</v>
      </c>
      <c r="W1054" s="474">
        <v>400</v>
      </c>
      <c r="X1054" s="476">
        <v>768</v>
      </c>
      <c r="Y1054" s="491">
        <f t="shared" si="209"/>
        <v>307200</v>
      </c>
      <c r="Z1054" s="478">
        <v>0.55000000000000004</v>
      </c>
      <c r="AA1054" s="492">
        <f t="shared" si="210"/>
        <v>168960</v>
      </c>
      <c r="AB1054" s="492"/>
      <c r="AC1054" s="446">
        <v>0</v>
      </c>
      <c r="AD1054" s="490"/>
      <c r="AE1054" s="482"/>
      <c r="AF1054" s="580">
        <f t="shared" si="211"/>
        <v>168960</v>
      </c>
      <c r="AG1054" s="474" t="s">
        <v>1071</v>
      </c>
      <c r="AH1054" s="474"/>
      <c r="AI1054" s="474">
        <v>60</v>
      </c>
      <c r="AJ1054" s="475" t="s">
        <v>2568</v>
      </c>
      <c r="AK1054" s="483" t="s">
        <v>1084</v>
      </c>
      <c r="AL1054" s="483" t="s">
        <v>2569</v>
      </c>
      <c r="AM1054" s="474" t="s">
        <v>52</v>
      </c>
      <c r="AN1054" s="474" t="s">
        <v>1074</v>
      </c>
      <c r="AO1054" s="474"/>
      <c r="AP1054" s="482"/>
      <c r="AQ1054" s="482" t="s">
        <v>37</v>
      </c>
      <c r="AR1054" s="439"/>
      <c r="AS1054" s="436"/>
      <c r="AT1054" s="436"/>
      <c r="AU1054" s="478"/>
      <c r="AV1054" s="471">
        <f t="shared" si="212"/>
        <v>49403140</v>
      </c>
      <c r="AW1054" s="471" cm="1">
        <f t="array" ref="AW1054">SUM(MID(0&amp;AV1054,LARGE(INDEX(ISNUMBER(--MID(AV1054,ROW($1:$8),1))*ROW($1:$8),),ROW($1:$8))+1,1)*10^ROW($1:$8)/10)</f>
        <v>49403140</v>
      </c>
      <c r="AX1054" s="471" t="str">
        <f>VLOOKUP($AW1054,'Item Master Data'!$A:$F,3,FALSE)</f>
        <v>Q.PEAK DUO BLK ML G10+</v>
      </c>
      <c r="AY1054" s="471">
        <f>VLOOKUP($AW1054,'Item Master Data'!$A:$F,6,FALSE)</f>
        <v>400</v>
      </c>
      <c r="AZ1054" s="471">
        <f t="shared" si="213"/>
        <v>24</v>
      </c>
      <c r="BA1054" s="471">
        <f>VLOOKUP(AW1054,'Item Master Data'!$A:$G,7,FALSE)</f>
        <v>32</v>
      </c>
      <c r="BB1054" s="471"/>
      <c r="BC1054" s="471">
        <f t="shared" si="214"/>
        <v>0</v>
      </c>
    </row>
    <row r="1055" spans="1:55">
      <c r="A1055" s="472">
        <v>10</v>
      </c>
      <c r="B1055" s="467">
        <v>44630</v>
      </c>
      <c r="C1055" s="467">
        <v>44630</v>
      </c>
      <c r="D1055" s="474" t="s">
        <v>2901</v>
      </c>
      <c r="E1055" s="445"/>
      <c r="F1055" s="474" t="s">
        <v>1147</v>
      </c>
      <c r="G1055" s="474">
        <v>2022</v>
      </c>
      <c r="H1055" s="474">
        <v>3</v>
      </c>
      <c r="I1055" s="474">
        <v>127326</v>
      </c>
      <c r="J1055" s="475">
        <v>44635</v>
      </c>
      <c r="K1055" s="483" t="s">
        <v>3021</v>
      </c>
      <c r="L1055" s="474" t="s">
        <v>2567</v>
      </c>
      <c r="M1055" s="475">
        <v>44483</v>
      </c>
      <c r="N1055" s="475">
        <v>44621</v>
      </c>
      <c r="O1055" s="475" t="s">
        <v>1280</v>
      </c>
      <c r="P1055" s="475">
        <v>44635</v>
      </c>
      <c r="Q1055" s="475">
        <v>44635</v>
      </c>
      <c r="R1055" s="475">
        <v>44636</v>
      </c>
      <c r="S1055" s="474" t="s">
        <v>2904</v>
      </c>
      <c r="T1055" s="474">
        <v>60</v>
      </c>
      <c r="U1055" s="474">
        <v>49403140</v>
      </c>
      <c r="V1055" s="474" t="s">
        <v>973</v>
      </c>
      <c r="W1055" s="474">
        <v>400</v>
      </c>
      <c r="X1055" s="476">
        <v>1536</v>
      </c>
      <c r="Y1055" s="491">
        <f t="shared" si="209"/>
        <v>614400</v>
      </c>
      <c r="Z1055" s="478">
        <v>0.55000000000000004</v>
      </c>
      <c r="AA1055" s="492">
        <f t="shared" si="210"/>
        <v>337920</v>
      </c>
      <c r="AB1055" s="492"/>
      <c r="AC1055" s="446">
        <v>0</v>
      </c>
      <c r="AD1055" s="490"/>
      <c r="AE1055" s="482"/>
      <c r="AF1055" s="580">
        <f t="shared" si="211"/>
        <v>337920</v>
      </c>
      <c r="AG1055" s="474" t="s">
        <v>1071</v>
      </c>
      <c r="AH1055" s="474"/>
      <c r="AI1055" s="474">
        <v>60</v>
      </c>
      <c r="AJ1055" s="475" t="s">
        <v>2568</v>
      </c>
      <c r="AK1055" s="483" t="s">
        <v>1084</v>
      </c>
      <c r="AL1055" s="483" t="s">
        <v>2569</v>
      </c>
      <c r="AM1055" s="474" t="s">
        <v>52</v>
      </c>
      <c r="AN1055" s="474" t="s">
        <v>1074</v>
      </c>
      <c r="AO1055" s="474"/>
      <c r="AP1055" s="482"/>
      <c r="AQ1055" s="482" t="s">
        <v>37</v>
      </c>
      <c r="AR1055" s="439"/>
      <c r="AS1055" s="436"/>
      <c r="AT1055" s="436"/>
      <c r="AU1055" s="478"/>
      <c r="AV1055" s="471">
        <f t="shared" si="212"/>
        <v>49403140</v>
      </c>
      <c r="AW1055" s="471" cm="1">
        <f t="array" ref="AW1055">SUM(MID(0&amp;AV1055,LARGE(INDEX(ISNUMBER(--MID(AV1055,ROW($1:$8),1))*ROW($1:$8),),ROW($1:$8))+1,1)*10^ROW($1:$8)/10)</f>
        <v>49403140</v>
      </c>
      <c r="AX1055" s="471" t="str">
        <f>VLOOKUP($AW1055,'Item Master Data'!$A:$F,3,FALSE)</f>
        <v>Q.PEAK DUO BLK ML G10+</v>
      </c>
      <c r="AY1055" s="471">
        <f>VLOOKUP($AW1055,'Item Master Data'!$A:$F,6,FALSE)</f>
        <v>400</v>
      </c>
      <c r="AZ1055" s="471">
        <f t="shared" si="213"/>
        <v>48</v>
      </c>
      <c r="BA1055" s="471">
        <f>VLOOKUP(AW1055,'Item Master Data'!$A:$G,7,FALSE)</f>
        <v>32</v>
      </c>
      <c r="BB1055" s="471"/>
      <c r="BC1055" s="471">
        <f t="shared" si="214"/>
        <v>0</v>
      </c>
    </row>
    <row r="1056" spans="1:55">
      <c r="A1056" s="472">
        <v>10</v>
      </c>
      <c r="B1056" s="467">
        <v>44630</v>
      </c>
      <c r="C1056" s="467">
        <v>44630</v>
      </c>
      <c r="D1056" s="474" t="s">
        <v>2901</v>
      </c>
      <c r="E1056" s="445"/>
      <c r="F1056" s="474" t="s">
        <v>1147</v>
      </c>
      <c r="G1056" s="474">
        <v>2022</v>
      </c>
      <c r="H1056" s="474">
        <v>3</v>
      </c>
      <c r="I1056" s="474">
        <v>127442</v>
      </c>
      <c r="J1056" s="475">
        <v>44638</v>
      </c>
      <c r="K1056" s="483" t="s">
        <v>3021</v>
      </c>
      <c r="L1056" s="474" t="s">
        <v>2567</v>
      </c>
      <c r="M1056" s="475">
        <v>44483</v>
      </c>
      <c r="N1056" s="475">
        <v>44621</v>
      </c>
      <c r="O1056" s="475" t="s">
        <v>1280</v>
      </c>
      <c r="P1056" s="475">
        <v>44635</v>
      </c>
      <c r="Q1056" s="475">
        <v>44638</v>
      </c>
      <c r="R1056" s="475">
        <v>44641</v>
      </c>
      <c r="S1056" s="474" t="s">
        <v>2904</v>
      </c>
      <c r="T1056" s="474">
        <v>60</v>
      </c>
      <c r="U1056" s="474">
        <v>49403540</v>
      </c>
      <c r="V1056" s="474" t="s">
        <v>973</v>
      </c>
      <c r="W1056" s="474">
        <v>400</v>
      </c>
      <c r="X1056" s="476">
        <v>5376</v>
      </c>
      <c r="Y1056" s="491">
        <f t="shared" si="209"/>
        <v>2150400</v>
      </c>
      <c r="Z1056" s="478">
        <v>0.55000000000000004</v>
      </c>
      <c r="AA1056" s="492">
        <f t="shared" si="210"/>
        <v>1182720</v>
      </c>
      <c r="AB1056" s="492"/>
      <c r="AC1056" s="446">
        <v>0</v>
      </c>
      <c r="AD1056" s="490"/>
      <c r="AE1056" s="482"/>
      <c r="AF1056" s="580">
        <f t="shared" si="211"/>
        <v>1182720</v>
      </c>
      <c r="AG1056" s="474" t="s">
        <v>1071</v>
      </c>
      <c r="AH1056" s="474"/>
      <c r="AI1056" s="474">
        <v>60</v>
      </c>
      <c r="AJ1056" s="475" t="s">
        <v>2568</v>
      </c>
      <c r="AK1056" s="483" t="s">
        <v>1084</v>
      </c>
      <c r="AL1056" s="483" t="s">
        <v>2569</v>
      </c>
      <c r="AM1056" s="474" t="s">
        <v>52</v>
      </c>
      <c r="AN1056" s="474" t="s">
        <v>1074</v>
      </c>
      <c r="AO1056" s="474"/>
      <c r="AP1056" s="482"/>
      <c r="AQ1056" s="482" t="s">
        <v>37</v>
      </c>
      <c r="AR1056" s="439"/>
      <c r="AS1056" s="436"/>
      <c r="AT1056" s="436"/>
      <c r="AU1056" s="478"/>
      <c r="AV1056" s="471">
        <f t="shared" si="212"/>
        <v>49403540</v>
      </c>
      <c r="AW1056" s="471" cm="1">
        <f t="array" ref="AW1056">SUM(MID(0&amp;AV1056,LARGE(INDEX(ISNUMBER(--MID(AV1056,ROW($1:$8),1))*ROW($1:$8),),ROW($1:$8))+1,1)*10^ROW($1:$8)/10)</f>
        <v>49403540</v>
      </c>
      <c r="AX1056" s="471" t="str">
        <f>VLOOKUP($AW1056,'Item Master Data'!$A:$F,3,FALSE)</f>
        <v>Q.PEAK DUO BLK ML G10+</v>
      </c>
      <c r="AY1056" s="471">
        <f>VLOOKUP($AW1056,'Item Master Data'!$A:$F,6,FALSE)</f>
        <v>400</v>
      </c>
      <c r="AZ1056" s="471">
        <f t="shared" si="213"/>
        <v>168</v>
      </c>
      <c r="BA1056" s="471">
        <f>VLOOKUP(AW1056,'Item Master Data'!$A:$G,7,FALSE)</f>
        <v>32</v>
      </c>
      <c r="BB1056" s="471"/>
      <c r="BC1056" s="471">
        <f t="shared" si="214"/>
        <v>0</v>
      </c>
    </row>
    <row r="1057" spans="1:55">
      <c r="A1057" s="472">
        <v>10</v>
      </c>
      <c r="B1057" s="467">
        <v>44630</v>
      </c>
      <c r="C1057" s="467">
        <v>44630</v>
      </c>
      <c r="D1057" s="474" t="s">
        <v>2901</v>
      </c>
      <c r="E1057" s="445"/>
      <c r="F1057" s="474" t="s">
        <v>1147</v>
      </c>
      <c r="G1057" s="474">
        <v>2022</v>
      </c>
      <c r="H1057" s="474">
        <v>3</v>
      </c>
      <c r="I1057" s="474">
        <v>127550</v>
      </c>
      <c r="J1057" s="475">
        <v>44642</v>
      </c>
      <c r="K1057" s="483" t="s">
        <v>3021</v>
      </c>
      <c r="L1057" s="474" t="s">
        <v>2567</v>
      </c>
      <c r="M1057" s="475">
        <v>44483</v>
      </c>
      <c r="N1057" s="475">
        <v>44621</v>
      </c>
      <c r="O1057" s="475" t="s">
        <v>1280</v>
      </c>
      <c r="P1057" s="475">
        <v>44635</v>
      </c>
      <c r="Q1057" s="475">
        <v>44642</v>
      </c>
      <c r="R1057" s="475">
        <v>44643</v>
      </c>
      <c r="S1057" s="474" t="s">
        <v>2904</v>
      </c>
      <c r="T1057" s="474">
        <v>60</v>
      </c>
      <c r="U1057" s="474">
        <v>49405140</v>
      </c>
      <c r="V1057" s="474" t="s">
        <v>973</v>
      </c>
      <c r="W1057" s="474">
        <v>400</v>
      </c>
      <c r="X1057" s="476">
        <v>2368</v>
      </c>
      <c r="Y1057" s="491">
        <f t="shared" si="209"/>
        <v>947200</v>
      </c>
      <c r="Z1057" s="478">
        <v>0.55000000000000004</v>
      </c>
      <c r="AA1057" s="492">
        <f t="shared" si="210"/>
        <v>520960.00000000006</v>
      </c>
      <c r="AB1057" s="492"/>
      <c r="AC1057" s="446">
        <v>0</v>
      </c>
      <c r="AD1057" s="490"/>
      <c r="AE1057" s="482"/>
      <c r="AF1057" s="580">
        <f t="shared" si="211"/>
        <v>520960.00000000006</v>
      </c>
      <c r="AG1057" s="474" t="s">
        <v>1071</v>
      </c>
      <c r="AH1057" s="474"/>
      <c r="AI1057" s="474">
        <v>60</v>
      </c>
      <c r="AJ1057" s="475" t="s">
        <v>2568</v>
      </c>
      <c r="AK1057" s="483" t="s">
        <v>1084</v>
      </c>
      <c r="AL1057" s="483" t="s">
        <v>2569</v>
      </c>
      <c r="AM1057" s="474" t="s">
        <v>52</v>
      </c>
      <c r="AN1057" s="474" t="s">
        <v>1074</v>
      </c>
      <c r="AO1057" s="474"/>
      <c r="AP1057" s="482"/>
      <c r="AQ1057" s="482" t="s">
        <v>37</v>
      </c>
      <c r="AR1057" s="439"/>
      <c r="AS1057" s="436"/>
      <c r="AT1057" s="436"/>
      <c r="AU1057" s="478"/>
      <c r="AV1057" s="471">
        <f t="shared" si="212"/>
        <v>49405140</v>
      </c>
      <c r="AW1057" s="471" cm="1">
        <f t="array" ref="AW1057">SUM(MID(0&amp;AV1057,LARGE(INDEX(ISNUMBER(--MID(AV1057,ROW($1:$8),1))*ROW($1:$8),),ROW($1:$8))+1,1)*10^ROW($1:$8)/10)</f>
        <v>49405140</v>
      </c>
      <c r="AX1057" s="471" t="str">
        <f>VLOOKUP($AW1057,'Item Master Data'!$A:$F,3,FALSE)</f>
        <v>Q.PEAK DUO BLK ML G10+</v>
      </c>
      <c r="AY1057" s="471">
        <f>VLOOKUP($AW1057,'Item Master Data'!$A:$F,6,FALSE)</f>
        <v>400</v>
      </c>
      <c r="AZ1057" s="471">
        <f t="shared" si="213"/>
        <v>74</v>
      </c>
      <c r="BA1057" s="471">
        <f>VLOOKUP(AW1057,'Item Master Data'!$A:$G,7,FALSE)</f>
        <v>32</v>
      </c>
      <c r="BB1057" s="471"/>
      <c r="BC1057" s="471">
        <f t="shared" si="214"/>
        <v>0</v>
      </c>
    </row>
    <row r="1058" spans="1:55">
      <c r="A1058" s="472">
        <v>10</v>
      </c>
      <c r="B1058" s="467">
        <v>44631</v>
      </c>
      <c r="C1058" s="467">
        <v>44634</v>
      </c>
      <c r="D1058" s="474" t="s">
        <v>2901</v>
      </c>
      <c r="E1058" s="445"/>
      <c r="F1058" s="474" t="s">
        <v>1147</v>
      </c>
      <c r="G1058" s="474">
        <v>2022</v>
      </c>
      <c r="H1058" s="474">
        <v>3</v>
      </c>
      <c r="I1058" s="474">
        <v>127551</v>
      </c>
      <c r="J1058" s="475">
        <v>44645</v>
      </c>
      <c r="K1058" s="474" t="s">
        <v>3025</v>
      </c>
      <c r="L1058" s="474" t="s">
        <v>2567</v>
      </c>
      <c r="M1058" s="475">
        <v>44566</v>
      </c>
      <c r="N1058" s="475">
        <v>44656</v>
      </c>
      <c r="O1058" s="475"/>
      <c r="P1058" s="475">
        <v>44631</v>
      </c>
      <c r="Q1058" s="475">
        <v>44645</v>
      </c>
      <c r="R1058" s="475">
        <v>44648</v>
      </c>
      <c r="S1058" s="474" t="s">
        <v>2904</v>
      </c>
      <c r="T1058" s="474">
        <v>60</v>
      </c>
      <c r="U1058" s="474">
        <v>49204132</v>
      </c>
      <c r="V1058" s="474" t="s">
        <v>1223</v>
      </c>
      <c r="W1058" s="474">
        <v>360</v>
      </c>
      <c r="X1058" s="476">
        <v>728</v>
      </c>
      <c r="Y1058" s="491">
        <f>W1058*X1058</f>
        <v>262080</v>
      </c>
      <c r="Z1058" s="478">
        <v>0.77</v>
      </c>
      <c r="AA1058" s="492">
        <f t="shared" si="210"/>
        <v>201801.60000000001</v>
      </c>
      <c r="AB1058" s="492"/>
      <c r="AC1058" s="446">
        <v>0</v>
      </c>
      <c r="AD1058" s="490"/>
      <c r="AE1058" s="482"/>
      <c r="AF1058" s="580">
        <f t="shared" si="211"/>
        <v>201801.60000000001</v>
      </c>
      <c r="AG1058" s="474" t="s">
        <v>1071</v>
      </c>
      <c r="AH1058" s="474"/>
      <c r="AI1058" s="474">
        <v>60</v>
      </c>
      <c r="AJ1058" s="484" t="s">
        <v>2568</v>
      </c>
      <c r="AK1058" s="474" t="s">
        <v>1084</v>
      </c>
      <c r="AL1058" s="483" t="s">
        <v>2569</v>
      </c>
      <c r="AM1058" s="474" t="s">
        <v>52</v>
      </c>
      <c r="AN1058" s="474" t="s">
        <v>1074</v>
      </c>
      <c r="AO1058" s="474"/>
      <c r="AP1058" s="482"/>
      <c r="AQ1058" s="482" t="s">
        <v>37</v>
      </c>
      <c r="AR1058" s="482" t="s">
        <v>3026</v>
      </c>
      <c r="AS1058" s="436" t="s">
        <v>1076</v>
      </c>
      <c r="AT1058" s="436" t="s">
        <v>1076</v>
      </c>
      <c r="AU1058" s="478">
        <v>0.73</v>
      </c>
      <c r="AV1058" s="471">
        <f t="shared" si="212"/>
        <v>49204132</v>
      </c>
      <c r="AW1058" s="471" cm="1">
        <f t="array" ref="AW1058">SUM(MID(0&amp;AV1058,LARGE(INDEX(ISNUMBER(--MID(AV1058,ROW($1:$8),1))*ROW($1:$8),),ROW($1:$8))+1,1)*10^ROW($1:$8)/10)</f>
        <v>49204132</v>
      </c>
      <c r="AX1058" s="471" t="str">
        <f>VLOOKUP($AW1058,'Item Master Data'!$A:$F,3,FALSE)</f>
        <v>Q.PEAK DUO BLK G10+/AC</v>
      </c>
      <c r="AY1058" s="471">
        <f>VLOOKUP($AW1058,'Item Master Data'!$A:$F,6,FALSE)</f>
        <v>360</v>
      </c>
      <c r="AZ1058" s="471">
        <f t="shared" si="213"/>
        <v>28</v>
      </c>
      <c r="BA1058" s="471">
        <f>VLOOKUP(AW1058,'Item Master Data'!$A:$G,7,FALSE)</f>
        <v>26</v>
      </c>
      <c r="BB1058" s="471"/>
      <c r="BC1058" s="471">
        <f t="shared" si="214"/>
        <v>0</v>
      </c>
    </row>
    <row r="1059" spans="1:55">
      <c r="A1059" s="472">
        <v>10</v>
      </c>
      <c r="B1059" s="467">
        <v>44631</v>
      </c>
      <c r="C1059" s="467">
        <v>44634</v>
      </c>
      <c r="D1059" s="474" t="s">
        <v>2901</v>
      </c>
      <c r="E1059" s="445"/>
      <c r="F1059" s="474" t="s">
        <v>1147</v>
      </c>
      <c r="G1059" s="474">
        <v>2022</v>
      </c>
      <c r="H1059" s="474">
        <v>3</v>
      </c>
      <c r="I1059" s="474">
        <v>127678</v>
      </c>
      <c r="J1059" s="475">
        <v>44649</v>
      </c>
      <c r="K1059" s="474" t="s">
        <v>3025</v>
      </c>
      <c r="L1059" s="474" t="s">
        <v>2567</v>
      </c>
      <c r="M1059" s="475">
        <v>44566</v>
      </c>
      <c r="N1059" s="475">
        <v>44656</v>
      </c>
      <c r="O1059" s="475"/>
      <c r="P1059" s="475">
        <v>44631</v>
      </c>
      <c r="Q1059" s="475">
        <v>44649</v>
      </c>
      <c r="R1059" s="475">
        <v>44650</v>
      </c>
      <c r="S1059" s="474" t="s">
        <v>2904</v>
      </c>
      <c r="T1059" s="474">
        <v>60</v>
      </c>
      <c r="U1059" s="474">
        <v>49204132</v>
      </c>
      <c r="V1059" s="474" t="s">
        <v>1223</v>
      </c>
      <c r="W1059" s="474">
        <v>360</v>
      </c>
      <c r="X1059" s="476">
        <v>728</v>
      </c>
      <c r="Y1059" s="491">
        <f>W1059*X1059</f>
        <v>262080</v>
      </c>
      <c r="Z1059" s="478">
        <v>0.77</v>
      </c>
      <c r="AA1059" s="492">
        <f t="shared" si="210"/>
        <v>201801.60000000001</v>
      </c>
      <c r="AB1059" s="492"/>
      <c r="AC1059" s="446">
        <v>0</v>
      </c>
      <c r="AD1059" s="490"/>
      <c r="AE1059" s="482"/>
      <c r="AF1059" s="580">
        <f t="shared" si="211"/>
        <v>201801.60000000001</v>
      </c>
      <c r="AG1059" s="474" t="s">
        <v>1071</v>
      </c>
      <c r="AH1059" s="474"/>
      <c r="AI1059" s="474">
        <v>60</v>
      </c>
      <c r="AJ1059" s="484" t="s">
        <v>2506</v>
      </c>
      <c r="AK1059" s="474" t="s">
        <v>1084</v>
      </c>
      <c r="AL1059" s="483" t="s">
        <v>2908</v>
      </c>
      <c r="AM1059" s="474" t="s">
        <v>52</v>
      </c>
      <c r="AN1059" s="474" t="s">
        <v>2928</v>
      </c>
      <c r="AO1059" s="474"/>
      <c r="AP1059" s="482"/>
      <c r="AQ1059" s="482" t="s">
        <v>37</v>
      </c>
      <c r="AR1059" s="482" t="s">
        <v>3026</v>
      </c>
      <c r="AS1059" s="436" t="s">
        <v>1076</v>
      </c>
      <c r="AT1059" s="436" t="s">
        <v>1076</v>
      </c>
      <c r="AU1059" s="478">
        <v>0.73</v>
      </c>
      <c r="AV1059" s="471">
        <f t="shared" si="212"/>
        <v>49204132</v>
      </c>
      <c r="AW1059" s="471" cm="1">
        <f t="array" ref="AW1059">SUM(MID(0&amp;AV1059,LARGE(INDEX(ISNUMBER(--MID(AV1059,ROW($1:$8),1))*ROW($1:$8),),ROW($1:$8))+1,1)*10^ROW($1:$8)/10)</f>
        <v>49204132</v>
      </c>
      <c r="AX1059" s="471" t="str">
        <f>VLOOKUP($AW1059,'Item Master Data'!$A:$F,3,FALSE)</f>
        <v>Q.PEAK DUO BLK G10+/AC</v>
      </c>
      <c r="AY1059" s="471">
        <f>VLOOKUP($AW1059,'Item Master Data'!$A:$F,6,FALSE)</f>
        <v>360</v>
      </c>
      <c r="AZ1059" s="471">
        <f t="shared" si="213"/>
        <v>28</v>
      </c>
      <c r="BA1059" s="471">
        <f>VLOOKUP(AW1059,'Item Master Data'!$A:$G,7,FALSE)</f>
        <v>26</v>
      </c>
      <c r="BB1059" s="471"/>
      <c r="BC1059" s="471">
        <f t="shared" si="214"/>
        <v>0</v>
      </c>
    </row>
    <row r="1060" spans="1:55">
      <c r="A1060" s="472">
        <v>10</v>
      </c>
      <c r="B1060" s="467">
        <v>44637</v>
      </c>
      <c r="C1060" s="467">
        <v>44637</v>
      </c>
      <c r="D1060" s="474" t="s">
        <v>2901</v>
      </c>
      <c r="E1060" s="445" t="s">
        <v>3050</v>
      </c>
      <c r="F1060" s="474" t="s">
        <v>1147</v>
      </c>
      <c r="G1060" s="474">
        <v>2022</v>
      </c>
      <c r="H1060" s="474">
        <v>3</v>
      </c>
      <c r="I1060" s="524">
        <v>127778</v>
      </c>
      <c r="J1060" s="578">
        <v>44644</v>
      </c>
      <c r="K1060" s="523" t="s">
        <v>3051</v>
      </c>
      <c r="L1060" s="524" t="s">
        <v>3052</v>
      </c>
      <c r="M1060" s="475">
        <v>44435</v>
      </c>
      <c r="N1060" s="475">
        <v>44561</v>
      </c>
      <c r="O1060" s="475"/>
      <c r="P1060" s="475">
        <v>44637</v>
      </c>
      <c r="Q1060" s="475">
        <v>44644</v>
      </c>
      <c r="R1060" s="475">
        <v>44644</v>
      </c>
      <c r="S1060" s="474" t="s">
        <v>2904</v>
      </c>
      <c r="T1060" s="474">
        <v>60</v>
      </c>
      <c r="U1060" s="474">
        <v>49403540</v>
      </c>
      <c r="V1060" s="474" t="s">
        <v>973</v>
      </c>
      <c r="W1060" s="474">
        <v>400</v>
      </c>
      <c r="X1060" s="476">
        <v>768</v>
      </c>
      <c r="Y1060" s="491">
        <f t="shared" ref="Y1060:Y1084" si="215">X1060*W1060</f>
        <v>307200</v>
      </c>
      <c r="Z1060" s="478">
        <v>0.46500000000000002</v>
      </c>
      <c r="AA1060" s="492">
        <f t="shared" si="210"/>
        <v>142848</v>
      </c>
      <c r="AB1060" s="492"/>
      <c r="AC1060" s="446">
        <v>0</v>
      </c>
      <c r="AD1060" s="490"/>
      <c r="AE1060" s="482"/>
      <c r="AF1060" s="580">
        <f t="shared" si="211"/>
        <v>142848</v>
      </c>
      <c r="AG1060" s="474" t="s">
        <v>47</v>
      </c>
      <c r="AH1060" s="474"/>
      <c r="AI1060" s="474">
        <v>60</v>
      </c>
      <c r="AJ1060" s="475" t="s">
        <v>3053</v>
      </c>
      <c r="AK1060" s="483" t="s">
        <v>1158</v>
      </c>
      <c r="AL1060" s="483">
        <v>28027</v>
      </c>
      <c r="AM1060" s="474" t="s">
        <v>52</v>
      </c>
      <c r="AN1060" s="474" t="s">
        <v>2928</v>
      </c>
      <c r="AO1060" s="474"/>
      <c r="AP1060" s="482"/>
      <c r="AQ1060" s="482" t="s">
        <v>37</v>
      </c>
      <c r="AR1060" s="439"/>
      <c r="AS1060" s="436" t="s">
        <v>1076</v>
      </c>
      <c r="AT1060" s="436" t="s">
        <v>1076</v>
      </c>
      <c r="AU1060" s="478"/>
      <c r="AV1060" s="471">
        <f t="shared" si="212"/>
        <v>49403540</v>
      </c>
      <c r="AW1060" s="471" cm="1">
        <f t="array" ref="AW1060">SUM(MID(0&amp;AV1060,LARGE(INDEX(ISNUMBER(--MID(AV1060,ROW($1:$8),1))*ROW($1:$8),),ROW($1:$8))+1,1)*10^ROW($1:$8)/10)</f>
        <v>49403540</v>
      </c>
      <c r="AX1060" s="471" t="str">
        <f>VLOOKUP($AW1060,'Item Master Data'!$A:$F,3,FALSE)</f>
        <v>Q.PEAK DUO BLK ML G10+</v>
      </c>
      <c r="AY1060" s="471">
        <f>VLOOKUP($AW1060,'Item Master Data'!$A:$F,6,FALSE)</f>
        <v>400</v>
      </c>
      <c r="AZ1060" s="471">
        <f t="shared" si="213"/>
        <v>24</v>
      </c>
      <c r="BA1060" s="471">
        <f>VLOOKUP(AW1060,'Item Master Data'!$A:$G,7,FALSE)</f>
        <v>32</v>
      </c>
      <c r="BB1060" s="471"/>
      <c r="BC1060" s="471">
        <f t="shared" si="214"/>
        <v>0</v>
      </c>
    </row>
    <row r="1061" spans="1:55">
      <c r="A1061" s="472">
        <v>10</v>
      </c>
      <c r="B1061" s="467">
        <v>44637</v>
      </c>
      <c r="C1061" s="467">
        <v>44637</v>
      </c>
      <c r="D1061" s="474" t="s">
        <v>2901</v>
      </c>
      <c r="E1061" s="445"/>
      <c r="F1061" s="474" t="s">
        <v>1147</v>
      </c>
      <c r="G1061" s="474">
        <v>2022</v>
      </c>
      <c r="H1061" s="474">
        <v>3</v>
      </c>
      <c r="I1061" s="474">
        <v>127779</v>
      </c>
      <c r="J1061" s="556">
        <v>44644</v>
      </c>
      <c r="K1061" s="483" t="s">
        <v>3054</v>
      </c>
      <c r="L1061" s="474" t="s">
        <v>3052</v>
      </c>
      <c r="M1061" s="475">
        <v>44435</v>
      </c>
      <c r="N1061" s="475">
        <v>44561</v>
      </c>
      <c r="O1061" s="475">
        <v>44644</v>
      </c>
      <c r="P1061" s="475">
        <v>44637</v>
      </c>
      <c r="Q1061" s="475">
        <v>44643</v>
      </c>
      <c r="R1061" s="475">
        <v>44644</v>
      </c>
      <c r="S1061" s="474" t="s">
        <v>2904</v>
      </c>
      <c r="T1061" s="474">
        <v>60</v>
      </c>
      <c r="U1061" s="474">
        <v>49403540</v>
      </c>
      <c r="V1061" s="474" t="s">
        <v>973</v>
      </c>
      <c r="W1061" s="474">
        <v>400</v>
      </c>
      <c r="X1061" s="476">
        <v>704</v>
      </c>
      <c r="Y1061" s="491">
        <f t="shared" si="215"/>
        <v>281600</v>
      </c>
      <c r="Z1061" s="478">
        <v>0.46500000000000002</v>
      </c>
      <c r="AA1061" s="492">
        <f t="shared" si="210"/>
        <v>130944</v>
      </c>
      <c r="AB1061" s="492"/>
      <c r="AC1061" s="446">
        <v>0</v>
      </c>
      <c r="AD1061" s="490"/>
      <c r="AE1061" s="482"/>
      <c r="AF1061" s="580">
        <f t="shared" si="211"/>
        <v>130944</v>
      </c>
      <c r="AG1061" s="474" t="s">
        <v>47</v>
      </c>
      <c r="AH1061" s="474"/>
      <c r="AI1061" s="474">
        <v>60</v>
      </c>
      <c r="AJ1061" s="475" t="s">
        <v>3055</v>
      </c>
      <c r="AK1061" s="483" t="s">
        <v>1375</v>
      </c>
      <c r="AL1061" s="483">
        <v>23836</v>
      </c>
      <c r="AM1061" s="474" t="s">
        <v>52</v>
      </c>
      <c r="AN1061" s="474" t="s">
        <v>2928</v>
      </c>
      <c r="AO1061" s="474"/>
      <c r="AP1061" s="482"/>
      <c r="AQ1061" s="482" t="s">
        <v>37</v>
      </c>
      <c r="AR1061" s="439"/>
      <c r="AS1061" s="436" t="s">
        <v>1076</v>
      </c>
      <c r="AT1061" s="436" t="s">
        <v>1076</v>
      </c>
      <c r="AU1061" s="478"/>
      <c r="AV1061" s="471">
        <f t="shared" si="212"/>
        <v>49403540</v>
      </c>
      <c r="AW1061" s="471" cm="1">
        <f t="array" ref="AW1061">SUM(MID(0&amp;AV1061,LARGE(INDEX(ISNUMBER(--MID(AV1061,ROW($1:$8),1))*ROW($1:$8),),ROW($1:$8))+1,1)*10^ROW($1:$8)/10)</f>
        <v>49403540</v>
      </c>
      <c r="AX1061" s="471" t="str">
        <f>VLOOKUP($AW1061,'Item Master Data'!$A:$F,3,FALSE)</f>
        <v>Q.PEAK DUO BLK ML G10+</v>
      </c>
      <c r="AY1061" s="471">
        <f>VLOOKUP($AW1061,'Item Master Data'!$A:$F,6,FALSE)</f>
        <v>400</v>
      </c>
      <c r="AZ1061" s="471">
        <f t="shared" si="213"/>
        <v>22</v>
      </c>
      <c r="BA1061" s="471">
        <f>VLOOKUP(AW1061,'Item Master Data'!$A:$G,7,FALSE)</f>
        <v>32</v>
      </c>
      <c r="BB1061" s="471"/>
      <c r="BC1061" s="471">
        <f t="shared" si="214"/>
        <v>0</v>
      </c>
    </row>
    <row r="1062" spans="1:55">
      <c r="A1062" s="472">
        <v>10</v>
      </c>
      <c r="B1062" s="467">
        <v>44637</v>
      </c>
      <c r="C1062" s="467">
        <v>44637</v>
      </c>
      <c r="D1062" s="474" t="s">
        <v>2901</v>
      </c>
      <c r="E1062" s="445" t="s">
        <v>3056</v>
      </c>
      <c r="F1062" s="474" t="s">
        <v>1147</v>
      </c>
      <c r="G1062" s="474">
        <v>2022</v>
      </c>
      <c r="H1062" s="474">
        <v>3</v>
      </c>
      <c r="I1062" s="524">
        <v>127865</v>
      </c>
      <c r="J1062" s="578">
        <v>44643</v>
      </c>
      <c r="K1062" s="523" t="s">
        <v>3054</v>
      </c>
      <c r="L1062" s="524" t="s">
        <v>3052</v>
      </c>
      <c r="M1062" s="475">
        <v>44435</v>
      </c>
      <c r="N1062" s="475">
        <v>44561</v>
      </c>
      <c r="O1062" s="475">
        <v>44620</v>
      </c>
      <c r="P1062" s="475">
        <v>44637</v>
      </c>
      <c r="Q1062" s="475">
        <v>44643</v>
      </c>
      <c r="R1062" s="475">
        <v>44645</v>
      </c>
      <c r="S1062" s="474" t="s">
        <v>2904</v>
      </c>
      <c r="T1062" s="474">
        <v>60</v>
      </c>
      <c r="U1062" s="474">
        <v>49405140</v>
      </c>
      <c r="V1062" s="474" t="s">
        <v>973</v>
      </c>
      <c r="W1062" s="474">
        <v>400</v>
      </c>
      <c r="X1062" s="476">
        <v>64</v>
      </c>
      <c r="Y1062" s="491">
        <f t="shared" si="215"/>
        <v>25600</v>
      </c>
      <c r="Z1062" s="478">
        <v>0.46500000000000002</v>
      </c>
      <c r="AA1062" s="492">
        <f t="shared" si="210"/>
        <v>11904</v>
      </c>
      <c r="AB1062" s="492"/>
      <c r="AC1062" s="446">
        <v>0</v>
      </c>
      <c r="AD1062" s="490"/>
      <c r="AE1062" s="482"/>
      <c r="AF1062" s="580">
        <f t="shared" si="211"/>
        <v>11904</v>
      </c>
      <c r="AG1062" s="474" t="s">
        <v>47</v>
      </c>
      <c r="AH1062" s="474"/>
      <c r="AI1062" s="474">
        <v>60</v>
      </c>
      <c r="AJ1062" s="475" t="s">
        <v>3055</v>
      </c>
      <c r="AK1062" s="483" t="s">
        <v>1375</v>
      </c>
      <c r="AL1062" s="483">
        <v>23836</v>
      </c>
      <c r="AM1062" s="474" t="s">
        <v>52</v>
      </c>
      <c r="AN1062" s="474" t="s">
        <v>2928</v>
      </c>
      <c r="AO1062" s="474"/>
      <c r="AP1062" s="482"/>
      <c r="AQ1062" s="482" t="s">
        <v>37</v>
      </c>
      <c r="AR1062" s="439"/>
      <c r="AS1062" s="436" t="s">
        <v>1076</v>
      </c>
      <c r="AT1062" s="436" t="s">
        <v>1076</v>
      </c>
      <c r="AU1062" s="478"/>
      <c r="AV1062" s="471">
        <f t="shared" si="212"/>
        <v>49405140</v>
      </c>
      <c r="AW1062" s="471" cm="1">
        <f t="array" ref="AW1062">SUM(MID(0&amp;AV1062,LARGE(INDEX(ISNUMBER(--MID(AV1062,ROW($1:$8),1))*ROW($1:$8),),ROW($1:$8))+1,1)*10^ROW($1:$8)/10)</f>
        <v>49405140</v>
      </c>
      <c r="AX1062" s="471" t="str">
        <f>VLOOKUP($AW1062,'Item Master Data'!$A:$F,3,FALSE)</f>
        <v>Q.PEAK DUO BLK ML G10+</v>
      </c>
      <c r="AY1062" s="471">
        <f>VLOOKUP($AW1062,'Item Master Data'!$A:$F,6,FALSE)</f>
        <v>400</v>
      </c>
      <c r="AZ1062" s="471">
        <f t="shared" si="213"/>
        <v>2</v>
      </c>
      <c r="BA1062" s="471">
        <f>VLOOKUP(AW1062,'Item Master Data'!$A:$G,7,FALSE)</f>
        <v>32</v>
      </c>
      <c r="BB1062" s="471"/>
      <c r="BC1062" s="471">
        <f t="shared" si="214"/>
        <v>0</v>
      </c>
    </row>
    <row r="1063" spans="1:55">
      <c r="A1063" s="472">
        <v>10</v>
      </c>
      <c r="B1063" s="467">
        <v>44637</v>
      </c>
      <c r="C1063" s="467">
        <v>44637</v>
      </c>
      <c r="D1063" s="474" t="s">
        <v>2901</v>
      </c>
      <c r="E1063" s="445"/>
      <c r="F1063" s="474" t="s">
        <v>1147</v>
      </c>
      <c r="G1063" s="474">
        <v>2022</v>
      </c>
      <c r="H1063" s="474">
        <v>3</v>
      </c>
      <c r="I1063" s="474">
        <v>127554</v>
      </c>
      <c r="J1063" s="475">
        <v>44644</v>
      </c>
      <c r="K1063" s="483" t="s">
        <v>3058</v>
      </c>
      <c r="L1063" s="474" t="s">
        <v>3052</v>
      </c>
      <c r="M1063" s="475">
        <v>44435</v>
      </c>
      <c r="N1063" s="475">
        <v>44561</v>
      </c>
      <c r="O1063" s="475">
        <v>44620</v>
      </c>
      <c r="P1063" s="475">
        <v>44637</v>
      </c>
      <c r="Q1063" s="475">
        <v>44643</v>
      </c>
      <c r="R1063" s="475">
        <v>44644</v>
      </c>
      <c r="S1063" s="474" t="s">
        <v>2904</v>
      </c>
      <c r="T1063" s="474">
        <v>60</v>
      </c>
      <c r="U1063" s="474">
        <v>49403540</v>
      </c>
      <c r="V1063" s="474" t="s">
        <v>973</v>
      </c>
      <c r="W1063" s="474">
        <v>400</v>
      </c>
      <c r="X1063" s="476">
        <v>768</v>
      </c>
      <c r="Y1063" s="491">
        <f t="shared" si="215"/>
        <v>307200</v>
      </c>
      <c r="Z1063" s="478">
        <v>0.46500000000000002</v>
      </c>
      <c r="AA1063" s="492">
        <f t="shared" si="210"/>
        <v>142848</v>
      </c>
      <c r="AB1063" s="492"/>
      <c r="AC1063" s="446">
        <v>0</v>
      </c>
      <c r="AD1063" s="490"/>
      <c r="AE1063" s="482"/>
      <c r="AF1063" s="580">
        <f t="shared" si="211"/>
        <v>142848</v>
      </c>
      <c r="AG1063" s="474" t="s">
        <v>47</v>
      </c>
      <c r="AH1063" s="474"/>
      <c r="AI1063" s="474">
        <v>60</v>
      </c>
      <c r="AJ1063" s="475" t="s">
        <v>3059</v>
      </c>
      <c r="AK1063" s="483" t="s">
        <v>1375</v>
      </c>
      <c r="AL1063" s="483">
        <v>24017</v>
      </c>
      <c r="AM1063" s="474" t="s">
        <v>52</v>
      </c>
      <c r="AN1063" s="474" t="s">
        <v>2928</v>
      </c>
      <c r="AO1063" s="474"/>
      <c r="AP1063" s="482"/>
      <c r="AQ1063" s="482" t="s">
        <v>37</v>
      </c>
      <c r="AR1063" s="439"/>
      <c r="AS1063" s="436" t="s">
        <v>1076</v>
      </c>
      <c r="AT1063" s="436" t="s">
        <v>1076</v>
      </c>
      <c r="AU1063" s="478"/>
      <c r="AV1063" s="471">
        <f t="shared" si="212"/>
        <v>49403540</v>
      </c>
      <c r="AW1063" s="471" cm="1">
        <f t="array" ref="AW1063">SUM(MID(0&amp;AV1063,LARGE(INDEX(ISNUMBER(--MID(AV1063,ROW($1:$8),1))*ROW($1:$8),),ROW($1:$8))+1,1)*10^ROW($1:$8)/10)</f>
        <v>49403540</v>
      </c>
      <c r="AX1063" s="471" t="str">
        <f>VLOOKUP($AW1063,'Item Master Data'!$A:$F,3,FALSE)</f>
        <v>Q.PEAK DUO BLK ML G10+</v>
      </c>
      <c r="AY1063" s="471">
        <f>VLOOKUP($AW1063,'Item Master Data'!$A:$F,6,FALSE)</f>
        <v>400</v>
      </c>
      <c r="AZ1063" s="471">
        <f t="shared" si="213"/>
        <v>24</v>
      </c>
      <c r="BA1063" s="471">
        <f>VLOOKUP(AW1063,'Item Master Data'!$A:$G,7,FALSE)</f>
        <v>32</v>
      </c>
      <c r="BB1063" s="471"/>
      <c r="BC1063" s="471">
        <f t="shared" si="214"/>
        <v>0</v>
      </c>
    </row>
    <row r="1064" spans="1:55">
      <c r="A1064" s="472">
        <v>10</v>
      </c>
      <c r="B1064" s="467">
        <v>44637</v>
      </c>
      <c r="C1064" s="467">
        <v>44637</v>
      </c>
      <c r="D1064" s="474" t="s">
        <v>2901</v>
      </c>
      <c r="E1064" s="445"/>
      <c r="F1064" s="474" t="s">
        <v>1147</v>
      </c>
      <c r="G1064" s="474">
        <v>2022</v>
      </c>
      <c r="H1064" s="474">
        <v>3</v>
      </c>
      <c r="I1064" s="474">
        <v>127556</v>
      </c>
      <c r="J1064" s="475">
        <v>44644</v>
      </c>
      <c r="K1064" s="483" t="s">
        <v>3060</v>
      </c>
      <c r="L1064" s="474" t="s">
        <v>3052</v>
      </c>
      <c r="M1064" s="475">
        <v>44524</v>
      </c>
      <c r="N1064" s="475">
        <v>44592</v>
      </c>
      <c r="O1064" s="475">
        <v>44620</v>
      </c>
      <c r="P1064" s="475">
        <v>44637</v>
      </c>
      <c r="Q1064" s="475">
        <v>44644</v>
      </c>
      <c r="R1064" s="475">
        <v>44644</v>
      </c>
      <c r="S1064" s="474" t="s">
        <v>2904</v>
      </c>
      <c r="T1064" s="474">
        <v>60</v>
      </c>
      <c r="U1064" s="474">
        <v>49403540</v>
      </c>
      <c r="V1064" s="474" t="s">
        <v>973</v>
      </c>
      <c r="W1064" s="474">
        <v>400</v>
      </c>
      <c r="X1064" s="476">
        <v>768</v>
      </c>
      <c r="Y1064" s="491">
        <f t="shared" si="215"/>
        <v>307200</v>
      </c>
      <c r="Z1064" s="478">
        <v>0.46500000000000002</v>
      </c>
      <c r="AA1064" s="492">
        <f t="shared" si="210"/>
        <v>142848</v>
      </c>
      <c r="AB1064" s="492"/>
      <c r="AC1064" s="446">
        <v>0</v>
      </c>
      <c r="AD1064" s="490"/>
      <c r="AE1064" s="482"/>
      <c r="AF1064" s="580">
        <f t="shared" si="211"/>
        <v>142848</v>
      </c>
      <c r="AG1064" s="474" t="s">
        <v>47</v>
      </c>
      <c r="AH1064" s="474"/>
      <c r="AI1064" s="474">
        <v>60</v>
      </c>
      <c r="AJ1064" s="475" t="s">
        <v>3061</v>
      </c>
      <c r="AK1064" s="483" t="s">
        <v>1074</v>
      </c>
      <c r="AL1064" s="483" t="s">
        <v>3062</v>
      </c>
      <c r="AM1064" s="474" t="s">
        <v>52</v>
      </c>
      <c r="AN1064" s="474" t="s">
        <v>2928</v>
      </c>
      <c r="AO1064" s="474"/>
      <c r="AP1064" s="482"/>
      <c r="AQ1064" s="482" t="s">
        <v>37</v>
      </c>
      <c r="AR1064" s="439"/>
      <c r="AS1064" s="436" t="s">
        <v>1076</v>
      </c>
      <c r="AT1064" s="436" t="s">
        <v>1076</v>
      </c>
      <c r="AU1064" s="478"/>
      <c r="AV1064" s="471">
        <f t="shared" si="212"/>
        <v>49403540</v>
      </c>
      <c r="AW1064" s="471" cm="1">
        <f t="array" ref="AW1064">SUM(MID(0&amp;AV1064,LARGE(INDEX(ISNUMBER(--MID(AV1064,ROW($1:$8),1))*ROW($1:$8),),ROW($1:$8))+1,1)*10^ROW($1:$8)/10)</f>
        <v>49403540</v>
      </c>
      <c r="AX1064" s="471" t="str">
        <f>VLOOKUP($AW1064,'Item Master Data'!$A:$F,3,FALSE)</f>
        <v>Q.PEAK DUO BLK ML G10+</v>
      </c>
      <c r="AY1064" s="471">
        <f>VLOOKUP($AW1064,'Item Master Data'!$A:$F,6,FALSE)</f>
        <v>400</v>
      </c>
      <c r="AZ1064" s="471">
        <f t="shared" si="213"/>
        <v>24</v>
      </c>
      <c r="BA1064" s="471">
        <f>VLOOKUP(AW1064,'Item Master Data'!$A:$G,7,FALSE)</f>
        <v>32</v>
      </c>
      <c r="BB1064" s="471"/>
      <c r="BC1064" s="471">
        <f t="shared" si="214"/>
        <v>0</v>
      </c>
    </row>
    <row r="1065" spans="1:55">
      <c r="A1065" s="472"/>
      <c r="B1065" s="467">
        <v>44635</v>
      </c>
      <c r="C1065" s="467">
        <v>44636</v>
      </c>
      <c r="D1065" s="474" t="s">
        <v>2901</v>
      </c>
      <c r="E1065" s="445"/>
      <c r="F1065" s="474" t="s">
        <v>1147</v>
      </c>
      <c r="G1065" s="474">
        <v>2022</v>
      </c>
      <c r="H1065" s="474">
        <v>3</v>
      </c>
      <c r="I1065" s="474">
        <v>127553</v>
      </c>
      <c r="J1065" s="475">
        <v>44643</v>
      </c>
      <c r="K1065" s="483" t="s">
        <v>3153</v>
      </c>
      <c r="L1065" s="474" t="s">
        <v>2998</v>
      </c>
      <c r="M1065" s="475">
        <v>44539</v>
      </c>
      <c r="N1065" s="475">
        <v>44260</v>
      </c>
      <c r="O1065" s="475">
        <v>44643</v>
      </c>
      <c r="P1065" s="475">
        <v>44636</v>
      </c>
      <c r="Q1065" s="475">
        <v>44642</v>
      </c>
      <c r="R1065" s="475">
        <v>44643</v>
      </c>
      <c r="S1065" s="474" t="s">
        <v>2904</v>
      </c>
      <c r="T1065" s="474">
        <v>72</v>
      </c>
      <c r="U1065" s="474">
        <v>49304156</v>
      </c>
      <c r="V1065" s="474" t="s">
        <v>2999</v>
      </c>
      <c r="W1065" s="474">
        <v>480</v>
      </c>
      <c r="X1065" s="476">
        <v>1740</v>
      </c>
      <c r="Y1065" s="491">
        <f t="shared" si="215"/>
        <v>835200</v>
      </c>
      <c r="Z1065" s="478">
        <v>0.48</v>
      </c>
      <c r="AA1065" s="492">
        <f t="shared" si="210"/>
        <v>400896</v>
      </c>
      <c r="AB1065" s="492"/>
      <c r="AC1065" s="446">
        <v>0</v>
      </c>
      <c r="AD1065" s="490"/>
      <c r="AE1065" s="482"/>
      <c r="AF1065" s="580">
        <f t="shared" si="211"/>
        <v>400896</v>
      </c>
      <c r="AG1065" s="474" t="s">
        <v>47</v>
      </c>
      <c r="AH1065" s="474"/>
      <c r="AI1065" s="474">
        <v>60</v>
      </c>
      <c r="AJ1065" s="475" t="s">
        <v>1083</v>
      </c>
      <c r="AK1065" s="483" t="s">
        <v>1084</v>
      </c>
      <c r="AL1065" s="483" t="s">
        <v>3154</v>
      </c>
      <c r="AM1065" s="474" t="s">
        <v>52</v>
      </c>
      <c r="AN1065" s="474" t="s">
        <v>2928</v>
      </c>
      <c r="AO1065" s="474"/>
      <c r="AP1065" s="482"/>
      <c r="AQ1065" s="482" t="s">
        <v>37</v>
      </c>
      <c r="AR1065" s="439"/>
      <c r="AS1065" s="436" t="s">
        <v>1076</v>
      </c>
      <c r="AT1065" s="436" t="s">
        <v>1076</v>
      </c>
      <c r="AU1065" s="478"/>
      <c r="AV1065" s="471">
        <f t="shared" si="212"/>
        <v>49304156</v>
      </c>
      <c r="AW1065" s="471" cm="1">
        <f t="array" ref="AW1065">SUM(MID(0&amp;AV1065,LARGE(INDEX(ISNUMBER(--MID(AV1065,ROW($1:$8),1))*ROW($1:$8),),ROW($1:$8))+1,1)*10^ROW($1:$8)/10)</f>
        <v>49304156</v>
      </c>
      <c r="AX1065" s="471" t="str">
        <f>VLOOKUP($AW1065,'Item Master Data'!$A:$F,3,FALSE)</f>
        <v>Q.PEAK DUO XL G10</v>
      </c>
      <c r="AY1065" s="471">
        <f>VLOOKUP($AW1065,'Item Master Data'!$A:$F,6,FALSE)</f>
        <v>480</v>
      </c>
      <c r="AZ1065" s="471">
        <f t="shared" si="213"/>
        <v>60</v>
      </c>
      <c r="BA1065" s="471">
        <f>VLOOKUP(AW1065,'Item Master Data'!$A:$G,7,FALSE)</f>
        <v>29</v>
      </c>
      <c r="BB1065" s="471"/>
      <c r="BC1065" s="471">
        <f t="shared" si="214"/>
        <v>0</v>
      </c>
    </row>
    <row r="1066" spans="1:55">
      <c r="A1066" s="472">
        <v>10</v>
      </c>
      <c r="B1066" s="467">
        <v>44483</v>
      </c>
      <c r="C1066" s="467">
        <v>44483</v>
      </c>
      <c r="D1066" s="474" t="s">
        <v>2901</v>
      </c>
      <c r="E1066" s="445" t="s">
        <v>3163</v>
      </c>
      <c r="F1066" s="474" t="s">
        <v>1147</v>
      </c>
      <c r="G1066" s="474">
        <v>2022</v>
      </c>
      <c r="H1066" s="474">
        <v>3</v>
      </c>
      <c r="I1066" s="474">
        <v>127198</v>
      </c>
      <c r="J1066" s="475">
        <v>44622</v>
      </c>
      <c r="K1066" s="483" t="s">
        <v>3164</v>
      </c>
      <c r="L1066" s="474" t="s">
        <v>3159</v>
      </c>
      <c r="M1066" s="475">
        <v>44477</v>
      </c>
      <c r="N1066" s="475">
        <v>44593</v>
      </c>
      <c r="O1066" s="475" t="s">
        <v>2365</v>
      </c>
      <c r="P1066" s="475">
        <v>44638</v>
      </c>
      <c r="Q1066" s="475">
        <v>44620</v>
      </c>
      <c r="R1066" s="475">
        <v>44622</v>
      </c>
      <c r="S1066" s="474" t="s">
        <v>2904</v>
      </c>
      <c r="T1066" s="474">
        <v>60</v>
      </c>
      <c r="U1066" s="474" t="s">
        <v>1247</v>
      </c>
      <c r="V1066" s="474" t="s">
        <v>973</v>
      </c>
      <c r="W1066" s="474">
        <v>400</v>
      </c>
      <c r="X1066" s="476">
        <v>3072</v>
      </c>
      <c r="Y1066" s="491">
        <f t="shared" si="215"/>
        <v>1228800</v>
      </c>
      <c r="Z1066" s="478">
        <v>0.49</v>
      </c>
      <c r="AA1066" s="492">
        <f t="shared" si="210"/>
        <v>602112</v>
      </c>
      <c r="AB1066" s="492"/>
      <c r="AC1066" s="446">
        <v>0</v>
      </c>
      <c r="AD1066" s="490"/>
      <c r="AE1066" s="482"/>
      <c r="AF1066" s="580">
        <f t="shared" si="211"/>
        <v>602112</v>
      </c>
      <c r="AG1066" s="474" t="s">
        <v>47</v>
      </c>
      <c r="AH1066" s="474"/>
      <c r="AI1066" s="474">
        <v>30</v>
      </c>
      <c r="AJ1066" s="475" t="s">
        <v>1083</v>
      </c>
      <c r="AK1066" s="483" t="s">
        <v>1084</v>
      </c>
      <c r="AL1066" s="483" t="s">
        <v>2934</v>
      </c>
      <c r="AM1066" s="474" t="s">
        <v>52</v>
      </c>
      <c r="AN1066" s="474" t="s">
        <v>1384</v>
      </c>
      <c r="AO1066" s="474"/>
      <c r="AP1066" s="482" t="s">
        <v>38</v>
      </c>
      <c r="AQ1066" s="482" t="s">
        <v>37</v>
      </c>
      <c r="AR1066" s="439"/>
      <c r="AS1066" s="436" t="s">
        <v>1087</v>
      </c>
      <c r="AT1066" s="436" t="s">
        <v>1076</v>
      </c>
      <c r="AU1066" s="478"/>
      <c r="AV1066" s="471" t="str">
        <f t="shared" si="212"/>
        <v>30390456C</v>
      </c>
      <c r="AW1066" s="471" cm="1">
        <f t="array" ref="AW1066">SUM(MID(0&amp;AV1066,LARGE(INDEX(ISNUMBER(--MID(AV1066,ROW($1:$8),1))*ROW($1:$8),),ROW($1:$8))+1,1)*10^ROW($1:$8)/10)</f>
        <v>30390456</v>
      </c>
      <c r="AX1066" s="471" t="str">
        <f>VLOOKUP($AW1066,'Item Master Data'!$A:$F,3,FALSE)</f>
        <v>Q.PEAK DUO BLK ML G10+</v>
      </c>
      <c r="AY1066" s="471">
        <f>VLOOKUP($AW1066,'Item Master Data'!$A:$F,6,FALSE)</f>
        <v>400</v>
      </c>
      <c r="AZ1066" s="471">
        <f t="shared" si="213"/>
        <v>96</v>
      </c>
      <c r="BA1066" s="471">
        <f>VLOOKUP(AW1066,'Item Master Data'!$A:$G,7,FALSE)</f>
        <v>32</v>
      </c>
      <c r="BB1066" s="471"/>
      <c r="BC1066" s="471">
        <f t="shared" si="214"/>
        <v>0</v>
      </c>
    </row>
    <row r="1067" spans="1:55">
      <c r="A1067" s="472">
        <v>10</v>
      </c>
      <c r="B1067" s="467">
        <v>44483</v>
      </c>
      <c r="C1067" s="467">
        <v>44483</v>
      </c>
      <c r="D1067" s="474" t="s">
        <v>2901</v>
      </c>
      <c r="E1067" s="445" t="s">
        <v>3163</v>
      </c>
      <c r="F1067" s="474" t="s">
        <v>1147</v>
      </c>
      <c r="G1067" s="474">
        <v>2022</v>
      </c>
      <c r="H1067" s="474">
        <v>3</v>
      </c>
      <c r="I1067" s="474">
        <v>127432</v>
      </c>
      <c r="J1067" s="475">
        <v>44641</v>
      </c>
      <c r="K1067" s="483" t="s">
        <v>3164</v>
      </c>
      <c r="L1067" s="474" t="s">
        <v>3159</v>
      </c>
      <c r="M1067" s="475">
        <v>44477</v>
      </c>
      <c r="N1067" s="475">
        <v>44593</v>
      </c>
      <c r="O1067" s="475" t="s">
        <v>2365</v>
      </c>
      <c r="P1067" s="475">
        <v>44638</v>
      </c>
      <c r="Q1067" s="475">
        <v>44638</v>
      </c>
      <c r="R1067" s="475">
        <v>44641</v>
      </c>
      <c r="S1067" s="474" t="s">
        <v>2904</v>
      </c>
      <c r="T1067" s="474">
        <v>60</v>
      </c>
      <c r="U1067" s="474" t="s">
        <v>1247</v>
      </c>
      <c r="V1067" s="474" t="s">
        <v>973</v>
      </c>
      <c r="W1067" s="474">
        <v>400</v>
      </c>
      <c r="X1067" s="476">
        <v>4256</v>
      </c>
      <c r="Y1067" s="491">
        <f t="shared" si="215"/>
        <v>1702400</v>
      </c>
      <c r="Z1067" s="478">
        <v>0.49</v>
      </c>
      <c r="AA1067" s="492">
        <f t="shared" si="210"/>
        <v>834176</v>
      </c>
      <c r="AB1067" s="492"/>
      <c r="AC1067" s="446">
        <v>0</v>
      </c>
      <c r="AD1067" s="490"/>
      <c r="AE1067" s="482"/>
      <c r="AF1067" s="580">
        <f t="shared" si="211"/>
        <v>834176</v>
      </c>
      <c r="AG1067" s="474" t="s">
        <v>47</v>
      </c>
      <c r="AH1067" s="474"/>
      <c r="AI1067" s="474">
        <v>30</v>
      </c>
      <c r="AJ1067" s="475" t="s">
        <v>1083</v>
      </c>
      <c r="AK1067" s="483" t="s">
        <v>1084</v>
      </c>
      <c r="AL1067" s="483" t="s">
        <v>2934</v>
      </c>
      <c r="AM1067" s="474" t="s">
        <v>52</v>
      </c>
      <c r="AN1067" s="474" t="s">
        <v>1384</v>
      </c>
      <c r="AO1067" s="474"/>
      <c r="AP1067" s="482" t="s">
        <v>38</v>
      </c>
      <c r="AQ1067" s="482" t="s">
        <v>37</v>
      </c>
      <c r="AR1067" s="439"/>
      <c r="AS1067" s="436" t="s">
        <v>1087</v>
      </c>
      <c r="AT1067" s="436" t="s">
        <v>1076</v>
      </c>
      <c r="AU1067" s="478"/>
      <c r="AV1067" s="471" t="str">
        <f t="shared" si="212"/>
        <v>30390456C</v>
      </c>
      <c r="AW1067" s="471" cm="1">
        <f t="array" ref="AW1067">SUM(MID(0&amp;AV1067,LARGE(INDEX(ISNUMBER(--MID(AV1067,ROW($1:$8),1))*ROW($1:$8),),ROW($1:$8))+1,1)*10^ROW($1:$8)/10)</f>
        <v>30390456</v>
      </c>
      <c r="AX1067" s="471" t="str">
        <f>VLOOKUP($AW1067,'Item Master Data'!$A:$F,3,FALSE)</f>
        <v>Q.PEAK DUO BLK ML G10+</v>
      </c>
      <c r="AY1067" s="471">
        <f>VLOOKUP($AW1067,'Item Master Data'!$A:$F,6,FALSE)</f>
        <v>400</v>
      </c>
      <c r="AZ1067" s="471">
        <f t="shared" si="213"/>
        <v>133</v>
      </c>
      <c r="BA1067" s="471">
        <f>VLOOKUP(AW1067,'Item Master Data'!$A:$G,7,FALSE)</f>
        <v>32</v>
      </c>
      <c r="BB1067" s="471"/>
      <c r="BC1067" s="471">
        <f t="shared" si="214"/>
        <v>0</v>
      </c>
    </row>
    <row r="1068" spans="1:55">
      <c r="A1068" s="472">
        <v>10</v>
      </c>
      <c r="B1068" s="467">
        <v>44848</v>
      </c>
      <c r="C1068" s="467">
        <v>44847</v>
      </c>
      <c r="D1068" s="474" t="s">
        <v>2901</v>
      </c>
      <c r="E1068" s="445"/>
      <c r="F1068" s="474" t="s">
        <v>1147</v>
      </c>
      <c r="G1068" s="474">
        <v>2022</v>
      </c>
      <c r="H1068" s="474">
        <v>3</v>
      </c>
      <c r="I1068" s="474">
        <v>127418</v>
      </c>
      <c r="J1068" s="475">
        <v>44642</v>
      </c>
      <c r="K1068" s="483" t="s">
        <v>3165</v>
      </c>
      <c r="L1068" s="474" t="s">
        <v>3159</v>
      </c>
      <c r="M1068" s="475">
        <v>44477</v>
      </c>
      <c r="N1068" s="475">
        <v>44621</v>
      </c>
      <c r="O1068" s="475" t="s">
        <v>2365</v>
      </c>
      <c r="P1068" s="475">
        <v>44630</v>
      </c>
      <c r="Q1068" s="475">
        <v>44637</v>
      </c>
      <c r="R1068" s="475">
        <v>44642</v>
      </c>
      <c r="S1068" s="474" t="s">
        <v>2904</v>
      </c>
      <c r="T1068" s="474">
        <v>60</v>
      </c>
      <c r="U1068" s="474" t="s">
        <v>1760</v>
      </c>
      <c r="V1068" s="474" t="s">
        <v>973</v>
      </c>
      <c r="W1068" s="474">
        <v>400</v>
      </c>
      <c r="X1068" s="476">
        <v>768</v>
      </c>
      <c r="Y1068" s="491">
        <f t="shared" si="215"/>
        <v>307200</v>
      </c>
      <c r="Z1068" s="478">
        <v>0.49</v>
      </c>
      <c r="AA1068" s="492">
        <f t="shared" si="210"/>
        <v>150528</v>
      </c>
      <c r="AB1068" s="492"/>
      <c r="AC1068" s="446">
        <v>0</v>
      </c>
      <c r="AD1068" s="490"/>
      <c r="AE1068" s="482"/>
      <c r="AF1068" s="580">
        <f t="shared" si="211"/>
        <v>150528</v>
      </c>
      <c r="AG1068" s="474" t="s">
        <v>47</v>
      </c>
      <c r="AH1068" s="474"/>
      <c r="AI1068" s="474">
        <v>30</v>
      </c>
      <c r="AJ1068" s="475" t="s">
        <v>1083</v>
      </c>
      <c r="AK1068" s="483" t="s">
        <v>1084</v>
      </c>
      <c r="AL1068" s="483" t="s">
        <v>2934</v>
      </c>
      <c r="AM1068" s="474" t="s">
        <v>52</v>
      </c>
      <c r="AN1068" s="474" t="s">
        <v>50</v>
      </c>
      <c r="AO1068" s="474"/>
      <c r="AP1068" s="482" t="s">
        <v>38</v>
      </c>
      <c r="AQ1068" s="482" t="s">
        <v>37</v>
      </c>
      <c r="AR1068" s="439"/>
      <c r="AS1068" s="436" t="s">
        <v>1087</v>
      </c>
      <c r="AT1068" s="436" t="s">
        <v>1076</v>
      </c>
      <c r="AU1068" s="478"/>
      <c r="AV1068" s="471" t="str">
        <f t="shared" si="212"/>
        <v>30390156H</v>
      </c>
      <c r="AW1068" s="471" cm="1">
        <f t="array" ref="AW1068">SUM(MID(0&amp;AV1068,LARGE(INDEX(ISNUMBER(--MID(AV1068,ROW($1:$8),1))*ROW($1:$8),),ROW($1:$8))+1,1)*10^ROW($1:$8)/10)</f>
        <v>30390156</v>
      </c>
      <c r="AX1068" s="471" t="str">
        <f>VLOOKUP($AW1068,'Item Master Data'!$A:$F,3,FALSE)</f>
        <v>Q.PEAK DUO BLK ML G10+</v>
      </c>
      <c r="AY1068" s="471">
        <f>VLOOKUP($AW1068,'Item Master Data'!$A:$F,6,FALSE)</f>
        <v>400</v>
      </c>
      <c r="AZ1068" s="471">
        <f t="shared" si="213"/>
        <v>24</v>
      </c>
      <c r="BA1068" s="471">
        <f>VLOOKUP(AW1068,'Item Master Data'!$A:$G,7,FALSE)</f>
        <v>32</v>
      </c>
      <c r="BB1068" s="471"/>
      <c r="BC1068" s="471">
        <f t="shared" si="214"/>
        <v>0</v>
      </c>
    </row>
    <row r="1069" spans="1:55">
      <c r="A1069" s="472"/>
      <c r="B1069" s="467">
        <v>44580</v>
      </c>
      <c r="C1069" s="467">
        <v>44580</v>
      </c>
      <c r="D1069" s="474" t="s">
        <v>2901</v>
      </c>
      <c r="E1069" s="445" t="s">
        <v>5200</v>
      </c>
      <c r="F1069" s="474" t="s">
        <v>1147</v>
      </c>
      <c r="G1069" s="474">
        <v>2022</v>
      </c>
      <c r="H1069" s="474">
        <v>4</v>
      </c>
      <c r="I1069" s="474">
        <v>127992</v>
      </c>
      <c r="J1069" s="475">
        <v>44664</v>
      </c>
      <c r="K1069" s="483" t="s">
        <v>2907</v>
      </c>
      <c r="L1069" s="474" t="s">
        <v>2903</v>
      </c>
      <c r="M1069" s="475">
        <v>44579</v>
      </c>
      <c r="N1069" s="475">
        <v>44652</v>
      </c>
      <c r="O1069" s="475"/>
      <c r="P1069" s="475">
        <v>44663</v>
      </c>
      <c r="Q1069" s="475">
        <v>44664</v>
      </c>
      <c r="R1069" s="475">
        <v>44669</v>
      </c>
      <c r="S1069" s="474" t="s">
        <v>2904</v>
      </c>
      <c r="T1069" s="474">
        <v>72</v>
      </c>
      <c r="U1069" s="474" t="s">
        <v>1103</v>
      </c>
      <c r="V1069" s="474" t="s">
        <v>1104</v>
      </c>
      <c r="W1069" s="474">
        <v>480</v>
      </c>
      <c r="X1069" s="476">
        <v>638</v>
      </c>
      <c r="Y1069" s="491">
        <f t="shared" si="215"/>
        <v>306240</v>
      </c>
      <c r="Z1069" s="478">
        <v>0.48</v>
      </c>
      <c r="AA1069" s="492">
        <f t="shared" si="210"/>
        <v>146995.19999999998</v>
      </c>
      <c r="AB1069" s="492"/>
      <c r="AC1069" s="446">
        <v>0</v>
      </c>
      <c r="AD1069" s="490"/>
      <c r="AE1069" s="482"/>
      <c r="AF1069" s="580">
        <f t="shared" si="211"/>
        <v>146995.19999999998</v>
      </c>
      <c r="AG1069" s="474" t="s">
        <v>1071</v>
      </c>
      <c r="AH1069" s="474">
        <v>10</v>
      </c>
      <c r="AI1069" s="474">
        <v>60</v>
      </c>
      <c r="AJ1069" s="475" t="s">
        <v>2506</v>
      </c>
      <c r="AK1069" s="483" t="s">
        <v>1084</v>
      </c>
      <c r="AL1069" s="483" t="s">
        <v>2908</v>
      </c>
      <c r="AM1069" s="474" t="s">
        <v>52</v>
      </c>
      <c r="AN1069" s="474" t="s">
        <v>2538</v>
      </c>
      <c r="AO1069" s="474"/>
      <c r="AP1069" s="482" t="s">
        <v>38</v>
      </c>
      <c r="AQ1069" s="482" t="s">
        <v>37</v>
      </c>
      <c r="AR1069" s="439"/>
      <c r="AS1069" s="436" t="s">
        <v>1076</v>
      </c>
      <c r="AT1069" s="436" t="s">
        <v>1076</v>
      </c>
      <c r="AU1069" s="478"/>
      <c r="AV1069" s="471" t="str">
        <f t="shared" si="212"/>
        <v>30397472F</v>
      </c>
      <c r="AW1069" s="471" cm="1">
        <f t="array" ref="AW1069">SUM(MID(0&amp;AV1069,LARGE(INDEX(ISNUMBER(--MID(AV1069,ROW($1:$8),1))*ROW($1:$8),),ROW($1:$8))+1,1)*10^ROW($1:$8)/10)</f>
        <v>30397472</v>
      </c>
      <c r="AX1069" s="471" t="str">
        <f>VLOOKUP($AW1069,'Item Master Data'!$A:$F,3,FALSE)</f>
        <v>Q.PEAK DUO XL G10</v>
      </c>
      <c r="AY1069" s="471">
        <f>VLOOKUP($AW1069,'Item Master Data'!$A:$F,6,FALSE)</f>
        <v>480</v>
      </c>
      <c r="AZ1069" s="471">
        <f t="shared" si="213"/>
        <v>22</v>
      </c>
      <c r="BA1069" s="471">
        <f>VLOOKUP(AW1069,'Item Master Data'!$A:$G,7,FALSE)</f>
        <v>29</v>
      </c>
      <c r="BB1069" s="471"/>
      <c r="BC1069" s="471">
        <f t="shared" si="214"/>
        <v>0</v>
      </c>
    </row>
    <row r="1070" spans="1:55">
      <c r="A1070" s="472"/>
      <c r="B1070" s="467">
        <v>44650</v>
      </c>
      <c r="C1070" s="467">
        <v>44650</v>
      </c>
      <c r="D1070" s="474" t="s">
        <v>2901</v>
      </c>
      <c r="E1070" s="445" t="s">
        <v>5653</v>
      </c>
      <c r="F1070" s="474" t="s">
        <v>1147</v>
      </c>
      <c r="G1070" s="474">
        <v>2022</v>
      </c>
      <c r="H1070" s="474">
        <v>4</v>
      </c>
      <c r="I1070" s="474" t="s">
        <v>3023</v>
      </c>
      <c r="J1070" s="475">
        <v>44673</v>
      </c>
      <c r="K1070" s="483" t="s">
        <v>2927</v>
      </c>
      <c r="L1070" s="474" t="s">
        <v>2916</v>
      </c>
      <c r="M1070" s="475">
        <v>44498</v>
      </c>
      <c r="N1070" s="475">
        <v>44566</v>
      </c>
      <c r="O1070" s="475">
        <v>44652</v>
      </c>
      <c r="P1070" s="475">
        <v>44656</v>
      </c>
      <c r="Q1070" s="475">
        <v>44673</v>
      </c>
      <c r="R1070" s="475"/>
      <c r="S1070" s="474" t="s">
        <v>2904</v>
      </c>
      <c r="T1070" s="474">
        <v>60</v>
      </c>
      <c r="U1070" s="474">
        <v>49405140</v>
      </c>
      <c r="V1070" s="474" t="s">
        <v>973</v>
      </c>
      <c r="W1070" s="474">
        <v>400</v>
      </c>
      <c r="X1070" s="476">
        <v>2304</v>
      </c>
      <c r="Y1070" s="491">
        <f t="shared" si="215"/>
        <v>921600</v>
      </c>
      <c r="Z1070" s="478">
        <v>0.55000000000000004</v>
      </c>
      <c r="AA1070" s="492">
        <f t="shared" si="210"/>
        <v>506880.00000000006</v>
      </c>
      <c r="AB1070" s="492"/>
      <c r="AC1070" s="446">
        <v>0</v>
      </c>
      <c r="AD1070" s="490"/>
      <c r="AE1070" s="482"/>
      <c r="AF1070" s="580">
        <f t="shared" si="211"/>
        <v>506880.00000000006</v>
      </c>
      <c r="AG1070" s="474" t="s">
        <v>1071</v>
      </c>
      <c r="AH1070" s="474"/>
      <c r="AI1070" s="474">
        <v>60</v>
      </c>
      <c r="AJ1070" s="475" t="s">
        <v>2922</v>
      </c>
      <c r="AK1070" s="483" t="s">
        <v>2406</v>
      </c>
      <c r="AL1070" s="483" t="s">
        <v>2923</v>
      </c>
      <c r="AM1070" s="474" t="s">
        <v>52</v>
      </c>
      <c r="AN1070" s="474" t="s">
        <v>2928</v>
      </c>
      <c r="AO1070" s="474"/>
      <c r="AP1070" s="482"/>
      <c r="AQ1070" s="482" t="s">
        <v>37</v>
      </c>
      <c r="AR1070" s="439" t="s">
        <v>1248</v>
      </c>
      <c r="AS1070" s="436" t="s">
        <v>1076</v>
      </c>
      <c r="AT1070" s="436" t="s">
        <v>1076</v>
      </c>
      <c r="AU1070" s="478">
        <v>0.47499999999999998</v>
      </c>
      <c r="AV1070" s="471">
        <f t="shared" si="212"/>
        <v>49405140</v>
      </c>
      <c r="AW1070" s="471" cm="1">
        <f t="array" ref="AW1070">SUM(MID(0&amp;AV1070,LARGE(INDEX(ISNUMBER(--MID(AV1070,ROW($1:$8),1))*ROW($1:$8),),ROW($1:$8))+1,1)*10^ROW($1:$8)/10)</f>
        <v>49405140</v>
      </c>
      <c r="AX1070" s="471" t="str">
        <f>VLOOKUP($AW1070,'Item Master Data'!$A:$F,3,FALSE)</f>
        <v>Q.PEAK DUO BLK ML G10+</v>
      </c>
      <c r="AY1070" s="471">
        <f>VLOOKUP($AW1070,'Item Master Data'!$A:$F,6,FALSE)</f>
        <v>400</v>
      </c>
      <c r="AZ1070" s="471">
        <f t="shared" si="213"/>
        <v>72</v>
      </c>
      <c r="BA1070" s="471">
        <f>VLOOKUP(AW1070,'Item Master Data'!$A:$G,7,FALSE)</f>
        <v>32</v>
      </c>
      <c r="BB1070" s="471"/>
      <c r="BC1070" s="471">
        <f t="shared" si="214"/>
        <v>0</v>
      </c>
    </row>
    <row r="1071" spans="1:55">
      <c r="A1071" s="472"/>
      <c r="B1071" s="467">
        <v>44650</v>
      </c>
      <c r="C1071" s="467">
        <v>44650</v>
      </c>
      <c r="D1071" s="474" t="s">
        <v>2901</v>
      </c>
      <c r="E1071" s="445"/>
      <c r="F1071" s="474" t="s">
        <v>1147</v>
      </c>
      <c r="G1071" s="474">
        <v>2022</v>
      </c>
      <c r="H1071" s="474">
        <v>4</v>
      </c>
      <c r="I1071" s="474"/>
      <c r="J1071" s="556"/>
      <c r="K1071" s="483" t="s">
        <v>2927</v>
      </c>
      <c r="L1071" s="474" t="s">
        <v>2916</v>
      </c>
      <c r="M1071" s="475">
        <v>44498</v>
      </c>
      <c r="N1071" s="475">
        <v>44566</v>
      </c>
      <c r="O1071" s="475">
        <v>44652</v>
      </c>
      <c r="P1071" s="475">
        <v>44678</v>
      </c>
      <c r="Q1071" s="475">
        <v>44680</v>
      </c>
      <c r="R1071" s="475">
        <v>44685</v>
      </c>
      <c r="S1071" s="474" t="s">
        <v>2904</v>
      </c>
      <c r="T1071" s="474">
        <v>60</v>
      </c>
      <c r="U1071" s="474" t="s">
        <v>1760</v>
      </c>
      <c r="V1071" s="474" t="s">
        <v>973</v>
      </c>
      <c r="W1071" s="474">
        <v>400</v>
      </c>
      <c r="X1071" s="476">
        <v>3328</v>
      </c>
      <c r="Y1071" s="491">
        <f t="shared" si="215"/>
        <v>1331200</v>
      </c>
      <c r="Z1071" s="478">
        <v>0.55000000000000004</v>
      </c>
      <c r="AA1071" s="492">
        <f t="shared" si="210"/>
        <v>732160.00000000012</v>
      </c>
      <c r="AB1071" s="492"/>
      <c r="AC1071" s="446">
        <v>0</v>
      </c>
      <c r="AD1071" s="490"/>
      <c r="AE1071" s="482"/>
      <c r="AF1071" s="580">
        <f t="shared" si="211"/>
        <v>732160.00000000012</v>
      </c>
      <c r="AG1071" s="474" t="s">
        <v>1071</v>
      </c>
      <c r="AH1071" s="474"/>
      <c r="AI1071" s="474">
        <v>60</v>
      </c>
      <c r="AJ1071" s="475" t="s">
        <v>2922</v>
      </c>
      <c r="AK1071" s="483" t="s">
        <v>2406</v>
      </c>
      <c r="AL1071" s="483" t="s">
        <v>2923</v>
      </c>
      <c r="AM1071" s="474" t="s">
        <v>52</v>
      </c>
      <c r="AN1071" s="474" t="s">
        <v>1568</v>
      </c>
      <c r="AO1071" s="474"/>
      <c r="AP1071" s="482"/>
      <c r="AQ1071" s="482" t="s">
        <v>37</v>
      </c>
      <c r="AR1071" s="439" t="s">
        <v>1248</v>
      </c>
      <c r="AS1071" s="436" t="s">
        <v>1076</v>
      </c>
      <c r="AT1071" s="436" t="s">
        <v>1076</v>
      </c>
      <c r="AU1071" s="478">
        <v>0.47499999999999998</v>
      </c>
      <c r="AV1071" s="471" t="str">
        <f t="shared" si="212"/>
        <v>30390156H</v>
      </c>
      <c r="AW1071" s="471" cm="1">
        <f t="array" ref="AW1071">SUM(MID(0&amp;AV1071,LARGE(INDEX(ISNUMBER(--MID(AV1071,ROW($1:$8),1))*ROW($1:$8),),ROW($1:$8))+1,1)*10^ROW($1:$8)/10)</f>
        <v>30390156</v>
      </c>
      <c r="AX1071" s="471" t="str">
        <f>VLOOKUP($AW1071,'Item Master Data'!$A:$F,3,FALSE)</f>
        <v>Q.PEAK DUO BLK ML G10+</v>
      </c>
      <c r="AY1071" s="471">
        <f>VLOOKUP($AW1071,'Item Master Data'!$A:$F,6,FALSE)</f>
        <v>400</v>
      </c>
      <c r="AZ1071" s="471">
        <f t="shared" si="213"/>
        <v>104</v>
      </c>
      <c r="BA1071" s="471">
        <f>VLOOKUP(AW1071,'Item Master Data'!$A:$G,7,FALSE)</f>
        <v>32</v>
      </c>
      <c r="BB1071" s="471"/>
      <c r="BC1071" s="471">
        <f t="shared" si="214"/>
        <v>0</v>
      </c>
    </row>
    <row r="1072" spans="1:55">
      <c r="A1072" s="472"/>
      <c r="B1072" s="467">
        <v>44650</v>
      </c>
      <c r="C1072" s="467">
        <v>44650</v>
      </c>
      <c r="D1072" s="474" t="s">
        <v>2901</v>
      </c>
      <c r="E1072" s="445"/>
      <c r="F1072" s="474" t="s">
        <v>1147</v>
      </c>
      <c r="G1072" s="474">
        <v>2022</v>
      </c>
      <c r="H1072" s="474">
        <v>4</v>
      </c>
      <c r="I1072" s="474"/>
      <c r="J1072" s="556"/>
      <c r="K1072" s="483" t="s">
        <v>2927</v>
      </c>
      <c r="L1072" s="474" t="s">
        <v>2916</v>
      </c>
      <c r="M1072" s="475">
        <v>44498</v>
      </c>
      <c r="N1072" s="475">
        <v>44566</v>
      </c>
      <c r="O1072" s="475">
        <v>44652</v>
      </c>
      <c r="P1072" s="475">
        <v>44678</v>
      </c>
      <c r="Q1072" s="475">
        <v>44680</v>
      </c>
      <c r="R1072" s="475">
        <v>44685</v>
      </c>
      <c r="S1072" s="474" t="s">
        <v>2904</v>
      </c>
      <c r="T1072" s="474">
        <v>60</v>
      </c>
      <c r="U1072" s="474" t="s">
        <v>1760</v>
      </c>
      <c r="V1072" s="474" t="s">
        <v>973</v>
      </c>
      <c r="W1072" s="474">
        <v>400</v>
      </c>
      <c r="X1072" s="476">
        <v>1408</v>
      </c>
      <c r="Y1072" s="491">
        <f t="shared" si="215"/>
        <v>563200</v>
      </c>
      <c r="Z1072" s="478">
        <v>0.55000000000000004</v>
      </c>
      <c r="AA1072" s="492">
        <f t="shared" si="210"/>
        <v>309760</v>
      </c>
      <c r="AB1072" s="492"/>
      <c r="AC1072" s="446">
        <v>0</v>
      </c>
      <c r="AD1072" s="490"/>
      <c r="AE1072" s="482"/>
      <c r="AF1072" s="580">
        <f t="shared" si="211"/>
        <v>309760</v>
      </c>
      <c r="AG1072" s="474" t="s">
        <v>1071</v>
      </c>
      <c r="AH1072" s="474"/>
      <c r="AI1072" s="474">
        <v>60</v>
      </c>
      <c r="AJ1072" s="475" t="s">
        <v>5654</v>
      </c>
      <c r="AK1072" s="483" t="s">
        <v>1347</v>
      </c>
      <c r="AL1072" s="483" t="s">
        <v>5655</v>
      </c>
      <c r="AM1072" s="474" t="s">
        <v>52</v>
      </c>
      <c r="AN1072" s="474" t="s">
        <v>1568</v>
      </c>
      <c r="AO1072" s="474"/>
      <c r="AP1072" s="482"/>
      <c r="AQ1072" s="482" t="s">
        <v>37</v>
      </c>
      <c r="AR1072" s="439" t="s">
        <v>1248</v>
      </c>
      <c r="AS1072" s="436" t="s">
        <v>1076</v>
      </c>
      <c r="AT1072" s="436" t="s">
        <v>1076</v>
      </c>
      <c r="AU1072" s="478">
        <v>0.47499999999999998</v>
      </c>
      <c r="AV1072" s="471" t="str">
        <f t="shared" si="212"/>
        <v>30390156H</v>
      </c>
      <c r="AW1072" s="471" cm="1">
        <f t="array" ref="AW1072">SUM(MID(0&amp;AV1072,LARGE(INDEX(ISNUMBER(--MID(AV1072,ROW($1:$8),1))*ROW($1:$8),),ROW($1:$8))+1,1)*10^ROW($1:$8)/10)</f>
        <v>30390156</v>
      </c>
      <c r="AX1072" s="471" t="str">
        <f>VLOOKUP($AW1072,'Item Master Data'!$A:$F,3,FALSE)</f>
        <v>Q.PEAK DUO BLK ML G10+</v>
      </c>
      <c r="AY1072" s="471">
        <f>VLOOKUP($AW1072,'Item Master Data'!$A:$F,6,FALSE)</f>
        <v>400</v>
      </c>
      <c r="AZ1072" s="471">
        <f t="shared" si="213"/>
        <v>44</v>
      </c>
      <c r="BA1072" s="471">
        <f>VLOOKUP(AW1072,'Item Master Data'!$A:$G,7,FALSE)</f>
        <v>32</v>
      </c>
      <c r="BB1072" s="471"/>
      <c r="BC1072" s="471">
        <f t="shared" si="214"/>
        <v>0</v>
      </c>
    </row>
    <row r="1073" spans="1:55">
      <c r="A1073" s="472"/>
      <c r="B1073" s="467">
        <v>44628</v>
      </c>
      <c r="C1073" s="467">
        <v>44628</v>
      </c>
      <c r="D1073" s="474" t="s">
        <v>2901</v>
      </c>
      <c r="E1073" s="474"/>
      <c r="F1073" s="474" t="s">
        <v>1147</v>
      </c>
      <c r="G1073" s="474">
        <v>2022</v>
      </c>
      <c r="H1073" s="474">
        <v>4</v>
      </c>
      <c r="I1073" s="474">
        <v>128240</v>
      </c>
      <c r="J1073" s="475">
        <v>44670</v>
      </c>
      <c r="K1073" s="474" t="s">
        <v>2936</v>
      </c>
      <c r="L1073" s="474" t="s">
        <v>2933</v>
      </c>
      <c r="M1073" s="475">
        <v>44622</v>
      </c>
      <c r="N1073" s="475">
        <v>44622</v>
      </c>
      <c r="O1073" s="475"/>
      <c r="P1073" s="475">
        <v>44642</v>
      </c>
      <c r="Q1073" s="475">
        <v>44670</v>
      </c>
      <c r="R1073" s="475">
        <v>44671</v>
      </c>
      <c r="S1073" s="474" t="s">
        <v>2904</v>
      </c>
      <c r="T1073" s="474">
        <v>72</v>
      </c>
      <c r="U1073" s="474">
        <v>49302155</v>
      </c>
      <c r="V1073" s="474" t="s">
        <v>1104</v>
      </c>
      <c r="W1073" s="474">
        <v>475</v>
      </c>
      <c r="X1073" s="432">
        <v>638</v>
      </c>
      <c r="Y1073" s="477">
        <f t="shared" si="215"/>
        <v>303050</v>
      </c>
      <c r="Z1073" s="478">
        <v>0.48501052631000002</v>
      </c>
      <c r="AA1073" s="479">
        <f t="shared" si="210"/>
        <v>146982.43999824551</v>
      </c>
      <c r="AB1073" s="479"/>
      <c r="AC1073" s="446">
        <v>0</v>
      </c>
      <c r="AD1073" s="490"/>
      <c r="AE1073" s="437"/>
      <c r="AF1073" s="580">
        <f t="shared" si="211"/>
        <v>146982.43999824551</v>
      </c>
      <c r="AG1073" s="474" t="s">
        <v>1071</v>
      </c>
      <c r="AH1073" s="438"/>
      <c r="AI1073" s="474">
        <v>60</v>
      </c>
      <c r="AJ1073" s="484" t="s">
        <v>1083</v>
      </c>
      <c r="AK1073" s="474" t="s">
        <v>1084</v>
      </c>
      <c r="AL1073" s="483" t="s">
        <v>2934</v>
      </c>
      <c r="AM1073" s="474" t="s">
        <v>52</v>
      </c>
      <c r="AN1073" s="474" t="s">
        <v>2928</v>
      </c>
      <c r="AO1073" s="474"/>
      <c r="AP1073" s="486"/>
      <c r="AQ1073" s="439" t="s">
        <v>37</v>
      </c>
      <c r="AR1073" s="439" t="s">
        <v>1248</v>
      </c>
      <c r="AS1073" s="473" t="s">
        <v>1076</v>
      </c>
      <c r="AT1073" s="473" t="s">
        <v>1076</v>
      </c>
      <c r="AU1073" s="472"/>
      <c r="AV1073" s="471">
        <f t="shared" si="212"/>
        <v>49302155</v>
      </c>
      <c r="AW1073" s="471" cm="1">
        <f t="array" ref="AW1073">SUM(MID(0&amp;AV1073,LARGE(INDEX(ISNUMBER(--MID(AV1073,ROW($1:$8),1))*ROW($1:$8),),ROW($1:$8))+1,1)*10^ROW($1:$8)/10)</f>
        <v>49302155</v>
      </c>
      <c r="AX1073" s="471" t="str">
        <f>VLOOKUP($AW1073,'Item Master Data'!$A:$F,3,FALSE)</f>
        <v>Q.PEAK DUO XL G10</v>
      </c>
      <c r="AY1073" s="471">
        <f>VLOOKUP($AW1073,'Item Master Data'!$A:$F,6,FALSE)</f>
        <v>475</v>
      </c>
      <c r="AZ1073" s="471">
        <f t="shared" si="213"/>
        <v>22</v>
      </c>
      <c r="BA1073" s="471">
        <f>VLOOKUP(AW1073,'Item Master Data'!$A:$G,7,FALSE)</f>
        <v>29</v>
      </c>
      <c r="BB1073" s="471"/>
      <c r="BC1073" s="471">
        <f t="shared" si="214"/>
        <v>0</v>
      </c>
    </row>
    <row r="1074" spans="1:55">
      <c r="A1074" s="472"/>
      <c r="B1074" s="467">
        <v>44628</v>
      </c>
      <c r="C1074" s="467">
        <v>44628</v>
      </c>
      <c r="D1074" s="474" t="s">
        <v>2901</v>
      </c>
      <c r="E1074" s="474" t="s">
        <v>5746</v>
      </c>
      <c r="F1074" s="474" t="s">
        <v>1147</v>
      </c>
      <c r="G1074" s="474">
        <v>2022</v>
      </c>
      <c r="H1074" s="474">
        <v>4</v>
      </c>
      <c r="I1074" s="474" t="s">
        <v>3023</v>
      </c>
      <c r="J1074" s="475">
        <v>44670</v>
      </c>
      <c r="K1074" s="474" t="s">
        <v>2936</v>
      </c>
      <c r="L1074" s="474" t="s">
        <v>2933</v>
      </c>
      <c r="M1074" s="475">
        <v>44622</v>
      </c>
      <c r="N1074" s="475">
        <v>44622</v>
      </c>
      <c r="O1074" s="475"/>
      <c r="P1074" s="475">
        <v>44642</v>
      </c>
      <c r="Q1074" s="475">
        <v>44670</v>
      </c>
      <c r="R1074" s="475">
        <v>44679</v>
      </c>
      <c r="S1074" s="474" t="s">
        <v>2904</v>
      </c>
      <c r="T1074" s="474">
        <v>72</v>
      </c>
      <c r="U1074" s="474">
        <v>49302155</v>
      </c>
      <c r="V1074" s="474" t="s">
        <v>1104</v>
      </c>
      <c r="W1074" s="474">
        <v>475</v>
      </c>
      <c r="X1074" s="432">
        <v>638</v>
      </c>
      <c r="Y1074" s="477">
        <f t="shared" si="215"/>
        <v>303050</v>
      </c>
      <c r="Z1074" s="478">
        <v>0.48501052631000002</v>
      </c>
      <c r="AA1074" s="479">
        <f t="shared" si="210"/>
        <v>146982.43999824551</v>
      </c>
      <c r="AB1074" s="479"/>
      <c r="AC1074" s="446">
        <v>0</v>
      </c>
      <c r="AD1074" s="490"/>
      <c r="AE1074" s="437"/>
      <c r="AF1074" s="580">
        <f t="shared" si="211"/>
        <v>146982.43999824551</v>
      </c>
      <c r="AG1074" s="474" t="s">
        <v>1071</v>
      </c>
      <c r="AH1074" s="438"/>
      <c r="AI1074" s="474">
        <v>60</v>
      </c>
      <c r="AJ1074" s="484" t="s">
        <v>1083</v>
      </c>
      <c r="AK1074" s="474" t="s">
        <v>1084</v>
      </c>
      <c r="AL1074" s="483" t="s">
        <v>2934</v>
      </c>
      <c r="AM1074" s="474" t="s">
        <v>52</v>
      </c>
      <c r="AN1074" s="474" t="s">
        <v>2928</v>
      </c>
      <c r="AO1074" s="474"/>
      <c r="AP1074" s="486"/>
      <c r="AQ1074" s="439" t="s">
        <v>37</v>
      </c>
      <c r="AR1074" s="439" t="s">
        <v>1248</v>
      </c>
      <c r="AS1074" s="473" t="s">
        <v>1076</v>
      </c>
      <c r="AT1074" s="473" t="s">
        <v>1076</v>
      </c>
      <c r="AU1074" s="472"/>
      <c r="AV1074" s="471">
        <f t="shared" si="212"/>
        <v>49302155</v>
      </c>
      <c r="AW1074" s="471" cm="1">
        <f t="array" ref="AW1074">SUM(MID(0&amp;AV1074,LARGE(INDEX(ISNUMBER(--MID(AV1074,ROW($1:$8),1))*ROW($1:$8),),ROW($1:$8))+1,1)*10^ROW($1:$8)/10)</f>
        <v>49302155</v>
      </c>
      <c r="AX1074" s="471" t="str">
        <f>VLOOKUP($AW1074,'Item Master Data'!$A:$F,3,FALSE)</f>
        <v>Q.PEAK DUO XL G10</v>
      </c>
      <c r="AY1074" s="471">
        <f>VLOOKUP($AW1074,'Item Master Data'!$A:$F,6,FALSE)</f>
        <v>475</v>
      </c>
      <c r="AZ1074" s="471">
        <f t="shared" si="213"/>
        <v>22</v>
      </c>
      <c r="BA1074" s="471">
        <f>VLOOKUP(AW1074,'Item Master Data'!$A:$G,7,FALSE)</f>
        <v>29</v>
      </c>
      <c r="BB1074" s="471"/>
      <c r="BC1074" s="471">
        <f t="shared" si="214"/>
        <v>0</v>
      </c>
    </row>
    <row r="1075" spans="1:55">
      <c r="A1075" s="472"/>
      <c r="B1075" s="467">
        <v>44628</v>
      </c>
      <c r="C1075" s="467">
        <v>44628</v>
      </c>
      <c r="D1075" s="474" t="s">
        <v>2901</v>
      </c>
      <c r="E1075" s="474" t="s">
        <v>5656</v>
      </c>
      <c r="F1075" s="474" t="s">
        <v>1147</v>
      </c>
      <c r="G1075" s="474">
        <v>2022</v>
      </c>
      <c r="H1075" s="474">
        <v>4</v>
      </c>
      <c r="I1075" s="474"/>
      <c r="J1075" s="475"/>
      <c r="K1075" s="474" t="s">
        <v>2936</v>
      </c>
      <c r="L1075" s="474" t="s">
        <v>2933</v>
      </c>
      <c r="M1075" s="475">
        <v>44622</v>
      </c>
      <c r="N1075" s="475">
        <v>44622</v>
      </c>
      <c r="O1075" s="475"/>
      <c r="P1075" s="475">
        <v>44642</v>
      </c>
      <c r="Q1075" s="475">
        <v>44677</v>
      </c>
      <c r="R1075" s="475">
        <v>44678</v>
      </c>
      <c r="S1075" s="474" t="s">
        <v>2904</v>
      </c>
      <c r="T1075" s="474">
        <v>72</v>
      </c>
      <c r="U1075" s="474">
        <v>49302155</v>
      </c>
      <c r="V1075" s="474" t="s">
        <v>1104</v>
      </c>
      <c r="W1075" s="474">
        <v>475</v>
      </c>
      <c r="X1075" s="432">
        <v>1276</v>
      </c>
      <c r="Y1075" s="477">
        <f t="shared" si="215"/>
        <v>606100</v>
      </c>
      <c r="Z1075" s="478">
        <v>0.48501052631000002</v>
      </c>
      <c r="AA1075" s="479">
        <f t="shared" si="210"/>
        <v>293964.87999649101</v>
      </c>
      <c r="AB1075" s="479"/>
      <c r="AC1075" s="446">
        <v>0</v>
      </c>
      <c r="AD1075" s="490"/>
      <c r="AE1075" s="437"/>
      <c r="AF1075" s="580">
        <f t="shared" si="211"/>
        <v>293964.87999649101</v>
      </c>
      <c r="AG1075" s="474" t="s">
        <v>1071</v>
      </c>
      <c r="AH1075" s="438"/>
      <c r="AI1075" s="474">
        <v>60</v>
      </c>
      <c r="AJ1075" s="484" t="s">
        <v>1083</v>
      </c>
      <c r="AK1075" s="474" t="s">
        <v>1084</v>
      </c>
      <c r="AL1075" s="483" t="s">
        <v>2934</v>
      </c>
      <c r="AM1075" s="474" t="s">
        <v>52</v>
      </c>
      <c r="AN1075" s="474" t="s">
        <v>2928</v>
      </c>
      <c r="AO1075" s="474"/>
      <c r="AP1075" s="486"/>
      <c r="AQ1075" s="439" t="s">
        <v>37</v>
      </c>
      <c r="AR1075" s="439" t="s">
        <v>1248</v>
      </c>
      <c r="AS1075" s="473" t="s">
        <v>1076</v>
      </c>
      <c r="AT1075" s="473" t="s">
        <v>1076</v>
      </c>
      <c r="AU1075" s="472"/>
      <c r="AV1075" s="471">
        <f t="shared" si="212"/>
        <v>49302155</v>
      </c>
      <c r="AW1075" s="471" cm="1">
        <f t="array" ref="AW1075">SUM(MID(0&amp;AV1075,LARGE(INDEX(ISNUMBER(--MID(AV1075,ROW($1:$8),1))*ROW($1:$8),),ROW($1:$8))+1,1)*10^ROW($1:$8)/10)</f>
        <v>49302155</v>
      </c>
      <c r="AX1075" s="471" t="str">
        <f>VLOOKUP($AW1075,'Item Master Data'!$A:$F,3,FALSE)</f>
        <v>Q.PEAK DUO XL G10</v>
      </c>
      <c r="AY1075" s="471">
        <f>VLOOKUP($AW1075,'Item Master Data'!$A:$F,6,FALSE)</f>
        <v>475</v>
      </c>
      <c r="AZ1075" s="471">
        <f t="shared" si="213"/>
        <v>44</v>
      </c>
      <c r="BA1075" s="471">
        <f>VLOOKUP(AW1075,'Item Master Data'!$A:$G,7,FALSE)</f>
        <v>29</v>
      </c>
      <c r="BB1075" s="471"/>
      <c r="BC1075" s="471">
        <f t="shared" si="214"/>
        <v>0</v>
      </c>
    </row>
    <row r="1076" spans="1:55">
      <c r="A1076" s="472"/>
      <c r="B1076" s="467">
        <v>44664</v>
      </c>
      <c r="C1076" s="467">
        <v>44664</v>
      </c>
      <c r="D1076" s="474" t="s">
        <v>2901</v>
      </c>
      <c r="E1076" s="445"/>
      <c r="F1076" s="474" t="s">
        <v>1147</v>
      </c>
      <c r="G1076" s="474">
        <v>2022</v>
      </c>
      <c r="H1076" s="474">
        <v>4</v>
      </c>
      <c r="I1076" s="474">
        <v>128208</v>
      </c>
      <c r="J1076" s="475">
        <v>44671</v>
      </c>
      <c r="K1076" s="483" t="s">
        <v>2941</v>
      </c>
      <c r="L1076" s="474" t="s">
        <v>2933</v>
      </c>
      <c r="M1076" s="475">
        <v>44456</v>
      </c>
      <c r="N1076" s="475">
        <v>44536</v>
      </c>
      <c r="O1076" s="475"/>
      <c r="P1076" s="475">
        <v>44665</v>
      </c>
      <c r="Q1076" s="475">
        <v>44671</v>
      </c>
      <c r="R1076" s="475">
        <v>44672</v>
      </c>
      <c r="S1076" s="474" t="s">
        <v>2904</v>
      </c>
      <c r="T1076" s="474">
        <v>60</v>
      </c>
      <c r="U1076" s="474">
        <v>49405140</v>
      </c>
      <c r="V1076" s="474" t="s">
        <v>973</v>
      </c>
      <c r="W1076" s="474">
        <v>400</v>
      </c>
      <c r="X1076" s="476">
        <v>1536</v>
      </c>
      <c r="Y1076" s="491">
        <f t="shared" si="215"/>
        <v>614400</v>
      </c>
      <c r="Z1076" s="478">
        <v>0.55000000000000004</v>
      </c>
      <c r="AA1076" s="492">
        <f t="shared" si="210"/>
        <v>337920</v>
      </c>
      <c r="AB1076" s="492"/>
      <c r="AC1076" s="446">
        <v>0</v>
      </c>
      <c r="AD1076" s="490"/>
      <c r="AE1076" s="482"/>
      <c r="AF1076" s="580">
        <f t="shared" si="211"/>
        <v>337920</v>
      </c>
      <c r="AG1076" s="474" t="s">
        <v>1071</v>
      </c>
      <c r="AH1076" s="474"/>
      <c r="AI1076" s="474">
        <v>60</v>
      </c>
      <c r="AJ1076" s="475" t="s">
        <v>1135</v>
      </c>
      <c r="AK1076" s="483" t="s">
        <v>1084</v>
      </c>
      <c r="AL1076" s="483">
        <v>33064</v>
      </c>
      <c r="AM1076" s="474" t="s">
        <v>52</v>
      </c>
      <c r="AN1076" s="474" t="s">
        <v>2928</v>
      </c>
      <c r="AO1076" s="474"/>
      <c r="AP1076" s="482"/>
      <c r="AQ1076" s="482" t="s">
        <v>37</v>
      </c>
      <c r="AR1076" s="439" t="s">
        <v>1248</v>
      </c>
      <c r="AS1076" s="436" t="s">
        <v>1076</v>
      </c>
      <c r="AT1076" s="436" t="s">
        <v>1076</v>
      </c>
      <c r="AU1076" s="478">
        <v>0.47499999999999998</v>
      </c>
      <c r="AV1076" s="471">
        <f t="shared" si="212"/>
        <v>49405140</v>
      </c>
      <c r="AW1076" s="471" cm="1">
        <f t="array" ref="AW1076">SUM(MID(0&amp;AV1076,LARGE(INDEX(ISNUMBER(--MID(AV1076,ROW($1:$8),1))*ROW($1:$8),),ROW($1:$8))+1,1)*10^ROW($1:$8)/10)</f>
        <v>49405140</v>
      </c>
      <c r="AX1076" s="471" t="str">
        <f>VLOOKUP($AW1076,'Item Master Data'!$A:$F,3,FALSE)</f>
        <v>Q.PEAK DUO BLK ML G10+</v>
      </c>
      <c r="AY1076" s="471">
        <f>VLOOKUP($AW1076,'Item Master Data'!$A:$F,6,FALSE)</f>
        <v>400</v>
      </c>
      <c r="AZ1076" s="471">
        <f t="shared" si="213"/>
        <v>48</v>
      </c>
      <c r="BA1076" s="471">
        <f>VLOOKUP(AW1076,'Item Master Data'!$A:$G,7,FALSE)</f>
        <v>32</v>
      </c>
      <c r="BB1076" s="471"/>
      <c r="BC1076" s="471">
        <f t="shared" si="214"/>
        <v>0</v>
      </c>
    </row>
    <row r="1077" spans="1:55">
      <c r="A1077" s="472"/>
      <c r="B1077" s="467">
        <v>44635</v>
      </c>
      <c r="C1077" s="467">
        <v>44636</v>
      </c>
      <c r="D1077" s="474" t="s">
        <v>2901</v>
      </c>
      <c r="E1077" s="445" t="s">
        <v>5572</v>
      </c>
      <c r="F1077" s="474" t="s">
        <v>1147</v>
      </c>
      <c r="G1077" s="474">
        <v>2022</v>
      </c>
      <c r="H1077" s="474">
        <v>4</v>
      </c>
      <c r="I1077" s="474"/>
      <c r="J1077" s="556"/>
      <c r="K1077" s="483" t="s">
        <v>2962</v>
      </c>
      <c r="L1077" s="474" t="s">
        <v>2947</v>
      </c>
      <c r="M1077" s="475">
        <v>44497</v>
      </c>
      <c r="N1077" s="475">
        <v>44652</v>
      </c>
      <c r="O1077" s="475"/>
      <c r="P1077" s="475">
        <v>44662</v>
      </c>
      <c r="Q1077" s="475"/>
      <c r="R1077" s="475"/>
      <c r="S1077" s="474" t="s">
        <v>2904</v>
      </c>
      <c r="T1077" s="474">
        <v>60</v>
      </c>
      <c r="U1077" s="474">
        <v>49203132</v>
      </c>
      <c r="V1077" s="474" t="s">
        <v>986</v>
      </c>
      <c r="W1077" s="474">
        <v>360</v>
      </c>
      <c r="X1077" s="476">
        <v>2496</v>
      </c>
      <c r="Y1077" s="491">
        <f t="shared" si="215"/>
        <v>898560</v>
      </c>
      <c r="Z1077" s="478">
        <v>0.53</v>
      </c>
      <c r="AA1077" s="492">
        <f t="shared" si="210"/>
        <v>476236.80000000005</v>
      </c>
      <c r="AB1077" s="492"/>
      <c r="AC1077" s="446">
        <v>0</v>
      </c>
      <c r="AD1077" s="490"/>
      <c r="AE1077" s="482"/>
      <c r="AF1077" s="580">
        <f t="shared" si="211"/>
        <v>476236.80000000005</v>
      </c>
      <c r="AG1077" s="474" t="s">
        <v>1071</v>
      </c>
      <c r="AH1077" s="474"/>
      <c r="AI1077" s="474">
        <v>60</v>
      </c>
      <c r="AJ1077" s="475" t="s">
        <v>2277</v>
      </c>
      <c r="AK1077" s="483" t="s">
        <v>1084</v>
      </c>
      <c r="AL1077" s="483">
        <v>32809</v>
      </c>
      <c r="AM1077" s="474" t="s">
        <v>52</v>
      </c>
      <c r="AN1077" s="474" t="s">
        <v>2928</v>
      </c>
      <c r="AO1077" s="474"/>
      <c r="AP1077" s="482"/>
      <c r="AQ1077" s="482" t="s">
        <v>37</v>
      </c>
      <c r="AR1077" s="439" t="s">
        <v>2953</v>
      </c>
      <c r="AS1077" s="436" t="s">
        <v>1076</v>
      </c>
      <c r="AT1077" s="436" t="s">
        <v>1076</v>
      </c>
      <c r="AU1077" s="478">
        <v>0.5</v>
      </c>
      <c r="AV1077" s="471">
        <f t="shared" si="212"/>
        <v>49203132</v>
      </c>
      <c r="AW1077" s="471" cm="1">
        <f t="array" ref="AW1077">SUM(MID(0&amp;AV1077,LARGE(INDEX(ISNUMBER(--MID(AV1077,ROW($1:$8),1))*ROW($1:$8),),ROW($1:$8))+1,1)*10^ROW($1:$8)/10)</f>
        <v>49203132</v>
      </c>
      <c r="AX1077" s="471" t="str">
        <f>VLOOKUP($AW1077,'Item Master Data'!$A:$F,3,FALSE)</f>
        <v>Q.PEAK DUO BLK G10+</v>
      </c>
      <c r="AY1077" s="471">
        <f>VLOOKUP($AW1077,'Item Master Data'!$A:$F,6,FALSE)</f>
        <v>360</v>
      </c>
      <c r="AZ1077" s="471">
        <f t="shared" si="213"/>
        <v>78</v>
      </c>
      <c r="BA1077" s="471">
        <f>VLOOKUP(AW1077,'Item Master Data'!$A:$G,7,FALSE)</f>
        <v>32</v>
      </c>
      <c r="BB1077" s="471"/>
      <c r="BC1077" s="471">
        <f t="shared" si="214"/>
        <v>0</v>
      </c>
    </row>
    <row r="1078" spans="1:55">
      <c r="A1078" s="472"/>
      <c r="B1078" s="467">
        <v>44629</v>
      </c>
      <c r="C1078" s="467">
        <v>44629</v>
      </c>
      <c r="D1078" s="474" t="s">
        <v>2901</v>
      </c>
      <c r="E1078" s="445"/>
      <c r="F1078" s="474" t="s">
        <v>1147</v>
      </c>
      <c r="G1078" s="474">
        <v>2022</v>
      </c>
      <c r="H1078" s="474">
        <v>4</v>
      </c>
      <c r="I1078" s="474" t="s">
        <v>5389</v>
      </c>
      <c r="J1078" s="556">
        <v>44671</v>
      </c>
      <c r="K1078" s="483" t="s">
        <v>2977</v>
      </c>
      <c r="L1078" s="474" t="s">
        <v>2947</v>
      </c>
      <c r="M1078" s="475">
        <v>44501</v>
      </c>
      <c r="N1078" s="475">
        <v>44563</v>
      </c>
      <c r="O1078" s="475"/>
      <c r="P1078" s="475">
        <v>44665</v>
      </c>
      <c r="Q1078" s="475">
        <v>44671</v>
      </c>
      <c r="R1078" s="475">
        <v>44672</v>
      </c>
      <c r="S1078" s="474" t="s">
        <v>2904</v>
      </c>
      <c r="T1078" s="474">
        <v>60</v>
      </c>
      <c r="U1078" s="474">
        <v>49405140</v>
      </c>
      <c r="V1078" s="474" t="s">
        <v>973</v>
      </c>
      <c r="W1078" s="474">
        <v>400</v>
      </c>
      <c r="X1078" s="476">
        <v>2496</v>
      </c>
      <c r="Y1078" s="491">
        <f t="shared" si="215"/>
        <v>998400</v>
      </c>
      <c r="Z1078" s="478">
        <v>0.55000000000000004</v>
      </c>
      <c r="AA1078" s="492">
        <f t="shared" si="210"/>
        <v>549120</v>
      </c>
      <c r="AB1078" s="492"/>
      <c r="AC1078" s="446">
        <v>0</v>
      </c>
      <c r="AD1078" s="490"/>
      <c r="AE1078" s="482"/>
      <c r="AF1078" s="580">
        <f t="shared" si="211"/>
        <v>549120</v>
      </c>
      <c r="AG1078" s="474" t="s">
        <v>1071</v>
      </c>
      <c r="AH1078" s="474"/>
      <c r="AI1078" s="474">
        <v>60</v>
      </c>
      <c r="AJ1078" s="475" t="s">
        <v>2277</v>
      </c>
      <c r="AK1078" s="483" t="s">
        <v>1084</v>
      </c>
      <c r="AL1078" s="483" t="s">
        <v>2948</v>
      </c>
      <c r="AM1078" s="474" t="s">
        <v>52</v>
      </c>
      <c r="AN1078" s="474" t="s">
        <v>2928</v>
      </c>
      <c r="AO1078" s="474"/>
      <c r="AP1078" s="482"/>
      <c r="AQ1078" s="482" t="s">
        <v>37</v>
      </c>
      <c r="AR1078" s="439" t="s">
        <v>1248</v>
      </c>
      <c r="AS1078" s="436" t="s">
        <v>1087</v>
      </c>
      <c r="AT1078" s="436" t="s">
        <v>1076</v>
      </c>
      <c r="AU1078" s="478">
        <v>0.47499999999999998</v>
      </c>
      <c r="AV1078" s="471">
        <f t="shared" si="212"/>
        <v>49405140</v>
      </c>
      <c r="AW1078" s="471" cm="1">
        <f t="array" ref="AW1078">SUM(MID(0&amp;AV1078,LARGE(INDEX(ISNUMBER(--MID(AV1078,ROW($1:$8),1))*ROW($1:$8),),ROW($1:$8))+1,1)*10^ROW($1:$8)/10)</f>
        <v>49405140</v>
      </c>
      <c r="AX1078" s="471" t="str">
        <f>VLOOKUP($AW1078,'Item Master Data'!$A:$F,3,FALSE)</f>
        <v>Q.PEAK DUO BLK ML G10+</v>
      </c>
      <c r="AY1078" s="471">
        <f>VLOOKUP($AW1078,'Item Master Data'!$A:$F,6,FALSE)</f>
        <v>400</v>
      </c>
      <c r="AZ1078" s="471">
        <f t="shared" si="213"/>
        <v>78</v>
      </c>
      <c r="BA1078" s="471">
        <f>VLOOKUP(AW1078,'Item Master Data'!$A:$G,7,FALSE)</f>
        <v>32</v>
      </c>
      <c r="BB1078" s="471"/>
      <c r="BC1078" s="471">
        <f t="shared" si="214"/>
        <v>0</v>
      </c>
    </row>
    <row r="1079" spans="1:55">
      <c r="A1079" s="472"/>
      <c r="B1079" s="467">
        <v>44629</v>
      </c>
      <c r="C1079" s="467">
        <v>44629</v>
      </c>
      <c r="D1079" s="474" t="s">
        <v>2901</v>
      </c>
      <c r="E1079" s="445" t="s">
        <v>5657</v>
      </c>
      <c r="F1079" s="474" t="s">
        <v>1147</v>
      </c>
      <c r="G1079" s="474">
        <v>2022</v>
      </c>
      <c r="H1079" s="474">
        <v>4</v>
      </c>
      <c r="I1079" s="474"/>
      <c r="J1079" s="556"/>
      <c r="K1079" s="483" t="s">
        <v>2977</v>
      </c>
      <c r="L1079" s="474" t="s">
        <v>2947</v>
      </c>
      <c r="M1079" s="475">
        <v>44501</v>
      </c>
      <c r="N1079" s="475">
        <v>44563</v>
      </c>
      <c r="O1079" s="475"/>
      <c r="P1079" s="475">
        <v>44678</v>
      </c>
      <c r="Q1079" s="475">
        <v>44680</v>
      </c>
      <c r="R1079" s="475">
        <v>44684</v>
      </c>
      <c r="S1079" s="474" t="s">
        <v>2904</v>
      </c>
      <c r="T1079" s="474">
        <v>60</v>
      </c>
      <c r="U1079" s="474" t="s">
        <v>1281</v>
      </c>
      <c r="V1079" s="474" t="s">
        <v>973</v>
      </c>
      <c r="W1079" s="474">
        <v>400</v>
      </c>
      <c r="X1079" s="476">
        <v>3328</v>
      </c>
      <c r="Y1079" s="477">
        <f>X1079*W1079</f>
        <v>1331200</v>
      </c>
      <c r="Z1079" s="478">
        <v>0.55000000000000004</v>
      </c>
      <c r="AA1079" s="479">
        <f>Z1079*Y1079</f>
        <v>732160.00000000012</v>
      </c>
      <c r="AB1079" s="479"/>
      <c r="AC1079" s="446">
        <v>0</v>
      </c>
      <c r="AD1079" s="490"/>
      <c r="AE1079" s="482"/>
      <c r="AF1079" s="580">
        <f>AA1079+AE1079</f>
        <v>732160.00000000012</v>
      </c>
      <c r="AG1079" s="474" t="s">
        <v>1071</v>
      </c>
      <c r="AH1079" s="474"/>
      <c r="AI1079" s="474">
        <v>60</v>
      </c>
      <c r="AJ1079" s="475" t="s">
        <v>2277</v>
      </c>
      <c r="AK1079" s="483" t="s">
        <v>1084</v>
      </c>
      <c r="AL1079" s="483" t="s">
        <v>2948</v>
      </c>
      <c r="AM1079" s="474" t="s">
        <v>52</v>
      </c>
      <c r="AN1079" s="474" t="s">
        <v>1085</v>
      </c>
      <c r="AO1079" s="474"/>
      <c r="AP1079" s="482" t="s">
        <v>5573</v>
      </c>
      <c r="AQ1079" s="482" t="s">
        <v>37</v>
      </c>
      <c r="AR1079" s="439" t="s">
        <v>1248</v>
      </c>
      <c r="AS1079" s="436" t="s">
        <v>1087</v>
      </c>
      <c r="AT1079" s="436" t="s">
        <v>1076</v>
      </c>
      <c r="AU1079" s="478">
        <v>0.47499999999999998</v>
      </c>
      <c r="AV1079" s="471" t="str">
        <f t="shared" si="212"/>
        <v>30390456H</v>
      </c>
      <c r="AW1079" s="471" cm="1">
        <f t="array" ref="AW1079">SUM(MID(0&amp;AV1079,LARGE(INDEX(ISNUMBER(--MID(AV1079,ROW($1:$8),1))*ROW($1:$8),),ROW($1:$8))+1,1)*10^ROW($1:$8)/10)</f>
        <v>30390456</v>
      </c>
      <c r="AX1079" s="471" t="str">
        <f>VLOOKUP($AW1079,'Item Master Data'!$A:$F,3,FALSE)</f>
        <v>Q.PEAK DUO BLK ML G10+</v>
      </c>
      <c r="AY1079" s="471">
        <f>VLOOKUP($AW1079,'Item Master Data'!$A:$F,6,FALSE)</f>
        <v>400</v>
      </c>
      <c r="AZ1079" s="471">
        <f t="shared" si="213"/>
        <v>104</v>
      </c>
      <c r="BA1079" s="471">
        <f>VLOOKUP(AW1079,'Item Master Data'!$A:$G,7,FALSE)</f>
        <v>32</v>
      </c>
      <c r="BB1079" s="471"/>
      <c r="BC1079" s="471">
        <f t="shared" si="214"/>
        <v>0</v>
      </c>
    </row>
    <row r="1080" spans="1:55">
      <c r="A1080" s="472"/>
      <c r="B1080" s="467">
        <v>44629</v>
      </c>
      <c r="C1080" s="467">
        <v>44629</v>
      </c>
      <c r="D1080" s="474" t="s">
        <v>2901</v>
      </c>
      <c r="E1080" s="445" t="s">
        <v>5657</v>
      </c>
      <c r="F1080" s="474" t="s">
        <v>1147</v>
      </c>
      <c r="G1080" s="474">
        <v>2022</v>
      </c>
      <c r="H1080" s="474">
        <v>4</v>
      </c>
      <c r="I1080" s="474" t="s">
        <v>5500</v>
      </c>
      <c r="J1080" s="556"/>
      <c r="K1080" s="483" t="s">
        <v>2977</v>
      </c>
      <c r="L1080" s="474" t="s">
        <v>2947</v>
      </c>
      <c r="M1080" s="475">
        <v>44501</v>
      </c>
      <c r="N1080" s="475">
        <v>44563</v>
      </c>
      <c r="O1080" s="475"/>
      <c r="P1080" s="475">
        <v>44678</v>
      </c>
      <c r="Q1080" s="475">
        <v>44683</v>
      </c>
      <c r="R1080" s="475">
        <v>44685</v>
      </c>
      <c r="S1080" s="474" t="s">
        <v>2904</v>
      </c>
      <c r="T1080" s="474">
        <v>60</v>
      </c>
      <c r="U1080" s="474" t="s">
        <v>1281</v>
      </c>
      <c r="V1080" s="474" t="s">
        <v>973</v>
      </c>
      <c r="W1080" s="474">
        <v>400</v>
      </c>
      <c r="X1080" s="476">
        <v>832</v>
      </c>
      <c r="Y1080" s="491">
        <f t="shared" ref="Y1080" si="216">X1080*W1080</f>
        <v>332800</v>
      </c>
      <c r="Z1080" s="478">
        <v>0.55000000000000004</v>
      </c>
      <c r="AA1080" s="492">
        <f t="shared" ref="AA1080" si="217">Z1080*Y1080</f>
        <v>183040.00000000003</v>
      </c>
      <c r="AB1080" s="492"/>
      <c r="AC1080" s="446">
        <v>0</v>
      </c>
      <c r="AD1080" s="490"/>
      <c r="AE1080" s="482"/>
      <c r="AF1080" s="580">
        <f t="shared" ref="AF1080" si="218">AA1080+AE1080</f>
        <v>183040.00000000003</v>
      </c>
      <c r="AG1080" s="474" t="s">
        <v>1071</v>
      </c>
      <c r="AH1080" s="474"/>
      <c r="AI1080" s="474">
        <v>60</v>
      </c>
      <c r="AJ1080" s="475" t="s">
        <v>2277</v>
      </c>
      <c r="AK1080" s="483" t="s">
        <v>1084</v>
      </c>
      <c r="AL1080" s="483" t="s">
        <v>2948</v>
      </c>
      <c r="AM1080" s="474" t="s">
        <v>52</v>
      </c>
      <c r="AN1080" s="474" t="s">
        <v>1085</v>
      </c>
      <c r="AO1080" s="474"/>
      <c r="AP1080" s="482" t="s">
        <v>5573</v>
      </c>
      <c r="AQ1080" s="482" t="s">
        <v>37</v>
      </c>
      <c r="AR1080" s="439" t="s">
        <v>1248</v>
      </c>
      <c r="AS1080" s="436" t="s">
        <v>1087</v>
      </c>
      <c r="AT1080" s="436" t="s">
        <v>1076</v>
      </c>
      <c r="AU1080" s="478">
        <v>0.47499999999999998</v>
      </c>
      <c r="AV1080" s="471" t="str">
        <f t="shared" si="212"/>
        <v>30390456H</v>
      </c>
      <c r="AW1080" s="471" cm="1">
        <f t="array" ref="AW1080">SUM(MID(0&amp;AV1080,LARGE(INDEX(ISNUMBER(--MID(AV1080,ROW($1:$8),1))*ROW($1:$8),),ROW($1:$8))+1,1)*10^ROW($1:$8)/10)</f>
        <v>30390456</v>
      </c>
      <c r="AX1080" s="471" t="str">
        <f>VLOOKUP($AW1080,'Item Master Data'!$A:$F,3,FALSE)</f>
        <v>Q.PEAK DUO BLK ML G10+</v>
      </c>
      <c r="AY1080" s="471">
        <f>VLOOKUP($AW1080,'Item Master Data'!$A:$F,6,FALSE)</f>
        <v>400</v>
      </c>
      <c r="AZ1080" s="471">
        <f t="shared" si="213"/>
        <v>26</v>
      </c>
      <c r="BA1080" s="471">
        <f>VLOOKUP(AW1080,'Item Master Data'!$A:$G,7,FALSE)</f>
        <v>32</v>
      </c>
      <c r="BB1080" s="471"/>
      <c r="BC1080" s="471">
        <f t="shared" si="214"/>
        <v>0</v>
      </c>
    </row>
    <row r="1081" spans="1:55">
      <c r="A1081" s="472"/>
      <c r="B1081" s="467">
        <v>44629</v>
      </c>
      <c r="C1081" s="467">
        <v>44629</v>
      </c>
      <c r="D1081" s="474" t="s">
        <v>2901</v>
      </c>
      <c r="E1081" s="445" t="s">
        <v>5658</v>
      </c>
      <c r="F1081" s="474" t="s">
        <v>1147</v>
      </c>
      <c r="G1081" s="474">
        <v>2022</v>
      </c>
      <c r="H1081" s="474">
        <v>4</v>
      </c>
      <c r="I1081" s="474"/>
      <c r="J1081" s="556"/>
      <c r="K1081" s="483" t="s">
        <v>2977</v>
      </c>
      <c r="L1081" s="474" t="s">
        <v>2947</v>
      </c>
      <c r="M1081" s="475">
        <v>44501</v>
      </c>
      <c r="N1081" s="475">
        <v>44563</v>
      </c>
      <c r="O1081" s="475"/>
      <c r="P1081" s="475">
        <v>44678</v>
      </c>
      <c r="Q1081" s="475">
        <v>44680</v>
      </c>
      <c r="R1081" s="475">
        <v>44683</v>
      </c>
      <c r="S1081" s="474" t="s">
        <v>2904</v>
      </c>
      <c r="T1081" s="474">
        <v>60</v>
      </c>
      <c r="U1081" s="474" t="s">
        <v>1281</v>
      </c>
      <c r="V1081" s="474" t="s">
        <v>973</v>
      </c>
      <c r="W1081" s="474">
        <v>400</v>
      </c>
      <c r="X1081" s="476">
        <v>2496</v>
      </c>
      <c r="Y1081" s="477">
        <f>X1081*W1081</f>
        <v>998400</v>
      </c>
      <c r="Z1081" s="478">
        <v>0.55000000000000004</v>
      </c>
      <c r="AA1081" s="479">
        <f>Z1081*Y1081</f>
        <v>549120</v>
      </c>
      <c r="AB1081" s="479"/>
      <c r="AC1081" s="446">
        <v>0</v>
      </c>
      <c r="AD1081" s="490"/>
      <c r="AE1081" s="482"/>
      <c r="AF1081" s="580">
        <f>AA1081+AE1081</f>
        <v>549120</v>
      </c>
      <c r="AG1081" s="474" t="s">
        <v>1071</v>
      </c>
      <c r="AH1081" s="474"/>
      <c r="AI1081" s="474">
        <v>60</v>
      </c>
      <c r="AJ1081" s="475" t="s">
        <v>2277</v>
      </c>
      <c r="AK1081" s="483" t="s">
        <v>1084</v>
      </c>
      <c r="AL1081" s="483" t="s">
        <v>2948</v>
      </c>
      <c r="AM1081" s="474" t="s">
        <v>52</v>
      </c>
      <c r="AN1081" s="474" t="s">
        <v>1085</v>
      </c>
      <c r="AO1081" s="474"/>
      <c r="AP1081" s="482" t="s">
        <v>5573</v>
      </c>
      <c r="AQ1081" s="482" t="s">
        <v>37</v>
      </c>
      <c r="AR1081" s="439" t="s">
        <v>1248</v>
      </c>
      <c r="AS1081" s="436" t="s">
        <v>1087</v>
      </c>
      <c r="AT1081" s="436" t="s">
        <v>1076</v>
      </c>
      <c r="AU1081" s="478">
        <v>0.47499999999999998</v>
      </c>
      <c r="AV1081" s="471" t="str">
        <f t="shared" si="212"/>
        <v>30390456H</v>
      </c>
      <c r="AW1081" s="471" cm="1">
        <f t="array" ref="AW1081">SUM(MID(0&amp;AV1081,LARGE(INDEX(ISNUMBER(--MID(AV1081,ROW($1:$8),1))*ROW($1:$8),),ROW($1:$8))+1,1)*10^ROW($1:$8)/10)</f>
        <v>30390456</v>
      </c>
      <c r="AX1081" s="471" t="str">
        <f>VLOOKUP($AW1081,'Item Master Data'!$A:$F,3,FALSE)</f>
        <v>Q.PEAK DUO BLK ML G10+</v>
      </c>
      <c r="AY1081" s="471">
        <f>VLOOKUP($AW1081,'Item Master Data'!$A:$F,6,FALSE)</f>
        <v>400</v>
      </c>
      <c r="AZ1081" s="471">
        <f t="shared" si="213"/>
        <v>78</v>
      </c>
      <c r="BA1081" s="471">
        <f>VLOOKUP(AW1081,'Item Master Data'!$A:$G,7,FALSE)</f>
        <v>32</v>
      </c>
      <c r="BB1081" s="471"/>
      <c r="BC1081" s="471">
        <f t="shared" si="214"/>
        <v>0</v>
      </c>
    </row>
    <row r="1082" spans="1:55">
      <c r="A1082" s="472"/>
      <c r="B1082" s="467">
        <v>44629</v>
      </c>
      <c r="C1082" s="467">
        <v>44629</v>
      </c>
      <c r="D1082" s="474" t="s">
        <v>2901</v>
      </c>
      <c r="E1082" s="445" t="s">
        <v>5658</v>
      </c>
      <c r="F1082" s="474" t="s">
        <v>1147</v>
      </c>
      <c r="G1082" s="474">
        <v>2022</v>
      </c>
      <c r="H1082" s="474">
        <v>4</v>
      </c>
      <c r="I1082" s="474" t="s">
        <v>5500</v>
      </c>
      <c r="J1082" s="556"/>
      <c r="K1082" s="483" t="s">
        <v>2977</v>
      </c>
      <c r="L1082" s="474" t="s">
        <v>2947</v>
      </c>
      <c r="M1082" s="475">
        <v>44501</v>
      </c>
      <c r="N1082" s="475">
        <v>44563</v>
      </c>
      <c r="O1082" s="475"/>
      <c r="P1082" s="475">
        <v>44678</v>
      </c>
      <c r="Q1082" s="475">
        <v>44683</v>
      </c>
      <c r="R1082" s="475">
        <v>44685</v>
      </c>
      <c r="S1082" s="474" t="s">
        <v>2904</v>
      </c>
      <c r="T1082" s="474">
        <v>60</v>
      </c>
      <c r="U1082" s="474" t="s">
        <v>1281</v>
      </c>
      <c r="V1082" s="474" t="s">
        <v>973</v>
      </c>
      <c r="W1082" s="474">
        <v>400</v>
      </c>
      <c r="X1082" s="476">
        <v>832</v>
      </c>
      <c r="Y1082" s="491">
        <f t="shared" si="215"/>
        <v>332800</v>
      </c>
      <c r="Z1082" s="478">
        <v>0.55000000000000004</v>
      </c>
      <c r="AA1082" s="492">
        <f t="shared" si="210"/>
        <v>183040.00000000003</v>
      </c>
      <c r="AB1082" s="492"/>
      <c r="AC1082" s="446">
        <v>0</v>
      </c>
      <c r="AD1082" s="490"/>
      <c r="AE1082" s="482"/>
      <c r="AF1082" s="580">
        <f t="shared" si="211"/>
        <v>183040.00000000003</v>
      </c>
      <c r="AG1082" s="474" t="s">
        <v>1071</v>
      </c>
      <c r="AH1082" s="474"/>
      <c r="AI1082" s="474">
        <v>60</v>
      </c>
      <c r="AJ1082" s="475" t="s">
        <v>2277</v>
      </c>
      <c r="AK1082" s="483" t="s">
        <v>1084</v>
      </c>
      <c r="AL1082" s="483" t="s">
        <v>2948</v>
      </c>
      <c r="AM1082" s="474" t="s">
        <v>52</v>
      </c>
      <c r="AN1082" s="474" t="s">
        <v>1085</v>
      </c>
      <c r="AO1082" s="474"/>
      <c r="AP1082" s="482" t="s">
        <v>5573</v>
      </c>
      <c r="AQ1082" s="482" t="s">
        <v>37</v>
      </c>
      <c r="AR1082" s="439" t="s">
        <v>1248</v>
      </c>
      <c r="AS1082" s="436" t="s">
        <v>1087</v>
      </c>
      <c r="AT1082" s="436" t="s">
        <v>1076</v>
      </c>
      <c r="AU1082" s="478">
        <v>0.47499999999999998</v>
      </c>
      <c r="AV1082" s="471" t="str">
        <f t="shared" si="212"/>
        <v>30390456H</v>
      </c>
      <c r="AW1082" s="471" cm="1">
        <f t="array" ref="AW1082">SUM(MID(0&amp;AV1082,LARGE(INDEX(ISNUMBER(--MID(AV1082,ROW($1:$8),1))*ROW($1:$8),),ROW($1:$8))+1,1)*10^ROW($1:$8)/10)</f>
        <v>30390456</v>
      </c>
      <c r="AX1082" s="471" t="str">
        <f>VLOOKUP($AW1082,'Item Master Data'!$A:$F,3,FALSE)</f>
        <v>Q.PEAK DUO BLK ML G10+</v>
      </c>
      <c r="AY1082" s="471">
        <f>VLOOKUP($AW1082,'Item Master Data'!$A:$F,6,FALSE)</f>
        <v>400</v>
      </c>
      <c r="AZ1082" s="471">
        <f t="shared" si="213"/>
        <v>26</v>
      </c>
      <c r="BA1082" s="471">
        <f>VLOOKUP(AW1082,'Item Master Data'!$A:$G,7,FALSE)</f>
        <v>32</v>
      </c>
      <c r="BB1082" s="471"/>
      <c r="BC1082" s="471">
        <f t="shared" si="214"/>
        <v>0</v>
      </c>
    </row>
    <row r="1083" spans="1:55">
      <c r="A1083" s="472"/>
      <c r="B1083" s="467">
        <v>44662</v>
      </c>
      <c r="C1083" s="467">
        <v>44662</v>
      </c>
      <c r="D1083" s="474" t="s">
        <v>2901</v>
      </c>
      <c r="E1083" s="445"/>
      <c r="F1083" s="474" t="s">
        <v>1147</v>
      </c>
      <c r="G1083" s="474">
        <v>2022</v>
      </c>
      <c r="H1083" s="474">
        <v>5</v>
      </c>
      <c r="I1083" s="474"/>
      <c r="J1083" s="556"/>
      <c r="K1083" s="483" t="s">
        <v>2978</v>
      </c>
      <c r="L1083" s="474" t="s">
        <v>2947</v>
      </c>
      <c r="M1083" s="475">
        <v>44518</v>
      </c>
      <c r="N1083" s="475">
        <v>44593</v>
      </c>
      <c r="O1083" s="475"/>
      <c r="P1083" s="475">
        <v>44678</v>
      </c>
      <c r="Q1083" s="475"/>
      <c r="R1083" s="475"/>
      <c r="S1083" s="474" t="s">
        <v>2904</v>
      </c>
      <c r="T1083" s="474">
        <v>60</v>
      </c>
      <c r="U1083" s="474" t="s">
        <v>1281</v>
      </c>
      <c r="V1083" s="474" t="s">
        <v>973</v>
      </c>
      <c r="W1083" s="474">
        <v>400</v>
      </c>
      <c r="X1083" s="476">
        <v>4992</v>
      </c>
      <c r="Y1083" s="491">
        <f t="shared" si="215"/>
        <v>1996800</v>
      </c>
      <c r="Z1083" s="478">
        <v>0.55000000000000004</v>
      </c>
      <c r="AA1083" s="492">
        <f t="shared" ref="AA1083:AA1146" si="219">Z1083*Y1083</f>
        <v>1098240</v>
      </c>
      <c r="AB1083" s="492"/>
      <c r="AC1083" s="446">
        <v>0</v>
      </c>
      <c r="AD1083" s="490"/>
      <c r="AE1083" s="482"/>
      <c r="AF1083" s="580">
        <f t="shared" ref="AF1083:AF1146" si="220">AA1083+AE1083</f>
        <v>1098240</v>
      </c>
      <c r="AG1083" s="474" t="s">
        <v>1071</v>
      </c>
      <c r="AH1083" s="474"/>
      <c r="AI1083" s="474">
        <v>60</v>
      </c>
      <c r="AJ1083" s="475" t="s">
        <v>2277</v>
      </c>
      <c r="AK1083" s="483" t="s">
        <v>1084</v>
      </c>
      <c r="AL1083" s="483" t="s">
        <v>2948</v>
      </c>
      <c r="AM1083" s="474" t="s">
        <v>52</v>
      </c>
      <c r="AN1083" s="474" t="s">
        <v>1085</v>
      </c>
      <c r="AO1083" s="474"/>
      <c r="AP1083" s="482"/>
      <c r="AQ1083" s="482" t="s">
        <v>37</v>
      </c>
      <c r="AR1083" s="439" t="s">
        <v>1677</v>
      </c>
      <c r="AS1083" s="436" t="s">
        <v>1087</v>
      </c>
      <c r="AT1083" s="436" t="s">
        <v>1076</v>
      </c>
      <c r="AU1083" s="478">
        <v>0.45500000000000002</v>
      </c>
      <c r="AV1083" s="471" t="str">
        <f t="shared" si="212"/>
        <v>30390456H</v>
      </c>
      <c r="AW1083" s="471" cm="1">
        <f t="array" ref="AW1083">SUM(MID(0&amp;AV1083,LARGE(INDEX(ISNUMBER(--MID(AV1083,ROW($1:$8),1))*ROW($1:$8),),ROW($1:$8))+1,1)*10^ROW($1:$8)/10)</f>
        <v>30390456</v>
      </c>
      <c r="AX1083" s="471" t="str">
        <f>VLOOKUP($AW1083,'Item Master Data'!$A:$F,3,FALSE)</f>
        <v>Q.PEAK DUO BLK ML G10+</v>
      </c>
      <c r="AY1083" s="471">
        <f>VLOOKUP($AW1083,'Item Master Data'!$A:$F,6,FALSE)</f>
        <v>400</v>
      </c>
      <c r="AZ1083" s="471">
        <f t="shared" si="213"/>
        <v>156</v>
      </c>
      <c r="BA1083" s="471">
        <f>VLOOKUP(AW1083,'Item Master Data'!$A:$G,7,FALSE)</f>
        <v>32</v>
      </c>
      <c r="BB1083" s="471"/>
      <c r="BC1083" s="471">
        <f t="shared" si="214"/>
        <v>0</v>
      </c>
    </row>
    <row r="1084" spans="1:55">
      <c r="A1084" s="472"/>
      <c r="B1084" s="467">
        <v>44680</v>
      </c>
      <c r="C1084" s="467">
        <v>44680</v>
      </c>
      <c r="D1084" s="474" t="s">
        <v>2901</v>
      </c>
      <c r="E1084" s="445"/>
      <c r="F1084" s="474" t="s">
        <v>1147</v>
      </c>
      <c r="G1084" s="474">
        <v>2022</v>
      </c>
      <c r="H1084" s="474">
        <v>4</v>
      </c>
      <c r="I1084" s="474"/>
      <c r="J1084" s="556"/>
      <c r="K1084" s="483" t="s">
        <v>2980</v>
      </c>
      <c r="L1084" s="474" t="s">
        <v>2947</v>
      </c>
      <c r="M1084" s="475">
        <v>44519</v>
      </c>
      <c r="N1084" s="475">
        <v>44652</v>
      </c>
      <c r="O1084" s="475"/>
      <c r="P1084" s="475">
        <v>44678</v>
      </c>
      <c r="Q1084" s="475">
        <v>44680</v>
      </c>
      <c r="R1084" s="475">
        <v>44683</v>
      </c>
      <c r="S1084" s="474" t="s">
        <v>2904</v>
      </c>
      <c r="T1084" s="474">
        <v>60</v>
      </c>
      <c r="U1084" s="474" t="s">
        <v>1281</v>
      </c>
      <c r="V1084" s="474" t="s">
        <v>973</v>
      </c>
      <c r="W1084" s="474">
        <v>400</v>
      </c>
      <c r="X1084" s="476">
        <v>1728</v>
      </c>
      <c r="Y1084" s="491">
        <f t="shared" si="215"/>
        <v>691200</v>
      </c>
      <c r="Z1084" s="478">
        <v>0.55000000000000004</v>
      </c>
      <c r="AA1084" s="492">
        <f t="shared" si="219"/>
        <v>380160.00000000006</v>
      </c>
      <c r="AB1084" s="492"/>
      <c r="AC1084" s="446">
        <v>0</v>
      </c>
      <c r="AD1084" s="490"/>
      <c r="AE1084" s="482"/>
      <c r="AF1084" s="580">
        <f t="shared" si="220"/>
        <v>380160.00000000006</v>
      </c>
      <c r="AG1084" s="474" t="s">
        <v>1071</v>
      </c>
      <c r="AH1084" s="474"/>
      <c r="AI1084" s="474">
        <v>60</v>
      </c>
      <c r="AJ1084" s="475" t="s">
        <v>2277</v>
      </c>
      <c r="AK1084" s="483" t="s">
        <v>1084</v>
      </c>
      <c r="AL1084" s="483" t="s">
        <v>2948</v>
      </c>
      <c r="AM1084" s="474" t="s">
        <v>52</v>
      </c>
      <c r="AN1084" s="474" t="s">
        <v>1085</v>
      </c>
      <c r="AO1084" s="474"/>
      <c r="AP1084" s="482" t="s">
        <v>5573</v>
      </c>
      <c r="AQ1084" s="482" t="s">
        <v>37</v>
      </c>
      <c r="AR1084" s="439" t="s">
        <v>1248</v>
      </c>
      <c r="AS1084" s="436" t="s">
        <v>1087</v>
      </c>
      <c r="AT1084" s="436" t="s">
        <v>1076</v>
      </c>
      <c r="AU1084" s="478">
        <v>0.47499999999999998</v>
      </c>
      <c r="AV1084" s="471" t="str">
        <f t="shared" si="212"/>
        <v>30390456H</v>
      </c>
      <c r="AW1084" s="471" cm="1">
        <f t="array" ref="AW1084">SUM(MID(0&amp;AV1084,LARGE(INDEX(ISNUMBER(--MID(AV1084,ROW($1:$8),1))*ROW($1:$8),),ROW($1:$8))+1,1)*10^ROW($1:$8)/10)</f>
        <v>30390456</v>
      </c>
      <c r="AX1084" s="471" t="str">
        <f>VLOOKUP($AW1084,'Item Master Data'!$A:$F,3,FALSE)</f>
        <v>Q.PEAK DUO BLK ML G10+</v>
      </c>
      <c r="AY1084" s="471">
        <f>VLOOKUP($AW1084,'Item Master Data'!$A:$F,6,FALSE)</f>
        <v>400</v>
      </c>
      <c r="AZ1084" s="471">
        <f t="shared" si="213"/>
        <v>54</v>
      </c>
      <c r="BA1084" s="471">
        <f>VLOOKUP(AW1084,'Item Master Data'!$A:$G,7,FALSE)</f>
        <v>32</v>
      </c>
      <c r="BB1084" s="471"/>
      <c r="BC1084" s="471">
        <f t="shared" si="214"/>
        <v>0</v>
      </c>
    </row>
    <row r="1085" spans="1:55">
      <c r="A1085" s="472"/>
      <c r="B1085" s="449" t="s">
        <v>1211</v>
      </c>
      <c r="C1085" s="449">
        <v>44666</v>
      </c>
      <c r="D1085" s="474" t="s">
        <v>2901</v>
      </c>
      <c r="E1085" s="445"/>
      <c r="F1085" s="469" t="s">
        <v>1147</v>
      </c>
      <c r="G1085" s="474">
        <v>2022</v>
      </c>
      <c r="H1085" s="474">
        <v>4</v>
      </c>
      <c r="I1085" s="474"/>
      <c r="J1085" s="475"/>
      <c r="K1085" s="474" t="s">
        <v>3040</v>
      </c>
      <c r="L1085" s="474" t="s">
        <v>2947</v>
      </c>
      <c r="M1085" s="475">
        <v>44550</v>
      </c>
      <c r="N1085" s="475">
        <v>44577</v>
      </c>
      <c r="O1085" s="475"/>
      <c r="P1085" s="475">
        <v>44671</v>
      </c>
      <c r="Q1085" s="475">
        <v>44680</v>
      </c>
      <c r="R1085" s="475">
        <v>44683</v>
      </c>
      <c r="S1085" s="474" t="s">
        <v>2904</v>
      </c>
      <c r="T1085" s="474">
        <v>60</v>
      </c>
      <c r="U1085" s="474">
        <v>49204132</v>
      </c>
      <c r="V1085" s="474" t="s">
        <v>1223</v>
      </c>
      <c r="W1085" s="474">
        <v>360</v>
      </c>
      <c r="X1085" s="432">
        <v>2496</v>
      </c>
      <c r="Y1085" s="491">
        <f>W1085*X1085</f>
        <v>898560</v>
      </c>
      <c r="Z1085" s="478">
        <v>0.8</v>
      </c>
      <c r="AA1085" s="492">
        <f t="shared" si="219"/>
        <v>718848</v>
      </c>
      <c r="AB1085" s="492"/>
      <c r="AC1085" s="446">
        <v>0</v>
      </c>
      <c r="AD1085" s="490"/>
      <c r="AE1085" s="437"/>
      <c r="AF1085" s="580">
        <f t="shared" si="220"/>
        <v>718848</v>
      </c>
      <c r="AG1085" s="474" t="s">
        <v>1071</v>
      </c>
      <c r="AH1085" s="438"/>
      <c r="AI1085" s="474">
        <v>60</v>
      </c>
      <c r="AJ1085" s="484" t="s">
        <v>2277</v>
      </c>
      <c r="AK1085" s="474" t="s">
        <v>1084</v>
      </c>
      <c r="AL1085" s="483" t="s">
        <v>2948</v>
      </c>
      <c r="AM1085" s="474" t="s">
        <v>52</v>
      </c>
      <c r="AN1085" s="474" t="s">
        <v>2928</v>
      </c>
      <c r="AO1085" s="474"/>
      <c r="AP1085" s="486"/>
      <c r="AQ1085" s="439" t="s">
        <v>37</v>
      </c>
      <c r="AR1085" s="439"/>
      <c r="AS1085" s="473" t="s">
        <v>1087</v>
      </c>
      <c r="AT1085" s="473" t="s">
        <v>1076</v>
      </c>
      <c r="AU1085" s="478">
        <v>0.73</v>
      </c>
      <c r="AV1085" s="471">
        <f t="shared" si="212"/>
        <v>49204132</v>
      </c>
      <c r="AW1085" s="471" cm="1">
        <f t="array" ref="AW1085">SUM(MID(0&amp;AV1085,LARGE(INDEX(ISNUMBER(--MID(AV1085,ROW($1:$8),1))*ROW($1:$8),),ROW($1:$8))+1,1)*10^ROW($1:$8)/10)</f>
        <v>49204132</v>
      </c>
      <c r="AX1085" s="471" t="str">
        <f>VLOOKUP($AW1085,'Item Master Data'!$A:$F,3,FALSE)</f>
        <v>Q.PEAK DUO BLK G10+/AC</v>
      </c>
      <c r="AY1085" s="471">
        <f>VLOOKUP($AW1085,'Item Master Data'!$A:$F,6,FALSE)</f>
        <v>360</v>
      </c>
      <c r="AZ1085" s="471">
        <f t="shared" si="213"/>
        <v>96</v>
      </c>
      <c r="BA1085" s="471">
        <f>VLOOKUP(AW1085,'Item Master Data'!$A:$G,7,FALSE)</f>
        <v>26</v>
      </c>
      <c r="BB1085" s="471"/>
      <c r="BC1085" s="471">
        <f t="shared" si="214"/>
        <v>0</v>
      </c>
    </row>
    <row r="1086" spans="1:55">
      <c r="A1086" s="472"/>
      <c r="B1086" s="467"/>
      <c r="C1086" s="467"/>
      <c r="D1086" s="474" t="s">
        <v>2901</v>
      </c>
      <c r="E1086" s="445"/>
      <c r="F1086" s="474" t="s">
        <v>87</v>
      </c>
      <c r="G1086" s="474">
        <v>2022</v>
      </c>
      <c r="H1086" s="474">
        <v>4</v>
      </c>
      <c r="I1086" s="474" t="s">
        <v>2316</v>
      </c>
      <c r="J1086" s="475">
        <v>44677</v>
      </c>
      <c r="K1086" s="483" t="s">
        <v>2969</v>
      </c>
      <c r="L1086" s="474" t="s">
        <v>2966</v>
      </c>
      <c r="M1086" s="475">
        <v>44474</v>
      </c>
      <c r="N1086" s="475">
        <v>44563</v>
      </c>
      <c r="O1086" s="475">
        <v>44652</v>
      </c>
      <c r="P1086" s="475">
        <v>44656</v>
      </c>
      <c r="Q1086" s="475">
        <v>44677</v>
      </c>
      <c r="R1086" s="475">
        <v>44678</v>
      </c>
      <c r="S1086" s="474" t="s">
        <v>2904</v>
      </c>
      <c r="T1086" s="474">
        <v>72</v>
      </c>
      <c r="U1086" s="474">
        <v>49303156</v>
      </c>
      <c r="V1086" s="474" t="s">
        <v>1070</v>
      </c>
      <c r="W1086" s="474">
        <v>480</v>
      </c>
      <c r="X1086" s="476">
        <v>638</v>
      </c>
      <c r="Y1086" s="491">
        <f t="shared" ref="Y1086:Y1098" si="221">X1086*W1086</f>
        <v>306240</v>
      </c>
      <c r="Z1086" s="478">
        <v>0.45</v>
      </c>
      <c r="AA1086" s="492">
        <f t="shared" si="219"/>
        <v>137808</v>
      </c>
      <c r="AB1086" s="492"/>
      <c r="AC1086" s="446">
        <v>0</v>
      </c>
      <c r="AD1086" s="490"/>
      <c r="AE1086" s="482"/>
      <c r="AF1086" s="580">
        <f t="shared" si="220"/>
        <v>137808</v>
      </c>
      <c r="AG1086" s="474" t="s">
        <v>1071</v>
      </c>
      <c r="AH1086" s="474"/>
      <c r="AI1086" s="474">
        <v>60</v>
      </c>
      <c r="AJ1086" s="475" t="s">
        <v>2967</v>
      </c>
      <c r="AK1086" s="483" t="s">
        <v>1158</v>
      </c>
      <c r="AL1086" s="483" t="s">
        <v>2968</v>
      </c>
      <c r="AM1086" s="474" t="s">
        <v>52</v>
      </c>
      <c r="AN1086" s="474" t="s">
        <v>1074</v>
      </c>
      <c r="AO1086" s="474"/>
      <c r="AP1086" s="482"/>
      <c r="AQ1086" s="482" t="s">
        <v>37</v>
      </c>
      <c r="AR1086" s="439"/>
      <c r="AS1086" s="436" t="s">
        <v>1076</v>
      </c>
      <c r="AT1086" s="436" t="s">
        <v>1076</v>
      </c>
      <c r="AU1086" s="478"/>
      <c r="AV1086" s="471">
        <f t="shared" ref="AV1086:AV1149" si="222">U1086</f>
        <v>49303156</v>
      </c>
      <c r="AW1086" s="471" cm="1">
        <f t="array" ref="AW1086">SUM(MID(0&amp;AV1086,LARGE(INDEX(ISNUMBER(--MID(AV1086,ROW($1:$8),1))*ROW($1:$8),),ROW($1:$8))+1,1)*10^ROW($1:$8)/10)</f>
        <v>49303156</v>
      </c>
      <c r="AX1086" s="471" t="str">
        <f>VLOOKUP($AW1086,'Item Master Data'!$A:$F,3,FALSE)</f>
        <v>Q.PEAK DUO XL G10 BFG</v>
      </c>
      <c r="AY1086" s="471">
        <f>VLOOKUP($AW1086,'Item Master Data'!$A:$F,6,FALSE)</f>
        <v>480</v>
      </c>
      <c r="AZ1086" s="471">
        <f t="shared" ref="AZ1086:AZ1149" si="223">X1086/BA1086</f>
        <v>22</v>
      </c>
      <c r="BA1086" s="471">
        <f>VLOOKUP(AW1086,'Item Master Data'!$A:$G,7,FALSE)</f>
        <v>29</v>
      </c>
      <c r="BB1086" s="471"/>
      <c r="BC1086" s="471">
        <f t="shared" ref="BC1086:BC1149" si="224">W1086-AY1086</f>
        <v>0</v>
      </c>
    </row>
    <row r="1087" spans="1:55">
      <c r="A1087" s="472"/>
      <c r="B1087" s="467"/>
      <c r="C1087" s="467"/>
      <c r="D1087" s="474" t="s">
        <v>2901</v>
      </c>
      <c r="E1087" s="445" t="s">
        <v>5209</v>
      </c>
      <c r="F1087" s="474" t="s">
        <v>2964</v>
      </c>
      <c r="G1087" s="474">
        <v>2022</v>
      </c>
      <c r="H1087" s="474">
        <v>4</v>
      </c>
      <c r="I1087" s="474" t="s">
        <v>3023</v>
      </c>
      <c r="J1087" s="556">
        <v>44655</v>
      </c>
      <c r="K1087" s="483" t="s">
        <v>2965</v>
      </c>
      <c r="L1087" s="474" t="s">
        <v>2966</v>
      </c>
      <c r="M1087" s="475">
        <v>44509</v>
      </c>
      <c r="N1087" s="475">
        <v>44621</v>
      </c>
      <c r="O1087" s="475"/>
      <c r="P1087" s="475">
        <v>44628</v>
      </c>
      <c r="Q1087" s="475">
        <v>44655</v>
      </c>
      <c r="R1087" s="475">
        <v>44656</v>
      </c>
      <c r="S1087" s="474" t="s">
        <v>2904</v>
      </c>
      <c r="T1087" s="474">
        <v>72</v>
      </c>
      <c r="U1087" s="474">
        <v>49303156</v>
      </c>
      <c r="V1087" s="474" t="s">
        <v>1070</v>
      </c>
      <c r="W1087" s="474">
        <v>480</v>
      </c>
      <c r="X1087" s="476">
        <v>1914</v>
      </c>
      <c r="Y1087" s="491">
        <f t="shared" si="221"/>
        <v>918720</v>
      </c>
      <c r="Z1087" s="478">
        <v>0.48</v>
      </c>
      <c r="AA1087" s="492">
        <f t="shared" si="219"/>
        <v>440985.59999999998</v>
      </c>
      <c r="AB1087" s="492"/>
      <c r="AC1087" s="446">
        <v>0</v>
      </c>
      <c r="AD1087" s="490"/>
      <c r="AE1087" s="482"/>
      <c r="AF1087" s="580">
        <f t="shared" si="220"/>
        <v>440985.59999999998</v>
      </c>
      <c r="AG1087" s="474" t="s">
        <v>1071</v>
      </c>
      <c r="AH1087" s="474"/>
      <c r="AI1087" s="474">
        <v>60</v>
      </c>
      <c r="AJ1087" s="475" t="s">
        <v>2967</v>
      </c>
      <c r="AK1087" s="483" t="s">
        <v>1158</v>
      </c>
      <c r="AL1087" s="483" t="s">
        <v>2968</v>
      </c>
      <c r="AM1087" s="474" t="s">
        <v>52</v>
      </c>
      <c r="AN1087" s="474" t="s">
        <v>2928</v>
      </c>
      <c r="AO1087" s="474"/>
      <c r="AP1087" s="482"/>
      <c r="AQ1087" s="482" t="s">
        <v>37</v>
      </c>
      <c r="AR1087" s="439"/>
      <c r="AS1087" s="436" t="s">
        <v>1076</v>
      </c>
      <c r="AT1087" s="436" t="s">
        <v>1076</v>
      </c>
      <c r="AU1087" s="478">
        <v>0.48</v>
      </c>
      <c r="AV1087" s="471">
        <f t="shared" si="222"/>
        <v>49303156</v>
      </c>
      <c r="AW1087" s="471" cm="1">
        <f t="array" ref="AW1087">SUM(MID(0&amp;AV1087,LARGE(INDEX(ISNUMBER(--MID(AV1087,ROW($1:$8),1))*ROW($1:$8),),ROW($1:$8))+1,1)*10^ROW($1:$8)/10)</f>
        <v>49303156</v>
      </c>
      <c r="AX1087" s="471" t="str">
        <f>VLOOKUP($AW1087,'Item Master Data'!$A:$F,3,FALSE)</f>
        <v>Q.PEAK DUO XL G10 BFG</v>
      </c>
      <c r="AY1087" s="471">
        <f>VLOOKUP($AW1087,'Item Master Data'!$A:$F,6,FALSE)</f>
        <v>480</v>
      </c>
      <c r="AZ1087" s="471">
        <f t="shared" si="223"/>
        <v>66</v>
      </c>
      <c r="BA1087" s="471">
        <f>VLOOKUP(AW1087,'Item Master Data'!$A:$G,7,FALSE)</f>
        <v>29</v>
      </c>
      <c r="BB1087" s="471"/>
      <c r="BC1087" s="471">
        <f t="shared" si="224"/>
        <v>0</v>
      </c>
    </row>
    <row r="1088" spans="1:55">
      <c r="A1088" s="472"/>
      <c r="B1088" s="467">
        <v>44629</v>
      </c>
      <c r="C1088" s="467">
        <v>44629</v>
      </c>
      <c r="D1088" s="474" t="s">
        <v>2901</v>
      </c>
      <c r="E1088" s="445"/>
      <c r="F1088" s="474" t="s">
        <v>1147</v>
      </c>
      <c r="G1088" s="474">
        <v>2022</v>
      </c>
      <c r="H1088" s="474">
        <v>4</v>
      </c>
      <c r="I1088" s="474">
        <v>128206</v>
      </c>
      <c r="J1088" s="475">
        <v>44669</v>
      </c>
      <c r="K1088" s="483" t="s">
        <v>3006</v>
      </c>
      <c r="L1088" s="474" t="s">
        <v>2966</v>
      </c>
      <c r="M1088" s="475">
        <v>44512</v>
      </c>
      <c r="N1088" s="475">
        <v>44652</v>
      </c>
      <c r="O1088" s="475"/>
      <c r="P1088" s="475">
        <v>44662</v>
      </c>
      <c r="Q1088" s="475">
        <v>44669</v>
      </c>
      <c r="R1088" s="475">
        <v>44670</v>
      </c>
      <c r="S1088" s="474" t="s">
        <v>2904</v>
      </c>
      <c r="T1088" s="474">
        <v>60</v>
      </c>
      <c r="U1088" s="474">
        <v>49405140</v>
      </c>
      <c r="V1088" s="474" t="s">
        <v>973</v>
      </c>
      <c r="W1088" s="474">
        <v>400</v>
      </c>
      <c r="X1088" s="476">
        <v>2496</v>
      </c>
      <c r="Y1088" s="491">
        <f t="shared" si="221"/>
        <v>998400</v>
      </c>
      <c r="Z1088" s="478">
        <v>0.55000000000000004</v>
      </c>
      <c r="AA1088" s="492">
        <f t="shared" si="219"/>
        <v>549120</v>
      </c>
      <c r="AB1088" s="492"/>
      <c r="AC1088" s="446">
        <v>0</v>
      </c>
      <c r="AD1088" s="490"/>
      <c r="AE1088" s="482"/>
      <c r="AF1088" s="580">
        <f t="shared" si="220"/>
        <v>549120</v>
      </c>
      <c r="AG1088" s="474" t="s">
        <v>1071</v>
      </c>
      <c r="AH1088" s="474"/>
      <c r="AI1088" s="474">
        <v>60</v>
      </c>
      <c r="AJ1088" s="475" t="s">
        <v>2967</v>
      </c>
      <c r="AK1088" s="483" t="s">
        <v>1158</v>
      </c>
      <c r="AL1088" s="483" t="s">
        <v>2968</v>
      </c>
      <c r="AM1088" s="474" t="s">
        <v>52</v>
      </c>
      <c r="AN1088" s="474" t="s">
        <v>2928</v>
      </c>
      <c r="AO1088" s="474"/>
      <c r="AP1088" s="482"/>
      <c r="AQ1088" s="482" t="s">
        <v>37</v>
      </c>
      <c r="AR1088" s="439" t="s">
        <v>1248</v>
      </c>
      <c r="AS1088" s="436" t="s">
        <v>1076</v>
      </c>
      <c r="AT1088" s="436" t="s">
        <v>1076</v>
      </c>
      <c r="AU1088" s="478">
        <v>0.47499999999999998</v>
      </c>
      <c r="AV1088" s="471">
        <f t="shared" si="222"/>
        <v>49405140</v>
      </c>
      <c r="AW1088" s="471" cm="1">
        <f t="array" ref="AW1088">SUM(MID(0&amp;AV1088,LARGE(INDEX(ISNUMBER(--MID(AV1088,ROW($1:$8),1))*ROW($1:$8),),ROW($1:$8))+1,1)*10^ROW($1:$8)/10)</f>
        <v>49405140</v>
      </c>
      <c r="AX1088" s="471" t="str">
        <f>VLOOKUP($AW1088,'Item Master Data'!$A:$F,3,FALSE)</f>
        <v>Q.PEAK DUO BLK ML G10+</v>
      </c>
      <c r="AY1088" s="471">
        <f>VLOOKUP($AW1088,'Item Master Data'!$A:$F,6,FALSE)</f>
        <v>400</v>
      </c>
      <c r="AZ1088" s="471">
        <f t="shared" si="223"/>
        <v>78</v>
      </c>
      <c r="BA1088" s="471">
        <f>VLOOKUP(AW1088,'Item Master Data'!$A:$G,7,FALSE)</f>
        <v>32</v>
      </c>
      <c r="BB1088" s="471"/>
      <c r="BC1088" s="471">
        <f t="shared" si="224"/>
        <v>0</v>
      </c>
    </row>
    <row r="1089" spans="1:55">
      <c r="A1089" s="472"/>
      <c r="B1089" s="467">
        <v>44636</v>
      </c>
      <c r="C1089" s="467">
        <v>44636</v>
      </c>
      <c r="D1089" s="474" t="s">
        <v>2901</v>
      </c>
      <c r="E1089" s="445"/>
      <c r="F1089" s="474" t="s">
        <v>1147</v>
      </c>
      <c r="G1089" s="474">
        <v>2022</v>
      </c>
      <c r="H1089" s="474">
        <v>4</v>
      </c>
      <c r="I1089" s="474">
        <v>128111</v>
      </c>
      <c r="J1089" s="475">
        <v>44669</v>
      </c>
      <c r="K1089" s="483" t="s">
        <v>3027</v>
      </c>
      <c r="L1089" s="474" t="s">
        <v>2567</v>
      </c>
      <c r="M1089" s="475">
        <v>44483</v>
      </c>
      <c r="N1089" s="475">
        <v>44593</v>
      </c>
      <c r="O1089" s="475" t="s">
        <v>1280</v>
      </c>
      <c r="P1089" s="475">
        <v>44677</v>
      </c>
      <c r="Q1089" s="475">
        <v>44669</v>
      </c>
      <c r="R1089" s="475">
        <v>44670</v>
      </c>
      <c r="S1089" s="474" t="s">
        <v>2904</v>
      </c>
      <c r="T1089" s="474">
        <v>60</v>
      </c>
      <c r="U1089" s="474">
        <v>49405140</v>
      </c>
      <c r="V1089" s="474" t="s">
        <v>973</v>
      </c>
      <c r="W1089" s="474">
        <v>400</v>
      </c>
      <c r="X1089" s="476">
        <v>768</v>
      </c>
      <c r="Y1089" s="491">
        <f t="shared" si="221"/>
        <v>307200</v>
      </c>
      <c r="Z1089" s="478">
        <v>0.55000000000000004</v>
      </c>
      <c r="AA1089" s="492">
        <f t="shared" si="219"/>
        <v>168960</v>
      </c>
      <c r="AB1089" s="492"/>
      <c r="AC1089" s="446">
        <v>0</v>
      </c>
      <c r="AD1089" s="490"/>
      <c r="AE1089" s="482"/>
      <c r="AF1089" s="580">
        <f t="shared" si="220"/>
        <v>168960</v>
      </c>
      <c r="AG1089" s="474" t="s">
        <v>1071</v>
      </c>
      <c r="AH1089" s="474"/>
      <c r="AI1089" s="474">
        <v>60</v>
      </c>
      <c r="AJ1089" s="475" t="s">
        <v>2568</v>
      </c>
      <c r="AK1089" s="483" t="s">
        <v>1084</v>
      </c>
      <c r="AL1089" s="483" t="s">
        <v>2968</v>
      </c>
      <c r="AM1089" s="474" t="s">
        <v>52</v>
      </c>
      <c r="AN1089" s="474" t="s">
        <v>2928</v>
      </c>
      <c r="AO1089" s="474"/>
      <c r="AP1089" s="482"/>
      <c r="AQ1089" s="482" t="s">
        <v>37</v>
      </c>
      <c r="AR1089" s="439"/>
      <c r="AS1089" s="436"/>
      <c r="AT1089" s="436"/>
      <c r="AU1089" s="478"/>
      <c r="AV1089" s="471">
        <f t="shared" si="222"/>
        <v>49405140</v>
      </c>
      <c r="AW1089" s="471" cm="1">
        <f t="array" ref="AW1089">SUM(MID(0&amp;AV1089,LARGE(INDEX(ISNUMBER(--MID(AV1089,ROW($1:$8),1))*ROW($1:$8),),ROW($1:$8))+1,1)*10^ROW($1:$8)/10)</f>
        <v>49405140</v>
      </c>
      <c r="AX1089" s="471" t="str">
        <f>VLOOKUP($AW1089,'Item Master Data'!$A:$F,3,FALSE)</f>
        <v>Q.PEAK DUO BLK ML G10+</v>
      </c>
      <c r="AY1089" s="471">
        <f>VLOOKUP($AW1089,'Item Master Data'!$A:$F,6,FALSE)</f>
        <v>400</v>
      </c>
      <c r="AZ1089" s="471">
        <f t="shared" si="223"/>
        <v>24</v>
      </c>
      <c r="BA1089" s="471">
        <f>VLOOKUP(AW1089,'Item Master Data'!$A:$G,7,FALSE)</f>
        <v>32</v>
      </c>
      <c r="BB1089" s="471"/>
      <c r="BC1089" s="471">
        <f t="shared" si="224"/>
        <v>0</v>
      </c>
    </row>
    <row r="1090" spans="1:55">
      <c r="A1090" s="472"/>
      <c r="B1090" s="467">
        <v>44636</v>
      </c>
      <c r="C1090" s="467">
        <v>44636</v>
      </c>
      <c r="D1090" s="474" t="s">
        <v>2901</v>
      </c>
      <c r="E1090" s="445" t="s">
        <v>5659</v>
      </c>
      <c r="F1090" s="474" t="s">
        <v>1147</v>
      </c>
      <c r="G1090" s="474">
        <v>2022</v>
      </c>
      <c r="H1090" s="474">
        <v>4</v>
      </c>
      <c r="I1090" s="474" t="s">
        <v>3023</v>
      </c>
      <c r="J1090" s="556">
        <v>44672</v>
      </c>
      <c r="K1090" s="483" t="s">
        <v>3027</v>
      </c>
      <c r="L1090" s="474" t="s">
        <v>2567</v>
      </c>
      <c r="M1090" s="475">
        <v>44483</v>
      </c>
      <c r="N1090" s="475">
        <v>44593</v>
      </c>
      <c r="O1090" s="475" t="s">
        <v>1280</v>
      </c>
      <c r="P1090" s="475">
        <v>44677</v>
      </c>
      <c r="Q1090" s="475">
        <v>44672</v>
      </c>
      <c r="R1090" s="475">
        <v>44673</v>
      </c>
      <c r="S1090" s="474" t="s">
        <v>2904</v>
      </c>
      <c r="T1090" s="474">
        <v>60</v>
      </c>
      <c r="U1090" s="474">
        <v>49405140</v>
      </c>
      <c r="V1090" s="474" t="s">
        <v>973</v>
      </c>
      <c r="W1090" s="474">
        <v>400</v>
      </c>
      <c r="X1090" s="476">
        <v>4992</v>
      </c>
      <c r="Y1090" s="477">
        <f t="shared" si="221"/>
        <v>1996800</v>
      </c>
      <c r="Z1090" s="478">
        <v>0.55000000000000004</v>
      </c>
      <c r="AA1090" s="479">
        <f t="shared" si="219"/>
        <v>1098240</v>
      </c>
      <c r="AB1090" s="479"/>
      <c r="AC1090" s="446">
        <v>0</v>
      </c>
      <c r="AD1090" s="490"/>
      <c r="AE1090" s="482"/>
      <c r="AF1090" s="580">
        <f t="shared" si="220"/>
        <v>1098240</v>
      </c>
      <c r="AG1090" s="474" t="s">
        <v>1071</v>
      </c>
      <c r="AH1090" s="474"/>
      <c r="AI1090" s="474">
        <v>60</v>
      </c>
      <c r="AJ1090" s="475" t="s">
        <v>2568</v>
      </c>
      <c r="AK1090" s="483" t="s">
        <v>1084</v>
      </c>
      <c r="AL1090" s="483" t="s">
        <v>2968</v>
      </c>
      <c r="AM1090" s="474" t="s">
        <v>52</v>
      </c>
      <c r="AN1090" s="474" t="s">
        <v>2928</v>
      </c>
      <c r="AO1090" s="474"/>
      <c r="AP1090" s="482"/>
      <c r="AQ1090" s="482" t="s">
        <v>37</v>
      </c>
      <c r="AR1090" s="439"/>
      <c r="AS1090" s="436"/>
      <c r="AT1090" s="436"/>
      <c r="AU1090" s="478"/>
      <c r="AV1090" s="471">
        <f t="shared" si="222"/>
        <v>49405140</v>
      </c>
      <c r="AW1090" s="471" cm="1">
        <f t="array" ref="AW1090">SUM(MID(0&amp;AV1090,LARGE(INDEX(ISNUMBER(--MID(AV1090,ROW($1:$8),1))*ROW($1:$8),),ROW($1:$8))+1,1)*10^ROW($1:$8)/10)</f>
        <v>49405140</v>
      </c>
      <c r="AX1090" s="471" t="str">
        <f>VLOOKUP($AW1090,'Item Master Data'!$A:$F,3,FALSE)</f>
        <v>Q.PEAK DUO BLK ML G10+</v>
      </c>
      <c r="AY1090" s="471">
        <f>VLOOKUP($AW1090,'Item Master Data'!$A:$F,6,FALSE)</f>
        <v>400</v>
      </c>
      <c r="AZ1090" s="471">
        <f t="shared" si="223"/>
        <v>156</v>
      </c>
      <c r="BA1090" s="471">
        <f>VLOOKUP(AW1090,'Item Master Data'!$A:$G,7,FALSE)</f>
        <v>32</v>
      </c>
      <c r="BB1090" s="471"/>
      <c r="BC1090" s="471">
        <f t="shared" si="224"/>
        <v>0</v>
      </c>
    </row>
    <row r="1091" spans="1:55">
      <c r="A1091" s="472"/>
      <c r="B1091" s="467">
        <v>44636</v>
      </c>
      <c r="C1091" s="467">
        <v>44636</v>
      </c>
      <c r="D1091" s="474" t="s">
        <v>2901</v>
      </c>
      <c r="E1091" s="445" t="s">
        <v>5747</v>
      </c>
      <c r="F1091" s="474" t="s">
        <v>1147</v>
      </c>
      <c r="G1091" s="474">
        <v>2022</v>
      </c>
      <c r="H1091" s="474">
        <v>4</v>
      </c>
      <c r="I1091" s="474" t="s">
        <v>5280</v>
      </c>
      <c r="J1091" s="556"/>
      <c r="K1091" s="483" t="s">
        <v>3027</v>
      </c>
      <c r="L1091" s="474" t="s">
        <v>2567</v>
      </c>
      <c r="M1091" s="475">
        <v>44483</v>
      </c>
      <c r="N1091" s="475">
        <v>44593</v>
      </c>
      <c r="O1091" s="475" t="s">
        <v>1280</v>
      </c>
      <c r="P1091" s="475">
        <v>44679</v>
      </c>
      <c r="Q1091" s="475"/>
      <c r="R1091" s="475"/>
      <c r="S1091" s="474" t="s">
        <v>2904</v>
      </c>
      <c r="T1091" s="474">
        <v>60</v>
      </c>
      <c r="U1091" s="474">
        <v>49405140</v>
      </c>
      <c r="V1091" s="474" t="s">
        <v>973</v>
      </c>
      <c r="W1091" s="474">
        <v>400</v>
      </c>
      <c r="X1091" s="476">
        <v>832</v>
      </c>
      <c r="Y1091" s="477">
        <f>X1091*W1091</f>
        <v>332800</v>
      </c>
      <c r="Z1091" s="478">
        <v>0.55000000000000004</v>
      </c>
      <c r="AA1091" s="479">
        <f>Z1091*Y1091</f>
        <v>183040.00000000003</v>
      </c>
      <c r="AB1091" s="479"/>
      <c r="AC1091" s="446">
        <v>0</v>
      </c>
      <c r="AD1091" s="490"/>
      <c r="AE1091" s="482"/>
      <c r="AF1091" s="580">
        <f>AA1091+AE1091</f>
        <v>183040.00000000003</v>
      </c>
      <c r="AG1091" s="474" t="s">
        <v>1071</v>
      </c>
      <c r="AH1091" s="474"/>
      <c r="AI1091" s="474">
        <v>60</v>
      </c>
      <c r="AJ1091" s="475" t="s">
        <v>2419</v>
      </c>
      <c r="AK1091" s="483" t="s">
        <v>1084</v>
      </c>
      <c r="AL1091" s="483" t="s">
        <v>3022</v>
      </c>
      <c r="AM1091" s="474" t="s">
        <v>52</v>
      </c>
      <c r="AN1091" s="474" t="s">
        <v>2928</v>
      </c>
      <c r="AO1091" s="474"/>
      <c r="AP1091" s="482"/>
      <c r="AQ1091" s="482" t="s">
        <v>37</v>
      </c>
      <c r="AR1091" s="439"/>
      <c r="AS1091" s="436"/>
      <c r="AT1091" s="436"/>
      <c r="AU1091" s="478"/>
      <c r="AV1091" s="471">
        <f t="shared" si="222"/>
        <v>49405140</v>
      </c>
      <c r="AW1091" s="471" cm="1">
        <f t="array" ref="AW1091">SUM(MID(0&amp;AV1091,LARGE(INDEX(ISNUMBER(--MID(AV1091,ROW($1:$8),1))*ROW($1:$8),),ROW($1:$8))+1,1)*10^ROW($1:$8)/10)</f>
        <v>49405140</v>
      </c>
      <c r="AX1091" s="471" t="str">
        <f>VLOOKUP($AW1091,'Item Master Data'!$A:$F,3,FALSE)</f>
        <v>Q.PEAK DUO BLK ML G10+</v>
      </c>
      <c r="AY1091" s="471">
        <f>VLOOKUP($AW1091,'Item Master Data'!$A:$F,6,FALSE)</f>
        <v>400</v>
      </c>
      <c r="AZ1091" s="471">
        <f t="shared" si="223"/>
        <v>26</v>
      </c>
      <c r="BA1091" s="471">
        <f>VLOOKUP(AW1091,'Item Master Data'!$A:$G,7,FALSE)</f>
        <v>32</v>
      </c>
      <c r="BB1091" s="471"/>
      <c r="BC1091" s="471">
        <f t="shared" si="224"/>
        <v>0</v>
      </c>
    </row>
    <row r="1092" spans="1:55">
      <c r="A1092" s="472"/>
      <c r="B1092" s="467">
        <v>44636</v>
      </c>
      <c r="C1092" s="467">
        <v>44636</v>
      </c>
      <c r="D1092" s="474" t="s">
        <v>2901</v>
      </c>
      <c r="E1092" s="445" t="s">
        <v>5572</v>
      </c>
      <c r="F1092" s="474" t="s">
        <v>1147</v>
      </c>
      <c r="G1092" s="474">
        <v>2022</v>
      </c>
      <c r="H1092" s="474">
        <v>4</v>
      </c>
      <c r="I1092" s="474"/>
      <c r="J1092" s="556"/>
      <c r="K1092" s="483" t="s">
        <v>3027</v>
      </c>
      <c r="L1092" s="474" t="s">
        <v>2567</v>
      </c>
      <c r="M1092" s="475">
        <v>44483</v>
      </c>
      <c r="N1092" s="475">
        <v>44593</v>
      </c>
      <c r="O1092" s="475" t="s">
        <v>1280</v>
      </c>
      <c r="P1092" s="475">
        <v>44679</v>
      </c>
      <c r="Q1092" s="475"/>
      <c r="R1092" s="475"/>
      <c r="S1092" s="474" t="s">
        <v>2904</v>
      </c>
      <c r="T1092" s="474">
        <v>60</v>
      </c>
      <c r="U1092" s="474">
        <v>49405140</v>
      </c>
      <c r="V1092" s="474" t="s">
        <v>973</v>
      </c>
      <c r="W1092" s="474">
        <v>400</v>
      </c>
      <c r="X1092" s="476">
        <v>64</v>
      </c>
      <c r="Y1092" s="491">
        <f t="shared" si="221"/>
        <v>25600</v>
      </c>
      <c r="Z1092" s="478">
        <v>0.55000000000000004</v>
      </c>
      <c r="AA1092" s="492">
        <f t="shared" si="219"/>
        <v>14080.000000000002</v>
      </c>
      <c r="AB1092" s="492"/>
      <c r="AC1092" s="446">
        <v>0</v>
      </c>
      <c r="AD1092" s="490"/>
      <c r="AE1092" s="482"/>
      <c r="AF1092" s="580">
        <f t="shared" si="220"/>
        <v>14080.000000000002</v>
      </c>
      <c r="AG1092" s="474" t="s">
        <v>1071</v>
      </c>
      <c r="AH1092" s="474"/>
      <c r="AI1092" s="474">
        <v>60</v>
      </c>
      <c r="AJ1092" s="475" t="s">
        <v>2568</v>
      </c>
      <c r="AK1092" s="483" t="s">
        <v>1084</v>
      </c>
      <c r="AL1092" s="483" t="s">
        <v>2968</v>
      </c>
      <c r="AM1092" s="474" t="s">
        <v>52</v>
      </c>
      <c r="AN1092" s="474" t="s">
        <v>2928</v>
      </c>
      <c r="AO1092" s="474"/>
      <c r="AP1092" s="482"/>
      <c r="AQ1092" s="482" t="s">
        <v>37</v>
      </c>
      <c r="AR1092" s="439"/>
      <c r="AS1092" s="436"/>
      <c r="AT1092" s="436"/>
      <c r="AU1092" s="478"/>
      <c r="AV1092" s="471">
        <f t="shared" si="222"/>
        <v>49405140</v>
      </c>
      <c r="AW1092" s="471" cm="1">
        <f t="array" ref="AW1092">SUM(MID(0&amp;AV1092,LARGE(INDEX(ISNUMBER(--MID(AV1092,ROW($1:$8),1))*ROW($1:$8),),ROW($1:$8))+1,1)*10^ROW($1:$8)/10)</f>
        <v>49405140</v>
      </c>
      <c r="AX1092" s="471" t="str">
        <f>VLOOKUP($AW1092,'Item Master Data'!$A:$F,3,FALSE)</f>
        <v>Q.PEAK DUO BLK ML G10+</v>
      </c>
      <c r="AY1092" s="471">
        <f>VLOOKUP($AW1092,'Item Master Data'!$A:$F,6,FALSE)</f>
        <v>400</v>
      </c>
      <c r="AZ1092" s="471">
        <f t="shared" si="223"/>
        <v>2</v>
      </c>
      <c r="BA1092" s="471">
        <f>VLOOKUP(AW1092,'Item Master Data'!$A:$G,7,FALSE)</f>
        <v>32</v>
      </c>
      <c r="BB1092" s="471"/>
      <c r="BC1092" s="471">
        <f t="shared" si="224"/>
        <v>0</v>
      </c>
    </row>
    <row r="1093" spans="1:55">
      <c r="A1093" s="472"/>
      <c r="B1093" s="467">
        <v>44630</v>
      </c>
      <c r="C1093" s="467">
        <v>44630</v>
      </c>
      <c r="D1093" s="474" t="s">
        <v>2901</v>
      </c>
      <c r="E1093" s="445"/>
      <c r="F1093" s="474" t="s">
        <v>1147</v>
      </c>
      <c r="G1093" s="474">
        <v>2022</v>
      </c>
      <c r="H1093" s="474">
        <v>4</v>
      </c>
      <c r="I1093" s="474">
        <v>128149</v>
      </c>
      <c r="J1093" s="475">
        <v>44663</v>
      </c>
      <c r="K1093" s="483" t="s">
        <v>3024</v>
      </c>
      <c r="L1093" s="474" t="s">
        <v>2567</v>
      </c>
      <c r="M1093" s="475">
        <v>44483</v>
      </c>
      <c r="N1093" s="475">
        <v>44621</v>
      </c>
      <c r="O1093" s="475" t="s">
        <v>1280</v>
      </c>
      <c r="P1093" s="475">
        <v>44658</v>
      </c>
      <c r="Q1093" s="475">
        <v>44663</v>
      </c>
      <c r="R1093" s="475">
        <v>44664</v>
      </c>
      <c r="S1093" s="474" t="s">
        <v>2904</v>
      </c>
      <c r="T1093" s="474">
        <v>60</v>
      </c>
      <c r="U1093" s="474">
        <v>49405140</v>
      </c>
      <c r="V1093" s="474" t="s">
        <v>973</v>
      </c>
      <c r="W1093" s="474">
        <v>400</v>
      </c>
      <c r="X1093" s="476">
        <v>2496</v>
      </c>
      <c r="Y1093" s="491">
        <f t="shared" si="221"/>
        <v>998400</v>
      </c>
      <c r="Z1093" s="478">
        <v>0.55000000000000004</v>
      </c>
      <c r="AA1093" s="492">
        <f t="shared" si="219"/>
        <v>549120</v>
      </c>
      <c r="AB1093" s="492"/>
      <c r="AC1093" s="446">
        <v>0</v>
      </c>
      <c r="AD1093" s="490"/>
      <c r="AE1093" s="482"/>
      <c r="AF1093" s="580">
        <f t="shared" si="220"/>
        <v>549120</v>
      </c>
      <c r="AG1093" s="474" t="s">
        <v>1071</v>
      </c>
      <c r="AH1093" s="474"/>
      <c r="AI1093" s="474">
        <v>60</v>
      </c>
      <c r="AJ1093" s="475" t="s">
        <v>2568</v>
      </c>
      <c r="AK1093" s="483" t="s">
        <v>1084</v>
      </c>
      <c r="AL1093" s="483" t="s">
        <v>2569</v>
      </c>
      <c r="AM1093" s="474" t="s">
        <v>52</v>
      </c>
      <c r="AN1093" s="474" t="s">
        <v>2928</v>
      </c>
      <c r="AO1093" s="474"/>
      <c r="AP1093" s="482"/>
      <c r="AQ1093" s="482" t="s">
        <v>37</v>
      </c>
      <c r="AR1093" s="439"/>
      <c r="AS1093" s="436"/>
      <c r="AT1093" s="436"/>
      <c r="AU1093" s="478"/>
      <c r="AV1093" s="471">
        <f t="shared" si="222"/>
        <v>49405140</v>
      </c>
      <c r="AW1093" s="471" cm="1">
        <f t="array" ref="AW1093">SUM(MID(0&amp;AV1093,LARGE(INDEX(ISNUMBER(--MID(AV1093,ROW($1:$8),1))*ROW($1:$8),),ROW($1:$8))+1,1)*10^ROW($1:$8)/10)</f>
        <v>49405140</v>
      </c>
      <c r="AX1093" s="471" t="str">
        <f>VLOOKUP($AW1093,'Item Master Data'!$A:$F,3,FALSE)</f>
        <v>Q.PEAK DUO BLK ML G10+</v>
      </c>
      <c r="AY1093" s="471">
        <f>VLOOKUP($AW1093,'Item Master Data'!$A:$F,6,FALSE)</f>
        <v>400</v>
      </c>
      <c r="AZ1093" s="471">
        <f t="shared" si="223"/>
        <v>78</v>
      </c>
      <c r="BA1093" s="471">
        <f>VLOOKUP(AW1093,'Item Master Data'!$A:$G,7,FALSE)</f>
        <v>32</v>
      </c>
      <c r="BB1093" s="471"/>
      <c r="BC1093" s="471">
        <f t="shared" si="224"/>
        <v>0</v>
      </c>
    </row>
    <row r="1094" spans="1:55">
      <c r="A1094" s="472"/>
      <c r="B1094" s="467">
        <v>44630</v>
      </c>
      <c r="C1094" s="467">
        <v>44630</v>
      </c>
      <c r="D1094" s="474" t="s">
        <v>2901</v>
      </c>
      <c r="E1094" s="445" t="s">
        <v>5660</v>
      </c>
      <c r="F1094" s="474" t="s">
        <v>1147</v>
      </c>
      <c r="G1094" s="474">
        <v>2022</v>
      </c>
      <c r="H1094" s="474">
        <v>4</v>
      </c>
      <c r="I1094" s="474"/>
      <c r="J1094" s="556"/>
      <c r="K1094" s="483" t="s">
        <v>3024</v>
      </c>
      <c r="L1094" s="474" t="s">
        <v>2567</v>
      </c>
      <c r="M1094" s="475">
        <v>44483</v>
      </c>
      <c r="N1094" s="475">
        <v>44621</v>
      </c>
      <c r="O1094" s="475"/>
      <c r="P1094" s="475">
        <v>44662</v>
      </c>
      <c r="Q1094" s="475"/>
      <c r="R1094" s="475"/>
      <c r="S1094" s="474" t="s">
        <v>2904</v>
      </c>
      <c r="T1094" s="474">
        <v>60</v>
      </c>
      <c r="U1094" s="474">
        <v>49203132</v>
      </c>
      <c r="V1094" s="474" t="s">
        <v>986</v>
      </c>
      <c r="W1094" s="474">
        <v>360</v>
      </c>
      <c r="X1094" s="476">
        <v>2912</v>
      </c>
      <c r="Y1094" s="491">
        <f t="shared" si="221"/>
        <v>1048320</v>
      </c>
      <c r="Z1094" s="478">
        <v>0.53</v>
      </c>
      <c r="AA1094" s="492">
        <f t="shared" si="219"/>
        <v>555609.59999999998</v>
      </c>
      <c r="AB1094" s="492"/>
      <c r="AC1094" s="446">
        <v>0</v>
      </c>
      <c r="AD1094" s="490"/>
      <c r="AE1094" s="482"/>
      <c r="AF1094" s="580">
        <f t="shared" si="220"/>
        <v>555609.59999999998</v>
      </c>
      <c r="AG1094" s="474" t="s">
        <v>1071</v>
      </c>
      <c r="AH1094" s="474"/>
      <c r="AI1094" s="474">
        <v>60</v>
      </c>
      <c r="AJ1094" s="475" t="s">
        <v>2568</v>
      </c>
      <c r="AK1094" s="483" t="s">
        <v>1084</v>
      </c>
      <c r="AL1094" s="483" t="s">
        <v>2569</v>
      </c>
      <c r="AM1094" s="474" t="s">
        <v>52</v>
      </c>
      <c r="AN1094" s="474" t="s">
        <v>2928</v>
      </c>
      <c r="AO1094" s="474"/>
      <c r="AP1094" s="482"/>
      <c r="AQ1094" s="482" t="s">
        <v>37</v>
      </c>
      <c r="AR1094" s="439"/>
      <c r="AS1094" s="436"/>
      <c r="AT1094" s="436"/>
      <c r="AU1094" s="478"/>
      <c r="AV1094" s="471">
        <f t="shared" si="222"/>
        <v>49203132</v>
      </c>
      <c r="AW1094" s="471" cm="1">
        <f t="array" ref="AW1094">SUM(MID(0&amp;AV1094,LARGE(INDEX(ISNUMBER(--MID(AV1094,ROW($1:$8),1))*ROW($1:$8),),ROW($1:$8))+1,1)*10^ROW($1:$8)/10)</f>
        <v>49203132</v>
      </c>
      <c r="AX1094" s="471" t="str">
        <f>VLOOKUP($AW1094,'Item Master Data'!$A:$F,3,FALSE)</f>
        <v>Q.PEAK DUO BLK G10+</v>
      </c>
      <c r="AY1094" s="471">
        <f>VLOOKUP($AW1094,'Item Master Data'!$A:$F,6,FALSE)</f>
        <v>360</v>
      </c>
      <c r="AZ1094" s="471">
        <f t="shared" si="223"/>
        <v>91</v>
      </c>
      <c r="BA1094" s="471">
        <f>VLOOKUP(AW1094,'Item Master Data'!$A:$G,7,FALSE)</f>
        <v>32</v>
      </c>
      <c r="BB1094" s="471"/>
      <c r="BC1094" s="471">
        <f t="shared" si="224"/>
        <v>0</v>
      </c>
    </row>
    <row r="1095" spans="1:55">
      <c r="A1095" s="472"/>
      <c r="B1095" s="467">
        <v>44665</v>
      </c>
      <c r="C1095" s="467">
        <v>44665</v>
      </c>
      <c r="D1095" s="474" t="s">
        <v>2901</v>
      </c>
      <c r="E1095" s="445" t="s">
        <v>5457</v>
      </c>
      <c r="F1095" s="474" t="s">
        <v>1147</v>
      </c>
      <c r="G1095" s="474">
        <v>2022</v>
      </c>
      <c r="H1095" s="474">
        <v>4</v>
      </c>
      <c r="I1095" s="474" t="s">
        <v>3023</v>
      </c>
      <c r="J1095" s="556">
        <v>44671</v>
      </c>
      <c r="K1095" s="483" t="s">
        <v>3029</v>
      </c>
      <c r="L1095" s="474" t="s">
        <v>2567</v>
      </c>
      <c r="M1095" s="475">
        <v>44487</v>
      </c>
      <c r="N1095" s="475">
        <v>44593</v>
      </c>
      <c r="O1095" s="475" t="s">
        <v>1280</v>
      </c>
      <c r="P1095" s="475">
        <v>44665</v>
      </c>
      <c r="Q1095" s="475">
        <v>44671</v>
      </c>
      <c r="R1095" s="475">
        <v>44672</v>
      </c>
      <c r="S1095" s="474" t="s">
        <v>2904</v>
      </c>
      <c r="T1095" s="474">
        <v>60</v>
      </c>
      <c r="U1095" s="474">
        <v>49405140</v>
      </c>
      <c r="V1095" s="474" t="s">
        <v>973</v>
      </c>
      <c r="W1095" s="474">
        <v>400</v>
      </c>
      <c r="X1095" s="476">
        <v>768</v>
      </c>
      <c r="Y1095" s="491">
        <f t="shared" si="221"/>
        <v>307200</v>
      </c>
      <c r="Z1095" s="478">
        <v>0.55000000000000004</v>
      </c>
      <c r="AA1095" s="492">
        <f t="shared" si="219"/>
        <v>168960</v>
      </c>
      <c r="AB1095" s="492"/>
      <c r="AC1095" s="446">
        <v>0</v>
      </c>
      <c r="AD1095" s="490"/>
      <c r="AE1095" s="482"/>
      <c r="AF1095" s="580">
        <f t="shared" si="220"/>
        <v>168960</v>
      </c>
      <c r="AG1095" s="474" t="s">
        <v>1071</v>
      </c>
      <c r="AH1095" s="474"/>
      <c r="AI1095" s="474">
        <v>60</v>
      </c>
      <c r="AJ1095" s="475" t="s">
        <v>2568</v>
      </c>
      <c r="AK1095" s="483" t="s">
        <v>1084</v>
      </c>
      <c r="AL1095" s="483" t="s">
        <v>2968</v>
      </c>
      <c r="AM1095" s="474" t="s">
        <v>52</v>
      </c>
      <c r="AN1095" s="474" t="s">
        <v>2928</v>
      </c>
      <c r="AO1095" s="474"/>
      <c r="AP1095" s="482"/>
      <c r="AQ1095" s="482" t="s">
        <v>37</v>
      </c>
      <c r="AR1095" s="439" t="s">
        <v>1960</v>
      </c>
      <c r="AS1095" s="436"/>
      <c r="AT1095" s="436"/>
      <c r="AU1095" s="478">
        <v>0.49</v>
      </c>
      <c r="AV1095" s="471">
        <f t="shared" si="222"/>
        <v>49405140</v>
      </c>
      <c r="AW1095" s="471" cm="1">
        <f t="array" ref="AW1095">SUM(MID(0&amp;AV1095,LARGE(INDEX(ISNUMBER(--MID(AV1095,ROW($1:$8),1))*ROW($1:$8),),ROW($1:$8))+1,1)*10^ROW($1:$8)/10)</f>
        <v>49405140</v>
      </c>
      <c r="AX1095" s="471" t="str">
        <f>VLOOKUP($AW1095,'Item Master Data'!$A:$F,3,FALSE)</f>
        <v>Q.PEAK DUO BLK ML G10+</v>
      </c>
      <c r="AY1095" s="471">
        <f>VLOOKUP($AW1095,'Item Master Data'!$A:$F,6,FALSE)</f>
        <v>400</v>
      </c>
      <c r="AZ1095" s="471">
        <f t="shared" si="223"/>
        <v>24</v>
      </c>
      <c r="BA1095" s="471">
        <f>VLOOKUP(AW1095,'Item Master Data'!$A:$G,7,FALSE)</f>
        <v>32</v>
      </c>
      <c r="BB1095" s="471"/>
      <c r="BC1095" s="471">
        <f t="shared" si="224"/>
        <v>0</v>
      </c>
    </row>
    <row r="1096" spans="1:55">
      <c r="A1096" s="472"/>
      <c r="B1096" s="467">
        <v>44665</v>
      </c>
      <c r="C1096" s="467">
        <v>44665</v>
      </c>
      <c r="D1096" s="474" t="s">
        <v>2901</v>
      </c>
      <c r="E1096" s="445"/>
      <c r="F1096" s="474" t="s">
        <v>1147</v>
      </c>
      <c r="G1096" s="474">
        <v>2022</v>
      </c>
      <c r="H1096" s="474">
        <v>4</v>
      </c>
      <c r="I1096" s="474">
        <v>128108</v>
      </c>
      <c r="J1096" s="475">
        <v>44669</v>
      </c>
      <c r="K1096" s="483" t="s">
        <v>3030</v>
      </c>
      <c r="L1096" s="474" t="s">
        <v>2567</v>
      </c>
      <c r="M1096" s="475">
        <v>44487</v>
      </c>
      <c r="N1096" s="475">
        <v>44593</v>
      </c>
      <c r="O1096" s="475" t="s">
        <v>1280</v>
      </c>
      <c r="P1096" s="475">
        <v>44665</v>
      </c>
      <c r="Q1096" s="475">
        <v>44669</v>
      </c>
      <c r="R1096" s="475">
        <v>44670</v>
      </c>
      <c r="S1096" s="474" t="s">
        <v>2904</v>
      </c>
      <c r="T1096" s="474">
        <v>60</v>
      </c>
      <c r="U1096" s="474">
        <v>49405140</v>
      </c>
      <c r="V1096" s="474" t="s">
        <v>973</v>
      </c>
      <c r="W1096" s="474">
        <v>400</v>
      </c>
      <c r="X1096" s="476">
        <v>768</v>
      </c>
      <c r="Y1096" s="491">
        <f t="shared" si="221"/>
        <v>307200</v>
      </c>
      <c r="Z1096" s="478">
        <v>0.55000000000000004</v>
      </c>
      <c r="AA1096" s="492">
        <f t="shared" si="219"/>
        <v>168960</v>
      </c>
      <c r="AB1096" s="492"/>
      <c r="AC1096" s="446">
        <v>0</v>
      </c>
      <c r="AD1096" s="490"/>
      <c r="AE1096" s="482"/>
      <c r="AF1096" s="580">
        <f t="shared" si="220"/>
        <v>168960</v>
      </c>
      <c r="AG1096" s="474" t="s">
        <v>1071</v>
      </c>
      <c r="AH1096" s="474"/>
      <c r="AI1096" s="474">
        <v>60</v>
      </c>
      <c r="AJ1096" s="475" t="s">
        <v>2568</v>
      </c>
      <c r="AK1096" s="483" t="s">
        <v>1084</v>
      </c>
      <c r="AL1096" s="483" t="s">
        <v>2968</v>
      </c>
      <c r="AM1096" s="474" t="s">
        <v>52</v>
      </c>
      <c r="AN1096" s="474" t="s">
        <v>2928</v>
      </c>
      <c r="AO1096" s="474"/>
      <c r="AP1096" s="482"/>
      <c r="AQ1096" s="482" t="s">
        <v>37</v>
      </c>
      <c r="AR1096" s="439" t="s">
        <v>1960</v>
      </c>
      <c r="AS1096" s="436"/>
      <c r="AT1096" s="436"/>
      <c r="AU1096" s="478">
        <v>0.49</v>
      </c>
      <c r="AV1096" s="471">
        <f t="shared" si="222"/>
        <v>49405140</v>
      </c>
      <c r="AW1096" s="471" cm="1">
        <f t="array" ref="AW1096">SUM(MID(0&amp;AV1096,LARGE(INDEX(ISNUMBER(--MID(AV1096,ROW($1:$8),1))*ROW($1:$8),),ROW($1:$8))+1,1)*10^ROW($1:$8)/10)</f>
        <v>49405140</v>
      </c>
      <c r="AX1096" s="471" t="str">
        <f>VLOOKUP($AW1096,'Item Master Data'!$A:$F,3,FALSE)</f>
        <v>Q.PEAK DUO BLK ML G10+</v>
      </c>
      <c r="AY1096" s="471">
        <f>VLOOKUP($AW1096,'Item Master Data'!$A:$F,6,FALSE)</f>
        <v>400</v>
      </c>
      <c r="AZ1096" s="471">
        <f t="shared" si="223"/>
        <v>24</v>
      </c>
      <c r="BA1096" s="471">
        <f>VLOOKUP(AW1096,'Item Master Data'!$A:$G,7,FALSE)</f>
        <v>32</v>
      </c>
      <c r="BB1096" s="471"/>
      <c r="BC1096" s="471">
        <f t="shared" si="224"/>
        <v>0</v>
      </c>
    </row>
    <row r="1097" spans="1:55">
      <c r="A1097" s="472"/>
      <c r="B1097" s="467">
        <v>44665</v>
      </c>
      <c r="C1097" s="467">
        <v>44665</v>
      </c>
      <c r="D1097" s="474" t="s">
        <v>2901</v>
      </c>
      <c r="E1097" s="445"/>
      <c r="F1097" s="474" t="s">
        <v>1147</v>
      </c>
      <c r="G1097" s="474">
        <v>2022</v>
      </c>
      <c r="H1097" s="474">
        <v>4</v>
      </c>
      <c r="I1097" s="474"/>
      <c r="J1097" s="556"/>
      <c r="K1097" s="518" t="s">
        <v>3032</v>
      </c>
      <c r="L1097" s="519" t="s">
        <v>2567</v>
      </c>
      <c r="M1097" s="521">
        <v>44487</v>
      </c>
      <c r="N1097" s="521">
        <v>44621</v>
      </c>
      <c r="O1097" s="521"/>
      <c r="P1097" s="521">
        <v>44679</v>
      </c>
      <c r="Q1097" s="521"/>
      <c r="R1097" s="521"/>
      <c r="S1097" s="519" t="s">
        <v>2904</v>
      </c>
      <c r="T1097" s="519">
        <v>60</v>
      </c>
      <c r="U1097" s="519" t="s">
        <v>1281</v>
      </c>
      <c r="V1097" s="519" t="s">
        <v>973</v>
      </c>
      <c r="W1097" s="519">
        <v>400</v>
      </c>
      <c r="X1097" s="522">
        <v>768</v>
      </c>
      <c r="Y1097" s="491">
        <f t="shared" si="221"/>
        <v>307200</v>
      </c>
      <c r="Z1097" s="478">
        <v>0.55000000000000004</v>
      </c>
      <c r="AA1097" s="492">
        <f t="shared" si="219"/>
        <v>168960</v>
      </c>
      <c r="AB1097" s="492"/>
      <c r="AC1097" s="446">
        <v>0</v>
      </c>
      <c r="AD1097" s="490"/>
      <c r="AE1097" s="482"/>
      <c r="AF1097" s="580">
        <f t="shared" si="220"/>
        <v>168960</v>
      </c>
      <c r="AG1097" s="474" t="s">
        <v>1071</v>
      </c>
      <c r="AH1097" s="474"/>
      <c r="AI1097" s="474">
        <v>60</v>
      </c>
      <c r="AJ1097" s="475" t="s">
        <v>2568</v>
      </c>
      <c r="AK1097" s="483" t="s">
        <v>1084</v>
      </c>
      <c r="AL1097" s="483" t="s">
        <v>2968</v>
      </c>
      <c r="AM1097" s="474" t="s">
        <v>52</v>
      </c>
      <c r="AN1097" s="474" t="s">
        <v>1085</v>
      </c>
      <c r="AO1097" s="474"/>
      <c r="AP1097" s="482" t="s">
        <v>5573</v>
      </c>
      <c r="AQ1097" s="482" t="s">
        <v>37</v>
      </c>
      <c r="AR1097" s="439" t="s">
        <v>1960</v>
      </c>
      <c r="AS1097" s="436"/>
      <c r="AT1097" s="436"/>
      <c r="AU1097" s="478">
        <v>0.49</v>
      </c>
      <c r="AV1097" s="471" t="str">
        <f t="shared" si="222"/>
        <v>30390456H</v>
      </c>
      <c r="AW1097" s="471" cm="1">
        <f t="array" ref="AW1097">SUM(MID(0&amp;AV1097,LARGE(INDEX(ISNUMBER(--MID(AV1097,ROW($1:$8),1))*ROW($1:$8),),ROW($1:$8))+1,1)*10^ROW($1:$8)/10)</f>
        <v>30390456</v>
      </c>
      <c r="AX1097" s="471" t="str">
        <f>VLOOKUP($AW1097,'Item Master Data'!$A:$F,3,FALSE)</f>
        <v>Q.PEAK DUO BLK ML G10+</v>
      </c>
      <c r="AY1097" s="471">
        <f>VLOOKUP($AW1097,'Item Master Data'!$A:$F,6,FALSE)</f>
        <v>400</v>
      </c>
      <c r="AZ1097" s="471">
        <f t="shared" si="223"/>
        <v>24</v>
      </c>
      <c r="BA1097" s="471">
        <f>VLOOKUP(AW1097,'Item Master Data'!$A:$G,7,FALSE)</f>
        <v>32</v>
      </c>
      <c r="BB1097" s="471"/>
      <c r="BC1097" s="471">
        <f t="shared" si="224"/>
        <v>0</v>
      </c>
    </row>
    <row r="1098" spans="1:55">
      <c r="A1098" s="472"/>
      <c r="B1098" s="467"/>
      <c r="C1098" s="467"/>
      <c r="D1098" s="474" t="s">
        <v>2901</v>
      </c>
      <c r="E1098" s="445"/>
      <c r="F1098" s="474" t="s">
        <v>1147</v>
      </c>
      <c r="G1098" s="474">
        <v>2022</v>
      </c>
      <c r="H1098" s="474">
        <v>4</v>
      </c>
      <c r="I1098" s="474">
        <v>128170</v>
      </c>
      <c r="J1098" s="475">
        <v>44676</v>
      </c>
      <c r="K1098" s="483" t="s">
        <v>3034</v>
      </c>
      <c r="L1098" s="474" t="s">
        <v>2567</v>
      </c>
      <c r="M1098" s="475">
        <v>44495</v>
      </c>
      <c r="N1098" s="475">
        <v>44562</v>
      </c>
      <c r="O1098" s="475"/>
      <c r="P1098" s="475">
        <v>44671</v>
      </c>
      <c r="Q1098" s="475">
        <v>44676</v>
      </c>
      <c r="R1098" s="475">
        <v>44680</v>
      </c>
      <c r="S1098" s="474" t="s">
        <v>2904</v>
      </c>
      <c r="T1098" s="474">
        <v>60</v>
      </c>
      <c r="U1098" s="474" t="s">
        <v>1760</v>
      </c>
      <c r="V1098" s="474" t="s">
        <v>973</v>
      </c>
      <c r="W1098" s="474">
        <v>400</v>
      </c>
      <c r="X1098" s="476">
        <v>6912</v>
      </c>
      <c r="Y1098" s="491">
        <f t="shared" si="221"/>
        <v>2764800</v>
      </c>
      <c r="Z1098" s="478">
        <v>0.55000000000000004</v>
      </c>
      <c r="AA1098" s="492">
        <f t="shared" si="219"/>
        <v>1520640.0000000002</v>
      </c>
      <c r="AB1098" s="492"/>
      <c r="AC1098" s="446">
        <v>0</v>
      </c>
      <c r="AD1098" s="490"/>
      <c r="AE1098" s="482"/>
      <c r="AF1098" s="580">
        <f t="shared" si="220"/>
        <v>1520640.0000000002</v>
      </c>
      <c r="AG1098" s="474" t="s">
        <v>1071</v>
      </c>
      <c r="AH1098" s="474"/>
      <c r="AI1098" s="474">
        <v>60</v>
      </c>
      <c r="AJ1098" s="475" t="s">
        <v>2568</v>
      </c>
      <c r="AK1098" s="483" t="s">
        <v>1084</v>
      </c>
      <c r="AL1098" s="483" t="s">
        <v>2569</v>
      </c>
      <c r="AM1098" s="474" t="s">
        <v>52</v>
      </c>
      <c r="AN1098" s="474" t="s">
        <v>50</v>
      </c>
      <c r="AO1098" s="474"/>
      <c r="AP1098" s="482" t="s">
        <v>38</v>
      </c>
      <c r="AQ1098" s="482" t="s">
        <v>37</v>
      </c>
      <c r="AR1098" s="439" t="s">
        <v>1677</v>
      </c>
      <c r="AS1098" s="436" t="s">
        <v>1076</v>
      </c>
      <c r="AT1098" s="436" t="s">
        <v>1076</v>
      </c>
      <c r="AU1098" s="478">
        <v>0.45500000000000002</v>
      </c>
      <c r="AV1098" s="471" t="str">
        <f t="shared" si="222"/>
        <v>30390156H</v>
      </c>
      <c r="AW1098" s="471" cm="1">
        <f t="array" ref="AW1098">SUM(MID(0&amp;AV1098,LARGE(INDEX(ISNUMBER(--MID(AV1098,ROW($1:$8),1))*ROW($1:$8),),ROW($1:$8))+1,1)*10^ROW($1:$8)/10)</f>
        <v>30390156</v>
      </c>
      <c r="AX1098" s="471" t="str">
        <f>VLOOKUP($AW1098,'Item Master Data'!$A:$F,3,FALSE)</f>
        <v>Q.PEAK DUO BLK ML G10+</v>
      </c>
      <c r="AY1098" s="471">
        <f>VLOOKUP($AW1098,'Item Master Data'!$A:$F,6,FALSE)</f>
        <v>400</v>
      </c>
      <c r="AZ1098" s="471">
        <f t="shared" si="223"/>
        <v>216</v>
      </c>
      <c r="BA1098" s="471">
        <f>VLOOKUP(AW1098,'Item Master Data'!$A:$G,7,FALSE)</f>
        <v>32</v>
      </c>
      <c r="BB1098" s="471"/>
      <c r="BC1098" s="471">
        <f t="shared" si="224"/>
        <v>0</v>
      </c>
    </row>
    <row r="1099" spans="1:55">
      <c r="A1099" s="472"/>
      <c r="B1099" s="449"/>
      <c r="C1099" s="449"/>
      <c r="D1099" s="474" t="s">
        <v>2901</v>
      </c>
      <c r="E1099" s="445"/>
      <c r="F1099" s="474" t="s">
        <v>1147</v>
      </c>
      <c r="G1099" s="474">
        <v>2022</v>
      </c>
      <c r="H1099" s="474">
        <v>4</v>
      </c>
      <c r="I1099" s="474" t="s">
        <v>2316</v>
      </c>
      <c r="J1099" s="556">
        <v>44678</v>
      </c>
      <c r="K1099" s="474" t="s">
        <v>3102</v>
      </c>
      <c r="L1099" s="474" t="s">
        <v>2567</v>
      </c>
      <c r="M1099" s="475">
        <v>44566</v>
      </c>
      <c r="N1099" s="475">
        <v>44656</v>
      </c>
      <c r="O1099" s="475"/>
      <c r="P1099" s="475">
        <v>44662</v>
      </c>
      <c r="Q1099" s="475">
        <v>44678</v>
      </c>
      <c r="R1099" s="475">
        <v>44679</v>
      </c>
      <c r="S1099" s="474" t="s">
        <v>2904</v>
      </c>
      <c r="T1099" s="474">
        <v>60</v>
      </c>
      <c r="U1099" s="474">
        <v>49204132</v>
      </c>
      <c r="V1099" s="474" t="s">
        <v>1223</v>
      </c>
      <c r="W1099" s="474">
        <v>360</v>
      </c>
      <c r="X1099" s="476">
        <v>2808</v>
      </c>
      <c r="Y1099" s="477">
        <f>W1099*X1099</f>
        <v>1010880</v>
      </c>
      <c r="Z1099" s="478">
        <v>0.79</v>
      </c>
      <c r="AA1099" s="479">
        <f>Z1099*Y1099</f>
        <v>798595.20000000007</v>
      </c>
      <c r="AB1099" s="479"/>
      <c r="AC1099" s="446">
        <v>0</v>
      </c>
      <c r="AD1099" s="490"/>
      <c r="AE1099" s="482"/>
      <c r="AF1099" s="580">
        <f>AA1099+AE1099</f>
        <v>798595.20000000007</v>
      </c>
      <c r="AG1099" s="474" t="s">
        <v>1071</v>
      </c>
      <c r="AH1099" s="474"/>
      <c r="AI1099" s="474">
        <v>60</v>
      </c>
      <c r="AJ1099" s="484" t="s">
        <v>2568</v>
      </c>
      <c r="AK1099" s="474" t="s">
        <v>1084</v>
      </c>
      <c r="AL1099" s="483" t="s">
        <v>2569</v>
      </c>
      <c r="AM1099" s="474" t="s">
        <v>52</v>
      </c>
      <c r="AN1099" s="474" t="s">
        <v>2928</v>
      </c>
      <c r="AO1099" s="474"/>
      <c r="AP1099" s="482"/>
      <c r="AQ1099" s="482" t="s">
        <v>37</v>
      </c>
      <c r="AR1099" s="482" t="s">
        <v>3026</v>
      </c>
      <c r="AS1099" s="436" t="s">
        <v>1076</v>
      </c>
      <c r="AT1099" s="436" t="s">
        <v>1076</v>
      </c>
      <c r="AU1099" s="478">
        <v>0.73</v>
      </c>
      <c r="AV1099" s="471">
        <f t="shared" si="222"/>
        <v>49204132</v>
      </c>
      <c r="AW1099" s="471" cm="1">
        <f t="array" ref="AW1099">SUM(MID(0&amp;AV1099,LARGE(INDEX(ISNUMBER(--MID(AV1099,ROW($1:$8),1))*ROW($1:$8),),ROW($1:$8))+1,1)*10^ROW($1:$8)/10)</f>
        <v>49204132</v>
      </c>
      <c r="AX1099" s="471" t="str">
        <f>VLOOKUP($AW1099,'Item Master Data'!$A:$F,3,FALSE)</f>
        <v>Q.PEAK DUO BLK G10+/AC</v>
      </c>
      <c r="AY1099" s="471">
        <f>VLOOKUP($AW1099,'Item Master Data'!$A:$F,6,FALSE)</f>
        <v>360</v>
      </c>
      <c r="AZ1099" s="471">
        <f t="shared" si="223"/>
        <v>108</v>
      </c>
      <c r="BA1099" s="471">
        <f>VLOOKUP(AW1099,'Item Master Data'!$A:$G,7,FALSE)</f>
        <v>26</v>
      </c>
      <c r="BB1099" s="471"/>
      <c r="BC1099" s="471">
        <f t="shared" si="224"/>
        <v>0</v>
      </c>
    </row>
    <row r="1100" spans="1:55">
      <c r="A1100" s="472"/>
      <c r="B1100" s="449"/>
      <c r="C1100" s="449"/>
      <c r="D1100" s="474" t="s">
        <v>2901</v>
      </c>
      <c r="E1100" s="445" t="s">
        <v>5748</v>
      </c>
      <c r="F1100" s="474" t="s">
        <v>1147</v>
      </c>
      <c r="G1100" s="474">
        <v>2022</v>
      </c>
      <c r="H1100" s="474">
        <v>4</v>
      </c>
      <c r="I1100" s="474" t="s">
        <v>5389</v>
      </c>
      <c r="J1100" s="556">
        <v>44676</v>
      </c>
      <c r="K1100" s="474" t="s">
        <v>3102</v>
      </c>
      <c r="L1100" s="474" t="s">
        <v>2567</v>
      </c>
      <c r="M1100" s="475">
        <v>44566</v>
      </c>
      <c r="N1100" s="475">
        <v>44656</v>
      </c>
      <c r="O1100" s="475"/>
      <c r="P1100" s="475">
        <v>44662</v>
      </c>
      <c r="Q1100" s="475">
        <v>44676</v>
      </c>
      <c r="R1100" s="475">
        <v>44677</v>
      </c>
      <c r="S1100" s="474" t="s">
        <v>2904</v>
      </c>
      <c r="T1100" s="474">
        <v>60</v>
      </c>
      <c r="U1100" s="474">
        <v>49204132</v>
      </c>
      <c r="V1100" s="474" t="s">
        <v>1223</v>
      </c>
      <c r="W1100" s="474">
        <v>360</v>
      </c>
      <c r="X1100" s="476">
        <v>728</v>
      </c>
      <c r="Y1100" s="491">
        <f>W1100*X1100</f>
        <v>262080</v>
      </c>
      <c r="Z1100" s="478">
        <v>0.79</v>
      </c>
      <c r="AA1100" s="492">
        <f t="shared" si="219"/>
        <v>207043.20000000001</v>
      </c>
      <c r="AB1100" s="492"/>
      <c r="AC1100" s="446">
        <v>0</v>
      </c>
      <c r="AD1100" s="490"/>
      <c r="AE1100" s="482"/>
      <c r="AF1100" s="580">
        <f t="shared" si="220"/>
        <v>207043.20000000001</v>
      </c>
      <c r="AG1100" s="474" t="s">
        <v>1071</v>
      </c>
      <c r="AH1100" s="474"/>
      <c r="AI1100" s="474">
        <v>60</v>
      </c>
      <c r="AJ1100" s="484" t="s">
        <v>2568</v>
      </c>
      <c r="AK1100" s="474" t="s">
        <v>1084</v>
      </c>
      <c r="AL1100" s="483" t="s">
        <v>2569</v>
      </c>
      <c r="AM1100" s="474" t="s">
        <v>52</v>
      </c>
      <c r="AN1100" s="474" t="s">
        <v>2928</v>
      </c>
      <c r="AO1100" s="474"/>
      <c r="AP1100" s="482"/>
      <c r="AQ1100" s="482" t="s">
        <v>37</v>
      </c>
      <c r="AR1100" s="482" t="s">
        <v>3026</v>
      </c>
      <c r="AS1100" s="436" t="s">
        <v>1076</v>
      </c>
      <c r="AT1100" s="436" t="s">
        <v>1076</v>
      </c>
      <c r="AU1100" s="478">
        <v>0.73</v>
      </c>
      <c r="AV1100" s="471">
        <f t="shared" si="222"/>
        <v>49204132</v>
      </c>
      <c r="AW1100" s="471" cm="1">
        <f t="array" ref="AW1100">SUM(MID(0&amp;AV1100,LARGE(INDEX(ISNUMBER(--MID(AV1100,ROW($1:$8),1))*ROW($1:$8),),ROW($1:$8))+1,1)*10^ROW($1:$8)/10)</f>
        <v>49204132</v>
      </c>
      <c r="AX1100" s="471" t="str">
        <f>VLOOKUP($AW1100,'Item Master Data'!$A:$F,3,FALSE)</f>
        <v>Q.PEAK DUO BLK G10+/AC</v>
      </c>
      <c r="AY1100" s="471">
        <f>VLOOKUP($AW1100,'Item Master Data'!$A:$F,6,FALSE)</f>
        <v>360</v>
      </c>
      <c r="AZ1100" s="471">
        <f t="shared" si="223"/>
        <v>28</v>
      </c>
      <c r="BA1100" s="471">
        <f>VLOOKUP(AW1100,'Item Master Data'!$A:$G,7,FALSE)</f>
        <v>26</v>
      </c>
      <c r="BB1100" s="471"/>
      <c r="BC1100" s="471">
        <f t="shared" si="224"/>
        <v>0</v>
      </c>
    </row>
    <row r="1101" spans="1:55">
      <c r="A1101" s="472"/>
      <c r="B1101" s="449">
        <v>44658</v>
      </c>
      <c r="C1101" s="449">
        <v>44658</v>
      </c>
      <c r="D1101" s="474" t="s">
        <v>2901</v>
      </c>
      <c r="E1101" s="474" t="s">
        <v>5711</v>
      </c>
      <c r="F1101" s="474" t="s">
        <v>1147</v>
      </c>
      <c r="G1101" s="474">
        <v>2022</v>
      </c>
      <c r="H1101" s="474">
        <v>4</v>
      </c>
      <c r="I1101" s="474">
        <v>128215</v>
      </c>
      <c r="J1101" s="475">
        <v>44676</v>
      </c>
      <c r="K1101" s="474">
        <v>515</v>
      </c>
      <c r="L1101" s="474" t="s">
        <v>3001</v>
      </c>
      <c r="M1101" s="475">
        <v>44657</v>
      </c>
      <c r="N1101" s="475">
        <v>44713</v>
      </c>
      <c r="O1101" s="475">
        <v>44666</v>
      </c>
      <c r="P1101" s="475">
        <v>44659</v>
      </c>
      <c r="Q1101" s="475">
        <v>44671</v>
      </c>
      <c r="R1101" s="475">
        <v>44676</v>
      </c>
      <c r="S1101" s="474" t="s">
        <v>2904</v>
      </c>
      <c r="T1101" s="474">
        <v>72</v>
      </c>
      <c r="U1101" s="474" t="s">
        <v>1103</v>
      </c>
      <c r="V1101" s="474" t="s">
        <v>1104</v>
      </c>
      <c r="W1101" s="474">
        <v>480</v>
      </c>
      <c r="X1101" s="432">
        <v>493</v>
      </c>
      <c r="Y1101" s="491">
        <f t="shared" ref="Y1101:Y1112" si="225">X1101*W1101</f>
        <v>236640</v>
      </c>
      <c r="Z1101" s="478">
        <v>0.55000000000000004</v>
      </c>
      <c r="AA1101" s="492">
        <f t="shared" si="219"/>
        <v>130152.00000000001</v>
      </c>
      <c r="AB1101" s="492"/>
      <c r="AC1101" s="446">
        <v>0</v>
      </c>
      <c r="AD1101" s="490"/>
      <c r="AE1101" s="437"/>
      <c r="AF1101" s="580">
        <f t="shared" si="220"/>
        <v>130152.00000000001</v>
      </c>
      <c r="AG1101" s="474" t="s">
        <v>47</v>
      </c>
      <c r="AH1101" s="438"/>
      <c r="AI1101" s="474">
        <v>60</v>
      </c>
      <c r="AJ1101" s="484" t="s">
        <v>1083</v>
      </c>
      <c r="AK1101" s="474" t="s">
        <v>1084</v>
      </c>
      <c r="AL1101" s="483" t="s">
        <v>3002</v>
      </c>
      <c r="AM1101" s="474" t="s">
        <v>52</v>
      </c>
      <c r="AN1101" s="474" t="s">
        <v>50</v>
      </c>
      <c r="AO1101" s="474"/>
      <c r="AP1101" s="482" t="s">
        <v>38</v>
      </c>
      <c r="AQ1101" s="439" t="s">
        <v>37</v>
      </c>
      <c r="AR1101" s="439" t="s">
        <v>2953</v>
      </c>
      <c r="AS1101" s="473" t="s">
        <v>1087</v>
      </c>
      <c r="AT1101" s="473" t="s">
        <v>1076</v>
      </c>
      <c r="AU1101" s="478">
        <v>0.5</v>
      </c>
      <c r="AV1101" s="471" t="str">
        <f t="shared" si="222"/>
        <v>30397472F</v>
      </c>
      <c r="AW1101" s="471" cm="1">
        <f t="array" ref="AW1101">SUM(MID(0&amp;AV1101,LARGE(INDEX(ISNUMBER(--MID(AV1101,ROW($1:$8),1))*ROW($1:$8),),ROW($1:$8))+1,1)*10^ROW($1:$8)/10)</f>
        <v>30397472</v>
      </c>
      <c r="AX1101" s="471" t="str">
        <f>VLOOKUP($AW1101,'Item Master Data'!$A:$F,3,FALSE)</f>
        <v>Q.PEAK DUO XL G10</v>
      </c>
      <c r="AY1101" s="471">
        <f>VLOOKUP($AW1101,'Item Master Data'!$A:$F,6,FALSE)</f>
        <v>480</v>
      </c>
      <c r="AZ1101" s="471">
        <f t="shared" si="223"/>
        <v>17</v>
      </c>
      <c r="BA1101" s="471">
        <f>VLOOKUP(AW1101,'Item Master Data'!$A:$G,7,FALSE)</f>
        <v>29</v>
      </c>
      <c r="BB1101" s="471"/>
      <c r="BC1101" s="471">
        <f t="shared" si="224"/>
        <v>0</v>
      </c>
    </row>
    <row r="1102" spans="1:55">
      <c r="A1102" s="472"/>
      <c r="B1102" s="449">
        <v>44658</v>
      </c>
      <c r="C1102" s="449">
        <v>44658</v>
      </c>
      <c r="D1102" s="474" t="s">
        <v>2901</v>
      </c>
      <c r="E1102" s="474" t="s">
        <v>5711</v>
      </c>
      <c r="F1102" s="474" t="s">
        <v>1147</v>
      </c>
      <c r="G1102" s="474">
        <v>2022</v>
      </c>
      <c r="H1102" s="474">
        <v>4</v>
      </c>
      <c r="I1102" s="474">
        <v>128215</v>
      </c>
      <c r="J1102" s="475">
        <v>44676</v>
      </c>
      <c r="K1102" s="474">
        <v>515</v>
      </c>
      <c r="L1102" s="474" t="s">
        <v>3001</v>
      </c>
      <c r="M1102" s="475">
        <v>44657</v>
      </c>
      <c r="N1102" s="475">
        <v>44713</v>
      </c>
      <c r="O1102" s="475">
        <v>44666</v>
      </c>
      <c r="P1102" s="475">
        <v>44659</v>
      </c>
      <c r="Q1102" s="475">
        <v>44671</v>
      </c>
      <c r="R1102" s="475">
        <v>44676</v>
      </c>
      <c r="S1102" s="474" t="s">
        <v>2904</v>
      </c>
      <c r="T1102" s="474">
        <v>72</v>
      </c>
      <c r="U1102" s="474" t="s">
        <v>1103</v>
      </c>
      <c r="V1102" s="474" t="s">
        <v>1104</v>
      </c>
      <c r="W1102" s="474">
        <v>480</v>
      </c>
      <c r="X1102" s="432">
        <v>783</v>
      </c>
      <c r="Y1102" s="491">
        <f t="shared" si="225"/>
        <v>375840</v>
      </c>
      <c r="Z1102" s="478">
        <v>0.55000000000000004</v>
      </c>
      <c r="AA1102" s="492">
        <f t="shared" si="219"/>
        <v>206712.00000000003</v>
      </c>
      <c r="AB1102" s="492"/>
      <c r="AC1102" s="446">
        <v>0</v>
      </c>
      <c r="AD1102" s="490"/>
      <c r="AE1102" s="437"/>
      <c r="AF1102" s="580">
        <f t="shared" si="220"/>
        <v>206712.00000000003</v>
      </c>
      <c r="AG1102" s="474" t="s">
        <v>47</v>
      </c>
      <c r="AH1102" s="438"/>
      <c r="AI1102" s="474">
        <v>60</v>
      </c>
      <c r="AJ1102" s="484" t="s">
        <v>1083</v>
      </c>
      <c r="AK1102" s="474" t="s">
        <v>1084</v>
      </c>
      <c r="AL1102" s="483" t="s">
        <v>3002</v>
      </c>
      <c r="AM1102" s="474" t="s">
        <v>52</v>
      </c>
      <c r="AN1102" s="474" t="s">
        <v>2538</v>
      </c>
      <c r="AO1102" s="474"/>
      <c r="AP1102" s="482" t="s">
        <v>38</v>
      </c>
      <c r="AQ1102" s="439" t="s">
        <v>37</v>
      </c>
      <c r="AR1102" s="439" t="s">
        <v>2953</v>
      </c>
      <c r="AS1102" s="473" t="s">
        <v>1087</v>
      </c>
      <c r="AT1102" s="473" t="s">
        <v>1076</v>
      </c>
      <c r="AU1102" s="478">
        <v>0.5</v>
      </c>
      <c r="AV1102" s="471" t="str">
        <f t="shared" si="222"/>
        <v>30397472F</v>
      </c>
      <c r="AW1102" s="471" cm="1">
        <f t="array" ref="AW1102">SUM(MID(0&amp;AV1102,LARGE(INDEX(ISNUMBER(--MID(AV1102,ROW($1:$8),1))*ROW($1:$8),),ROW($1:$8))+1,1)*10^ROW($1:$8)/10)</f>
        <v>30397472</v>
      </c>
      <c r="AX1102" s="471" t="str">
        <f>VLOOKUP($AW1102,'Item Master Data'!$A:$F,3,FALSE)</f>
        <v>Q.PEAK DUO XL G10</v>
      </c>
      <c r="AY1102" s="471">
        <f>VLOOKUP($AW1102,'Item Master Data'!$A:$F,6,FALSE)</f>
        <v>480</v>
      </c>
      <c r="AZ1102" s="471">
        <f t="shared" si="223"/>
        <v>27</v>
      </c>
      <c r="BA1102" s="471">
        <f>VLOOKUP(AW1102,'Item Master Data'!$A:$G,7,FALSE)</f>
        <v>29</v>
      </c>
      <c r="BB1102" s="471"/>
      <c r="BC1102" s="471">
        <f t="shared" si="224"/>
        <v>0</v>
      </c>
    </row>
    <row r="1103" spans="1:55">
      <c r="A1103" s="472"/>
      <c r="B1103" s="467">
        <v>44662</v>
      </c>
      <c r="C1103" s="467">
        <v>44663</v>
      </c>
      <c r="D1103" s="474" t="s">
        <v>2901</v>
      </c>
      <c r="E1103" s="445" t="s">
        <v>5574</v>
      </c>
      <c r="F1103" s="474" t="s">
        <v>1147</v>
      </c>
      <c r="G1103" s="474">
        <v>2022</v>
      </c>
      <c r="H1103" s="474">
        <v>5</v>
      </c>
      <c r="I1103" s="474"/>
      <c r="J1103" s="556"/>
      <c r="K1103" s="483" t="s">
        <v>3057</v>
      </c>
      <c r="L1103" s="474" t="s">
        <v>3052</v>
      </c>
      <c r="M1103" s="475">
        <v>44435</v>
      </c>
      <c r="N1103" s="475">
        <v>44561</v>
      </c>
      <c r="O1103" s="475">
        <v>44671</v>
      </c>
      <c r="P1103" s="475">
        <v>44663</v>
      </c>
      <c r="Q1103" s="475"/>
      <c r="R1103" s="475"/>
      <c r="S1103" s="474" t="s">
        <v>2904</v>
      </c>
      <c r="T1103" s="474">
        <v>60</v>
      </c>
      <c r="U1103" s="474">
        <v>49405140</v>
      </c>
      <c r="V1103" s="474" t="s">
        <v>973</v>
      </c>
      <c r="W1103" s="474">
        <v>400</v>
      </c>
      <c r="X1103" s="476">
        <v>768</v>
      </c>
      <c r="Y1103" s="491">
        <f t="shared" si="225"/>
        <v>307200</v>
      </c>
      <c r="Z1103" s="478">
        <v>0.46500000000000002</v>
      </c>
      <c r="AA1103" s="492">
        <f t="shared" si="219"/>
        <v>142848</v>
      </c>
      <c r="AB1103" s="492"/>
      <c r="AC1103" s="446">
        <v>0</v>
      </c>
      <c r="AD1103" s="490"/>
      <c r="AE1103" s="482"/>
      <c r="AF1103" s="580">
        <f t="shared" si="220"/>
        <v>142848</v>
      </c>
      <c r="AG1103" s="474" t="s">
        <v>47</v>
      </c>
      <c r="AH1103" s="474"/>
      <c r="AI1103" s="474">
        <v>60</v>
      </c>
      <c r="AJ1103" s="475" t="s">
        <v>3055</v>
      </c>
      <c r="AK1103" s="483" t="s">
        <v>1375</v>
      </c>
      <c r="AL1103" s="483">
        <v>23836</v>
      </c>
      <c r="AM1103" s="474" t="s">
        <v>52</v>
      </c>
      <c r="AN1103" s="474" t="s">
        <v>2928</v>
      </c>
      <c r="AO1103" s="474"/>
      <c r="AP1103" s="482"/>
      <c r="AQ1103" s="482" t="s">
        <v>37</v>
      </c>
      <c r="AR1103" s="439"/>
      <c r="AS1103" s="436" t="s">
        <v>1076</v>
      </c>
      <c r="AT1103" s="436" t="s">
        <v>1076</v>
      </c>
      <c r="AU1103" s="478"/>
      <c r="AV1103" s="471">
        <f t="shared" si="222"/>
        <v>49405140</v>
      </c>
      <c r="AW1103" s="471" cm="1">
        <f t="array" ref="AW1103">SUM(MID(0&amp;AV1103,LARGE(INDEX(ISNUMBER(--MID(AV1103,ROW($1:$8),1))*ROW($1:$8),),ROW($1:$8))+1,1)*10^ROW($1:$8)/10)</f>
        <v>49405140</v>
      </c>
      <c r="AX1103" s="471" t="str">
        <f>VLOOKUP($AW1103,'Item Master Data'!$A:$F,3,FALSE)</f>
        <v>Q.PEAK DUO BLK ML G10+</v>
      </c>
      <c r="AY1103" s="471">
        <f>VLOOKUP($AW1103,'Item Master Data'!$A:$F,6,FALSE)</f>
        <v>400</v>
      </c>
      <c r="AZ1103" s="471">
        <f t="shared" si="223"/>
        <v>24</v>
      </c>
      <c r="BA1103" s="471">
        <f>VLOOKUP(AW1103,'Item Master Data'!$A:$G,7,FALSE)</f>
        <v>32</v>
      </c>
      <c r="BB1103" s="471"/>
      <c r="BC1103" s="471">
        <f t="shared" si="224"/>
        <v>0</v>
      </c>
    </row>
    <row r="1104" spans="1:55">
      <c r="A1104" s="472"/>
      <c r="B1104" s="467">
        <v>44662</v>
      </c>
      <c r="C1104" s="467">
        <v>44663</v>
      </c>
      <c r="D1104" s="474" t="s">
        <v>2901</v>
      </c>
      <c r="E1104" s="445" t="s">
        <v>5712</v>
      </c>
      <c r="F1104" s="474" t="s">
        <v>1147</v>
      </c>
      <c r="G1104" s="474">
        <v>2022</v>
      </c>
      <c r="H1104" s="474">
        <v>5</v>
      </c>
      <c r="I1104" s="474"/>
      <c r="J1104" s="556"/>
      <c r="K1104" s="483" t="s">
        <v>3063</v>
      </c>
      <c r="L1104" s="474" t="s">
        <v>3052</v>
      </c>
      <c r="M1104" s="475">
        <v>44524</v>
      </c>
      <c r="N1104" s="475">
        <v>44592</v>
      </c>
      <c r="O1104" s="475">
        <v>44663</v>
      </c>
      <c r="P1104" s="475">
        <v>44663</v>
      </c>
      <c r="Q1104" s="475"/>
      <c r="R1104" s="475"/>
      <c r="S1104" s="474" t="s">
        <v>2904</v>
      </c>
      <c r="T1104" s="474">
        <v>60</v>
      </c>
      <c r="U1104" s="474">
        <v>49405140</v>
      </c>
      <c r="V1104" s="474" t="s">
        <v>973</v>
      </c>
      <c r="W1104" s="474">
        <v>400</v>
      </c>
      <c r="X1104" s="476">
        <v>768</v>
      </c>
      <c r="Y1104" s="491">
        <f t="shared" si="225"/>
        <v>307200</v>
      </c>
      <c r="Z1104" s="478">
        <v>0.46500000000000002</v>
      </c>
      <c r="AA1104" s="492">
        <f t="shared" si="219"/>
        <v>142848</v>
      </c>
      <c r="AB1104" s="492"/>
      <c r="AC1104" s="446">
        <v>0</v>
      </c>
      <c r="AD1104" s="490"/>
      <c r="AE1104" s="482"/>
      <c r="AF1104" s="580">
        <f t="shared" si="220"/>
        <v>142848</v>
      </c>
      <c r="AG1104" s="474" t="s">
        <v>47</v>
      </c>
      <c r="AH1104" s="474"/>
      <c r="AI1104" s="474">
        <v>60</v>
      </c>
      <c r="AJ1104" s="475" t="s">
        <v>3064</v>
      </c>
      <c r="AK1104" s="483" t="s">
        <v>1158</v>
      </c>
      <c r="AL1104" s="483" t="s">
        <v>3065</v>
      </c>
      <c r="AM1104" s="474" t="s">
        <v>52</v>
      </c>
      <c r="AN1104" s="474" t="s">
        <v>2928</v>
      </c>
      <c r="AO1104" s="474"/>
      <c r="AP1104" s="482"/>
      <c r="AQ1104" s="482" t="s">
        <v>37</v>
      </c>
      <c r="AR1104" s="439"/>
      <c r="AS1104" s="436" t="s">
        <v>1076</v>
      </c>
      <c r="AT1104" s="436" t="s">
        <v>1076</v>
      </c>
      <c r="AU1104" s="478"/>
      <c r="AV1104" s="471">
        <f t="shared" si="222"/>
        <v>49405140</v>
      </c>
      <c r="AW1104" s="471" cm="1">
        <f t="array" ref="AW1104">SUM(MID(0&amp;AV1104,LARGE(INDEX(ISNUMBER(--MID(AV1104,ROW($1:$8),1))*ROW($1:$8),),ROW($1:$8))+1,1)*10^ROW($1:$8)/10)</f>
        <v>49405140</v>
      </c>
      <c r="AX1104" s="471" t="str">
        <f>VLOOKUP($AW1104,'Item Master Data'!$A:$F,3,FALSE)</f>
        <v>Q.PEAK DUO BLK ML G10+</v>
      </c>
      <c r="AY1104" s="471">
        <f>VLOOKUP($AW1104,'Item Master Data'!$A:$F,6,FALSE)</f>
        <v>400</v>
      </c>
      <c r="AZ1104" s="471">
        <f t="shared" si="223"/>
        <v>24</v>
      </c>
      <c r="BA1104" s="471">
        <f>VLOOKUP(AW1104,'Item Master Data'!$A:$G,7,FALSE)</f>
        <v>32</v>
      </c>
      <c r="BB1104" s="471"/>
      <c r="BC1104" s="471">
        <f t="shared" si="224"/>
        <v>0</v>
      </c>
    </row>
    <row r="1105" spans="1:55">
      <c r="A1105" s="472">
        <v>10</v>
      </c>
      <c r="B1105" s="467">
        <v>44662</v>
      </c>
      <c r="C1105" s="467">
        <v>44663</v>
      </c>
      <c r="D1105" s="474" t="s">
        <v>2901</v>
      </c>
      <c r="E1105" s="445" t="s">
        <v>3066</v>
      </c>
      <c r="F1105" s="474" t="s">
        <v>1147</v>
      </c>
      <c r="G1105" s="474">
        <v>2022</v>
      </c>
      <c r="H1105" s="474">
        <v>4</v>
      </c>
      <c r="I1105" s="474" t="s">
        <v>3023</v>
      </c>
      <c r="J1105" s="556">
        <v>44655</v>
      </c>
      <c r="K1105" s="483" t="s">
        <v>3067</v>
      </c>
      <c r="L1105" s="474" t="s">
        <v>3052</v>
      </c>
      <c r="M1105" s="475">
        <v>44524</v>
      </c>
      <c r="N1105" s="475">
        <v>44592</v>
      </c>
      <c r="O1105" s="475">
        <v>44620</v>
      </c>
      <c r="P1105" s="475">
        <v>44637</v>
      </c>
      <c r="Q1105" s="475">
        <v>44650</v>
      </c>
      <c r="R1105" s="475">
        <v>44655</v>
      </c>
      <c r="S1105" s="474" t="s">
        <v>2904</v>
      </c>
      <c r="T1105" s="474">
        <v>60</v>
      </c>
      <c r="U1105" s="474">
        <v>49403540</v>
      </c>
      <c r="V1105" s="474" t="s">
        <v>973</v>
      </c>
      <c r="W1105" s="474">
        <v>400</v>
      </c>
      <c r="X1105" s="476">
        <v>384</v>
      </c>
      <c r="Y1105" s="491">
        <f t="shared" si="225"/>
        <v>153600</v>
      </c>
      <c r="Z1105" s="478">
        <v>0.46500000000000002</v>
      </c>
      <c r="AA1105" s="492">
        <f t="shared" si="219"/>
        <v>71424</v>
      </c>
      <c r="AB1105" s="492"/>
      <c r="AC1105" s="446">
        <v>0</v>
      </c>
      <c r="AD1105" s="490"/>
      <c r="AE1105" s="482"/>
      <c r="AF1105" s="580">
        <f t="shared" si="220"/>
        <v>71424</v>
      </c>
      <c r="AG1105" s="474" t="s">
        <v>47</v>
      </c>
      <c r="AH1105" s="474"/>
      <c r="AI1105" s="474">
        <v>60</v>
      </c>
      <c r="AJ1105" s="475" t="s">
        <v>3068</v>
      </c>
      <c r="AK1105" s="483" t="s">
        <v>1590</v>
      </c>
      <c r="AL1105" s="483" t="s">
        <v>3069</v>
      </c>
      <c r="AM1105" s="474" t="s">
        <v>52</v>
      </c>
      <c r="AN1105" s="474" t="s">
        <v>2928</v>
      </c>
      <c r="AO1105" s="474"/>
      <c r="AP1105" s="482"/>
      <c r="AQ1105" s="482" t="s">
        <v>37</v>
      </c>
      <c r="AR1105" s="439"/>
      <c r="AS1105" s="436" t="s">
        <v>1076</v>
      </c>
      <c r="AT1105" s="436" t="s">
        <v>1076</v>
      </c>
      <c r="AU1105" s="478"/>
      <c r="AV1105" s="471">
        <f t="shared" si="222"/>
        <v>49403540</v>
      </c>
      <c r="AW1105" s="471" cm="1">
        <f t="array" ref="AW1105">SUM(MID(0&amp;AV1105,LARGE(INDEX(ISNUMBER(--MID(AV1105,ROW($1:$8),1))*ROW($1:$8),),ROW($1:$8))+1,1)*10^ROW($1:$8)/10)</f>
        <v>49403540</v>
      </c>
      <c r="AX1105" s="471" t="str">
        <f>VLOOKUP($AW1105,'Item Master Data'!$A:$F,3,FALSE)</f>
        <v>Q.PEAK DUO BLK ML G10+</v>
      </c>
      <c r="AY1105" s="471">
        <f>VLOOKUP($AW1105,'Item Master Data'!$A:$F,6,FALSE)</f>
        <v>400</v>
      </c>
      <c r="AZ1105" s="471">
        <f t="shared" si="223"/>
        <v>12</v>
      </c>
      <c r="BA1105" s="471">
        <f>VLOOKUP(AW1105,'Item Master Data'!$A:$G,7,FALSE)</f>
        <v>32</v>
      </c>
      <c r="BB1105" s="471"/>
      <c r="BC1105" s="471">
        <f t="shared" si="224"/>
        <v>0</v>
      </c>
    </row>
    <row r="1106" spans="1:55">
      <c r="A1106" s="472">
        <v>10</v>
      </c>
      <c r="B1106" s="467">
        <v>44662</v>
      </c>
      <c r="C1106" s="467">
        <v>44663</v>
      </c>
      <c r="D1106" s="474" t="s">
        <v>2901</v>
      </c>
      <c r="E1106" s="445" t="s">
        <v>3070</v>
      </c>
      <c r="F1106" s="474" t="s">
        <v>1147</v>
      </c>
      <c r="G1106" s="474">
        <v>2022</v>
      </c>
      <c r="H1106" s="474">
        <v>4</v>
      </c>
      <c r="I1106" s="474" t="s">
        <v>3023</v>
      </c>
      <c r="J1106" s="556">
        <v>44652</v>
      </c>
      <c r="K1106" s="483" t="s">
        <v>3067</v>
      </c>
      <c r="L1106" s="474" t="s">
        <v>3052</v>
      </c>
      <c r="M1106" s="475">
        <v>44524</v>
      </c>
      <c r="N1106" s="475">
        <v>44592</v>
      </c>
      <c r="O1106" s="475">
        <v>44620</v>
      </c>
      <c r="P1106" s="475">
        <v>44637</v>
      </c>
      <c r="Q1106" s="475">
        <v>44648</v>
      </c>
      <c r="R1106" s="475">
        <v>44652</v>
      </c>
      <c r="S1106" s="474" t="s">
        <v>2904</v>
      </c>
      <c r="T1106" s="474">
        <v>60</v>
      </c>
      <c r="U1106" s="474">
        <v>49403540</v>
      </c>
      <c r="V1106" s="474" t="s">
        <v>973</v>
      </c>
      <c r="W1106" s="474">
        <v>400</v>
      </c>
      <c r="X1106" s="476">
        <v>384</v>
      </c>
      <c r="Y1106" s="491">
        <f t="shared" si="225"/>
        <v>153600</v>
      </c>
      <c r="Z1106" s="478">
        <v>0.46500000000000002</v>
      </c>
      <c r="AA1106" s="492">
        <f t="shared" si="219"/>
        <v>71424</v>
      </c>
      <c r="AB1106" s="492"/>
      <c r="AC1106" s="446">
        <v>0</v>
      </c>
      <c r="AD1106" s="490"/>
      <c r="AE1106" s="482"/>
      <c r="AF1106" s="580">
        <f t="shared" si="220"/>
        <v>71424</v>
      </c>
      <c r="AG1106" s="474" t="s">
        <v>47</v>
      </c>
      <c r="AH1106" s="474"/>
      <c r="AI1106" s="474">
        <v>60</v>
      </c>
      <c r="AJ1106" s="475" t="s">
        <v>3071</v>
      </c>
      <c r="AK1106" s="483" t="s">
        <v>1590</v>
      </c>
      <c r="AL1106" s="483" t="s">
        <v>3072</v>
      </c>
      <c r="AM1106" s="474" t="s">
        <v>52</v>
      </c>
      <c r="AN1106" s="474" t="s">
        <v>2928</v>
      </c>
      <c r="AO1106" s="474"/>
      <c r="AP1106" s="482"/>
      <c r="AQ1106" s="482" t="s">
        <v>37</v>
      </c>
      <c r="AR1106" s="439"/>
      <c r="AS1106" s="436" t="s">
        <v>1076</v>
      </c>
      <c r="AT1106" s="436" t="s">
        <v>1076</v>
      </c>
      <c r="AU1106" s="478"/>
      <c r="AV1106" s="471">
        <f t="shared" si="222"/>
        <v>49403540</v>
      </c>
      <c r="AW1106" s="471" cm="1">
        <f t="array" ref="AW1106">SUM(MID(0&amp;AV1106,LARGE(INDEX(ISNUMBER(--MID(AV1106,ROW($1:$8),1))*ROW($1:$8),),ROW($1:$8))+1,1)*10^ROW($1:$8)/10)</f>
        <v>49403540</v>
      </c>
      <c r="AX1106" s="471" t="str">
        <f>VLOOKUP($AW1106,'Item Master Data'!$A:$F,3,FALSE)</f>
        <v>Q.PEAK DUO BLK ML G10+</v>
      </c>
      <c r="AY1106" s="471">
        <f>VLOOKUP($AW1106,'Item Master Data'!$A:$F,6,FALSE)</f>
        <v>400</v>
      </c>
      <c r="AZ1106" s="471">
        <f t="shared" si="223"/>
        <v>12</v>
      </c>
      <c r="BA1106" s="471">
        <f>VLOOKUP(AW1106,'Item Master Data'!$A:$G,7,FALSE)</f>
        <v>32</v>
      </c>
      <c r="BB1106" s="471"/>
      <c r="BC1106" s="471">
        <f t="shared" si="224"/>
        <v>0</v>
      </c>
    </row>
    <row r="1107" spans="1:55">
      <c r="A1107" s="472"/>
      <c r="B1107" s="467">
        <v>44662</v>
      </c>
      <c r="C1107" s="467">
        <v>44663</v>
      </c>
      <c r="D1107" s="474" t="s">
        <v>2901</v>
      </c>
      <c r="E1107" s="445"/>
      <c r="F1107" s="474" t="s">
        <v>1147</v>
      </c>
      <c r="G1107" s="474">
        <v>2022</v>
      </c>
      <c r="H1107" s="474">
        <v>4</v>
      </c>
      <c r="I1107" s="474">
        <v>128207</v>
      </c>
      <c r="J1107" s="475">
        <v>44669</v>
      </c>
      <c r="K1107" s="483" t="s">
        <v>3075</v>
      </c>
      <c r="L1107" s="474" t="s">
        <v>3052</v>
      </c>
      <c r="M1107" s="475">
        <v>44524</v>
      </c>
      <c r="N1107" s="475">
        <v>44620</v>
      </c>
      <c r="O1107" s="475">
        <v>44660</v>
      </c>
      <c r="P1107" s="475">
        <v>44659</v>
      </c>
      <c r="Q1107" s="475">
        <v>44669</v>
      </c>
      <c r="R1107" s="475">
        <v>44669</v>
      </c>
      <c r="S1107" s="474" t="s">
        <v>2904</v>
      </c>
      <c r="T1107" s="474">
        <v>60</v>
      </c>
      <c r="U1107" s="474">
        <v>49405140</v>
      </c>
      <c r="V1107" s="474" t="s">
        <v>973</v>
      </c>
      <c r="W1107" s="474">
        <v>400</v>
      </c>
      <c r="X1107" s="476">
        <v>768</v>
      </c>
      <c r="Y1107" s="491">
        <f t="shared" si="225"/>
        <v>307200</v>
      </c>
      <c r="Z1107" s="478">
        <v>0.46500000000000002</v>
      </c>
      <c r="AA1107" s="492">
        <f t="shared" si="219"/>
        <v>142848</v>
      </c>
      <c r="AB1107" s="492"/>
      <c r="AC1107" s="446">
        <v>0</v>
      </c>
      <c r="AD1107" s="490"/>
      <c r="AE1107" s="482"/>
      <c r="AF1107" s="580">
        <f t="shared" si="220"/>
        <v>142848</v>
      </c>
      <c r="AG1107" s="474" t="s">
        <v>47</v>
      </c>
      <c r="AH1107" s="474"/>
      <c r="AI1107" s="474">
        <v>60</v>
      </c>
      <c r="AJ1107" s="475" t="s">
        <v>3061</v>
      </c>
      <c r="AK1107" s="483" t="s">
        <v>1074</v>
      </c>
      <c r="AL1107" s="483" t="s">
        <v>3062</v>
      </c>
      <c r="AM1107" s="474" t="s">
        <v>52</v>
      </c>
      <c r="AN1107" s="474" t="s">
        <v>2928</v>
      </c>
      <c r="AO1107" s="474"/>
      <c r="AP1107" s="482"/>
      <c r="AQ1107" s="482" t="s">
        <v>37</v>
      </c>
      <c r="AR1107" s="439"/>
      <c r="AS1107" s="436" t="s">
        <v>1076</v>
      </c>
      <c r="AT1107" s="436" t="s">
        <v>1076</v>
      </c>
      <c r="AU1107" s="478"/>
      <c r="AV1107" s="471">
        <f t="shared" si="222"/>
        <v>49405140</v>
      </c>
      <c r="AW1107" s="471" cm="1">
        <f t="array" ref="AW1107">SUM(MID(0&amp;AV1107,LARGE(INDEX(ISNUMBER(--MID(AV1107,ROW($1:$8),1))*ROW($1:$8),),ROW($1:$8))+1,1)*10^ROW($1:$8)/10)</f>
        <v>49405140</v>
      </c>
      <c r="AX1107" s="471" t="str">
        <f>VLOOKUP($AW1107,'Item Master Data'!$A:$F,3,FALSE)</f>
        <v>Q.PEAK DUO BLK ML G10+</v>
      </c>
      <c r="AY1107" s="471">
        <f>VLOOKUP($AW1107,'Item Master Data'!$A:$F,6,FALSE)</f>
        <v>400</v>
      </c>
      <c r="AZ1107" s="471">
        <f t="shared" si="223"/>
        <v>24</v>
      </c>
      <c r="BA1107" s="471">
        <f>VLOOKUP(AW1107,'Item Master Data'!$A:$G,7,FALSE)</f>
        <v>32</v>
      </c>
      <c r="BB1107" s="471"/>
      <c r="BC1107" s="471">
        <f t="shared" si="224"/>
        <v>0</v>
      </c>
    </row>
    <row r="1108" spans="1:55">
      <c r="A1108" s="472"/>
      <c r="B1108" s="467">
        <v>44662</v>
      </c>
      <c r="C1108" s="467">
        <v>44663</v>
      </c>
      <c r="D1108" s="474" t="s">
        <v>2901</v>
      </c>
      <c r="E1108" s="445"/>
      <c r="F1108" s="474" t="s">
        <v>1147</v>
      </c>
      <c r="G1108" s="474">
        <v>2022</v>
      </c>
      <c r="H1108" s="474">
        <v>4</v>
      </c>
      <c r="I1108" s="474"/>
      <c r="J1108" s="556"/>
      <c r="K1108" s="483" t="s">
        <v>3076</v>
      </c>
      <c r="L1108" s="474" t="s">
        <v>3052</v>
      </c>
      <c r="M1108" s="475">
        <v>44524</v>
      </c>
      <c r="N1108" s="475">
        <v>44620</v>
      </c>
      <c r="O1108" s="475">
        <v>44679</v>
      </c>
      <c r="P1108" s="475">
        <v>44663</v>
      </c>
      <c r="Q1108" s="475">
        <v>44680</v>
      </c>
      <c r="R1108" s="475">
        <v>44683</v>
      </c>
      <c r="S1108" s="474" t="s">
        <v>2904</v>
      </c>
      <c r="T1108" s="474">
        <v>60</v>
      </c>
      <c r="U1108" s="474">
        <v>49405140</v>
      </c>
      <c r="V1108" s="474" t="s">
        <v>973</v>
      </c>
      <c r="W1108" s="474">
        <v>400</v>
      </c>
      <c r="X1108" s="476">
        <v>768</v>
      </c>
      <c r="Y1108" s="491">
        <f t="shared" si="225"/>
        <v>307200</v>
      </c>
      <c r="Z1108" s="478">
        <v>0.46500000000000002</v>
      </c>
      <c r="AA1108" s="492">
        <f t="shared" si="219"/>
        <v>142848</v>
      </c>
      <c r="AB1108" s="492"/>
      <c r="AC1108" s="446">
        <v>0</v>
      </c>
      <c r="AD1108" s="490"/>
      <c r="AE1108" s="482"/>
      <c r="AF1108" s="580">
        <f t="shared" si="220"/>
        <v>142848</v>
      </c>
      <c r="AG1108" s="474" t="s">
        <v>47</v>
      </c>
      <c r="AH1108" s="474"/>
      <c r="AI1108" s="474">
        <v>60</v>
      </c>
      <c r="AJ1108" s="475" t="s">
        <v>3061</v>
      </c>
      <c r="AK1108" s="483" t="s">
        <v>1074</v>
      </c>
      <c r="AL1108" s="483" t="s">
        <v>3062</v>
      </c>
      <c r="AM1108" s="474" t="s">
        <v>52</v>
      </c>
      <c r="AN1108" s="474" t="s">
        <v>2928</v>
      </c>
      <c r="AO1108" s="474"/>
      <c r="AP1108" s="482"/>
      <c r="AQ1108" s="482" t="s">
        <v>37</v>
      </c>
      <c r="AR1108" s="439"/>
      <c r="AS1108" s="436" t="s">
        <v>1076</v>
      </c>
      <c r="AT1108" s="436" t="s">
        <v>1076</v>
      </c>
      <c r="AU1108" s="478"/>
      <c r="AV1108" s="471">
        <f t="shared" si="222"/>
        <v>49405140</v>
      </c>
      <c r="AW1108" s="471" cm="1">
        <f t="array" ref="AW1108">SUM(MID(0&amp;AV1108,LARGE(INDEX(ISNUMBER(--MID(AV1108,ROW($1:$8),1))*ROW($1:$8),),ROW($1:$8))+1,1)*10^ROW($1:$8)/10)</f>
        <v>49405140</v>
      </c>
      <c r="AX1108" s="471" t="str">
        <f>VLOOKUP($AW1108,'Item Master Data'!$A:$F,3,FALSE)</f>
        <v>Q.PEAK DUO BLK ML G10+</v>
      </c>
      <c r="AY1108" s="471">
        <f>VLOOKUP($AW1108,'Item Master Data'!$A:$F,6,FALSE)</f>
        <v>400</v>
      </c>
      <c r="AZ1108" s="471">
        <f t="shared" si="223"/>
        <v>24</v>
      </c>
      <c r="BA1108" s="471">
        <f>VLOOKUP(AW1108,'Item Master Data'!$A:$G,7,FALSE)</f>
        <v>32</v>
      </c>
      <c r="BB1108" s="471"/>
      <c r="BC1108" s="471">
        <f t="shared" si="224"/>
        <v>0</v>
      </c>
    </row>
    <row r="1109" spans="1:55">
      <c r="A1109" s="472"/>
      <c r="B1109" s="467">
        <v>44662</v>
      </c>
      <c r="C1109" s="467">
        <v>44663</v>
      </c>
      <c r="D1109" s="474" t="s">
        <v>2901</v>
      </c>
      <c r="E1109" s="445" t="s">
        <v>5713</v>
      </c>
      <c r="F1109" s="474" t="s">
        <v>1147</v>
      </c>
      <c r="G1109" s="474">
        <v>2022</v>
      </c>
      <c r="H1109" s="474">
        <v>5</v>
      </c>
      <c r="I1109" s="474"/>
      <c r="J1109" s="556"/>
      <c r="K1109" s="483" t="s">
        <v>3077</v>
      </c>
      <c r="L1109" s="474" t="s">
        <v>3052</v>
      </c>
      <c r="M1109" s="475">
        <v>44524</v>
      </c>
      <c r="N1109" s="475">
        <v>44620</v>
      </c>
      <c r="O1109" s="475">
        <v>44671</v>
      </c>
      <c r="P1109" s="475">
        <v>44663</v>
      </c>
      <c r="Q1109" s="475"/>
      <c r="R1109" s="475"/>
      <c r="S1109" s="474" t="s">
        <v>2904</v>
      </c>
      <c r="T1109" s="474">
        <v>60</v>
      </c>
      <c r="U1109" s="474">
        <v>49405140</v>
      </c>
      <c r="V1109" s="474" t="s">
        <v>973</v>
      </c>
      <c r="W1109" s="474">
        <v>400</v>
      </c>
      <c r="X1109" s="476">
        <v>768</v>
      </c>
      <c r="Y1109" s="491">
        <f t="shared" si="225"/>
        <v>307200</v>
      </c>
      <c r="Z1109" s="478">
        <v>0.46500000000000002</v>
      </c>
      <c r="AA1109" s="492">
        <f t="shared" si="219"/>
        <v>142848</v>
      </c>
      <c r="AB1109" s="492"/>
      <c r="AC1109" s="446">
        <v>0</v>
      </c>
      <c r="AD1109" s="490"/>
      <c r="AE1109" s="482"/>
      <c r="AF1109" s="580">
        <f t="shared" si="220"/>
        <v>142848</v>
      </c>
      <c r="AG1109" s="474" t="s">
        <v>47</v>
      </c>
      <c r="AH1109" s="474"/>
      <c r="AI1109" s="474">
        <v>60</v>
      </c>
      <c r="AJ1109" s="475" t="s">
        <v>3053</v>
      </c>
      <c r="AK1109" s="483" t="s">
        <v>1158</v>
      </c>
      <c r="AL1109" s="483" t="s">
        <v>3078</v>
      </c>
      <c r="AM1109" s="474" t="s">
        <v>52</v>
      </c>
      <c r="AN1109" s="474" t="s">
        <v>2928</v>
      </c>
      <c r="AO1109" s="474"/>
      <c r="AP1109" s="482"/>
      <c r="AQ1109" s="482" t="s">
        <v>37</v>
      </c>
      <c r="AR1109" s="439"/>
      <c r="AS1109" s="436" t="s">
        <v>1076</v>
      </c>
      <c r="AT1109" s="436" t="s">
        <v>1076</v>
      </c>
      <c r="AU1109" s="478"/>
      <c r="AV1109" s="471">
        <f t="shared" si="222"/>
        <v>49405140</v>
      </c>
      <c r="AW1109" s="471" cm="1">
        <f t="array" ref="AW1109">SUM(MID(0&amp;AV1109,LARGE(INDEX(ISNUMBER(--MID(AV1109,ROW($1:$8),1))*ROW($1:$8),),ROW($1:$8))+1,1)*10^ROW($1:$8)/10)</f>
        <v>49405140</v>
      </c>
      <c r="AX1109" s="471" t="str">
        <f>VLOOKUP($AW1109,'Item Master Data'!$A:$F,3,FALSE)</f>
        <v>Q.PEAK DUO BLK ML G10+</v>
      </c>
      <c r="AY1109" s="471">
        <f>VLOOKUP($AW1109,'Item Master Data'!$A:$F,6,FALSE)</f>
        <v>400</v>
      </c>
      <c r="AZ1109" s="471">
        <f t="shared" si="223"/>
        <v>24</v>
      </c>
      <c r="BA1109" s="471">
        <f>VLOOKUP(AW1109,'Item Master Data'!$A:$G,7,FALSE)</f>
        <v>32</v>
      </c>
      <c r="BB1109" s="471"/>
      <c r="BC1109" s="471">
        <f t="shared" si="224"/>
        <v>0</v>
      </c>
    </row>
    <row r="1110" spans="1:55">
      <c r="A1110" s="472"/>
      <c r="B1110" s="467">
        <v>44662</v>
      </c>
      <c r="C1110" s="467">
        <v>44663</v>
      </c>
      <c r="D1110" s="474" t="s">
        <v>2901</v>
      </c>
      <c r="E1110" s="445" t="s">
        <v>5574</v>
      </c>
      <c r="F1110" s="474" t="s">
        <v>1147</v>
      </c>
      <c r="G1110" s="474">
        <v>2022</v>
      </c>
      <c r="H1110" s="474">
        <v>5</v>
      </c>
      <c r="I1110" s="474"/>
      <c r="J1110" s="556"/>
      <c r="K1110" s="483" t="s">
        <v>3083</v>
      </c>
      <c r="L1110" s="474" t="s">
        <v>3052</v>
      </c>
      <c r="M1110" s="475">
        <v>44524</v>
      </c>
      <c r="N1110" s="475">
        <v>44620</v>
      </c>
      <c r="O1110" s="475">
        <v>44663</v>
      </c>
      <c r="P1110" s="475">
        <v>44663</v>
      </c>
      <c r="Q1110" s="475"/>
      <c r="R1110" s="475"/>
      <c r="S1110" s="474" t="s">
        <v>2904</v>
      </c>
      <c r="T1110" s="474">
        <v>60</v>
      </c>
      <c r="U1110" s="474">
        <v>49405140</v>
      </c>
      <c r="V1110" s="474" t="s">
        <v>973</v>
      </c>
      <c r="W1110" s="474">
        <v>400</v>
      </c>
      <c r="X1110" s="476">
        <v>768</v>
      </c>
      <c r="Y1110" s="491">
        <f t="shared" si="225"/>
        <v>307200</v>
      </c>
      <c r="Z1110" s="478">
        <v>0.46500000000000002</v>
      </c>
      <c r="AA1110" s="492">
        <f t="shared" si="219"/>
        <v>142848</v>
      </c>
      <c r="AB1110" s="492"/>
      <c r="AC1110" s="446">
        <v>0</v>
      </c>
      <c r="AD1110" s="490"/>
      <c r="AE1110" s="482"/>
      <c r="AF1110" s="580">
        <f t="shared" si="220"/>
        <v>142848</v>
      </c>
      <c r="AG1110" s="474" t="s">
        <v>47</v>
      </c>
      <c r="AH1110" s="474"/>
      <c r="AI1110" s="474">
        <v>60</v>
      </c>
      <c r="AJ1110" s="475" t="s">
        <v>3059</v>
      </c>
      <c r="AK1110" s="483" t="s">
        <v>1375</v>
      </c>
      <c r="AL1110" s="483" t="s">
        <v>3084</v>
      </c>
      <c r="AM1110" s="474" t="s">
        <v>52</v>
      </c>
      <c r="AN1110" s="474" t="s">
        <v>2928</v>
      </c>
      <c r="AO1110" s="474"/>
      <c r="AP1110" s="482"/>
      <c r="AQ1110" s="482" t="s">
        <v>37</v>
      </c>
      <c r="AR1110" s="439"/>
      <c r="AS1110" s="436" t="s">
        <v>1076</v>
      </c>
      <c r="AT1110" s="436" t="s">
        <v>1076</v>
      </c>
      <c r="AU1110" s="478"/>
      <c r="AV1110" s="471">
        <f t="shared" si="222"/>
        <v>49405140</v>
      </c>
      <c r="AW1110" s="471" cm="1">
        <f t="array" ref="AW1110">SUM(MID(0&amp;AV1110,LARGE(INDEX(ISNUMBER(--MID(AV1110,ROW($1:$8),1))*ROW($1:$8),),ROW($1:$8))+1,1)*10^ROW($1:$8)/10)</f>
        <v>49405140</v>
      </c>
      <c r="AX1110" s="471" t="str">
        <f>VLOOKUP($AW1110,'Item Master Data'!$A:$F,3,FALSE)</f>
        <v>Q.PEAK DUO BLK ML G10+</v>
      </c>
      <c r="AY1110" s="471">
        <f>VLOOKUP($AW1110,'Item Master Data'!$A:$F,6,FALSE)</f>
        <v>400</v>
      </c>
      <c r="AZ1110" s="471">
        <f t="shared" si="223"/>
        <v>24</v>
      </c>
      <c r="BA1110" s="471">
        <f>VLOOKUP(AW1110,'Item Master Data'!$A:$G,7,FALSE)</f>
        <v>32</v>
      </c>
      <c r="BB1110" s="471"/>
      <c r="BC1110" s="471">
        <f t="shared" si="224"/>
        <v>0</v>
      </c>
    </row>
    <row r="1111" spans="1:55">
      <c r="A1111" s="472"/>
      <c r="B1111" s="467">
        <v>44662</v>
      </c>
      <c r="C1111" s="467">
        <v>44663</v>
      </c>
      <c r="D1111" s="474" t="s">
        <v>2901</v>
      </c>
      <c r="E1111" s="445" t="s">
        <v>5713</v>
      </c>
      <c r="F1111" s="474" t="s">
        <v>1147</v>
      </c>
      <c r="G1111" s="474">
        <v>2022</v>
      </c>
      <c r="H1111" s="474">
        <v>5</v>
      </c>
      <c r="I1111" s="474"/>
      <c r="J1111" s="556"/>
      <c r="K1111" s="483" t="s">
        <v>3087</v>
      </c>
      <c r="L1111" s="474" t="s">
        <v>3052</v>
      </c>
      <c r="M1111" s="475">
        <v>44524</v>
      </c>
      <c r="N1111" s="475">
        <v>44620</v>
      </c>
      <c r="O1111" s="475">
        <v>44671</v>
      </c>
      <c r="P1111" s="475">
        <v>44663</v>
      </c>
      <c r="Q1111" s="475"/>
      <c r="R1111" s="475"/>
      <c r="S1111" s="474" t="s">
        <v>2904</v>
      </c>
      <c r="T1111" s="474">
        <v>60</v>
      </c>
      <c r="U1111" s="474">
        <v>49405140</v>
      </c>
      <c r="V1111" s="474" t="s">
        <v>973</v>
      </c>
      <c r="W1111" s="474">
        <v>400</v>
      </c>
      <c r="X1111" s="476">
        <v>768</v>
      </c>
      <c r="Y1111" s="491">
        <f t="shared" si="225"/>
        <v>307200</v>
      </c>
      <c r="Z1111" s="478">
        <v>0.46500000000000002</v>
      </c>
      <c r="AA1111" s="492">
        <f t="shared" si="219"/>
        <v>142848</v>
      </c>
      <c r="AB1111" s="492"/>
      <c r="AC1111" s="446">
        <v>0</v>
      </c>
      <c r="AD1111" s="490"/>
      <c r="AE1111" s="482"/>
      <c r="AF1111" s="580">
        <f t="shared" si="220"/>
        <v>142848</v>
      </c>
      <c r="AG1111" s="474" t="s">
        <v>47</v>
      </c>
      <c r="AH1111" s="474"/>
      <c r="AI1111" s="474">
        <v>60</v>
      </c>
      <c r="AJ1111" s="475" t="s">
        <v>3071</v>
      </c>
      <c r="AK1111" s="483" t="s">
        <v>1590</v>
      </c>
      <c r="AL1111" s="483" t="s">
        <v>3072</v>
      </c>
      <c r="AM1111" s="474" t="s">
        <v>52</v>
      </c>
      <c r="AN1111" s="474" t="s">
        <v>2928</v>
      </c>
      <c r="AO1111" s="474"/>
      <c r="AP1111" s="482"/>
      <c r="AQ1111" s="482" t="s">
        <v>37</v>
      </c>
      <c r="AR1111" s="439"/>
      <c r="AS1111" s="436" t="s">
        <v>1076</v>
      </c>
      <c r="AT1111" s="436" t="s">
        <v>1076</v>
      </c>
      <c r="AU1111" s="478"/>
      <c r="AV1111" s="471">
        <f t="shared" si="222"/>
        <v>49405140</v>
      </c>
      <c r="AW1111" s="471" cm="1">
        <f t="array" ref="AW1111">SUM(MID(0&amp;AV1111,LARGE(INDEX(ISNUMBER(--MID(AV1111,ROW($1:$8),1))*ROW($1:$8),),ROW($1:$8))+1,1)*10^ROW($1:$8)/10)</f>
        <v>49405140</v>
      </c>
      <c r="AX1111" s="471" t="str">
        <f>VLOOKUP($AW1111,'Item Master Data'!$A:$F,3,FALSE)</f>
        <v>Q.PEAK DUO BLK ML G10+</v>
      </c>
      <c r="AY1111" s="471">
        <f>VLOOKUP($AW1111,'Item Master Data'!$A:$F,6,FALSE)</f>
        <v>400</v>
      </c>
      <c r="AZ1111" s="471">
        <f t="shared" si="223"/>
        <v>24</v>
      </c>
      <c r="BA1111" s="471">
        <f>VLOOKUP(AW1111,'Item Master Data'!$A:$G,7,FALSE)</f>
        <v>32</v>
      </c>
      <c r="BB1111" s="471"/>
      <c r="BC1111" s="471">
        <f t="shared" si="224"/>
        <v>0</v>
      </c>
    </row>
    <row r="1112" spans="1:55">
      <c r="A1112" s="472"/>
      <c r="B1112" s="467">
        <v>44669</v>
      </c>
      <c r="C1112" s="467">
        <v>44669</v>
      </c>
      <c r="D1112" s="474" t="s">
        <v>2901</v>
      </c>
      <c r="E1112" s="445"/>
      <c r="F1112" s="474" t="s">
        <v>1147</v>
      </c>
      <c r="G1112" s="474">
        <v>2022</v>
      </c>
      <c r="H1112" s="474">
        <v>4</v>
      </c>
      <c r="I1112" s="474" t="s">
        <v>2316</v>
      </c>
      <c r="J1112" s="487">
        <v>44677</v>
      </c>
      <c r="K1112" s="483" t="s">
        <v>5216</v>
      </c>
      <c r="L1112" s="474" t="s">
        <v>3108</v>
      </c>
      <c r="M1112" s="475">
        <v>44505</v>
      </c>
      <c r="N1112" s="475">
        <v>44592</v>
      </c>
      <c r="O1112" s="475"/>
      <c r="P1112" s="475">
        <v>44669</v>
      </c>
      <c r="Q1112" s="475">
        <v>44677</v>
      </c>
      <c r="R1112" s="475">
        <v>44679</v>
      </c>
      <c r="S1112" s="474" t="s">
        <v>2904</v>
      </c>
      <c r="T1112" s="474">
        <v>60</v>
      </c>
      <c r="U1112" s="474">
        <v>49204132</v>
      </c>
      <c r="V1112" s="474" t="s">
        <v>1223</v>
      </c>
      <c r="W1112" s="474">
        <v>360</v>
      </c>
      <c r="X1112" s="476">
        <v>728</v>
      </c>
      <c r="Y1112" s="491">
        <f t="shared" si="225"/>
        <v>262080</v>
      </c>
      <c r="Z1112" s="478">
        <v>0.83</v>
      </c>
      <c r="AA1112" s="492">
        <f t="shared" si="219"/>
        <v>217526.39999999999</v>
      </c>
      <c r="AB1112" s="492"/>
      <c r="AC1112" s="446">
        <v>0</v>
      </c>
      <c r="AD1112" s="490"/>
      <c r="AE1112" s="482"/>
      <c r="AF1112" s="580">
        <f t="shared" si="220"/>
        <v>217526.39999999999</v>
      </c>
      <c r="AG1112" s="474" t="s">
        <v>1071</v>
      </c>
      <c r="AH1112" s="474"/>
      <c r="AI1112" s="474">
        <v>60</v>
      </c>
      <c r="AJ1112" s="475" t="s">
        <v>3111</v>
      </c>
      <c r="AK1112" s="483" t="s">
        <v>1084</v>
      </c>
      <c r="AL1112" s="483" t="s">
        <v>3112</v>
      </c>
      <c r="AM1112" s="474" t="s">
        <v>52</v>
      </c>
      <c r="AN1112" s="474" t="s">
        <v>2928</v>
      </c>
      <c r="AO1112" s="474"/>
      <c r="AP1112" s="482"/>
      <c r="AQ1112" s="482" t="s">
        <v>37</v>
      </c>
      <c r="AR1112" s="439"/>
      <c r="AS1112" s="436" t="s">
        <v>1076</v>
      </c>
      <c r="AT1112" s="436" t="s">
        <v>1076</v>
      </c>
      <c r="AU1112" s="478"/>
      <c r="AV1112" s="471">
        <f t="shared" si="222"/>
        <v>49204132</v>
      </c>
      <c r="AW1112" s="471" cm="1">
        <f t="array" ref="AW1112">SUM(MID(0&amp;AV1112,LARGE(INDEX(ISNUMBER(--MID(AV1112,ROW($1:$8),1))*ROW($1:$8),),ROW($1:$8))+1,1)*10^ROW($1:$8)/10)</f>
        <v>49204132</v>
      </c>
      <c r="AX1112" s="471" t="str">
        <f>VLOOKUP($AW1112,'Item Master Data'!$A:$F,3,FALSE)</f>
        <v>Q.PEAK DUO BLK G10+/AC</v>
      </c>
      <c r="AY1112" s="471">
        <f>VLOOKUP($AW1112,'Item Master Data'!$A:$F,6,FALSE)</f>
        <v>360</v>
      </c>
      <c r="AZ1112" s="471">
        <f t="shared" si="223"/>
        <v>28</v>
      </c>
      <c r="BA1112" s="471">
        <f>VLOOKUP(AW1112,'Item Master Data'!$A:$G,7,FALSE)</f>
        <v>26</v>
      </c>
      <c r="BB1112" s="471"/>
      <c r="BC1112" s="471">
        <f t="shared" si="224"/>
        <v>0</v>
      </c>
    </row>
    <row r="1113" spans="1:55">
      <c r="A1113" s="472"/>
      <c r="B1113" s="449">
        <v>44669</v>
      </c>
      <c r="C1113" s="449">
        <v>44669</v>
      </c>
      <c r="D1113" s="474" t="s">
        <v>2901</v>
      </c>
      <c r="E1113" s="445" t="s">
        <v>5749</v>
      </c>
      <c r="F1113" s="474" t="s">
        <v>1147</v>
      </c>
      <c r="G1113" s="474">
        <v>2022</v>
      </c>
      <c r="H1113" s="474">
        <v>4</v>
      </c>
      <c r="I1113" s="474" t="s">
        <v>5389</v>
      </c>
      <c r="J1113" s="556">
        <v>44680</v>
      </c>
      <c r="K1113" s="474" t="s">
        <v>3117</v>
      </c>
      <c r="L1113" s="474" t="s">
        <v>3113</v>
      </c>
      <c r="M1113" s="475">
        <v>44620</v>
      </c>
      <c r="N1113" s="475">
        <v>44652</v>
      </c>
      <c r="O1113" s="475"/>
      <c r="P1113" s="475">
        <v>44673</v>
      </c>
      <c r="Q1113" s="475">
        <v>44679</v>
      </c>
      <c r="R1113" s="475">
        <v>44680</v>
      </c>
      <c r="S1113" s="474" t="s">
        <v>2904</v>
      </c>
      <c r="T1113" s="474">
        <v>60</v>
      </c>
      <c r="U1113" s="474">
        <v>49204132</v>
      </c>
      <c r="V1113" s="474" t="s">
        <v>1223</v>
      </c>
      <c r="W1113" s="474">
        <v>360</v>
      </c>
      <c r="X1113" s="476">
        <v>728</v>
      </c>
      <c r="Y1113" s="491">
        <f t="shared" ref="Y1113:Y1124" si="226">W1113*X1113</f>
        <v>262080</v>
      </c>
      <c r="Z1113" s="478">
        <v>0.79</v>
      </c>
      <c r="AA1113" s="492">
        <f t="shared" si="219"/>
        <v>207043.20000000001</v>
      </c>
      <c r="AB1113" s="492"/>
      <c r="AC1113" s="446">
        <v>0</v>
      </c>
      <c r="AD1113" s="490"/>
      <c r="AE1113" s="482"/>
      <c r="AF1113" s="580">
        <f t="shared" si="220"/>
        <v>207043.20000000001</v>
      </c>
      <c r="AG1113" s="474" t="s">
        <v>47</v>
      </c>
      <c r="AH1113" s="474"/>
      <c r="AI1113" s="474">
        <v>30</v>
      </c>
      <c r="AJ1113" s="484" t="s">
        <v>3118</v>
      </c>
      <c r="AK1113" s="474" t="s">
        <v>1074</v>
      </c>
      <c r="AL1113" s="483" t="s">
        <v>3119</v>
      </c>
      <c r="AM1113" s="474" t="s">
        <v>52</v>
      </c>
      <c r="AN1113" s="474" t="s">
        <v>2928</v>
      </c>
      <c r="AO1113" s="474"/>
      <c r="AP1113" s="482"/>
      <c r="AQ1113" s="482" t="s">
        <v>37</v>
      </c>
      <c r="AR1113" s="482"/>
      <c r="AS1113" s="436" t="s">
        <v>1076</v>
      </c>
      <c r="AT1113" s="436" t="s">
        <v>1076</v>
      </c>
      <c r="AU1113" s="478">
        <v>0.73</v>
      </c>
      <c r="AV1113" s="471">
        <f t="shared" si="222"/>
        <v>49204132</v>
      </c>
      <c r="AW1113" s="471" cm="1">
        <f t="array" ref="AW1113">SUM(MID(0&amp;AV1113,LARGE(INDEX(ISNUMBER(--MID(AV1113,ROW($1:$8),1))*ROW($1:$8),),ROW($1:$8))+1,1)*10^ROW($1:$8)/10)</f>
        <v>49204132</v>
      </c>
      <c r="AX1113" s="471" t="str">
        <f>VLOOKUP($AW1113,'Item Master Data'!$A:$F,3,FALSE)</f>
        <v>Q.PEAK DUO BLK G10+/AC</v>
      </c>
      <c r="AY1113" s="471">
        <f>VLOOKUP($AW1113,'Item Master Data'!$A:$F,6,FALSE)</f>
        <v>360</v>
      </c>
      <c r="AZ1113" s="471">
        <f t="shared" si="223"/>
        <v>28</v>
      </c>
      <c r="BA1113" s="471">
        <f>VLOOKUP(AW1113,'Item Master Data'!$A:$G,7,FALSE)</f>
        <v>26</v>
      </c>
      <c r="BB1113" s="471"/>
      <c r="BC1113" s="471">
        <f t="shared" si="224"/>
        <v>0</v>
      </c>
    </row>
    <row r="1114" spans="1:55">
      <c r="A1114" s="472"/>
      <c r="B1114" s="449">
        <v>44662</v>
      </c>
      <c r="C1114" s="449">
        <v>44662</v>
      </c>
      <c r="D1114" s="474" t="s">
        <v>2901</v>
      </c>
      <c r="E1114" s="445"/>
      <c r="F1114" s="474" t="s">
        <v>1147</v>
      </c>
      <c r="G1114" s="474">
        <v>2022</v>
      </c>
      <c r="H1114" s="474">
        <v>4</v>
      </c>
      <c r="I1114" s="474"/>
      <c r="J1114" s="487">
        <v>44678</v>
      </c>
      <c r="K1114" s="474" t="s">
        <v>3125</v>
      </c>
      <c r="L1114" s="474" t="s">
        <v>3113</v>
      </c>
      <c r="M1114" s="475">
        <v>44616</v>
      </c>
      <c r="N1114" s="475">
        <v>44662</v>
      </c>
      <c r="O1114" s="475"/>
      <c r="P1114" s="475">
        <v>44665</v>
      </c>
      <c r="Q1114" s="475">
        <v>44677</v>
      </c>
      <c r="R1114" s="475">
        <v>44678</v>
      </c>
      <c r="S1114" s="474" t="s">
        <v>2904</v>
      </c>
      <c r="T1114" s="474">
        <v>60</v>
      </c>
      <c r="U1114" s="474">
        <v>49203132</v>
      </c>
      <c r="V1114" s="474" t="s">
        <v>1755</v>
      </c>
      <c r="W1114" s="474">
        <v>360</v>
      </c>
      <c r="X1114" s="476">
        <v>832</v>
      </c>
      <c r="Y1114" s="491">
        <f t="shared" si="226"/>
        <v>299520</v>
      </c>
      <c r="Z1114" s="478">
        <v>0.52</v>
      </c>
      <c r="AA1114" s="492">
        <f t="shared" si="219"/>
        <v>155750.39999999999</v>
      </c>
      <c r="AB1114" s="492"/>
      <c r="AC1114" s="446">
        <v>0</v>
      </c>
      <c r="AD1114" s="490"/>
      <c r="AE1114" s="482"/>
      <c r="AF1114" s="580">
        <f t="shared" si="220"/>
        <v>155750.39999999999</v>
      </c>
      <c r="AG1114" s="474" t="s">
        <v>47</v>
      </c>
      <c r="AH1114" s="474"/>
      <c r="AI1114" s="474">
        <v>30</v>
      </c>
      <c r="AJ1114" s="484" t="s">
        <v>3126</v>
      </c>
      <c r="AK1114" s="474" t="s">
        <v>1375</v>
      </c>
      <c r="AL1114" s="483" t="s">
        <v>3127</v>
      </c>
      <c r="AM1114" s="474" t="s">
        <v>52</v>
      </c>
      <c r="AN1114" s="474" t="s">
        <v>2928</v>
      </c>
      <c r="AO1114" s="474"/>
      <c r="AP1114" s="482"/>
      <c r="AQ1114" s="482" t="s">
        <v>37</v>
      </c>
      <c r="AR1114" s="482"/>
      <c r="AS1114" s="436" t="s">
        <v>1076</v>
      </c>
      <c r="AT1114" s="436" t="s">
        <v>1076</v>
      </c>
      <c r="AU1114" s="478">
        <v>0.73</v>
      </c>
      <c r="AV1114" s="471">
        <f t="shared" si="222"/>
        <v>49203132</v>
      </c>
      <c r="AW1114" s="471" cm="1">
        <f t="array" ref="AW1114">SUM(MID(0&amp;AV1114,LARGE(INDEX(ISNUMBER(--MID(AV1114,ROW($1:$8),1))*ROW($1:$8),),ROW($1:$8))+1,1)*10^ROW($1:$8)/10)</f>
        <v>49203132</v>
      </c>
      <c r="AX1114" s="471" t="str">
        <f>VLOOKUP($AW1114,'Item Master Data'!$A:$F,3,FALSE)</f>
        <v>Q.PEAK DUO BLK G10+</v>
      </c>
      <c r="AY1114" s="471">
        <f>VLOOKUP($AW1114,'Item Master Data'!$A:$F,6,FALSE)</f>
        <v>360</v>
      </c>
      <c r="AZ1114" s="471">
        <f t="shared" si="223"/>
        <v>26</v>
      </c>
      <c r="BA1114" s="471">
        <f>VLOOKUP(AW1114,'Item Master Data'!$A:$G,7,FALSE)</f>
        <v>32</v>
      </c>
      <c r="BB1114" s="471"/>
      <c r="BC1114" s="471">
        <f t="shared" si="224"/>
        <v>0</v>
      </c>
    </row>
    <row r="1115" spans="1:55">
      <c r="A1115" s="472"/>
      <c r="B1115" s="449">
        <v>44662</v>
      </c>
      <c r="C1115" s="449">
        <v>44662</v>
      </c>
      <c r="D1115" s="474" t="s">
        <v>2901</v>
      </c>
      <c r="E1115" s="445"/>
      <c r="F1115" s="474" t="s">
        <v>1147</v>
      </c>
      <c r="G1115" s="474">
        <v>2022</v>
      </c>
      <c r="H1115" s="474">
        <v>4</v>
      </c>
      <c r="I1115" s="474"/>
      <c r="J1115" s="556"/>
      <c r="K1115" s="474" t="s">
        <v>3128</v>
      </c>
      <c r="L1115" s="474" t="s">
        <v>3113</v>
      </c>
      <c r="M1115" s="475">
        <v>44616</v>
      </c>
      <c r="N1115" s="475">
        <v>44662</v>
      </c>
      <c r="O1115" s="475"/>
      <c r="P1115" s="475">
        <v>44664</v>
      </c>
      <c r="Q1115" s="475">
        <v>44677</v>
      </c>
      <c r="R1115" s="475">
        <v>44680</v>
      </c>
      <c r="S1115" s="474" t="s">
        <v>2904</v>
      </c>
      <c r="T1115" s="474">
        <v>60</v>
      </c>
      <c r="U1115" s="474">
        <v>49203132</v>
      </c>
      <c r="V1115" s="474" t="s">
        <v>1755</v>
      </c>
      <c r="W1115" s="474">
        <v>360</v>
      </c>
      <c r="X1115" s="476">
        <v>896</v>
      </c>
      <c r="Y1115" s="491">
        <f>W1115*X1115</f>
        <v>322560</v>
      </c>
      <c r="Z1115" s="478">
        <v>0.52</v>
      </c>
      <c r="AA1115" s="492">
        <f t="shared" si="219"/>
        <v>167731.20000000001</v>
      </c>
      <c r="AB1115" s="492"/>
      <c r="AC1115" s="446">
        <v>0</v>
      </c>
      <c r="AD1115" s="490"/>
      <c r="AE1115" s="482"/>
      <c r="AF1115" s="580">
        <f t="shared" si="220"/>
        <v>167731.20000000001</v>
      </c>
      <c r="AG1115" s="474" t="s">
        <v>47</v>
      </c>
      <c r="AH1115" s="474"/>
      <c r="AI1115" s="474">
        <v>30</v>
      </c>
      <c r="AJ1115" s="484" t="s">
        <v>3129</v>
      </c>
      <c r="AK1115" s="474" t="s">
        <v>3130</v>
      </c>
      <c r="AL1115" s="483" t="s">
        <v>3131</v>
      </c>
      <c r="AM1115" s="474" t="s">
        <v>52</v>
      </c>
      <c r="AN1115" s="474" t="s">
        <v>2928</v>
      </c>
      <c r="AO1115" s="474"/>
      <c r="AP1115" s="482"/>
      <c r="AQ1115" s="482" t="s">
        <v>37</v>
      </c>
      <c r="AR1115" s="482"/>
      <c r="AS1115" s="436" t="s">
        <v>1076</v>
      </c>
      <c r="AT1115" s="436" t="s">
        <v>1076</v>
      </c>
      <c r="AU1115" s="478">
        <v>0.73</v>
      </c>
      <c r="AV1115" s="471">
        <f t="shared" si="222"/>
        <v>49203132</v>
      </c>
      <c r="AW1115" s="471" cm="1">
        <f t="array" ref="AW1115">SUM(MID(0&amp;AV1115,LARGE(INDEX(ISNUMBER(--MID(AV1115,ROW($1:$8),1))*ROW($1:$8),),ROW($1:$8))+1,1)*10^ROW($1:$8)/10)</f>
        <v>49203132</v>
      </c>
      <c r="AX1115" s="471" t="str">
        <f>VLOOKUP($AW1115,'Item Master Data'!$A:$F,3,FALSE)</f>
        <v>Q.PEAK DUO BLK G10+</v>
      </c>
      <c r="AY1115" s="471">
        <f>VLOOKUP($AW1115,'Item Master Data'!$A:$F,6,FALSE)</f>
        <v>360</v>
      </c>
      <c r="AZ1115" s="471">
        <f t="shared" si="223"/>
        <v>28</v>
      </c>
      <c r="BA1115" s="471">
        <f>VLOOKUP(AW1115,'Item Master Data'!$A:$G,7,FALSE)</f>
        <v>32</v>
      </c>
      <c r="BB1115" s="471"/>
      <c r="BC1115" s="471">
        <f t="shared" si="224"/>
        <v>0</v>
      </c>
    </row>
    <row r="1116" spans="1:55">
      <c r="A1116" s="472"/>
      <c r="B1116" s="449">
        <v>44662</v>
      </c>
      <c r="C1116" s="449">
        <v>44662</v>
      </c>
      <c r="D1116" s="474" t="s">
        <v>2901</v>
      </c>
      <c r="E1116" s="445"/>
      <c r="F1116" s="474" t="s">
        <v>1147</v>
      </c>
      <c r="G1116" s="474">
        <v>2022</v>
      </c>
      <c r="H1116" s="474">
        <v>4</v>
      </c>
      <c r="I1116" s="474"/>
      <c r="J1116" s="487">
        <v>44678</v>
      </c>
      <c r="K1116" s="474" t="s">
        <v>3137</v>
      </c>
      <c r="L1116" s="474" t="s">
        <v>3113</v>
      </c>
      <c r="M1116" s="475">
        <v>44620</v>
      </c>
      <c r="N1116" s="475">
        <v>44662</v>
      </c>
      <c r="O1116" s="475"/>
      <c r="P1116" s="475">
        <v>44664</v>
      </c>
      <c r="Q1116" s="475">
        <v>44676</v>
      </c>
      <c r="R1116" s="475">
        <v>44678</v>
      </c>
      <c r="S1116" s="474" t="s">
        <v>2904</v>
      </c>
      <c r="T1116" s="474">
        <v>60</v>
      </c>
      <c r="U1116" s="474">
        <v>49203132</v>
      </c>
      <c r="V1116" s="474" t="s">
        <v>1755</v>
      </c>
      <c r="W1116" s="474">
        <v>360</v>
      </c>
      <c r="X1116" s="476">
        <v>832</v>
      </c>
      <c r="Y1116" s="491">
        <f t="shared" si="226"/>
        <v>299520</v>
      </c>
      <c r="Z1116" s="478">
        <v>0.52</v>
      </c>
      <c r="AA1116" s="492">
        <f t="shared" si="219"/>
        <v>155750.39999999999</v>
      </c>
      <c r="AB1116" s="492"/>
      <c r="AC1116" s="446">
        <v>0</v>
      </c>
      <c r="AD1116" s="490"/>
      <c r="AE1116" s="482"/>
      <c r="AF1116" s="580">
        <f t="shared" si="220"/>
        <v>155750.39999999999</v>
      </c>
      <c r="AG1116" s="474" t="s">
        <v>47</v>
      </c>
      <c r="AH1116" s="474"/>
      <c r="AI1116" s="474">
        <v>30</v>
      </c>
      <c r="AJ1116" s="484" t="s">
        <v>3138</v>
      </c>
      <c r="AK1116" s="474" t="s">
        <v>1221</v>
      </c>
      <c r="AL1116" s="483" t="s">
        <v>3139</v>
      </c>
      <c r="AM1116" s="474" t="s">
        <v>52</v>
      </c>
      <c r="AN1116" s="474" t="s">
        <v>2928</v>
      </c>
      <c r="AO1116" s="474"/>
      <c r="AP1116" s="482"/>
      <c r="AQ1116" s="482" t="s">
        <v>37</v>
      </c>
      <c r="AR1116" s="482"/>
      <c r="AS1116" s="436" t="s">
        <v>1076</v>
      </c>
      <c r="AT1116" s="436" t="s">
        <v>1076</v>
      </c>
      <c r="AU1116" s="478">
        <v>0.73</v>
      </c>
      <c r="AV1116" s="471">
        <f t="shared" si="222"/>
        <v>49203132</v>
      </c>
      <c r="AW1116" s="471" cm="1">
        <f t="array" ref="AW1116">SUM(MID(0&amp;AV1116,LARGE(INDEX(ISNUMBER(--MID(AV1116,ROW($1:$8),1))*ROW($1:$8),),ROW($1:$8))+1,1)*10^ROW($1:$8)/10)</f>
        <v>49203132</v>
      </c>
      <c r="AX1116" s="471" t="str">
        <f>VLOOKUP($AW1116,'Item Master Data'!$A:$F,3,FALSE)</f>
        <v>Q.PEAK DUO BLK G10+</v>
      </c>
      <c r="AY1116" s="471">
        <f>VLOOKUP($AW1116,'Item Master Data'!$A:$F,6,FALSE)</f>
        <v>360</v>
      </c>
      <c r="AZ1116" s="471">
        <f t="shared" si="223"/>
        <v>26</v>
      </c>
      <c r="BA1116" s="471">
        <f>VLOOKUP(AW1116,'Item Master Data'!$A:$G,7,FALSE)</f>
        <v>32</v>
      </c>
      <c r="BB1116" s="471"/>
      <c r="BC1116" s="471">
        <f t="shared" si="224"/>
        <v>0</v>
      </c>
    </row>
    <row r="1117" spans="1:55">
      <c r="A1117" s="472"/>
      <c r="B1117" s="449">
        <v>44662</v>
      </c>
      <c r="C1117" s="449">
        <v>44662</v>
      </c>
      <c r="D1117" s="474" t="s">
        <v>2901</v>
      </c>
      <c r="E1117" s="445"/>
      <c r="F1117" s="474" t="s">
        <v>1147</v>
      </c>
      <c r="G1117" s="474">
        <v>2022</v>
      </c>
      <c r="H1117" s="474">
        <v>4</v>
      </c>
      <c r="I1117" s="474"/>
      <c r="J1117" s="487">
        <v>44678</v>
      </c>
      <c r="K1117" s="474" t="s">
        <v>3140</v>
      </c>
      <c r="L1117" s="474" t="s">
        <v>3113</v>
      </c>
      <c r="M1117" s="475">
        <v>44620</v>
      </c>
      <c r="N1117" s="475">
        <v>44662</v>
      </c>
      <c r="O1117" s="475"/>
      <c r="P1117" s="475">
        <v>44664</v>
      </c>
      <c r="Q1117" s="475">
        <v>44676</v>
      </c>
      <c r="R1117" s="475">
        <v>44678</v>
      </c>
      <c r="S1117" s="474" t="s">
        <v>2904</v>
      </c>
      <c r="T1117" s="474">
        <v>60</v>
      </c>
      <c r="U1117" s="474">
        <v>49203132</v>
      </c>
      <c r="V1117" s="474" t="s">
        <v>1755</v>
      </c>
      <c r="W1117" s="474">
        <v>360</v>
      </c>
      <c r="X1117" s="476">
        <v>832</v>
      </c>
      <c r="Y1117" s="491">
        <f t="shared" si="226"/>
        <v>299520</v>
      </c>
      <c r="Z1117" s="478">
        <v>0.52</v>
      </c>
      <c r="AA1117" s="492">
        <f t="shared" si="219"/>
        <v>155750.39999999999</v>
      </c>
      <c r="AB1117" s="492"/>
      <c r="AC1117" s="446">
        <v>0</v>
      </c>
      <c r="AD1117" s="490"/>
      <c r="AE1117" s="482"/>
      <c r="AF1117" s="580">
        <f t="shared" si="220"/>
        <v>155750.39999999999</v>
      </c>
      <c r="AG1117" s="474" t="s">
        <v>47</v>
      </c>
      <c r="AH1117" s="474"/>
      <c r="AI1117" s="474">
        <v>30</v>
      </c>
      <c r="AJ1117" s="484" t="s">
        <v>3141</v>
      </c>
      <c r="AK1117" s="474" t="s">
        <v>1117</v>
      </c>
      <c r="AL1117" s="483" t="s">
        <v>3142</v>
      </c>
      <c r="AM1117" s="474" t="s">
        <v>52</v>
      </c>
      <c r="AN1117" s="474" t="s">
        <v>2928</v>
      </c>
      <c r="AO1117" s="474"/>
      <c r="AP1117" s="482"/>
      <c r="AQ1117" s="482" t="s">
        <v>37</v>
      </c>
      <c r="AR1117" s="482"/>
      <c r="AS1117" s="436" t="s">
        <v>1076</v>
      </c>
      <c r="AT1117" s="436" t="s">
        <v>1076</v>
      </c>
      <c r="AU1117" s="478">
        <v>0.73</v>
      </c>
      <c r="AV1117" s="471">
        <f t="shared" si="222"/>
        <v>49203132</v>
      </c>
      <c r="AW1117" s="471" cm="1">
        <f t="array" ref="AW1117">SUM(MID(0&amp;AV1117,LARGE(INDEX(ISNUMBER(--MID(AV1117,ROW($1:$8),1))*ROW($1:$8),),ROW($1:$8))+1,1)*10^ROW($1:$8)/10)</f>
        <v>49203132</v>
      </c>
      <c r="AX1117" s="471" t="str">
        <f>VLOOKUP($AW1117,'Item Master Data'!$A:$F,3,FALSE)</f>
        <v>Q.PEAK DUO BLK G10+</v>
      </c>
      <c r="AY1117" s="471">
        <f>VLOOKUP($AW1117,'Item Master Data'!$A:$F,6,FALSE)</f>
        <v>360</v>
      </c>
      <c r="AZ1117" s="471">
        <f t="shared" si="223"/>
        <v>26</v>
      </c>
      <c r="BA1117" s="471">
        <f>VLOOKUP(AW1117,'Item Master Data'!$A:$G,7,FALSE)</f>
        <v>32</v>
      </c>
      <c r="BB1117" s="471"/>
      <c r="BC1117" s="471">
        <f t="shared" si="224"/>
        <v>0</v>
      </c>
    </row>
    <row r="1118" spans="1:55">
      <c r="A1118" s="472"/>
      <c r="B1118" s="449">
        <v>44662</v>
      </c>
      <c r="C1118" s="449">
        <v>44662</v>
      </c>
      <c r="D1118" s="474" t="s">
        <v>2901</v>
      </c>
      <c r="E1118" s="445"/>
      <c r="F1118" s="474" t="s">
        <v>1147</v>
      </c>
      <c r="G1118" s="474">
        <v>2022</v>
      </c>
      <c r="H1118" s="474">
        <v>4</v>
      </c>
      <c r="I1118" s="474"/>
      <c r="J1118" s="487">
        <v>44678</v>
      </c>
      <c r="K1118" s="474" t="s">
        <v>3147</v>
      </c>
      <c r="L1118" s="474" t="s">
        <v>3113</v>
      </c>
      <c r="M1118" s="475">
        <v>44655</v>
      </c>
      <c r="N1118" s="475">
        <v>44662</v>
      </c>
      <c r="O1118" s="475"/>
      <c r="P1118" s="475">
        <v>44665</v>
      </c>
      <c r="Q1118" s="475">
        <v>44676</v>
      </c>
      <c r="R1118" s="475">
        <v>44678</v>
      </c>
      <c r="S1118" s="474" t="s">
        <v>2904</v>
      </c>
      <c r="T1118" s="474">
        <v>60</v>
      </c>
      <c r="U1118" s="474">
        <v>49203132</v>
      </c>
      <c r="V1118" s="474" t="s">
        <v>986</v>
      </c>
      <c r="W1118" s="474">
        <v>360</v>
      </c>
      <c r="X1118" s="476">
        <v>832</v>
      </c>
      <c r="Y1118" s="491">
        <f t="shared" si="226"/>
        <v>299520</v>
      </c>
      <c r="Z1118" s="478">
        <v>0.52</v>
      </c>
      <c r="AA1118" s="492">
        <f t="shared" si="219"/>
        <v>155750.39999999999</v>
      </c>
      <c r="AB1118" s="492"/>
      <c r="AC1118" s="446">
        <v>0</v>
      </c>
      <c r="AD1118" s="490"/>
      <c r="AE1118" s="482"/>
      <c r="AF1118" s="580">
        <f t="shared" si="220"/>
        <v>155750.39999999999</v>
      </c>
      <c r="AG1118" s="474" t="s">
        <v>47</v>
      </c>
      <c r="AH1118" s="474"/>
      <c r="AI1118" s="474">
        <v>30</v>
      </c>
      <c r="AJ1118" s="484" t="s">
        <v>3148</v>
      </c>
      <c r="AK1118" s="474" t="s">
        <v>1117</v>
      </c>
      <c r="AL1118" s="483" t="s">
        <v>3149</v>
      </c>
      <c r="AM1118" s="474" t="s">
        <v>52</v>
      </c>
      <c r="AN1118" s="474" t="s">
        <v>2928</v>
      </c>
      <c r="AO1118" s="474"/>
      <c r="AP1118" s="482"/>
      <c r="AQ1118" s="482" t="s">
        <v>37</v>
      </c>
      <c r="AR1118" s="482"/>
      <c r="AS1118" s="436" t="s">
        <v>1076</v>
      </c>
      <c r="AT1118" s="436" t="s">
        <v>1076</v>
      </c>
      <c r="AU1118" s="478"/>
      <c r="AV1118" s="471">
        <f t="shared" si="222"/>
        <v>49203132</v>
      </c>
      <c r="AW1118" s="471" cm="1">
        <f t="array" ref="AW1118">SUM(MID(0&amp;AV1118,LARGE(INDEX(ISNUMBER(--MID(AV1118,ROW($1:$8),1))*ROW($1:$8),),ROW($1:$8))+1,1)*10^ROW($1:$8)/10)</f>
        <v>49203132</v>
      </c>
      <c r="AX1118" s="471" t="str">
        <f>VLOOKUP($AW1118,'Item Master Data'!$A:$F,3,FALSE)</f>
        <v>Q.PEAK DUO BLK G10+</v>
      </c>
      <c r="AY1118" s="471">
        <f>VLOOKUP($AW1118,'Item Master Data'!$A:$F,6,FALSE)</f>
        <v>360</v>
      </c>
      <c r="AZ1118" s="471">
        <f t="shared" si="223"/>
        <v>26</v>
      </c>
      <c r="BA1118" s="471">
        <f>VLOOKUP(AW1118,'Item Master Data'!$A:$G,7,FALSE)</f>
        <v>32</v>
      </c>
      <c r="BB1118" s="471"/>
      <c r="BC1118" s="471">
        <f t="shared" si="224"/>
        <v>0</v>
      </c>
    </row>
    <row r="1119" spans="1:55">
      <c r="A1119" s="472"/>
      <c r="B1119" s="449">
        <v>44669</v>
      </c>
      <c r="C1119" s="449">
        <v>44669</v>
      </c>
      <c r="D1119" s="474" t="s">
        <v>2901</v>
      </c>
      <c r="E1119" s="445" t="s">
        <v>5497</v>
      </c>
      <c r="F1119" s="474" t="s">
        <v>1147</v>
      </c>
      <c r="G1119" s="474">
        <v>2022</v>
      </c>
      <c r="H1119" s="474">
        <v>4</v>
      </c>
      <c r="I1119" s="474"/>
      <c r="J1119" s="487">
        <v>44679</v>
      </c>
      <c r="K1119" s="474" t="s">
        <v>4696</v>
      </c>
      <c r="L1119" s="474" t="s">
        <v>3113</v>
      </c>
      <c r="M1119" s="475">
        <v>44620</v>
      </c>
      <c r="N1119" s="475">
        <v>44652</v>
      </c>
      <c r="O1119" s="475"/>
      <c r="P1119" s="475">
        <v>44673</v>
      </c>
      <c r="Q1119" s="475">
        <v>44678</v>
      </c>
      <c r="R1119" s="475">
        <v>44679</v>
      </c>
      <c r="S1119" s="474" t="s">
        <v>2904</v>
      </c>
      <c r="T1119" s="474">
        <v>60</v>
      </c>
      <c r="U1119" s="474">
        <v>49204132</v>
      </c>
      <c r="V1119" s="474" t="s">
        <v>1223</v>
      </c>
      <c r="W1119" s="474">
        <v>360</v>
      </c>
      <c r="X1119" s="476">
        <v>728</v>
      </c>
      <c r="Y1119" s="491">
        <f t="shared" si="226"/>
        <v>262080</v>
      </c>
      <c r="Z1119" s="478">
        <v>0.79</v>
      </c>
      <c r="AA1119" s="492">
        <f t="shared" si="219"/>
        <v>207043.20000000001</v>
      </c>
      <c r="AB1119" s="492"/>
      <c r="AC1119" s="446">
        <v>0</v>
      </c>
      <c r="AD1119" s="490"/>
      <c r="AE1119" s="482"/>
      <c r="AF1119" s="580">
        <f t="shared" si="220"/>
        <v>207043.20000000001</v>
      </c>
      <c r="AG1119" s="474" t="s">
        <v>47</v>
      </c>
      <c r="AH1119" s="474"/>
      <c r="AI1119" s="474">
        <v>30</v>
      </c>
      <c r="AJ1119" s="484" t="s">
        <v>2928</v>
      </c>
      <c r="AK1119" s="474" t="s">
        <v>1074</v>
      </c>
      <c r="AL1119" s="483" t="s">
        <v>3114</v>
      </c>
      <c r="AM1119" s="474" t="s">
        <v>52</v>
      </c>
      <c r="AN1119" s="474" t="s">
        <v>2928</v>
      </c>
      <c r="AO1119" s="474"/>
      <c r="AP1119" s="482"/>
      <c r="AQ1119" s="482" t="s">
        <v>37</v>
      </c>
      <c r="AR1119" s="482"/>
      <c r="AS1119" s="436" t="s">
        <v>1076</v>
      </c>
      <c r="AT1119" s="436" t="s">
        <v>1076</v>
      </c>
      <c r="AU1119" s="478">
        <v>0.73</v>
      </c>
      <c r="AV1119" s="471">
        <f t="shared" si="222"/>
        <v>49204132</v>
      </c>
      <c r="AW1119" s="471" cm="1">
        <f t="array" ref="AW1119">SUM(MID(0&amp;AV1119,LARGE(INDEX(ISNUMBER(--MID(AV1119,ROW($1:$8),1))*ROW($1:$8),),ROW($1:$8))+1,1)*10^ROW($1:$8)/10)</f>
        <v>49204132</v>
      </c>
      <c r="AX1119" s="471" t="str">
        <f>VLOOKUP($AW1119,'Item Master Data'!$A:$F,3,FALSE)</f>
        <v>Q.PEAK DUO BLK G10+/AC</v>
      </c>
      <c r="AY1119" s="471">
        <f>VLOOKUP($AW1119,'Item Master Data'!$A:$F,6,FALSE)</f>
        <v>360</v>
      </c>
      <c r="AZ1119" s="471">
        <f t="shared" si="223"/>
        <v>28</v>
      </c>
      <c r="BA1119" s="471">
        <f>VLOOKUP(AW1119,'Item Master Data'!$A:$G,7,FALSE)</f>
        <v>26</v>
      </c>
      <c r="BB1119" s="471"/>
      <c r="BC1119" s="471">
        <f t="shared" si="224"/>
        <v>0</v>
      </c>
    </row>
    <row r="1120" spans="1:55">
      <c r="A1120" s="472"/>
      <c r="B1120" s="449">
        <v>44669</v>
      </c>
      <c r="C1120" s="449">
        <v>44669</v>
      </c>
      <c r="D1120" s="474" t="s">
        <v>2901</v>
      </c>
      <c r="E1120" s="445" t="s">
        <v>5498</v>
      </c>
      <c r="F1120" s="474" t="s">
        <v>1147</v>
      </c>
      <c r="G1120" s="474">
        <v>2022</v>
      </c>
      <c r="H1120" s="474">
        <v>4</v>
      </c>
      <c r="I1120" s="474"/>
      <c r="J1120" s="487">
        <v>44679</v>
      </c>
      <c r="K1120" s="474" t="s">
        <v>4695</v>
      </c>
      <c r="L1120" s="474" t="s">
        <v>3113</v>
      </c>
      <c r="M1120" s="475">
        <v>44620</v>
      </c>
      <c r="N1120" s="475">
        <v>44652</v>
      </c>
      <c r="O1120" s="475"/>
      <c r="P1120" s="475">
        <v>44673</v>
      </c>
      <c r="Q1120" s="475">
        <v>44678</v>
      </c>
      <c r="R1120" s="475">
        <v>44679</v>
      </c>
      <c r="S1120" s="474" t="s">
        <v>2904</v>
      </c>
      <c r="T1120" s="474">
        <v>60</v>
      </c>
      <c r="U1120" s="474">
        <v>49204132</v>
      </c>
      <c r="V1120" s="474" t="s">
        <v>1223</v>
      </c>
      <c r="W1120" s="474">
        <v>360</v>
      </c>
      <c r="X1120" s="476">
        <v>728</v>
      </c>
      <c r="Y1120" s="491">
        <f t="shared" si="226"/>
        <v>262080</v>
      </c>
      <c r="Z1120" s="478">
        <v>0.79</v>
      </c>
      <c r="AA1120" s="492">
        <f t="shared" si="219"/>
        <v>207043.20000000001</v>
      </c>
      <c r="AB1120" s="492"/>
      <c r="AC1120" s="446">
        <v>0</v>
      </c>
      <c r="AD1120" s="490"/>
      <c r="AE1120" s="482"/>
      <c r="AF1120" s="580">
        <f t="shared" si="220"/>
        <v>207043.20000000001</v>
      </c>
      <c r="AG1120" s="474" t="s">
        <v>47</v>
      </c>
      <c r="AH1120" s="474"/>
      <c r="AI1120" s="474">
        <v>30</v>
      </c>
      <c r="AJ1120" s="484" t="s">
        <v>3115</v>
      </c>
      <c r="AK1120" s="474" t="s">
        <v>1074</v>
      </c>
      <c r="AL1120" s="483" t="s">
        <v>3116</v>
      </c>
      <c r="AM1120" s="474" t="s">
        <v>52</v>
      </c>
      <c r="AN1120" s="474" t="s">
        <v>2928</v>
      </c>
      <c r="AO1120" s="474"/>
      <c r="AP1120" s="482"/>
      <c r="AQ1120" s="482" t="s">
        <v>37</v>
      </c>
      <c r="AR1120" s="482"/>
      <c r="AS1120" s="436" t="s">
        <v>1076</v>
      </c>
      <c r="AT1120" s="436" t="s">
        <v>1076</v>
      </c>
      <c r="AU1120" s="478">
        <v>0.73</v>
      </c>
      <c r="AV1120" s="471">
        <f t="shared" si="222"/>
        <v>49204132</v>
      </c>
      <c r="AW1120" s="471" cm="1">
        <f t="array" ref="AW1120">SUM(MID(0&amp;AV1120,LARGE(INDEX(ISNUMBER(--MID(AV1120,ROW($1:$8),1))*ROW($1:$8),),ROW($1:$8))+1,1)*10^ROW($1:$8)/10)</f>
        <v>49204132</v>
      </c>
      <c r="AX1120" s="471" t="str">
        <f>VLOOKUP($AW1120,'Item Master Data'!$A:$F,3,FALSE)</f>
        <v>Q.PEAK DUO BLK G10+/AC</v>
      </c>
      <c r="AY1120" s="471">
        <f>VLOOKUP($AW1120,'Item Master Data'!$A:$F,6,FALSE)</f>
        <v>360</v>
      </c>
      <c r="AZ1120" s="471">
        <f t="shared" si="223"/>
        <v>28</v>
      </c>
      <c r="BA1120" s="471">
        <f>VLOOKUP(AW1120,'Item Master Data'!$A:$G,7,FALSE)</f>
        <v>26</v>
      </c>
      <c r="BB1120" s="471"/>
      <c r="BC1120" s="471">
        <f t="shared" si="224"/>
        <v>0</v>
      </c>
    </row>
    <row r="1121" spans="1:55">
      <c r="A1121" s="472"/>
      <c r="B1121" s="449">
        <v>44669</v>
      </c>
      <c r="C1121" s="449">
        <v>44669</v>
      </c>
      <c r="D1121" s="474" t="s">
        <v>2901</v>
      </c>
      <c r="E1121" s="445" t="s">
        <v>5497</v>
      </c>
      <c r="F1121" s="474" t="s">
        <v>1147</v>
      </c>
      <c r="G1121" s="474">
        <v>2022</v>
      </c>
      <c r="H1121" s="474">
        <v>5</v>
      </c>
      <c r="I1121" s="474"/>
      <c r="J1121" s="556"/>
      <c r="K1121" s="474" t="s">
        <v>4694</v>
      </c>
      <c r="L1121" s="474" t="s">
        <v>3113</v>
      </c>
      <c r="M1121" s="475">
        <v>44620</v>
      </c>
      <c r="N1121" s="475">
        <v>44652</v>
      </c>
      <c r="O1121" s="475"/>
      <c r="P1121" s="475">
        <v>44673</v>
      </c>
      <c r="Q1121" s="475">
        <v>44686</v>
      </c>
      <c r="R1121" s="475">
        <v>44687</v>
      </c>
      <c r="S1121" s="474" t="s">
        <v>2904</v>
      </c>
      <c r="T1121" s="474">
        <v>60</v>
      </c>
      <c r="U1121" s="474">
        <v>49204132</v>
      </c>
      <c r="V1121" s="474" t="s">
        <v>1223</v>
      </c>
      <c r="W1121" s="474">
        <v>360</v>
      </c>
      <c r="X1121" s="476">
        <v>728</v>
      </c>
      <c r="Y1121" s="491">
        <f t="shared" si="226"/>
        <v>262080</v>
      </c>
      <c r="Z1121" s="478">
        <v>0.79</v>
      </c>
      <c r="AA1121" s="492">
        <f t="shared" si="219"/>
        <v>207043.20000000001</v>
      </c>
      <c r="AB1121" s="492"/>
      <c r="AC1121" s="446">
        <v>0</v>
      </c>
      <c r="AD1121" s="490"/>
      <c r="AE1121" s="482"/>
      <c r="AF1121" s="580">
        <f t="shared" si="220"/>
        <v>207043.20000000001</v>
      </c>
      <c r="AG1121" s="474" t="s">
        <v>47</v>
      </c>
      <c r="AH1121" s="474"/>
      <c r="AI1121" s="474">
        <v>30</v>
      </c>
      <c r="AJ1121" s="484" t="s">
        <v>2928</v>
      </c>
      <c r="AK1121" s="474" t="s">
        <v>1074</v>
      </c>
      <c r="AL1121" s="483" t="s">
        <v>3114</v>
      </c>
      <c r="AM1121" s="474" t="s">
        <v>52</v>
      </c>
      <c r="AN1121" s="474" t="s">
        <v>2928</v>
      </c>
      <c r="AO1121" s="474"/>
      <c r="AP1121" s="482"/>
      <c r="AQ1121" s="482" t="s">
        <v>37</v>
      </c>
      <c r="AR1121" s="482"/>
      <c r="AS1121" s="436" t="s">
        <v>1076</v>
      </c>
      <c r="AT1121" s="436" t="s">
        <v>1076</v>
      </c>
      <c r="AU1121" s="478">
        <v>0.73</v>
      </c>
      <c r="AV1121" s="471">
        <f t="shared" si="222"/>
        <v>49204132</v>
      </c>
      <c r="AW1121" s="471" cm="1">
        <f t="array" ref="AW1121">SUM(MID(0&amp;AV1121,LARGE(INDEX(ISNUMBER(--MID(AV1121,ROW($1:$8),1))*ROW($1:$8),),ROW($1:$8))+1,1)*10^ROW($1:$8)/10)</f>
        <v>49204132</v>
      </c>
      <c r="AX1121" s="471" t="str">
        <f>VLOOKUP($AW1121,'Item Master Data'!$A:$F,3,FALSE)</f>
        <v>Q.PEAK DUO BLK G10+/AC</v>
      </c>
      <c r="AY1121" s="471">
        <f>VLOOKUP($AW1121,'Item Master Data'!$A:$F,6,FALSE)</f>
        <v>360</v>
      </c>
      <c r="AZ1121" s="471">
        <f t="shared" si="223"/>
        <v>28</v>
      </c>
      <c r="BA1121" s="471">
        <f>VLOOKUP(AW1121,'Item Master Data'!$A:$G,7,FALSE)</f>
        <v>26</v>
      </c>
      <c r="BB1121" s="471"/>
      <c r="BC1121" s="471">
        <f t="shared" si="224"/>
        <v>0</v>
      </c>
    </row>
    <row r="1122" spans="1:55">
      <c r="A1122" s="472"/>
      <c r="B1122" s="449">
        <v>44662</v>
      </c>
      <c r="C1122" s="449">
        <v>44662</v>
      </c>
      <c r="D1122" s="474" t="s">
        <v>2901</v>
      </c>
      <c r="E1122" s="445"/>
      <c r="F1122" s="474" t="s">
        <v>1147</v>
      </c>
      <c r="G1122" s="474">
        <v>2022</v>
      </c>
      <c r="H1122" s="474">
        <v>4</v>
      </c>
      <c r="I1122" s="474"/>
      <c r="J1122" s="487">
        <v>44678</v>
      </c>
      <c r="K1122" s="474" t="s">
        <v>3146</v>
      </c>
      <c r="L1122" s="474" t="s">
        <v>3113</v>
      </c>
      <c r="M1122" s="475">
        <v>44655</v>
      </c>
      <c r="N1122" s="475">
        <v>44662</v>
      </c>
      <c r="O1122" s="475"/>
      <c r="P1122" s="475">
        <v>44664</v>
      </c>
      <c r="Q1122" s="475">
        <v>44677</v>
      </c>
      <c r="R1122" s="475">
        <v>44678</v>
      </c>
      <c r="S1122" s="474" t="s">
        <v>2904</v>
      </c>
      <c r="T1122" s="474">
        <v>60</v>
      </c>
      <c r="U1122" s="474">
        <v>49203132</v>
      </c>
      <c r="V1122" s="474" t="s">
        <v>986</v>
      </c>
      <c r="W1122" s="474">
        <v>360</v>
      </c>
      <c r="X1122" s="476">
        <v>832</v>
      </c>
      <c r="Y1122" s="491">
        <f t="shared" si="226"/>
        <v>299520</v>
      </c>
      <c r="Z1122" s="478">
        <v>0.52</v>
      </c>
      <c r="AA1122" s="492">
        <f t="shared" si="219"/>
        <v>155750.39999999999</v>
      </c>
      <c r="AB1122" s="492"/>
      <c r="AC1122" s="446">
        <v>0</v>
      </c>
      <c r="AD1122" s="490"/>
      <c r="AE1122" s="482"/>
      <c r="AF1122" s="580">
        <f t="shared" si="220"/>
        <v>155750.39999999999</v>
      </c>
      <c r="AG1122" s="474" t="s">
        <v>47</v>
      </c>
      <c r="AH1122" s="474"/>
      <c r="AI1122" s="474">
        <v>30</v>
      </c>
      <c r="AJ1122" s="484" t="s">
        <v>2967</v>
      </c>
      <c r="AK1122" s="474" t="s">
        <v>1158</v>
      </c>
      <c r="AL1122" s="483" t="s">
        <v>2968</v>
      </c>
      <c r="AM1122" s="474" t="s">
        <v>52</v>
      </c>
      <c r="AN1122" s="474" t="s">
        <v>2928</v>
      </c>
      <c r="AO1122" s="474"/>
      <c r="AP1122" s="482"/>
      <c r="AQ1122" s="482" t="s">
        <v>37</v>
      </c>
      <c r="AR1122" s="482"/>
      <c r="AS1122" s="436" t="s">
        <v>1076</v>
      </c>
      <c r="AT1122" s="436" t="s">
        <v>1076</v>
      </c>
      <c r="AU1122" s="478"/>
      <c r="AV1122" s="471">
        <f t="shared" si="222"/>
        <v>49203132</v>
      </c>
      <c r="AW1122" s="471" cm="1">
        <f t="array" ref="AW1122">SUM(MID(0&amp;AV1122,LARGE(INDEX(ISNUMBER(--MID(AV1122,ROW($1:$8),1))*ROW($1:$8),),ROW($1:$8))+1,1)*10^ROW($1:$8)/10)</f>
        <v>49203132</v>
      </c>
      <c r="AX1122" s="471" t="str">
        <f>VLOOKUP($AW1122,'Item Master Data'!$A:$F,3,FALSE)</f>
        <v>Q.PEAK DUO BLK G10+</v>
      </c>
      <c r="AY1122" s="471">
        <f>VLOOKUP($AW1122,'Item Master Data'!$A:$F,6,FALSE)</f>
        <v>360</v>
      </c>
      <c r="AZ1122" s="471">
        <f t="shared" si="223"/>
        <v>26</v>
      </c>
      <c r="BA1122" s="471">
        <f>VLOOKUP(AW1122,'Item Master Data'!$A:$G,7,FALSE)</f>
        <v>32</v>
      </c>
      <c r="BB1122" s="471"/>
      <c r="BC1122" s="471">
        <f t="shared" si="224"/>
        <v>0</v>
      </c>
    </row>
    <row r="1123" spans="1:55">
      <c r="A1123" s="472"/>
      <c r="B1123" s="449">
        <v>44662</v>
      </c>
      <c r="C1123" s="449">
        <v>44662</v>
      </c>
      <c r="D1123" s="474" t="s">
        <v>2901</v>
      </c>
      <c r="E1123" s="445"/>
      <c r="F1123" s="474" t="s">
        <v>1147</v>
      </c>
      <c r="G1123" s="474">
        <v>2022</v>
      </c>
      <c r="H1123" s="474">
        <v>4</v>
      </c>
      <c r="I1123" s="474"/>
      <c r="J1123" s="487">
        <v>44678</v>
      </c>
      <c r="K1123" s="474" t="s">
        <v>3145</v>
      </c>
      <c r="L1123" s="474" t="s">
        <v>3113</v>
      </c>
      <c r="M1123" s="475">
        <v>44655</v>
      </c>
      <c r="N1123" s="475">
        <v>44662</v>
      </c>
      <c r="O1123" s="475"/>
      <c r="P1123" s="475">
        <v>44664</v>
      </c>
      <c r="Q1123" s="475">
        <v>44676</v>
      </c>
      <c r="R1123" s="475">
        <v>44678</v>
      </c>
      <c r="S1123" s="474" t="s">
        <v>2904</v>
      </c>
      <c r="T1123" s="474">
        <v>60</v>
      </c>
      <c r="U1123" s="474">
        <v>49203132</v>
      </c>
      <c r="V1123" s="474" t="s">
        <v>986</v>
      </c>
      <c r="W1123" s="474">
        <v>360</v>
      </c>
      <c r="X1123" s="476">
        <v>832</v>
      </c>
      <c r="Y1123" s="491">
        <f t="shared" si="226"/>
        <v>299520</v>
      </c>
      <c r="Z1123" s="478">
        <v>0.52</v>
      </c>
      <c r="AA1123" s="492">
        <f t="shared" si="219"/>
        <v>155750.39999999999</v>
      </c>
      <c r="AB1123" s="492"/>
      <c r="AC1123" s="446">
        <v>0</v>
      </c>
      <c r="AD1123" s="490"/>
      <c r="AE1123" s="482"/>
      <c r="AF1123" s="580">
        <f t="shared" si="220"/>
        <v>155750.39999999999</v>
      </c>
      <c r="AG1123" s="474" t="s">
        <v>47</v>
      </c>
      <c r="AH1123" s="474"/>
      <c r="AI1123" s="474">
        <v>30</v>
      </c>
      <c r="AJ1123" s="484" t="s">
        <v>3133</v>
      </c>
      <c r="AK1123" s="474" t="s">
        <v>1221</v>
      </c>
      <c r="AL1123" s="483" t="s">
        <v>3134</v>
      </c>
      <c r="AM1123" s="474" t="s">
        <v>52</v>
      </c>
      <c r="AN1123" s="474" t="s">
        <v>2928</v>
      </c>
      <c r="AO1123" s="474"/>
      <c r="AP1123" s="482"/>
      <c r="AQ1123" s="482" t="s">
        <v>37</v>
      </c>
      <c r="AR1123" s="482"/>
      <c r="AS1123" s="436" t="s">
        <v>1076</v>
      </c>
      <c r="AT1123" s="436" t="s">
        <v>1076</v>
      </c>
      <c r="AU1123" s="478"/>
      <c r="AV1123" s="471">
        <f t="shared" si="222"/>
        <v>49203132</v>
      </c>
      <c r="AW1123" s="471" cm="1">
        <f t="array" ref="AW1123">SUM(MID(0&amp;AV1123,LARGE(INDEX(ISNUMBER(--MID(AV1123,ROW($1:$8),1))*ROW($1:$8),),ROW($1:$8))+1,1)*10^ROW($1:$8)/10)</f>
        <v>49203132</v>
      </c>
      <c r="AX1123" s="471" t="str">
        <f>VLOOKUP($AW1123,'Item Master Data'!$A:$F,3,FALSE)</f>
        <v>Q.PEAK DUO BLK G10+</v>
      </c>
      <c r="AY1123" s="471">
        <f>VLOOKUP($AW1123,'Item Master Data'!$A:$F,6,FALSE)</f>
        <v>360</v>
      </c>
      <c r="AZ1123" s="471">
        <f t="shared" si="223"/>
        <v>26</v>
      </c>
      <c r="BA1123" s="471">
        <f>VLOOKUP(AW1123,'Item Master Data'!$A:$G,7,FALSE)</f>
        <v>32</v>
      </c>
      <c r="BB1123" s="471"/>
      <c r="BC1123" s="471">
        <f t="shared" si="224"/>
        <v>0</v>
      </c>
    </row>
    <row r="1124" spans="1:55">
      <c r="A1124" s="472"/>
      <c r="B1124" s="449">
        <v>44662</v>
      </c>
      <c r="C1124" s="449">
        <v>44662</v>
      </c>
      <c r="D1124" s="474" t="s">
        <v>2901</v>
      </c>
      <c r="E1124" s="445"/>
      <c r="F1124" s="474" t="s">
        <v>1147</v>
      </c>
      <c r="G1124" s="474">
        <v>2022</v>
      </c>
      <c r="H1124" s="474">
        <v>4</v>
      </c>
      <c r="I1124" s="474"/>
      <c r="J1124" s="487">
        <v>44678</v>
      </c>
      <c r="K1124" s="474" t="s">
        <v>3144</v>
      </c>
      <c r="L1124" s="474" t="s">
        <v>3113</v>
      </c>
      <c r="M1124" s="475">
        <v>44655</v>
      </c>
      <c r="N1124" s="475">
        <v>44662</v>
      </c>
      <c r="O1124" s="475"/>
      <c r="P1124" s="475">
        <v>44664</v>
      </c>
      <c r="Q1124" s="475">
        <v>44677</v>
      </c>
      <c r="R1124" s="475">
        <v>44678</v>
      </c>
      <c r="S1124" s="474" t="s">
        <v>2904</v>
      </c>
      <c r="T1124" s="474">
        <v>60</v>
      </c>
      <c r="U1124" s="474">
        <v>49203132</v>
      </c>
      <c r="V1124" s="474" t="s">
        <v>986</v>
      </c>
      <c r="W1124" s="474">
        <v>360</v>
      </c>
      <c r="X1124" s="476">
        <v>832</v>
      </c>
      <c r="Y1124" s="491">
        <f t="shared" si="226"/>
        <v>299520</v>
      </c>
      <c r="Z1124" s="478">
        <v>0.52</v>
      </c>
      <c r="AA1124" s="492">
        <f t="shared" si="219"/>
        <v>155750.39999999999</v>
      </c>
      <c r="AB1124" s="492"/>
      <c r="AC1124" s="446">
        <v>0</v>
      </c>
      <c r="AD1124" s="490"/>
      <c r="AE1124" s="482"/>
      <c r="AF1124" s="580">
        <f t="shared" si="220"/>
        <v>155750.39999999999</v>
      </c>
      <c r="AG1124" s="474" t="s">
        <v>47</v>
      </c>
      <c r="AH1124" s="474"/>
      <c r="AI1124" s="474">
        <v>30</v>
      </c>
      <c r="AJ1124" s="484" t="s">
        <v>1194</v>
      </c>
      <c r="AK1124" s="474" t="s">
        <v>2406</v>
      </c>
      <c r="AL1124" s="483" t="s">
        <v>3136</v>
      </c>
      <c r="AM1124" s="474" t="s">
        <v>52</v>
      </c>
      <c r="AN1124" s="474" t="s">
        <v>2928</v>
      </c>
      <c r="AO1124" s="474"/>
      <c r="AP1124" s="482"/>
      <c r="AQ1124" s="482" t="s">
        <v>37</v>
      </c>
      <c r="AR1124" s="482"/>
      <c r="AS1124" s="436" t="s">
        <v>1076</v>
      </c>
      <c r="AT1124" s="436" t="s">
        <v>1076</v>
      </c>
      <c r="AU1124" s="478"/>
      <c r="AV1124" s="471">
        <f t="shared" si="222"/>
        <v>49203132</v>
      </c>
      <c r="AW1124" s="471" cm="1">
        <f t="array" ref="AW1124">SUM(MID(0&amp;AV1124,LARGE(INDEX(ISNUMBER(--MID(AV1124,ROW($1:$8),1))*ROW($1:$8),),ROW($1:$8))+1,1)*10^ROW($1:$8)/10)</f>
        <v>49203132</v>
      </c>
      <c r="AX1124" s="471" t="str">
        <f>VLOOKUP($AW1124,'Item Master Data'!$A:$F,3,FALSE)</f>
        <v>Q.PEAK DUO BLK G10+</v>
      </c>
      <c r="AY1124" s="471">
        <f>VLOOKUP($AW1124,'Item Master Data'!$A:$F,6,FALSE)</f>
        <v>360</v>
      </c>
      <c r="AZ1124" s="471">
        <f t="shared" si="223"/>
        <v>26</v>
      </c>
      <c r="BA1124" s="471">
        <f>VLOOKUP(AW1124,'Item Master Data'!$A:$G,7,FALSE)</f>
        <v>32</v>
      </c>
      <c r="BB1124" s="471"/>
      <c r="BC1124" s="471">
        <f t="shared" si="224"/>
        <v>0</v>
      </c>
    </row>
    <row r="1125" spans="1:55">
      <c r="A1125" s="472"/>
      <c r="B1125" s="467"/>
      <c r="C1125" s="467" t="s">
        <v>1211</v>
      </c>
      <c r="D1125" s="474" t="s">
        <v>2901</v>
      </c>
      <c r="E1125" s="445" t="s">
        <v>5661</v>
      </c>
      <c r="F1125" s="474" t="s">
        <v>1147</v>
      </c>
      <c r="G1125" s="474">
        <v>2022</v>
      </c>
      <c r="H1125" s="474">
        <v>5</v>
      </c>
      <c r="I1125" s="474"/>
      <c r="J1125" s="487"/>
      <c r="K1125" s="518" t="s">
        <v>2997</v>
      </c>
      <c r="L1125" s="519" t="s">
        <v>2998</v>
      </c>
      <c r="M1125" s="521">
        <v>44602</v>
      </c>
      <c r="N1125" s="521">
        <v>44655</v>
      </c>
      <c r="O1125" s="521"/>
      <c r="P1125" s="521">
        <v>44666</v>
      </c>
      <c r="Q1125" s="521"/>
      <c r="R1125" s="521"/>
      <c r="S1125" s="519" t="s">
        <v>2904</v>
      </c>
      <c r="T1125" s="519">
        <v>72</v>
      </c>
      <c r="U1125" s="519">
        <v>49304156</v>
      </c>
      <c r="V1125" s="519" t="s">
        <v>1104</v>
      </c>
      <c r="W1125" s="519">
        <v>475</v>
      </c>
      <c r="X1125" s="522">
        <v>580</v>
      </c>
      <c r="Y1125" s="470">
        <f t="shared" ref="Y1125:Y1131" si="227">X1125*W1125</f>
        <v>275500</v>
      </c>
      <c r="Z1125" s="478">
        <v>0.48505263157</v>
      </c>
      <c r="AA1125" s="492">
        <f t="shared" si="219"/>
        <v>133631.99999753499</v>
      </c>
      <c r="AB1125" s="492"/>
      <c r="AC1125" s="446">
        <v>0</v>
      </c>
      <c r="AD1125" s="490"/>
      <c r="AE1125" s="482"/>
      <c r="AF1125" s="580">
        <f t="shared" si="220"/>
        <v>133631.99999753499</v>
      </c>
      <c r="AG1125" s="474" t="s">
        <v>47</v>
      </c>
      <c r="AH1125" s="474"/>
      <c r="AI1125" s="474">
        <v>60</v>
      </c>
      <c r="AJ1125" s="475" t="s">
        <v>1083</v>
      </c>
      <c r="AK1125" s="483" t="s">
        <v>1084</v>
      </c>
      <c r="AL1125" s="483" t="s">
        <v>2934</v>
      </c>
      <c r="AM1125" s="474" t="s">
        <v>52</v>
      </c>
      <c r="AN1125" s="474" t="s">
        <v>2928</v>
      </c>
      <c r="AO1125" s="474"/>
      <c r="AP1125" s="482"/>
      <c r="AQ1125" s="482" t="s">
        <v>37</v>
      </c>
      <c r="AR1125" s="439"/>
      <c r="AS1125" s="436" t="s">
        <v>1076</v>
      </c>
      <c r="AT1125" s="436" t="s">
        <v>1076</v>
      </c>
      <c r="AU1125" s="478"/>
      <c r="AV1125" s="471">
        <f t="shared" si="222"/>
        <v>49304156</v>
      </c>
      <c r="AW1125" s="471" cm="1">
        <f t="array" ref="AW1125">SUM(MID(0&amp;AV1125,LARGE(INDEX(ISNUMBER(--MID(AV1125,ROW($1:$8),1))*ROW($1:$8),),ROW($1:$8))+1,1)*10^ROW($1:$8)/10)</f>
        <v>49304156</v>
      </c>
      <c r="AX1125" s="471" t="str">
        <f>VLOOKUP($AW1125,'Item Master Data'!$A:$F,3,FALSE)</f>
        <v>Q.PEAK DUO XL G10</v>
      </c>
      <c r="AY1125" s="471">
        <f>VLOOKUP($AW1125,'Item Master Data'!$A:$F,6,FALSE)</f>
        <v>480</v>
      </c>
      <c r="AZ1125" s="471">
        <f t="shared" si="223"/>
        <v>20</v>
      </c>
      <c r="BA1125" s="471">
        <f>VLOOKUP(AW1125,'Item Master Data'!$A:$G,7,FALSE)</f>
        <v>29</v>
      </c>
      <c r="BB1125" s="471"/>
      <c r="BC1125" s="471">
        <f t="shared" si="224"/>
        <v>-5</v>
      </c>
    </row>
    <row r="1126" spans="1:55">
      <c r="A1126" s="472"/>
      <c r="B1126" s="467">
        <v>44483</v>
      </c>
      <c r="C1126" s="467">
        <v>44483</v>
      </c>
      <c r="D1126" s="474" t="s">
        <v>2901</v>
      </c>
      <c r="E1126" s="445" t="s">
        <v>5387</v>
      </c>
      <c r="F1126" s="474" t="s">
        <v>1147</v>
      </c>
      <c r="G1126" s="474">
        <v>2022</v>
      </c>
      <c r="H1126" s="474">
        <v>4</v>
      </c>
      <c r="I1126" s="474">
        <v>128044</v>
      </c>
      <c r="J1126" s="475">
        <v>44669</v>
      </c>
      <c r="K1126" s="483" t="s">
        <v>3161</v>
      </c>
      <c r="L1126" s="474" t="s">
        <v>3159</v>
      </c>
      <c r="M1126" s="475">
        <v>44477</v>
      </c>
      <c r="N1126" s="475">
        <v>44593</v>
      </c>
      <c r="O1126" s="475" t="s">
        <v>2365</v>
      </c>
      <c r="P1126" s="475">
        <v>44638</v>
      </c>
      <c r="Q1126" s="475">
        <v>44662</v>
      </c>
      <c r="R1126" s="475">
        <v>44669</v>
      </c>
      <c r="S1126" s="474" t="s">
        <v>2904</v>
      </c>
      <c r="T1126" s="474">
        <v>60</v>
      </c>
      <c r="U1126" s="474" t="s">
        <v>1760</v>
      </c>
      <c r="V1126" s="474" t="s">
        <v>973</v>
      </c>
      <c r="W1126" s="474">
        <v>400</v>
      </c>
      <c r="X1126" s="476">
        <v>32</v>
      </c>
      <c r="Y1126" s="491">
        <f t="shared" si="227"/>
        <v>12800</v>
      </c>
      <c r="Z1126" s="478">
        <v>0.49</v>
      </c>
      <c r="AA1126" s="492">
        <f t="shared" si="219"/>
        <v>6272</v>
      </c>
      <c r="AB1126" s="492"/>
      <c r="AC1126" s="446">
        <v>0</v>
      </c>
      <c r="AD1126" s="490"/>
      <c r="AE1126" s="482"/>
      <c r="AF1126" s="580">
        <f t="shared" si="220"/>
        <v>6272</v>
      </c>
      <c r="AG1126" s="474" t="s">
        <v>47</v>
      </c>
      <c r="AH1126" s="474"/>
      <c r="AI1126" s="474">
        <v>30</v>
      </c>
      <c r="AJ1126" s="475" t="s">
        <v>1083</v>
      </c>
      <c r="AK1126" s="483" t="s">
        <v>1084</v>
      </c>
      <c r="AL1126" s="483" t="s">
        <v>2934</v>
      </c>
      <c r="AM1126" s="474" t="s">
        <v>52</v>
      </c>
      <c r="AN1126" s="474" t="s">
        <v>50</v>
      </c>
      <c r="AO1126" s="474"/>
      <c r="AP1126" s="482" t="s">
        <v>38</v>
      </c>
      <c r="AQ1126" s="482" t="s">
        <v>37</v>
      </c>
      <c r="AR1126" s="439"/>
      <c r="AS1126" s="436" t="s">
        <v>1087</v>
      </c>
      <c r="AT1126" s="436" t="s">
        <v>1076</v>
      </c>
      <c r="AU1126" s="478"/>
      <c r="AV1126" s="471" t="str">
        <f t="shared" si="222"/>
        <v>30390156H</v>
      </c>
      <c r="AW1126" s="471" cm="1">
        <f t="array" ref="AW1126">SUM(MID(0&amp;AV1126,LARGE(INDEX(ISNUMBER(--MID(AV1126,ROW($1:$8),1))*ROW($1:$8),),ROW($1:$8))+1,1)*10^ROW($1:$8)/10)</f>
        <v>30390156</v>
      </c>
      <c r="AX1126" s="471" t="str">
        <f>VLOOKUP($AW1126,'Item Master Data'!$A:$F,3,FALSE)</f>
        <v>Q.PEAK DUO BLK ML G10+</v>
      </c>
      <c r="AY1126" s="471">
        <f>VLOOKUP($AW1126,'Item Master Data'!$A:$F,6,FALSE)</f>
        <v>400</v>
      </c>
      <c r="AZ1126" s="471">
        <f t="shared" si="223"/>
        <v>1</v>
      </c>
      <c r="BA1126" s="471">
        <f>VLOOKUP(AW1126,'Item Master Data'!$A:$G,7,FALSE)</f>
        <v>32</v>
      </c>
      <c r="BB1126" s="471"/>
      <c r="BC1126" s="471">
        <f t="shared" si="224"/>
        <v>0</v>
      </c>
    </row>
    <row r="1127" spans="1:55">
      <c r="A1127" s="472"/>
      <c r="B1127" s="467">
        <v>44848</v>
      </c>
      <c r="C1127" s="467">
        <v>44847</v>
      </c>
      <c r="D1127" s="474" t="s">
        <v>2901</v>
      </c>
      <c r="E1127" s="445" t="s">
        <v>3160</v>
      </c>
      <c r="F1127" s="474" t="s">
        <v>1147</v>
      </c>
      <c r="G1127" s="474">
        <v>2022</v>
      </c>
      <c r="H1127" s="474">
        <v>4</v>
      </c>
      <c r="I1127" s="474">
        <v>128130</v>
      </c>
      <c r="J1127" s="475">
        <v>44672</v>
      </c>
      <c r="K1127" s="483" t="s">
        <v>3162</v>
      </c>
      <c r="L1127" s="474" t="s">
        <v>3159</v>
      </c>
      <c r="M1127" s="475">
        <v>44477</v>
      </c>
      <c r="N1127" s="475">
        <v>44621</v>
      </c>
      <c r="O1127" s="475" t="s">
        <v>2365</v>
      </c>
      <c r="P1127" s="475">
        <v>44659</v>
      </c>
      <c r="Q1127" s="475">
        <v>44666</v>
      </c>
      <c r="R1127" s="475">
        <v>44672</v>
      </c>
      <c r="S1127" s="474" t="s">
        <v>2904</v>
      </c>
      <c r="T1127" s="474">
        <v>60</v>
      </c>
      <c r="U1127" s="474" t="s">
        <v>1760</v>
      </c>
      <c r="V1127" s="474" t="s">
        <v>973</v>
      </c>
      <c r="W1127" s="474">
        <v>400</v>
      </c>
      <c r="X1127" s="476">
        <v>9664</v>
      </c>
      <c r="Y1127" s="491">
        <f t="shared" si="227"/>
        <v>3865600</v>
      </c>
      <c r="Z1127" s="478">
        <v>0.49</v>
      </c>
      <c r="AA1127" s="492">
        <f t="shared" si="219"/>
        <v>1894144</v>
      </c>
      <c r="AB1127" s="492"/>
      <c r="AC1127" s="446">
        <v>0</v>
      </c>
      <c r="AD1127" s="490"/>
      <c r="AE1127" s="482"/>
      <c r="AF1127" s="580">
        <f t="shared" si="220"/>
        <v>1894144</v>
      </c>
      <c r="AG1127" s="474" t="s">
        <v>47</v>
      </c>
      <c r="AH1127" s="474"/>
      <c r="AI1127" s="474">
        <v>30</v>
      </c>
      <c r="AJ1127" s="475" t="s">
        <v>1083</v>
      </c>
      <c r="AK1127" s="483" t="s">
        <v>1084</v>
      </c>
      <c r="AL1127" s="483" t="s">
        <v>2934</v>
      </c>
      <c r="AM1127" s="474" t="s">
        <v>52</v>
      </c>
      <c r="AN1127" s="474" t="s">
        <v>50</v>
      </c>
      <c r="AO1127" s="474"/>
      <c r="AP1127" s="482" t="s">
        <v>38</v>
      </c>
      <c r="AQ1127" s="482" t="s">
        <v>37</v>
      </c>
      <c r="AR1127" s="439"/>
      <c r="AS1127" s="436" t="s">
        <v>1087</v>
      </c>
      <c r="AT1127" s="436" t="s">
        <v>1076</v>
      </c>
      <c r="AU1127" s="478"/>
      <c r="AV1127" s="471" t="str">
        <f t="shared" si="222"/>
        <v>30390156H</v>
      </c>
      <c r="AW1127" s="471" cm="1">
        <f t="array" ref="AW1127">SUM(MID(0&amp;AV1127,LARGE(INDEX(ISNUMBER(--MID(AV1127,ROW($1:$8),1))*ROW($1:$8),),ROW($1:$8))+1,1)*10^ROW($1:$8)/10)</f>
        <v>30390156</v>
      </c>
      <c r="AX1127" s="471" t="str">
        <f>VLOOKUP($AW1127,'Item Master Data'!$A:$F,3,FALSE)</f>
        <v>Q.PEAK DUO BLK ML G10+</v>
      </c>
      <c r="AY1127" s="471">
        <f>VLOOKUP($AW1127,'Item Master Data'!$A:$F,6,FALSE)</f>
        <v>400</v>
      </c>
      <c r="AZ1127" s="471">
        <f t="shared" si="223"/>
        <v>302</v>
      </c>
      <c r="BA1127" s="471">
        <f>VLOOKUP(AW1127,'Item Master Data'!$A:$G,7,FALSE)</f>
        <v>32</v>
      </c>
      <c r="BB1127" s="471"/>
      <c r="BC1127" s="471">
        <f t="shared" si="224"/>
        <v>0</v>
      </c>
    </row>
    <row r="1128" spans="1:55">
      <c r="A1128" s="472"/>
      <c r="B1128" s="467">
        <v>44610</v>
      </c>
      <c r="C1128" s="467">
        <v>44631</v>
      </c>
      <c r="D1128" s="474" t="s">
        <v>2901</v>
      </c>
      <c r="E1128" s="445"/>
      <c r="F1128" s="474" t="s">
        <v>1147</v>
      </c>
      <c r="G1128" s="474">
        <v>2022</v>
      </c>
      <c r="H1128" s="474">
        <v>4</v>
      </c>
      <c r="I1128" s="474">
        <v>128148</v>
      </c>
      <c r="J1128" s="475">
        <v>44664</v>
      </c>
      <c r="K1128" s="483" t="s">
        <v>3166</v>
      </c>
      <c r="L1128" s="474" t="s">
        <v>3159</v>
      </c>
      <c r="M1128" s="475">
        <v>44543</v>
      </c>
      <c r="N1128" s="475">
        <v>44652</v>
      </c>
      <c r="O1128" s="475" t="s">
        <v>2365</v>
      </c>
      <c r="P1128" s="475">
        <v>44659</v>
      </c>
      <c r="Q1128" s="475">
        <v>44663</v>
      </c>
      <c r="R1128" s="475">
        <v>44664</v>
      </c>
      <c r="S1128" s="474" t="s">
        <v>2904</v>
      </c>
      <c r="T1128" s="474">
        <v>60</v>
      </c>
      <c r="U1128" s="474">
        <v>49405140</v>
      </c>
      <c r="V1128" s="474" t="s">
        <v>973</v>
      </c>
      <c r="W1128" s="474">
        <v>400</v>
      </c>
      <c r="X1128" s="476">
        <v>832</v>
      </c>
      <c r="Y1128" s="491">
        <f t="shared" si="227"/>
        <v>332800</v>
      </c>
      <c r="Z1128" s="478">
        <v>0.5</v>
      </c>
      <c r="AA1128" s="492">
        <f t="shared" si="219"/>
        <v>166400</v>
      </c>
      <c r="AB1128" s="492"/>
      <c r="AC1128" s="446">
        <v>0</v>
      </c>
      <c r="AD1128" s="490"/>
      <c r="AE1128" s="482"/>
      <c r="AF1128" s="580">
        <f t="shared" si="220"/>
        <v>166400</v>
      </c>
      <c r="AG1128" s="474" t="s">
        <v>47</v>
      </c>
      <c r="AH1128" s="474"/>
      <c r="AI1128" s="474">
        <v>30</v>
      </c>
      <c r="AJ1128" s="475" t="s">
        <v>1083</v>
      </c>
      <c r="AK1128" s="483" t="s">
        <v>1084</v>
      </c>
      <c r="AL1128" s="483" t="s">
        <v>2934</v>
      </c>
      <c r="AM1128" s="474" t="s">
        <v>52</v>
      </c>
      <c r="AN1128" s="474" t="s">
        <v>2928</v>
      </c>
      <c r="AO1128" s="474"/>
      <c r="AP1128" s="482"/>
      <c r="AQ1128" s="482" t="s">
        <v>37</v>
      </c>
      <c r="AR1128" s="439"/>
      <c r="AS1128" s="436" t="s">
        <v>1087</v>
      </c>
      <c r="AT1128" s="436" t="s">
        <v>1076</v>
      </c>
      <c r="AU1128" s="478"/>
      <c r="AV1128" s="471">
        <f t="shared" si="222"/>
        <v>49405140</v>
      </c>
      <c r="AW1128" s="471" cm="1">
        <f t="array" ref="AW1128">SUM(MID(0&amp;AV1128,LARGE(INDEX(ISNUMBER(--MID(AV1128,ROW($1:$8),1))*ROW($1:$8),),ROW($1:$8))+1,1)*10^ROW($1:$8)/10)</f>
        <v>49405140</v>
      </c>
      <c r="AX1128" s="471" t="str">
        <f>VLOOKUP($AW1128,'Item Master Data'!$A:$F,3,FALSE)</f>
        <v>Q.PEAK DUO BLK ML G10+</v>
      </c>
      <c r="AY1128" s="471">
        <f>VLOOKUP($AW1128,'Item Master Data'!$A:$F,6,FALSE)</f>
        <v>400</v>
      </c>
      <c r="AZ1128" s="471">
        <f t="shared" si="223"/>
        <v>26</v>
      </c>
      <c r="BA1128" s="471">
        <f>VLOOKUP(AW1128,'Item Master Data'!$A:$G,7,FALSE)</f>
        <v>32</v>
      </c>
      <c r="BB1128" s="471"/>
      <c r="BC1128" s="471">
        <f t="shared" si="224"/>
        <v>0</v>
      </c>
    </row>
    <row r="1129" spans="1:55">
      <c r="A1129" s="472"/>
      <c r="B1129" s="467">
        <v>44610</v>
      </c>
      <c r="C1129" s="467">
        <v>44631</v>
      </c>
      <c r="D1129" s="474" t="s">
        <v>2901</v>
      </c>
      <c r="E1129" s="445" t="s">
        <v>5499</v>
      </c>
      <c r="F1129" s="474" t="s">
        <v>1147</v>
      </c>
      <c r="G1129" s="474">
        <v>2022</v>
      </c>
      <c r="H1129" s="474">
        <v>4</v>
      </c>
      <c r="I1129" s="474" t="s">
        <v>3023</v>
      </c>
      <c r="J1129" s="556">
        <v>44664</v>
      </c>
      <c r="K1129" s="483" t="s">
        <v>3166</v>
      </c>
      <c r="L1129" s="474" t="s">
        <v>3159</v>
      </c>
      <c r="M1129" s="475">
        <v>44543</v>
      </c>
      <c r="N1129" s="475">
        <v>44652</v>
      </c>
      <c r="O1129" s="475" t="s">
        <v>2365</v>
      </c>
      <c r="P1129" s="475">
        <v>44659</v>
      </c>
      <c r="Q1129" s="475">
        <v>44663</v>
      </c>
      <c r="R1129" s="475">
        <v>44664</v>
      </c>
      <c r="S1129" s="474" t="s">
        <v>2904</v>
      </c>
      <c r="T1129" s="474">
        <v>60</v>
      </c>
      <c r="U1129" s="474">
        <v>49405140</v>
      </c>
      <c r="V1129" s="474" t="s">
        <v>973</v>
      </c>
      <c r="W1129" s="474">
        <v>400</v>
      </c>
      <c r="X1129" s="476">
        <v>832</v>
      </c>
      <c r="Y1129" s="491">
        <f t="shared" si="227"/>
        <v>332800</v>
      </c>
      <c r="Z1129" s="478">
        <v>0.5</v>
      </c>
      <c r="AA1129" s="492">
        <f t="shared" si="219"/>
        <v>166400</v>
      </c>
      <c r="AB1129" s="492"/>
      <c r="AC1129" s="446">
        <v>0</v>
      </c>
      <c r="AD1129" s="490"/>
      <c r="AE1129" s="482"/>
      <c r="AF1129" s="580">
        <f t="shared" si="220"/>
        <v>166400</v>
      </c>
      <c r="AG1129" s="474" t="s">
        <v>47</v>
      </c>
      <c r="AH1129" s="474"/>
      <c r="AI1129" s="474">
        <v>30</v>
      </c>
      <c r="AJ1129" s="475" t="s">
        <v>1083</v>
      </c>
      <c r="AK1129" s="483" t="s">
        <v>1084</v>
      </c>
      <c r="AL1129" s="483" t="s">
        <v>2934</v>
      </c>
      <c r="AM1129" s="474" t="s">
        <v>52</v>
      </c>
      <c r="AN1129" s="474" t="s">
        <v>2928</v>
      </c>
      <c r="AO1129" s="474"/>
      <c r="AP1129" s="482"/>
      <c r="AQ1129" s="482" t="s">
        <v>37</v>
      </c>
      <c r="AR1129" s="439"/>
      <c r="AS1129" s="436" t="s">
        <v>1087</v>
      </c>
      <c r="AT1129" s="436" t="s">
        <v>1076</v>
      </c>
      <c r="AU1129" s="478"/>
      <c r="AV1129" s="471">
        <f t="shared" si="222"/>
        <v>49405140</v>
      </c>
      <c r="AW1129" s="471" cm="1">
        <f t="array" ref="AW1129">SUM(MID(0&amp;AV1129,LARGE(INDEX(ISNUMBER(--MID(AV1129,ROW($1:$8),1))*ROW($1:$8),),ROW($1:$8))+1,1)*10^ROW($1:$8)/10)</f>
        <v>49405140</v>
      </c>
      <c r="AX1129" s="471" t="str">
        <f>VLOOKUP($AW1129,'Item Master Data'!$A:$F,3,FALSE)</f>
        <v>Q.PEAK DUO BLK ML G10+</v>
      </c>
      <c r="AY1129" s="471">
        <f>VLOOKUP($AW1129,'Item Master Data'!$A:$F,6,FALSE)</f>
        <v>400</v>
      </c>
      <c r="AZ1129" s="471">
        <f t="shared" si="223"/>
        <v>26</v>
      </c>
      <c r="BA1129" s="471">
        <f>VLOOKUP(AW1129,'Item Master Data'!$A:$G,7,FALSE)</f>
        <v>32</v>
      </c>
      <c r="BB1129" s="471"/>
      <c r="BC1129" s="471">
        <f t="shared" si="224"/>
        <v>0</v>
      </c>
    </row>
    <row r="1130" spans="1:55">
      <c r="A1130" s="472"/>
      <c r="B1130" s="467">
        <v>44610</v>
      </c>
      <c r="C1130" s="467">
        <v>44631</v>
      </c>
      <c r="D1130" s="474" t="s">
        <v>2901</v>
      </c>
      <c r="E1130" s="445"/>
      <c r="F1130" s="474" t="s">
        <v>1147</v>
      </c>
      <c r="G1130" s="474">
        <v>2022</v>
      </c>
      <c r="H1130" s="474">
        <v>4</v>
      </c>
      <c r="I1130" s="474" t="s">
        <v>2316</v>
      </c>
      <c r="J1130" s="487">
        <v>44673</v>
      </c>
      <c r="K1130" s="483" t="s">
        <v>3166</v>
      </c>
      <c r="L1130" s="474" t="s">
        <v>3159</v>
      </c>
      <c r="M1130" s="475">
        <v>44543</v>
      </c>
      <c r="N1130" s="475">
        <v>44652</v>
      </c>
      <c r="O1130" s="475" t="s">
        <v>2365</v>
      </c>
      <c r="P1130" s="475">
        <v>44659</v>
      </c>
      <c r="Q1130" s="475">
        <v>44666</v>
      </c>
      <c r="R1130" s="475">
        <v>44673</v>
      </c>
      <c r="S1130" s="474" t="s">
        <v>2904</v>
      </c>
      <c r="T1130" s="474">
        <v>60</v>
      </c>
      <c r="U1130" s="474" t="s">
        <v>1760</v>
      </c>
      <c r="V1130" s="474" t="s">
        <v>973</v>
      </c>
      <c r="W1130" s="474">
        <v>400</v>
      </c>
      <c r="X1130" s="476">
        <v>2496</v>
      </c>
      <c r="Y1130" s="491">
        <f t="shared" si="227"/>
        <v>998400</v>
      </c>
      <c r="Z1130" s="478">
        <v>0.5</v>
      </c>
      <c r="AA1130" s="492">
        <f t="shared" si="219"/>
        <v>499200</v>
      </c>
      <c r="AB1130" s="492"/>
      <c r="AC1130" s="446">
        <v>0</v>
      </c>
      <c r="AD1130" s="490"/>
      <c r="AE1130" s="482"/>
      <c r="AF1130" s="580">
        <f t="shared" si="220"/>
        <v>499200</v>
      </c>
      <c r="AG1130" s="474" t="s">
        <v>47</v>
      </c>
      <c r="AH1130" s="474"/>
      <c r="AI1130" s="474">
        <v>30</v>
      </c>
      <c r="AJ1130" s="475" t="s">
        <v>1083</v>
      </c>
      <c r="AK1130" s="483" t="s">
        <v>1084</v>
      </c>
      <c r="AL1130" s="483" t="s">
        <v>2934</v>
      </c>
      <c r="AM1130" s="474" t="s">
        <v>52</v>
      </c>
      <c r="AN1130" s="474" t="s">
        <v>50</v>
      </c>
      <c r="AO1130" s="474"/>
      <c r="AP1130" s="482" t="s">
        <v>38</v>
      </c>
      <c r="AQ1130" s="482" t="s">
        <v>37</v>
      </c>
      <c r="AR1130" s="439"/>
      <c r="AS1130" s="436" t="s">
        <v>1087</v>
      </c>
      <c r="AT1130" s="436" t="s">
        <v>1076</v>
      </c>
      <c r="AU1130" s="478"/>
      <c r="AV1130" s="471" t="str">
        <f t="shared" si="222"/>
        <v>30390156H</v>
      </c>
      <c r="AW1130" s="471" cm="1">
        <f t="array" ref="AW1130">SUM(MID(0&amp;AV1130,LARGE(INDEX(ISNUMBER(--MID(AV1130,ROW($1:$8),1))*ROW($1:$8),),ROW($1:$8))+1,1)*10^ROW($1:$8)/10)</f>
        <v>30390156</v>
      </c>
      <c r="AX1130" s="471" t="str">
        <f>VLOOKUP($AW1130,'Item Master Data'!$A:$F,3,FALSE)</f>
        <v>Q.PEAK DUO BLK ML G10+</v>
      </c>
      <c r="AY1130" s="471">
        <f>VLOOKUP($AW1130,'Item Master Data'!$A:$F,6,FALSE)</f>
        <v>400</v>
      </c>
      <c r="AZ1130" s="471">
        <f t="shared" si="223"/>
        <v>78</v>
      </c>
      <c r="BA1130" s="471">
        <f>VLOOKUP(AW1130,'Item Master Data'!$A:$G,7,FALSE)</f>
        <v>32</v>
      </c>
      <c r="BB1130" s="471"/>
      <c r="BC1130" s="471">
        <f t="shared" si="224"/>
        <v>0</v>
      </c>
    </row>
    <row r="1131" spans="1:55">
      <c r="A1131" s="472"/>
      <c r="B1131" s="467">
        <v>44610</v>
      </c>
      <c r="C1131" s="467">
        <v>44631</v>
      </c>
      <c r="D1131" s="474" t="s">
        <v>2901</v>
      </c>
      <c r="E1131" s="445"/>
      <c r="F1131" s="474" t="s">
        <v>1147</v>
      </c>
      <c r="G1131" s="474">
        <v>2022</v>
      </c>
      <c r="H1131" s="474">
        <v>5</v>
      </c>
      <c r="I1131" s="474" t="s">
        <v>5500</v>
      </c>
      <c r="J1131" s="487"/>
      <c r="K1131" s="483" t="s">
        <v>3166</v>
      </c>
      <c r="L1131" s="474" t="s">
        <v>3159</v>
      </c>
      <c r="M1131" s="475">
        <v>44543</v>
      </c>
      <c r="N1131" s="475">
        <v>44652</v>
      </c>
      <c r="O1131" s="475" t="s">
        <v>2365</v>
      </c>
      <c r="P1131" s="475">
        <v>44678</v>
      </c>
      <c r="Q1131" s="475"/>
      <c r="R1131" s="475"/>
      <c r="S1131" s="474" t="s">
        <v>2904</v>
      </c>
      <c r="T1131" s="474">
        <v>60</v>
      </c>
      <c r="U1131" s="474" t="s">
        <v>1281</v>
      </c>
      <c r="V1131" s="474" t="s">
        <v>973</v>
      </c>
      <c r="W1131" s="474">
        <v>400</v>
      </c>
      <c r="X1131" s="476">
        <v>1536</v>
      </c>
      <c r="Y1131" s="491">
        <f t="shared" si="227"/>
        <v>614400</v>
      </c>
      <c r="Z1131" s="478">
        <v>0.5</v>
      </c>
      <c r="AA1131" s="492">
        <f t="shared" si="219"/>
        <v>307200</v>
      </c>
      <c r="AB1131" s="492"/>
      <c r="AC1131" s="446">
        <v>0</v>
      </c>
      <c r="AD1131" s="490"/>
      <c r="AE1131" s="482"/>
      <c r="AF1131" s="580">
        <f t="shared" si="220"/>
        <v>307200</v>
      </c>
      <c r="AG1131" s="474" t="s">
        <v>47</v>
      </c>
      <c r="AH1131" s="474"/>
      <c r="AI1131" s="474">
        <v>30</v>
      </c>
      <c r="AJ1131" s="475" t="s">
        <v>1083</v>
      </c>
      <c r="AK1131" s="483" t="s">
        <v>1084</v>
      </c>
      <c r="AL1131" s="483" t="s">
        <v>2934</v>
      </c>
      <c r="AM1131" s="474" t="s">
        <v>52</v>
      </c>
      <c r="AN1131" s="474" t="s">
        <v>1085</v>
      </c>
      <c r="AO1131" s="474"/>
      <c r="AP1131" s="482" t="s">
        <v>38</v>
      </c>
      <c r="AQ1131" s="482" t="s">
        <v>37</v>
      </c>
      <c r="AR1131" s="439"/>
      <c r="AS1131" s="436" t="s">
        <v>1087</v>
      </c>
      <c r="AT1131" s="436" t="s">
        <v>1076</v>
      </c>
      <c r="AU1131" s="478"/>
      <c r="AV1131" s="471" t="str">
        <f t="shared" si="222"/>
        <v>30390456H</v>
      </c>
      <c r="AW1131" s="471" cm="1">
        <f t="array" ref="AW1131">SUM(MID(0&amp;AV1131,LARGE(INDEX(ISNUMBER(--MID(AV1131,ROW($1:$8),1))*ROW($1:$8),),ROW($1:$8))+1,1)*10^ROW($1:$8)/10)</f>
        <v>30390456</v>
      </c>
      <c r="AX1131" s="471" t="str">
        <f>VLOOKUP($AW1131,'Item Master Data'!$A:$F,3,FALSE)</f>
        <v>Q.PEAK DUO BLK ML G10+</v>
      </c>
      <c r="AY1131" s="471">
        <f>VLOOKUP($AW1131,'Item Master Data'!$A:$F,6,FALSE)</f>
        <v>400</v>
      </c>
      <c r="AZ1131" s="471">
        <f t="shared" si="223"/>
        <v>48</v>
      </c>
      <c r="BA1131" s="471">
        <f>VLOOKUP(AW1131,'Item Master Data'!$A:$G,7,FALSE)</f>
        <v>32</v>
      </c>
      <c r="BB1131" s="471"/>
      <c r="BC1131" s="471">
        <f t="shared" si="224"/>
        <v>0</v>
      </c>
    </row>
    <row r="1132" spans="1:55">
      <c r="A1132" s="472"/>
      <c r="B1132" s="449">
        <v>44655</v>
      </c>
      <c r="C1132" s="449">
        <v>44655</v>
      </c>
      <c r="D1132" s="474" t="s">
        <v>2901</v>
      </c>
      <c r="E1132" s="445"/>
      <c r="F1132" s="474" t="s">
        <v>1147</v>
      </c>
      <c r="G1132" s="474">
        <v>2022</v>
      </c>
      <c r="H1132" s="474">
        <v>4</v>
      </c>
      <c r="I1132" s="474">
        <v>128091</v>
      </c>
      <c r="J1132" s="475">
        <v>44669</v>
      </c>
      <c r="K1132" s="474" t="s">
        <v>3167</v>
      </c>
      <c r="L1132" s="474" t="s">
        <v>3159</v>
      </c>
      <c r="M1132" s="475">
        <v>44654</v>
      </c>
      <c r="N1132" s="475">
        <v>44666</v>
      </c>
      <c r="O1132" s="475" t="s">
        <v>2365</v>
      </c>
      <c r="P1132" s="475">
        <v>44655</v>
      </c>
      <c r="Q1132" s="475">
        <v>44665</v>
      </c>
      <c r="R1132" s="475">
        <v>44669</v>
      </c>
      <c r="S1132" s="474" t="s">
        <v>2904</v>
      </c>
      <c r="T1132" s="474">
        <v>60</v>
      </c>
      <c r="U1132" s="474" t="s">
        <v>3168</v>
      </c>
      <c r="V1132" s="474" t="s">
        <v>970</v>
      </c>
      <c r="W1132" s="474">
        <v>405</v>
      </c>
      <c r="X1132" s="476">
        <v>8320</v>
      </c>
      <c r="Y1132" s="491">
        <f>W1132*X1132</f>
        <v>3369600</v>
      </c>
      <c r="Z1132" s="478">
        <v>0.52</v>
      </c>
      <c r="AA1132" s="492">
        <f t="shared" si="219"/>
        <v>1752192</v>
      </c>
      <c r="AB1132" s="492"/>
      <c r="AC1132" s="446">
        <v>0</v>
      </c>
      <c r="AD1132" s="490"/>
      <c r="AE1132" s="482"/>
      <c r="AF1132" s="580">
        <f t="shared" si="220"/>
        <v>1752192</v>
      </c>
      <c r="AG1132" s="474" t="s">
        <v>47</v>
      </c>
      <c r="AH1132" s="474"/>
      <c r="AI1132" s="474">
        <v>30</v>
      </c>
      <c r="AJ1132" s="484" t="s">
        <v>1083</v>
      </c>
      <c r="AK1132" s="474" t="s">
        <v>1084</v>
      </c>
      <c r="AL1132" s="483" t="s">
        <v>2934</v>
      </c>
      <c r="AM1132" s="474" t="s">
        <v>52</v>
      </c>
      <c r="AN1132" s="474" t="s">
        <v>50</v>
      </c>
      <c r="AO1132" s="474"/>
      <c r="AP1132" s="482" t="s">
        <v>38</v>
      </c>
      <c r="AQ1132" s="482" t="s">
        <v>37</v>
      </c>
      <c r="AR1132" s="482" t="s">
        <v>3026</v>
      </c>
      <c r="AS1132" s="436" t="s">
        <v>1076</v>
      </c>
      <c r="AT1132" s="436" t="s">
        <v>1076</v>
      </c>
      <c r="AU1132" s="478">
        <v>0.73</v>
      </c>
      <c r="AV1132" s="471" t="str">
        <f t="shared" si="222"/>
        <v>30372157C</v>
      </c>
      <c r="AW1132" s="471" cm="1">
        <f t="array" ref="AW1132">SUM(MID(0&amp;AV1132,LARGE(INDEX(ISNUMBER(--MID(AV1132,ROW($1:$8),1))*ROW($1:$8),),ROW($1:$8))+1,1)*10^ROW($1:$8)/10)</f>
        <v>30372157</v>
      </c>
      <c r="AX1132" s="471" t="str">
        <f>VLOOKUP($AW1132,'Item Master Data'!$A:$F,3,FALSE)</f>
        <v>Q.PEAK DUO ML G10.a+</v>
      </c>
      <c r="AY1132" s="471">
        <f>VLOOKUP($AW1132,'Item Master Data'!$A:$F,6,FALSE)</f>
        <v>405</v>
      </c>
      <c r="AZ1132" s="471">
        <f t="shared" si="223"/>
        <v>260</v>
      </c>
      <c r="BA1132" s="471">
        <f>VLOOKUP(AW1132,'Item Master Data'!$A:$G,7,FALSE)</f>
        <v>32</v>
      </c>
      <c r="BB1132" s="471"/>
      <c r="BC1132" s="471">
        <f t="shared" si="224"/>
        <v>0</v>
      </c>
    </row>
    <row r="1133" spans="1:55">
      <c r="A1133" s="472"/>
      <c r="B1133" s="467"/>
      <c r="C1133" s="467"/>
      <c r="D1133" s="474" t="s">
        <v>2901</v>
      </c>
      <c r="E1133" s="445" t="s">
        <v>5201</v>
      </c>
      <c r="F1133" s="474" t="s">
        <v>1147</v>
      </c>
      <c r="G1133" s="474">
        <v>2022</v>
      </c>
      <c r="H1133" s="474">
        <v>5</v>
      </c>
      <c r="I1133" s="474"/>
      <c r="J1133" s="475"/>
      <c r="K1133" s="483" t="s">
        <v>5202</v>
      </c>
      <c r="L1133" s="474" t="s">
        <v>2903</v>
      </c>
      <c r="M1133" s="475">
        <v>44665</v>
      </c>
      <c r="N1133" s="475">
        <v>44693</v>
      </c>
      <c r="O1133" s="475"/>
      <c r="P1133" s="475"/>
      <c r="Q1133" s="475"/>
      <c r="R1133" s="475"/>
      <c r="S1133" s="474" t="s">
        <v>2904</v>
      </c>
      <c r="T1133" s="474">
        <v>72</v>
      </c>
      <c r="U1133" s="474" t="s">
        <v>1109</v>
      </c>
      <c r="V1133" s="474" t="s">
        <v>1070</v>
      </c>
      <c r="W1133" s="474">
        <v>480</v>
      </c>
      <c r="X1133" s="476">
        <v>1160</v>
      </c>
      <c r="Y1133" s="491">
        <f>X1133*W1133</f>
        <v>556800</v>
      </c>
      <c r="Z1133" s="478">
        <v>0.55000000000000004</v>
      </c>
      <c r="AA1133" s="492">
        <f t="shared" si="219"/>
        <v>306240</v>
      </c>
      <c r="AB1133" s="492"/>
      <c r="AC1133" s="446">
        <v>0</v>
      </c>
      <c r="AD1133" s="490"/>
      <c r="AE1133" s="482"/>
      <c r="AF1133" s="580">
        <f t="shared" si="220"/>
        <v>306240</v>
      </c>
      <c r="AG1133" s="474" t="s">
        <v>1071</v>
      </c>
      <c r="AH1133" s="474">
        <v>10</v>
      </c>
      <c r="AI1133" s="474">
        <v>60</v>
      </c>
      <c r="AJ1133" s="475" t="s">
        <v>2506</v>
      </c>
      <c r="AK1133" s="483" t="s">
        <v>1084</v>
      </c>
      <c r="AL1133" s="483" t="s">
        <v>2908</v>
      </c>
      <c r="AM1133" s="474" t="s">
        <v>52</v>
      </c>
      <c r="AN1133" s="474" t="s">
        <v>2538</v>
      </c>
      <c r="AO1133" s="474"/>
      <c r="AP1133" s="482"/>
      <c r="AQ1133" s="482" t="s">
        <v>37</v>
      </c>
      <c r="AR1133" s="439"/>
      <c r="AS1133" s="436" t="s">
        <v>1076</v>
      </c>
      <c r="AT1133" s="436" t="s">
        <v>1076</v>
      </c>
      <c r="AU1133" s="478"/>
      <c r="AV1133" s="471" t="str">
        <f t="shared" si="222"/>
        <v>TBD</v>
      </c>
      <c r="AW1133" s="471" cm="1">
        <f t="array" ref="AW1133">SUM(MID(0&amp;AV1133,LARGE(INDEX(ISNUMBER(--MID(AV1133,ROW($1:$8),1))*ROW($1:$8),),ROW($1:$8))+1,1)*10^ROW($1:$8)/10)</f>
        <v>0</v>
      </c>
      <c r="AX1133" s="471" t="e">
        <f>VLOOKUP($AW1133,'Item Master Data'!$A:$F,3,FALSE)</f>
        <v>#N/A</v>
      </c>
      <c r="AY1133" s="471" t="e">
        <f>VLOOKUP($AW1133,'Item Master Data'!$A:$F,6,FALSE)</f>
        <v>#N/A</v>
      </c>
      <c r="AZ1133" s="471" t="e">
        <f t="shared" si="223"/>
        <v>#N/A</v>
      </c>
      <c r="BA1133" s="471" t="e">
        <f>VLOOKUP(AW1133,'Item Master Data'!$A:$G,7,FALSE)</f>
        <v>#N/A</v>
      </c>
      <c r="BB1133" s="471"/>
      <c r="BC1133" s="471" t="e">
        <f t="shared" si="224"/>
        <v>#N/A</v>
      </c>
    </row>
    <row r="1134" spans="1:55">
      <c r="A1134" s="472"/>
      <c r="B1134" s="467">
        <v>44650</v>
      </c>
      <c r="C1134" s="467">
        <v>44650</v>
      </c>
      <c r="D1134" s="474" t="s">
        <v>2901</v>
      </c>
      <c r="E1134" s="445" t="s">
        <v>2926</v>
      </c>
      <c r="F1134" s="474" t="s">
        <v>1147</v>
      </c>
      <c r="G1134" s="474">
        <v>2022</v>
      </c>
      <c r="H1134" s="474">
        <v>5</v>
      </c>
      <c r="I1134" s="474"/>
      <c r="J1134" s="556"/>
      <c r="K1134" s="483" t="s">
        <v>2929</v>
      </c>
      <c r="L1134" s="474" t="s">
        <v>2916</v>
      </c>
      <c r="M1134" s="475">
        <v>44498</v>
      </c>
      <c r="N1134" s="475">
        <v>44594</v>
      </c>
      <c r="O1134" s="475">
        <v>44652</v>
      </c>
      <c r="P1134" s="475"/>
      <c r="Q1134" s="475"/>
      <c r="R1134" s="475"/>
      <c r="S1134" s="474" t="s">
        <v>2904</v>
      </c>
      <c r="T1134" s="474">
        <v>60</v>
      </c>
      <c r="U1134" s="474">
        <v>49405140</v>
      </c>
      <c r="V1134" s="474" t="s">
        <v>973</v>
      </c>
      <c r="W1134" s="474">
        <v>400</v>
      </c>
      <c r="X1134" s="476">
        <v>3840</v>
      </c>
      <c r="Y1134" s="491">
        <f>X1134*W1134</f>
        <v>1536000</v>
      </c>
      <c r="Z1134" s="478">
        <v>0.55000000000000004</v>
      </c>
      <c r="AA1134" s="492">
        <f t="shared" si="219"/>
        <v>844800.00000000012</v>
      </c>
      <c r="AB1134" s="492"/>
      <c r="AC1134" s="446">
        <v>0</v>
      </c>
      <c r="AD1134" s="490"/>
      <c r="AE1134" s="482"/>
      <c r="AF1134" s="580">
        <f t="shared" si="220"/>
        <v>844800.00000000012</v>
      </c>
      <c r="AG1134" s="474" t="s">
        <v>1071</v>
      </c>
      <c r="AH1134" s="474"/>
      <c r="AI1134" s="474">
        <v>60</v>
      </c>
      <c r="AJ1134" s="475" t="s">
        <v>2922</v>
      </c>
      <c r="AK1134" s="483" t="s">
        <v>2406</v>
      </c>
      <c r="AL1134" s="483" t="s">
        <v>2923</v>
      </c>
      <c r="AM1134" s="474" t="s">
        <v>52</v>
      </c>
      <c r="AN1134" s="474" t="s">
        <v>1074</v>
      </c>
      <c r="AO1134" s="474"/>
      <c r="AP1134" s="482"/>
      <c r="AQ1134" s="482" t="s">
        <v>37</v>
      </c>
      <c r="AR1134" s="439" t="s">
        <v>1248</v>
      </c>
      <c r="AS1134" s="436" t="s">
        <v>1076</v>
      </c>
      <c r="AT1134" s="436" t="s">
        <v>1076</v>
      </c>
      <c r="AU1134" s="478">
        <v>0.47499999999999998</v>
      </c>
      <c r="AV1134" s="471">
        <f t="shared" si="222"/>
        <v>49405140</v>
      </c>
      <c r="AW1134" s="471" cm="1">
        <f t="array" ref="AW1134">SUM(MID(0&amp;AV1134,LARGE(INDEX(ISNUMBER(--MID(AV1134,ROW($1:$8),1))*ROW($1:$8),),ROW($1:$8))+1,1)*10^ROW($1:$8)/10)</f>
        <v>49405140</v>
      </c>
      <c r="AX1134" s="471" t="str">
        <f>VLOOKUP($AW1134,'Item Master Data'!$A:$F,3,FALSE)</f>
        <v>Q.PEAK DUO BLK ML G10+</v>
      </c>
      <c r="AY1134" s="471">
        <f>VLOOKUP($AW1134,'Item Master Data'!$A:$F,6,FALSE)</f>
        <v>400</v>
      </c>
      <c r="AZ1134" s="471">
        <f t="shared" si="223"/>
        <v>120</v>
      </c>
      <c r="BA1134" s="471">
        <f>VLOOKUP(AW1134,'Item Master Data'!$A:$G,7,FALSE)</f>
        <v>32</v>
      </c>
      <c r="BB1134" s="471"/>
      <c r="BC1134" s="471">
        <f t="shared" si="224"/>
        <v>0</v>
      </c>
    </row>
    <row r="1135" spans="1:55">
      <c r="A1135" s="472"/>
      <c r="B1135" s="467"/>
      <c r="C1135" s="467">
        <v>44669</v>
      </c>
      <c r="D1135" s="474" t="s">
        <v>2901</v>
      </c>
      <c r="E1135" s="445" t="s">
        <v>5203</v>
      </c>
      <c r="F1135" s="469" t="s">
        <v>1147</v>
      </c>
      <c r="G1135" s="474">
        <v>2022</v>
      </c>
      <c r="H1135" s="474">
        <v>5</v>
      </c>
      <c r="I1135" s="474"/>
      <c r="J1135" s="475"/>
      <c r="K1135" s="474" t="s">
        <v>5204</v>
      </c>
      <c r="L1135" s="474" t="s">
        <v>2916</v>
      </c>
      <c r="M1135" s="475">
        <v>44669</v>
      </c>
      <c r="N1135" s="475">
        <v>44669</v>
      </c>
      <c r="O1135" s="475"/>
      <c r="P1135" s="475"/>
      <c r="Q1135" s="475"/>
      <c r="R1135" s="475"/>
      <c r="S1135" s="474" t="s">
        <v>2904</v>
      </c>
      <c r="T1135" s="474">
        <v>72</v>
      </c>
      <c r="U1135" s="474" t="s">
        <v>1109</v>
      </c>
      <c r="V1135" s="474" t="s">
        <v>1002</v>
      </c>
      <c r="W1135" s="474">
        <v>480</v>
      </c>
      <c r="X1135" s="432">
        <v>638</v>
      </c>
      <c r="Y1135" s="491">
        <f>W1135*X1135</f>
        <v>306240</v>
      </c>
      <c r="Z1135" s="478">
        <v>0.55000000000000004</v>
      </c>
      <c r="AA1135" s="492">
        <f t="shared" si="219"/>
        <v>168432</v>
      </c>
      <c r="AB1135" s="492"/>
      <c r="AC1135" s="446">
        <v>0</v>
      </c>
      <c r="AD1135" s="490"/>
      <c r="AE1135" s="437"/>
      <c r="AF1135" s="580">
        <f t="shared" si="220"/>
        <v>168432</v>
      </c>
      <c r="AG1135" s="474" t="s">
        <v>1071</v>
      </c>
      <c r="AH1135" s="438"/>
      <c r="AI1135" s="474">
        <v>60</v>
      </c>
      <c r="AJ1135" s="484" t="s">
        <v>2922</v>
      </c>
      <c r="AK1135" s="474" t="s">
        <v>2406</v>
      </c>
      <c r="AL1135" s="483" t="s">
        <v>2923</v>
      </c>
      <c r="AM1135" s="474" t="s">
        <v>52</v>
      </c>
      <c r="AN1135" s="474" t="s">
        <v>1074</v>
      </c>
      <c r="AO1135" s="474"/>
      <c r="AP1135" s="486"/>
      <c r="AQ1135" s="439" t="s">
        <v>37</v>
      </c>
      <c r="AR1135" s="439" t="s">
        <v>1248</v>
      </c>
      <c r="AS1135" s="473" t="s">
        <v>1076</v>
      </c>
      <c r="AT1135" s="473" t="s">
        <v>1076</v>
      </c>
      <c r="AU1135" s="478">
        <v>0.47499999999999998</v>
      </c>
      <c r="AV1135" s="471" t="str">
        <f t="shared" si="222"/>
        <v>TBD</v>
      </c>
      <c r="AW1135" s="471" cm="1">
        <f t="array" ref="AW1135">SUM(MID(0&amp;AV1135,LARGE(INDEX(ISNUMBER(--MID(AV1135,ROW($1:$8),1))*ROW($1:$8),),ROW($1:$8))+1,1)*10^ROW($1:$8)/10)</f>
        <v>0</v>
      </c>
      <c r="AX1135" s="471" t="e">
        <f>VLOOKUP($AW1135,'Item Master Data'!$A:$F,3,FALSE)</f>
        <v>#N/A</v>
      </c>
      <c r="AY1135" s="471" t="e">
        <f>VLOOKUP($AW1135,'Item Master Data'!$A:$F,6,FALSE)</f>
        <v>#N/A</v>
      </c>
      <c r="AZ1135" s="471" t="e">
        <f t="shared" si="223"/>
        <v>#N/A</v>
      </c>
      <c r="BA1135" s="471" t="e">
        <f>VLOOKUP(AW1135,'Item Master Data'!$A:$G,7,FALSE)</f>
        <v>#N/A</v>
      </c>
      <c r="BB1135" s="471"/>
      <c r="BC1135" s="471" t="e">
        <f t="shared" si="224"/>
        <v>#N/A</v>
      </c>
    </row>
    <row r="1136" spans="1:55">
      <c r="A1136" s="472"/>
      <c r="B1136" s="467"/>
      <c r="C1136" s="467"/>
      <c r="D1136" s="474" t="s">
        <v>2901</v>
      </c>
      <c r="E1136" s="445" t="s">
        <v>5205</v>
      </c>
      <c r="F1136" s="469" t="s">
        <v>1147</v>
      </c>
      <c r="G1136" s="474">
        <v>2022</v>
      </c>
      <c r="H1136" s="474">
        <v>5</v>
      </c>
      <c r="I1136" s="474"/>
      <c r="J1136" s="475"/>
      <c r="K1136" s="474" t="s">
        <v>5206</v>
      </c>
      <c r="L1136" s="474" t="s">
        <v>2916</v>
      </c>
      <c r="M1136" s="475">
        <v>44665</v>
      </c>
      <c r="N1136" s="475">
        <v>44669</v>
      </c>
      <c r="O1136" s="475"/>
      <c r="P1136" s="475"/>
      <c r="Q1136" s="475"/>
      <c r="R1136" s="475"/>
      <c r="S1136" s="474" t="s">
        <v>2904</v>
      </c>
      <c r="T1136" s="474">
        <v>72</v>
      </c>
      <c r="U1136" s="474" t="s">
        <v>1109</v>
      </c>
      <c r="V1136" s="474" t="s">
        <v>1070</v>
      </c>
      <c r="W1136" s="474">
        <v>480</v>
      </c>
      <c r="X1136" s="432">
        <v>2340</v>
      </c>
      <c r="Y1136" s="491">
        <f>W1136*X1136</f>
        <v>1123200</v>
      </c>
      <c r="Z1136" s="478">
        <v>0.55500000000000005</v>
      </c>
      <c r="AA1136" s="492">
        <f t="shared" si="219"/>
        <v>623376</v>
      </c>
      <c r="AB1136" s="492"/>
      <c r="AC1136" s="446">
        <v>0</v>
      </c>
      <c r="AD1136" s="490"/>
      <c r="AE1136" s="437"/>
      <c r="AF1136" s="580">
        <f t="shared" si="220"/>
        <v>623376</v>
      </c>
      <c r="AG1136" s="474" t="s">
        <v>1071</v>
      </c>
      <c r="AH1136" s="438"/>
      <c r="AI1136" s="474">
        <v>60</v>
      </c>
      <c r="AJ1136" s="484" t="s">
        <v>2922</v>
      </c>
      <c r="AK1136" s="474" t="s">
        <v>2406</v>
      </c>
      <c r="AL1136" s="483" t="s">
        <v>2923</v>
      </c>
      <c r="AM1136" s="474" t="s">
        <v>52</v>
      </c>
      <c r="AN1136" s="474" t="s">
        <v>1074</v>
      </c>
      <c r="AO1136" s="474"/>
      <c r="AP1136" s="486"/>
      <c r="AQ1136" s="439" t="s">
        <v>37</v>
      </c>
      <c r="AR1136" s="439" t="s">
        <v>1248</v>
      </c>
      <c r="AS1136" s="473" t="s">
        <v>1076</v>
      </c>
      <c r="AT1136" s="473" t="s">
        <v>1076</v>
      </c>
      <c r="AU1136" s="478">
        <v>0.47499999999999998</v>
      </c>
      <c r="AV1136" s="471" t="str">
        <f t="shared" si="222"/>
        <v>TBD</v>
      </c>
      <c r="AW1136" s="471" cm="1">
        <f t="array" ref="AW1136">SUM(MID(0&amp;AV1136,LARGE(INDEX(ISNUMBER(--MID(AV1136,ROW($1:$8),1))*ROW($1:$8),),ROW($1:$8))+1,1)*10^ROW($1:$8)/10)</f>
        <v>0</v>
      </c>
      <c r="AX1136" s="471" t="e">
        <f>VLOOKUP($AW1136,'Item Master Data'!$A:$F,3,FALSE)</f>
        <v>#N/A</v>
      </c>
      <c r="AY1136" s="471" t="e">
        <f>VLOOKUP($AW1136,'Item Master Data'!$A:$F,6,FALSE)</f>
        <v>#N/A</v>
      </c>
      <c r="AZ1136" s="471" t="e">
        <f t="shared" si="223"/>
        <v>#N/A</v>
      </c>
      <c r="BA1136" s="471" t="e">
        <f>VLOOKUP(AW1136,'Item Master Data'!$A:$G,7,FALSE)</f>
        <v>#N/A</v>
      </c>
      <c r="BB1136" s="471"/>
      <c r="BC1136" s="471" t="e">
        <f t="shared" si="224"/>
        <v>#N/A</v>
      </c>
    </row>
    <row r="1137" spans="1:55">
      <c r="A1137" s="472"/>
      <c r="B1137" s="467"/>
      <c r="C1137" s="467"/>
      <c r="D1137" s="474" t="s">
        <v>2901</v>
      </c>
      <c r="E1137" s="445" t="s">
        <v>5205</v>
      </c>
      <c r="F1137" s="469" t="s">
        <v>1147</v>
      </c>
      <c r="G1137" s="474">
        <v>2022</v>
      </c>
      <c r="H1137" s="474">
        <v>5</v>
      </c>
      <c r="I1137" s="474"/>
      <c r="J1137" s="475"/>
      <c r="K1137" s="474" t="s">
        <v>5207</v>
      </c>
      <c r="L1137" s="474" t="s">
        <v>2916</v>
      </c>
      <c r="M1137" s="475">
        <v>44665</v>
      </c>
      <c r="N1137" s="475">
        <v>44669</v>
      </c>
      <c r="O1137" s="475"/>
      <c r="P1137" s="475"/>
      <c r="Q1137" s="475"/>
      <c r="R1137" s="475"/>
      <c r="S1137" s="474" t="s">
        <v>2904</v>
      </c>
      <c r="T1137" s="474">
        <v>72</v>
      </c>
      <c r="U1137" s="474" t="s">
        <v>1109</v>
      </c>
      <c r="V1137" s="474" t="s">
        <v>1070</v>
      </c>
      <c r="W1137" s="474">
        <v>480</v>
      </c>
      <c r="X1137" s="432">
        <v>2220</v>
      </c>
      <c r="Y1137" s="491">
        <f>W1137*X1137</f>
        <v>1065600</v>
      </c>
      <c r="Z1137" s="478">
        <v>0.55500000000000005</v>
      </c>
      <c r="AA1137" s="492">
        <f t="shared" si="219"/>
        <v>591408</v>
      </c>
      <c r="AB1137" s="492"/>
      <c r="AC1137" s="446">
        <v>0</v>
      </c>
      <c r="AD1137" s="490"/>
      <c r="AE1137" s="437"/>
      <c r="AF1137" s="580">
        <f t="shared" si="220"/>
        <v>591408</v>
      </c>
      <c r="AG1137" s="474" t="s">
        <v>1071</v>
      </c>
      <c r="AH1137" s="438"/>
      <c r="AI1137" s="474">
        <v>60</v>
      </c>
      <c r="AJ1137" s="484" t="s">
        <v>2922</v>
      </c>
      <c r="AK1137" s="474" t="s">
        <v>2406</v>
      </c>
      <c r="AL1137" s="483" t="s">
        <v>2923</v>
      </c>
      <c r="AM1137" s="474" t="s">
        <v>52</v>
      </c>
      <c r="AN1137" s="474" t="s">
        <v>1074</v>
      </c>
      <c r="AO1137" s="474"/>
      <c r="AP1137" s="486"/>
      <c r="AQ1137" s="439" t="s">
        <v>37</v>
      </c>
      <c r="AR1137" s="439" t="s">
        <v>1248</v>
      </c>
      <c r="AS1137" s="473" t="s">
        <v>1076</v>
      </c>
      <c r="AT1137" s="473" t="s">
        <v>1076</v>
      </c>
      <c r="AU1137" s="478">
        <v>0.47499999999999998</v>
      </c>
      <c r="AV1137" s="471" t="str">
        <f t="shared" si="222"/>
        <v>TBD</v>
      </c>
      <c r="AW1137" s="471" cm="1">
        <f t="array" ref="AW1137">SUM(MID(0&amp;AV1137,LARGE(INDEX(ISNUMBER(--MID(AV1137,ROW($1:$8),1))*ROW($1:$8),),ROW($1:$8))+1,1)*10^ROW($1:$8)/10)</f>
        <v>0</v>
      </c>
      <c r="AX1137" s="471" t="e">
        <f>VLOOKUP($AW1137,'Item Master Data'!$A:$F,3,FALSE)</f>
        <v>#N/A</v>
      </c>
      <c r="AY1137" s="471" t="e">
        <f>VLOOKUP($AW1137,'Item Master Data'!$A:$F,6,FALSE)</f>
        <v>#N/A</v>
      </c>
      <c r="AZ1137" s="471" t="e">
        <f t="shared" si="223"/>
        <v>#N/A</v>
      </c>
      <c r="BA1137" s="471" t="e">
        <f>VLOOKUP(AW1137,'Item Master Data'!$A:$G,7,FALSE)</f>
        <v>#N/A</v>
      </c>
      <c r="BB1137" s="471"/>
      <c r="BC1137" s="471" t="e">
        <f t="shared" si="224"/>
        <v>#N/A</v>
      </c>
    </row>
    <row r="1138" spans="1:55">
      <c r="A1138" s="472"/>
      <c r="B1138" s="467"/>
      <c r="C1138" s="467"/>
      <c r="D1138" s="474" t="s">
        <v>2901</v>
      </c>
      <c r="E1138" s="445" t="s">
        <v>5205</v>
      </c>
      <c r="F1138" s="469" t="s">
        <v>1147</v>
      </c>
      <c r="G1138" s="474">
        <v>2022</v>
      </c>
      <c r="H1138" s="474">
        <v>5</v>
      </c>
      <c r="I1138" s="474"/>
      <c r="J1138" s="475"/>
      <c r="K1138" s="474" t="s">
        <v>5208</v>
      </c>
      <c r="L1138" s="474" t="s">
        <v>2916</v>
      </c>
      <c r="M1138" s="475">
        <v>44665</v>
      </c>
      <c r="N1138" s="475">
        <v>44669</v>
      </c>
      <c r="O1138" s="475"/>
      <c r="P1138" s="475"/>
      <c r="Q1138" s="475"/>
      <c r="R1138" s="475"/>
      <c r="S1138" s="474" t="s">
        <v>2904</v>
      </c>
      <c r="T1138" s="474">
        <v>72</v>
      </c>
      <c r="U1138" s="474" t="s">
        <v>1109</v>
      </c>
      <c r="V1138" s="474" t="s">
        <v>1070</v>
      </c>
      <c r="W1138" s="474">
        <v>480</v>
      </c>
      <c r="X1138" s="432">
        <v>1710</v>
      </c>
      <c r="Y1138" s="491">
        <f>W1138*X1138</f>
        <v>820800</v>
      </c>
      <c r="Z1138" s="478">
        <v>0.55500000000000005</v>
      </c>
      <c r="AA1138" s="492">
        <f t="shared" si="219"/>
        <v>455544.00000000006</v>
      </c>
      <c r="AB1138" s="492"/>
      <c r="AC1138" s="446">
        <v>0</v>
      </c>
      <c r="AD1138" s="490"/>
      <c r="AE1138" s="437"/>
      <c r="AF1138" s="580">
        <f t="shared" si="220"/>
        <v>455544.00000000006</v>
      </c>
      <c r="AG1138" s="474" t="s">
        <v>1071</v>
      </c>
      <c r="AH1138" s="438"/>
      <c r="AI1138" s="474">
        <v>60</v>
      </c>
      <c r="AJ1138" s="484" t="s">
        <v>2922</v>
      </c>
      <c r="AK1138" s="474" t="s">
        <v>2406</v>
      </c>
      <c r="AL1138" s="483" t="s">
        <v>2923</v>
      </c>
      <c r="AM1138" s="474" t="s">
        <v>52</v>
      </c>
      <c r="AN1138" s="474" t="s">
        <v>1074</v>
      </c>
      <c r="AO1138" s="474"/>
      <c r="AP1138" s="486"/>
      <c r="AQ1138" s="439" t="s">
        <v>37</v>
      </c>
      <c r="AR1138" s="439" t="s">
        <v>1248</v>
      </c>
      <c r="AS1138" s="473" t="s">
        <v>1076</v>
      </c>
      <c r="AT1138" s="473" t="s">
        <v>1076</v>
      </c>
      <c r="AU1138" s="478">
        <v>0.47499999999999998</v>
      </c>
      <c r="AV1138" s="471" t="str">
        <f t="shared" si="222"/>
        <v>TBD</v>
      </c>
      <c r="AW1138" s="471" cm="1">
        <f t="array" ref="AW1138">SUM(MID(0&amp;AV1138,LARGE(INDEX(ISNUMBER(--MID(AV1138,ROW($1:$8),1))*ROW($1:$8),),ROW($1:$8))+1,1)*10^ROW($1:$8)/10)</f>
        <v>0</v>
      </c>
      <c r="AX1138" s="471" t="e">
        <f>VLOOKUP($AW1138,'Item Master Data'!$A:$F,3,FALSE)</f>
        <v>#N/A</v>
      </c>
      <c r="AY1138" s="471" t="e">
        <f>VLOOKUP($AW1138,'Item Master Data'!$A:$F,6,FALSE)</f>
        <v>#N/A</v>
      </c>
      <c r="AZ1138" s="471" t="e">
        <f t="shared" si="223"/>
        <v>#N/A</v>
      </c>
      <c r="BA1138" s="471" t="e">
        <f>VLOOKUP(AW1138,'Item Master Data'!$A:$G,7,FALSE)</f>
        <v>#N/A</v>
      </c>
      <c r="BB1138" s="471"/>
      <c r="BC1138" s="471" t="e">
        <f t="shared" si="224"/>
        <v>#N/A</v>
      </c>
    </row>
    <row r="1139" spans="1:55">
      <c r="A1139" s="472"/>
      <c r="B1139" s="467">
        <v>44578</v>
      </c>
      <c r="C1139" s="467">
        <v>44579</v>
      </c>
      <c r="D1139" s="474" t="s">
        <v>2901</v>
      </c>
      <c r="E1139" s="445" t="s">
        <v>2942</v>
      </c>
      <c r="F1139" s="474" t="s">
        <v>1147</v>
      </c>
      <c r="G1139" s="474">
        <v>2022</v>
      </c>
      <c r="H1139" s="474">
        <v>5</v>
      </c>
      <c r="I1139" s="474"/>
      <c r="J1139" s="556"/>
      <c r="K1139" s="483" t="s">
        <v>2943</v>
      </c>
      <c r="L1139" s="474" t="s">
        <v>2933</v>
      </c>
      <c r="M1139" s="475">
        <v>44456</v>
      </c>
      <c r="N1139" s="475">
        <v>44536</v>
      </c>
      <c r="O1139" s="475">
        <v>44682</v>
      </c>
      <c r="P1139" s="475"/>
      <c r="Q1139" s="475"/>
      <c r="R1139" s="475"/>
      <c r="S1139" s="474" t="s">
        <v>2904</v>
      </c>
      <c r="T1139" s="474">
        <v>60</v>
      </c>
      <c r="U1139" s="474">
        <v>49405140</v>
      </c>
      <c r="V1139" s="474" t="s">
        <v>973</v>
      </c>
      <c r="W1139" s="474">
        <v>400</v>
      </c>
      <c r="X1139" s="476">
        <v>768</v>
      </c>
      <c r="Y1139" s="491">
        <f t="shared" ref="Y1139:Y1145" si="228">X1139*W1139</f>
        <v>307200</v>
      </c>
      <c r="Z1139" s="478">
        <v>0.55000000000000004</v>
      </c>
      <c r="AA1139" s="492">
        <f t="shared" si="219"/>
        <v>168960</v>
      </c>
      <c r="AB1139" s="492"/>
      <c r="AC1139" s="446">
        <v>0</v>
      </c>
      <c r="AD1139" s="490"/>
      <c r="AE1139" s="482"/>
      <c r="AF1139" s="580">
        <f t="shared" si="220"/>
        <v>168960</v>
      </c>
      <c r="AG1139" s="474" t="s">
        <v>1071</v>
      </c>
      <c r="AH1139" s="474"/>
      <c r="AI1139" s="474">
        <v>60</v>
      </c>
      <c r="AJ1139" s="475" t="s">
        <v>1135</v>
      </c>
      <c r="AK1139" s="483" t="s">
        <v>1084</v>
      </c>
      <c r="AL1139" s="483">
        <v>33064</v>
      </c>
      <c r="AM1139" s="474" t="s">
        <v>52</v>
      </c>
      <c r="AN1139" s="474" t="s">
        <v>1074</v>
      </c>
      <c r="AO1139" s="474"/>
      <c r="AP1139" s="482"/>
      <c r="AQ1139" s="482" t="s">
        <v>37</v>
      </c>
      <c r="AR1139" s="439" t="s">
        <v>1248</v>
      </c>
      <c r="AS1139" s="436" t="s">
        <v>1076</v>
      </c>
      <c r="AT1139" s="436" t="s">
        <v>1076</v>
      </c>
      <c r="AU1139" s="478">
        <v>0.47499999999999998</v>
      </c>
      <c r="AV1139" s="471">
        <f t="shared" si="222"/>
        <v>49405140</v>
      </c>
      <c r="AW1139" s="471" cm="1">
        <f t="array" ref="AW1139">SUM(MID(0&amp;AV1139,LARGE(INDEX(ISNUMBER(--MID(AV1139,ROW($1:$8),1))*ROW($1:$8),),ROW($1:$8))+1,1)*10^ROW($1:$8)/10)</f>
        <v>49405140</v>
      </c>
      <c r="AX1139" s="471" t="str">
        <f>VLOOKUP($AW1139,'Item Master Data'!$A:$F,3,FALSE)</f>
        <v>Q.PEAK DUO BLK ML G10+</v>
      </c>
      <c r="AY1139" s="471">
        <f>VLOOKUP($AW1139,'Item Master Data'!$A:$F,6,FALSE)</f>
        <v>400</v>
      </c>
      <c r="AZ1139" s="471">
        <f t="shared" si="223"/>
        <v>24</v>
      </c>
      <c r="BA1139" s="471">
        <f>VLOOKUP(AW1139,'Item Master Data'!$A:$G,7,FALSE)</f>
        <v>32</v>
      </c>
      <c r="BB1139" s="471"/>
      <c r="BC1139" s="471">
        <f t="shared" si="224"/>
        <v>0</v>
      </c>
    </row>
    <row r="1140" spans="1:55">
      <c r="A1140" s="472"/>
      <c r="B1140" s="467">
        <v>44635</v>
      </c>
      <c r="C1140" s="467">
        <v>44636</v>
      </c>
      <c r="D1140" s="474" t="s">
        <v>2901</v>
      </c>
      <c r="E1140" s="445" t="s">
        <v>2935</v>
      </c>
      <c r="F1140" s="474" t="s">
        <v>1147</v>
      </c>
      <c r="G1140" s="474">
        <v>2022</v>
      </c>
      <c r="H1140" s="474">
        <v>5</v>
      </c>
      <c r="I1140" s="474"/>
      <c r="J1140" s="556"/>
      <c r="K1140" s="483" t="s">
        <v>2955</v>
      </c>
      <c r="L1140" s="474" t="s">
        <v>2947</v>
      </c>
      <c r="M1140" s="475">
        <v>44497</v>
      </c>
      <c r="N1140" s="475">
        <v>44652</v>
      </c>
      <c r="O1140" s="475"/>
      <c r="P1140" s="475"/>
      <c r="Q1140" s="475"/>
      <c r="R1140" s="475"/>
      <c r="S1140" s="474" t="s">
        <v>2904</v>
      </c>
      <c r="T1140" s="474">
        <v>60</v>
      </c>
      <c r="U1140" s="474">
        <v>49201132</v>
      </c>
      <c r="V1140" s="474" t="s">
        <v>986</v>
      </c>
      <c r="W1140" s="474">
        <v>360</v>
      </c>
      <c r="X1140" s="476">
        <v>1664</v>
      </c>
      <c r="Y1140" s="491">
        <f t="shared" si="228"/>
        <v>599040</v>
      </c>
      <c r="Z1140" s="478">
        <v>0.53</v>
      </c>
      <c r="AA1140" s="492">
        <f t="shared" si="219"/>
        <v>317491.20000000001</v>
      </c>
      <c r="AB1140" s="492"/>
      <c r="AC1140" s="446">
        <v>0</v>
      </c>
      <c r="AD1140" s="490"/>
      <c r="AE1140" s="482"/>
      <c r="AF1140" s="580">
        <f t="shared" si="220"/>
        <v>317491.20000000001</v>
      </c>
      <c r="AG1140" s="474" t="s">
        <v>1071</v>
      </c>
      <c r="AH1140" s="474"/>
      <c r="AI1140" s="474">
        <v>60</v>
      </c>
      <c r="AJ1140" s="475" t="s">
        <v>2277</v>
      </c>
      <c r="AK1140" s="483" t="s">
        <v>1084</v>
      </c>
      <c r="AL1140" s="483">
        <v>32809</v>
      </c>
      <c r="AM1140" s="474" t="s">
        <v>52</v>
      </c>
      <c r="AN1140" s="474" t="s">
        <v>1074</v>
      </c>
      <c r="AO1140" s="474"/>
      <c r="AP1140" s="482"/>
      <c r="AQ1140" s="482" t="s">
        <v>37</v>
      </c>
      <c r="AR1140" s="439" t="s">
        <v>2953</v>
      </c>
      <c r="AS1140" s="436" t="s">
        <v>1076</v>
      </c>
      <c r="AT1140" s="436" t="s">
        <v>1076</v>
      </c>
      <c r="AU1140" s="478">
        <v>0.5</v>
      </c>
      <c r="AV1140" s="471">
        <f t="shared" si="222"/>
        <v>49201132</v>
      </c>
      <c r="AW1140" s="471" cm="1">
        <f t="array" ref="AW1140">SUM(MID(0&amp;AV1140,LARGE(INDEX(ISNUMBER(--MID(AV1140,ROW($1:$8),1))*ROW($1:$8),),ROW($1:$8))+1,1)*10^ROW($1:$8)/10)</f>
        <v>49201132</v>
      </c>
      <c r="AX1140" s="471" t="str">
        <f>VLOOKUP($AW1140,'Item Master Data'!$A:$F,3,FALSE)</f>
        <v>Q.PEAK DUO BLK G10+</v>
      </c>
      <c r="AY1140" s="471">
        <f>VLOOKUP($AW1140,'Item Master Data'!$A:$F,6,FALSE)</f>
        <v>360</v>
      </c>
      <c r="AZ1140" s="471">
        <f t="shared" si="223"/>
        <v>52</v>
      </c>
      <c r="BA1140" s="471">
        <f>VLOOKUP(AW1140,'Item Master Data'!$A:$G,7,FALSE)</f>
        <v>32</v>
      </c>
      <c r="BB1140" s="471"/>
      <c r="BC1140" s="471">
        <f t="shared" si="224"/>
        <v>0</v>
      </c>
    </row>
    <row r="1141" spans="1:55">
      <c r="A1141" s="472"/>
      <c r="B1141" s="467">
        <v>44629</v>
      </c>
      <c r="C1141" s="467">
        <v>44629</v>
      </c>
      <c r="D1141" s="474" t="s">
        <v>2901</v>
      </c>
      <c r="E1141" s="445"/>
      <c r="F1141" s="474" t="s">
        <v>1147</v>
      </c>
      <c r="G1141" s="474">
        <v>2022</v>
      </c>
      <c r="H1141" s="474">
        <v>5</v>
      </c>
      <c r="I1141" s="474"/>
      <c r="J1141" s="556"/>
      <c r="K1141" s="483" t="s">
        <v>2956</v>
      </c>
      <c r="L1141" s="474" t="s">
        <v>2947</v>
      </c>
      <c r="M1141" s="475">
        <v>44519</v>
      </c>
      <c r="N1141" s="475">
        <v>44563</v>
      </c>
      <c r="O1141" s="475"/>
      <c r="P1141" s="475"/>
      <c r="Q1141" s="475"/>
      <c r="R1141" s="475"/>
      <c r="S1141" s="474" t="s">
        <v>2904</v>
      </c>
      <c r="T1141" s="474">
        <v>60</v>
      </c>
      <c r="U1141" s="474">
        <v>49405140</v>
      </c>
      <c r="V1141" s="474" t="s">
        <v>973</v>
      </c>
      <c r="W1141" s="474">
        <v>400</v>
      </c>
      <c r="X1141" s="476">
        <v>1664</v>
      </c>
      <c r="Y1141" s="491">
        <f t="shared" si="228"/>
        <v>665600</v>
      </c>
      <c r="Z1141" s="478">
        <v>0.55000000000000004</v>
      </c>
      <c r="AA1141" s="492">
        <f t="shared" si="219"/>
        <v>366080.00000000006</v>
      </c>
      <c r="AB1141" s="492"/>
      <c r="AC1141" s="446">
        <v>0</v>
      </c>
      <c r="AD1141" s="490"/>
      <c r="AE1141" s="482"/>
      <c r="AF1141" s="580">
        <f t="shared" si="220"/>
        <v>366080.00000000006</v>
      </c>
      <c r="AG1141" s="474" t="s">
        <v>1071</v>
      </c>
      <c r="AH1141" s="474"/>
      <c r="AI1141" s="474">
        <v>60</v>
      </c>
      <c r="AJ1141" s="475" t="s">
        <v>2277</v>
      </c>
      <c r="AK1141" s="483" t="s">
        <v>1084</v>
      </c>
      <c r="AL1141" s="483" t="s">
        <v>2948</v>
      </c>
      <c r="AM1141" s="474" t="s">
        <v>52</v>
      </c>
      <c r="AN1141" s="474" t="s">
        <v>1074</v>
      </c>
      <c r="AO1141" s="474"/>
      <c r="AP1141" s="482"/>
      <c r="AQ1141" s="482" t="s">
        <v>37</v>
      </c>
      <c r="AR1141" s="439" t="s">
        <v>1248</v>
      </c>
      <c r="AS1141" s="436" t="s">
        <v>1087</v>
      </c>
      <c r="AT1141" s="436" t="s">
        <v>1076</v>
      </c>
      <c r="AU1141" s="478">
        <v>0.47499999999999998</v>
      </c>
      <c r="AV1141" s="471">
        <f t="shared" si="222"/>
        <v>49405140</v>
      </c>
      <c r="AW1141" s="471" cm="1">
        <f t="array" ref="AW1141">SUM(MID(0&amp;AV1141,LARGE(INDEX(ISNUMBER(--MID(AV1141,ROW($1:$8),1))*ROW($1:$8),),ROW($1:$8))+1,1)*10^ROW($1:$8)/10)</f>
        <v>49405140</v>
      </c>
      <c r="AX1141" s="471" t="str">
        <f>VLOOKUP($AW1141,'Item Master Data'!$A:$F,3,FALSE)</f>
        <v>Q.PEAK DUO BLK ML G10+</v>
      </c>
      <c r="AY1141" s="471">
        <f>VLOOKUP($AW1141,'Item Master Data'!$A:$F,6,FALSE)</f>
        <v>400</v>
      </c>
      <c r="AZ1141" s="471">
        <f t="shared" si="223"/>
        <v>52</v>
      </c>
      <c r="BA1141" s="471">
        <f>VLOOKUP(AW1141,'Item Master Data'!$A:$G,7,FALSE)</f>
        <v>32</v>
      </c>
      <c r="BB1141" s="471"/>
      <c r="BC1141" s="471">
        <f t="shared" si="224"/>
        <v>0</v>
      </c>
    </row>
    <row r="1142" spans="1:55">
      <c r="A1142" s="472"/>
      <c r="B1142" s="467">
        <v>44629</v>
      </c>
      <c r="C1142" s="467">
        <v>44629</v>
      </c>
      <c r="D1142" s="474" t="s">
        <v>2901</v>
      </c>
      <c r="E1142" s="445"/>
      <c r="F1142" s="474" t="s">
        <v>1147</v>
      </c>
      <c r="G1142" s="474">
        <v>2022</v>
      </c>
      <c r="H1142" s="474">
        <v>5</v>
      </c>
      <c r="I1142" s="474"/>
      <c r="J1142" s="556"/>
      <c r="K1142" s="483" t="s">
        <v>2957</v>
      </c>
      <c r="L1142" s="474" t="s">
        <v>2947</v>
      </c>
      <c r="M1142" s="475">
        <v>44519</v>
      </c>
      <c r="N1142" s="475">
        <v>44593</v>
      </c>
      <c r="O1142" s="475"/>
      <c r="P1142" s="475"/>
      <c r="Q1142" s="475"/>
      <c r="R1142" s="475"/>
      <c r="S1142" s="474" t="s">
        <v>2904</v>
      </c>
      <c r="T1142" s="474">
        <v>60</v>
      </c>
      <c r="U1142" s="474">
        <v>49405140</v>
      </c>
      <c r="V1142" s="474" t="s">
        <v>973</v>
      </c>
      <c r="W1142" s="474">
        <v>400</v>
      </c>
      <c r="X1142" s="476">
        <v>1664</v>
      </c>
      <c r="Y1142" s="491">
        <f t="shared" si="228"/>
        <v>665600</v>
      </c>
      <c r="Z1142" s="478">
        <v>0.55000000000000004</v>
      </c>
      <c r="AA1142" s="492">
        <f t="shared" si="219"/>
        <v>366080.00000000006</v>
      </c>
      <c r="AB1142" s="492"/>
      <c r="AC1142" s="446">
        <v>0</v>
      </c>
      <c r="AD1142" s="490"/>
      <c r="AE1142" s="482"/>
      <c r="AF1142" s="580">
        <f t="shared" si="220"/>
        <v>366080.00000000006</v>
      </c>
      <c r="AG1142" s="474" t="s">
        <v>1071</v>
      </c>
      <c r="AH1142" s="474"/>
      <c r="AI1142" s="474">
        <v>60</v>
      </c>
      <c r="AJ1142" s="475" t="s">
        <v>2277</v>
      </c>
      <c r="AK1142" s="483" t="s">
        <v>1084</v>
      </c>
      <c r="AL1142" s="483" t="s">
        <v>2948</v>
      </c>
      <c r="AM1142" s="474" t="s">
        <v>52</v>
      </c>
      <c r="AN1142" s="474" t="s">
        <v>1074</v>
      </c>
      <c r="AO1142" s="474"/>
      <c r="AP1142" s="482"/>
      <c r="AQ1142" s="482" t="s">
        <v>37</v>
      </c>
      <c r="AR1142" s="439" t="s">
        <v>1248</v>
      </c>
      <c r="AS1142" s="436" t="s">
        <v>1087</v>
      </c>
      <c r="AT1142" s="436" t="s">
        <v>1076</v>
      </c>
      <c r="AU1142" s="478">
        <v>0.47499999999999998</v>
      </c>
      <c r="AV1142" s="471">
        <f t="shared" si="222"/>
        <v>49405140</v>
      </c>
      <c r="AW1142" s="471" cm="1">
        <f t="array" ref="AW1142">SUM(MID(0&amp;AV1142,LARGE(INDEX(ISNUMBER(--MID(AV1142,ROW($1:$8),1))*ROW($1:$8),),ROW($1:$8))+1,1)*10^ROW($1:$8)/10)</f>
        <v>49405140</v>
      </c>
      <c r="AX1142" s="471" t="str">
        <f>VLOOKUP($AW1142,'Item Master Data'!$A:$F,3,FALSE)</f>
        <v>Q.PEAK DUO BLK ML G10+</v>
      </c>
      <c r="AY1142" s="471">
        <f>VLOOKUP($AW1142,'Item Master Data'!$A:$F,6,FALSE)</f>
        <v>400</v>
      </c>
      <c r="AZ1142" s="471">
        <f t="shared" si="223"/>
        <v>52</v>
      </c>
      <c r="BA1142" s="471">
        <f>VLOOKUP(AW1142,'Item Master Data'!$A:$G,7,FALSE)</f>
        <v>32</v>
      </c>
      <c r="BB1142" s="471"/>
      <c r="BC1142" s="471">
        <f t="shared" si="224"/>
        <v>0</v>
      </c>
    </row>
    <row r="1143" spans="1:55">
      <c r="A1143" s="472"/>
      <c r="B1143" s="467">
        <v>44629</v>
      </c>
      <c r="C1143" s="467">
        <v>44629</v>
      </c>
      <c r="D1143" s="474" t="s">
        <v>2901</v>
      </c>
      <c r="E1143" s="445"/>
      <c r="F1143" s="474" t="s">
        <v>1147</v>
      </c>
      <c r="G1143" s="474">
        <v>2022</v>
      </c>
      <c r="H1143" s="474">
        <v>5</v>
      </c>
      <c r="I1143" s="474"/>
      <c r="J1143" s="556"/>
      <c r="K1143" s="483" t="s">
        <v>2958</v>
      </c>
      <c r="L1143" s="474" t="s">
        <v>2947</v>
      </c>
      <c r="M1143" s="475">
        <v>44519</v>
      </c>
      <c r="N1143" s="475">
        <v>44621</v>
      </c>
      <c r="O1143" s="475"/>
      <c r="P1143" s="475"/>
      <c r="Q1143" s="475"/>
      <c r="R1143" s="475"/>
      <c r="S1143" s="474" t="s">
        <v>2904</v>
      </c>
      <c r="T1143" s="474">
        <v>60</v>
      </c>
      <c r="U1143" s="474">
        <v>49405140</v>
      </c>
      <c r="V1143" s="474" t="s">
        <v>973</v>
      </c>
      <c r="W1143" s="474">
        <v>400</v>
      </c>
      <c r="X1143" s="476">
        <v>1664</v>
      </c>
      <c r="Y1143" s="491">
        <f t="shared" si="228"/>
        <v>665600</v>
      </c>
      <c r="Z1143" s="478">
        <v>0.55000000000000004</v>
      </c>
      <c r="AA1143" s="492">
        <f t="shared" si="219"/>
        <v>366080.00000000006</v>
      </c>
      <c r="AB1143" s="492"/>
      <c r="AC1143" s="446">
        <v>0</v>
      </c>
      <c r="AD1143" s="490"/>
      <c r="AE1143" s="482"/>
      <c r="AF1143" s="580">
        <f t="shared" si="220"/>
        <v>366080.00000000006</v>
      </c>
      <c r="AG1143" s="474" t="s">
        <v>1071</v>
      </c>
      <c r="AH1143" s="474"/>
      <c r="AI1143" s="474">
        <v>60</v>
      </c>
      <c r="AJ1143" s="475" t="s">
        <v>2277</v>
      </c>
      <c r="AK1143" s="483" t="s">
        <v>1084</v>
      </c>
      <c r="AL1143" s="483" t="s">
        <v>2948</v>
      </c>
      <c r="AM1143" s="474" t="s">
        <v>52</v>
      </c>
      <c r="AN1143" s="474" t="s">
        <v>1074</v>
      </c>
      <c r="AO1143" s="474"/>
      <c r="AP1143" s="482"/>
      <c r="AQ1143" s="482" t="s">
        <v>37</v>
      </c>
      <c r="AR1143" s="439" t="s">
        <v>1248</v>
      </c>
      <c r="AS1143" s="436" t="s">
        <v>1087</v>
      </c>
      <c r="AT1143" s="436" t="s">
        <v>1076</v>
      </c>
      <c r="AU1143" s="478">
        <v>0.47499999999999998</v>
      </c>
      <c r="AV1143" s="471">
        <f t="shared" si="222"/>
        <v>49405140</v>
      </c>
      <c r="AW1143" s="471" cm="1">
        <f t="array" ref="AW1143">SUM(MID(0&amp;AV1143,LARGE(INDEX(ISNUMBER(--MID(AV1143,ROW($1:$8),1))*ROW($1:$8),),ROW($1:$8))+1,1)*10^ROW($1:$8)/10)</f>
        <v>49405140</v>
      </c>
      <c r="AX1143" s="471" t="str">
        <f>VLOOKUP($AW1143,'Item Master Data'!$A:$F,3,FALSE)</f>
        <v>Q.PEAK DUO BLK ML G10+</v>
      </c>
      <c r="AY1143" s="471">
        <f>VLOOKUP($AW1143,'Item Master Data'!$A:$F,6,FALSE)</f>
        <v>400</v>
      </c>
      <c r="AZ1143" s="471">
        <f t="shared" si="223"/>
        <v>52</v>
      </c>
      <c r="BA1143" s="471">
        <f>VLOOKUP(AW1143,'Item Master Data'!$A:$G,7,FALSE)</f>
        <v>32</v>
      </c>
      <c r="BB1143" s="471"/>
      <c r="BC1143" s="471">
        <f t="shared" si="224"/>
        <v>0</v>
      </c>
    </row>
    <row r="1144" spans="1:55">
      <c r="A1144" s="472"/>
      <c r="B1144" s="467">
        <v>44629</v>
      </c>
      <c r="C1144" s="467">
        <v>44629</v>
      </c>
      <c r="D1144" s="474" t="s">
        <v>2901</v>
      </c>
      <c r="E1144" s="445"/>
      <c r="F1144" s="474" t="s">
        <v>1147</v>
      </c>
      <c r="G1144" s="474">
        <v>2022</v>
      </c>
      <c r="H1144" s="474">
        <v>5</v>
      </c>
      <c r="I1144" s="474"/>
      <c r="J1144" s="556"/>
      <c r="K1144" s="483" t="s">
        <v>2959</v>
      </c>
      <c r="L1144" s="474" t="s">
        <v>2947</v>
      </c>
      <c r="M1144" s="475">
        <v>44519</v>
      </c>
      <c r="N1144" s="475">
        <v>44652</v>
      </c>
      <c r="O1144" s="475"/>
      <c r="P1144" s="475"/>
      <c r="Q1144" s="475"/>
      <c r="R1144" s="475"/>
      <c r="S1144" s="474" t="s">
        <v>2904</v>
      </c>
      <c r="T1144" s="474">
        <v>60</v>
      </c>
      <c r="U1144" s="474">
        <v>49405140</v>
      </c>
      <c r="V1144" s="474" t="s">
        <v>973</v>
      </c>
      <c r="W1144" s="474">
        <v>400</v>
      </c>
      <c r="X1144" s="476">
        <v>4928</v>
      </c>
      <c r="Y1144" s="491">
        <f t="shared" si="228"/>
        <v>1971200</v>
      </c>
      <c r="Z1144" s="478">
        <v>0.55000000000000004</v>
      </c>
      <c r="AA1144" s="492">
        <f t="shared" si="219"/>
        <v>1084160</v>
      </c>
      <c r="AB1144" s="492"/>
      <c r="AC1144" s="446">
        <v>0</v>
      </c>
      <c r="AD1144" s="490"/>
      <c r="AE1144" s="482"/>
      <c r="AF1144" s="580">
        <f t="shared" si="220"/>
        <v>1084160</v>
      </c>
      <c r="AG1144" s="474" t="s">
        <v>1071</v>
      </c>
      <c r="AH1144" s="474"/>
      <c r="AI1144" s="474">
        <v>60</v>
      </c>
      <c r="AJ1144" s="475" t="s">
        <v>2277</v>
      </c>
      <c r="AK1144" s="483" t="s">
        <v>1084</v>
      </c>
      <c r="AL1144" s="483" t="s">
        <v>2948</v>
      </c>
      <c r="AM1144" s="474" t="s">
        <v>52</v>
      </c>
      <c r="AN1144" s="474" t="s">
        <v>1074</v>
      </c>
      <c r="AO1144" s="474"/>
      <c r="AP1144" s="482"/>
      <c r="AQ1144" s="482" t="s">
        <v>37</v>
      </c>
      <c r="AR1144" s="439" t="s">
        <v>1248</v>
      </c>
      <c r="AS1144" s="436" t="s">
        <v>1087</v>
      </c>
      <c r="AT1144" s="436" t="s">
        <v>1076</v>
      </c>
      <c r="AU1144" s="478">
        <v>0.47499999999999998</v>
      </c>
      <c r="AV1144" s="471">
        <f t="shared" si="222"/>
        <v>49405140</v>
      </c>
      <c r="AW1144" s="471" cm="1">
        <f t="array" ref="AW1144">SUM(MID(0&amp;AV1144,LARGE(INDEX(ISNUMBER(--MID(AV1144,ROW($1:$8),1))*ROW($1:$8),),ROW($1:$8))+1,1)*10^ROW($1:$8)/10)</f>
        <v>49405140</v>
      </c>
      <c r="AX1144" s="471" t="str">
        <f>VLOOKUP($AW1144,'Item Master Data'!$A:$F,3,FALSE)</f>
        <v>Q.PEAK DUO BLK ML G10+</v>
      </c>
      <c r="AY1144" s="471">
        <f>VLOOKUP($AW1144,'Item Master Data'!$A:$F,6,FALSE)</f>
        <v>400</v>
      </c>
      <c r="AZ1144" s="471">
        <f t="shared" si="223"/>
        <v>154</v>
      </c>
      <c r="BA1144" s="471">
        <f>VLOOKUP(AW1144,'Item Master Data'!$A:$G,7,FALSE)</f>
        <v>32</v>
      </c>
      <c r="BB1144" s="471"/>
      <c r="BC1144" s="471">
        <f t="shared" si="224"/>
        <v>0</v>
      </c>
    </row>
    <row r="1145" spans="1:55">
      <c r="A1145" s="472"/>
      <c r="B1145" s="467">
        <v>44629</v>
      </c>
      <c r="C1145" s="467">
        <v>44629</v>
      </c>
      <c r="D1145" s="474" t="s">
        <v>2901</v>
      </c>
      <c r="E1145" s="445"/>
      <c r="F1145" s="474" t="s">
        <v>1147</v>
      </c>
      <c r="G1145" s="474">
        <v>2022</v>
      </c>
      <c r="H1145" s="474">
        <v>5</v>
      </c>
      <c r="I1145" s="474"/>
      <c r="J1145" s="556"/>
      <c r="K1145" s="483" t="s">
        <v>2960</v>
      </c>
      <c r="L1145" s="474" t="s">
        <v>2947</v>
      </c>
      <c r="M1145" s="475">
        <v>44519</v>
      </c>
      <c r="N1145" s="475">
        <v>44682</v>
      </c>
      <c r="O1145" s="475"/>
      <c r="P1145" s="475"/>
      <c r="Q1145" s="475"/>
      <c r="R1145" s="475"/>
      <c r="S1145" s="474" t="s">
        <v>2904</v>
      </c>
      <c r="T1145" s="474">
        <v>60</v>
      </c>
      <c r="U1145" s="474">
        <v>49405140</v>
      </c>
      <c r="V1145" s="474" t="s">
        <v>973</v>
      </c>
      <c r="W1145" s="474">
        <v>400</v>
      </c>
      <c r="X1145" s="476">
        <v>1664</v>
      </c>
      <c r="Y1145" s="491">
        <f t="shared" si="228"/>
        <v>665600</v>
      </c>
      <c r="Z1145" s="478">
        <v>0.55000000000000004</v>
      </c>
      <c r="AA1145" s="492">
        <f t="shared" si="219"/>
        <v>366080.00000000006</v>
      </c>
      <c r="AB1145" s="492"/>
      <c r="AC1145" s="446">
        <v>0</v>
      </c>
      <c r="AD1145" s="490"/>
      <c r="AE1145" s="482"/>
      <c r="AF1145" s="580">
        <f t="shared" si="220"/>
        <v>366080.00000000006</v>
      </c>
      <c r="AG1145" s="474" t="s">
        <v>1071</v>
      </c>
      <c r="AH1145" s="474"/>
      <c r="AI1145" s="474">
        <v>60</v>
      </c>
      <c r="AJ1145" s="475" t="s">
        <v>2277</v>
      </c>
      <c r="AK1145" s="483" t="s">
        <v>1084</v>
      </c>
      <c r="AL1145" s="483" t="s">
        <v>2948</v>
      </c>
      <c r="AM1145" s="474" t="s">
        <v>52</v>
      </c>
      <c r="AN1145" s="474" t="s">
        <v>1074</v>
      </c>
      <c r="AO1145" s="474"/>
      <c r="AP1145" s="482"/>
      <c r="AQ1145" s="482" t="s">
        <v>37</v>
      </c>
      <c r="AR1145" s="439" t="s">
        <v>1248</v>
      </c>
      <c r="AS1145" s="436" t="s">
        <v>1087</v>
      </c>
      <c r="AT1145" s="436" t="s">
        <v>1076</v>
      </c>
      <c r="AU1145" s="478">
        <v>0.47499999999999998</v>
      </c>
      <c r="AV1145" s="471">
        <f t="shared" si="222"/>
        <v>49405140</v>
      </c>
      <c r="AW1145" s="471" cm="1">
        <f t="array" ref="AW1145">SUM(MID(0&amp;AV1145,LARGE(INDEX(ISNUMBER(--MID(AV1145,ROW($1:$8),1))*ROW($1:$8),),ROW($1:$8))+1,1)*10^ROW($1:$8)/10)</f>
        <v>49405140</v>
      </c>
      <c r="AX1145" s="471" t="str">
        <f>VLOOKUP($AW1145,'Item Master Data'!$A:$F,3,FALSE)</f>
        <v>Q.PEAK DUO BLK ML G10+</v>
      </c>
      <c r="AY1145" s="471">
        <f>VLOOKUP($AW1145,'Item Master Data'!$A:$F,6,FALSE)</f>
        <v>400</v>
      </c>
      <c r="AZ1145" s="471">
        <f t="shared" si="223"/>
        <v>52</v>
      </c>
      <c r="BA1145" s="471">
        <f>VLOOKUP(AW1145,'Item Master Data'!$A:$G,7,FALSE)</f>
        <v>32</v>
      </c>
      <c r="BB1145" s="471"/>
      <c r="BC1145" s="471">
        <f t="shared" si="224"/>
        <v>0</v>
      </c>
    </row>
    <row r="1146" spans="1:55">
      <c r="A1146" s="472"/>
      <c r="B1146" s="449">
        <v>44665</v>
      </c>
      <c r="C1146" s="449">
        <v>44666</v>
      </c>
      <c r="D1146" s="474" t="s">
        <v>2901</v>
      </c>
      <c r="E1146" s="445" t="s">
        <v>2984</v>
      </c>
      <c r="F1146" s="469" t="s">
        <v>1147</v>
      </c>
      <c r="G1146" s="474">
        <v>2022</v>
      </c>
      <c r="H1146" s="474">
        <v>5</v>
      </c>
      <c r="I1146" s="474"/>
      <c r="J1146" s="475"/>
      <c r="K1146" s="474" t="s">
        <v>2979</v>
      </c>
      <c r="L1146" s="474" t="s">
        <v>2947</v>
      </c>
      <c r="M1146" s="475">
        <v>44550</v>
      </c>
      <c r="N1146" s="475">
        <v>44577</v>
      </c>
      <c r="O1146" s="475"/>
      <c r="P1146" s="475"/>
      <c r="Q1146" s="475"/>
      <c r="R1146" s="475"/>
      <c r="S1146" s="474" t="s">
        <v>2904</v>
      </c>
      <c r="T1146" s="474">
        <v>60</v>
      </c>
      <c r="U1146" s="474">
        <v>49204132</v>
      </c>
      <c r="V1146" s="474" t="s">
        <v>1223</v>
      </c>
      <c r="W1146" s="474">
        <v>360</v>
      </c>
      <c r="X1146" s="432">
        <v>2496</v>
      </c>
      <c r="Y1146" s="491">
        <f>W1146*X1146</f>
        <v>898560</v>
      </c>
      <c r="Z1146" s="478">
        <v>0.8</v>
      </c>
      <c r="AA1146" s="492">
        <f t="shared" si="219"/>
        <v>718848</v>
      </c>
      <c r="AB1146" s="492"/>
      <c r="AC1146" s="446">
        <v>0</v>
      </c>
      <c r="AD1146" s="490"/>
      <c r="AE1146" s="437"/>
      <c r="AF1146" s="580">
        <f t="shared" si="220"/>
        <v>718848</v>
      </c>
      <c r="AG1146" s="474" t="s">
        <v>1071</v>
      </c>
      <c r="AH1146" s="438"/>
      <c r="AI1146" s="474">
        <v>60</v>
      </c>
      <c r="AJ1146" s="484" t="s">
        <v>2277</v>
      </c>
      <c r="AK1146" s="474" t="s">
        <v>1084</v>
      </c>
      <c r="AL1146" s="483" t="s">
        <v>2948</v>
      </c>
      <c r="AM1146" s="474" t="s">
        <v>52</v>
      </c>
      <c r="AN1146" s="474" t="s">
        <v>1074</v>
      </c>
      <c r="AO1146" s="474"/>
      <c r="AP1146" s="486"/>
      <c r="AQ1146" s="439" t="s">
        <v>37</v>
      </c>
      <c r="AR1146" s="439" t="s">
        <v>2953</v>
      </c>
      <c r="AS1146" s="473" t="s">
        <v>1087</v>
      </c>
      <c r="AT1146" s="473" t="s">
        <v>1076</v>
      </c>
      <c r="AU1146" s="478">
        <v>0.73</v>
      </c>
      <c r="AV1146" s="471">
        <f t="shared" si="222"/>
        <v>49204132</v>
      </c>
      <c r="AW1146" s="471" cm="1">
        <f t="array" ref="AW1146">SUM(MID(0&amp;AV1146,LARGE(INDEX(ISNUMBER(--MID(AV1146,ROW($1:$8),1))*ROW($1:$8),),ROW($1:$8))+1,1)*10^ROW($1:$8)/10)</f>
        <v>49204132</v>
      </c>
      <c r="AX1146" s="471" t="str">
        <f>VLOOKUP($AW1146,'Item Master Data'!$A:$F,3,FALSE)</f>
        <v>Q.PEAK DUO BLK G10+/AC</v>
      </c>
      <c r="AY1146" s="471">
        <f>VLOOKUP($AW1146,'Item Master Data'!$A:$F,6,FALSE)</f>
        <v>360</v>
      </c>
      <c r="AZ1146" s="471">
        <f t="shared" si="223"/>
        <v>96</v>
      </c>
      <c r="BA1146" s="471">
        <f>VLOOKUP(AW1146,'Item Master Data'!$A:$G,7,FALSE)</f>
        <v>26</v>
      </c>
      <c r="BB1146" s="471"/>
      <c r="BC1146" s="471">
        <f t="shared" si="224"/>
        <v>0</v>
      </c>
    </row>
    <row r="1147" spans="1:55">
      <c r="A1147" s="472"/>
      <c r="B1147" s="467">
        <v>44664</v>
      </c>
      <c r="C1147" s="467">
        <v>44664</v>
      </c>
      <c r="D1147" s="474" t="s">
        <v>2901</v>
      </c>
      <c r="E1147" s="445"/>
      <c r="F1147" s="474" t="s">
        <v>1147</v>
      </c>
      <c r="G1147" s="474">
        <v>2022</v>
      </c>
      <c r="H1147" s="474">
        <v>5</v>
      </c>
      <c r="I1147" s="474"/>
      <c r="J1147" s="556"/>
      <c r="K1147" s="483" t="s">
        <v>2961</v>
      </c>
      <c r="L1147" s="474" t="s">
        <v>2947</v>
      </c>
      <c r="M1147" s="475">
        <v>44657</v>
      </c>
      <c r="N1147" s="475">
        <v>44682</v>
      </c>
      <c r="O1147" s="475"/>
      <c r="P1147" s="475"/>
      <c r="Q1147" s="475"/>
      <c r="R1147" s="475"/>
      <c r="S1147" s="474" t="s">
        <v>2904</v>
      </c>
      <c r="T1147" s="474">
        <v>72</v>
      </c>
      <c r="U1147" s="474" t="s">
        <v>1109</v>
      </c>
      <c r="V1147" s="474" t="s">
        <v>1070</v>
      </c>
      <c r="W1147" s="474">
        <v>480</v>
      </c>
      <c r="X1147" s="476">
        <v>580</v>
      </c>
      <c r="Y1147" s="491">
        <f t="shared" ref="Y1147:Y1156" si="229">X1147*W1147</f>
        <v>278400</v>
      </c>
      <c r="Z1147" s="478">
        <v>0.505</v>
      </c>
      <c r="AA1147" s="492">
        <f t="shared" ref="AA1147:AA1212" si="230">Z1147*Y1147</f>
        <v>140592</v>
      </c>
      <c r="AB1147" s="492"/>
      <c r="AC1147" s="446">
        <v>0</v>
      </c>
      <c r="AD1147" s="490"/>
      <c r="AE1147" s="482"/>
      <c r="AF1147" s="580">
        <f t="shared" ref="AF1147:AF1210" si="231">AA1147+AE1147</f>
        <v>140592</v>
      </c>
      <c r="AG1147" s="474" t="s">
        <v>1071</v>
      </c>
      <c r="AH1147" s="474"/>
      <c r="AI1147" s="474">
        <v>60</v>
      </c>
      <c r="AJ1147" s="475" t="s">
        <v>2277</v>
      </c>
      <c r="AK1147" s="483" t="s">
        <v>1084</v>
      </c>
      <c r="AL1147" s="483">
        <v>32809</v>
      </c>
      <c r="AM1147" s="474" t="s">
        <v>52</v>
      </c>
      <c r="AN1147" s="474" t="s">
        <v>1074</v>
      </c>
      <c r="AO1147" s="474"/>
      <c r="AP1147" s="482"/>
      <c r="AQ1147" s="482" t="s">
        <v>37</v>
      </c>
      <c r="AR1147" s="439" t="s">
        <v>2953</v>
      </c>
      <c r="AS1147" s="436" t="s">
        <v>1076</v>
      </c>
      <c r="AT1147" s="436" t="s">
        <v>1076</v>
      </c>
      <c r="AU1147" s="478">
        <v>0.5</v>
      </c>
      <c r="AV1147" s="471" t="str">
        <f t="shared" si="222"/>
        <v>TBD</v>
      </c>
      <c r="AW1147" s="471" cm="1">
        <f t="array" ref="AW1147">SUM(MID(0&amp;AV1147,LARGE(INDEX(ISNUMBER(--MID(AV1147,ROW($1:$8),1))*ROW($1:$8),),ROW($1:$8))+1,1)*10^ROW($1:$8)/10)</f>
        <v>0</v>
      </c>
      <c r="AX1147" s="471" t="e">
        <f>VLOOKUP($AW1147,'Item Master Data'!$A:$F,3,FALSE)</f>
        <v>#N/A</v>
      </c>
      <c r="AY1147" s="471" t="e">
        <f>VLOOKUP($AW1147,'Item Master Data'!$A:$F,6,FALSE)</f>
        <v>#N/A</v>
      </c>
      <c r="AZ1147" s="471" t="e">
        <f t="shared" si="223"/>
        <v>#N/A</v>
      </c>
      <c r="BA1147" s="471" t="e">
        <f>VLOOKUP(AW1147,'Item Master Data'!$A:$G,7,FALSE)</f>
        <v>#N/A</v>
      </c>
      <c r="BB1147" s="471"/>
      <c r="BC1147" s="471" t="e">
        <f t="shared" si="224"/>
        <v>#N/A</v>
      </c>
    </row>
    <row r="1148" spans="1:55">
      <c r="A1148" s="472"/>
      <c r="B1148" s="467">
        <v>44664</v>
      </c>
      <c r="C1148" s="467">
        <v>44664</v>
      </c>
      <c r="D1148" s="474" t="s">
        <v>2901</v>
      </c>
      <c r="E1148" s="445"/>
      <c r="F1148" s="474" t="s">
        <v>1147</v>
      </c>
      <c r="G1148" s="474">
        <v>2022</v>
      </c>
      <c r="H1148" s="474">
        <v>5</v>
      </c>
      <c r="I1148" s="474"/>
      <c r="J1148" s="556"/>
      <c r="K1148" s="483" t="s">
        <v>2963</v>
      </c>
      <c r="L1148" s="474" t="s">
        <v>2947</v>
      </c>
      <c r="M1148" s="475">
        <v>44657</v>
      </c>
      <c r="N1148" s="475">
        <v>44682</v>
      </c>
      <c r="O1148" s="475"/>
      <c r="P1148" s="475"/>
      <c r="Q1148" s="475"/>
      <c r="R1148" s="475"/>
      <c r="S1148" s="474" t="s">
        <v>2904</v>
      </c>
      <c r="T1148" s="474">
        <v>72</v>
      </c>
      <c r="U1148" s="474" t="s">
        <v>1109</v>
      </c>
      <c r="V1148" s="474" t="s">
        <v>1070</v>
      </c>
      <c r="W1148" s="474">
        <v>480</v>
      </c>
      <c r="X1148" s="476">
        <v>2320</v>
      </c>
      <c r="Y1148" s="491">
        <f t="shared" si="229"/>
        <v>1113600</v>
      </c>
      <c r="Z1148" s="478">
        <v>0.505</v>
      </c>
      <c r="AA1148" s="492">
        <f t="shared" si="230"/>
        <v>562368</v>
      </c>
      <c r="AB1148" s="492"/>
      <c r="AC1148" s="446">
        <v>0</v>
      </c>
      <c r="AD1148" s="490"/>
      <c r="AE1148" s="482"/>
      <c r="AF1148" s="580">
        <f t="shared" si="231"/>
        <v>562368</v>
      </c>
      <c r="AG1148" s="474" t="s">
        <v>1071</v>
      </c>
      <c r="AH1148" s="474"/>
      <c r="AI1148" s="474">
        <v>60</v>
      </c>
      <c r="AJ1148" s="475" t="s">
        <v>2277</v>
      </c>
      <c r="AK1148" s="483" t="s">
        <v>1084</v>
      </c>
      <c r="AL1148" s="483">
        <v>32809</v>
      </c>
      <c r="AM1148" s="474" t="s">
        <v>52</v>
      </c>
      <c r="AN1148" s="474" t="s">
        <v>1074</v>
      </c>
      <c r="AO1148" s="474"/>
      <c r="AP1148" s="482"/>
      <c r="AQ1148" s="482" t="s">
        <v>37</v>
      </c>
      <c r="AR1148" s="439" t="s">
        <v>2953</v>
      </c>
      <c r="AS1148" s="436" t="s">
        <v>1076</v>
      </c>
      <c r="AT1148" s="436" t="s">
        <v>1076</v>
      </c>
      <c r="AU1148" s="478">
        <v>0.5</v>
      </c>
      <c r="AV1148" s="471" t="str">
        <f t="shared" si="222"/>
        <v>TBD</v>
      </c>
      <c r="AW1148" s="471" cm="1">
        <f t="array" ref="AW1148">SUM(MID(0&amp;AV1148,LARGE(INDEX(ISNUMBER(--MID(AV1148,ROW($1:$8),1))*ROW($1:$8),),ROW($1:$8))+1,1)*10^ROW($1:$8)/10)</f>
        <v>0</v>
      </c>
      <c r="AX1148" s="471" t="e">
        <f>VLOOKUP($AW1148,'Item Master Data'!$A:$F,3,FALSE)</f>
        <v>#N/A</v>
      </c>
      <c r="AY1148" s="471" t="e">
        <f>VLOOKUP($AW1148,'Item Master Data'!$A:$F,6,FALSE)</f>
        <v>#N/A</v>
      </c>
      <c r="AZ1148" s="471" t="e">
        <f t="shared" si="223"/>
        <v>#N/A</v>
      </c>
      <c r="BA1148" s="471" t="e">
        <f>VLOOKUP(AW1148,'Item Master Data'!$A:$G,7,FALSE)</f>
        <v>#N/A</v>
      </c>
      <c r="BB1148" s="471"/>
      <c r="BC1148" s="471" t="e">
        <f t="shared" si="224"/>
        <v>#N/A</v>
      </c>
    </row>
    <row r="1149" spans="1:55">
      <c r="A1149" s="472"/>
      <c r="B1149" s="467"/>
      <c r="C1149" s="467">
        <v>44573</v>
      </c>
      <c r="D1149" s="474" t="s">
        <v>2901</v>
      </c>
      <c r="E1149" s="445" t="s">
        <v>3007</v>
      </c>
      <c r="F1149" s="474" t="s">
        <v>1147</v>
      </c>
      <c r="G1149" s="474">
        <v>2022</v>
      </c>
      <c r="H1149" s="474">
        <v>5</v>
      </c>
      <c r="I1149" s="474"/>
      <c r="J1149" s="556"/>
      <c r="K1149" s="483" t="s">
        <v>3008</v>
      </c>
      <c r="L1149" s="474" t="s">
        <v>2966</v>
      </c>
      <c r="M1149" s="475">
        <v>44523</v>
      </c>
      <c r="N1149" s="475">
        <v>44593</v>
      </c>
      <c r="O1149" s="475"/>
      <c r="P1149" s="475"/>
      <c r="Q1149" s="475"/>
      <c r="R1149" s="475"/>
      <c r="S1149" s="474" t="s">
        <v>2904</v>
      </c>
      <c r="T1149" s="474">
        <v>60</v>
      </c>
      <c r="U1149" s="474">
        <v>49405140</v>
      </c>
      <c r="V1149" s="474" t="s">
        <v>973</v>
      </c>
      <c r="W1149" s="474">
        <v>400</v>
      </c>
      <c r="X1149" s="476">
        <v>2496</v>
      </c>
      <c r="Y1149" s="491">
        <f t="shared" si="229"/>
        <v>998400</v>
      </c>
      <c r="Z1149" s="478">
        <v>0.55000000000000004</v>
      </c>
      <c r="AA1149" s="492">
        <f t="shared" si="230"/>
        <v>549120</v>
      </c>
      <c r="AB1149" s="492"/>
      <c r="AC1149" s="446">
        <v>0</v>
      </c>
      <c r="AD1149" s="490"/>
      <c r="AE1149" s="482"/>
      <c r="AF1149" s="580">
        <f t="shared" si="231"/>
        <v>549120</v>
      </c>
      <c r="AG1149" s="474" t="s">
        <v>1071</v>
      </c>
      <c r="AH1149" s="474"/>
      <c r="AI1149" s="474">
        <v>60</v>
      </c>
      <c r="AJ1149" s="475" t="s">
        <v>2967</v>
      </c>
      <c r="AK1149" s="483" t="s">
        <v>1158</v>
      </c>
      <c r="AL1149" s="483" t="s">
        <v>2968</v>
      </c>
      <c r="AM1149" s="474" t="s">
        <v>52</v>
      </c>
      <c r="AN1149" s="474" t="s">
        <v>1074</v>
      </c>
      <c r="AO1149" s="474"/>
      <c r="AP1149" s="482"/>
      <c r="AQ1149" s="482" t="s">
        <v>37</v>
      </c>
      <c r="AR1149" s="439" t="s">
        <v>1248</v>
      </c>
      <c r="AS1149" s="436" t="s">
        <v>1076</v>
      </c>
      <c r="AT1149" s="436" t="s">
        <v>1076</v>
      </c>
      <c r="AU1149" s="478">
        <v>0.47499999999999998</v>
      </c>
      <c r="AV1149" s="471">
        <f t="shared" si="222"/>
        <v>49405140</v>
      </c>
      <c r="AW1149" s="471" cm="1">
        <f t="array" ref="AW1149">SUM(MID(0&amp;AV1149,LARGE(INDEX(ISNUMBER(--MID(AV1149,ROW($1:$8),1))*ROW($1:$8),),ROW($1:$8))+1,1)*10^ROW($1:$8)/10)</f>
        <v>49405140</v>
      </c>
      <c r="AX1149" s="471" t="str">
        <f>VLOOKUP($AW1149,'Item Master Data'!$A:$F,3,FALSE)</f>
        <v>Q.PEAK DUO BLK ML G10+</v>
      </c>
      <c r="AY1149" s="471">
        <f>VLOOKUP($AW1149,'Item Master Data'!$A:$F,6,FALSE)</f>
        <v>400</v>
      </c>
      <c r="AZ1149" s="471">
        <f t="shared" si="223"/>
        <v>78</v>
      </c>
      <c r="BA1149" s="471">
        <f>VLOOKUP(AW1149,'Item Master Data'!$A:$G,7,FALSE)</f>
        <v>32</v>
      </c>
      <c r="BB1149" s="471"/>
      <c r="BC1149" s="471">
        <f t="shared" si="224"/>
        <v>0</v>
      </c>
    </row>
    <row r="1150" spans="1:55">
      <c r="A1150" s="472"/>
      <c r="B1150" s="467">
        <v>44543</v>
      </c>
      <c r="C1150" s="467">
        <v>44543</v>
      </c>
      <c r="D1150" s="474" t="s">
        <v>2901</v>
      </c>
      <c r="E1150" s="445" t="s">
        <v>3007</v>
      </c>
      <c r="F1150" s="474" t="s">
        <v>1147</v>
      </c>
      <c r="G1150" s="474">
        <v>2022</v>
      </c>
      <c r="H1150" s="474">
        <v>5</v>
      </c>
      <c r="I1150" s="474"/>
      <c r="J1150" s="556"/>
      <c r="K1150" s="483" t="s">
        <v>5454</v>
      </c>
      <c r="L1150" s="474" t="s">
        <v>2966</v>
      </c>
      <c r="M1150" s="475">
        <v>44523</v>
      </c>
      <c r="N1150" s="475">
        <v>44621</v>
      </c>
      <c r="O1150" s="475"/>
      <c r="P1150" s="475"/>
      <c r="Q1150" s="475"/>
      <c r="R1150" s="475"/>
      <c r="S1150" s="474" t="s">
        <v>2904</v>
      </c>
      <c r="T1150" s="474">
        <v>60</v>
      </c>
      <c r="U1150" s="474">
        <v>49405140</v>
      </c>
      <c r="V1150" s="474" t="s">
        <v>973</v>
      </c>
      <c r="W1150" s="474">
        <v>400</v>
      </c>
      <c r="X1150" s="476">
        <v>1536</v>
      </c>
      <c r="Y1150" s="491">
        <f t="shared" si="229"/>
        <v>614400</v>
      </c>
      <c r="Z1150" s="478">
        <v>0.55000000000000004</v>
      </c>
      <c r="AA1150" s="492">
        <f t="shared" si="230"/>
        <v>337920</v>
      </c>
      <c r="AB1150" s="492"/>
      <c r="AC1150" s="446">
        <v>0</v>
      </c>
      <c r="AD1150" s="490"/>
      <c r="AE1150" s="482"/>
      <c r="AF1150" s="580">
        <f t="shared" si="231"/>
        <v>337920</v>
      </c>
      <c r="AG1150" s="474" t="s">
        <v>1071</v>
      </c>
      <c r="AH1150" s="474"/>
      <c r="AI1150" s="474">
        <v>60</v>
      </c>
      <c r="AJ1150" s="475" t="s">
        <v>2967</v>
      </c>
      <c r="AK1150" s="483" t="s">
        <v>1158</v>
      </c>
      <c r="AL1150" s="483" t="s">
        <v>2968</v>
      </c>
      <c r="AM1150" s="474" t="s">
        <v>52</v>
      </c>
      <c r="AN1150" s="474" t="s">
        <v>1074</v>
      </c>
      <c r="AO1150" s="474"/>
      <c r="AP1150" s="482"/>
      <c r="AQ1150" s="482" t="s">
        <v>37</v>
      </c>
      <c r="AR1150" s="439" t="s">
        <v>1288</v>
      </c>
      <c r="AS1150" s="436" t="s">
        <v>1076</v>
      </c>
      <c r="AT1150" s="436" t="s">
        <v>1076</v>
      </c>
      <c r="AU1150" s="478">
        <v>0.49</v>
      </c>
      <c r="AV1150" s="471">
        <f t="shared" ref="AV1150:AV1183" si="232">U1150</f>
        <v>49405140</v>
      </c>
      <c r="AW1150" s="471" cm="1">
        <f t="array" ref="AW1150">SUM(MID(0&amp;AV1150,LARGE(INDEX(ISNUMBER(--MID(AV1150,ROW($1:$8),1))*ROW($1:$8),),ROW($1:$8))+1,1)*10^ROW($1:$8)/10)</f>
        <v>49405140</v>
      </c>
      <c r="AX1150" s="471" t="str">
        <f>VLOOKUP($AW1150,'Item Master Data'!$A:$F,3,FALSE)</f>
        <v>Q.PEAK DUO BLK ML G10+</v>
      </c>
      <c r="AY1150" s="471">
        <f>VLOOKUP($AW1150,'Item Master Data'!$A:$F,6,FALSE)</f>
        <v>400</v>
      </c>
      <c r="AZ1150" s="471">
        <f t="shared" ref="AZ1150:AZ1213" si="233">X1150/BA1150</f>
        <v>48</v>
      </c>
      <c r="BA1150" s="471">
        <f>VLOOKUP(AW1150,'Item Master Data'!$A:$G,7,FALSE)</f>
        <v>32</v>
      </c>
      <c r="BB1150" s="471"/>
      <c r="BC1150" s="471">
        <f t="shared" ref="BC1150:BC1183" si="234">W1150-AY1150</f>
        <v>0</v>
      </c>
    </row>
    <row r="1151" spans="1:55">
      <c r="A1151" s="472"/>
      <c r="B1151" s="467">
        <v>44579</v>
      </c>
      <c r="C1151" s="467">
        <v>44579</v>
      </c>
      <c r="D1151" s="474" t="s">
        <v>2901</v>
      </c>
      <c r="E1151" s="445" t="s">
        <v>3013</v>
      </c>
      <c r="F1151" s="474" t="s">
        <v>1147</v>
      </c>
      <c r="G1151" s="474">
        <v>2022</v>
      </c>
      <c r="H1151" s="474">
        <v>5</v>
      </c>
      <c r="I1151" s="474"/>
      <c r="J1151" s="556"/>
      <c r="K1151" s="483" t="s">
        <v>3014</v>
      </c>
      <c r="L1151" s="474" t="s">
        <v>2966</v>
      </c>
      <c r="M1151" s="475">
        <v>44579</v>
      </c>
      <c r="N1151" s="475">
        <v>44805</v>
      </c>
      <c r="O1151" s="475"/>
      <c r="P1151" s="475"/>
      <c r="Q1151" s="475"/>
      <c r="R1151" s="475"/>
      <c r="S1151" s="474" t="s">
        <v>2904</v>
      </c>
      <c r="T1151" s="474">
        <v>72</v>
      </c>
      <c r="U1151" s="474" t="s">
        <v>1225</v>
      </c>
      <c r="V1151" s="474" t="s">
        <v>1070</v>
      </c>
      <c r="W1151" s="474">
        <v>480</v>
      </c>
      <c r="X1151" s="476">
        <v>1914</v>
      </c>
      <c r="Y1151" s="491">
        <f t="shared" si="229"/>
        <v>918720</v>
      </c>
      <c r="Z1151" s="478">
        <v>0.48</v>
      </c>
      <c r="AA1151" s="492">
        <f t="shared" si="230"/>
        <v>440985.59999999998</v>
      </c>
      <c r="AB1151" s="492"/>
      <c r="AC1151" s="446">
        <v>0</v>
      </c>
      <c r="AD1151" s="490"/>
      <c r="AE1151" s="482"/>
      <c r="AF1151" s="580">
        <f t="shared" si="231"/>
        <v>440985.59999999998</v>
      </c>
      <c r="AG1151" s="474" t="s">
        <v>1071</v>
      </c>
      <c r="AH1151" s="474"/>
      <c r="AI1151" s="474">
        <v>60</v>
      </c>
      <c r="AJ1151" s="475" t="s">
        <v>2967</v>
      </c>
      <c r="AK1151" s="483" t="s">
        <v>1158</v>
      </c>
      <c r="AL1151" s="483" t="s">
        <v>2968</v>
      </c>
      <c r="AM1151" s="474" t="s">
        <v>52</v>
      </c>
      <c r="AN1151" s="474" t="s">
        <v>1554</v>
      </c>
      <c r="AO1151" s="474"/>
      <c r="AP1151" s="482" t="s">
        <v>38</v>
      </c>
      <c r="AQ1151" s="482" t="s">
        <v>37</v>
      </c>
      <c r="AR1151" s="439"/>
      <c r="AS1151" s="436" t="s">
        <v>1076</v>
      </c>
      <c r="AT1151" s="436" t="s">
        <v>1076</v>
      </c>
      <c r="AU1151" s="478"/>
      <c r="AV1151" s="471" t="str">
        <f t="shared" si="232"/>
        <v>30397872C</v>
      </c>
      <c r="AW1151" s="471" cm="1">
        <f t="array" ref="AW1151">SUM(MID(0&amp;AV1151,LARGE(INDEX(ISNUMBER(--MID(AV1151,ROW($1:$8),1))*ROW($1:$8),),ROW($1:$8))+1,1)*10^ROW($1:$8)/10)</f>
        <v>30397872</v>
      </c>
      <c r="AX1151" s="471" t="str">
        <f>VLOOKUP($AW1151,'Item Master Data'!$A:$F,3,FALSE)</f>
        <v>Q.PEAK DUO XL G10 BFG</v>
      </c>
      <c r="AY1151" s="471">
        <f>VLOOKUP($AW1151,'Item Master Data'!$A:$F,6,FALSE)</f>
        <v>480</v>
      </c>
      <c r="AZ1151" s="471">
        <f t="shared" si="233"/>
        <v>66</v>
      </c>
      <c r="BA1151" s="471">
        <f>VLOOKUP(AW1151,'Item Master Data'!$A:$G,7,FALSE)</f>
        <v>29</v>
      </c>
      <c r="BB1151" s="471"/>
      <c r="BC1151" s="471">
        <f t="shared" si="234"/>
        <v>0</v>
      </c>
    </row>
    <row r="1152" spans="1:55">
      <c r="A1152" s="472"/>
      <c r="B1152" s="467">
        <v>44630</v>
      </c>
      <c r="C1152" s="467">
        <v>44630</v>
      </c>
      <c r="D1152" s="474" t="s">
        <v>2901</v>
      </c>
      <c r="E1152" s="445"/>
      <c r="F1152" s="474" t="s">
        <v>1147</v>
      </c>
      <c r="G1152" s="474">
        <v>2022</v>
      </c>
      <c r="H1152" s="474">
        <v>5</v>
      </c>
      <c r="I1152" s="474"/>
      <c r="J1152" s="556"/>
      <c r="K1152" s="483" t="s">
        <v>3028</v>
      </c>
      <c r="L1152" s="474" t="s">
        <v>2567</v>
      </c>
      <c r="M1152" s="475">
        <v>44483</v>
      </c>
      <c r="N1152" s="475">
        <v>44621</v>
      </c>
      <c r="O1152" s="475"/>
      <c r="P1152" s="475"/>
      <c r="Q1152" s="475"/>
      <c r="R1152" s="475"/>
      <c r="S1152" s="474" t="s">
        <v>2904</v>
      </c>
      <c r="T1152" s="474">
        <v>60</v>
      </c>
      <c r="U1152" s="474">
        <v>49201132</v>
      </c>
      <c r="V1152" s="474" t="s">
        <v>986</v>
      </c>
      <c r="W1152" s="474">
        <v>360</v>
      </c>
      <c r="X1152" s="476">
        <v>3840</v>
      </c>
      <c r="Y1152" s="491">
        <f t="shared" si="229"/>
        <v>1382400</v>
      </c>
      <c r="Z1152" s="478">
        <v>0.53</v>
      </c>
      <c r="AA1152" s="492">
        <f t="shared" si="230"/>
        <v>732672</v>
      </c>
      <c r="AB1152" s="492"/>
      <c r="AC1152" s="446">
        <v>0</v>
      </c>
      <c r="AD1152" s="490"/>
      <c r="AE1152" s="482"/>
      <c r="AF1152" s="580">
        <f t="shared" si="231"/>
        <v>732672</v>
      </c>
      <c r="AG1152" s="474" t="s">
        <v>1071</v>
      </c>
      <c r="AH1152" s="474"/>
      <c r="AI1152" s="474">
        <v>60</v>
      </c>
      <c r="AJ1152" s="475" t="s">
        <v>2568</v>
      </c>
      <c r="AK1152" s="483" t="s">
        <v>1084</v>
      </c>
      <c r="AL1152" s="483" t="s">
        <v>2569</v>
      </c>
      <c r="AM1152" s="474" t="s">
        <v>52</v>
      </c>
      <c r="AN1152" s="474" t="s">
        <v>1074</v>
      </c>
      <c r="AO1152" s="474"/>
      <c r="AP1152" s="482"/>
      <c r="AQ1152" s="482" t="s">
        <v>37</v>
      </c>
      <c r="AR1152" s="439"/>
      <c r="AS1152" s="436"/>
      <c r="AT1152" s="436"/>
      <c r="AU1152" s="478"/>
      <c r="AV1152" s="471">
        <f t="shared" si="232"/>
        <v>49201132</v>
      </c>
      <c r="AW1152" s="471" cm="1">
        <f t="array" ref="AW1152">SUM(MID(0&amp;AV1152,LARGE(INDEX(ISNUMBER(--MID(AV1152,ROW($1:$8),1))*ROW($1:$8),),ROW($1:$8))+1,1)*10^ROW($1:$8)/10)</f>
        <v>49201132</v>
      </c>
      <c r="AX1152" s="471" t="str">
        <f>VLOOKUP($AW1152,'Item Master Data'!$A:$F,3,FALSE)</f>
        <v>Q.PEAK DUO BLK G10+</v>
      </c>
      <c r="AY1152" s="471">
        <f>VLOOKUP($AW1152,'Item Master Data'!$A:$F,6,FALSE)</f>
        <v>360</v>
      </c>
      <c r="AZ1152" s="471">
        <f t="shared" si="233"/>
        <v>120</v>
      </c>
      <c r="BA1152" s="471">
        <f>VLOOKUP(AW1152,'Item Master Data'!$A:$G,7,FALSE)</f>
        <v>32</v>
      </c>
      <c r="BB1152" s="471"/>
      <c r="BC1152" s="471">
        <f t="shared" si="234"/>
        <v>0</v>
      </c>
    </row>
    <row r="1153" spans="1:55">
      <c r="A1153" s="472"/>
      <c r="B1153" s="467">
        <v>44578</v>
      </c>
      <c r="C1153" s="467" t="s">
        <v>1211</v>
      </c>
      <c r="D1153" s="474" t="s">
        <v>2901</v>
      </c>
      <c r="E1153" s="445" t="s">
        <v>5211</v>
      </c>
      <c r="F1153" s="474" t="s">
        <v>3033</v>
      </c>
      <c r="G1153" s="474">
        <v>2022</v>
      </c>
      <c r="H1153" s="474">
        <v>5</v>
      </c>
      <c r="I1153" s="474"/>
      <c r="J1153" s="556"/>
      <c r="K1153" s="483" t="s">
        <v>3035</v>
      </c>
      <c r="L1153" s="474" t="s">
        <v>2567</v>
      </c>
      <c r="M1153" s="475">
        <v>44495</v>
      </c>
      <c r="N1153" s="475">
        <v>44593</v>
      </c>
      <c r="O1153" s="475"/>
      <c r="P1153" s="475"/>
      <c r="Q1153" s="475"/>
      <c r="R1153" s="475"/>
      <c r="S1153" s="474" t="s">
        <v>2904</v>
      </c>
      <c r="T1153" s="474">
        <v>60</v>
      </c>
      <c r="U1153" s="474">
        <v>49405140</v>
      </c>
      <c r="V1153" s="474" t="s">
        <v>973</v>
      </c>
      <c r="W1153" s="474">
        <v>400</v>
      </c>
      <c r="X1153" s="476">
        <v>768</v>
      </c>
      <c r="Y1153" s="491">
        <f t="shared" si="229"/>
        <v>307200</v>
      </c>
      <c r="Z1153" s="478">
        <v>0.55000000000000004</v>
      </c>
      <c r="AA1153" s="492">
        <f t="shared" si="230"/>
        <v>168960</v>
      </c>
      <c r="AB1153" s="492"/>
      <c r="AC1153" s="446">
        <v>0</v>
      </c>
      <c r="AD1153" s="490"/>
      <c r="AE1153" s="482"/>
      <c r="AF1153" s="580">
        <f t="shared" si="231"/>
        <v>168960</v>
      </c>
      <c r="AG1153" s="474" t="s">
        <v>1071</v>
      </c>
      <c r="AH1153" s="474"/>
      <c r="AI1153" s="474">
        <v>60</v>
      </c>
      <c r="AJ1153" s="475" t="s">
        <v>2568</v>
      </c>
      <c r="AK1153" s="483" t="s">
        <v>1084</v>
      </c>
      <c r="AL1153" s="483" t="s">
        <v>2569</v>
      </c>
      <c r="AM1153" s="474" t="s">
        <v>52</v>
      </c>
      <c r="AN1153" s="474" t="s">
        <v>1074</v>
      </c>
      <c r="AO1153" s="474"/>
      <c r="AP1153" s="482"/>
      <c r="AQ1153" s="482" t="s">
        <v>37</v>
      </c>
      <c r="AR1153" s="439" t="s">
        <v>1677</v>
      </c>
      <c r="AS1153" s="436" t="s">
        <v>1076</v>
      </c>
      <c r="AT1153" s="436" t="s">
        <v>1076</v>
      </c>
      <c r="AU1153" s="478">
        <v>0.45500000000000002</v>
      </c>
      <c r="AV1153" s="471">
        <f t="shared" si="232"/>
        <v>49405140</v>
      </c>
      <c r="AW1153" s="471" cm="1">
        <f t="array" ref="AW1153">SUM(MID(0&amp;AV1153,LARGE(INDEX(ISNUMBER(--MID(AV1153,ROW($1:$8),1))*ROW($1:$8),),ROW($1:$8))+1,1)*10^ROW($1:$8)/10)</f>
        <v>49405140</v>
      </c>
      <c r="AX1153" s="471" t="str">
        <f>VLOOKUP($AW1153,'Item Master Data'!$A:$F,3,FALSE)</f>
        <v>Q.PEAK DUO BLK ML G10+</v>
      </c>
      <c r="AY1153" s="471">
        <f>VLOOKUP($AW1153,'Item Master Data'!$A:$F,6,FALSE)</f>
        <v>400</v>
      </c>
      <c r="AZ1153" s="471">
        <f t="shared" si="233"/>
        <v>24</v>
      </c>
      <c r="BA1153" s="471">
        <f>VLOOKUP(AW1153,'Item Master Data'!$A:$G,7,FALSE)</f>
        <v>32</v>
      </c>
      <c r="BB1153" s="471"/>
      <c r="BC1153" s="471">
        <f t="shared" si="234"/>
        <v>0</v>
      </c>
    </row>
    <row r="1154" spans="1:55">
      <c r="A1154" s="472"/>
      <c r="B1154" s="467">
        <v>44578</v>
      </c>
      <c r="C1154" s="467" t="s">
        <v>1211</v>
      </c>
      <c r="D1154" s="474" t="s">
        <v>2901</v>
      </c>
      <c r="E1154" s="445" t="s">
        <v>5211</v>
      </c>
      <c r="F1154" s="474" t="s">
        <v>3033</v>
      </c>
      <c r="G1154" s="474">
        <v>2022</v>
      </c>
      <c r="H1154" s="474">
        <v>5</v>
      </c>
      <c r="I1154" s="474"/>
      <c r="J1154" s="556"/>
      <c r="K1154" s="483" t="s">
        <v>3036</v>
      </c>
      <c r="L1154" s="474" t="s">
        <v>2567</v>
      </c>
      <c r="M1154" s="475">
        <v>44495</v>
      </c>
      <c r="N1154" s="475">
        <v>44593</v>
      </c>
      <c r="O1154" s="475"/>
      <c r="P1154" s="475"/>
      <c r="Q1154" s="475"/>
      <c r="R1154" s="475"/>
      <c r="S1154" s="474" t="s">
        <v>2904</v>
      </c>
      <c r="T1154" s="474">
        <v>60</v>
      </c>
      <c r="U1154" s="474">
        <v>49405140</v>
      </c>
      <c r="V1154" s="474" t="s">
        <v>973</v>
      </c>
      <c r="W1154" s="474">
        <v>400</v>
      </c>
      <c r="X1154" s="476">
        <v>7680</v>
      </c>
      <c r="Y1154" s="491">
        <f t="shared" si="229"/>
        <v>3072000</v>
      </c>
      <c r="Z1154" s="478">
        <v>0.55000000000000004</v>
      </c>
      <c r="AA1154" s="492">
        <f t="shared" si="230"/>
        <v>1689600.0000000002</v>
      </c>
      <c r="AB1154" s="492"/>
      <c r="AC1154" s="446">
        <v>0</v>
      </c>
      <c r="AD1154" s="490"/>
      <c r="AE1154" s="482"/>
      <c r="AF1154" s="580">
        <f t="shared" si="231"/>
        <v>1689600.0000000002</v>
      </c>
      <c r="AG1154" s="474" t="s">
        <v>1071</v>
      </c>
      <c r="AH1154" s="474"/>
      <c r="AI1154" s="474">
        <v>60</v>
      </c>
      <c r="AJ1154" s="475" t="s">
        <v>2568</v>
      </c>
      <c r="AK1154" s="483" t="s">
        <v>1084</v>
      </c>
      <c r="AL1154" s="483" t="s">
        <v>2569</v>
      </c>
      <c r="AM1154" s="474" t="s">
        <v>52</v>
      </c>
      <c r="AN1154" s="474" t="s">
        <v>1074</v>
      </c>
      <c r="AO1154" s="474"/>
      <c r="AP1154" s="482"/>
      <c r="AQ1154" s="482" t="s">
        <v>37</v>
      </c>
      <c r="AR1154" s="439" t="s">
        <v>1677</v>
      </c>
      <c r="AS1154" s="436" t="s">
        <v>1076</v>
      </c>
      <c r="AT1154" s="436" t="s">
        <v>1076</v>
      </c>
      <c r="AU1154" s="478">
        <v>0.45500000000000002</v>
      </c>
      <c r="AV1154" s="471">
        <f t="shared" si="232"/>
        <v>49405140</v>
      </c>
      <c r="AW1154" s="471" cm="1">
        <f t="array" ref="AW1154">SUM(MID(0&amp;AV1154,LARGE(INDEX(ISNUMBER(--MID(AV1154,ROW($1:$8),1))*ROW($1:$8),),ROW($1:$8))+1,1)*10^ROW($1:$8)/10)</f>
        <v>49405140</v>
      </c>
      <c r="AX1154" s="471" t="str">
        <f>VLOOKUP($AW1154,'Item Master Data'!$A:$F,3,FALSE)</f>
        <v>Q.PEAK DUO BLK ML G10+</v>
      </c>
      <c r="AY1154" s="471">
        <f>VLOOKUP($AW1154,'Item Master Data'!$A:$F,6,FALSE)</f>
        <v>400</v>
      </c>
      <c r="AZ1154" s="471">
        <f t="shared" si="233"/>
        <v>240</v>
      </c>
      <c r="BA1154" s="471">
        <f>VLOOKUP(AW1154,'Item Master Data'!$A:$G,7,FALSE)</f>
        <v>32</v>
      </c>
      <c r="BB1154" s="471"/>
      <c r="BC1154" s="471">
        <f t="shared" si="234"/>
        <v>0</v>
      </c>
    </row>
    <row r="1155" spans="1:55">
      <c r="A1155" s="472"/>
      <c r="B1155" s="467">
        <v>44578</v>
      </c>
      <c r="C1155" s="467" t="s">
        <v>1211</v>
      </c>
      <c r="D1155" s="474" t="s">
        <v>2901</v>
      </c>
      <c r="E1155" s="445" t="s">
        <v>5211</v>
      </c>
      <c r="F1155" s="474" t="s">
        <v>3033</v>
      </c>
      <c r="G1155" s="474">
        <v>2022</v>
      </c>
      <c r="H1155" s="474">
        <v>5</v>
      </c>
      <c r="I1155" s="474"/>
      <c r="J1155" s="556"/>
      <c r="K1155" s="483" t="s">
        <v>3037</v>
      </c>
      <c r="L1155" s="474" t="s">
        <v>2567</v>
      </c>
      <c r="M1155" s="475">
        <v>44495</v>
      </c>
      <c r="N1155" s="475">
        <v>44621</v>
      </c>
      <c r="O1155" s="475"/>
      <c r="P1155" s="475"/>
      <c r="Q1155" s="475"/>
      <c r="R1155" s="475"/>
      <c r="S1155" s="474" t="s">
        <v>2904</v>
      </c>
      <c r="T1155" s="474">
        <v>60</v>
      </c>
      <c r="U1155" s="474">
        <v>49405140</v>
      </c>
      <c r="V1155" s="474" t="s">
        <v>973</v>
      </c>
      <c r="W1155" s="474">
        <v>400</v>
      </c>
      <c r="X1155" s="476">
        <v>3840</v>
      </c>
      <c r="Y1155" s="491">
        <f t="shared" si="229"/>
        <v>1536000</v>
      </c>
      <c r="Z1155" s="478">
        <v>0.55000000000000004</v>
      </c>
      <c r="AA1155" s="492">
        <f t="shared" si="230"/>
        <v>844800.00000000012</v>
      </c>
      <c r="AB1155" s="492"/>
      <c r="AC1155" s="446">
        <v>0</v>
      </c>
      <c r="AD1155" s="490"/>
      <c r="AE1155" s="482"/>
      <c r="AF1155" s="580">
        <f t="shared" si="231"/>
        <v>844800.00000000012</v>
      </c>
      <c r="AG1155" s="474" t="s">
        <v>1071</v>
      </c>
      <c r="AH1155" s="474"/>
      <c r="AI1155" s="474">
        <v>60</v>
      </c>
      <c r="AJ1155" s="475" t="s">
        <v>2568</v>
      </c>
      <c r="AK1155" s="483" t="s">
        <v>1084</v>
      </c>
      <c r="AL1155" s="483" t="s">
        <v>2569</v>
      </c>
      <c r="AM1155" s="474" t="s">
        <v>52</v>
      </c>
      <c r="AN1155" s="474" t="s">
        <v>1074</v>
      </c>
      <c r="AO1155" s="474"/>
      <c r="AP1155" s="482"/>
      <c r="AQ1155" s="482" t="s">
        <v>37</v>
      </c>
      <c r="AR1155" s="439" t="s">
        <v>1677</v>
      </c>
      <c r="AS1155" s="436" t="s">
        <v>1076</v>
      </c>
      <c r="AT1155" s="436" t="s">
        <v>1076</v>
      </c>
      <c r="AU1155" s="478">
        <v>0.45500000000000002</v>
      </c>
      <c r="AV1155" s="471">
        <f t="shared" si="232"/>
        <v>49405140</v>
      </c>
      <c r="AW1155" s="471" cm="1">
        <f t="array" ref="AW1155">SUM(MID(0&amp;AV1155,LARGE(INDEX(ISNUMBER(--MID(AV1155,ROW($1:$8),1))*ROW($1:$8),),ROW($1:$8))+1,1)*10^ROW($1:$8)/10)</f>
        <v>49405140</v>
      </c>
      <c r="AX1155" s="471" t="str">
        <f>VLOOKUP($AW1155,'Item Master Data'!$A:$F,3,FALSE)</f>
        <v>Q.PEAK DUO BLK ML G10+</v>
      </c>
      <c r="AY1155" s="471">
        <f>VLOOKUP($AW1155,'Item Master Data'!$A:$F,6,FALSE)</f>
        <v>400</v>
      </c>
      <c r="AZ1155" s="471">
        <f t="shared" si="233"/>
        <v>120</v>
      </c>
      <c r="BA1155" s="471">
        <f>VLOOKUP(AW1155,'Item Master Data'!$A:$G,7,FALSE)</f>
        <v>32</v>
      </c>
      <c r="BB1155" s="471"/>
      <c r="BC1155" s="471">
        <f t="shared" si="234"/>
        <v>0</v>
      </c>
    </row>
    <row r="1156" spans="1:55">
      <c r="A1156" s="472"/>
      <c r="B1156" s="467">
        <v>44578</v>
      </c>
      <c r="C1156" s="467" t="s">
        <v>1211</v>
      </c>
      <c r="D1156" s="474" t="s">
        <v>2901</v>
      </c>
      <c r="E1156" s="445" t="s">
        <v>5211</v>
      </c>
      <c r="F1156" s="474" t="s">
        <v>3033</v>
      </c>
      <c r="G1156" s="474">
        <v>2022</v>
      </c>
      <c r="H1156" s="474">
        <v>5</v>
      </c>
      <c r="I1156" s="474"/>
      <c r="J1156" s="556"/>
      <c r="K1156" s="483" t="s">
        <v>3038</v>
      </c>
      <c r="L1156" s="474" t="s">
        <v>2567</v>
      </c>
      <c r="M1156" s="475">
        <v>44495</v>
      </c>
      <c r="N1156" s="475">
        <v>44621</v>
      </c>
      <c r="O1156" s="475"/>
      <c r="P1156" s="475"/>
      <c r="Q1156" s="475"/>
      <c r="R1156" s="475"/>
      <c r="S1156" s="474" t="s">
        <v>2904</v>
      </c>
      <c r="T1156" s="474">
        <v>60</v>
      </c>
      <c r="U1156" s="474">
        <v>49405140</v>
      </c>
      <c r="V1156" s="474" t="s">
        <v>973</v>
      </c>
      <c r="W1156" s="474">
        <v>400</v>
      </c>
      <c r="X1156" s="476">
        <v>1088</v>
      </c>
      <c r="Y1156" s="491">
        <f t="shared" si="229"/>
        <v>435200</v>
      </c>
      <c r="Z1156" s="478">
        <v>0.55000000000000004</v>
      </c>
      <c r="AA1156" s="492">
        <f t="shared" si="230"/>
        <v>239360.00000000003</v>
      </c>
      <c r="AB1156" s="492"/>
      <c r="AC1156" s="446">
        <v>0</v>
      </c>
      <c r="AD1156" s="490"/>
      <c r="AE1156" s="482"/>
      <c r="AF1156" s="580">
        <f t="shared" si="231"/>
        <v>239360.00000000003</v>
      </c>
      <c r="AG1156" s="474" t="s">
        <v>1071</v>
      </c>
      <c r="AH1156" s="474"/>
      <c r="AI1156" s="474">
        <v>60</v>
      </c>
      <c r="AJ1156" s="475" t="s">
        <v>2568</v>
      </c>
      <c r="AK1156" s="483" t="s">
        <v>1084</v>
      </c>
      <c r="AL1156" s="483" t="s">
        <v>2569</v>
      </c>
      <c r="AM1156" s="474" t="s">
        <v>52</v>
      </c>
      <c r="AN1156" s="474" t="s">
        <v>1074</v>
      </c>
      <c r="AO1156" s="474"/>
      <c r="AP1156" s="482"/>
      <c r="AQ1156" s="482" t="s">
        <v>37</v>
      </c>
      <c r="AR1156" s="439" t="s">
        <v>1677</v>
      </c>
      <c r="AS1156" s="436" t="s">
        <v>1076</v>
      </c>
      <c r="AT1156" s="436" t="s">
        <v>1076</v>
      </c>
      <c r="AU1156" s="478">
        <v>0.45500000000000002</v>
      </c>
      <c r="AV1156" s="471">
        <f t="shared" si="232"/>
        <v>49405140</v>
      </c>
      <c r="AW1156" s="471" cm="1">
        <f t="array" ref="AW1156">SUM(MID(0&amp;AV1156,LARGE(INDEX(ISNUMBER(--MID(AV1156,ROW($1:$8),1))*ROW($1:$8),),ROW($1:$8))+1,1)*10^ROW($1:$8)/10)</f>
        <v>49405140</v>
      </c>
      <c r="AX1156" s="471" t="str">
        <f>VLOOKUP($AW1156,'Item Master Data'!$A:$F,3,FALSE)</f>
        <v>Q.PEAK DUO BLK ML G10+</v>
      </c>
      <c r="AY1156" s="471">
        <f>VLOOKUP($AW1156,'Item Master Data'!$A:$F,6,FALSE)</f>
        <v>400</v>
      </c>
      <c r="AZ1156" s="471">
        <f t="shared" si="233"/>
        <v>34</v>
      </c>
      <c r="BA1156" s="471">
        <f>VLOOKUP(AW1156,'Item Master Data'!$A:$G,7,FALSE)</f>
        <v>32</v>
      </c>
      <c r="BB1156" s="471"/>
      <c r="BC1156" s="471">
        <f t="shared" si="234"/>
        <v>0</v>
      </c>
    </row>
    <row r="1157" spans="1:55">
      <c r="A1157" s="472"/>
      <c r="B1157" s="449"/>
      <c r="C1157" s="449"/>
      <c r="D1157" s="474" t="s">
        <v>2901</v>
      </c>
      <c r="E1157" s="445" t="s">
        <v>5212</v>
      </c>
      <c r="F1157" s="474" t="s">
        <v>1147</v>
      </c>
      <c r="G1157" s="474">
        <v>2022</v>
      </c>
      <c r="H1157" s="474">
        <v>5</v>
      </c>
      <c r="I1157" s="474"/>
      <c r="J1157" s="556"/>
      <c r="K1157" s="474" t="s">
        <v>3041</v>
      </c>
      <c r="L1157" s="474" t="s">
        <v>2567</v>
      </c>
      <c r="M1157" s="475">
        <v>44566</v>
      </c>
      <c r="N1157" s="475">
        <v>44691</v>
      </c>
      <c r="O1157" s="475"/>
      <c r="P1157" s="475"/>
      <c r="Q1157" s="475"/>
      <c r="R1157" s="475"/>
      <c r="S1157" s="474" t="s">
        <v>2904</v>
      </c>
      <c r="T1157" s="474">
        <v>60</v>
      </c>
      <c r="U1157" s="474">
        <v>49202132</v>
      </c>
      <c r="V1157" s="474" t="s">
        <v>1223</v>
      </c>
      <c r="W1157" s="474">
        <v>360</v>
      </c>
      <c r="X1157" s="476">
        <v>4992</v>
      </c>
      <c r="Y1157" s="491">
        <f>W1157*X1157</f>
        <v>1797120</v>
      </c>
      <c r="Z1157" s="478">
        <v>0.79</v>
      </c>
      <c r="AA1157" s="492">
        <f t="shared" si="230"/>
        <v>1419724.8</v>
      </c>
      <c r="AB1157" s="492"/>
      <c r="AC1157" s="446">
        <v>0</v>
      </c>
      <c r="AD1157" s="490"/>
      <c r="AE1157" s="482"/>
      <c r="AF1157" s="580">
        <f t="shared" si="231"/>
        <v>1419724.8</v>
      </c>
      <c r="AG1157" s="474" t="s">
        <v>1071</v>
      </c>
      <c r="AH1157" s="474"/>
      <c r="AI1157" s="474">
        <v>60</v>
      </c>
      <c r="AJ1157" s="484" t="s">
        <v>2568</v>
      </c>
      <c r="AK1157" s="474" t="s">
        <v>1084</v>
      </c>
      <c r="AL1157" s="483" t="s">
        <v>2569</v>
      </c>
      <c r="AM1157" s="474" t="s">
        <v>52</v>
      </c>
      <c r="AN1157" s="474" t="s">
        <v>1074</v>
      </c>
      <c r="AO1157" s="474"/>
      <c r="AP1157" s="482"/>
      <c r="AQ1157" s="482" t="s">
        <v>37</v>
      </c>
      <c r="AR1157" s="482" t="s">
        <v>3026</v>
      </c>
      <c r="AS1157" s="436" t="s">
        <v>1076</v>
      </c>
      <c r="AT1157" s="436" t="s">
        <v>1076</v>
      </c>
      <c r="AU1157" s="478">
        <v>0.73</v>
      </c>
      <c r="AV1157" s="471">
        <f t="shared" si="232"/>
        <v>49202132</v>
      </c>
      <c r="AW1157" s="471" cm="1">
        <f t="array" ref="AW1157">SUM(MID(0&amp;AV1157,LARGE(INDEX(ISNUMBER(--MID(AV1157,ROW($1:$8),1))*ROW($1:$8),),ROW($1:$8))+1,1)*10^ROW($1:$8)/10)</f>
        <v>49202132</v>
      </c>
      <c r="AX1157" s="471" t="str">
        <f>VLOOKUP($AW1157,'Item Master Data'!$A:$F,3,FALSE)</f>
        <v>Q.PEAK DUO BLK G10+/AC</v>
      </c>
      <c r="AY1157" s="471">
        <f>VLOOKUP($AW1157,'Item Master Data'!$A:$F,6,FALSE)</f>
        <v>360</v>
      </c>
      <c r="AZ1157" s="471">
        <f t="shared" si="233"/>
        <v>192</v>
      </c>
      <c r="BA1157" s="471">
        <f>VLOOKUP(AW1157,'Item Master Data'!$A:$G,7,FALSE)</f>
        <v>26</v>
      </c>
      <c r="BB1157" s="471"/>
      <c r="BC1157" s="471">
        <f t="shared" si="234"/>
        <v>0</v>
      </c>
    </row>
    <row r="1158" spans="1:55">
      <c r="A1158" s="472"/>
      <c r="B1158" s="467"/>
      <c r="C1158" s="467"/>
      <c r="D1158" s="474" t="s">
        <v>2901</v>
      </c>
      <c r="E1158" s="445" t="s">
        <v>2970</v>
      </c>
      <c r="F1158" s="474"/>
      <c r="G1158" s="474">
        <v>2022</v>
      </c>
      <c r="H1158" s="474">
        <v>5</v>
      </c>
      <c r="I1158" s="474"/>
      <c r="J1158" s="556"/>
      <c r="K1158" s="518" t="s">
        <v>2971</v>
      </c>
      <c r="L1158" s="519" t="s">
        <v>2972</v>
      </c>
      <c r="M1158" s="521">
        <v>44515</v>
      </c>
      <c r="N1158" s="521">
        <v>44642</v>
      </c>
      <c r="O1158" s="521"/>
      <c r="P1158" s="521"/>
      <c r="Q1158" s="521"/>
      <c r="R1158" s="521"/>
      <c r="S1158" s="519" t="s">
        <v>2904</v>
      </c>
      <c r="T1158" s="519">
        <v>72</v>
      </c>
      <c r="U1158" s="519" t="s">
        <v>1109</v>
      </c>
      <c r="V1158" s="519" t="s">
        <v>1104</v>
      </c>
      <c r="W1158" s="519">
        <v>480</v>
      </c>
      <c r="X1158" s="522">
        <v>1276</v>
      </c>
      <c r="Y1158" s="470">
        <f>X1158*W1158</f>
        <v>612480</v>
      </c>
      <c r="Z1158" s="478">
        <v>0.47499999999999998</v>
      </c>
      <c r="AA1158" s="492">
        <f t="shared" si="230"/>
        <v>290928</v>
      </c>
      <c r="AB1158" s="492"/>
      <c r="AC1158" s="446">
        <v>0</v>
      </c>
      <c r="AD1158" s="490"/>
      <c r="AE1158" s="482"/>
      <c r="AF1158" s="580">
        <f t="shared" si="231"/>
        <v>290928</v>
      </c>
      <c r="AG1158" s="474" t="s">
        <v>1071</v>
      </c>
      <c r="AH1158" s="474"/>
      <c r="AI1158" s="474">
        <v>60</v>
      </c>
      <c r="AJ1158" s="475" t="s">
        <v>1162</v>
      </c>
      <c r="AK1158" s="483" t="s">
        <v>1158</v>
      </c>
      <c r="AL1158" s="483" t="s">
        <v>2973</v>
      </c>
      <c r="AM1158" s="474" t="s">
        <v>52</v>
      </c>
      <c r="AN1158" s="474" t="s">
        <v>1085</v>
      </c>
      <c r="AO1158" s="474"/>
      <c r="AP1158" s="482"/>
      <c r="AQ1158" s="482" t="s">
        <v>37</v>
      </c>
      <c r="AR1158" s="439"/>
      <c r="AS1158" s="436" t="s">
        <v>1076</v>
      </c>
      <c r="AT1158" s="436" t="s">
        <v>1076</v>
      </c>
      <c r="AU1158" s="478"/>
      <c r="AV1158" s="471" t="str">
        <f t="shared" si="232"/>
        <v>TBD</v>
      </c>
      <c r="AW1158" s="471" cm="1">
        <f t="array" ref="AW1158">SUM(MID(0&amp;AV1158,LARGE(INDEX(ISNUMBER(--MID(AV1158,ROW($1:$8),1))*ROW($1:$8),),ROW($1:$8))+1,1)*10^ROW($1:$8)/10)</f>
        <v>0</v>
      </c>
      <c r="AX1158" s="471" t="e">
        <f>VLOOKUP($AW1158,'Item Master Data'!$A:$F,3,FALSE)</f>
        <v>#N/A</v>
      </c>
      <c r="AY1158" s="471" t="e">
        <f>VLOOKUP($AW1158,'Item Master Data'!$A:$F,6,FALSE)</f>
        <v>#N/A</v>
      </c>
      <c r="AZ1158" s="471" t="e">
        <f t="shared" si="233"/>
        <v>#N/A</v>
      </c>
      <c r="BA1158" s="471" t="e">
        <f>VLOOKUP(AW1158,'Item Master Data'!$A:$G,7,FALSE)</f>
        <v>#N/A</v>
      </c>
      <c r="BB1158" s="471"/>
      <c r="BC1158" s="471" t="e">
        <f t="shared" si="234"/>
        <v>#N/A</v>
      </c>
    </row>
    <row r="1159" spans="1:55">
      <c r="A1159" s="472"/>
      <c r="B1159" s="467"/>
      <c r="C1159" s="467"/>
      <c r="D1159" s="474" t="s">
        <v>2901</v>
      </c>
      <c r="E1159" s="445" t="s">
        <v>2970</v>
      </c>
      <c r="F1159" s="474"/>
      <c r="G1159" s="474">
        <v>2022</v>
      </c>
      <c r="H1159" s="474">
        <v>5</v>
      </c>
      <c r="I1159" s="474"/>
      <c r="J1159" s="556"/>
      <c r="K1159" s="483" t="s">
        <v>3043</v>
      </c>
      <c r="L1159" s="474" t="s">
        <v>2972</v>
      </c>
      <c r="M1159" s="475">
        <v>44515</v>
      </c>
      <c r="N1159" s="475">
        <v>44703</v>
      </c>
      <c r="O1159" s="475"/>
      <c r="P1159" s="475"/>
      <c r="Q1159" s="475"/>
      <c r="R1159" s="475"/>
      <c r="S1159" s="474" t="s">
        <v>2904</v>
      </c>
      <c r="T1159" s="474">
        <v>72</v>
      </c>
      <c r="U1159" s="474" t="s">
        <v>1103</v>
      </c>
      <c r="V1159" s="474" t="s">
        <v>1104</v>
      </c>
      <c r="W1159" s="474">
        <v>480</v>
      </c>
      <c r="X1159" s="476">
        <v>1276</v>
      </c>
      <c r="Y1159" s="491">
        <f>X1159*W1159</f>
        <v>612480</v>
      </c>
      <c r="Z1159" s="478">
        <v>0.47499999999999998</v>
      </c>
      <c r="AA1159" s="492">
        <f t="shared" si="230"/>
        <v>290928</v>
      </c>
      <c r="AB1159" s="492"/>
      <c r="AC1159" s="446">
        <v>0</v>
      </c>
      <c r="AD1159" s="490"/>
      <c r="AE1159" s="482"/>
      <c r="AF1159" s="580">
        <f t="shared" si="231"/>
        <v>290928</v>
      </c>
      <c r="AG1159" s="474" t="s">
        <v>1071</v>
      </c>
      <c r="AH1159" s="474"/>
      <c r="AI1159" s="474">
        <v>60</v>
      </c>
      <c r="AJ1159" s="475" t="s">
        <v>1162</v>
      </c>
      <c r="AK1159" s="483" t="s">
        <v>1158</v>
      </c>
      <c r="AL1159" s="483" t="s">
        <v>2973</v>
      </c>
      <c r="AM1159" s="474" t="s">
        <v>52</v>
      </c>
      <c r="AN1159" s="474" t="s">
        <v>2538</v>
      </c>
      <c r="AO1159" s="474"/>
      <c r="AP1159" s="482" t="s">
        <v>38</v>
      </c>
      <c r="AQ1159" s="482" t="s">
        <v>37</v>
      </c>
      <c r="AR1159" s="439"/>
      <c r="AS1159" s="436" t="s">
        <v>1076</v>
      </c>
      <c r="AT1159" s="436" t="s">
        <v>1076</v>
      </c>
      <c r="AU1159" s="478"/>
      <c r="AV1159" s="471" t="str">
        <f t="shared" si="232"/>
        <v>30397472F</v>
      </c>
      <c r="AW1159" s="471" cm="1">
        <f t="array" ref="AW1159">SUM(MID(0&amp;AV1159,LARGE(INDEX(ISNUMBER(--MID(AV1159,ROW($1:$8),1))*ROW($1:$8),),ROW($1:$8))+1,1)*10^ROW($1:$8)/10)</f>
        <v>30397472</v>
      </c>
      <c r="AX1159" s="471" t="str">
        <f>VLOOKUP($AW1159,'Item Master Data'!$A:$F,3,FALSE)</f>
        <v>Q.PEAK DUO XL G10</v>
      </c>
      <c r="AY1159" s="471">
        <f>VLOOKUP($AW1159,'Item Master Data'!$A:$F,6,FALSE)</f>
        <v>480</v>
      </c>
      <c r="AZ1159" s="471">
        <f t="shared" si="233"/>
        <v>44</v>
      </c>
      <c r="BA1159" s="471">
        <f>VLOOKUP(AW1159,'Item Master Data'!$A:$G,7,FALSE)</f>
        <v>29</v>
      </c>
      <c r="BB1159" s="471"/>
      <c r="BC1159" s="471">
        <f t="shared" si="234"/>
        <v>0</v>
      </c>
    </row>
    <row r="1160" spans="1:55">
      <c r="A1160" s="472"/>
      <c r="B1160" s="449">
        <v>44670</v>
      </c>
      <c r="C1160" s="449">
        <v>44670</v>
      </c>
      <c r="D1160" s="474" t="s">
        <v>2901</v>
      </c>
      <c r="E1160" s="445" t="s">
        <v>1283</v>
      </c>
      <c r="F1160" s="474" t="s">
        <v>1147</v>
      </c>
      <c r="G1160" s="474">
        <v>2022</v>
      </c>
      <c r="H1160" s="474">
        <v>5</v>
      </c>
      <c r="I1160" s="474">
        <v>2005228</v>
      </c>
      <c r="J1160" s="475"/>
      <c r="K1160" s="474">
        <v>1169</v>
      </c>
      <c r="L1160" s="474" t="s">
        <v>5248</v>
      </c>
      <c r="M1160" s="475">
        <v>44670</v>
      </c>
      <c r="N1160" s="475">
        <v>44682</v>
      </c>
      <c r="O1160" s="475"/>
      <c r="P1160" s="475"/>
      <c r="Q1160" s="475"/>
      <c r="R1160" s="475"/>
      <c r="S1160" s="474" t="s">
        <v>2904</v>
      </c>
      <c r="T1160" s="474">
        <v>72</v>
      </c>
      <c r="U1160" s="474" t="s">
        <v>1109</v>
      </c>
      <c r="V1160" s="474" t="s">
        <v>1070</v>
      </c>
      <c r="W1160" s="474">
        <v>480</v>
      </c>
      <c r="X1160" s="476">
        <v>3190</v>
      </c>
      <c r="Y1160" s="491">
        <f>W1160*X1160</f>
        <v>1531200</v>
      </c>
      <c r="Z1160" s="478">
        <v>0.56499999999999995</v>
      </c>
      <c r="AA1160" s="492">
        <f t="shared" si="230"/>
        <v>865127.99999999988</v>
      </c>
      <c r="AB1160" s="492"/>
      <c r="AC1160" s="446">
        <v>0</v>
      </c>
      <c r="AD1160" s="490"/>
      <c r="AE1160" s="482"/>
      <c r="AF1160" s="580">
        <f t="shared" si="231"/>
        <v>865127.99999999988</v>
      </c>
      <c r="AG1160" s="474" t="s">
        <v>1071</v>
      </c>
      <c r="AH1160" s="474">
        <v>100</v>
      </c>
      <c r="AI1160" s="474">
        <v>0</v>
      </c>
      <c r="AJ1160" s="484" t="s">
        <v>5249</v>
      </c>
      <c r="AK1160" s="474" t="s">
        <v>1590</v>
      </c>
      <c r="AL1160" s="483" t="s">
        <v>5250</v>
      </c>
      <c r="AM1160" s="474" t="s">
        <v>52</v>
      </c>
      <c r="AN1160" s="474"/>
      <c r="AO1160" s="474"/>
      <c r="AP1160" s="482"/>
      <c r="AQ1160" s="482" t="s">
        <v>37</v>
      </c>
      <c r="AR1160" s="482"/>
      <c r="AS1160" s="436" t="s">
        <v>1076</v>
      </c>
      <c r="AT1160" s="436" t="s">
        <v>1076</v>
      </c>
      <c r="AU1160" s="478">
        <v>0.73</v>
      </c>
      <c r="AV1160" s="471" t="str">
        <f t="shared" si="232"/>
        <v>TBD</v>
      </c>
      <c r="AW1160" s="471" cm="1">
        <f t="array" ref="AW1160">SUM(MID(0&amp;AV1160,LARGE(INDEX(ISNUMBER(--MID(AV1160,ROW($1:$8),1))*ROW($1:$8),),ROW($1:$8))+1,1)*10^ROW($1:$8)/10)</f>
        <v>0</v>
      </c>
      <c r="AX1160" s="471" t="e">
        <f>VLOOKUP($AW1160,'Item Master Data'!$A:$F,3,FALSE)</f>
        <v>#N/A</v>
      </c>
      <c r="AY1160" s="471" t="e">
        <f>VLOOKUP($AW1160,'Item Master Data'!$A:$F,6,FALSE)</f>
        <v>#N/A</v>
      </c>
      <c r="AZ1160" s="471" t="e">
        <f t="shared" si="233"/>
        <v>#N/A</v>
      </c>
      <c r="BA1160" s="471" t="e">
        <f>VLOOKUP(AW1160,'Item Master Data'!$A:$G,7,FALSE)</f>
        <v>#N/A</v>
      </c>
      <c r="BB1160" s="471"/>
      <c r="BC1160" s="471" t="e">
        <f t="shared" si="234"/>
        <v>#N/A</v>
      </c>
    </row>
    <row r="1161" spans="1:55">
      <c r="A1161" s="472"/>
      <c r="B1161" s="467"/>
      <c r="C1161" s="467"/>
      <c r="D1161" s="474" t="s">
        <v>2901</v>
      </c>
      <c r="E1161" s="445" t="s">
        <v>2974</v>
      </c>
      <c r="F1161" s="474" t="s">
        <v>1147</v>
      </c>
      <c r="G1161" s="474">
        <v>2022</v>
      </c>
      <c r="H1161" s="474">
        <v>5</v>
      </c>
      <c r="I1161" s="474">
        <v>2005083</v>
      </c>
      <c r="J1161" s="487"/>
      <c r="K1161" s="483" t="s">
        <v>2975</v>
      </c>
      <c r="L1161" s="474" t="s">
        <v>2976</v>
      </c>
      <c r="M1161" s="475">
        <v>44543</v>
      </c>
      <c r="N1161" s="475">
        <v>44652</v>
      </c>
      <c r="O1161" s="475"/>
      <c r="P1161" s="475"/>
      <c r="Q1161" s="475"/>
      <c r="R1161" s="475"/>
      <c r="S1161" s="474" t="s">
        <v>2904</v>
      </c>
      <c r="T1161" s="474">
        <v>72</v>
      </c>
      <c r="U1161" s="474" t="s">
        <v>1103</v>
      </c>
      <c r="V1161" s="474" t="s">
        <v>1104</v>
      </c>
      <c r="W1161" s="474">
        <v>480</v>
      </c>
      <c r="X1161" s="476">
        <v>638</v>
      </c>
      <c r="Y1161" s="491">
        <f t="shared" ref="Y1161:Y1174" si="235">X1161*W1161</f>
        <v>306240</v>
      </c>
      <c r="Z1161" s="478">
        <v>0.47499999999999998</v>
      </c>
      <c r="AA1161" s="492">
        <f t="shared" si="230"/>
        <v>145464</v>
      </c>
      <c r="AB1161" s="492"/>
      <c r="AC1161" s="446">
        <v>0</v>
      </c>
      <c r="AD1161" s="490"/>
      <c r="AE1161" s="482"/>
      <c r="AF1161" s="580">
        <f t="shared" si="231"/>
        <v>145464</v>
      </c>
      <c r="AG1161" s="474" t="s">
        <v>47</v>
      </c>
      <c r="AH1161" s="474">
        <v>100</v>
      </c>
      <c r="AI1161" s="474">
        <v>0</v>
      </c>
      <c r="AJ1161" s="475" t="s">
        <v>2912</v>
      </c>
      <c r="AK1161" s="483" t="s">
        <v>1297</v>
      </c>
      <c r="AL1161" s="483" t="s">
        <v>2913</v>
      </c>
      <c r="AM1161" s="474" t="s">
        <v>52</v>
      </c>
      <c r="AN1161" s="474" t="s">
        <v>2538</v>
      </c>
      <c r="AO1161" s="474"/>
      <c r="AP1161" s="482" t="s">
        <v>38</v>
      </c>
      <c r="AQ1161" s="482" t="s">
        <v>37</v>
      </c>
      <c r="AR1161" s="439"/>
      <c r="AS1161" s="436" t="s">
        <v>1076</v>
      </c>
      <c r="AT1161" s="436" t="s">
        <v>1076</v>
      </c>
      <c r="AU1161" s="478"/>
      <c r="AV1161" s="471" t="str">
        <f t="shared" si="232"/>
        <v>30397472F</v>
      </c>
      <c r="AW1161" s="471" cm="1">
        <f t="array" ref="AW1161">SUM(MID(0&amp;AV1161,LARGE(INDEX(ISNUMBER(--MID(AV1161,ROW($1:$8),1))*ROW($1:$8),),ROW($1:$8))+1,1)*10^ROW($1:$8)/10)</f>
        <v>30397472</v>
      </c>
      <c r="AX1161" s="471" t="str">
        <f>VLOOKUP($AW1161,'Item Master Data'!$A:$F,3,FALSE)</f>
        <v>Q.PEAK DUO XL G10</v>
      </c>
      <c r="AY1161" s="471">
        <f>VLOOKUP($AW1161,'Item Master Data'!$A:$F,6,FALSE)</f>
        <v>480</v>
      </c>
      <c r="AZ1161" s="471">
        <f t="shared" si="233"/>
        <v>22</v>
      </c>
      <c r="BA1161" s="471">
        <f>VLOOKUP(AW1161,'Item Master Data'!$A:$G,7,FALSE)</f>
        <v>29</v>
      </c>
      <c r="BB1161" s="471"/>
      <c r="BC1161" s="471">
        <f t="shared" si="234"/>
        <v>0</v>
      </c>
    </row>
    <row r="1162" spans="1:55">
      <c r="A1162" s="472"/>
      <c r="B1162" s="467"/>
      <c r="C1162" s="467"/>
      <c r="D1162" s="474" t="s">
        <v>2901</v>
      </c>
      <c r="E1162" s="445" t="s">
        <v>3073</v>
      </c>
      <c r="F1162" s="474" t="s">
        <v>1147</v>
      </c>
      <c r="G1162" s="474">
        <v>2022</v>
      </c>
      <c r="H1162" s="474">
        <v>5</v>
      </c>
      <c r="I1162" s="474"/>
      <c r="J1162" s="556"/>
      <c r="K1162" s="483" t="s">
        <v>3074</v>
      </c>
      <c r="L1162" s="474" t="s">
        <v>3052</v>
      </c>
      <c r="M1162" s="475">
        <v>44524</v>
      </c>
      <c r="N1162" s="475">
        <v>44592</v>
      </c>
      <c r="O1162" s="475"/>
      <c r="P1162" s="475"/>
      <c r="Q1162" s="475"/>
      <c r="R1162" s="475"/>
      <c r="S1162" s="474" t="s">
        <v>2904</v>
      </c>
      <c r="T1162" s="474">
        <v>60</v>
      </c>
      <c r="U1162" s="474">
        <v>49405140</v>
      </c>
      <c r="V1162" s="474" t="s">
        <v>973</v>
      </c>
      <c r="W1162" s="474">
        <v>400</v>
      </c>
      <c r="X1162" s="476">
        <v>768</v>
      </c>
      <c r="Y1162" s="491">
        <f t="shared" si="235"/>
        <v>307200</v>
      </c>
      <c r="Z1162" s="478">
        <v>0.46500000000000002</v>
      </c>
      <c r="AA1162" s="492">
        <f t="shared" si="230"/>
        <v>142848</v>
      </c>
      <c r="AB1162" s="492"/>
      <c r="AC1162" s="446">
        <v>0</v>
      </c>
      <c r="AD1162" s="490"/>
      <c r="AE1162" s="482"/>
      <c r="AF1162" s="580">
        <f t="shared" si="231"/>
        <v>142848</v>
      </c>
      <c r="AG1162" s="474" t="s">
        <v>47</v>
      </c>
      <c r="AH1162" s="474"/>
      <c r="AI1162" s="474">
        <v>60</v>
      </c>
      <c r="AJ1162" s="475" t="s">
        <v>3068</v>
      </c>
      <c r="AK1162" s="483" t="s">
        <v>1590</v>
      </c>
      <c r="AL1162" s="483" t="s">
        <v>3069</v>
      </c>
      <c r="AM1162" s="474" t="s">
        <v>52</v>
      </c>
      <c r="AN1162" s="474" t="s">
        <v>1074</v>
      </c>
      <c r="AO1162" s="474"/>
      <c r="AP1162" s="482"/>
      <c r="AQ1162" s="482" t="s">
        <v>37</v>
      </c>
      <c r="AR1162" s="439"/>
      <c r="AS1162" s="436" t="s">
        <v>1076</v>
      </c>
      <c r="AT1162" s="436" t="s">
        <v>1076</v>
      </c>
      <c r="AU1162" s="478"/>
      <c r="AV1162" s="471">
        <f t="shared" si="232"/>
        <v>49405140</v>
      </c>
      <c r="AW1162" s="471" cm="1">
        <f t="array" ref="AW1162">SUM(MID(0&amp;AV1162,LARGE(INDEX(ISNUMBER(--MID(AV1162,ROW($1:$8),1))*ROW($1:$8),),ROW($1:$8))+1,1)*10^ROW($1:$8)/10)</f>
        <v>49405140</v>
      </c>
      <c r="AX1162" s="471" t="str">
        <f>VLOOKUP($AW1162,'Item Master Data'!$A:$F,3,FALSE)</f>
        <v>Q.PEAK DUO BLK ML G10+</v>
      </c>
      <c r="AY1162" s="471">
        <f>VLOOKUP($AW1162,'Item Master Data'!$A:$F,6,FALSE)</f>
        <v>400</v>
      </c>
      <c r="AZ1162" s="471">
        <f t="shared" si="233"/>
        <v>24</v>
      </c>
      <c r="BA1162" s="471">
        <f>VLOOKUP(AW1162,'Item Master Data'!$A:$G,7,FALSE)</f>
        <v>32</v>
      </c>
      <c r="BB1162" s="471"/>
      <c r="BC1162" s="471">
        <f t="shared" si="234"/>
        <v>0</v>
      </c>
    </row>
    <row r="1163" spans="1:55">
      <c r="A1163" s="472"/>
      <c r="B1163" s="467">
        <v>44662</v>
      </c>
      <c r="C1163" s="467">
        <v>44663</v>
      </c>
      <c r="D1163" s="474" t="s">
        <v>2901</v>
      </c>
      <c r="E1163" s="445" t="s">
        <v>5386</v>
      </c>
      <c r="F1163" s="474" t="s">
        <v>1147</v>
      </c>
      <c r="G1163" s="474">
        <v>2022</v>
      </c>
      <c r="H1163" s="474">
        <v>5</v>
      </c>
      <c r="I1163" s="474"/>
      <c r="J1163" s="556"/>
      <c r="K1163" s="483" t="s">
        <v>3079</v>
      </c>
      <c r="L1163" s="474" t="s">
        <v>3052</v>
      </c>
      <c r="M1163" s="475">
        <v>44524</v>
      </c>
      <c r="N1163" s="475">
        <v>44620</v>
      </c>
      <c r="O1163" s="475">
        <v>44679</v>
      </c>
      <c r="P1163" s="475">
        <v>44663</v>
      </c>
      <c r="Q1163" s="475"/>
      <c r="R1163" s="475"/>
      <c r="S1163" s="474" t="s">
        <v>2904</v>
      </c>
      <c r="T1163" s="474">
        <v>60</v>
      </c>
      <c r="U1163" s="474">
        <v>49405140</v>
      </c>
      <c r="V1163" s="474" t="s">
        <v>973</v>
      </c>
      <c r="W1163" s="474">
        <v>400</v>
      </c>
      <c r="X1163" s="476">
        <v>768</v>
      </c>
      <c r="Y1163" s="491">
        <f t="shared" si="235"/>
        <v>307200</v>
      </c>
      <c r="Z1163" s="478">
        <v>0.46500000000000002</v>
      </c>
      <c r="AA1163" s="492">
        <f t="shared" si="230"/>
        <v>142848</v>
      </c>
      <c r="AB1163" s="492"/>
      <c r="AC1163" s="446">
        <v>0</v>
      </c>
      <c r="AD1163" s="490"/>
      <c r="AE1163" s="482"/>
      <c r="AF1163" s="580">
        <f t="shared" si="231"/>
        <v>142848</v>
      </c>
      <c r="AG1163" s="474" t="s">
        <v>47</v>
      </c>
      <c r="AH1163" s="474"/>
      <c r="AI1163" s="474">
        <v>60</v>
      </c>
      <c r="AJ1163" s="475" t="s">
        <v>3064</v>
      </c>
      <c r="AK1163" s="483" t="s">
        <v>1158</v>
      </c>
      <c r="AL1163" s="483" t="s">
        <v>3065</v>
      </c>
      <c r="AM1163" s="474" t="s">
        <v>52</v>
      </c>
      <c r="AN1163" s="474" t="s">
        <v>2928</v>
      </c>
      <c r="AO1163" s="474"/>
      <c r="AP1163" s="482"/>
      <c r="AQ1163" s="482" t="s">
        <v>37</v>
      </c>
      <c r="AR1163" s="439"/>
      <c r="AS1163" s="436" t="s">
        <v>1076</v>
      </c>
      <c r="AT1163" s="436" t="s">
        <v>1076</v>
      </c>
      <c r="AU1163" s="478"/>
      <c r="AV1163" s="471">
        <f t="shared" si="232"/>
        <v>49405140</v>
      </c>
      <c r="AW1163" s="471" cm="1">
        <f t="array" ref="AW1163">SUM(MID(0&amp;AV1163,LARGE(INDEX(ISNUMBER(--MID(AV1163,ROW($1:$8),1))*ROW($1:$8),),ROW($1:$8))+1,1)*10^ROW($1:$8)/10)</f>
        <v>49405140</v>
      </c>
      <c r="AX1163" s="471" t="str">
        <f>VLOOKUP($AW1163,'Item Master Data'!$A:$F,3,FALSE)</f>
        <v>Q.PEAK DUO BLK ML G10+</v>
      </c>
      <c r="AY1163" s="471">
        <f>VLOOKUP($AW1163,'Item Master Data'!$A:$F,6,FALSE)</f>
        <v>400</v>
      </c>
      <c r="AZ1163" s="471">
        <f t="shared" si="233"/>
        <v>24</v>
      </c>
      <c r="BA1163" s="471">
        <f>VLOOKUP(AW1163,'Item Master Data'!$A:$G,7,FALSE)</f>
        <v>32</v>
      </c>
      <c r="BB1163" s="471"/>
      <c r="BC1163" s="471">
        <f t="shared" si="234"/>
        <v>0</v>
      </c>
    </row>
    <row r="1164" spans="1:55">
      <c r="A1164" s="472"/>
      <c r="B1164" s="467"/>
      <c r="C1164" s="467"/>
      <c r="D1164" s="474" t="s">
        <v>2901</v>
      </c>
      <c r="E1164" s="445" t="s">
        <v>3080</v>
      </c>
      <c r="F1164" s="474" t="s">
        <v>1147</v>
      </c>
      <c r="G1164" s="474">
        <v>2022</v>
      </c>
      <c r="H1164" s="474">
        <v>5</v>
      </c>
      <c r="I1164" s="474"/>
      <c r="J1164" s="556"/>
      <c r="K1164" s="483" t="s">
        <v>3081</v>
      </c>
      <c r="L1164" s="474" t="s">
        <v>3052</v>
      </c>
      <c r="M1164" s="475">
        <v>44524</v>
      </c>
      <c r="N1164" s="475">
        <v>44620</v>
      </c>
      <c r="O1164" s="475"/>
      <c r="P1164" s="475"/>
      <c r="Q1164" s="475"/>
      <c r="R1164" s="475"/>
      <c r="S1164" s="474" t="s">
        <v>2904</v>
      </c>
      <c r="T1164" s="474">
        <v>60</v>
      </c>
      <c r="U1164" s="474">
        <v>49405140</v>
      </c>
      <c r="V1164" s="474" t="s">
        <v>973</v>
      </c>
      <c r="W1164" s="474">
        <v>400</v>
      </c>
      <c r="X1164" s="476">
        <v>768</v>
      </c>
      <c r="Y1164" s="491">
        <f t="shared" si="235"/>
        <v>307200</v>
      </c>
      <c r="Z1164" s="478">
        <v>0.46500000000000002</v>
      </c>
      <c r="AA1164" s="492">
        <f t="shared" si="230"/>
        <v>142848</v>
      </c>
      <c r="AB1164" s="492"/>
      <c r="AC1164" s="446">
        <v>0</v>
      </c>
      <c r="AD1164" s="490"/>
      <c r="AE1164" s="482"/>
      <c r="AF1164" s="580">
        <f t="shared" si="231"/>
        <v>142848</v>
      </c>
      <c r="AG1164" s="474" t="s">
        <v>47</v>
      </c>
      <c r="AH1164" s="474"/>
      <c r="AI1164" s="474">
        <v>60</v>
      </c>
      <c r="AJ1164" s="475" t="s">
        <v>3055</v>
      </c>
      <c r="AK1164" s="483" t="s">
        <v>1375</v>
      </c>
      <c r="AL1164" s="483" t="s">
        <v>3082</v>
      </c>
      <c r="AM1164" s="474" t="s">
        <v>52</v>
      </c>
      <c r="AN1164" s="474" t="s">
        <v>1074</v>
      </c>
      <c r="AO1164" s="474"/>
      <c r="AP1164" s="482"/>
      <c r="AQ1164" s="482" t="s">
        <v>37</v>
      </c>
      <c r="AR1164" s="439"/>
      <c r="AS1164" s="436" t="s">
        <v>1076</v>
      </c>
      <c r="AT1164" s="436" t="s">
        <v>1076</v>
      </c>
      <c r="AU1164" s="478"/>
      <c r="AV1164" s="471">
        <f t="shared" si="232"/>
        <v>49405140</v>
      </c>
      <c r="AW1164" s="471" cm="1">
        <f t="array" ref="AW1164">SUM(MID(0&amp;AV1164,LARGE(INDEX(ISNUMBER(--MID(AV1164,ROW($1:$8),1))*ROW($1:$8),),ROW($1:$8))+1,1)*10^ROW($1:$8)/10)</f>
        <v>49405140</v>
      </c>
      <c r="AX1164" s="471" t="str">
        <f>VLOOKUP($AW1164,'Item Master Data'!$A:$F,3,FALSE)</f>
        <v>Q.PEAK DUO BLK ML G10+</v>
      </c>
      <c r="AY1164" s="471">
        <f>VLOOKUP($AW1164,'Item Master Data'!$A:$F,6,FALSE)</f>
        <v>400</v>
      </c>
      <c r="AZ1164" s="471">
        <f t="shared" si="233"/>
        <v>24</v>
      </c>
      <c r="BA1164" s="471">
        <f>VLOOKUP(AW1164,'Item Master Data'!$A:$G,7,FALSE)</f>
        <v>32</v>
      </c>
      <c r="BB1164" s="471"/>
      <c r="BC1164" s="471">
        <f t="shared" si="234"/>
        <v>0</v>
      </c>
    </row>
    <row r="1165" spans="1:55">
      <c r="A1165" s="472"/>
      <c r="B1165" s="467">
        <v>44662</v>
      </c>
      <c r="C1165" s="467">
        <v>44663</v>
      </c>
      <c r="D1165" s="474" t="s">
        <v>2901</v>
      </c>
      <c r="E1165" s="445" t="s">
        <v>5386</v>
      </c>
      <c r="F1165" s="474" t="s">
        <v>1147</v>
      </c>
      <c r="G1165" s="474">
        <v>2022</v>
      </c>
      <c r="H1165" s="474">
        <v>5</v>
      </c>
      <c r="I1165" s="474"/>
      <c r="J1165" s="556"/>
      <c r="K1165" s="483" t="s">
        <v>3085</v>
      </c>
      <c r="L1165" s="474" t="s">
        <v>3052</v>
      </c>
      <c r="M1165" s="475">
        <v>44524</v>
      </c>
      <c r="N1165" s="475">
        <v>44620</v>
      </c>
      <c r="O1165" s="475">
        <v>44679</v>
      </c>
      <c r="P1165" s="475">
        <v>44663</v>
      </c>
      <c r="Q1165" s="475"/>
      <c r="R1165" s="475"/>
      <c r="S1165" s="474" t="s">
        <v>2904</v>
      </c>
      <c r="T1165" s="474">
        <v>60</v>
      </c>
      <c r="U1165" s="474">
        <v>49405140</v>
      </c>
      <c r="V1165" s="474" t="s">
        <v>973</v>
      </c>
      <c r="W1165" s="474">
        <v>400</v>
      </c>
      <c r="X1165" s="476">
        <v>768</v>
      </c>
      <c r="Y1165" s="491">
        <f t="shared" si="235"/>
        <v>307200</v>
      </c>
      <c r="Z1165" s="478">
        <v>0.46500000000000002</v>
      </c>
      <c r="AA1165" s="492">
        <f t="shared" si="230"/>
        <v>142848</v>
      </c>
      <c r="AB1165" s="492"/>
      <c r="AC1165" s="446">
        <v>0</v>
      </c>
      <c r="AD1165" s="490"/>
      <c r="AE1165" s="482"/>
      <c r="AF1165" s="580">
        <f t="shared" si="231"/>
        <v>142848</v>
      </c>
      <c r="AG1165" s="474" t="s">
        <v>47</v>
      </c>
      <c r="AH1165" s="474"/>
      <c r="AI1165" s="474">
        <v>60</v>
      </c>
      <c r="AJ1165" s="475" t="s">
        <v>3059</v>
      </c>
      <c r="AK1165" s="483" t="s">
        <v>1375</v>
      </c>
      <c r="AL1165" s="483" t="s">
        <v>3084</v>
      </c>
      <c r="AM1165" s="474" t="s">
        <v>52</v>
      </c>
      <c r="AN1165" s="474" t="s">
        <v>2928</v>
      </c>
      <c r="AO1165" s="474"/>
      <c r="AP1165" s="482"/>
      <c r="AQ1165" s="482" t="s">
        <v>37</v>
      </c>
      <c r="AR1165" s="439"/>
      <c r="AS1165" s="436" t="s">
        <v>1076</v>
      </c>
      <c r="AT1165" s="436" t="s">
        <v>1076</v>
      </c>
      <c r="AU1165" s="478"/>
      <c r="AV1165" s="471">
        <f t="shared" si="232"/>
        <v>49405140</v>
      </c>
      <c r="AW1165" s="471" cm="1">
        <f t="array" ref="AW1165">SUM(MID(0&amp;AV1165,LARGE(INDEX(ISNUMBER(--MID(AV1165,ROW($1:$8),1))*ROW($1:$8),),ROW($1:$8))+1,1)*10^ROW($1:$8)/10)</f>
        <v>49405140</v>
      </c>
      <c r="AX1165" s="471" t="str">
        <f>VLOOKUP($AW1165,'Item Master Data'!$A:$F,3,FALSE)</f>
        <v>Q.PEAK DUO BLK ML G10+</v>
      </c>
      <c r="AY1165" s="471">
        <f>VLOOKUP($AW1165,'Item Master Data'!$A:$F,6,FALSE)</f>
        <v>400</v>
      </c>
      <c r="AZ1165" s="471">
        <f t="shared" si="233"/>
        <v>24</v>
      </c>
      <c r="BA1165" s="471">
        <f>VLOOKUP(AW1165,'Item Master Data'!$A:$G,7,FALSE)</f>
        <v>32</v>
      </c>
      <c r="BB1165" s="471"/>
      <c r="BC1165" s="471">
        <f t="shared" si="234"/>
        <v>0</v>
      </c>
    </row>
    <row r="1166" spans="1:55">
      <c r="A1166" s="472"/>
      <c r="B1166" s="467"/>
      <c r="C1166" s="467"/>
      <c r="D1166" s="474" t="s">
        <v>2901</v>
      </c>
      <c r="E1166" s="445" t="s">
        <v>3080</v>
      </c>
      <c r="F1166" s="474" t="s">
        <v>1147</v>
      </c>
      <c r="G1166" s="474">
        <v>2022</v>
      </c>
      <c r="H1166" s="474">
        <v>5</v>
      </c>
      <c r="I1166" s="474"/>
      <c r="J1166" s="556"/>
      <c r="K1166" s="483" t="s">
        <v>3086</v>
      </c>
      <c r="L1166" s="474" t="s">
        <v>3052</v>
      </c>
      <c r="M1166" s="475">
        <v>44524</v>
      </c>
      <c r="N1166" s="475">
        <v>44620</v>
      </c>
      <c r="O1166" s="475"/>
      <c r="P1166" s="475"/>
      <c r="Q1166" s="475"/>
      <c r="R1166" s="475"/>
      <c r="S1166" s="474" t="s">
        <v>2904</v>
      </c>
      <c r="T1166" s="474">
        <v>60</v>
      </c>
      <c r="U1166" s="474">
        <v>49405140</v>
      </c>
      <c r="V1166" s="474" t="s">
        <v>973</v>
      </c>
      <c r="W1166" s="474">
        <v>400</v>
      </c>
      <c r="X1166" s="476">
        <v>768</v>
      </c>
      <c r="Y1166" s="491">
        <f t="shared" si="235"/>
        <v>307200</v>
      </c>
      <c r="Z1166" s="478">
        <v>0.46500000000000002</v>
      </c>
      <c r="AA1166" s="492">
        <f t="shared" si="230"/>
        <v>142848</v>
      </c>
      <c r="AB1166" s="492"/>
      <c r="AC1166" s="446">
        <v>0</v>
      </c>
      <c r="AD1166" s="490"/>
      <c r="AE1166" s="482"/>
      <c r="AF1166" s="580">
        <f t="shared" si="231"/>
        <v>142848</v>
      </c>
      <c r="AG1166" s="474" t="s">
        <v>47</v>
      </c>
      <c r="AH1166" s="474"/>
      <c r="AI1166" s="474">
        <v>60</v>
      </c>
      <c r="AJ1166" s="475" t="s">
        <v>3068</v>
      </c>
      <c r="AK1166" s="483" t="s">
        <v>1590</v>
      </c>
      <c r="AL1166" s="483" t="s">
        <v>3069</v>
      </c>
      <c r="AM1166" s="474" t="s">
        <v>52</v>
      </c>
      <c r="AN1166" s="474" t="s">
        <v>1074</v>
      </c>
      <c r="AO1166" s="474"/>
      <c r="AP1166" s="482"/>
      <c r="AQ1166" s="482" t="s">
        <v>37</v>
      </c>
      <c r="AR1166" s="439"/>
      <c r="AS1166" s="436" t="s">
        <v>1076</v>
      </c>
      <c r="AT1166" s="436" t="s">
        <v>1076</v>
      </c>
      <c r="AU1166" s="478"/>
      <c r="AV1166" s="471">
        <f t="shared" si="232"/>
        <v>49405140</v>
      </c>
      <c r="AW1166" s="471" cm="1">
        <f t="array" ref="AW1166">SUM(MID(0&amp;AV1166,LARGE(INDEX(ISNUMBER(--MID(AV1166,ROW($1:$8),1))*ROW($1:$8),),ROW($1:$8))+1,1)*10^ROW($1:$8)/10)</f>
        <v>49405140</v>
      </c>
      <c r="AX1166" s="471" t="str">
        <f>VLOOKUP($AW1166,'Item Master Data'!$A:$F,3,FALSE)</f>
        <v>Q.PEAK DUO BLK ML G10+</v>
      </c>
      <c r="AY1166" s="471">
        <f>VLOOKUP($AW1166,'Item Master Data'!$A:$F,6,FALSE)</f>
        <v>400</v>
      </c>
      <c r="AZ1166" s="471">
        <f t="shared" si="233"/>
        <v>24</v>
      </c>
      <c r="BA1166" s="471">
        <f>VLOOKUP(AW1166,'Item Master Data'!$A:$G,7,FALSE)</f>
        <v>32</v>
      </c>
      <c r="BB1166" s="471"/>
      <c r="BC1166" s="471">
        <f t="shared" si="234"/>
        <v>0</v>
      </c>
    </row>
    <row r="1167" spans="1:55">
      <c r="A1167" s="472"/>
      <c r="B1167" s="467"/>
      <c r="C1167" s="467"/>
      <c r="D1167" s="474" t="s">
        <v>2901</v>
      </c>
      <c r="E1167" s="445" t="s">
        <v>3080</v>
      </c>
      <c r="F1167" s="474" t="s">
        <v>1147</v>
      </c>
      <c r="G1167" s="474">
        <v>2022</v>
      </c>
      <c r="H1167" s="474">
        <v>5</v>
      </c>
      <c r="I1167" s="474"/>
      <c r="J1167" s="556"/>
      <c r="K1167" s="483" t="s">
        <v>3088</v>
      </c>
      <c r="L1167" s="474" t="s">
        <v>3052</v>
      </c>
      <c r="M1167" s="475">
        <v>44524</v>
      </c>
      <c r="N1167" s="475">
        <v>44651</v>
      </c>
      <c r="O1167" s="475"/>
      <c r="P1167" s="475"/>
      <c r="Q1167" s="475"/>
      <c r="R1167" s="475"/>
      <c r="S1167" s="474" t="s">
        <v>2904</v>
      </c>
      <c r="T1167" s="474">
        <v>60</v>
      </c>
      <c r="U1167" s="474">
        <v>49405140</v>
      </c>
      <c r="V1167" s="474" t="s">
        <v>973</v>
      </c>
      <c r="W1167" s="474">
        <v>400</v>
      </c>
      <c r="X1167" s="476">
        <v>768</v>
      </c>
      <c r="Y1167" s="491">
        <f t="shared" si="235"/>
        <v>307200</v>
      </c>
      <c r="Z1167" s="478">
        <v>0.48</v>
      </c>
      <c r="AA1167" s="492">
        <f t="shared" si="230"/>
        <v>147456</v>
      </c>
      <c r="AB1167" s="492"/>
      <c r="AC1167" s="446">
        <v>0</v>
      </c>
      <c r="AD1167" s="490"/>
      <c r="AE1167" s="482"/>
      <c r="AF1167" s="580">
        <f t="shared" si="231"/>
        <v>147456</v>
      </c>
      <c r="AG1167" s="474" t="s">
        <v>47</v>
      </c>
      <c r="AH1167" s="474"/>
      <c r="AI1167" s="474">
        <v>60</v>
      </c>
      <c r="AJ1167" s="475" t="s">
        <v>3055</v>
      </c>
      <c r="AK1167" s="483" t="s">
        <v>1375</v>
      </c>
      <c r="AL1167" s="483" t="s">
        <v>3082</v>
      </c>
      <c r="AM1167" s="474" t="s">
        <v>52</v>
      </c>
      <c r="AN1167" s="474" t="s">
        <v>1074</v>
      </c>
      <c r="AO1167" s="474"/>
      <c r="AP1167" s="482"/>
      <c r="AQ1167" s="482" t="s">
        <v>37</v>
      </c>
      <c r="AR1167" s="439"/>
      <c r="AS1167" s="436" t="s">
        <v>1076</v>
      </c>
      <c r="AT1167" s="436" t="s">
        <v>1076</v>
      </c>
      <c r="AU1167" s="478"/>
      <c r="AV1167" s="471">
        <f t="shared" si="232"/>
        <v>49405140</v>
      </c>
      <c r="AW1167" s="471" cm="1">
        <f t="array" ref="AW1167">SUM(MID(0&amp;AV1167,LARGE(INDEX(ISNUMBER(--MID(AV1167,ROW($1:$8),1))*ROW($1:$8),),ROW($1:$8))+1,1)*10^ROW($1:$8)/10)</f>
        <v>49405140</v>
      </c>
      <c r="AX1167" s="471" t="str">
        <f>VLOOKUP($AW1167,'Item Master Data'!$A:$F,3,FALSE)</f>
        <v>Q.PEAK DUO BLK ML G10+</v>
      </c>
      <c r="AY1167" s="471">
        <f>VLOOKUP($AW1167,'Item Master Data'!$A:$F,6,FALSE)</f>
        <v>400</v>
      </c>
      <c r="AZ1167" s="471">
        <f t="shared" si="233"/>
        <v>24</v>
      </c>
      <c r="BA1167" s="471">
        <f>VLOOKUP(AW1167,'Item Master Data'!$A:$G,7,FALSE)</f>
        <v>32</v>
      </c>
      <c r="BB1167" s="471"/>
      <c r="BC1167" s="471">
        <f t="shared" si="234"/>
        <v>0</v>
      </c>
    </row>
    <row r="1168" spans="1:55">
      <c r="A1168" s="472"/>
      <c r="B1168" s="467"/>
      <c r="C1168" s="467"/>
      <c r="D1168" s="474" t="s">
        <v>2901</v>
      </c>
      <c r="E1168" s="445" t="s">
        <v>3080</v>
      </c>
      <c r="F1168" s="474" t="s">
        <v>1147</v>
      </c>
      <c r="G1168" s="474">
        <v>2022</v>
      </c>
      <c r="H1168" s="474">
        <v>5</v>
      </c>
      <c r="I1168" s="474"/>
      <c r="J1168" s="556"/>
      <c r="K1168" s="483" t="s">
        <v>3089</v>
      </c>
      <c r="L1168" s="474" t="s">
        <v>3052</v>
      </c>
      <c r="M1168" s="475">
        <v>44524</v>
      </c>
      <c r="N1168" s="475">
        <v>44651</v>
      </c>
      <c r="O1168" s="475"/>
      <c r="P1168" s="475"/>
      <c r="Q1168" s="475"/>
      <c r="R1168" s="475"/>
      <c r="S1168" s="474" t="s">
        <v>2904</v>
      </c>
      <c r="T1168" s="474">
        <v>60</v>
      </c>
      <c r="U1168" s="474">
        <v>49405140</v>
      </c>
      <c r="V1168" s="474" t="s">
        <v>973</v>
      </c>
      <c r="W1168" s="474">
        <v>400</v>
      </c>
      <c r="X1168" s="476">
        <v>768</v>
      </c>
      <c r="Y1168" s="491">
        <f t="shared" si="235"/>
        <v>307200</v>
      </c>
      <c r="Z1168" s="478">
        <v>0.48</v>
      </c>
      <c r="AA1168" s="492">
        <f t="shared" si="230"/>
        <v>147456</v>
      </c>
      <c r="AB1168" s="492"/>
      <c r="AC1168" s="446">
        <v>0</v>
      </c>
      <c r="AD1168" s="490"/>
      <c r="AE1168" s="482"/>
      <c r="AF1168" s="580">
        <f t="shared" si="231"/>
        <v>147456</v>
      </c>
      <c r="AG1168" s="474" t="s">
        <v>47</v>
      </c>
      <c r="AH1168" s="474"/>
      <c r="AI1168" s="474">
        <v>60</v>
      </c>
      <c r="AJ1168" s="475" t="s">
        <v>3055</v>
      </c>
      <c r="AK1168" s="483" t="s">
        <v>1375</v>
      </c>
      <c r="AL1168" s="483" t="s">
        <v>3082</v>
      </c>
      <c r="AM1168" s="474" t="s">
        <v>52</v>
      </c>
      <c r="AN1168" s="474" t="s">
        <v>1074</v>
      </c>
      <c r="AO1168" s="474"/>
      <c r="AP1168" s="482"/>
      <c r="AQ1168" s="482" t="s">
        <v>37</v>
      </c>
      <c r="AR1168" s="439"/>
      <c r="AS1168" s="436" t="s">
        <v>1076</v>
      </c>
      <c r="AT1168" s="436" t="s">
        <v>1076</v>
      </c>
      <c r="AU1168" s="478"/>
      <c r="AV1168" s="471">
        <f t="shared" si="232"/>
        <v>49405140</v>
      </c>
      <c r="AW1168" s="471" cm="1">
        <f t="array" ref="AW1168">SUM(MID(0&amp;AV1168,LARGE(INDEX(ISNUMBER(--MID(AV1168,ROW($1:$8),1))*ROW($1:$8),),ROW($1:$8))+1,1)*10^ROW($1:$8)/10)</f>
        <v>49405140</v>
      </c>
      <c r="AX1168" s="471" t="str">
        <f>VLOOKUP($AW1168,'Item Master Data'!$A:$F,3,FALSE)</f>
        <v>Q.PEAK DUO BLK ML G10+</v>
      </c>
      <c r="AY1168" s="471">
        <f>VLOOKUP($AW1168,'Item Master Data'!$A:$F,6,FALSE)</f>
        <v>400</v>
      </c>
      <c r="AZ1168" s="471">
        <f t="shared" si="233"/>
        <v>24</v>
      </c>
      <c r="BA1168" s="471">
        <f>VLOOKUP(AW1168,'Item Master Data'!$A:$G,7,FALSE)</f>
        <v>32</v>
      </c>
      <c r="BB1168" s="471"/>
      <c r="BC1168" s="471">
        <f t="shared" si="234"/>
        <v>0</v>
      </c>
    </row>
    <row r="1169" spans="1:55">
      <c r="A1169" s="472"/>
      <c r="B1169" s="467"/>
      <c r="C1169" s="467"/>
      <c r="D1169" s="474" t="s">
        <v>2901</v>
      </c>
      <c r="E1169" s="445" t="s">
        <v>3080</v>
      </c>
      <c r="F1169" s="474" t="s">
        <v>1147</v>
      </c>
      <c r="G1169" s="474">
        <v>2022</v>
      </c>
      <c r="H1169" s="474">
        <v>5</v>
      </c>
      <c r="I1169" s="474"/>
      <c r="J1169" s="556"/>
      <c r="K1169" s="483" t="s">
        <v>3090</v>
      </c>
      <c r="L1169" s="474" t="s">
        <v>3052</v>
      </c>
      <c r="M1169" s="475">
        <v>44524</v>
      </c>
      <c r="N1169" s="475">
        <v>44651</v>
      </c>
      <c r="O1169" s="475"/>
      <c r="P1169" s="475"/>
      <c r="Q1169" s="475"/>
      <c r="R1169" s="475"/>
      <c r="S1169" s="474" t="s">
        <v>2904</v>
      </c>
      <c r="T1169" s="474">
        <v>60</v>
      </c>
      <c r="U1169" s="474">
        <v>49405140</v>
      </c>
      <c r="V1169" s="474" t="s">
        <v>973</v>
      </c>
      <c r="W1169" s="474">
        <v>400</v>
      </c>
      <c r="X1169" s="476">
        <v>768</v>
      </c>
      <c r="Y1169" s="491">
        <f t="shared" si="235"/>
        <v>307200</v>
      </c>
      <c r="Z1169" s="478">
        <v>0.48</v>
      </c>
      <c r="AA1169" s="492">
        <f t="shared" si="230"/>
        <v>147456</v>
      </c>
      <c r="AB1169" s="492"/>
      <c r="AC1169" s="446">
        <v>0</v>
      </c>
      <c r="AD1169" s="490"/>
      <c r="AE1169" s="482"/>
      <c r="AF1169" s="580">
        <f t="shared" si="231"/>
        <v>147456</v>
      </c>
      <c r="AG1169" s="474" t="s">
        <v>47</v>
      </c>
      <c r="AH1169" s="474"/>
      <c r="AI1169" s="474">
        <v>60</v>
      </c>
      <c r="AJ1169" s="475" t="s">
        <v>3061</v>
      </c>
      <c r="AK1169" s="483" t="s">
        <v>1074</v>
      </c>
      <c r="AL1169" s="483" t="s">
        <v>3062</v>
      </c>
      <c r="AM1169" s="474" t="s">
        <v>52</v>
      </c>
      <c r="AN1169" s="474" t="s">
        <v>1074</v>
      </c>
      <c r="AO1169" s="474"/>
      <c r="AP1169" s="482"/>
      <c r="AQ1169" s="482" t="s">
        <v>37</v>
      </c>
      <c r="AR1169" s="439"/>
      <c r="AS1169" s="436" t="s">
        <v>1076</v>
      </c>
      <c r="AT1169" s="436" t="s">
        <v>1076</v>
      </c>
      <c r="AU1169" s="478"/>
      <c r="AV1169" s="471">
        <f t="shared" si="232"/>
        <v>49405140</v>
      </c>
      <c r="AW1169" s="471" cm="1">
        <f t="array" ref="AW1169">SUM(MID(0&amp;AV1169,LARGE(INDEX(ISNUMBER(--MID(AV1169,ROW($1:$8),1))*ROW($1:$8),),ROW($1:$8))+1,1)*10^ROW($1:$8)/10)</f>
        <v>49405140</v>
      </c>
      <c r="AX1169" s="471" t="str">
        <f>VLOOKUP($AW1169,'Item Master Data'!$A:$F,3,FALSE)</f>
        <v>Q.PEAK DUO BLK ML G10+</v>
      </c>
      <c r="AY1169" s="471">
        <f>VLOOKUP($AW1169,'Item Master Data'!$A:$F,6,FALSE)</f>
        <v>400</v>
      </c>
      <c r="AZ1169" s="471">
        <f t="shared" si="233"/>
        <v>24</v>
      </c>
      <c r="BA1169" s="471">
        <f>VLOOKUP(AW1169,'Item Master Data'!$A:$G,7,FALSE)</f>
        <v>32</v>
      </c>
      <c r="BB1169" s="471"/>
      <c r="BC1169" s="471">
        <f t="shared" si="234"/>
        <v>0</v>
      </c>
    </row>
    <row r="1170" spans="1:55">
      <c r="A1170" s="472"/>
      <c r="B1170" s="467"/>
      <c r="C1170" s="467"/>
      <c r="D1170" s="474" t="s">
        <v>2901</v>
      </c>
      <c r="E1170" s="445" t="s">
        <v>3080</v>
      </c>
      <c r="F1170" s="474" t="s">
        <v>1147</v>
      </c>
      <c r="G1170" s="474">
        <v>2022</v>
      </c>
      <c r="H1170" s="474">
        <v>5</v>
      </c>
      <c r="I1170" s="474"/>
      <c r="J1170" s="556"/>
      <c r="K1170" s="483" t="s">
        <v>3091</v>
      </c>
      <c r="L1170" s="474" t="s">
        <v>3052</v>
      </c>
      <c r="M1170" s="475">
        <v>44524</v>
      </c>
      <c r="N1170" s="475">
        <v>44651</v>
      </c>
      <c r="O1170" s="475"/>
      <c r="P1170" s="475"/>
      <c r="Q1170" s="475"/>
      <c r="R1170" s="475"/>
      <c r="S1170" s="474" t="s">
        <v>2904</v>
      </c>
      <c r="T1170" s="474">
        <v>60</v>
      </c>
      <c r="U1170" s="474">
        <v>49405140</v>
      </c>
      <c r="V1170" s="474" t="s">
        <v>973</v>
      </c>
      <c r="W1170" s="474">
        <v>400</v>
      </c>
      <c r="X1170" s="476">
        <v>768</v>
      </c>
      <c r="Y1170" s="491">
        <f t="shared" si="235"/>
        <v>307200</v>
      </c>
      <c r="Z1170" s="478">
        <v>0.48</v>
      </c>
      <c r="AA1170" s="492">
        <f t="shared" si="230"/>
        <v>147456</v>
      </c>
      <c r="AB1170" s="492"/>
      <c r="AC1170" s="446">
        <v>0</v>
      </c>
      <c r="AD1170" s="490"/>
      <c r="AE1170" s="482"/>
      <c r="AF1170" s="580">
        <f t="shared" si="231"/>
        <v>147456</v>
      </c>
      <c r="AG1170" s="474" t="s">
        <v>47</v>
      </c>
      <c r="AH1170" s="474"/>
      <c r="AI1170" s="474">
        <v>60</v>
      </c>
      <c r="AJ1170" s="475" t="s">
        <v>3061</v>
      </c>
      <c r="AK1170" s="483" t="s">
        <v>1074</v>
      </c>
      <c r="AL1170" s="483" t="s">
        <v>3062</v>
      </c>
      <c r="AM1170" s="474" t="s">
        <v>52</v>
      </c>
      <c r="AN1170" s="474" t="s">
        <v>1074</v>
      </c>
      <c r="AO1170" s="474"/>
      <c r="AP1170" s="482"/>
      <c r="AQ1170" s="482" t="s">
        <v>37</v>
      </c>
      <c r="AR1170" s="439"/>
      <c r="AS1170" s="436" t="s">
        <v>1076</v>
      </c>
      <c r="AT1170" s="436" t="s">
        <v>1076</v>
      </c>
      <c r="AU1170" s="478"/>
      <c r="AV1170" s="471">
        <f t="shared" si="232"/>
        <v>49405140</v>
      </c>
      <c r="AW1170" s="471" cm="1">
        <f t="array" ref="AW1170">SUM(MID(0&amp;AV1170,LARGE(INDEX(ISNUMBER(--MID(AV1170,ROW($1:$8),1))*ROW($1:$8),),ROW($1:$8))+1,1)*10^ROW($1:$8)/10)</f>
        <v>49405140</v>
      </c>
      <c r="AX1170" s="471" t="str">
        <f>VLOOKUP($AW1170,'Item Master Data'!$A:$F,3,FALSE)</f>
        <v>Q.PEAK DUO BLK ML G10+</v>
      </c>
      <c r="AY1170" s="471">
        <f>VLOOKUP($AW1170,'Item Master Data'!$A:$F,6,FALSE)</f>
        <v>400</v>
      </c>
      <c r="AZ1170" s="471">
        <f t="shared" si="233"/>
        <v>24</v>
      </c>
      <c r="BA1170" s="471">
        <f>VLOOKUP(AW1170,'Item Master Data'!$A:$G,7,FALSE)</f>
        <v>32</v>
      </c>
      <c r="BB1170" s="471"/>
      <c r="BC1170" s="471">
        <f t="shared" si="234"/>
        <v>0</v>
      </c>
    </row>
    <row r="1171" spans="1:55">
      <c r="A1171" s="472"/>
      <c r="B1171" s="467"/>
      <c r="C1171" s="467"/>
      <c r="D1171" s="474" t="s">
        <v>2901</v>
      </c>
      <c r="E1171" s="445" t="s">
        <v>3080</v>
      </c>
      <c r="F1171" s="474" t="s">
        <v>1147</v>
      </c>
      <c r="G1171" s="474">
        <v>2022</v>
      </c>
      <c r="H1171" s="474">
        <v>5</v>
      </c>
      <c r="I1171" s="474"/>
      <c r="J1171" s="556"/>
      <c r="K1171" s="483" t="s">
        <v>3092</v>
      </c>
      <c r="L1171" s="474" t="s">
        <v>3052</v>
      </c>
      <c r="M1171" s="475">
        <v>44524</v>
      </c>
      <c r="N1171" s="475">
        <v>44651</v>
      </c>
      <c r="O1171" s="475"/>
      <c r="P1171" s="475"/>
      <c r="Q1171" s="475"/>
      <c r="R1171" s="475"/>
      <c r="S1171" s="474" t="s">
        <v>2904</v>
      </c>
      <c r="T1171" s="474">
        <v>60</v>
      </c>
      <c r="U1171" s="474">
        <v>49405140</v>
      </c>
      <c r="V1171" s="474" t="s">
        <v>973</v>
      </c>
      <c r="W1171" s="474">
        <v>400</v>
      </c>
      <c r="X1171" s="476">
        <v>768</v>
      </c>
      <c r="Y1171" s="491">
        <f t="shared" si="235"/>
        <v>307200</v>
      </c>
      <c r="Z1171" s="478">
        <v>0.48</v>
      </c>
      <c r="AA1171" s="492">
        <f t="shared" si="230"/>
        <v>147456</v>
      </c>
      <c r="AB1171" s="492"/>
      <c r="AC1171" s="446">
        <v>0</v>
      </c>
      <c r="AD1171" s="490"/>
      <c r="AE1171" s="482"/>
      <c r="AF1171" s="580">
        <f t="shared" si="231"/>
        <v>147456</v>
      </c>
      <c r="AG1171" s="474" t="s">
        <v>47</v>
      </c>
      <c r="AH1171" s="474"/>
      <c r="AI1171" s="474">
        <v>60</v>
      </c>
      <c r="AJ1171" s="475" t="s">
        <v>3093</v>
      </c>
      <c r="AK1171" s="483" t="s">
        <v>2406</v>
      </c>
      <c r="AL1171" s="483" t="s">
        <v>3094</v>
      </c>
      <c r="AM1171" s="474" t="s">
        <v>52</v>
      </c>
      <c r="AN1171" s="474" t="s">
        <v>1074</v>
      </c>
      <c r="AO1171" s="474"/>
      <c r="AP1171" s="482"/>
      <c r="AQ1171" s="482" t="s">
        <v>37</v>
      </c>
      <c r="AR1171" s="439"/>
      <c r="AS1171" s="436" t="s">
        <v>1076</v>
      </c>
      <c r="AT1171" s="436" t="s">
        <v>1076</v>
      </c>
      <c r="AU1171" s="478"/>
      <c r="AV1171" s="471">
        <f t="shared" si="232"/>
        <v>49405140</v>
      </c>
      <c r="AW1171" s="471" cm="1">
        <f t="array" ref="AW1171">SUM(MID(0&amp;AV1171,LARGE(INDEX(ISNUMBER(--MID(AV1171,ROW($1:$8),1))*ROW($1:$8),),ROW($1:$8))+1,1)*10^ROW($1:$8)/10)</f>
        <v>49405140</v>
      </c>
      <c r="AX1171" s="471" t="str">
        <f>VLOOKUP($AW1171,'Item Master Data'!$A:$F,3,FALSE)</f>
        <v>Q.PEAK DUO BLK ML G10+</v>
      </c>
      <c r="AY1171" s="471">
        <f>VLOOKUP($AW1171,'Item Master Data'!$A:$F,6,FALSE)</f>
        <v>400</v>
      </c>
      <c r="AZ1171" s="471">
        <f t="shared" si="233"/>
        <v>24</v>
      </c>
      <c r="BA1171" s="471">
        <f>VLOOKUP(AW1171,'Item Master Data'!$A:$G,7,FALSE)</f>
        <v>32</v>
      </c>
      <c r="BB1171" s="471"/>
      <c r="BC1171" s="471">
        <f t="shared" si="234"/>
        <v>0</v>
      </c>
    </row>
    <row r="1172" spans="1:55">
      <c r="A1172" s="472"/>
      <c r="B1172" s="467"/>
      <c r="C1172" s="467"/>
      <c r="D1172" s="474" t="s">
        <v>2901</v>
      </c>
      <c r="E1172" s="445" t="s">
        <v>3080</v>
      </c>
      <c r="F1172" s="474" t="s">
        <v>1147</v>
      </c>
      <c r="G1172" s="474">
        <v>2022</v>
      </c>
      <c r="H1172" s="474">
        <v>5</v>
      </c>
      <c r="I1172" s="474"/>
      <c r="J1172" s="556"/>
      <c r="K1172" s="483" t="s">
        <v>3095</v>
      </c>
      <c r="L1172" s="474" t="s">
        <v>3052</v>
      </c>
      <c r="M1172" s="475">
        <v>44524</v>
      </c>
      <c r="N1172" s="475">
        <v>44651</v>
      </c>
      <c r="O1172" s="475"/>
      <c r="P1172" s="475"/>
      <c r="Q1172" s="475"/>
      <c r="R1172" s="475"/>
      <c r="S1172" s="474" t="s">
        <v>2904</v>
      </c>
      <c r="T1172" s="474">
        <v>60</v>
      </c>
      <c r="U1172" s="474">
        <v>49405140</v>
      </c>
      <c r="V1172" s="474" t="s">
        <v>973</v>
      </c>
      <c r="W1172" s="474">
        <v>400</v>
      </c>
      <c r="X1172" s="476">
        <v>768</v>
      </c>
      <c r="Y1172" s="491">
        <f t="shared" si="235"/>
        <v>307200</v>
      </c>
      <c r="Z1172" s="478">
        <v>0.48</v>
      </c>
      <c r="AA1172" s="492">
        <f t="shared" si="230"/>
        <v>147456</v>
      </c>
      <c r="AB1172" s="492"/>
      <c r="AC1172" s="446">
        <v>0</v>
      </c>
      <c r="AD1172" s="490"/>
      <c r="AE1172" s="482"/>
      <c r="AF1172" s="580">
        <f t="shared" si="231"/>
        <v>147456</v>
      </c>
      <c r="AG1172" s="474" t="s">
        <v>47</v>
      </c>
      <c r="AH1172" s="474"/>
      <c r="AI1172" s="474">
        <v>60</v>
      </c>
      <c r="AJ1172" s="475" t="s">
        <v>3053</v>
      </c>
      <c r="AK1172" s="483" t="s">
        <v>1158</v>
      </c>
      <c r="AL1172" s="483" t="s">
        <v>3078</v>
      </c>
      <c r="AM1172" s="474" t="s">
        <v>52</v>
      </c>
      <c r="AN1172" s="474" t="s">
        <v>1074</v>
      </c>
      <c r="AO1172" s="474"/>
      <c r="AP1172" s="482"/>
      <c r="AQ1172" s="482" t="s">
        <v>37</v>
      </c>
      <c r="AR1172" s="439"/>
      <c r="AS1172" s="436" t="s">
        <v>1076</v>
      </c>
      <c r="AT1172" s="436" t="s">
        <v>1076</v>
      </c>
      <c r="AU1172" s="478"/>
      <c r="AV1172" s="471">
        <f t="shared" si="232"/>
        <v>49405140</v>
      </c>
      <c r="AW1172" s="471" cm="1">
        <f t="array" ref="AW1172">SUM(MID(0&amp;AV1172,LARGE(INDEX(ISNUMBER(--MID(AV1172,ROW($1:$8),1))*ROW($1:$8),),ROW($1:$8))+1,1)*10^ROW($1:$8)/10)</f>
        <v>49405140</v>
      </c>
      <c r="AX1172" s="471" t="str">
        <f>VLOOKUP($AW1172,'Item Master Data'!$A:$F,3,FALSE)</f>
        <v>Q.PEAK DUO BLK ML G10+</v>
      </c>
      <c r="AY1172" s="471">
        <f>VLOOKUP($AW1172,'Item Master Data'!$A:$F,6,FALSE)</f>
        <v>400</v>
      </c>
      <c r="AZ1172" s="471">
        <f t="shared" si="233"/>
        <v>24</v>
      </c>
      <c r="BA1172" s="471">
        <f>VLOOKUP(AW1172,'Item Master Data'!$A:$G,7,FALSE)</f>
        <v>32</v>
      </c>
      <c r="BB1172" s="471"/>
      <c r="BC1172" s="471">
        <f t="shared" si="234"/>
        <v>0</v>
      </c>
    </row>
    <row r="1173" spans="1:55">
      <c r="A1173" s="472"/>
      <c r="B1173" s="467"/>
      <c r="C1173" s="467"/>
      <c r="D1173" s="474" t="s">
        <v>2901</v>
      </c>
      <c r="E1173" s="445" t="s">
        <v>3080</v>
      </c>
      <c r="F1173" s="474" t="s">
        <v>1147</v>
      </c>
      <c r="G1173" s="474">
        <v>2022</v>
      </c>
      <c r="H1173" s="474">
        <v>5</v>
      </c>
      <c r="I1173" s="474"/>
      <c r="J1173" s="556"/>
      <c r="K1173" s="483" t="s">
        <v>3096</v>
      </c>
      <c r="L1173" s="474" t="s">
        <v>3052</v>
      </c>
      <c r="M1173" s="475">
        <v>44524</v>
      </c>
      <c r="N1173" s="475">
        <v>44651</v>
      </c>
      <c r="O1173" s="475"/>
      <c r="P1173" s="475"/>
      <c r="Q1173" s="475"/>
      <c r="R1173" s="475"/>
      <c r="S1173" s="474" t="s">
        <v>2904</v>
      </c>
      <c r="T1173" s="474">
        <v>60</v>
      </c>
      <c r="U1173" s="474">
        <v>49405140</v>
      </c>
      <c r="V1173" s="474" t="s">
        <v>973</v>
      </c>
      <c r="W1173" s="474">
        <v>400</v>
      </c>
      <c r="X1173" s="476">
        <v>768</v>
      </c>
      <c r="Y1173" s="491">
        <f t="shared" si="235"/>
        <v>307200</v>
      </c>
      <c r="Z1173" s="478">
        <v>0.48</v>
      </c>
      <c r="AA1173" s="492">
        <f t="shared" si="230"/>
        <v>147456</v>
      </c>
      <c r="AB1173" s="492"/>
      <c r="AC1173" s="446">
        <v>0</v>
      </c>
      <c r="AD1173" s="490"/>
      <c r="AE1173" s="482"/>
      <c r="AF1173" s="580">
        <f t="shared" si="231"/>
        <v>147456</v>
      </c>
      <c r="AG1173" s="474" t="s">
        <v>47</v>
      </c>
      <c r="AH1173" s="474"/>
      <c r="AI1173" s="474">
        <v>60</v>
      </c>
      <c r="AJ1173" s="475" t="s">
        <v>3064</v>
      </c>
      <c r="AK1173" s="483" t="s">
        <v>1158</v>
      </c>
      <c r="AL1173" s="483" t="s">
        <v>3065</v>
      </c>
      <c r="AM1173" s="474" t="s">
        <v>52</v>
      </c>
      <c r="AN1173" s="474" t="s">
        <v>1074</v>
      </c>
      <c r="AO1173" s="474"/>
      <c r="AP1173" s="482"/>
      <c r="AQ1173" s="482" t="s">
        <v>37</v>
      </c>
      <c r="AR1173" s="439"/>
      <c r="AS1173" s="436" t="s">
        <v>1076</v>
      </c>
      <c r="AT1173" s="436" t="s">
        <v>1076</v>
      </c>
      <c r="AU1173" s="478"/>
      <c r="AV1173" s="471">
        <f t="shared" si="232"/>
        <v>49405140</v>
      </c>
      <c r="AW1173" s="471" cm="1">
        <f t="array" ref="AW1173">SUM(MID(0&amp;AV1173,LARGE(INDEX(ISNUMBER(--MID(AV1173,ROW($1:$8),1))*ROW($1:$8),),ROW($1:$8))+1,1)*10^ROW($1:$8)/10)</f>
        <v>49405140</v>
      </c>
      <c r="AX1173" s="471" t="str">
        <f>VLOOKUP($AW1173,'Item Master Data'!$A:$F,3,FALSE)</f>
        <v>Q.PEAK DUO BLK ML G10+</v>
      </c>
      <c r="AY1173" s="471">
        <f>VLOOKUP($AW1173,'Item Master Data'!$A:$F,6,FALSE)</f>
        <v>400</v>
      </c>
      <c r="AZ1173" s="471">
        <f t="shared" si="233"/>
        <v>24</v>
      </c>
      <c r="BA1173" s="471">
        <f>VLOOKUP(AW1173,'Item Master Data'!$A:$G,7,FALSE)</f>
        <v>32</v>
      </c>
      <c r="BB1173" s="471"/>
      <c r="BC1173" s="471">
        <f t="shared" si="234"/>
        <v>0</v>
      </c>
    </row>
    <row r="1174" spans="1:55">
      <c r="A1174" s="472"/>
      <c r="B1174" s="467" t="s">
        <v>1211</v>
      </c>
      <c r="C1174" s="467">
        <v>44645</v>
      </c>
      <c r="D1174" s="474" t="s">
        <v>2901</v>
      </c>
      <c r="E1174" s="445" t="s">
        <v>3106</v>
      </c>
      <c r="F1174" s="474" t="s">
        <v>1147</v>
      </c>
      <c r="G1174" s="474">
        <v>2022</v>
      </c>
      <c r="H1174" s="474">
        <v>5</v>
      </c>
      <c r="I1174" s="474"/>
      <c r="J1174" s="556"/>
      <c r="K1174" s="483" t="s">
        <v>3107</v>
      </c>
      <c r="L1174" s="474" t="s">
        <v>3108</v>
      </c>
      <c r="M1174" s="475">
        <v>44505</v>
      </c>
      <c r="N1174" s="475">
        <v>44594</v>
      </c>
      <c r="O1174" s="475">
        <v>44621</v>
      </c>
      <c r="P1174" s="475"/>
      <c r="Q1174" s="475"/>
      <c r="R1174" s="475"/>
      <c r="S1174" s="474" t="s">
        <v>2904</v>
      </c>
      <c r="T1174" s="474">
        <v>60</v>
      </c>
      <c r="U1174" s="474">
        <v>49202132</v>
      </c>
      <c r="V1174" s="474" t="s">
        <v>1223</v>
      </c>
      <c r="W1174" s="474">
        <v>360</v>
      </c>
      <c r="X1174" s="476">
        <v>728</v>
      </c>
      <c r="Y1174" s="491">
        <f t="shared" si="235"/>
        <v>262080</v>
      </c>
      <c r="Z1174" s="478">
        <v>0.83</v>
      </c>
      <c r="AA1174" s="492">
        <f t="shared" si="230"/>
        <v>217526.39999999999</v>
      </c>
      <c r="AB1174" s="492"/>
      <c r="AC1174" s="446">
        <v>0</v>
      </c>
      <c r="AD1174" s="490"/>
      <c r="AE1174" s="482"/>
      <c r="AF1174" s="580">
        <f t="shared" si="231"/>
        <v>217526.39999999999</v>
      </c>
      <c r="AG1174" s="474" t="s">
        <v>1071</v>
      </c>
      <c r="AH1174" s="474"/>
      <c r="AI1174" s="474">
        <v>60</v>
      </c>
      <c r="AJ1174" s="475" t="s">
        <v>3109</v>
      </c>
      <c r="AK1174" s="483" t="s">
        <v>1084</v>
      </c>
      <c r="AL1174" s="483" t="s">
        <v>3110</v>
      </c>
      <c r="AM1174" s="474" t="s">
        <v>52</v>
      </c>
      <c r="AN1174" s="474" t="s">
        <v>1074</v>
      </c>
      <c r="AO1174" s="474"/>
      <c r="AP1174" s="482"/>
      <c r="AQ1174" s="482" t="s">
        <v>37</v>
      </c>
      <c r="AR1174" s="439"/>
      <c r="AS1174" s="436" t="s">
        <v>1076</v>
      </c>
      <c r="AT1174" s="436" t="s">
        <v>1076</v>
      </c>
      <c r="AU1174" s="478"/>
      <c r="AV1174" s="471">
        <f t="shared" si="232"/>
        <v>49202132</v>
      </c>
      <c r="AW1174" s="471" cm="1">
        <f t="array" ref="AW1174">SUM(MID(0&amp;AV1174,LARGE(INDEX(ISNUMBER(--MID(AV1174,ROW($1:$8),1))*ROW($1:$8),),ROW($1:$8))+1,1)*10^ROW($1:$8)/10)</f>
        <v>49202132</v>
      </c>
      <c r="AX1174" s="471" t="str">
        <f>VLOOKUP($AW1174,'Item Master Data'!$A:$F,3,FALSE)</f>
        <v>Q.PEAK DUO BLK G10+/AC</v>
      </c>
      <c r="AY1174" s="471">
        <f>VLOOKUP($AW1174,'Item Master Data'!$A:$F,6,FALSE)</f>
        <v>360</v>
      </c>
      <c r="AZ1174" s="471">
        <f t="shared" si="233"/>
        <v>28</v>
      </c>
      <c r="BA1174" s="471">
        <f>VLOOKUP(AW1174,'Item Master Data'!$A:$G,7,FALSE)</f>
        <v>26</v>
      </c>
      <c r="BB1174" s="471"/>
      <c r="BC1174" s="471">
        <f t="shared" si="234"/>
        <v>0</v>
      </c>
    </row>
    <row r="1175" spans="1:55">
      <c r="A1175" s="472"/>
      <c r="B1175" s="449">
        <v>44644</v>
      </c>
      <c r="C1175" s="449">
        <v>44644</v>
      </c>
      <c r="D1175" s="474" t="s">
        <v>2901</v>
      </c>
      <c r="E1175" s="445" t="s">
        <v>5246</v>
      </c>
      <c r="F1175" s="474" t="s">
        <v>1147</v>
      </c>
      <c r="G1175" s="474">
        <v>2022</v>
      </c>
      <c r="H1175" s="474">
        <v>5</v>
      </c>
      <c r="I1175" s="474"/>
      <c r="J1175" s="556"/>
      <c r="K1175" s="474" t="s">
        <v>3121</v>
      </c>
      <c r="L1175" s="474" t="s">
        <v>3113</v>
      </c>
      <c r="M1175" s="475">
        <v>44616</v>
      </c>
      <c r="N1175" s="475">
        <v>44652</v>
      </c>
      <c r="O1175" s="475"/>
      <c r="P1175" s="475">
        <v>44664</v>
      </c>
      <c r="Q1175" s="475"/>
      <c r="R1175" s="475"/>
      <c r="S1175" s="474" t="s">
        <v>2904</v>
      </c>
      <c r="T1175" s="474">
        <v>60</v>
      </c>
      <c r="U1175" s="474">
        <v>49204132</v>
      </c>
      <c r="V1175" s="474" t="s">
        <v>1223</v>
      </c>
      <c r="W1175" s="474">
        <v>360</v>
      </c>
      <c r="X1175" s="476">
        <v>728</v>
      </c>
      <c r="Y1175" s="491">
        <f t="shared" ref="Y1175:Y1184" si="236">W1175*X1175</f>
        <v>262080</v>
      </c>
      <c r="Z1175" s="478">
        <v>0.79</v>
      </c>
      <c r="AA1175" s="492">
        <f t="shared" si="230"/>
        <v>207043.20000000001</v>
      </c>
      <c r="AB1175" s="492"/>
      <c r="AC1175" s="446">
        <v>0</v>
      </c>
      <c r="AD1175" s="490"/>
      <c r="AE1175" s="482"/>
      <c r="AF1175" s="580">
        <f t="shared" si="231"/>
        <v>207043.20000000001</v>
      </c>
      <c r="AG1175" s="474" t="s">
        <v>47</v>
      </c>
      <c r="AH1175" s="474"/>
      <c r="AI1175" s="474">
        <v>30</v>
      </c>
      <c r="AJ1175" s="484" t="s">
        <v>3122</v>
      </c>
      <c r="AK1175" s="474" t="s">
        <v>1074</v>
      </c>
      <c r="AL1175" s="483" t="s">
        <v>3123</v>
      </c>
      <c r="AM1175" s="474" t="s">
        <v>52</v>
      </c>
      <c r="AN1175" s="474" t="s">
        <v>2928</v>
      </c>
      <c r="AO1175" s="474"/>
      <c r="AP1175" s="482"/>
      <c r="AQ1175" s="482" t="s">
        <v>37</v>
      </c>
      <c r="AR1175" s="482"/>
      <c r="AS1175" s="436" t="s">
        <v>1076</v>
      </c>
      <c r="AT1175" s="436" t="s">
        <v>1076</v>
      </c>
      <c r="AU1175" s="478">
        <v>0.73</v>
      </c>
      <c r="AV1175" s="471">
        <f t="shared" si="232"/>
        <v>49204132</v>
      </c>
      <c r="AW1175" s="471" cm="1">
        <f t="array" ref="AW1175">SUM(MID(0&amp;AV1175,LARGE(INDEX(ISNUMBER(--MID(AV1175,ROW($1:$8),1))*ROW($1:$8),),ROW($1:$8))+1,1)*10^ROW($1:$8)/10)</f>
        <v>49204132</v>
      </c>
      <c r="AX1175" s="471" t="str">
        <f>VLOOKUP($AW1175,'Item Master Data'!$A:$F,3,FALSE)</f>
        <v>Q.PEAK DUO BLK G10+/AC</v>
      </c>
      <c r="AY1175" s="471">
        <f>VLOOKUP($AW1175,'Item Master Data'!$A:$F,6,FALSE)</f>
        <v>360</v>
      </c>
      <c r="AZ1175" s="471">
        <f t="shared" si="233"/>
        <v>28</v>
      </c>
      <c r="BA1175" s="471">
        <f>VLOOKUP(AW1175,'Item Master Data'!$A:$G,7,FALSE)</f>
        <v>26</v>
      </c>
      <c r="BB1175" s="471"/>
      <c r="BC1175" s="471">
        <f t="shared" si="234"/>
        <v>0</v>
      </c>
    </row>
    <row r="1176" spans="1:55">
      <c r="A1176" s="472"/>
      <c r="B1176" s="449">
        <v>44644</v>
      </c>
      <c r="C1176" s="449">
        <v>44644</v>
      </c>
      <c r="D1176" s="474" t="s">
        <v>2901</v>
      </c>
      <c r="E1176" s="445" t="s">
        <v>3120</v>
      </c>
      <c r="F1176" s="474" t="s">
        <v>1147</v>
      </c>
      <c r="G1176" s="474">
        <v>2022</v>
      </c>
      <c r="H1176" s="474">
        <v>5</v>
      </c>
      <c r="I1176" s="474"/>
      <c r="J1176" s="556"/>
      <c r="K1176" s="474" t="s">
        <v>3124</v>
      </c>
      <c r="L1176" s="474" t="s">
        <v>3113</v>
      </c>
      <c r="M1176" s="475">
        <v>44620</v>
      </c>
      <c r="N1176" s="475">
        <v>44652</v>
      </c>
      <c r="O1176" s="475"/>
      <c r="P1176" s="475"/>
      <c r="Q1176" s="475"/>
      <c r="R1176" s="475"/>
      <c r="S1176" s="474" t="s">
        <v>2904</v>
      </c>
      <c r="T1176" s="474">
        <v>60</v>
      </c>
      <c r="U1176" s="474">
        <v>49201132</v>
      </c>
      <c r="V1176" s="474" t="s">
        <v>1755</v>
      </c>
      <c r="W1176" s="474">
        <v>360</v>
      </c>
      <c r="X1176" s="476">
        <v>896</v>
      </c>
      <c r="Y1176" s="491">
        <f t="shared" si="236"/>
        <v>322560</v>
      </c>
      <c r="Z1176" s="478">
        <v>0.52</v>
      </c>
      <c r="AA1176" s="492">
        <f t="shared" si="230"/>
        <v>167731.20000000001</v>
      </c>
      <c r="AB1176" s="492"/>
      <c r="AC1176" s="446">
        <v>0</v>
      </c>
      <c r="AD1176" s="490"/>
      <c r="AE1176" s="482"/>
      <c r="AF1176" s="580">
        <f t="shared" si="231"/>
        <v>167731.20000000001</v>
      </c>
      <c r="AG1176" s="474" t="s">
        <v>47</v>
      </c>
      <c r="AH1176" s="474"/>
      <c r="AI1176" s="474">
        <v>30</v>
      </c>
      <c r="AJ1176" s="484" t="s">
        <v>2967</v>
      </c>
      <c r="AK1176" s="474" t="s">
        <v>1158</v>
      </c>
      <c r="AL1176" s="483" t="s">
        <v>2968</v>
      </c>
      <c r="AM1176" s="474" t="s">
        <v>52</v>
      </c>
      <c r="AN1176" s="474" t="s">
        <v>1074</v>
      </c>
      <c r="AO1176" s="474"/>
      <c r="AP1176" s="482"/>
      <c r="AQ1176" s="482" t="s">
        <v>37</v>
      </c>
      <c r="AR1176" s="482"/>
      <c r="AS1176" s="436" t="s">
        <v>1076</v>
      </c>
      <c r="AT1176" s="436" t="s">
        <v>1076</v>
      </c>
      <c r="AU1176" s="478">
        <v>0.73</v>
      </c>
      <c r="AV1176" s="471">
        <f t="shared" si="232"/>
        <v>49201132</v>
      </c>
      <c r="AW1176" s="471" cm="1">
        <f t="array" ref="AW1176">SUM(MID(0&amp;AV1176,LARGE(INDEX(ISNUMBER(--MID(AV1176,ROW($1:$8),1))*ROW($1:$8),),ROW($1:$8))+1,1)*10^ROW($1:$8)/10)</f>
        <v>49201132</v>
      </c>
      <c r="AX1176" s="471" t="str">
        <f>VLOOKUP($AW1176,'Item Master Data'!$A:$F,3,FALSE)</f>
        <v>Q.PEAK DUO BLK G10+</v>
      </c>
      <c r="AY1176" s="471">
        <f>VLOOKUP($AW1176,'Item Master Data'!$A:$F,6,FALSE)</f>
        <v>360</v>
      </c>
      <c r="AZ1176" s="471">
        <f t="shared" si="233"/>
        <v>28</v>
      </c>
      <c r="BA1176" s="471">
        <f>VLOOKUP(AW1176,'Item Master Data'!$A:$G,7,FALSE)</f>
        <v>32</v>
      </c>
      <c r="BB1176" s="471"/>
      <c r="BC1176" s="471">
        <f t="shared" si="234"/>
        <v>0</v>
      </c>
    </row>
    <row r="1177" spans="1:55">
      <c r="A1177" s="472"/>
      <c r="B1177" s="449">
        <v>44644</v>
      </c>
      <c r="C1177" s="449">
        <v>44644</v>
      </c>
      <c r="D1177" s="474" t="s">
        <v>2901</v>
      </c>
      <c r="E1177" s="445" t="s">
        <v>3120</v>
      </c>
      <c r="F1177" s="474" t="s">
        <v>1147</v>
      </c>
      <c r="G1177" s="474">
        <v>2022</v>
      </c>
      <c r="H1177" s="474">
        <v>5</v>
      </c>
      <c r="I1177" s="474"/>
      <c r="J1177" s="556"/>
      <c r="K1177" s="474" t="s">
        <v>3132</v>
      </c>
      <c r="L1177" s="474" t="s">
        <v>3113</v>
      </c>
      <c r="M1177" s="475">
        <v>44620</v>
      </c>
      <c r="N1177" s="475">
        <v>44652</v>
      </c>
      <c r="O1177" s="475"/>
      <c r="P1177" s="475"/>
      <c r="Q1177" s="475"/>
      <c r="R1177" s="475"/>
      <c r="S1177" s="474" t="s">
        <v>2904</v>
      </c>
      <c r="T1177" s="474">
        <v>60</v>
      </c>
      <c r="U1177" s="474">
        <v>49201132</v>
      </c>
      <c r="V1177" s="474" t="s">
        <v>1755</v>
      </c>
      <c r="W1177" s="474">
        <v>360</v>
      </c>
      <c r="X1177" s="476">
        <v>1792</v>
      </c>
      <c r="Y1177" s="491">
        <f t="shared" si="236"/>
        <v>645120</v>
      </c>
      <c r="Z1177" s="478">
        <v>0.52</v>
      </c>
      <c r="AA1177" s="492">
        <f t="shared" si="230"/>
        <v>335462.40000000002</v>
      </c>
      <c r="AB1177" s="492"/>
      <c r="AC1177" s="446">
        <v>0</v>
      </c>
      <c r="AD1177" s="490"/>
      <c r="AE1177" s="482"/>
      <c r="AF1177" s="580">
        <f t="shared" si="231"/>
        <v>335462.40000000002</v>
      </c>
      <c r="AG1177" s="474" t="s">
        <v>47</v>
      </c>
      <c r="AH1177" s="474"/>
      <c r="AI1177" s="474">
        <v>30</v>
      </c>
      <c r="AJ1177" s="484" t="s">
        <v>3133</v>
      </c>
      <c r="AK1177" s="474" t="s">
        <v>1221</v>
      </c>
      <c r="AL1177" s="483" t="s">
        <v>3134</v>
      </c>
      <c r="AM1177" s="474" t="s">
        <v>52</v>
      </c>
      <c r="AN1177" s="474" t="s">
        <v>1074</v>
      </c>
      <c r="AO1177" s="474"/>
      <c r="AP1177" s="482"/>
      <c r="AQ1177" s="482" t="s">
        <v>37</v>
      </c>
      <c r="AR1177" s="482"/>
      <c r="AS1177" s="436" t="s">
        <v>1076</v>
      </c>
      <c r="AT1177" s="436" t="s">
        <v>1076</v>
      </c>
      <c r="AU1177" s="478">
        <v>0.73</v>
      </c>
      <c r="AV1177" s="471">
        <f t="shared" si="232"/>
        <v>49201132</v>
      </c>
      <c r="AW1177" s="471" cm="1">
        <f t="array" ref="AW1177">SUM(MID(0&amp;AV1177,LARGE(INDEX(ISNUMBER(--MID(AV1177,ROW($1:$8),1))*ROW($1:$8),),ROW($1:$8))+1,1)*10^ROW($1:$8)/10)</f>
        <v>49201132</v>
      </c>
      <c r="AX1177" s="471" t="str">
        <f>VLOOKUP($AW1177,'Item Master Data'!$A:$F,3,FALSE)</f>
        <v>Q.PEAK DUO BLK G10+</v>
      </c>
      <c r="AY1177" s="471">
        <f>VLOOKUP($AW1177,'Item Master Data'!$A:$F,6,FALSE)</f>
        <v>360</v>
      </c>
      <c r="AZ1177" s="471">
        <f t="shared" si="233"/>
        <v>56</v>
      </c>
      <c r="BA1177" s="471">
        <f>VLOOKUP(AW1177,'Item Master Data'!$A:$G,7,FALSE)</f>
        <v>32</v>
      </c>
      <c r="BB1177" s="471"/>
      <c r="BC1177" s="471">
        <f t="shared" si="234"/>
        <v>0</v>
      </c>
    </row>
    <row r="1178" spans="1:55">
      <c r="A1178" s="472"/>
      <c r="B1178" s="449">
        <v>44644</v>
      </c>
      <c r="C1178" s="449">
        <v>44644</v>
      </c>
      <c r="D1178" s="474" t="s">
        <v>2901</v>
      </c>
      <c r="E1178" s="445" t="s">
        <v>3120</v>
      </c>
      <c r="F1178" s="474" t="s">
        <v>1147</v>
      </c>
      <c r="G1178" s="474">
        <v>2022</v>
      </c>
      <c r="H1178" s="474">
        <v>5</v>
      </c>
      <c r="I1178" s="474"/>
      <c r="J1178" s="556"/>
      <c r="K1178" s="474" t="s">
        <v>3135</v>
      </c>
      <c r="L1178" s="474" t="s">
        <v>3113</v>
      </c>
      <c r="M1178" s="475">
        <v>44620</v>
      </c>
      <c r="N1178" s="475">
        <v>44652</v>
      </c>
      <c r="O1178" s="475"/>
      <c r="P1178" s="475"/>
      <c r="Q1178" s="475"/>
      <c r="R1178" s="475"/>
      <c r="S1178" s="474" t="s">
        <v>2904</v>
      </c>
      <c r="T1178" s="474">
        <v>60</v>
      </c>
      <c r="U1178" s="474">
        <v>49201132</v>
      </c>
      <c r="V1178" s="474" t="s">
        <v>1755</v>
      </c>
      <c r="W1178" s="474">
        <v>360</v>
      </c>
      <c r="X1178" s="476">
        <v>1792</v>
      </c>
      <c r="Y1178" s="491">
        <f t="shared" si="236"/>
        <v>645120</v>
      </c>
      <c r="Z1178" s="478">
        <v>0.52</v>
      </c>
      <c r="AA1178" s="492">
        <f t="shared" si="230"/>
        <v>335462.40000000002</v>
      </c>
      <c r="AB1178" s="492"/>
      <c r="AC1178" s="446">
        <v>0</v>
      </c>
      <c r="AD1178" s="490"/>
      <c r="AE1178" s="482"/>
      <c r="AF1178" s="580">
        <f t="shared" si="231"/>
        <v>335462.40000000002</v>
      </c>
      <c r="AG1178" s="474" t="s">
        <v>47</v>
      </c>
      <c r="AH1178" s="474"/>
      <c r="AI1178" s="474">
        <v>30</v>
      </c>
      <c r="AJ1178" s="484" t="s">
        <v>1194</v>
      </c>
      <c r="AK1178" s="474" t="s">
        <v>2406</v>
      </c>
      <c r="AL1178" s="483" t="s">
        <v>3136</v>
      </c>
      <c r="AM1178" s="474" t="s">
        <v>52</v>
      </c>
      <c r="AN1178" s="474" t="s">
        <v>1074</v>
      </c>
      <c r="AO1178" s="474"/>
      <c r="AP1178" s="482"/>
      <c r="AQ1178" s="482" t="s">
        <v>37</v>
      </c>
      <c r="AR1178" s="482"/>
      <c r="AS1178" s="436" t="s">
        <v>1076</v>
      </c>
      <c r="AT1178" s="436" t="s">
        <v>1076</v>
      </c>
      <c r="AU1178" s="478">
        <v>0.73</v>
      </c>
      <c r="AV1178" s="471">
        <f t="shared" si="232"/>
        <v>49201132</v>
      </c>
      <c r="AW1178" s="471" cm="1">
        <f t="array" ref="AW1178">SUM(MID(0&amp;AV1178,LARGE(INDEX(ISNUMBER(--MID(AV1178,ROW($1:$8),1))*ROW($1:$8),),ROW($1:$8))+1,1)*10^ROW($1:$8)/10)</f>
        <v>49201132</v>
      </c>
      <c r="AX1178" s="471" t="str">
        <f>VLOOKUP($AW1178,'Item Master Data'!$A:$F,3,FALSE)</f>
        <v>Q.PEAK DUO BLK G10+</v>
      </c>
      <c r="AY1178" s="471">
        <f>VLOOKUP($AW1178,'Item Master Data'!$A:$F,6,FALSE)</f>
        <v>360</v>
      </c>
      <c r="AZ1178" s="471">
        <f t="shared" si="233"/>
        <v>56</v>
      </c>
      <c r="BA1178" s="471">
        <f>VLOOKUP(AW1178,'Item Master Data'!$A:$G,7,FALSE)</f>
        <v>32</v>
      </c>
      <c r="BB1178" s="471"/>
      <c r="BC1178" s="471">
        <f t="shared" si="234"/>
        <v>0</v>
      </c>
    </row>
    <row r="1179" spans="1:55">
      <c r="A1179" s="472"/>
      <c r="B1179" s="449">
        <v>44644</v>
      </c>
      <c r="C1179" s="449">
        <v>44644</v>
      </c>
      <c r="D1179" s="474" t="s">
        <v>2901</v>
      </c>
      <c r="E1179" s="445" t="s">
        <v>3120</v>
      </c>
      <c r="F1179" s="474" t="s">
        <v>1147</v>
      </c>
      <c r="G1179" s="474">
        <v>2022</v>
      </c>
      <c r="H1179" s="474">
        <v>5</v>
      </c>
      <c r="I1179" s="474"/>
      <c r="J1179" s="556"/>
      <c r="K1179" s="474" t="s">
        <v>3152</v>
      </c>
      <c r="L1179" s="474" t="s">
        <v>3113</v>
      </c>
      <c r="M1179" s="475">
        <v>44620</v>
      </c>
      <c r="N1179" s="475">
        <v>44652</v>
      </c>
      <c r="O1179" s="475"/>
      <c r="P1179" s="475"/>
      <c r="Q1179" s="475"/>
      <c r="R1179" s="475"/>
      <c r="S1179" s="474" t="s">
        <v>2904</v>
      </c>
      <c r="T1179" s="474">
        <v>60</v>
      </c>
      <c r="U1179" s="474">
        <v>49201132</v>
      </c>
      <c r="V1179" s="474" t="s">
        <v>986</v>
      </c>
      <c r="W1179" s="474">
        <v>360</v>
      </c>
      <c r="X1179" s="476">
        <v>1792</v>
      </c>
      <c r="Y1179" s="491">
        <f t="shared" si="236"/>
        <v>645120</v>
      </c>
      <c r="Z1179" s="478">
        <v>0.52</v>
      </c>
      <c r="AA1179" s="492">
        <f t="shared" si="230"/>
        <v>335462.40000000002</v>
      </c>
      <c r="AB1179" s="492"/>
      <c r="AC1179" s="446">
        <v>0</v>
      </c>
      <c r="AD1179" s="490"/>
      <c r="AE1179" s="482"/>
      <c r="AF1179" s="580">
        <f t="shared" si="231"/>
        <v>335462.40000000002</v>
      </c>
      <c r="AG1179" s="474" t="s">
        <v>47</v>
      </c>
      <c r="AH1179" s="474"/>
      <c r="AI1179" s="474">
        <v>30</v>
      </c>
      <c r="AJ1179" s="484" t="s">
        <v>3148</v>
      </c>
      <c r="AK1179" s="474" t="s">
        <v>1117</v>
      </c>
      <c r="AL1179" s="483" t="s">
        <v>3149</v>
      </c>
      <c r="AM1179" s="474" t="s">
        <v>52</v>
      </c>
      <c r="AN1179" s="474" t="s">
        <v>1074</v>
      </c>
      <c r="AO1179" s="474"/>
      <c r="AP1179" s="482"/>
      <c r="AQ1179" s="482" t="s">
        <v>37</v>
      </c>
      <c r="AR1179" s="482"/>
      <c r="AS1179" s="436" t="s">
        <v>1076</v>
      </c>
      <c r="AT1179" s="436" t="s">
        <v>1076</v>
      </c>
      <c r="AU1179" s="478">
        <v>0.73</v>
      </c>
      <c r="AV1179" s="471">
        <f t="shared" si="232"/>
        <v>49201132</v>
      </c>
      <c r="AW1179" s="471" cm="1">
        <f t="array" ref="AW1179">SUM(MID(0&amp;AV1179,LARGE(INDEX(ISNUMBER(--MID(AV1179,ROW($1:$8),1))*ROW($1:$8),),ROW($1:$8))+1,1)*10^ROW($1:$8)/10)</f>
        <v>49201132</v>
      </c>
      <c r="AX1179" s="471" t="str">
        <f>VLOOKUP($AW1179,'Item Master Data'!$A:$F,3,FALSE)</f>
        <v>Q.PEAK DUO BLK G10+</v>
      </c>
      <c r="AY1179" s="471">
        <f>VLOOKUP($AW1179,'Item Master Data'!$A:$F,6,FALSE)</f>
        <v>360</v>
      </c>
      <c r="AZ1179" s="471">
        <f t="shared" si="233"/>
        <v>56</v>
      </c>
      <c r="BA1179" s="471">
        <f>VLOOKUP(AW1179,'Item Master Data'!$A:$G,7,FALSE)</f>
        <v>32</v>
      </c>
      <c r="BB1179" s="471"/>
      <c r="BC1179" s="471">
        <f t="shared" si="234"/>
        <v>0</v>
      </c>
    </row>
    <row r="1180" spans="1:55">
      <c r="A1180" s="472"/>
      <c r="B1180" s="449">
        <v>44662</v>
      </c>
      <c r="C1180" s="449">
        <v>44662</v>
      </c>
      <c r="D1180" s="474" t="s">
        <v>2901</v>
      </c>
      <c r="E1180" s="445" t="s">
        <v>5247</v>
      </c>
      <c r="F1180" s="474" t="s">
        <v>1147</v>
      </c>
      <c r="G1180" s="474">
        <v>2022</v>
      </c>
      <c r="H1180" s="474">
        <v>5</v>
      </c>
      <c r="I1180" s="474"/>
      <c r="J1180" s="556"/>
      <c r="K1180" s="474" t="s">
        <v>3150</v>
      </c>
      <c r="L1180" s="474" t="s">
        <v>3113</v>
      </c>
      <c r="M1180" s="475">
        <v>44655</v>
      </c>
      <c r="N1180" s="475">
        <v>44662</v>
      </c>
      <c r="O1180" s="475"/>
      <c r="P1180" s="475">
        <v>44665</v>
      </c>
      <c r="Q1180" s="475"/>
      <c r="R1180" s="475"/>
      <c r="S1180" s="474" t="s">
        <v>2904</v>
      </c>
      <c r="T1180" s="474">
        <v>60</v>
      </c>
      <c r="U1180" s="474">
        <v>49203132</v>
      </c>
      <c r="V1180" s="474" t="s">
        <v>986</v>
      </c>
      <c r="W1180" s="474">
        <v>360</v>
      </c>
      <c r="X1180" s="476">
        <v>832</v>
      </c>
      <c r="Y1180" s="491">
        <f t="shared" si="236"/>
        <v>299520</v>
      </c>
      <c r="Z1180" s="478">
        <v>0.52</v>
      </c>
      <c r="AA1180" s="492">
        <f t="shared" si="230"/>
        <v>155750.39999999999</v>
      </c>
      <c r="AB1180" s="492"/>
      <c r="AC1180" s="446">
        <v>0</v>
      </c>
      <c r="AD1180" s="490"/>
      <c r="AE1180" s="482"/>
      <c r="AF1180" s="580">
        <f t="shared" si="231"/>
        <v>155750.39999999999</v>
      </c>
      <c r="AG1180" s="474" t="s">
        <v>47</v>
      </c>
      <c r="AH1180" s="474"/>
      <c r="AI1180" s="474">
        <v>30</v>
      </c>
      <c r="AJ1180" s="484" t="s">
        <v>3148</v>
      </c>
      <c r="AK1180" s="474" t="s">
        <v>1117</v>
      </c>
      <c r="AL1180" s="483" t="s">
        <v>3149</v>
      </c>
      <c r="AM1180" s="474" t="s">
        <v>52</v>
      </c>
      <c r="AN1180" s="474" t="s">
        <v>2928</v>
      </c>
      <c r="AO1180" s="474"/>
      <c r="AP1180" s="482"/>
      <c r="AQ1180" s="482" t="s">
        <v>37</v>
      </c>
      <c r="AR1180" s="482"/>
      <c r="AS1180" s="436" t="s">
        <v>1076</v>
      </c>
      <c r="AT1180" s="436" t="s">
        <v>1076</v>
      </c>
      <c r="AU1180" s="478"/>
      <c r="AV1180" s="471">
        <f t="shared" si="232"/>
        <v>49203132</v>
      </c>
      <c r="AW1180" s="471" cm="1">
        <f t="array" ref="AW1180">SUM(MID(0&amp;AV1180,LARGE(INDEX(ISNUMBER(--MID(AV1180,ROW($1:$8),1))*ROW($1:$8),),ROW($1:$8))+1,1)*10^ROW($1:$8)/10)</f>
        <v>49203132</v>
      </c>
      <c r="AX1180" s="471" t="str">
        <f>VLOOKUP($AW1180,'Item Master Data'!$A:$F,3,FALSE)</f>
        <v>Q.PEAK DUO BLK G10+</v>
      </c>
      <c r="AY1180" s="471">
        <f>VLOOKUP($AW1180,'Item Master Data'!$A:$F,6,FALSE)</f>
        <v>360</v>
      </c>
      <c r="AZ1180" s="471">
        <f t="shared" si="233"/>
        <v>26</v>
      </c>
      <c r="BA1180" s="471">
        <f>VLOOKUP(AW1180,'Item Master Data'!$A:$G,7,FALSE)</f>
        <v>32</v>
      </c>
      <c r="BB1180" s="471"/>
      <c r="BC1180" s="471">
        <f t="shared" si="234"/>
        <v>0</v>
      </c>
    </row>
    <row r="1181" spans="1:55">
      <c r="A1181" s="472"/>
      <c r="B1181" s="449">
        <v>44669</v>
      </c>
      <c r="C1181" s="449">
        <v>44669</v>
      </c>
      <c r="D1181" s="474" t="s">
        <v>2901</v>
      </c>
      <c r="E1181" s="445" t="s">
        <v>5501</v>
      </c>
      <c r="F1181" s="474" t="s">
        <v>1147</v>
      </c>
      <c r="G1181" s="474">
        <v>2022</v>
      </c>
      <c r="H1181" s="474">
        <v>5</v>
      </c>
      <c r="I1181" s="474"/>
      <c r="J1181" s="556"/>
      <c r="K1181" s="474" t="s">
        <v>4697</v>
      </c>
      <c r="L1181" s="474" t="s">
        <v>3113</v>
      </c>
      <c r="M1181" s="475">
        <v>44620</v>
      </c>
      <c r="N1181" s="475">
        <v>44652</v>
      </c>
      <c r="O1181" s="475"/>
      <c r="P1181" s="475">
        <v>44673</v>
      </c>
      <c r="Q1181" s="475"/>
      <c r="R1181" s="475"/>
      <c r="S1181" s="474" t="s">
        <v>2904</v>
      </c>
      <c r="T1181" s="474">
        <v>60</v>
      </c>
      <c r="U1181" s="474">
        <v>49204132</v>
      </c>
      <c r="V1181" s="474" t="s">
        <v>1223</v>
      </c>
      <c r="W1181" s="474">
        <v>360</v>
      </c>
      <c r="X1181" s="476">
        <v>728</v>
      </c>
      <c r="Y1181" s="491">
        <f t="shared" si="236"/>
        <v>262080</v>
      </c>
      <c r="Z1181" s="478">
        <v>0.79</v>
      </c>
      <c r="AA1181" s="492">
        <f t="shared" si="230"/>
        <v>207043.20000000001</v>
      </c>
      <c r="AB1181" s="492"/>
      <c r="AC1181" s="446">
        <v>0</v>
      </c>
      <c r="AD1181" s="490"/>
      <c r="AE1181" s="482"/>
      <c r="AF1181" s="580">
        <f t="shared" si="231"/>
        <v>207043.20000000001</v>
      </c>
      <c r="AG1181" s="474" t="s">
        <v>47</v>
      </c>
      <c r="AH1181" s="474"/>
      <c r="AI1181" s="474">
        <v>30</v>
      </c>
      <c r="AJ1181" s="484" t="s">
        <v>3115</v>
      </c>
      <c r="AK1181" s="474" t="s">
        <v>1074</v>
      </c>
      <c r="AL1181" s="483" t="s">
        <v>3116</v>
      </c>
      <c r="AM1181" s="474" t="s">
        <v>52</v>
      </c>
      <c r="AN1181" s="474" t="s">
        <v>2928</v>
      </c>
      <c r="AO1181" s="474"/>
      <c r="AP1181" s="482"/>
      <c r="AQ1181" s="482" t="s">
        <v>37</v>
      </c>
      <c r="AR1181" s="482"/>
      <c r="AS1181" s="436" t="s">
        <v>1076</v>
      </c>
      <c r="AT1181" s="436" t="s">
        <v>1076</v>
      </c>
      <c r="AU1181" s="478">
        <v>0.73</v>
      </c>
      <c r="AV1181" s="471">
        <f t="shared" si="232"/>
        <v>49204132</v>
      </c>
      <c r="AW1181" s="471" cm="1">
        <f t="array" ref="AW1181">SUM(MID(0&amp;AV1181,LARGE(INDEX(ISNUMBER(--MID(AV1181,ROW($1:$8),1))*ROW($1:$8),),ROW($1:$8))+1,1)*10^ROW($1:$8)/10)</f>
        <v>49204132</v>
      </c>
      <c r="AX1181" s="471" t="str">
        <f>VLOOKUP($AW1181,'Item Master Data'!$A:$F,3,FALSE)</f>
        <v>Q.PEAK DUO BLK G10+/AC</v>
      </c>
      <c r="AY1181" s="471">
        <f>VLOOKUP($AW1181,'Item Master Data'!$A:$F,6,FALSE)</f>
        <v>360</v>
      </c>
      <c r="AZ1181" s="471">
        <f t="shared" si="233"/>
        <v>28</v>
      </c>
      <c r="BA1181" s="471">
        <f>VLOOKUP(AW1181,'Item Master Data'!$A:$G,7,FALSE)</f>
        <v>26</v>
      </c>
      <c r="BB1181" s="471"/>
      <c r="BC1181" s="471">
        <f t="shared" si="234"/>
        <v>0</v>
      </c>
    </row>
    <row r="1182" spans="1:55">
      <c r="A1182" s="472"/>
      <c r="B1182" s="449">
        <v>44662</v>
      </c>
      <c r="C1182" s="449">
        <v>44662</v>
      </c>
      <c r="D1182" s="474" t="s">
        <v>2901</v>
      </c>
      <c r="E1182" s="445" t="s">
        <v>2984</v>
      </c>
      <c r="F1182" s="474" t="s">
        <v>1147</v>
      </c>
      <c r="G1182" s="474">
        <v>2022</v>
      </c>
      <c r="H1182" s="474">
        <v>5</v>
      </c>
      <c r="I1182" s="474"/>
      <c r="J1182" s="556"/>
      <c r="K1182" s="474" t="s">
        <v>3143</v>
      </c>
      <c r="L1182" s="474" t="s">
        <v>3113</v>
      </c>
      <c r="M1182" s="475">
        <v>44655</v>
      </c>
      <c r="N1182" s="475">
        <v>44669</v>
      </c>
      <c r="O1182" s="475"/>
      <c r="P1182" s="475"/>
      <c r="Q1182" s="475"/>
      <c r="R1182" s="475"/>
      <c r="S1182" s="474" t="s">
        <v>2904</v>
      </c>
      <c r="T1182" s="474">
        <v>60</v>
      </c>
      <c r="U1182" s="474">
        <v>49203132</v>
      </c>
      <c r="V1182" s="474" t="s">
        <v>986</v>
      </c>
      <c r="W1182" s="474">
        <v>360</v>
      </c>
      <c r="X1182" s="476">
        <v>832</v>
      </c>
      <c r="Y1182" s="491">
        <f t="shared" si="236"/>
        <v>299520</v>
      </c>
      <c r="Z1182" s="478">
        <v>0.52</v>
      </c>
      <c r="AA1182" s="492">
        <f t="shared" si="230"/>
        <v>155750.39999999999</v>
      </c>
      <c r="AB1182" s="492"/>
      <c r="AC1182" s="446">
        <v>0</v>
      </c>
      <c r="AD1182" s="490"/>
      <c r="AE1182" s="482"/>
      <c r="AF1182" s="580">
        <f t="shared" si="231"/>
        <v>155750.39999999999</v>
      </c>
      <c r="AG1182" s="474" t="s">
        <v>47</v>
      </c>
      <c r="AH1182" s="474"/>
      <c r="AI1182" s="474">
        <v>30</v>
      </c>
      <c r="AJ1182" s="484" t="s">
        <v>3133</v>
      </c>
      <c r="AK1182" s="474" t="s">
        <v>1221</v>
      </c>
      <c r="AL1182" s="483" t="s">
        <v>3134</v>
      </c>
      <c r="AM1182" s="474" t="s">
        <v>52</v>
      </c>
      <c r="AN1182" s="474" t="s">
        <v>1074</v>
      </c>
      <c r="AO1182" s="474"/>
      <c r="AP1182" s="482"/>
      <c r="AQ1182" s="482" t="s">
        <v>37</v>
      </c>
      <c r="AR1182" s="482"/>
      <c r="AS1182" s="436" t="s">
        <v>1076</v>
      </c>
      <c r="AT1182" s="436" t="s">
        <v>1076</v>
      </c>
      <c r="AU1182" s="478"/>
      <c r="AV1182" s="471">
        <f t="shared" si="232"/>
        <v>49203132</v>
      </c>
      <c r="AW1182" s="471" cm="1">
        <f t="array" ref="AW1182">SUM(MID(0&amp;AV1182,LARGE(INDEX(ISNUMBER(--MID(AV1182,ROW($1:$8),1))*ROW($1:$8),),ROW($1:$8))+1,1)*10^ROW($1:$8)/10)</f>
        <v>49203132</v>
      </c>
      <c r="AX1182" s="471" t="str">
        <f>VLOOKUP($AW1182,'Item Master Data'!$A:$F,3,FALSE)</f>
        <v>Q.PEAK DUO BLK G10+</v>
      </c>
      <c r="AY1182" s="471">
        <f>VLOOKUP($AW1182,'Item Master Data'!$A:$F,6,FALSE)</f>
        <v>360</v>
      </c>
      <c r="AZ1182" s="471">
        <f t="shared" si="233"/>
        <v>26</v>
      </c>
      <c r="BA1182" s="471">
        <f>VLOOKUP(AW1182,'Item Master Data'!$A:$G,7,FALSE)</f>
        <v>32</v>
      </c>
      <c r="BB1182" s="471"/>
      <c r="BC1182" s="471">
        <f t="shared" si="234"/>
        <v>0</v>
      </c>
    </row>
    <row r="1183" spans="1:55">
      <c r="A1183" s="472"/>
      <c r="B1183" s="449">
        <v>44662</v>
      </c>
      <c r="C1183" s="449">
        <v>44662</v>
      </c>
      <c r="D1183" s="474" t="s">
        <v>2901</v>
      </c>
      <c r="E1183" s="445" t="s">
        <v>2984</v>
      </c>
      <c r="F1183" s="474" t="s">
        <v>1147</v>
      </c>
      <c r="G1183" s="474">
        <v>2022</v>
      </c>
      <c r="H1183" s="474">
        <v>5</v>
      </c>
      <c r="I1183" s="474"/>
      <c r="J1183" s="556"/>
      <c r="K1183" s="474" t="s">
        <v>3151</v>
      </c>
      <c r="L1183" s="474" t="s">
        <v>3113</v>
      </c>
      <c r="M1183" s="475">
        <v>44655</v>
      </c>
      <c r="N1183" s="475">
        <v>44669</v>
      </c>
      <c r="O1183" s="475"/>
      <c r="P1183" s="475"/>
      <c r="Q1183" s="475"/>
      <c r="R1183" s="475"/>
      <c r="S1183" s="474" t="s">
        <v>2904</v>
      </c>
      <c r="T1183" s="474">
        <v>60</v>
      </c>
      <c r="U1183" s="474">
        <v>49203132</v>
      </c>
      <c r="V1183" s="474" t="s">
        <v>986</v>
      </c>
      <c r="W1183" s="474">
        <v>360</v>
      </c>
      <c r="X1183" s="476">
        <v>832</v>
      </c>
      <c r="Y1183" s="491">
        <f t="shared" si="236"/>
        <v>299520</v>
      </c>
      <c r="Z1183" s="478">
        <v>0.52</v>
      </c>
      <c r="AA1183" s="492">
        <f t="shared" si="230"/>
        <v>155750.39999999999</v>
      </c>
      <c r="AB1183" s="492"/>
      <c r="AC1183" s="446">
        <v>0</v>
      </c>
      <c r="AD1183" s="490"/>
      <c r="AE1183" s="482"/>
      <c r="AF1183" s="580">
        <f t="shared" si="231"/>
        <v>155750.39999999999</v>
      </c>
      <c r="AG1183" s="474" t="s">
        <v>47</v>
      </c>
      <c r="AH1183" s="474"/>
      <c r="AI1183" s="474">
        <v>30</v>
      </c>
      <c r="AJ1183" s="484" t="s">
        <v>1194</v>
      </c>
      <c r="AK1183" s="474" t="s">
        <v>2406</v>
      </c>
      <c r="AL1183" s="483" t="s">
        <v>3136</v>
      </c>
      <c r="AM1183" s="474" t="s">
        <v>52</v>
      </c>
      <c r="AN1183" s="474" t="s">
        <v>1074</v>
      </c>
      <c r="AO1183" s="474"/>
      <c r="AP1183" s="482"/>
      <c r="AQ1183" s="482" t="s">
        <v>37</v>
      </c>
      <c r="AR1183" s="482"/>
      <c r="AS1183" s="436" t="s">
        <v>1076</v>
      </c>
      <c r="AT1183" s="436" t="s">
        <v>1076</v>
      </c>
      <c r="AU1183" s="478"/>
      <c r="AV1183" s="471">
        <f t="shared" si="232"/>
        <v>49203132</v>
      </c>
      <c r="AW1183" s="471" cm="1">
        <f t="array" ref="AW1183">SUM(MID(0&amp;AV1183,LARGE(INDEX(ISNUMBER(--MID(AV1183,ROW($1:$8),1))*ROW($1:$8),),ROW($1:$8))+1,1)*10^ROW($1:$8)/10)</f>
        <v>49203132</v>
      </c>
      <c r="AX1183" s="471" t="str">
        <f>VLOOKUP($AW1183,'Item Master Data'!$A:$F,3,FALSE)</f>
        <v>Q.PEAK DUO BLK G10+</v>
      </c>
      <c r="AY1183" s="471">
        <f>VLOOKUP($AW1183,'Item Master Data'!$A:$F,6,FALSE)</f>
        <v>360</v>
      </c>
      <c r="AZ1183" s="471">
        <f t="shared" si="233"/>
        <v>26</v>
      </c>
      <c r="BA1183" s="471">
        <f>VLOOKUP(AW1183,'Item Master Data'!$A:$G,7,FALSE)</f>
        <v>32</v>
      </c>
      <c r="BB1183" s="471"/>
      <c r="BC1183" s="471">
        <f t="shared" si="234"/>
        <v>0</v>
      </c>
    </row>
    <row r="1184" spans="1:55">
      <c r="A1184" s="472"/>
      <c r="B1184" s="449">
        <v>44669</v>
      </c>
      <c r="C1184" s="449">
        <v>44669</v>
      </c>
      <c r="D1184" s="474" t="s">
        <v>2901</v>
      </c>
      <c r="E1184" s="445" t="s">
        <v>5502</v>
      </c>
      <c r="F1184" s="474" t="s">
        <v>1147</v>
      </c>
      <c r="G1184" s="474">
        <v>2022</v>
      </c>
      <c r="H1184" s="474">
        <v>5</v>
      </c>
      <c r="I1184" s="474"/>
      <c r="J1184" s="556"/>
      <c r="K1184" s="474" t="s">
        <v>4693</v>
      </c>
      <c r="L1184" s="474" t="s">
        <v>3113</v>
      </c>
      <c r="M1184" s="475">
        <v>44620</v>
      </c>
      <c r="N1184" s="475">
        <v>44652</v>
      </c>
      <c r="O1184" s="475"/>
      <c r="P1184" s="475">
        <v>44673</v>
      </c>
      <c r="Q1184" s="475"/>
      <c r="R1184" s="475"/>
      <c r="S1184" s="474" t="s">
        <v>2904</v>
      </c>
      <c r="T1184" s="474">
        <v>60</v>
      </c>
      <c r="U1184" s="474">
        <v>49204132</v>
      </c>
      <c r="V1184" s="474" t="s">
        <v>1223</v>
      </c>
      <c r="W1184" s="474">
        <v>360</v>
      </c>
      <c r="X1184" s="476">
        <v>728</v>
      </c>
      <c r="Y1184" s="491">
        <f t="shared" si="236"/>
        <v>262080</v>
      </c>
      <c r="Z1184" s="478">
        <v>0.79</v>
      </c>
      <c r="AA1184" s="492">
        <f t="shared" si="230"/>
        <v>207043.20000000001</v>
      </c>
      <c r="AB1184" s="492"/>
      <c r="AC1184" s="446">
        <v>0</v>
      </c>
      <c r="AD1184" s="490"/>
      <c r="AE1184" s="482"/>
      <c r="AF1184" s="580">
        <f t="shared" si="231"/>
        <v>207043.20000000001</v>
      </c>
      <c r="AG1184" s="474" t="s">
        <v>47</v>
      </c>
      <c r="AH1184" s="474"/>
      <c r="AI1184" s="474">
        <v>30</v>
      </c>
      <c r="AJ1184" s="484" t="s">
        <v>3118</v>
      </c>
      <c r="AK1184" s="474" t="s">
        <v>1074</v>
      </c>
      <c r="AL1184" s="483" t="s">
        <v>3119</v>
      </c>
      <c r="AM1184" s="474" t="s">
        <v>52</v>
      </c>
      <c r="AN1184" s="474" t="s">
        <v>2928</v>
      </c>
      <c r="AO1184" s="474"/>
      <c r="AP1184" s="482"/>
      <c r="AQ1184" s="482" t="s">
        <v>37</v>
      </c>
      <c r="AR1184" s="482"/>
      <c r="AS1184" s="436" t="s">
        <v>1076</v>
      </c>
      <c r="AT1184" s="436" t="s">
        <v>1076</v>
      </c>
      <c r="AU1184" s="478">
        <v>0.73</v>
      </c>
      <c r="AV1184" s="471"/>
      <c r="AW1184" s="471"/>
      <c r="AX1184" s="471"/>
      <c r="AY1184" s="471"/>
      <c r="AZ1184" s="471"/>
      <c r="BA1184" s="471"/>
      <c r="BB1184" s="471"/>
      <c r="BC1184" s="471"/>
    </row>
    <row r="1185" spans="1:55">
      <c r="A1185" s="472"/>
      <c r="B1185" s="467">
        <v>44607</v>
      </c>
      <c r="C1185" s="467" t="s">
        <v>1211</v>
      </c>
      <c r="D1185" s="474" t="s">
        <v>2901</v>
      </c>
      <c r="E1185" s="445" t="s">
        <v>3044</v>
      </c>
      <c r="F1185" s="474"/>
      <c r="G1185" s="474">
        <v>2022</v>
      </c>
      <c r="H1185" s="474">
        <v>5</v>
      </c>
      <c r="I1185" s="474"/>
      <c r="J1185" s="487"/>
      <c r="K1185" s="483">
        <v>819774</v>
      </c>
      <c r="L1185" s="474" t="s">
        <v>2998</v>
      </c>
      <c r="M1185" s="475">
        <v>44607</v>
      </c>
      <c r="N1185" s="475">
        <v>44683</v>
      </c>
      <c r="O1185" s="475"/>
      <c r="P1185" s="475"/>
      <c r="Q1185" s="475"/>
      <c r="R1185" s="475"/>
      <c r="S1185" s="474" t="s">
        <v>2904</v>
      </c>
      <c r="T1185" s="474">
        <v>72</v>
      </c>
      <c r="U1185" s="474">
        <v>49301156</v>
      </c>
      <c r="V1185" s="474" t="s">
        <v>1104</v>
      </c>
      <c r="W1185" s="474">
        <v>480</v>
      </c>
      <c r="X1185" s="476">
        <v>580</v>
      </c>
      <c r="Y1185" s="491">
        <f>X1185*W1185</f>
        <v>278400</v>
      </c>
      <c r="Z1185" s="478">
        <v>0.495</v>
      </c>
      <c r="AA1185" s="492">
        <f t="shared" si="230"/>
        <v>137808</v>
      </c>
      <c r="AB1185" s="492"/>
      <c r="AC1185" s="446">
        <v>0</v>
      </c>
      <c r="AD1185" s="490"/>
      <c r="AE1185" s="482"/>
      <c r="AF1185" s="580">
        <f t="shared" si="231"/>
        <v>137808</v>
      </c>
      <c r="AG1185" s="474" t="s">
        <v>1071</v>
      </c>
      <c r="AH1185" s="474"/>
      <c r="AI1185" s="474">
        <v>60</v>
      </c>
      <c r="AJ1185" s="475" t="s">
        <v>2277</v>
      </c>
      <c r="AK1185" s="483" t="s">
        <v>1084</v>
      </c>
      <c r="AL1185" s="483" t="s">
        <v>2948</v>
      </c>
      <c r="AM1185" s="474" t="s">
        <v>52</v>
      </c>
      <c r="AN1185" s="474" t="s">
        <v>1074</v>
      </c>
      <c r="AO1185" s="474"/>
      <c r="AP1185" s="482"/>
      <c r="AQ1185" s="482" t="s">
        <v>37</v>
      </c>
      <c r="AR1185" s="439" t="s">
        <v>2953</v>
      </c>
      <c r="AS1185" s="436" t="s">
        <v>1087</v>
      </c>
      <c r="AT1185" s="436" t="s">
        <v>1076</v>
      </c>
      <c r="AU1185" s="478">
        <v>0.5</v>
      </c>
      <c r="AV1185" s="471"/>
      <c r="AW1185" s="471"/>
      <c r="AX1185" s="471"/>
      <c r="AY1185" s="471"/>
      <c r="AZ1185" s="471"/>
      <c r="BA1185" s="471"/>
      <c r="BB1185" s="471"/>
      <c r="BC1185" s="471"/>
    </row>
    <row r="1186" spans="1:55">
      <c r="A1186" s="472"/>
      <c r="B1186" s="467">
        <v>44610</v>
      </c>
      <c r="C1186" s="467">
        <v>44631</v>
      </c>
      <c r="D1186" s="474" t="s">
        <v>2901</v>
      </c>
      <c r="E1186" s="445"/>
      <c r="F1186" s="474" t="s">
        <v>1147</v>
      </c>
      <c r="G1186" s="474">
        <v>2022</v>
      </c>
      <c r="H1186" s="474">
        <v>5</v>
      </c>
      <c r="I1186" s="474"/>
      <c r="J1186" s="487"/>
      <c r="K1186" s="483" t="s">
        <v>3169</v>
      </c>
      <c r="L1186" s="474" t="s">
        <v>3159</v>
      </c>
      <c r="M1186" s="475">
        <v>44543</v>
      </c>
      <c r="N1186" s="475">
        <v>44652</v>
      </c>
      <c r="O1186" s="475" t="s">
        <v>2365</v>
      </c>
      <c r="P1186" s="475"/>
      <c r="Q1186" s="475"/>
      <c r="R1186" s="475"/>
      <c r="S1186" s="474" t="s">
        <v>2904</v>
      </c>
      <c r="T1186" s="474">
        <v>60</v>
      </c>
      <c r="U1186" s="474" t="s">
        <v>1760</v>
      </c>
      <c r="V1186" s="474" t="s">
        <v>973</v>
      </c>
      <c r="W1186" s="474">
        <v>400</v>
      </c>
      <c r="X1186" s="476">
        <v>4736</v>
      </c>
      <c r="Y1186" s="491">
        <f>X1186*W1186</f>
        <v>1894400</v>
      </c>
      <c r="Z1186" s="478">
        <v>0.5</v>
      </c>
      <c r="AA1186" s="492">
        <f t="shared" si="230"/>
        <v>947200</v>
      </c>
      <c r="AB1186" s="492"/>
      <c r="AC1186" s="446">
        <v>0</v>
      </c>
      <c r="AD1186" s="490"/>
      <c r="AE1186" s="482"/>
      <c r="AF1186" s="580">
        <f t="shared" si="231"/>
        <v>947200</v>
      </c>
      <c r="AG1186" s="474" t="s">
        <v>47</v>
      </c>
      <c r="AH1186" s="474"/>
      <c r="AI1186" s="474">
        <v>30</v>
      </c>
      <c r="AJ1186" s="475" t="s">
        <v>1083</v>
      </c>
      <c r="AK1186" s="483" t="s">
        <v>1084</v>
      </c>
      <c r="AL1186" s="483" t="s">
        <v>2934</v>
      </c>
      <c r="AM1186" s="474" t="s">
        <v>52</v>
      </c>
      <c r="AN1186" s="474" t="s">
        <v>50</v>
      </c>
      <c r="AO1186" s="474"/>
      <c r="AP1186" s="482" t="s">
        <v>38</v>
      </c>
      <c r="AQ1186" s="482" t="s">
        <v>37</v>
      </c>
      <c r="AR1186" s="439"/>
      <c r="AS1186" s="436" t="s">
        <v>1087</v>
      </c>
      <c r="AT1186" s="436" t="s">
        <v>1076</v>
      </c>
      <c r="AU1186" s="478"/>
      <c r="AV1186" s="471"/>
      <c r="AW1186" s="471"/>
      <c r="AX1186" s="471"/>
      <c r="AY1186" s="471"/>
      <c r="AZ1186" s="471"/>
      <c r="BA1186" s="471"/>
      <c r="BB1186" s="471"/>
      <c r="BC1186" s="471"/>
    </row>
    <row r="1187" spans="1:55">
      <c r="A1187" s="472"/>
      <c r="B1187" s="467">
        <v>44610</v>
      </c>
      <c r="C1187" s="467">
        <v>44631</v>
      </c>
      <c r="D1187" s="474" t="s">
        <v>2901</v>
      </c>
      <c r="E1187" s="445"/>
      <c r="F1187" s="474" t="s">
        <v>1147</v>
      </c>
      <c r="G1187" s="474">
        <v>2022</v>
      </c>
      <c r="H1187" s="474">
        <v>5</v>
      </c>
      <c r="I1187" s="474"/>
      <c r="J1187" s="487"/>
      <c r="K1187" s="483" t="s">
        <v>3170</v>
      </c>
      <c r="L1187" s="474" t="s">
        <v>3159</v>
      </c>
      <c r="M1187" s="475">
        <v>44543</v>
      </c>
      <c r="N1187" s="475">
        <v>44682</v>
      </c>
      <c r="O1187" s="475" t="s">
        <v>2365</v>
      </c>
      <c r="P1187" s="475"/>
      <c r="Q1187" s="475"/>
      <c r="R1187" s="475"/>
      <c r="S1187" s="474" t="s">
        <v>2904</v>
      </c>
      <c r="T1187" s="474">
        <v>60</v>
      </c>
      <c r="U1187" s="474" t="s">
        <v>1760</v>
      </c>
      <c r="V1187" s="474" t="s">
        <v>973</v>
      </c>
      <c r="W1187" s="474">
        <v>400</v>
      </c>
      <c r="X1187" s="476">
        <v>7808</v>
      </c>
      <c r="Y1187" s="491">
        <f>X1187*W1187</f>
        <v>3123200</v>
      </c>
      <c r="Z1187" s="478">
        <v>0.5</v>
      </c>
      <c r="AA1187" s="492">
        <f t="shared" si="230"/>
        <v>1561600</v>
      </c>
      <c r="AB1187" s="492"/>
      <c r="AC1187" s="446">
        <v>0</v>
      </c>
      <c r="AD1187" s="490"/>
      <c r="AE1187" s="482"/>
      <c r="AF1187" s="580">
        <f t="shared" si="231"/>
        <v>1561600</v>
      </c>
      <c r="AG1187" s="474" t="s">
        <v>47</v>
      </c>
      <c r="AH1187" s="474"/>
      <c r="AI1187" s="474">
        <v>30</v>
      </c>
      <c r="AJ1187" s="475" t="s">
        <v>1083</v>
      </c>
      <c r="AK1187" s="483" t="s">
        <v>1084</v>
      </c>
      <c r="AL1187" s="483" t="s">
        <v>2934</v>
      </c>
      <c r="AM1187" s="474" t="s">
        <v>52</v>
      </c>
      <c r="AN1187" s="474" t="s">
        <v>50</v>
      </c>
      <c r="AO1187" s="474"/>
      <c r="AP1187" s="482" t="s">
        <v>38</v>
      </c>
      <c r="AQ1187" s="482" t="s">
        <v>37</v>
      </c>
      <c r="AR1187" s="439"/>
      <c r="AS1187" s="436" t="s">
        <v>1087</v>
      </c>
      <c r="AT1187" s="436" t="s">
        <v>1076</v>
      </c>
      <c r="AU1187" s="478"/>
      <c r="AV1187" s="471"/>
      <c r="AW1187" s="471"/>
      <c r="AX1187" s="471"/>
      <c r="AY1187" s="471"/>
      <c r="AZ1187" s="471"/>
      <c r="BA1187" s="471"/>
      <c r="BB1187" s="471"/>
      <c r="BC1187" s="471"/>
    </row>
    <row r="1188" spans="1:55">
      <c r="A1188" s="472"/>
      <c r="B1188" s="467">
        <v>44650</v>
      </c>
      <c r="C1188" s="467">
        <v>44650</v>
      </c>
      <c r="D1188" s="474" t="s">
        <v>2901</v>
      </c>
      <c r="E1188" s="445" t="s">
        <v>2926</v>
      </c>
      <c r="F1188" s="469" t="s">
        <v>1147</v>
      </c>
      <c r="G1188" s="474">
        <v>2022</v>
      </c>
      <c r="H1188" s="474">
        <v>6</v>
      </c>
      <c r="I1188" s="474"/>
      <c r="J1188" s="475"/>
      <c r="K1188" s="474" t="s">
        <v>2930</v>
      </c>
      <c r="L1188" s="474" t="s">
        <v>2916</v>
      </c>
      <c r="M1188" s="475">
        <v>44498</v>
      </c>
      <c r="N1188" s="475">
        <v>44622</v>
      </c>
      <c r="O1188" s="475"/>
      <c r="P1188" s="475"/>
      <c r="Q1188" s="475"/>
      <c r="R1188" s="475"/>
      <c r="S1188" s="474" t="s">
        <v>2904</v>
      </c>
      <c r="T1188" s="474">
        <v>60</v>
      </c>
      <c r="U1188" s="474">
        <v>49405140</v>
      </c>
      <c r="V1188" s="474" t="s">
        <v>973</v>
      </c>
      <c r="W1188" s="474">
        <v>400</v>
      </c>
      <c r="X1188" s="432">
        <v>3840</v>
      </c>
      <c r="Y1188" s="491">
        <f>W1188*X1188</f>
        <v>1536000</v>
      </c>
      <c r="Z1188" s="478">
        <v>0.55000000000000004</v>
      </c>
      <c r="AA1188" s="492">
        <f t="shared" si="230"/>
        <v>844800.00000000012</v>
      </c>
      <c r="AB1188" s="492"/>
      <c r="AC1188" s="446">
        <v>0</v>
      </c>
      <c r="AD1188" s="490"/>
      <c r="AE1188" s="437"/>
      <c r="AF1188" s="580">
        <f t="shared" si="231"/>
        <v>844800.00000000012</v>
      </c>
      <c r="AG1188" s="474" t="s">
        <v>1071</v>
      </c>
      <c r="AH1188" s="438"/>
      <c r="AI1188" s="474">
        <v>60</v>
      </c>
      <c r="AJ1188" s="484" t="s">
        <v>2922</v>
      </c>
      <c r="AK1188" s="474" t="s">
        <v>2406</v>
      </c>
      <c r="AL1188" s="483" t="s">
        <v>2923</v>
      </c>
      <c r="AM1188" s="474" t="s">
        <v>52</v>
      </c>
      <c r="AN1188" s="474" t="s">
        <v>1074</v>
      </c>
      <c r="AO1188" s="474"/>
      <c r="AP1188" s="486"/>
      <c r="AQ1188" s="439" t="s">
        <v>37</v>
      </c>
      <c r="AR1188" s="439" t="s">
        <v>1248</v>
      </c>
      <c r="AS1188" s="473" t="s">
        <v>1076</v>
      </c>
      <c r="AT1188" s="473" t="s">
        <v>1076</v>
      </c>
      <c r="AU1188" s="478">
        <v>0.47499999999999998</v>
      </c>
      <c r="AV1188" s="471">
        <f t="shared" ref="AV1188:AV1193" si="237">U1188</f>
        <v>49405140</v>
      </c>
      <c r="AW1188" s="471" cm="1">
        <f t="array" ref="AW1188">SUM(MID(0&amp;AV1188,LARGE(INDEX(ISNUMBER(--MID(AV1188,ROW($1:$8),1))*ROW($1:$8),),ROW($1:$8))+1,1)*10^ROW($1:$8)/10)</f>
        <v>49405140</v>
      </c>
      <c r="AX1188" s="471" t="str">
        <f>VLOOKUP($AW1188,'Item Master Data'!$A:$F,3,FALSE)</f>
        <v>Q.PEAK DUO BLK ML G10+</v>
      </c>
      <c r="AY1188" s="471">
        <f>VLOOKUP($AW1188,'Item Master Data'!$A:$F,6,FALSE)</f>
        <v>400</v>
      </c>
      <c r="AZ1188" s="471">
        <f t="shared" ref="AZ1188:AZ1193" si="238">X1188/BA1188</f>
        <v>120</v>
      </c>
      <c r="BA1188" s="471">
        <f>VLOOKUP(AW1188,'Item Master Data'!$A:$G,7,FALSE)</f>
        <v>32</v>
      </c>
      <c r="BB1188" s="471"/>
      <c r="BC1188" s="471">
        <f t="shared" ref="BC1188:BC1193" si="239">W1188-AY1188</f>
        <v>0</v>
      </c>
    </row>
    <row r="1189" spans="1:55">
      <c r="A1189" s="472"/>
      <c r="B1189" s="467">
        <v>44580</v>
      </c>
      <c r="C1189" s="467">
        <v>44580</v>
      </c>
      <c r="D1189" s="474" t="s">
        <v>2901</v>
      </c>
      <c r="E1189" s="445" t="s">
        <v>2937</v>
      </c>
      <c r="F1189" s="474" t="s">
        <v>1147</v>
      </c>
      <c r="G1189" s="474">
        <v>2022</v>
      </c>
      <c r="H1189" s="474">
        <v>6</v>
      </c>
      <c r="I1189" s="474"/>
      <c r="J1189" s="556"/>
      <c r="K1189" s="483" t="s">
        <v>2938</v>
      </c>
      <c r="L1189" s="474" t="s">
        <v>2933</v>
      </c>
      <c r="M1189" s="475">
        <v>44456</v>
      </c>
      <c r="N1189" s="475">
        <v>44501</v>
      </c>
      <c r="O1189" s="475">
        <v>44652</v>
      </c>
      <c r="P1189" s="475"/>
      <c r="Q1189" s="475"/>
      <c r="R1189" s="475"/>
      <c r="S1189" s="474" t="s">
        <v>2904</v>
      </c>
      <c r="T1189" s="474">
        <v>60</v>
      </c>
      <c r="U1189" s="474">
        <v>49403140</v>
      </c>
      <c r="V1189" s="474" t="s">
        <v>973</v>
      </c>
      <c r="W1189" s="474">
        <v>400</v>
      </c>
      <c r="X1189" s="476">
        <v>768</v>
      </c>
      <c r="Y1189" s="491">
        <f>X1189*W1189</f>
        <v>307200</v>
      </c>
      <c r="Z1189" s="478">
        <v>0.55000000000000004</v>
      </c>
      <c r="AA1189" s="492">
        <f t="shared" si="230"/>
        <v>168960</v>
      </c>
      <c r="AB1189" s="492"/>
      <c r="AC1189" s="446">
        <v>0</v>
      </c>
      <c r="AD1189" s="490"/>
      <c r="AE1189" s="482"/>
      <c r="AF1189" s="580">
        <f t="shared" si="231"/>
        <v>168960</v>
      </c>
      <c r="AG1189" s="474" t="s">
        <v>1071</v>
      </c>
      <c r="AH1189" s="474"/>
      <c r="AI1189" s="474">
        <v>60</v>
      </c>
      <c r="AJ1189" s="475" t="s">
        <v>2939</v>
      </c>
      <c r="AK1189" s="483" t="s">
        <v>1084</v>
      </c>
      <c r="AL1189" s="483" t="s">
        <v>2940</v>
      </c>
      <c r="AM1189" s="474" t="s">
        <v>52</v>
      </c>
      <c r="AN1189" s="474" t="s">
        <v>1074</v>
      </c>
      <c r="AO1189" s="474"/>
      <c r="AP1189" s="482"/>
      <c r="AQ1189" s="482" t="s">
        <v>37</v>
      </c>
      <c r="AR1189" s="439" t="s">
        <v>1248</v>
      </c>
      <c r="AS1189" s="436" t="s">
        <v>1076</v>
      </c>
      <c r="AT1189" s="436" t="s">
        <v>1076</v>
      </c>
      <c r="AU1189" s="478">
        <v>0.47499999999999998</v>
      </c>
      <c r="AV1189" s="471">
        <f t="shared" si="237"/>
        <v>49403140</v>
      </c>
      <c r="AW1189" s="471" cm="1">
        <f t="array" ref="AW1189">SUM(MID(0&amp;AV1189,LARGE(INDEX(ISNUMBER(--MID(AV1189,ROW($1:$8),1))*ROW($1:$8),),ROW($1:$8))+1,1)*10^ROW($1:$8)/10)</f>
        <v>49403140</v>
      </c>
      <c r="AX1189" s="471" t="str">
        <f>VLOOKUP($AW1189,'Item Master Data'!$A:$F,3,FALSE)</f>
        <v>Q.PEAK DUO BLK ML G10+</v>
      </c>
      <c r="AY1189" s="471">
        <f>VLOOKUP($AW1189,'Item Master Data'!$A:$F,6,FALSE)</f>
        <v>400</v>
      </c>
      <c r="AZ1189" s="471">
        <f t="shared" si="238"/>
        <v>24</v>
      </c>
      <c r="BA1189" s="471">
        <f>VLOOKUP(AW1189,'Item Master Data'!$A:$G,7,FALSE)</f>
        <v>32</v>
      </c>
      <c r="BB1189" s="471"/>
      <c r="BC1189" s="471">
        <f t="shared" si="239"/>
        <v>0</v>
      </c>
    </row>
    <row r="1190" spans="1:55">
      <c r="A1190" s="472"/>
      <c r="B1190" s="467">
        <v>44578</v>
      </c>
      <c r="C1190" s="467">
        <v>44579</v>
      </c>
      <c r="D1190" s="474" t="s">
        <v>2901</v>
      </c>
      <c r="E1190" s="445" t="s">
        <v>2942</v>
      </c>
      <c r="F1190" s="474" t="s">
        <v>1147</v>
      </c>
      <c r="G1190" s="474">
        <v>2022</v>
      </c>
      <c r="H1190" s="474">
        <v>6</v>
      </c>
      <c r="I1190" s="474"/>
      <c r="J1190" s="556"/>
      <c r="K1190" s="483" t="s">
        <v>2944</v>
      </c>
      <c r="L1190" s="474" t="s">
        <v>2933</v>
      </c>
      <c r="M1190" s="475">
        <v>44456</v>
      </c>
      <c r="N1190" s="475">
        <v>44536</v>
      </c>
      <c r="O1190" s="475">
        <v>44682</v>
      </c>
      <c r="P1190" s="475"/>
      <c r="Q1190" s="475"/>
      <c r="R1190" s="475"/>
      <c r="S1190" s="474" t="s">
        <v>2904</v>
      </c>
      <c r="T1190" s="474">
        <v>60</v>
      </c>
      <c r="U1190" s="474">
        <v>49403140</v>
      </c>
      <c r="V1190" s="474" t="s">
        <v>973</v>
      </c>
      <c r="W1190" s="474">
        <v>400</v>
      </c>
      <c r="X1190" s="476">
        <v>768</v>
      </c>
      <c r="Y1190" s="491">
        <f>X1190*W1190</f>
        <v>307200</v>
      </c>
      <c r="Z1190" s="478">
        <v>0.55000000000000004</v>
      </c>
      <c r="AA1190" s="492">
        <f t="shared" si="230"/>
        <v>168960</v>
      </c>
      <c r="AB1190" s="492"/>
      <c r="AC1190" s="446">
        <v>0</v>
      </c>
      <c r="AD1190" s="490"/>
      <c r="AE1190" s="482"/>
      <c r="AF1190" s="580">
        <f t="shared" si="231"/>
        <v>168960</v>
      </c>
      <c r="AG1190" s="474" t="s">
        <v>1071</v>
      </c>
      <c r="AH1190" s="474"/>
      <c r="AI1190" s="474">
        <v>60</v>
      </c>
      <c r="AJ1190" s="475" t="s">
        <v>1135</v>
      </c>
      <c r="AK1190" s="483" t="s">
        <v>1084</v>
      </c>
      <c r="AL1190" s="483">
        <v>33064</v>
      </c>
      <c r="AM1190" s="474" t="s">
        <v>52</v>
      </c>
      <c r="AN1190" s="474" t="s">
        <v>1074</v>
      </c>
      <c r="AO1190" s="474"/>
      <c r="AP1190" s="482"/>
      <c r="AQ1190" s="482" t="s">
        <v>37</v>
      </c>
      <c r="AR1190" s="439" t="s">
        <v>1248</v>
      </c>
      <c r="AS1190" s="436" t="s">
        <v>1076</v>
      </c>
      <c r="AT1190" s="436" t="s">
        <v>1076</v>
      </c>
      <c r="AU1190" s="478">
        <v>0.47499999999999998</v>
      </c>
      <c r="AV1190" s="471">
        <f t="shared" si="237"/>
        <v>49403140</v>
      </c>
      <c r="AW1190" s="471" cm="1">
        <f t="array" ref="AW1190">SUM(MID(0&amp;AV1190,LARGE(INDEX(ISNUMBER(--MID(AV1190,ROW($1:$8),1))*ROW($1:$8),),ROW($1:$8))+1,1)*10^ROW($1:$8)/10)</f>
        <v>49403140</v>
      </c>
      <c r="AX1190" s="471" t="str">
        <f>VLOOKUP($AW1190,'Item Master Data'!$A:$F,3,FALSE)</f>
        <v>Q.PEAK DUO BLK ML G10+</v>
      </c>
      <c r="AY1190" s="471">
        <f>VLOOKUP($AW1190,'Item Master Data'!$A:$F,6,FALSE)</f>
        <v>400</v>
      </c>
      <c r="AZ1190" s="471">
        <f t="shared" si="238"/>
        <v>24</v>
      </c>
      <c r="BA1190" s="471">
        <f>VLOOKUP(AW1190,'Item Master Data'!$A:$G,7,FALSE)</f>
        <v>32</v>
      </c>
      <c r="BB1190" s="471"/>
      <c r="BC1190" s="471">
        <f t="shared" si="239"/>
        <v>0</v>
      </c>
    </row>
    <row r="1191" spans="1:55">
      <c r="A1191" s="472"/>
      <c r="B1191" s="467">
        <v>44635</v>
      </c>
      <c r="C1191" s="467">
        <v>44636</v>
      </c>
      <c r="D1191" s="474" t="s">
        <v>2901</v>
      </c>
      <c r="E1191" s="445" t="s">
        <v>2935</v>
      </c>
      <c r="F1191" s="474" t="s">
        <v>1147</v>
      </c>
      <c r="G1191" s="474">
        <v>2022</v>
      </c>
      <c r="H1191" s="474">
        <v>6</v>
      </c>
      <c r="I1191" s="474"/>
      <c r="J1191" s="556"/>
      <c r="K1191" s="483" t="s">
        <v>5453</v>
      </c>
      <c r="L1191" s="474" t="s">
        <v>2947</v>
      </c>
      <c r="M1191" s="475">
        <v>44497</v>
      </c>
      <c r="N1191" s="475">
        <v>44652</v>
      </c>
      <c r="O1191" s="475"/>
      <c r="P1191" s="475"/>
      <c r="Q1191" s="475"/>
      <c r="R1191" s="475"/>
      <c r="S1191" s="474" t="s">
        <v>2904</v>
      </c>
      <c r="T1191" s="474">
        <v>60</v>
      </c>
      <c r="U1191" s="474">
        <v>49201132</v>
      </c>
      <c r="V1191" s="474" t="s">
        <v>986</v>
      </c>
      <c r="W1191" s="474">
        <v>360</v>
      </c>
      <c r="X1191" s="476">
        <v>1664</v>
      </c>
      <c r="Y1191" s="491">
        <f>X1191*W1191</f>
        <v>599040</v>
      </c>
      <c r="Z1191" s="478">
        <v>0.53</v>
      </c>
      <c r="AA1191" s="492">
        <f t="shared" si="230"/>
        <v>317491.20000000001</v>
      </c>
      <c r="AB1191" s="492"/>
      <c r="AC1191" s="446">
        <v>0</v>
      </c>
      <c r="AD1191" s="490"/>
      <c r="AE1191" s="482"/>
      <c r="AF1191" s="580">
        <f t="shared" si="231"/>
        <v>317491.20000000001</v>
      </c>
      <c r="AG1191" s="474" t="s">
        <v>1071</v>
      </c>
      <c r="AH1191" s="474"/>
      <c r="AI1191" s="474">
        <v>60</v>
      </c>
      <c r="AJ1191" s="475" t="s">
        <v>2277</v>
      </c>
      <c r="AK1191" s="483" t="s">
        <v>1084</v>
      </c>
      <c r="AL1191" s="483">
        <v>32809</v>
      </c>
      <c r="AM1191" s="474" t="s">
        <v>52</v>
      </c>
      <c r="AN1191" s="474" t="s">
        <v>1074</v>
      </c>
      <c r="AO1191" s="474"/>
      <c r="AP1191" s="482"/>
      <c r="AQ1191" s="482" t="s">
        <v>37</v>
      </c>
      <c r="AR1191" s="439" t="s">
        <v>2953</v>
      </c>
      <c r="AS1191" s="436" t="s">
        <v>1076</v>
      </c>
      <c r="AT1191" s="436" t="s">
        <v>1076</v>
      </c>
      <c r="AU1191" s="478">
        <v>0.5</v>
      </c>
      <c r="AV1191" s="471">
        <f t="shared" si="237"/>
        <v>49201132</v>
      </c>
      <c r="AW1191" s="471" cm="1">
        <f t="array" ref="AW1191">SUM(MID(0&amp;AV1191,LARGE(INDEX(ISNUMBER(--MID(AV1191,ROW($1:$8),1))*ROW($1:$8),),ROW($1:$8))+1,1)*10^ROW($1:$8)/10)</f>
        <v>49201132</v>
      </c>
      <c r="AX1191" s="471" t="str">
        <f>VLOOKUP($AW1191,'Item Master Data'!$A:$F,3,FALSE)</f>
        <v>Q.PEAK DUO BLK G10+</v>
      </c>
      <c r="AY1191" s="471">
        <f>VLOOKUP($AW1191,'Item Master Data'!$A:$F,6,FALSE)</f>
        <v>360</v>
      </c>
      <c r="AZ1191" s="471">
        <f t="shared" si="238"/>
        <v>52</v>
      </c>
      <c r="BA1191" s="471">
        <f>VLOOKUP(AW1191,'Item Master Data'!$A:$G,7,FALSE)</f>
        <v>32</v>
      </c>
      <c r="BB1191" s="471"/>
      <c r="BC1191" s="471">
        <f t="shared" si="239"/>
        <v>0</v>
      </c>
    </row>
    <row r="1192" spans="1:55">
      <c r="A1192" s="472"/>
      <c r="B1192" s="467">
        <v>44629</v>
      </c>
      <c r="C1192" s="467">
        <v>44629</v>
      </c>
      <c r="D1192" s="474" t="s">
        <v>2901</v>
      </c>
      <c r="E1192" s="445"/>
      <c r="F1192" s="474" t="s">
        <v>1147</v>
      </c>
      <c r="G1192" s="474">
        <v>2022</v>
      </c>
      <c r="H1192" s="474">
        <v>6</v>
      </c>
      <c r="I1192" s="474"/>
      <c r="J1192" s="556"/>
      <c r="K1192" s="483" t="s">
        <v>2981</v>
      </c>
      <c r="L1192" s="474" t="s">
        <v>2947</v>
      </c>
      <c r="M1192" s="475">
        <v>44518</v>
      </c>
      <c r="N1192" s="475">
        <v>44713</v>
      </c>
      <c r="O1192" s="475"/>
      <c r="P1192" s="475"/>
      <c r="Q1192" s="475"/>
      <c r="R1192" s="475"/>
      <c r="S1192" s="474" t="s">
        <v>2904</v>
      </c>
      <c r="T1192" s="474">
        <v>60</v>
      </c>
      <c r="U1192" s="474">
        <v>49201132</v>
      </c>
      <c r="V1192" s="474" t="s">
        <v>986</v>
      </c>
      <c r="W1192" s="474">
        <v>360</v>
      </c>
      <c r="X1192" s="476">
        <v>6656</v>
      </c>
      <c r="Y1192" s="491">
        <f>X1192*W1192</f>
        <v>2396160</v>
      </c>
      <c r="Z1192" s="478">
        <v>0.5</v>
      </c>
      <c r="AA1192" s="492">
        <f t="shared" si="230"/>
        <v>1198080</v>
      </c>
      <c r="AB1192" s="492"/>
      <c r="AC1192" s="446">
        <v>0</v>
      </c>
      <c r="AD1192" s="490"/>
      <c r="AE1192" s="482"/>
      <c r="AF1192" s="580">
        <f t="shared" si="231"/>
        <v>1198080</v>
      </c>
      <c r="AG1192" s="474" t="s">
        <v>1071</v>
      </c>
      <c r="AH1192" s="474"/>
      <c r="AI1192" s="474">
        <v>60</v>
      </c>
      <c r="AJ1192" s="475" t="s">
        <v>2277</v>
      </c>
      <c r="AK1192" s="483" t="s">
        <v>1084</v>
      </c>
      <c r="AL1192" s="483" t="s">
        <v>2948</v>
      </c>
      <c r="AM1192" s="474" t="s">
        <v>52</v>
      </c>
      <c r="AN1192" s="474" t="s">
        <v>1074</v>
      </c>
      <c r="AO1192" s="474"/>
      <c r="AP1192" s="482"/>
      <c r="AQ1192" s="482" t="s">
        <v>37</v>
      </c>
      <c r="AR1192" s="439" t="s">
        <v>2953</v>
      </c>
      <c r="AS1192" s="436" t="s">
        <v>1087</v>
      </c>
      <c r="AT1192" s="436" t="s">
        <v>1076</v>
      </c>
      <c r="AU1192" s="478">
        <v>0.5</v>
      </c>
      <c r="AV1192" s="471">
        <f t="shared" si="237"/>
        <v>49201132</v>
      </c>
      <c r="AW1192" s="471" cm="1">
        <f t="array" ref="AW1192">SUM(MID(0&amp;AV1192,LARGE(INDEX(ISNUMBER(--MID(AV1192,ROW($1:$8),1))*ROW($1:$8),),ROW($1:$8))+1,1)*10^ROW($1:$8)/10)</f>
        <v>49201132</v>
      </c>
      <c r="AX1192" s="471" t="str">
        <f>VLOOKUP($AW1192,'Item Master Data'!$A:$F,3,FALSE)</f>
        <v>Q.PEAK DUO BLK G10+</v>
      </c>
      <c r="AY1192" s="471">
        <f>VLOOKUP($AW1192,'Item Master Data'!$A:$F,6,FALSE)</f>
        <v>360</v>
      </c>
      <c r="AZ1192" s="471">
        <f t="shared" si="238"/>
        <v>208</v>
      </c>
      <c r="BA1192" s="471">
        <f>VLOOKUP(AW1192,'Item Master Data'!$A:$G,7,FALSE)</f>
        <v>32</v>
      </c>
      <c r="BB1192" s="471"/>
      <c r="BC1192" s="471">
        <f t="shared" si="239"/>
        <v>0</v>
      </c>
    </row>
    <row r="1193" spans="1:55">
      <c r="A1193" s="472"/>
      <c r="B1193" s="467">
        <v>44629</v>
      </c>
      <c r="C1193" s="467">
        <v>44629</v>
      </c>
      <c r="D1193" s="474" t="s">
        <v>2901</v>
      </c>
      <c r="E1193" s="445"/>
      <c r="F1193" s="474" t="s">
        <v>1147</v>
      </c>
      <c r="G1193" s="474">
        <v>2022</v>
      </c>
      <c r="H1193" s="474">
        <v>6</v>
      </c>
      <c r="I1193" s="474"/>
      <c r="J1193" s="556"/>
      <c r="K1193" s="483" t="s">
        <v>2982</v>
      </c>
      <c r="L1193" s="474" t="s">
        <v>2947</v>
      </c>
      <c r="M1193" s="475">
        <v>44519</v>
      </c>
      <c r="N1193" s="475">
        <v>44682</v>
      </c>
      <c r="O1193" s="475"/>
      <c r="P1193" s="475"/>
      <c r="Q1193" s="475"/>
      <c r="R1193" s="475"/>
      <c r="S1193" s="474" t="s">
        <v>2904</v>
      </c>
      <c r="T1193" s="474">
        <v>60</v>
      </c>
      <c r="U1193" s="474">
        <v>49403140</v>
      </c>
      <c r="V1193" s="474" t="s">
        <v>973</v>
      </c>
      <c r="W1193" s="474">
        <v>400</v>
      </c>
      <c r="X1193" s="476">
        <v>5824</v>
      </c>
      <c r="Y1193" s="491">
        <f>X1193*W1193</f>
        <v>2329600</v>
      </c>
      <c r="Z1193" s="478">
        <v>0.55000000000000004</v>
      </c>
      <c r="AA1193" s="492">
        <f t="shared" si="230"/>
        <v>1281280</v>
      </c>
      <c r="AB1193" s="492"/>
      <c r="AC1193" s="446">
        <v>0</v>
      </c>
      <c r="AD1193" s="490"/>
      <c r="AE1193" s="482"/>
      <c r="AF1193" s="580">
        <f t="shared" si="231"/>
        <v>1281280</v>
      </c>
      <c r="AG1193" s="474" t="s">
        <v>1071</v>
      </c>
      <c r="AH1193" s="474"/>
      <c r="AI1193" s="474">
        <v>60</v>
      </c>
      <c r="AJ1193" s="475" t="s">
        <v>2277</v>
      </c>
      <c r="AK1193" s="483" t="s">
        <v>1084</v>
      </c>
      <c r="AL1193" s="483" t="s">
        <v>2948</v>
      </c>
      <c r="AM1193" s="474" t="s">
        <v>52</v>
      </c>
      <c r="AN1193" s="474" t="s">
        <v>1074</v>
      </c>
      <c r="AO1193" s="474"/>
      <c r="AP1193" s="482"/>
      <c r="AQ1193" s="482" t="s">
        <v>37</v>
      </c>
      <c r="AR1193" s="439" t="s">
        <v>1248</v>
      </c>
      <c r="AS1193" s="436" t="s">
        <v>1087</v>
      </c>
      <c r="AT1193" s="436" t="s">
        <v>1076</v>
      </c>
      <c r="AU1193" s="478">
        <v>0.47499999999999998</v>
      </c>
      <c r="AV1193" s="471">
        <f t="shared" si="237"/>
        <v>49403140</v>
      </c>
      <c r="AW1193" s="471" cm="1">
        <f t="array" ref="AW1193">SUM(MID(0&amp;AV1193,LARGE(INDEX(ISNUMBER(--MID(AV1193,ROW($1:$8),1))*ROW($1:$8),),ROW($1:$8))+1,1)*10^ROW($1:$8)/10)</f>
        <v>49403140</v>
      </c>
      <c r="AX1193" s="471" t="str">
        <f>VLOOKUP($AW1193,'Item Master Data'!$A:$F,3,FALSE)</f>
        <v>Q.PEAK DUO BLK ML G10+</v>
      </c>
      <c r="AY1193" s="471">
        <f>VLOOKUP($AW1193,'Item Master Data'!$A:$F,6,FALSE)</f>
        <v>400</v>
      </c>
      <c r="AZ1193" s="471">
        <f t="shared" si="238"/>
        <v>182</v>
      </c>
      <c r="BA1193" s="471">
        <f>VLOOKUP(AW1193,'Item Master Data'!$A:$G,7,FALSE)</f>
        <v>32</v>
      </c>
      <c r="BB1193" s="471"/>
      <c r="BC1193" s="471">
        <f t="shared" si="239"/>
        <v>0</v>
      </c>
    </row>
    <row r="1194" spans="1:55">
      <c r="A1194" s="472"/>
      <c r="B1194" s="449">
        <v>44665</v>
      </c>
      <c r="C1194" s="449">
        <v>44666</v>
      </c>
      <c r="D1194" s="474" t="s">
        <v>2901</v>
      </c>
      <c r="E1194" s="445" t="s">
        <v>2984</v>
      </c>
      <c r="F1194" s="469" t="s">
        <v>1147</v>
      </c>
      <c r="G1194" s="474">
        <v>2022</v>
      </c>
      <c r="H1194" s="474">
        <v>6</v>
      </c>
      <c r="I1194" s="474"/>
      <c r="J1194" s="556"/>
      <c r="K1194" s="474" t="s">
        <v>4691</v>
      </c>
      <c r="L1194" s="474" t="s">
        <v>2947</v>
      </c>
      <c r="M1194" s="475">
        <v>44550</v>
      </c>
      <c r="N1194" s="475">
        <v>44652</v>
      </c>
      <c r="O1194" s="475"/>
      <c r="P1194" s="475"/>
      <c r="Q1194" s="475"/>
      <c r="R1194" s="475"/>
      <c r="S1194" s="474" t="s">
        <v>2904</v>
      </c>
      <c r="T1194" s="474">
        <v>60</v>
      </c>
      <c r="U1194" s="474">
        <v>49204132</v>
      </c>
      <c r="V1194" s="474" t="s">
        <v>1223</v>
      </c>
      <c r="W1194" s="474">
        <v>360</v>
      </c>
      <c r="X1194" s="476">
        <v>2496</v>
      </c>
      <c r="Y1194" s="477">
        <f>W1194*X1194</f>
        <v>898560</v>
      </c>
      <c r="Z1194" s="478">
        <v>0.8</v>
      </c>
      <c r="AA1194" s="479">
        <f t="shared" si="230"/>
        <v>718848</v>
      </c>
      <c r="AB1194" s="479"/>
      <c r="AC1194" s="446">
        <v>0</v>
      </c>
      <c r="AD1194" s="490"/>
      <c r="AE1194" s="482"/>
      <c r="AF1194" s="580">
        <f t="shared" si="231"/>
        <v>718848</v>
      </c>
      <c r="AG1194" s="474" t="s">
        <v>1071</v>
      </c>
      <c r="AH1194" s="474"/>
      <c r="AI1194" s="474">
        <v>60</v>
      </c>
      <c r="AJ1194" s="484" t="s">
        <v>2277</v>
      </c>
      <c r="AK1194" s="474" t="s">
        <v>1084</v>
      </c>
      <c r="AL1194" s="483" t="s">
        <v>2948</v>
      </c>
      <c r="AM1194" s="474" t="s">
        <v>52</v>
      </c>
      <c r="AN1194" s="474" t="s">
        <v>1074</v>
      </c>
      <c r="AO1194" s="474"/>
      <c r="AP1194" s="482"/>
      <c r="AQ1194" s="482" t="s">
        <v>37</v>
      </c>
      <c r="AR1194" s="482" t="s">
        <v>2953</v>
      </c>
      <c r="AS1194" s="436" t="s">
        <v>1087</v>
      </c>
      <c r="AT1194" s="436" t="s">
        <v>1076</v>
      </c>
      <c r="AU1194" s="478">
        <v>0.73</v>
      </c>
      <c r="AV1194" s="471"/>
      <c r="AW1194" s="471"/>
      <c r="AX1194" s="471"/>
      <c r="AY1194" s="471"/>
      <c r="AZ1194" s="471"/>
      <c r="BA1194" s="471"/>
      <c r="BB1194" s="471"/>
      <c r="BC1194" s="471"/>
    </row>
    <row r="1195" spans="1:55">
      <c r="A1195" s="472"/>
      <c r="B1195" s="467">
        <v>44664</v>
      </c>
      <c r="C1195" s="467">
        <v>44664</v>
      </c>
      <c r="D1195" s="474" t="s">
        <v>2901</v>
      </c>
      <c r="E1195" s="445"/>
      <c r="F1195" s="474" t="s">
        <v>1147</v>
      </c>
      <c r="G1195" s="474">
        <v>2022</v>
      </c>
      <c r="H1195" s="474">
        <v>6</v>
      </c>
      <c r="I1195" s="474"/>
      <c r="J1195" s="556"/>
      <c r="K1195" s="483" t="s">
        <v>2983</v>
      </c>
      <c r="L1195" s="474" t="s">
        <v>2947</v>
      </c>
      <c r="M1195" s="475">
        <v>44657</v>
      </c>
      <c r="N1195" s="475">
        <v>44713</v>
      </c>
      <c r="O1195" s="475"/>
      <c r="P1195" s="475"/>
      <c r="Q1195" s="475"/>
      <c r="R1195" s="475"/>
      <c r="S1195" s="474" t="s">
        <v>2904</v>
      </c>
      <c r="T1195" s="474">
        <v>72</v>
      </c>
      <c r="U1195" s="474" t="s">
        <v>1109</v>
      </c>
      <c r="V1195" s="474" t="s">
        <v>1070</v>
      </c>
      <c r="W1195" s="474">
        <v>480</v>
      </c>
      <c r="X1195" s="476">
        <v>2320</v>
      </c>
      <c r="Y1195" s="491">
        <f t="shared" ref="Y1195:Y1205" si="240">X1195*W1195</f>
        <v>1113600</v>
      </c>
      <c r="Z1195" s="478">
        <v>0.505</v>
      </c>
      <c r="AA1195" s="492">
        <f t="shared" si="230"/>
        <v>562368</v>
      </c>
      <c r="AB1195" s="492"/>
      <c r="AC1195" s="446">
        <v>0</v>
      </c>
      <c r="AD1195" s="490"/>
      <c r="AE1195" s="482"/>
      <c r="AF1195" s="580">
        <f t="shared" si="231"/>
        <v>562368</v>
      </c>
      <c r="AG1195" s="474" t="s">
        <v>1071</v>
      </c>
      <c r="AH1195" s="474"/>
      <c r="AI1195" s="474">
        <v>60</v>
      </c>
      <c r="AJ1195" s="475" t="s">
        <v>2277</v>
      </c>
      <c r="AK1195" s="483" t="s">
        <v>1084</v>
      </c>
      <c r="AL1195" s="483">
        <v>32809</v>
      </c>
      <c r="AM1195" s="474" t="s">
        <v>52</v>
      </c>
      <c r="AN1195" s="474" t="s">
        <v>1074</v>
      </c>
      <c r="AO1195" s="474"/>
      <c r="AP1195" s="482"/>
      <c r="AQ1195" s="482" t="s">
        <v>37</v>
      </c>
      <c r="AR1195" s="439" t="s">
        <v>2953</v>
      </c>
      <c r="AS1195" s="436" t="s">
        <v>1076</v>
      </c>
      <c r="AT1195" s="436" t="s">
        <v>1076</v>
      </c>
      <c r="AU1195" s="478">
        <v>0.5</v>
      </c>
      <c r="AV1195" s="471"/>
      <c r="AW1195" s="471"/>
      <c r="AX1195" s="471"/>
      <c r="AY1195" s="471"/>
      <c r="AZ1195" s="471"/>
      <c r="BA1195" s="471"/>
      <c r="BB1195" s="471"/>
      <c r="BC1195" s="471"/>
    </row>
    <row r="1196" spans="1:55">
      <c r="A1196" s="472"/>
      <c r="B1196" s="467">
        <v>44579</v>
      </c>
      <c r="C1196" s="467">
        <v>44579</v>
      </c>
      <c r="D1196" s="474" t="s">
        <v>2901</v>
      </c>
      <c r="E1196" s="445"/>
      <c r="F1196" s="474"/>
      <c r="G1196" s="474">
        <v>2022</v>
      </c>
      <c r="H1196" s="474">
        <v>6</v>
      </c>
      <c r="I1196" s="474"/>
      <c r="J1196" s="556"/>
      <c r="K1196" s="483" t="s">
        <v>5213</v>
      </c>
      <c r="L1196" s="474" t="s">
        <v>2966</v>
      </c>
      <c r="M1196" s="475">
        <v>44855</v>
      </c>
      <c r="N1196" s="475">
        <v>44713</v>
      </c>
      <c r="O1196" s="475"/>
      <c r="P1196" s="475"/>
      <c r="Q1196" s="475"/>
      <c r="R1196" s="475"/>
      <c r="S1196" s="474" t="s">
        <v>2904</v>
      </c>
      <c r="T1196" s="474">
        <v>72</v>
      </c>
      <c r="U1196" s="474" t="s">
        <v>1225</v>
      </c>
      <c r="V1196" s="474" t="s">
        <v>1070</v>
      </c>
      <c r="W1196" s="474">
        <v>480</v>
      </c>
      <c r="X1196" s="476">
        <v>1276</v>
      </c>
      <c r="Y1196" s="491">
        <f t="shared" si="240"/>
        <v>612480</v>
      </c>
      <c r="Z1196" s="478">
        <v>0.47499999999999998</v>
      </c>
      <c r="AA1196" s="492">
        <f t="shared" si="230"/>
        <v>290928</v>
      </c>
      <c r="AB1196" s="492"/>
      <c r="AC1196" s="446">
        <v>0</v>
      </c>
      <c r="AD1196" s="490"/>
      <c r="AE1196" s="482"/>
      <c r="AF1196" s="580">
        <f t="shared" si="231"/>
        <v>290928</v>
      </c>
      <c r="AG1196" s="474" t="s">
        <v>1071</v>
      </c>
      <c r="AH1196" s="474"/>
      <c r="AI1196" s="474">
        <v>60</v>
      </c>
      <c r="AJ1196" s="475" t="s">
        <v>2967</v>
      </c>
      <c r="AK1196" s="483" t="s">
        <v>1158</v>
      </c>
      <c r="AL1196" s="483" t="s">
        <v>2968</v>
      </c>
      <c r="AM1196" s="474" t="s">
        <v>52</v>
      </c>
      <c r="AN1196" s="474" t="s">
        <v>1554</v>
      </c>
      <c r="AO1196" s="474"/>
      <c r="AP1196" s="482" t="s">
        <v>38</v>
      </c>
      <c r="AQ1196" s="482" t="s">
        <v>37</v>
      </c>
      <c r="AR1196" s="439"/>
      <c r="AS1196" s="436" t="s">
        <v>1076</v>
      </c>
      <c r="AT1196" s="436" t="s">
        <v>1076</v>
      </c>
      <c r="AU1196" s="478"/>
      <c r="AV1196" s="471"/>
      <c r="AW1196" s="471"/>
      <c r="AX1196" s="471"/>
      <c r="AY1196" s="471"/>
      <c r="AZ1196" s="471"/>
      <c r="BA1196" s="471"/>
      <c r="BB1196" s="471"/>
      <c r="BC1196" s="471"/>
    </row>
    <row r="1197" spans="1:55">
      <c r="A1197" s="472"/>
      <c r="B1197" s="467">
        <v>44579</v>
      </c>
      <c r="C1197" s="467">
        <v>44579</v>
      </c>
      <c r="D1197" s="474" t="s">
        <v>2901</v>
      </c>
      <c r="E1197" s="445"/>
      <c r="F1197" s="474"/>
      <c r="G1197" s="474">
        <v>2022</v>
      </c>
      <c r="H1197" s="474">
        <v>6</v>
      </c>
      <c r="I1197" s="474"/>
      <c r="J1197" s="556"/>
      <c r="K1197" s="483" t="s">
        <v>5213</v>
      </c>
      <c r="L1197" s="474" t="s">
        <v>2966</v>
      </c>
      <c r="M1197" s="475">
        <v>44855</v>
      </c>
      <c r="N1197" s="475">
        <v>44713</v>
      </c>
      <c r="O1197" s="475"/>
      <c r="P1197" s="475"/>
      <c r="Q1197" s="475"/>
      <c r="R1197" s="475"/>
      <c r="S1197" s="474" t="s">
        <v>2904</v>
      </c>
      <c r="T1197" s="474">
        <v>72</v>
      </c>
      <c r="U1197" s="474" t="s">
        <v>1109</v>
      </c>
      <c r="V1197" s="474" t="s">
        <v>5214</v>
      </c>
      <c r="W1197" s="474">
        <v>430</v>
      </c>
      <c r="X1197" s="476">
        <v>638</v>
      </c>
      <c r="Y1197" s="491">
        <f t="shared" si="240"/>
        <v>274340</v>
      </c>
      <c r="Z1197" s="478">
        <v>0.44500000000000001</v>
      </c>
      <c r="AA1197" s="492">
        <f t="shared" si="230"/>
        <v>122081.3</v>
      </c>
      <c r="AB1197" s="492"/>
      <c r="AC1197" s="446">
        <v>0</v>
      </c>
      <c r="AD1197" s="490"/>
      <c r="AE1197" s="482"/>
      <c r="AF1197" s="580">
        <f t="shared" si="231"/>
        <v>122081.3</v>
      </c>
      <c r="AG1197" s="474" t="s">
        <v>1071</v>
      </c>
      <c r="AH1197" s="474"/>
      <c r="AI1197" s="474">
        <v>60</v>
      </c>
      <c r="AJ1197" s="475" t="s">
        <v>2967</v>
      </c>
      <c r="AK1197" s="483" t="s">
        <v>1158</v>
      </c>
      <c r="AL1197" s="483" t="s">
        <v>2968</v>
      </c>
      <c r="AM1197" s="474" t="s">
        <v>52</v>
      </c>
      <c r="AN1197" s="474" t="s">
        <v>1554</v>
      </c>
      <c r="AO1197" s="474"/>
      <c r="AP1197" s="482" t="s">
        <v>38</v>
      </c>
      <c r="AQ1197" s="482" t="s">
        <v>37</v>
      </c>
      <c r="AR1197" s="439"/>
      <c r="AS1197" s="436" t="s">
        <v>1076</v>
      </c>
      <c r="AT1197" s="436" t="s">
        <v>1076</v>
      </c>
      <c r="AU1197" s="478"/>
      <c r="AV1197" s="471"/>
      <c r="AW1197" s="471"/>
      <c r="AX1197" s="471"/>
      <c r="AY1197" s="471"/>
      <c r="AZ1197" s="471"/>
      <c r="BA1197" s="471"/>
      <c r="BB1197" s="471"/>
      <c r="BC1197" s="471"/>
    </row>
    <row r="1198" spans="1:55">
      <c r="A1198" s="472"/>
      <c r="B1198" s="467">
        <v>44887</v>
      </c>
      <c r="C1198" s="467">
        <v>44887</v>
      </c>
      <c r="D1198" s="474" t="s">
        <v>2901</v>
      </c>
      <c r="E1198" s="445" t="s">
        <v>3007</v>
      </c>
      <c r="F1198" s="474" t="s">
        <v>1147</v>
      </c>
      <c r="G1198" s="474">
        <v>2022</v>
      </c>
      <c r="H1198" s="474">
        <v>6</v>
      </c>
      <c r="I1198" s="474"/>
      <c r="J1198" s="556"/>
      <c r="K1198" s="483" t="s">
        <v>3011</v>
      </c>
      <c r="L1198" s="474" t="s">
        <v>2966</v>
      </c>
      <c r="M1198" s="475">
        <v>44512</v>
      </c>
      <c r="N1198" s="475">
        <v>44682</v>
      </c>
      <c r="O1198" s="475"/>
      <c r="P1198" s="475"/>
      <c r="Q1198" s="475"/>
      <c r="R1198" s="475"/>
      <c r="S1198" s="474" t="s">
        <v>2904</v>
      </c>
      <c r="T1198" s="474">
        <v>60</v>
      </c>
      <c r="U1198" s="474">
        <v>49403140</v>
      </c>
      <c r="V1198" s="474" t="s">
        <v>973</v>
      </c>
      <c r="W1198" s="474">
        <v>400</v>
      </c>
      <c r="X1198" s="476">
        <v>4160</v>
      </c>
      <c r="Y1198" s="491">
        <f t="shared" si="240"/>
        <v>1664000</v>
      </c>
      <c r="Z1198" s="478">
        <v>0.55000000000000004</v>
      </c>
      <c r="AA1198" s="492">
        <f t="shared" si="230"/>
        <v>915200.00000000012</v>
      </c>
      <c r="AB1198" s="492"/>
      <c r="AC1198" s="446">
        <v>0</v>
      </c>
      <c r="AD1198" s="490"/>
      <c r="AE1198" s="482"/>
      <c r="AF1198" s="580">
        <f t="shared" si="231"/>
        <v>915200.00000000012</v>
      </c>
      <c r="AG1198" s="474" t="s">
        <v>1071</v>
      </c>
      <c r="AH1198" s="474"/>
      <c r="AI1198" s="474">
        <v>60</v>
      </c>
      <c r="AJ1198" s="475" t="s">
        <v>2967</v>
      </c>
      <c r="AK1198" s="483" t="s">
        <v>1158</v>
      </c>
      <c r="AL1198" s="483" t="s">
        <v>2968</v>
      </c>
      <c r="AM1198" s="474" t="s">
        <v>52</v>
      </c>
      <c r="AN1198" s="474" t="s">
        <v>1074</v>
      </c>
      <c r="AO1198" s="474"/>
      <c r="AP1198" s="482"/>
      <c r="AQ1198" s="482" t="s">
        <v>37</v>
      </c>
      <c r="AR1198" s="439" t="s">
        <v>1288</v>
      </c>
      <c r="AS1198" s="436" t="s">
        <v>1076</v>
      </c>
      <c r="AT1198" s="436" t="s">
        <v>1076</v>
      </c>
      <c r="AU1198" s="478">
        <v>0.49</v>
      </c>
      <c r="AV1198" s="471"/>
      <c r="AW1198" s="471"/>
      <c r="AX1198" s="471"/>
      <c r="AY1198" s="471"/>
      <c r="AZ1198" s="471"/>
      <c r="BA1198" s="471"/>
      <c r="BB1198" s="471"/>
      <c r="BC1198" s="471"/>
    </row>
    <row r="1199" spans="1:55">
      <c r="A1199" s="472"/>
      <c r="B1199" s="467">
        <v>44543</v>
      </c>
      <c r="C1199" s="467">
        <v>44543</v>
      </c>
      <c r="D1199" s="474" t="s">
        <v>2901</v>
      </c>
      <c r="E1199" s="445" t="s">
        <v>3007</v>
      </c>
      <c r="F1199" s="474" t="s">
        <v>1147</v>
      </c>
      <c r="G1199" s="474">
        <v>2022</v>
      </c>
      <c r="H1199" s="474">
        <v>6</v>
      </c>
      <c r="I1199" s="474"/>
      <c r="J1199" s="556"/>
      <c r="K1199" s="483" t="s">
        <v>5455</v>
      </c>
      <c r="L1199" s="474" t="s">
        <v>2966</v>
      </c>
      <c r="M1199" s="475">
        <v>44523</v>
      </c>
      <c r="N1199" s="475">
        <v>44621</v>
      </c>
      <c r="O1199" s="475"/>
      <c r="P1199" s="475"/>
      <c r="Q1199" s="475"/>
      <c r="R1199" s="475"/>
      <c r="S1199" s="474" t="s">
        <v>2904</v>
      </c>
      <c r="T1199" s="474">
        <v>60</v>
      </c>
      <c r="U1199" s="474">
        <v>49403140</v>
      </c>
      <c r="V1199" s="474" t="s">
        <v>973</v>
      </c>
      <c r="W1199" s="474">
        <v>400</v>
      </c>
      <c r="X1199" s="476">
        <v>960</v>
      </c>
      <c r="Y1199" s="491">
        <f t="shared" si="240"/>
        <v>384000</v>
      </c>
      <c r="Z1199" s="478">
        <v>0.55000000000000004</v>
      </c>
      <c r="AA1199" s="492">
        <f t="shared" si="230"/>
        <v>211200.00000000003</v>
      </c>
      <c r="AB1199" s="492"/>
      <c r="AC1199" s="446">
        <v>0</v>
      </c>
      <c r="AD1199" s="490"/>
      <c r="AE1199" s="482"/>
      <c r="AF1199" s="580">
        <f t="shared" si="231"/>
        <v>211200.00000000003</v>
      </c>
      <c r="AG1199" s="474" t="s">
        <v>1071</v>
      </c>
      <c r="AH1199" s="474"/>
      <c r="AI1199" s="474">
        <v>60</v>
      </c>
      <c r="AJ1199" s="475" t="s">
        <v>2967</v>
      </c>
      <c r="AK1199" s="483" t="s">
        <v>1158</v>
      </c>
      <c r="AL1199" s="483" t="s">
        <v>2968</v>
      </c>
      <c r="AM1199" s="474" t="s">
        <v>52</v>
      </c>
      <c r="AN1199" s="474" t="s">
        <v>1074</v>
      </c>
      <c r="AO1199" s="474"/>
      <c r="AP1199" s="482"/>
      <c r="AQ1199" s="482" t="s">
        <v>37</v>
      </c>
      <c r="AR1199" s="439" t="s">
        <v>1288</v>
      </c>
      <c r="AS1199" s="436" t="s">
        <v>1076</v>
      </c>
      <c r="AT1199" s="436" t="s">
        <v>1076</v>
      </c>
      <c r="AU1199" s="478">
        <v>0.49</v>
      </c>
      <c r="AV1199" s="471"/>
      <c r="AW1199" s="471"/>
      <c r="AX1199" s="471"/>
      <c r="AY1199" s="471"/>
      <c r="AZ1199" s="471"/>
      <c r="BA1199" s="471"/>
      <c r="BB1199" s="471"/>
      <c r="BC1199" s="471"/>
    </row>
    <row r="1200" spans="1:55">
      <c r="A1200" s="472"/>
      <c r="B1200" s="467">
        <v>44531</v>
      </c>
      <c r="C1200" s="467">
        <v>44543</v>
      </c>
      <c r="D1200" s="474" t="s">
        <v>2901</v>
      </c>
      <c r="E1200" s="445" t="s">
        <v>3007</v>
      </c>
      <c r="F1200" s="474" t="s">
        <v>1147</v>
      </c>
      <c r="G1200" s="474">
        <v>2022</v>
      </c>
      <c r="H1200" s="474">
        <v>6</v>
      </c>
      <c r="I1200" s="474"/>
      <c r="J1200" s="556"/>
      <c r="K1200" s="483" t="s">
        <v>3009</v>
      </c>
      <c r="L1200" s="474" t="s">
        <v>2966</v>
      </c>
      <c r="M1200" s="475">
        <v>44529</v>
      </c>
      <c r="N1200" s="475">
        <v>44657</v>
      </c>
      <c r="O1200" s="475"/>
      <c r="P1200" s="475"/>
      <c r="Q1200" s="475"/>
      <c r="R1200" s="475"/>
      <c r="S1200" s="474" t="s">
        <v>2904</v>
      </c>
      <c r="T1200" s="474">
        <v>60</v>
      </c>
      <c r="U1200" s="474">
        <v>49403140</v>
      </c>
      <c r="V1200" s="474" t="s">
        <v>973</v>
      </c>
      <c r="W1200" s="474">
        <v>400</v>
      </c>
      <c r="X1200" s="476">
        <v>832</v>
      </c>
      <c r="Y1200" s="491">
        <f t="shared" si="240"/>
        <v>332800</v>
      </c>
      <c r="Z1200" s="478">
        <v>0.55000000000000004</v>
      </c>
      <c r="AA1200" s="492">
        <f t="shared" si="230"/>
        <v>183040.00000000003</v>
      </c>
      <c r="AB1200" s="492"/>
      <c r="AC1200" s="446">
        <v>0</v>
      </c>
      <c r="AD1200" s="490"/>
      <c r="AE1200" s="482"/>
      <c r="AF1200" s="580">
        <f t="shared" si="231"/>
        <v>183040.00000000003</v>
      </c>
      <c r="AG1200" s="474" t="s">
        <v>1071</v>
      </c>
      <c r="AH1200" s="474"/>
      <c r="AI1200" s="474">
        <v>60</v>
      </c>
      <c r="AJ1200" s="475" t="s">
        <v>2967</v>
      </c>
      <c r="AK1200" s="483" t="s">
        <v>1158</v>
      </c>
      <c r="AL1200" s="483" t="s">
        <v>2968</v>
      </c>
      <c r="AM1200" s="474" t="s">
        <v>52</v>
      </c>
      <c r="AN1200" s="474" t="s">
        <v>1074</v>
      </c>
      <c r="AO1200" s="474"/>
      <c r="AP1200" s="482"/>
      <c r="AQ1200" s="482" t="s">
        <v>37</v>
      </c>
      <c r="AR1200" s="439" t="s">
        <v>1288</v>
      </c>
      <c r="AS1200" s="436" t="s">
        <v>1076</v>
      </c>
      <c r="AT1200" s="436" t="s">
        <v>1076</v>
      </c>
      <c r="AU1200" s="478">
        <v>0.49</v>
      </c>
      <c r="AV1200" s="471"/>
      <c r="AW1200" s="471"/>
      <c r="AX1200" s="471"/>
      <c r="AY1200" s="471"/>
      <c r="AZ1200" s="471"/>
      <c r="BA1200" s="471"/>
      <c r="BB1200" s="471"/>
      <c r="BC1200" s="471"/>
    </row>
    <row r="1201" spans="1:55">
      <c r="A1201" s="472"/>
      <c r="B1201" s="467">
        <v>44531</v>
      </c>
      <c r="C1201" s="467">
        <v>44543</v>
      </c>
      <c r="D1201" s="474" t="s">
        <v>2901</v>
      </c>
      <c r="E1201" s="445" t="s">
        <v>3007</v>
      </c>
      <c r="F1201" s="474" t="s">
        <v>1147</v>
      </c>
      <c r="G1201" s="474">
        <v>2022</v>
      </c>
      <c r="H1201" s="474">
        <v>6</v>
      </c>
      <c r="I1201" s="474"/>
      <c r="J1201" s="556"/>
      <c r="K1201" s="483" t="s">
        <v>3010</v>
      </c>
      <c r="L1201" s="474" t="s">
        <v>2966</v>
      </c>
      <c r="M1201" s="475">
        <v>44529</v>
      </c>
      <c r="N1201" s="475">
        <v>44657</v>
      </c>
      <c r="O1201" s="475"/>
      <c r="P1201" s="475"/>
      <c r="Q1201" s="475"/>
      <c r="R1201" s="475"/>
      <c r="S1201" s="474" t="s">
        <v>2904</v>
      </c>
      <c r="T1201" s="474">
        <v>60</v>
      </c>
      <c r="U1201" s="474">
        <v>49403140</v>
      </c>
      <c r="V1201" s="474" t="s">
        <v>973</v>
      </c>
      <c r="W1201" s="474">
        <v>400</v>
      </c>
      <c r="X1201" s="476">
        <v>832</v>
      </c>
      <c r="Y1201" s="491">
        <f t="shared" si="240"/>
        <v>332800</v>
      </c>
      <c r="Z1201" s="478">
        <v>0.55000000000000004</v>
      </c>
      <c r="AA1201" s="492">
        <f t="shared" si="230"/>
        <v>183040.00000000003</v>
      </c>
      <c r="AB1201" s="492"/>
      <c r="AC1201" s="446">
        <v>0</v>
      </c>
      <c r="AD1201" s="490"/>
      <c r="AE1201" s="482"/>
      <c r="AF1201" s="580">
        <f t="shared" si="231"/>
        <v>183040.00000000003</v>
      </c>
      <c r="AG1201" s="474" t="s">
        <v>1071</v>
      </c>
      <c r="AH1201" s="474"/>
      <c r="AI1201" s="474">
        <v>60</v>
      </c>
      <c r="AJ1201" s="475" t="s">
        <v>2967</v>
      </c>
      <c r="AK1201" s="483" t="s">
        <v>1158</v>
      </c>
      <c r="AL1201" s="483" t="s">
        <v>2968</v>
      </c>
      <c r="AM1201" s="474" t="s">
        <v>52</v>
      </c>
      <c r="AN1201" s="474" t="s">
        <v>1074</v>
      </c>
      <c r="AO1201" s="474"/>
      <c r="AP1201" s="482"/>
      <c r="AQ1201" s="482" t="s">
        <v>37</v>
      </c>
      <c r="AR1201" s="439" t="s">
        <v>1288</v>
      </c>
      <c r="AS1201" s="436" t="s">
        <v>1076</v>
      </c>
      <c r="AT1201" s="436" t="s">
        <v>1076</v>
      </c>
      <c r="AU1201" s="478">
        <v>0.49</v>
      </c>
      <c r="AV1201" s="471"/>
      <c r="AW1201" s="471"/>
      <c r="AX1201" s="471"/>
      <c r="AY1201" s="471"/>
      <c r="AZ1201" s="471"/>
      <c r="BA1201" s="471"/>
      <c r="BB1201" s="471"/>
      <c r="BC1201" s="471"/>
    </row>
    <row r="1202" spans="1:55">
      <c r="A1202" s="472"/>
      <c r="B1202" s="467"/>
      <c r="C1202" s="467">
        <v>44573</v>
      </c>
      <c r="D1202" s="474" t="s">
        <v>2901</v>
      </c>
      <c r="E1202" s="445" t="s">
        <v>3007</v>
      </c>
      <c r="F1202" s="474" t="s">
        <v>1147</v>
      </c>
      <c r="G1202" s="474">
        <v>2022</v>
      </c>
      <c r="H1202" s="474">
        <v>6</v>
      </c>
      <c r="I1202" s="474"/>
      <c r="J1202" s="556"/>
      <c r="K1202" s="483" t="s">
        <v>3015</v>
      </c>
      <c r="L1202" s="474" t="s">
        <v>2966</v>
      </c>
      <c r="M1202" s="475">
        <v>44529</v>
      </c>
      <c r="N1202" s="475">
        <v>44687</v>
      </c>
      <c r="O1202" s="475"/>
      <c r="P1202" s="475"/>
      <c r="Q1202" s="475"/>
      <c r="R1202" s="475"/>
      <c r="S1202" s="474" t="s">
        <v>2904</v>
      </c>
      <c r="T1202" s="474">
        <v>60</v>
      </c>
      <c r="U1202" s="474">
        <v>49403140</v>
      </c>
      <c r="V1202" s="474" t="s">
        <v>973</v>
      </c>
      <c r="W1202" s="474">
        <v>400</v>
      </c>
      <c r="X1202" s="476">
        <v>832</v>
      </c>
      <c r="Y1202" s="491">
        <f t="shared" si="240"/>
        <v>332800</v>
      </c>
      <c r="Z1202" s="478">
        <v>0.55000000000000004</v>
      </c>
      <c r="AA1202" s="492">
        <f t="shared" si="230"/>
        <v>183040.00000000003</v>
      </c>
      <c r="AB1202" s="492"/>
      <c r="AC1202" s="446">
        <v>0</v>
      </c>
      <c r="AD1202" s="490"/>
      <c r="AE1202" s="482"/>
      <c r="AF1202" s="580">
        <f t="shared" si="231"/>
        <v>183040.00000000003</v>
      </c>
      <c r="AG1202" s="474" t="s">
        <v>1071</v>
      </c>
      <c r="AH1202" s="474"/>
      <c r="AI1202" s="474">
        <v>60</v>
      </c>
      <c r="AJ1202" s="475" t="s">
        <v>2967</v>
      </c>
      <c r="AK1202" s="483" t="s">
        <v>1158</v>
      </c>
      <c r="AL1202" s="483" t="s">
        <v>2968</v>
      </c>
      <c r="AM1202" s="474" t="s">
        <v>52</v>
      </c>
      <c r="AN1202" s="474" t="s">
        <v>1074</v>
      </c>
      <c r="AO1202" s="474"/>
      <c r="AP1202" s="482"/>
      <c r="AQ1202" s="482" t="s">
        <v>37</v>
      </c>
      <c r="AR1202" s="439" t="s">
        <v>1248</v>
      </c>
      <c r="AS1202" s="436" t="s">
        <v>1076</v>
      </c>
      <c r="AT1202" s="436" t="s">
        <v>1076</v>
      </c>
      <c r="AU1202" s="478">
        <v>0.47499999999999998</v>
      </c>
      <c r="AV1202" s="471"/>
      <c r="AW1202" s="471"/>
      <c r="AX1202" s="471"/>
      <c r="AY1202" s="471"/>
      <c r="AZ1202" s="471"/>
      <c r="BA1202" s="471"/>
      <c r="BB1202" s="471"/>
      <c r="BC1202" s="471"/>
    </row>
    <row r="1203" spans="1:55">
      <c r="A1203" s="472"/>
      <c r="B1203" s="467">
        <v>44579</v>
      </c>
      <c r="C1203" s="467">
        <v>44579</v>
      </c>
      <c r="D1203" s="474" t="s">
        <v>2901</v>
      </c>
      <c r="E1203" s="445" t="s">
        <v>3013</v>
      </c>
      <c r="F1203" s="474" t="s">
        <v>1147</v>
      </c>
      <c r="G1203" s="474">
        <v>2022</v>
      </c>
      <c r="H1203" s="474">
        <v>6</v>
      </c>
      <c r="I1203" s="474"/>
      <c r="J1203" s="556"/>
      <c r="K1203" s="483" t="s">
        <v>3046</v>
      </c>
      <c r="L1203" s="474" t="s">
        <v>2966</v>
      </c>
      <c r="M1203" s="475">
        <v>44579</v>
      </c>
      <c r="N1203" s="475">
        <v>44837</v>
      </c>
      <c r="O1203" s="475"/>
      <c r="P1203" s="475"/>
      <c r="Q1203" s="475"/>
      <c r="R1203" s="475"/>
      <c r="S1203" s="474" t="s">
        <v>2904</v>
      </c>
      <c r="T1203" s="474">
        <v>72</v>
      </c>
      <c r="U1203" s="474" t="s">
        <v>1225</v>
      </c>
      <c r="V1203" s="474" t="s">
        <v>1070</v>
      </c>
      <c r="W1203" s="474">
        <v>480</v>
      </c>
      <c r="X1203" s="476">
        <v>1914</v>
      </c>
      <c r="Y1203" s="491">
        <f t="shared" si="240"/>
        <v>918720</v>
      </c>
      <c r="Z1203" s="478">
        <v>0.48</v>
      </c>
      <c r="AA1203" s="492">
        <f t="shared" si="230"/>
        <v>440985.59999999998</v>
      </c>
      <c r="AB1203" s="492"/>
      <c r="AC1203" s="446">
        <v>0</v>
      </c>
      <c r="AD1203" s="490"/>
      <c r="AE1203" s="482"/>
      <c r="AF1203" s="580">
        <f t="shared" si="231"/>
        <v>440985.59999999998</v>
      </c>
      <c r="AG1203" s="474" t="s">
        <v>1071</v>
      </c>
      <c r="AH1203" s="474"/>
      <c r="AI1203" s="474">
        <v>60</v>
      </c>
      <c r="AJ1203" s="475" t="s">
        <v>2967</v>
      </c>
      <c r="AK1203" s="483" t="s">
        <v>1158</v>
      </c>
      <c r="AL1203" s="483" t="s">
        <v>2968</v>
      </c>
      <c r="AM1203" s="474" t="s">
        <v>52</v>
      </c>
      <c r="AN1203" s="474" t="s">
        <v>1554</v>
      </c>
      <c r="AO1203" s="474"/>
      <c r="AP1203" s="482" t="s">
        <v>38</v>
      </c>
      <c r="AQ1203" s="482" t="s">
        <v>37</v>
      </c>
      <c r="AR1203" s="439"/>
      <c r="AS1203" s="436" t="s">
        <v>1076</v>
      </c>
      <c r="AT1203" s="436" t="s">
        <v>1076</v>
      </c>
      <c r="AU1203" s="478"/>
      <c r="AV1203" s="471"/>
      <c r="AW1203" s="471"/>
      <c r="AX1203" s="471"/>
      <c r="AY1203" s="471"/>
      <c r="AZ1203" s="471"/>
      <c r="BA1203" s="471"/>
      <c r="BB1203" s="471"/>
      <c r="BC1203" s="471"/>
    </row>
    <row r="1204" spans="1:55">
      <c r="A1204" s="472"/>
      <c r="B1204" s="467">
        <v>44630</v>
      </c>
      <c r="C1204" s="467">
        <v>44630</v>
      </c>
      <c r="D1204" s="474" t="s">
        <v>2901</v>
      </c>
      <c r="E1204" s="445"/>
      <c r="F1204" s="474" t="s">
        <v>1147</v>
      </c>
      <c r="G1204" s="474">
        <v>2022</v>
      </c>
      <c r="H1204" s="474">
        <v>6</v>
      </c>
      <c r="I1204" s="474"/>
      <c r="J1204" s="556"/>
      <c r="K1204" s="483" t="s">
        <v>5456</v>
      </c>
      <c r="L1204" s="474" t="s">
        <v>2567</v>
      </c>
      <c r="M1204" s="475">
        <v>44483</v>
      </c>
      <c r="N1204" s="475">
        <v>44621</v>
      </c>
      <c r="O1204" s="475"/>
      <c r="P1204" s="475"/>
      <c r="Q1204" s="475"/>
      <c r="R1204" s="475"/>
      <c r="S1204" s="474" t="s">
        <v>2904</v>
      </c>
      <c r="T1204" s="474">
        <v>60</v>
      </c>
      <c r="U1204" s="474">
        <v>49201132</v>
      </c>
      <c r="V1204" s="474" t="s">
        <v>986</v>
      </c>
      <c r="W1204" s="474">
        <v>360</v>
      </c>
      <c r="X1204" s="476">
        <v>4064</v>
      </c>
      <c r="Y1204" s="491">
        <f t="shared" si="240"/>
        <v>1463040</v>
      </c>
      <c r="Z1204" s="478">
        <v>0.53</v>
      </c>
      <c r="AA1204" s="492">
        <f t="shared" si="230"/>
        <v>775411.20000000007</v>
      </c>
      <c r="AB1204" s="492"/>
      <c r="AC1204" s="446">
        <v>0</v>
      </c>
      <c r="AD1204" s="490"/>
      <c r="AE1204" s="482"/>
      <c r="AF1204" s="580">
        <f t="shared" si="231"/>
        <v>775411.20000000007</v>
      </c>
      <c r="AG1204" s="474" t="s">
        <v>1071</v>
      </c>
      <c r="AH1204" s="474"/>
      <c r="AI1204" s="474">
        <v>60</v>
      </c>
      <c r="AJ1204" s="475" t="s">
        <v>2568</v>
      </c>
      <c r="AK1204" s="483" t="s">
        <v>1084</v>
      </c>
      <c r="AL1204" s="483" t="s">
        <v>2569</v>
      </c>
      <c r="AM1204" s="474" t="s">
        <v>52</v>
      </c>
      <c r="AN1204" s="474" t="s">
        <v>1074</v>
      </c>
      <c r="AO1204" s="474"/>
      <c r="AP1204" s="482"/>
      <c r="AQ1204" s="482" t="s">
        <v>37</v>
      </c>
      <c r="AR1204" s="439"/>
      <c r="AS1204" s="436"/>
      <c r="AT1204" s="436"/>
      <c r="AU1204" s="478"/>
      <c r="AV1204" s="471"/>
      <c r="AW1204" s="471"/>
      <c r="AX1204" s="471"/>
      <c r="AY1204" s="471"/>
      <c r="AZ1204" s="471"/>
      <c r="BA1204" s="471"/>
      <c r="BB1204" s="471"/>
      <c r="BC1204" s="471"/>
    </row>
    <row r="1205" spans="1:55">
      <c r="A1205" s="472"/>
      <c r="B1205" s="467">
        <v>44578</v>
      </c>
      <c r="C1205" s="467" t="s">
        <v>1211</v>
      </c>
      <c r="D1205" s="474" t="s">
        <v>2901</v>
      </c>
      <c r="E1205" s="445" t="s">
        <v>5211</v>
      </c>
      <c r="F1205" s="474" t="s">
        <v>3033</v>
      </c>
      <c r="G1205" s="474">
        <v>2022</v>
      </c>
      <c r="H1205" s="474">
        <v>6</v>
      </c>
      <c r="I1205" s="474"/>
      <c r="J1205" s="556"/>
      <c r="K1205" s="483" t="s">
        <v>5458</v>
      </c>
      <c r="L1205" s="474" t="s">
        <v>2567</v>
      </c>
      <c r="M1205" s="475">
        <v>44495</v>
      </c>
      <c r="N1205" s="475">
        <v>44621</v>
      </c>
      <c r="O1205" s="475"/>
      <c r="P1205" s="475"/>
      <c r="Q1205" s="475"/>
      <c r="R1205" s="475"/>
      <c r="S1205" s="474" t="s">
        <v>2904</v>
      </c>
      <c r="T1205" s="474">
        <v>60</v>
      </c>
      <c r="U1205" s="474">
        <v>49403140</v>
      </c>
      <c r="V1205" s="474" t="s">
        <v>973</v>
      </c>
      <c r="W1205" s="474">
        <v>400</v>
      </c>
      <c r="X1205" s="476">
        <v>3520</v>
      </c>
      <c r="Y1205" s="491">
        <f t="shared" si="240"/>
        <v>1408000</v>
      </c>
      <c r="Z1205" s="478">
        <v>0.55000000000000004</v>
      </c>
      <c r="AA1205" s="492">
        <f t="shared" si="230"/>
        <v>774400.00000000012</v>
      </c>
      <c r="AB1205" s="492"/>
      <c r="AC1205" s="446">
        <v>0</v>
      </c>
      <c r="AD1205" s="490"/>
      <c r="AE1205" s="482"/>
      <c r="AF1205" s="580">
        <f t="shared" si="231"/>
        <v>774400.00000000012</v>
      </c>
      <c r="AG1205" s="474" t="s">
        <v>1071</v>
      </c>
      <c r="AH1205" s="474"/>
      <c r="AI1205" s="474">
        <v>60</v>
      </c>
      <c r="AJ1205" s="475" t="s">
        <v>2568</v>
      </c>
      <c r="AK1205" s="483" t="s">
        <v>1084</v>
      </c>
      <c r="AL1205" s="483" t="s">
        <v>2569</v>
      </c>
      <c r="AM1205" s="474" t="s">
        <v>52</v>
      </c>
      <c r="AN1205" s="474" t="s">
        <v>1074</v>
      </c>
      <c r="AO1205" s="474"/>
      <c r="AP1205" s="482"/>
      <c r="AQ1205" s="482" t="s">
        <v>37</v>
      </c>
      <c r="AR1205" s="439" t="s">
        <v>1677</v>
      </c>
      <c r="AS1205" s="436" t="s">
        <v>1076</v>
      </c>
      <c r="AT1205" s="436" t="s">
        <v>1076</v>
      </c>
      <c r="AU1205" s="478">
        <v>0.45500000000000002</v>
      </c>
      <c r="AV1205" s="471">
        <f>U1205</f>
        <v>49403140</v>
      </c>
      <c r="AW1205" s="471" cm="1">
        <f t="array" ref="AW1205">SUM(MID(0&amp;AV1205,LARGE(INDEX(ISNUMBER(--MID(AV1205,ROW($1:$8),1))*ROW($1:$8),),ROW($1:$8))+1,1)*10^ROW($1:$8)/10)</f>
        <v>49403140</v>
      </c>
      <c r="AX1205" s="471" t="str">
        <f>VLOOKUP($AW1205,'Item Master Data'!$A:$F,3,FALSE)</f>
        <v>Q.PEAK DUO BLK ML G10+</v>
      </c>
      <c r="AY1205" s="471">
        <f>VLOOKUP($AW1205,'Item Master Data'!$A:$F,6,FALSE)</f>
        <v>400</v>
      </c>
      <c r="AZ1205" s="471">
        <f>X1205/BA1205</f>
        <v>110</v>
      </c>
      <c r="BA1205" s="471">
        <f>VLOOKUP(AW1205,'Item Master Data'!$A:$G,7,FALSE)</f>
        <v>32</v>
      </c>
      <c r="BB1205" s="471"/>
      <c r="BC1205" s="471">
        <f>W1205-AY1205</f>
        <v>0</v>
      </c>
    </row>
    <row r="1206" spans="1:55">
      <c r="A1206" s="472"/>
      <c r="B1206" s="449"/>
      <c r="C1206" s="449"/>
      <c r="D1206" s="474" t="s">
        <v>2901</v>
      </c>
      <c r="E1206" s="445" t="s">
        <v>5212</v>
      </c>
      <c r="F1206" s="474" t="s">
        <v>1147</v>
      </c>
      <c r="G1206" s="474">
        <v>2022</v>
      </c>
      <c r="H1206" s="474">
        <v>6</v>
      </c>
      <c r="I1206" s="474"/>
      <c r="J1206" s="556"/>
      <c r="K1206" s="474" t="s">
        <v>3042</v>
      </c>
      <c r="L1206" s="474" t="s">
        <v>2567</v>
      </c>
      <c r="M1206" s="475">
        <v>44566</v>
      </c>
      <c r="N1206" s="475">
        <v>44719</v>
      </c>
      <c r="O1206" s="475"/>
      <c r="P1206" s="475"/>
      <c r="Q1206" s="475"/>
      <c r="R1206" s="475"/>
      <c r="S1206" s="474" t="s">
        <v>2904</v>
      </c>
      <c r="T1206" s="474">
        <v>60</v>
      </c>
      <c r="U1206" s="474">
        <v>49202132</v>
      </c>
      <c r="V1206" s="474" t="s">
        <v>1223</v>
      </c>
      <c r="W1206" s="474">
        <v>360</v>
      </c>
      <c r="X1206" s="476">
        <v>4992</v>
      </c>
      <c r="Y1206" s="491">
        <f>W1206*X1206</f>
        <v>1797120</v>
      </c>
      <c r="Z1206" s="478">
        <v>0.73</v>
      </c>
      <c r="AA1206" s="492">
        <f t="shared" si="230"/>
        <v>1311897.5999999999</v>
      </c>
      <c r="AB1206" s="492"/>
      <c r="AC1206" s="446">
        <v>0</v>
      </c>
      <c r="AD1206" s="490"/>
      <c r="AE1206" s="482"/>
      <c r="AF1206" s="580">
        <f t="shared" si="231"/>
        <v>1311897.5999999999</v>
      </c>
      <c r="AG1206" s="474" t="s">
        <v>1071</v>
      </c>
      <c r="AH1206" s="474"/>
      <c r="AI1206" s="474">
        <v>60</v>
      </c>
      <c r="AJ1206" s="484" t="s">
        <v>2568</v>
      </c>
      <c r="AK1206" s="474" t="s">
        <v>1084</v>
      </c>
      <c r="AL1206" s="483" t="s">
        <v>2569</v>
      </c>
      <c r="AM1206" s="474" t="s">
        <v>52</v>
      </c>
      <c r="AN1206" s="474" t="s">
        <v>1074</v>
      </c>
      <c r="AO1206" s="474"/>
      <c r="AP1206" s="482"/>
      <c r="AQ1206" s="482" t="s">
        <v>37</v>
      </c>
      <c r="AR1206" s="482" t="s">
        <v>3026</v>
      </c>
      <c r="AS1206" s="436" t="s">
        <v>1076</v>
      </c>
      <c r="AT1206" s="436" t="s">
        <v>1076</v>
      </c>
      <c r="AU1206" s="478">
        <v>0.73</v>
      </c>
      <c r="AV1206" s="471">
        <f>U1206</f>
        <v>49202132</v>
      </c>
      <c r="AW1206" s="471" cm="1">
        <f t="array" ref="AW1206">SUM(MID(0&amp;AV1206,LARGE(INDEX(ISNUMBER(--MID(AV1206,ROW($1:$8),1))*ROW($1:$8),),ROW($1:$8))+1,1)*10^ROW($1:$8)/10)</f>
        <v>49202132</v>
      </c>
      <c r="AX1206" s="471" t="str">
        <f>VLOOKUP($AW1206,'Item Master Data'!$A:$F,3,FALSE)</f>
        <v>Q.PEAK DUO BLK G10+/AC</v>
      </c>
      <c r="AY1206" s="471">
        <f>VLOOKUP($AW1206,'Item Master Data'!$A:$F,6,FALSE)</f>
        <v>360</v>
      </c>
      <c r="AZ1206" s="471">
        <f>X1206/BA1206</f>
        <v>192</v>
      </c>
      <c r="BA1206" s="471">
        <f>VLOOKUP(AW1206,'Item Master Data'!$A:$G,7,FALSE)</f>
        <v>26</v>
      </c>
      <c r="BB1206" s="471"/>
      <c r="BC1206" s="471">
        <f>W1206-AY1206</f>
        <v>0</v>
      </c>
    </row>
    <row r="1207" spans="1:55" s="471" customFormat="1">
      <c r="A1207" s="472"/>
      <c r="B1207" s="449">
        <v>44662</v>
      </c>
      <c r="C1207" s="449">
        <v>44662</v>
      </c>
      <c r="D1207" s="474" t="s">
        <v>2901</v>
      </c>
      <c r="E1207" s="445"/>
      <c r="F1207" s="474" t="s">
        <v>1147</v>
      </c>
      <c r="G1207" s="474">
        <v>2022</v>
      </c>
      <c r="H1207" s="474">
        <v>6</v>
      </c>
      <c r="I1207" s="474"/>
      <c r="J1207" s="556"/>
      <c r="K1207" s="474" t="s">
        <v>3105</v>
      </c>
      <c r="L1207" s="474" t="s">
        <v>2567</v>
      </c>
      <c r="M1207" s="475">
        <v>44655</v>
      </c>
      <c r="N1207" s="475">
        <v>44737</v>
      </c>
      <c r="O1207" s="475"/>
      <c r="P1207" s="475"/>
      <c r="Q1207" s="475"/>
      <c r="R1207" s="475"/>
      <c r="S1207" s="474" t="s">
        <v>2904</v>
      </c>
      <c r="T1207" s="474">
        <v>72</v>
      </c>
      <c r="U1207" s="474" t="s">
        <v>1109</v>
      </c>
      <c r="V1207" s="474" t="s">
        <v>1070</v>
      </c>
      <c r="W1207" s="474">
        <v>480</v>
      </c>
      <c r="X1207" s="476">
        <v>1914</v>
      </c>
      <c r="Y1207" s="491">
        <f>W1207*X1207</f>
        <v>918720</v>
      </c>
      <c r="Z1207" s="478">
        <v>0.505</v>
      </c>
      <c r="AA1207" s="492">
        <f t="shared" si="230"/>
        <v>463953.6</v>
      </c>
      <c r="AB1207" s="492"/>
      <c r="AC1207" s="446">
        <v>0</v>
      </c>
      <c r="AD1207" s="490"/>
      <c r="AE1207" s="482"/>
      <c r="AF1207" s="580">
        <f t="shared" si="231"/>
        <v>463953.6</v>
      </c>
      <c r="AG1207" s="474" t="s">
        <v>1071</v>
      </c>
      <c r="AH1207" s="474"/>
      <c r="AI1207" s="474">
        <v>60</v>
      </c>
      <c r="AJ1207" s="484" t="s">
        <v>2568</v>
      </c>
      <c r="AK1207" s="474" t="s">
        <v>1084</v>
      </c>
      <c r="AL1207" s="483" t="s">
        <v>2569</v>
      </c>
      <c r="AM1207" s="474" t="s">
        <v>52</v>
      </c>
      <c r="AN1207" s="474" t="s">
        <v>1074</v>
      </c>
      <c r="AO1207" s="474"/>
      <c r="AP1207" s="482"/>
      <c r="AQ1207" s="482" t="s">
        <v>37</v>
      </c>
      <c r="AR1207" s="482" t="s">
        <v>3026</v>
      </c>
      <c r="AS1207" s="436" t="s">
        <v>1076</v>
      </c>
      <c r="AT1207" s="436" t="s">
        <v>1076</v>
      </c>
      <c r="AU1207" s="478">
        <v>0.73</v>
      </c>
      <c r="AV1207" s="471" t="str">
        <f>U1207</f>
        <v>TBD</v>
      </c>
      <c r="AW1207" s="471" cm="1">
        <f t="array" ref="AW1207">SUM(MID(0&amp;AV1207,LARGE(INDEX(ISNUMBER(--MID(AV1207,ROW($1:$8),1))*ROW($1:$8),),ROW($1:$8))+1,1)*10^ROW($1:$8)/10)</f>
        <v>0</v>
      </c>
      <c r="AX1207" s="471" t="e">
        <f>VLOOKUP($AW1207,'Item Master Data'!$A:$F,3,FALSE)</f>
        <v>#N/A</v>
      </c>
      <c r="AY1207" s="471" t="e">
        <f>VLOOKUP($AW1207,'Item Master Data'!$A:$F,6,FALSE)</f>
        <v>#N/A</v>
      </c>
      <c r="AZ1207" s="471" t="e">
        <f>X1207/BA1207</f>
        <v>#N/A</v>
      </c>
      <c r="BA1207" s="471" t="e">
        <f>VLOOKUP(AW1207,'Item Master Data'!$A:$G,7,FALSE)</f>
        <v>#N/A</v>
      </c>
      <c r="BC1207" s="471" t="e">
        <f>W1207-AY1207</f>
        <v>#N/A</v>
      </c>
    </row>
    <row r="1208" spans="1:55" s="471" customFormat="1">
      <c r="A1208" s="472"/>
      <c r="B1208" s="449">
        <v>44662</v>
      </c>
      <c r="C1208" s="449">
        <v>44662</v>
      </c>
      <c r="D1208" s="474" t="s">
        <v>2901</v>
      </c>
      <c r="E1208" s="445"/>
      <c r="F1208" s="474" t="s">
        <v>1147</v>
      </c>
      <c r="G1208" s="474">
        <v>2022</v>
      </c>
      <c r="H1208" s="474">
        <v>6</v>
      </c>
      <c r="I1208" s="474"/>
      <c r="J1208" s="556"/>
      <c r="K1208" s="474" t="s">
        <v>3155</v>
      </c>
      <c r="L1208" s="474" t="s">
        <v>2567</v>
      </c>
      <c r="M1208" s="475">
        <v>44655</v>
      </c>
      <c r="N1208" s="475">
        <v>44713</v>
      </c>
      <c r="O1208" s="475"/>
      <c r="P1208" s="475"/>
      <c r="Q1208" s="475"/>
      <c r="R1208" s="475"/>
      <c r="S1208" s="474" t="s">
        <v>2904</v>
      </c>
      <c r="T1208" s="474">
        <v>72</v>
      </c>
      <c r="U1208" s="474" t="s">
        <v>1109</v>
      </c>
      <c r="V1208" s="474" t="s">
        <v>3156</v>
      </c>
      <c r="W1208" s="474">
        <v>480</v>
      </c>
      <c r="X1208" s="476">
        <v>1914</v>
      </c>
      <c r="Y1208" s="491">
        <f>W1208*X1208</f>
        <v>918720</v>
      </c>
      <c r="Z1208" s="478">
        <v>0.49</v>
      </c>
      <c r="AA1208" s="492">
        <f t="shared" si="230"/>
        <v>450172.8</v>
      </c>
      <c r="AB1208" s="492"/>
      <c r="AC1208" s="446">
        <v>0</v>
      </c>
      <c r="AD1208" s="490"/>
      <c r="AE1208" s="482"/>
      <c r="AF1208" s="580">
        <f t="shared" si="231"/>
        <v>450172.8</v>
      </c>
      <c r="AG1208" s="474" t="s">
        <v>1071</v>
      </c>
      <c r="AH1208" s="474"/>
      <c r="AI1208" s="474">
        <v>60</v>
      </c>
      <c r="AJ1208" s="484" t="s">
        <v>2568</v>
      </c>
      <c r="AK1208" s="474" t="s">
        <v>1084</v>
      </c>
      <c r="AL1208" s="483" t="s">
        <v>2569</v>
      </c>
      <c r="AM1208" s="474" t="s">
        <v>52</v>
      </c>
      <c r="AN1208" s="474" t="s">
        <v>1074</v>
      </c>
      <c r="AO1208" s="474"/>
      <c r="AP1208" s="482"/>
      <c r="AQ1208" s="482" t="s">
        <v>37</v>
      </c>
      <c r="AR1208" s="482" t="s">
        <v>3026</v>
      </c>
      <c r="AS1208" s="436" t="s">
        <v>1076</v>
      </c>
      <c r="AT1208" s="436" t="s">
        <v>1076</v>
      </c>
      <c r="AU1208" s="478">
        <v>0.73</v>
      </c>
      <c r="AV1208" s="471" t="str">
        <f>U1208</f>
        <v>TBD</v>
      </c>
      <c r="AW1208" s="471" cm="1">
        <f t="array" ref="AW1208">SUM(MID(0&amp;AV1208,LARGE(INDEX(ISNUMBER(--MID(AV1208,ROW($1:$8),1))*ROW($1:$8),),ROW($1:$8))+1,1)*10^ROW($1:$8)/10)</f>
        <v>0</v>
      </c>
      <c r="AX1208" s="471" t="e">
        <f>VLOOKUP($AW1208,'Item Master Data'!$A:$F,3,FALSE)</f>
        <v>#N/A</v>
      </c>
      <c r="AY1208" s="471" t="e">
        <f>VLOOKUP($AW1208,'Item Master Data'!$A:$F,6,FALSE)</f>
        <v>#N/A</v>
      </c>
      <c r="AZ1208" s="471" t="e">
        <f>X1208/BA1208</f>
        <v>#N/A</v>
      </c>
      <c r="BA1208" s="471" t="e">
        <f>VLOOKUP(AW1208,'Item Master Data'!$A:$G,7,FALSE)</f>
        <v>#N/A</v>
      </c>
      <c r="BC1208" s="471" t="e">
        <f>W1208-AY1208</f>
        <v>#N/A</v>
      </c>
    </row>
    <row r="1209" spans="1:55" s="471" customFormat="1">
      <c r="A1209" s="472"/>
      <c r="B1209" s="467"/>
      <c r="C1209" s="467"/>
      <c r="D1209" s="474" t="s">
        <v>2901</v>
      </c>
      <c r="E1209" s="445" t="s">
        <v>2970</v>
      </c>
      <c r="F1209" s="474"/>
      <c r="G1209" s="474">
        <v>2022</v>
      </c>
      <c r="H1209" s="474">
        <v>6</v>
      </c>
      <c r="I1209" s="474"/>
      <c r="J1209" s="556"/>
      <c r="K1209" s="483" t="s">
        <v>3047</v>
      </c>
      <c r="L1209" s="474" t="s">
        <v>2972</v>
      </c>
      <c r="M1209" s="475">
        <v>44518</v>
      </c>
      <c r="N1209" s="475">
        <v>44583</v>
      </c>
      <c r="O1209" s="475">
        <v>44713</v>
      </c>
      <c r="P1209" s="475"/>
      <c r="Q1209" s="475"/>
      <c r="R1209" s="475"/>
      <c r="S1209" s="474" t="s">
        <v>2904</v>
      </c>
      <c r="T1209" s="474">
        <v>72</v>
      </c>
      <c r="U1209" s="474" t="s">
        <v>1103</v>
      </c>
      <c r="V1209" s="474" t="s">
        <v>1104</v>
      </c>
      <c r="W1209" s="474">
        <v>480</v>
      </c>
      <c r="X1209" s="476">
        <v>1276</v>
      </c>
      <c r="Y1209" s="491">
        <f t="shared" ref="Y1209:Y1221" si="241">X1209*W1209</f>
        <v>612480</v>
      </c>
      <c r="Z1209" s="478">
        <v>0.47499999999999998</v>
      </c>
      <c r="AA1209" s="492">
        <f t="shared" si="230"/>
        <v>290928</v>
      </c>
      <c r="AB1209" s="492"/>
      <c r="AC1209" s="446">
        <v>0</v>
      </c>
      <c r="AD1209" s="490"/>
      <c r="AE1209" s="482"/>
      <c r="AF1209" s="580">
        <f t="shared" si="231"/>
        <v>290928</v>
      </c>
      <c r="AG1209" s="474" t="s">
        <v>1071</v>
      </c>
      <c r="AH1209" s="474"/>
      <c r="AI1209" s="474">
        <v>60</v>
      </c>
      <c r="AJ1209" s="475" t="s">
        <v>1162</v>
      </c>
      <c r="AK1209" s="483" t="s">
        <v>1158</v>
      </c>
      <c r="AL1209" s="483" t="s">
        <v>2973</v>
      </c>
      <c r="AM1209" s="474" t="s">
        <v>52</v>
      </c>
      <c r="AN1209" s="474" t="s">
        <v>2538</v>
      </c>
      <c r="AO1209" s="474"/>
      <c r="AP1209" s="482" t="s">
        <v>38</v>
      </c>
      <c r="AQ1209" s="482" t="s">
        <v>37</v>
      </c>
      <c r="AR1209" s="439"/>
      <c r="AS1209" s="436" t="s">
        <v>1076</v>
      </c>
      <c r="AT1209" s="436" t="s">
        <v>1076</v>
      </c>
      <c r="AU1209" s="478"/>
      <c r="AV1209" s="471" t="str">
        <f>U1209</f>
        <v>30397472F</v>
      </c>
      <c r="AW1209" s="471" cm="1">
        <f t="array" ref="AW1209">SUM(MID(0&amp;AV1209,LARGE(INDEX(ISNUMBER(--MID(AV1209,ROW($1:$8),1))*ROW($1:$8),),ROW($1:$8))+1,1)*10^ROW($1:$8)/10)</f>
        <v>30397472</v>
      </c>
      <c r="AX1209" s="471" t="str">
        <f>VLOOKUP($AW1209,'Item Master Data'!$A:$F,3,FALSE)</f>
        <v>Q.PEAK DUO XL G10</v>
      </c>
      <c r="AY1209" s="471">
        <f>VLOOKUP($AW1209,'Item Master Data'!$A:$F,6,FALSE)</f>
        <v>480</v>
      </c>
      <c r="AZ1209" s="471">
        <f>X1209/BA1209</f>
        <v>44</v>
      </c>
      <c r="BA1209" s="471">
        <f>VLOOKUP(AW1209,'Item Master Data'!$A:$G,7,FALSE)</f>
        <v>29</v>
      </c>
      <c r="BC1209" s="471">
        <f>W1209-AY1209</f>
        <v>0</v>
      </c>
    </row>
    <row r="1210" spans="1:55" s="471" customFormat="1">
      <c r="A1210" s="472"/>
      <c r="B1210" s="467"/>
      <c r="C1210" s="467"/>
      <c r="D1210" s="474" t="s">
        <v>2901</v>
      </c>
      <c r="E1210" s="445" t="s">
        <v>2970</v>
      </c>
      <c r="F1210" s="474"/>
      <c r="G1210" s="474">
        <v>2022</v>
      </c>
      <c r="H1210" s="474">
        <v>6</v>
      </c>
      <c r="I1210" s="474"/>
      <c r="J1210" s="556"/>
      <c r="K1210" s="483" t="s">
        <v>3048</v>
      </c>
      <c r="L1210" s="474" t="s">
        <v>2972</v>
      </c>
      <c r="M1210" s="475">
        <v>44518</v>
      </c>
      <c r="N1210" s="475">
        <v>44642</v>
      </c>
      <c r="O1210" s="475">
        <v>44713</v>
      </c>
      <c r="P1210" s="475"/>
      <c r="Q1210" s="475"/>
      <c r="R1210" s="475"/>
      <c r="S1210" s="474" t="s">
        <v>2904</v>
      </c>
      <c r="T1210" s="474">
        <v>72</v>
      </c>
      <c r="U1210" s="474" t="s">
        <v>1103</v>
      </c>
      <c r="V1210" s="474" t="s">
        <v>1104</v>
      </c>
      <c r="W1210" s="474">
        <v>480</v>
      </c>
      <c r="X1210" s="476">
        <v>1276</v>
      </c>
      <c r="Y1210" s="491">
        <f t="shared" si="241"/>
        <v>612480</v>
      </c>
      <c r="Z1210" s="478">
        <v>0.47499999999999998</v>
      </c>
      <c r="AA1210" s="492">
        <f t="shared" si="230"/>
        <v>290928</v>
      </c>
      <c r="AB1210" s="492"/>
      <c r="AC1210" s="446">
        <v>0</v>
      </c>
      <c r="AD1210" s="490"/>
      <c r="AE1210" s="482"/>
      <c r="AF1210" s="580">
        <f t="shared" si="231"/>
        <v>290928</v>
      </c>
      <c r="AG1210" s="474" t="s">
        <v>1071</v>
      </c>
      <c r="AH1210" s="474"/>
      <c r="AI1210" s="474">
        <v>60</v>
      </c>
      <c r="AJ1210" s="475" t="s">
        <v>1162</v>
      </c>
      <c r="AK1210" s="483" t="s">
        <v>1158</v>
      </c>
      <c r="AL1210" s="483" t="s">
        <v>2973</v>
      </c>
      <c r="AM1210" s="474" t="s">
        <v>52</v>
      </c>
      <c r="AN1210" s="474" t="s">
        <v>2538</v>
      </c>
      <c r="AO1210" s="474"/>
      <c r="AP1210" s="482" t="s">
        <v>38</v>
      </c>
      <c r="AQ1210" s="482" t="s">
        <v>37</v>
      </c>
      <c r="AR1210" s="439"/>
      <c r="AS1210" s="436" t="s">
        <v>1076</v>
      </c>
      <c r="AT1210" s="436" t="s">
        <v>1076</v>
      </c>
      <c r="AU1210" s="478"/>
    </row>
    <row r="1211" spans="1:55" s="471" customFormat="1">
      <c r="A1211" s="472"/>
      <c r="B1211" s="467"/>
      <c r="C1211" s="467"/>
      <c r="D1211" s="474" t="s">
        <v>2901</v>
      </c>
      <c r="E1211" s="445" t="s">
        <v>2970</v>
      </c>
      <c r="F1211" s="474"/>
      <c r="G1211" s="474">
        <v>2022</v>
      </c>
      <c r="H1211" s="474">
        <v>6</v>
      </c>
      <c r="I1211" s="474"/>
      <c r="J1211" s="556"/>
      <c r="K1211" s="483" t="s">
        <v>3049</v>
      </c>
      <c r="L1211" s="474" t="s">
        <v>2972</v>
      </c>
      <c r="M1211" s="475">
        <v>44518</v>
      </c>
      <c r="N1211" s="475">
        <v>44703</v>
      </c>
      <c r="O1211" s="475">
        <v>44713</v>
      </c>
      <c r="P1211" s="475"/>
      <c r="Q1211" s="475"/>
      <c r="R1211" s="475"/>
      <c r="S1211" s="474" t="s">
        <v>2904</v>
      </c>
      <c r="T1211" s="474">
        <v>72</v>
      </c>
      <c r="U1211" s="474" t="s">
        <v>1103</v>
      </c>
      <c r="V1211" s="474" t="s">
        <v>1104</v>
      </c>
      <c r="W1211" s="474">
        <v>480</v>
      </c>
      <c r="X1211" s="476">
        <v>1276</v>
      </c>
      <c r="Y1211" s="491">
        <f t="shared" si="241"/>
        <v>612480</v>
      </c>
      <c r="Z1211" s="478">
        <v>0.47499999999999998</v>
      </c>
      <c r="AA1211" s="492">
        <f t="shared" si="230"/>
        <v>290928</v>
      </c>
      <c r="AB1211" s="492"/>
      <c r="AC1211" s="446">
        <v>0</v>
      </c>
      <c r="AD1211" s="490"/>
      <c r="AE1211" s="482"/>
      <c r="AF1211" s="580">
        <f t="shared" ref="AF1211:AF1242" si="242">AA1211+AE1211</f>
        <v>290928</v>
      </c>
      <c r="AG1211" s="474" t="s">
        <v>1071</v>
      </c>
      <c r="AH1211" s="474"/>
      <c r="AI1211" s="474">
        <v>60</v>
      </c>
      <c r="AJ1211" s="475" t="s">
        <v>1162</v>
      </c>
      <c r="AK1211" s="483" t="s">
        <v>1158</v>
      </c>
      <c r="AL1211" s="483" t="s">
        <v>2973</v>
      </c>
      <c r="AM1211" s="474" t="s">
        <v>52</v>
      </c>
      <c r="AN1211" s="474" t="s">
        <v>2538</v>
      </c>
      <c r="AO1211" s="474"/>
      <c r="AP1211" s="482" t="s">
        <v>38</v>
      </c>
      <c r="AQ1211" s="482" t="s">
        <v>37</v>
      </c>
      <c r="AR1211" s="439"/>
      <c r="AS1211" s="436" t="s">
        <v>1076</v>
      </c>
      <c r="AT1211" s="436" t="s">
        <v>1076</v>
      </c>
      <c r="AU1211" s="478"/>
    </row>
    <row r="1212" spans="1:55" s="471" customFormat="1">
      <c r="A1212" s="472"/>
      <c r="B1212" s="467"/>
      <c r="C1212" s="467"/>
      <c r="D1212" s="474" t="s">
        <v>2901</v>
      </c>
      <c r="E1212" s="445" t="s">
        <v>2970</v>
      </c>
      <c r="F1212" s="474"/>
      <c r="G1212" s="474">
        <v>2022</v>
      </c>
      <c r="H1212" s="474">
        <v>6</v>
      </c>
      <c r="I1212" s="474"/>
      <c r="J1212" s="556"/>
      <c r="K1212" s="483" t="s">
        <v>3103</v>
      </c>
      <c r="L1212" s="474" t="s">
        <v>2972</v>
      </c>
      <c r="M1212" s="475">
        <v>44515</v>
      </c>
      <c r="N1212" s="475">
        <v>44583</v>
      </c>
      <c r="O1212" s="475">
        <v>44713</v>
      </c>
      <c r="P1212" s="475"/>
      <c r="Q1212" s="475"/>
      <c r="R1212" s="475"/>
      <c r="S1212" s="474" t="s">
        <v>2904</v>
      </c>
      <c r="T1212" s="474">
        <v>72</v>
      </c>
      <c r="U1212" s="474" t="s">
        <v>1103</v>
      </c>
      <c r="V1212" s="474" t="s">
        <v>1104</v>
      </c>
      <c r="W1212" s="474">
        <v>480</v>
      </c>
      <c r="X1212" s="476">
        <v>1276</v>
      </c>
      <c r="Y1212" s="491">
        <f t="shared" si="241"/>
        <v>612480</v>
      </c>
      <c r="Z1212" s="478">
        <v>0.47499999999999998</v>
      </c>
      <c r="AA1212" s="492">
        <f t="shared" si="230"/>
        <v>290928</v>
      </c>
      <c r="AB1212" s="492"/>
      <c r="AC1212" s="446">
        <v>0</v>
      </c>
      <c r="AD1212" s="490"/>
      <c r="AE1212" s="482"/>
      <c r="AF1212" s="580">
        <f t="shared" si="242"/>
        <v>290928</v>
      </c>
      <c r="AG1212" s="474" t="s">
        <v>1071</v>
      </c>
      <c r="AH1212" s="474"/>
      <c r="AI1212" s="474">
        <v>60</v>
      </c>
      <c r="AJ1212" s="475" t="s">
        <v>1162</v>
      </c>
      <c r="AK1212" s="483" t="s">
        <v>1158</v>
      </c>
      <c r="AL1212" s="483" t="s">
        <v>2973</v>
      </c>
      <c r="AM1212" s="474" t="s">
        <v>52</v>
      </c>
      <c r="AN1212" s="474" t="s">
        <v>3104</v>
      </c>
      <c r="AO1212" s="474"/>
      <c r="AP1212" s="482" t="s">
        <v>38</v>
      </c>
      <c r="AQ1212" s="482" t="s">
        <v>37</v>
      </c>
      <c r="AR1212" s="439"/>
      <c r="AS1212" s="436" t="s">
        <v>1076</v>
      </c>
      <c r="AT1212" s="436" t="s">
        <v>1076</v>
      </c>
      <c r="AU1212" s="478"/>
    </row>
    <row r="1213" spans="1:55" s="471" customFormat="1">
      <c r="A1213" s="472"/>
      <c r="B1213" s="449"/>
      <c r="C1213" s="449">
        <v>44671</v>
      </c>
      <c r="D1213" s="474" t="s">
        <v>2901</v>
      </c>
      <c r="E1213" s="474" t="s">
        <v>3031</v>
      </c>
      <c r="F1213" s="474" t="s">
        <v>1147</v>
      </c>
      <c r="G1213" s="474">
        <v>2022</v>
      </c>
      <c r="H1213" s="474">
        <v>6</v>
      </c>
      <c r="I1213" s="474"/>
      <c r="J1213" s="475"/>
      <c r="K1213" s="474">
        <v>527</v>
      </c>
      <c r="L1213" s="474" t="s">
        <v>3001</v>
      </c>
      <c r="M1213" s="475">
        <v>44671</v>
      </c>
      <c r="N1213" s="475">
        <v>44717</v>
      </c>
      <c r="O1213" s="475"/>
      <c r="P1213" s="475"/>
      <c r="Q1213" s="475"/>
      <c r="R1213" s="475"/>
      <c r="S1213" s="474" t="s">
        <v>2904</v>
      </c>
      <c r="T1213" s="474">
        <v>72</v>
      </c>
      <c r="U1213" s="474" t="s">
        <v>1109</v>
      </c>
      <c r="V1213" s="474" t="s">
        <v>5385</v>
      </c>
      <c r="W1213" s="474">
        <v>480</v>
      </c>
      <c r="X1213" s="432">
        <v>5104</v>
      </c>
      <c r="Y1213" s="491">
        <f t="shared" si="241"/>
        <v>2449920</v>
      </c>
      <c r="Z1213" s="478">
        <v>0.56000000000000005</v>
      </c>
      <c r="AA1213" s="492">
        <f t="shared" ref="AA1213:AA1260" si="243">Z1213*Y1213</f>
        <v>1371955.2000000002</v>
      </c>
      <c r="AB1213" s="492"/>
      <c r="AC1213" s="446">
        <v>0</v>
      </c>
      <c r="AD1213" s="490"/>
      <c r="AE1213" s="437"/>
      <c r="AF1213" s="580">
        <f t="shared" si="242"/>
        <v>1371955.2000000002</v>
      </c>
      <c r="AG1213" s="474" t="s">
        <v>47</v>
      </c>
      <c r="AH1213" s="438"/>
      <c r="AI1213" s="474">
        <v>60</v>
      </c>
      <c r="AJ1213" s="484" t="s">
        <v>1083</v>
      </c>
      <c r="AK1213" s="474" t="s">
        <v>1084</v>
      </c>
      <c r="AL1213" s="483" t="s">
        <v>3002</v>
      </c>
      <c r="AM1213" s="474" t="s">
        <v>52</v>
      </c>
      <c r="AN1213" s="474" t="s">
        <v>50</v>
      </c>
      <c r="AO1213" s="474"/>
      <c r="AP1213" s="482" t="s">
        <v>38</v>
      </c>
      <c r="AQ1213" s="439" t="s">
        <v>37</v>
      </c>
      <c r="AR1213" s="439" t="s">
        <v>2953</v>
      </c>
      <c r="AS1213" s="473" t="s">
        <v>1087</v>
      </c>
      <c r="AT1213" s="473" t="s">
        <v>1076</v>
      </c>
      <c r="AU1213" s="478">
        <v>0.5</v>
      </c>
    </row>
    <row r="1214" spans="1:55" s="471" customFormat="1">
      <c r="A1214" s="472"/>
      <c r="B1214" s="467"/>
      <c r="C1214" s="467"/>
      <c r="D1214" s="474" t="s">
        <v>2901</v>
      </c>
      <c r="E1214" s="445" t="s">
        <v>3080</v>
      </c>
      <c r="F1214" s="474" t="s">
        <v>1147</v>
      </c>
      <c r="G1214" s="474">
        <v>2022</v>
      </c>
      <c r="H1214" s="474">
        <v>6</v>
      </c>
      <c r="I1214" s="474"/>
      <c r="J1214" s="556"/>
      <c r="K1214" s="483" t="s">
        <v>3097</v>
      </c>
      <c r="L1214" s="474" t="s">
        <v>3052</v>
      </c>
      <c r="M1214" s="475">
        <v>44524</v>
      </c>
      <c r="N1214" s="475">
        <v>44651</v>
      </c>
      <c r="O1214" s="475"/>
      <c r="P1214" s="475"/>
      <c r="Q1214" s="475"/>
      <c r="R1214" s="475"/>
      <c r="S1214" s="474" t="s">
        <v>2904</v>
      </c>
      <c r="T1214" s="474">
        <v>60</v>
      </c>
      <c r="U1214" s="474">
        <v>49405140</v>
      </c>
      <c r="V1214" s="474" t="s">
        <v>973</v>
      </c>
      <c r="W1214" s="474">
        <v>400</v>
      </c>
      <c r="X1214" s="476">
        <v>768</v>
      </c>
      <c r="Y1214" s="491">
        <f t="shared" si="241"/>
        <v>307200</v>
      </c>
      <c r="Z1214" s="478">
        <v>0.48</v>
      </c>
      <c r="AA1214" s="492">
        <f t="shared" si="243"/>
        <v>147456</v>
      </c>
      <c r="AB1214" s="492"/>
      <c r="AC1214" s="446">
        <v>0</v>
      </c>
      <c r="AD1214" s="490"/>
      <c r="AE1214" s="482"/>
      <c r="AF1214" s="580">
        <f t="shared" si="242"/>
        <v>147456</v>
      </c>
      <c r="AG1214" s="474" t="s">
        <v>47</v>
      </c>
      <c r="AH1214" s="474"/>
      <c r="AI1214" s="474">
        <v>60</v>
      </c>
      <c r="AJ1214" s="475" t="s">
        <v>3068</v>
      </c>
      <c r="AK1214" s="483" t="s">
        <v>1590</v>
      </c>
      <c r="AL1214" s="483" t="s">
        <v>3069</v>
      </c>
      <c r="AM1214" s="474" t="s">
        <v>52</v>
      </c>
      <c r="AN1214" s="474" t="s">
        <v>1074</v>
      </c>
      <c r="AO1214" s="474"/>
      <c r="AP1214" s="482"/>
      <c r="AQ1214" s="482" t="s">
        <v>37</v>
      </c>
      <c r="AR1214" s="439"/>
      <c r="AS1214" s="436" t="s">
        <v>1076</v>
      </c>
      <c r="AT1214" s="436" t="s">
        <v>1076</v>
      </c>
      <c r="AU1214" s="478"/>
      <c r="AV1214" s="471">
        <f t="shared" ref="AV1214:AV1221" si="244">U1214</f>
        <v>49405140</v>
      </c>
      <c r="AW1214" s="471" cm="1">
        <f t="array" ref="AW1214">SUM(MID(0&amp;AV1214,LARGE(INDEX(ISNUMBER(--MID(AV1214,ROW($1:$8),1))*ROW($1:$8),),ROW($1:$8))+1,1)*10^ROW($1:$8)/10)</f>
        <v>49405140</v>
      </c>
      <c r="AX1214" s="471" t="str">
        <f>VLOOKUP($AW1214,'Item Master Data'!$A:$F,3,FALSE)</f>
        <v>Q.PEAK DUO BLK ML G10+</v>
      </c>
      <c r="AY1214" s="471">
        <f>VLOOKUP($AW1214,'Item Master Data'!$A:$F,6,FALSE)</f>
        <v>400</v>
      </c>
      <c r="AZ1214" s="471">
        <f t="shared" ref="AZ1214:AZ1221" si="245">X1214/BA1214</f>
        <v>24</v>
      </c>
      <c r="BA1214" s="471">
        <f>VLOOKUP(AW1214,'Item Master Data'!$A:$G,7,FALSE)</f>
        <v>32</v>
      </c>
      <c r="BC1214" s="471">
        <f t="shared" ref="BC1214:BC1221" si="246">W1214-AY1214</f>
        <v>0</v>
      </c>
    </row>
    <row r="1215" spans="1:55" s="471" customFormat="1">
      <c r="A1215" s="472"/>
      <c r="B1215" s="467"/>
      <c r="C1215" s="467"/>
      <c r="D1215" s="474" t="s">
        <v>2901</v>
      </c>
      <c r="E1215" s="445" t="s">
        <v>3080</v>
      </c>
      <c r="F1215" s="474" t="s">
        <v>1147</v>
      </c>
      <c r="G1215" s="474">
        <v>2022</v>
      </c>
      <c r="H1215" s="474">
        <v>6</v>
      </c>
      <c r="I1215" s="474"/>
      <c r="J1215" s="556"/>
      <c r="K1215" s="483" t="s">
        <v>3098</v>
      </c>
      <c r="L1215" s="474" t="s">
        <v>3052</v>
      </c>
      <c r="M1215" s="475">
        <v>44524</v>
      </c>
      <c r="N1215" s="475">
        <v>44651</v>
      </c>
      <c r="O1215" s="475"/>
      <c r="P1215" s="475"/>
      <c r="Q1215" s="475"/>
      <c r="R1215" s="475"/>
      <c r="S1215" s="474" t="s">
        <v>2904</v>
      </c>
      <c r="T1215" s="474">
        <v>60</v>
      </c>
      <c r="U1215" s="474">
        <v>49405140</v>
      </c>
      <c r="V1215" s="474" t="s">
        <v>973</v>
      </c>
      <c r="W1215" s="474">
        <v>400</v>
      </c>
      <c r="X1215" s="476">
        <v>768</v>
      </c>
      <c r="Y1215" s="491">
        <f t="shared" si="241"/>
        <v>307200</v>
      </c>
      <c r="Z1215" s="478">
        <v>0.48</v>
      </c>
      <c r="AA1215" s="492">
        <f t="shared" si="243"/>
        <v>147456</v>
      </c>
      <c r="AB1215" s="492"/>
      <c r="AC1215" s="446">
        <v>0</v>
      </c>
      <c r="AD1215" s="490"/>
      <c r="AE1215" s="482"/>
      <c r="AF1215" s="580">
        <f t="shared" si="242"/>
        <v>147456</v>
      </c>
      <c r="AG1215" s="474" t="s">
        <v>47</v>
      </c>
      <c r="AH1215" s="474"/>
      <c r="AI1215" s="474">
        <v>60</v>
      </c>
      <c r="AJ1215" s="475" t="s">
        <v>3071</v>
      </c>
      <c r="AK1215" s="483" t="s">
        <v>1590</v>
      </c>
      <c r="AL1215" s="483" t="s">
        <v>3072</v>
      </c>
      <c r="AM1215" s="474" t="s">
        <v>52</v>
      </c>
      <c r="AN1215" s="474" t="s">
        <v>1074</v>
      </c>
      <c r="AO1215" s="474"/>
      <c r="AP1215" s="482"/>
      <c r="AQ1215" s="482" t="s">
        <v>37</v>
      </c>
      <c r="AR1215" s="439"/>
      <c r="AS1215" s="436" t="s">
        <v>1076</v>
      </c>
      <c r="AT1215" s="436" t="s">
        <v>1076</v>
      </c>
      <c r="AU1215" s="478"/>
      <c r="AV1215" s="471">
        <f t="shared" si="244"/>
        <v>49405140</v>
      </c>
      <c r="AW1215" s="471" cm="1">
        <f t="array" ref="AW1215">SUM(MID(0&amp;AV1215,LARGE(INDEX(ISNUMBER(--MID(AV1215,ROW($1:$8),1))*ROW($1:$8),),ROW($1:$8))+1,1)*10^ROW($1:$8)/10)</f>
        <v>49405140</v>
      </c>
      <c r="AX1215" s="471" t="str">
        <f>VLOOKUP($AW1215,'Item Master Data'!$A:$F,3,FALSE)</f>
        <v>Q.PEAK DUO BLK ML G10+</v>
      </c>
      <c r="AY1215" s="471">
        <f>VLOOKUP($AW1215,'Item Master Data'!$A:$F,6,FALSE)</f>
        <v>400</v>
      </c>
      <c r="AZ1215" s="471">
        <f t="shared" si="245"/>
        <v>24</v>
      </c>
      <c r="BA1215" s="471">
        <f>VLOOKUP(AW1215,'Item Master Data'!$A:$G,7,FALSE)</f>
        <v>32</v>
      </c>
      <c r="BC1215" s="471">
        <f t="shared" si="246"/>
        <v>0</v>
      </c>
    </row>
    <row r="1216" spans="1:55" s="471" customFormat="1">
      <c r="A1216" s="472"/>
      <c r="B1216" s="467"/>
      <c r="C1216" s="467"/>
      <c r="D1216" s="474" t="s">
        <v>2901</v>
      </c>
      <c r="E1216" s="445" t="s">
        <v>3080</v>
      </c>
      <c r="F1216" s="474" t="s">
        <v>1147</v>
      </c>
      <c r="G1216" s="474">
        <v>2022</v>
      </c>
      <c r="H1216" s="474">
        <v>6</v>
      </c>
      <c r="I1216" s="474"/>
      <c r="J1216" s="556"/>
      <c r="K1216" s="483" t="s">
        <v>3099</v>
      </c>
      <c r="L1216" s="474" t="s">
        <v>3052</v>
      </c>
      <c r="M1216" s="475">
        <v>44524</v>
      </c>
      <c r="N1216" s="475">
        <v>44651</v>
      </c>
      <c r="O1216" s="475"/>
      <c r="P1216" s="475"/>
      <c r="Q1216" s="475"/>
      <c r="R1216" s="475"/>
      <c r="S1216" s="474" t="s">
        <v>2904</v>
      </c>
      <c r="T1216" s="474">
        <v>60</v>
      </c>
      <c r="U1216" s="474">
        <v>49405140</v>
      </c>
      <c r="V1216" s="474" t="s">
        <v>973</v>
      </c>
      <c r="W1216" s="474">
        <v>400</v>
      </c>
      <c r="X1216" s="476">
        <v>768</v>
      </c>
      <c r="Y1216" s="491">
        <f t="shared" si="241"/>
        <v>307200</v>
      </c>
      <c r="Z1216" s="478">
        <v>0.48</v>
      </c>
      <c r="AA1216" s="492">
        <f t="shared" si="243"/>
        <v>147456</v>
      </c>
      <c r="AB1216" s="492"/>
      <c r="AC1216" s="446">
        <v>0</v>
      </c>
      <c r="AD1216" s="490"/>
      <c r="AE1216" s="482"/>
      <c r="AF1216" s="580">
        <f t="shared" si="242"/>
        <v>147456</v>
      </c>
      <c r="AG1216" s="474" t="s">
        <v>47</v>
      </c>
      <c r="AH1216" s="474"/>
      <c r="AI1216" s="474">
        <v>60</v>
      </c>
      <c r="AJ1216" s="475" t="s">
        <v>3059</v>
      </c>
      <c r="AK1216" s="483" t="s">
        <v>1375</v>
      </c>
      <c r="AL1216" s="483" t="s">
        <v>3084</v>
      </c>
      <c r="AM1216" s="474" t="s">
        <v>52</v>
      </c>
      <c r="AN1216" s="474" t="s">
        <v>1074</v>
      </c>
      <c r="AO1216" s="474"/>
      <c r="AP1216" s="482"/>
      <c r="AQ1216" s="482" t="s">
        <v>37</v>
      </c>
      <c r="AR1216" s="439"/>
      <c r="AS1216" s="436" t="s">
        <v>1076</v>
      </c>
      <c r="AT1216" s="436" t="s">
        <v>1076</v>
      </c>
      <c r="AU1216" s="478"/>
      <c r="AV1216" s="471">
        <f t="shared" si="244"/>
        <v>49405140</v>
      </c>
      <c r="AW1216" s="471" cm="1">
        <f t="array" ref="AW1216">SUM(MID(0&amp;AV1216,LARGE(INDEX(ISNUMBER(--MID(AV1216,ROW($1:$8),1))*ROW($1:$8),),ROW($1:$8))+1,1)*10^ROW($1:$8)/10)</f>
        <v>49405140</v>
      </c>
      <c r="AX1216" s="471" t="str">
        <f>VLOOKUP($AW1216,'Item Master Data'!$A:$F,3,FALSE)</f>
        <v>Q.PEAK DUO BLK ML G10+</v>
      </c>
      <c r="AY1216" s="471">
        <f>VLOOKUP($AW1216,'Item Master Data'!$A:$F,6,FALSE)</f>
        <v>400</v>
      </c>
      <c r="AZ1216" s="471">
        <f t="shared" si="245"/>
        <v>24</v>
      </c>
      <c r="BA1216" s="471">
        <f>VLOOKUP(AW1216,'Item Master Data'!$A:$G,7,FALSE)</f>
        <v>32</v>
      </c>
      <c r="BC1216" s="471">
        <f t="shared" si="246"/>
        <v>0</v>
      </c>
    </row>
    <row r="1217" spans="1:55" s="471" customFormat="1">
      <c r="A1217" s="472"/>
      <c r="B1217" s="467"/>
      <c r="C1217" s="467"/>
      <c r="D1217" s="474" t="s">
        <v>2901</v>
      </c>
      <c r="E1217" s="445" t="s">
        <v>3080</v>
      </c>
      <c r="F1217" s="474" t="s">
        <v>1147</v>
      </c>
      <c r="G1217" s="474">
        <v>2022</v>
      </c>
      <c r="H1217" s="474">
        <v>6</v>
      </c>
      <c r="I1217" s="474"/>
      <c r="J1217" s="556"/>
      <c r="K1217" s="483" t="s">
        <v>3100</v>
      </c>
      <c r="L1217" s="474" t="s">
        <v>3052</v>
      </c>
      <c r="M1217" s="475">
        <v>44524</v>
      </c>
      <c r="N1217" s="475">
        <v>44651</v>
      </c>
      <c r="O1217" s="475"/>
      <c r="P1217" s="475"/>
      <c r="Q1217" s="475"/>
      <c r="R1217" s="475"/>
      <c r="S1217" s="474" t="s">
        <v>2904</v>
      </c>
      <c r="T1217" s="474">
        <v>60</v>
      </c>
      <c r="U1217" s="474">
        <v>49405140</v>
      </c>
      <c r="V1217" s="474" t="s">
        <v>973</v>
      </c>
      <c r="W1217" s="474">
        <v>400</v>
      </c>
      <c r="X1217" s="476">
        <v>768</v>
      </c>
      <c r="Y1217" s="491">
        <f t="shared" si="241"/>
        <v>307200</v>
      </c>
      <c r="Z1217" s="478">
        <v>0.48</v>
      </c>
      <c r="AA1217" s="492">
        <f t="shared" si="243"/>
        <v>147456</v>
      </c>
      <c r="AB1217" s="492"/>
      <c r="AC1217" s="446">
        <v>0</v>
      </c>
      <c r="AD1217" s="490"/>
      <c r="AE1217" s="482"/>
      <c r="AF1217" s="580">
        <f t="shared" si="242"/>
        <v>147456</v>
      </c>
      <c r="AG1217" s="474" t="s">
        <v>47</v>
      </c>
      <c r="AH1217" s="474"/>
      <c r="AI1217" s="474">
        <v>60</v>
      </c>
      <c r="AJ1217" s="475" t="s">
        <v>3059</v>
      </c>
      <c r="AK1217" s="483" t="s">
        <v>1375</v>
      </c>
      <c r="AL1217" s="483" t="s">
        <v>3084</v>
      </c>
      <c r="AM1217" s="474" t="s">
        <v>52</v>
      </c>
      <c r="AN1217" s="474" t="s">
        <v>1074</v>
      </c>
      <c r="AO1217" s="474"/>
      <c r="AP1217" s="482"/>
      <c r="AQ1217" s="482" t="s">
        <v>37</v>
      </c>
      <c r="AR1217" s="439"/>
      <c r="AS1217" s="436" t="s">
        <v>1076</v>
      </c>
      <c r="AT1217" s="436" t="s">
        <v>1076</v>
      </c>
      <c r="AU1217" s="478"/>
      <c r="AV1217" s="471">
        <f t="shared" si="244"/>
        <v>49405140</v>
      </c>
      <c r="AW1217" s="471" cm="1">
        <f t="array" ref="AW1217">SUM(MID(0&amp;AV1217,LARGE(INDEX(ISNUMBER(--MID(AV1217,ROW($1:$8),1))*ROW($1:$8),),ROW($1:$8))+1,1)*10^ROW($1:$8)/10)</f>
        <v>49405140</v>
      </c>
      <c r="AX1217" s="471" t="str">
        <f>VLOOKUP($AW1217,'Item Master Data'!$A:$F,3,FALSE)</f>
        <v>Q.PEAK DUO BLK ML G10+</v>
      </c>
      <c r="AY1217" s="471">
        <f>VLOOKUP($AW1217,'Item Master Data'!$A:$F,6,FALSE)</f>
        <v>400</v>
      </c>
      <c r="AZ1217" s="471">
        <f t="shared" si="245"/>
        <v>24</v>
      </c>
      <c r="BA1217" s="471">
        <f>VLOOKUP(AW1217,'Item Master Data'!$A:$G,7,FALSE)</f>
        <v>32</v>
      </c>
      <c r="BC1217" s="471">
        <f t="shared" si="246"/>
        <v>0</v>
      </c>
    </row>
    <row r="1218" spans="1:55" s="471" customFormat="1">
      <c r="A1218" s="472"/>
      <c r="B1218" s="467"/>
      <c r="C1218" s="467"/>
      <c r="D1218" s="474" t="s">
        <v>2901</v>
      </c>
      <c r="E1218" s="445" t="s">
        <v>3080</v>
      </c>
      <c r="F1218" s="474" t="s">
        <v>1147</v>
      </c>
      <c r="G1218" s="474">
        <v>2022</v>
      </c>
      <c r="H1218" s="474">
        <v>6</v>
      </c>
      <c r="I1218" s="474"/>
      <c r="J1218" s="556"/>
      <c r="K1218" s="483" t="s">
        <v>3101</v>
      </c>
      <c r="L1218" s="474" t="s">
        <v>3052</v>
      </c>
      <c r="M1218" s="475">
        <v>44524</v>
      </c>
      <c r="N1218" s="475">
        <v>44651</v>
      </c>
      <c r="O1218" s="475"/>
      <c r="P1218" s="475"/>
      <c r="Q1218" s="475"/>
      <c r="R1218" s="475"/>
      <c r="S1218" s="474" t="s">
        <v>2904</v>
      </c>
      <c r="T1218" s="474">
        <v>60</v>
      </c>
      <c r="U1218" s="474">
        <v>49405140</v>
      </c>
      <c r="V1218" s="474" t="s">
        <v>973</v>
      </c>
      <c r="W1218" s="474">
        <v>400</v>
      </c>
      <c r="X1218" s="476">
        <v>768</v>
      </c>
      <c r="Y1218" s="491">
        <f t="shared" si="241"/>
        <v>307200</v>
      </c>
      <c r="Z1218" s="478">
        <v>0.48</v>
      </c>
      <c r="AA1218" s="492">
        <f t="shared" si="243"/>
        <v>147456</v>
      </c>
      <c r="AB1218" s="492"/>
      <c r="AC1218" s="446">
        <v>0</v>
      </c>
      <c r="AD1218" s="490"/>
      <c r="AE1218" s="482"/>
      <c r="AF1218" s="580">
        <f t="shared" si="242"/>
        <v>147456</v>
      </c>
      <c r="AG1218" s="474" t="s">
        <v>47</v>
      </c>
      <c r="AH1218" s="474"/>
      <c r="AI1218" s="474">
        <v>60</v>
      </c>
      <c r="AJ1218" s="475" t="s">
        <v>3053</v>
      </c>
      <c r="AK1218" s="483" t="s">
        <v>1158</v>
      </c>
      <c r="AL1218" s="483" t="s">
        <v>3078</v>
      </c>
      <c r="AM1218" s="474" t="s">
        <v>52</v>
      </c>
      <c r="AN1218" s="474" t="s">
        <v>1074</v>
      </c>
      <c r="AO1218" s="474"/>
      <c r="AP1218" s="482"/>
      <c r="AQ1218" s="482" t="s">
        <v>37</v>
      </c>
      <c r="AR1218" s="439"/>
      <c r="AS1218" s="436" t="s">
        <v>1076</v>
      </c>
      <c r="AT1218" s="436" t="s">
        <v>1076</v>
      </c>
      <c r="AU1218" s="478"/>
      <c r="AV1218" s="471">
        <f t="shared" si="244"/>
        <v>49405140</v>
      </c>
      <c r="AW1218" s="471" cm="1">
        <f t="array" ref="AW1218">SUM(MID(0&amp;AV1218,LARGE(INDEX(ISNUMBER(--MID(AV1218,ROW($1:$8),1))*ROW($1:$8),),ROW($1:$8))+1,1)*10^ROW($1:$8)/10)</f>
        <v>49405140</v>
      </c>
      <c r="AX1218" s="471" t="str">
        <f>VLOOKUP($AW1218,'Item Master Data'!$A:$F,3,FALSE)</f>
        <v>Q.PEAK DUO BLK ML G10+</v>
      </c>
      <c r="AY1218" s="471">
        <f>VLOOKUP($AW1218,'Item Master Data'!$A:$F,6,FALSE)</f>
        <v>400</v>
      </c>
      <c r="AZ1218" s="471">
        <f t="shared" si="245"/>
        <v>24</v>
      </c>
      <c r="BA1218" s="471">
        <f>VLOOKUP(AW1218,'Item Master Data'!$A:$G,7,FALSE)</f>
        <v>32</v>
      </c>
      <c r="BC1218" s="471">
        <f t="shared" si="246"/>
        <v>0</v>
      </c>
    </row>
    <row r="1219" spans="1:55" s="471" customFormat="1">
      <c r="A1219" s="472"/>
      <c r="B1219" s="467">
        <v>44610</v>
      </c>
      <c r="C1219" s="467">
        <v>44631</v>
      </c>
      <c r="D1219" s="474" t="s">
        <v>2901</v>
      </c>
      <c r="E1219" s="445"/>
      <c r="F1219" s="474" t="s">
        <v>1147</v>
      </c>
      <c r="G1219" s="474">
        <v>2022</v>
      </c>
      <c r="H1219" s="474">
        <v>6</v>
      </c>
      <c r="I1219" s="474"/>
      <c r="J1219" s="487"/>
      <c r="K1219" s="483" t="s">
        <v>3171</v>
      </c>
      <c r="L1219" s="474" t="s">
        <v>3159</v>
      </c>
      <c r="M1219" s="475">
        <v>44543</v>
      </c>
      <c r="N1219" s="475">
        <v>44682</v>
      </c>
      <c r="O1219" s="475" t="s">
        <v>2365</v>
      </c>
      <c r="P1219" s="475"/>
      <c r="Q1219" s="475"/>
      <c r="R1219" s="475"/>
      <c r="S1219" s="474" t="s">
        <v>2904</v>
      </c>
      <c r="T1219" s="474">
        <v>60</v>
      </c>
      <c r="U1219" s="474" t="s">
        <v>1760</v>
      </c>
      <c r="V1219" s="474" t="s">
        <v>973</v>
      </c>
      <c r="W1219" s="474">
        <v>400</v>
      </c>
      <c r="X1219" s="476">
        <v>2624</v>
      </c>
      <c r="Y1219" s="491">
        <f t="shared" si="241"/>
        <v>1049600</v>
      </c>
      <c r="Z1219" s="478">
        <v>0.5</v>
      </c>
      <c r="AA1219" s="492">
        <f t="shared" si="243"/>
        <v>524800</v>
      </c>
      <c r="AB1219" s="492"/>
      <c r="AC1219" s="446">
        <v>0</v>
      </c>
      <c r="AD1219" s="490"/>
      <c r="AE1219" s="482"/>
      <c r="AF1219" s="580">
        <f t="shared" si="242"/>
        <v>524800</v>
      </c>
      <c r="AG1219" s="474" t="s">
        <v>47</v>
      </c>
      <c r="AH1219" s="474"/>
      <c r="AI1219" s="474">
        <v>30</v>
      </c>
      <c r="AJ1219" s="475" t="s">
        <v>1083</v>
      </c>
      <c r="AK1219" s="483" t="s">
        <v>1084</v>
      </c>
      <c r="AL1219" s="483" t="s">
        <v>2934</v>
      </c>
      <c r="AM1219" s="474" t="s">
        <v>52</v>
      </c>
      <c r="AN1219" s="474" t="s">
        <v>1074</v>
      </c>
      <c r="AO1219" s="474"/>
      <c r="AP1219" s="482"/>
      <c r="AQ1219" s="482" t="s">
        <v>37</v>
      </c>
      <c r="AR1219" s="439"/>
      <c r="AS1219" s="436" t="s">
        <v>1087</v>
      </c>
      <c r="AT1219" s="436" t="s">
        <v>1076</v>
      </c>
      <c r="AU1219" s="478"/>
      <c r="AV1219" s="471" t="str">
        <f t="shared" si="244"/>
        <v>30390156H</v>
      </c>
      <c r="AW1219" s="471" cm="1">
        <f t="array" ref="AW1219">SUM(MID(0&amp;AV1219,LARGE(INDEX(ISNUMBER(--MID(AV1219,ROW($1:$8),1))*ROW($1:$8),),ROW($1:$8))+1,1)*10^ROW($1:$8)/10)</f>
        <v>30390156</v>
      </c>
      <c r="AX1219" s="471" t="str">
        <f>VLOOKUP($AW1219,'Item Master Data'!$A:$F,3,FALSE)</f>
        <v>Q.PEAK DUO BLK ML G10+</v>
      </c>
      <c r="AY1219" s="471">
        <f>VLOOKUP($AW1219,'Item Master Data'!$A:$F,6,FALSE)</f>
        <v>400</v>
      </c>
      <c r="AZ1219" s="471">
        <f t="shared" si="245"/>
        <v>82</v>
      </c>
      <c r="BA1219" s="471">
        <f>VLOOKUP(AW1219,'Item Master Data'!$A:$G,7,FALSE)</f>
        <v>32</v>
      </c>
      <c r="BC1219" s="471">
        <f t="shared" si="246"/>
        <v>0</v>
      </c>
    </row>
    <row r="1220" spans="1:55" s="471" customFormat="1">
      <c r="A1220" s="472"/>
      <c r="B1220" s="467">
        <v>44610</v>
      </c>
      <c r="C1220" s="467">
        <v>44631</v>
      </c>
      <c r="D1220" s="474" t="s">
        <v>2901</v>
      </c>
      <c r="E1220" s="445"/>
      <c r="F1220" s="474" t="s">
        <v>1147</v>
      </c>
      <c r="G1220" s="474">
        <v>2022</v>
      </c>
      <c r="H1220" s="474">
        <v>6</v>
      </c>
      <c r="I1220" s="474"/>
      <c r="J1220" s="556"/>
      <c r="K1220" s="483" t="s">
        <v>3172</v>
      </c>
      <c r="L1220" s="474" t="s">
        <v>3159</v>
      </c>
      <c r="M1220" s="475">
        <v>44543</v>
      </c>
      <c r="N1220" s="475">
        <v>44713</v>
      </c>
      <c r="O1220" s="475" t="s">
        <v>2365</v>
      </c>
      <c r="P1220" s="475"/>
      <c r="Q1220" s="475"/>
      <c r="R1220" s="475"/>
      <c r="S1220" s="474" t="s">
        <v>2904</v>
      </c>
      <c r="T1220" s="474">
        <v>60</v>
      </c>
      <c r="U1220" s="474" t="s">
        <v>1760</v>
      </c>
      <c r="V1220" s="474" t="s">
        <v>973</v>
      </c>
      <c r="W1220" s="474">
        <v>400</v>
      </c>
      <c r="X1220" s="476">
        <v>10432</v>
      </c>
      <c r="Y1220" s="491">
        <f t="shared" si="241"/>
        <v>4172800</v>
      </c>
      <c r="Z1220" s="478">
        <v>0.5</v>
      </c>
      <c r="AA1220" s="492">
        <f t="shared" si="243"/>
        <v>2086400</v>
      </c>
      <c r="AB1220" s="492"/>
      <c r="AC1220" s="446">
        <v>0</v>
      </c>
      <c r="AD1220" s="490"/>
      <c r="AE1220" s="482"/>
      <c r="AF1220" s="580">
        <f t="shared" si="242"/>
        <v>2086400</v>
      </c>
      <c r="AG1220" s="474" t="s">
        <v>47</v>
      </c>
      <c r="AH1220" s="474"/>
      <c r="AI1220" s="474">
        <v>30</v>
      </c>
      <c r="AJ1220" s="475" t="s">
        <v>1083</v>
      </c>
      <c r="AK1220" s="483" t="s">
        <v>1084</v>
      </c>
      <c r="AL1220" s="483" t="s">
        <v>2934</v>
      </c>
      <c r="AM1220" s="474" t="s">
        <v>52</v>
      </c>
      <c r="AN1220" s="474" t="s">
        <v>1074</v>
      </c>
      <c r="AO1220" s="474"/>
      <c r="AP1220" s="482"/>
      <c r="AQ1220" s="482" t="s">
        <v>37</v>
      </c>
      <c r="AR1220" s="439"/>
      <c r="AS1220" s="436" t="s">
        <v>1087</v>
      </c>
      <c r="AT1220" s="436" t="s">
        <v>1076</v>
      </c>
      <c r="AU1220" s="478"/>
      <c r="AV1220" s="471" t="str">
        <f t="shared" si="244"/>
        <v>30390156H</v>
      </c>
      <c r="AW1220" s="471" cm="1">
        <f t="array" ref="AW1220">SUM(MID(0&amp;AV1220,LARGE(INDEX(ISNUMBER(--MID(AV1220,ROW($1:$8),1))*ROW($1:$8),),ROW($1:$8))+1,1)*10^ROW($1:$8)/10)</f>
        <v>30390156</v>
      </c>
      <c r="AX1220" s="471" t="str">
        <f>VLOOKUP($AW1220,'Item Master Data'!$A:$F,3,FALSE)</f>
        <v>Q.PEAK DUO BLK ML G10+</v>
      </c>
      <c r="AY1220" s="471">
        <f>VLOOKUP($AW1220,'Item Master Data'!$A:$F,6,FALSE)</f>
        <v>400</v>
      </c>
      <c r="AZ1220" s="471">
        <f t="shared" si="245"/>
        <v>326</v>
      </c>
      <c r="BA1220" s="471">
        <f>VLOOKUP(AW1220,'Item Master Data'!$A:$G,7,FALSE)</f>
        <v>32</v>
      </c>
      <c r="BC1220" s="471">
        <f t="shared" si="246"/>
        <v>0</v>
      </c>
    </row>
    <row r="1221" spans="1:55" s="471" customFormat="1">
      <c r="A1221" s="472"/>
      <c r="B1221" s="449">
        <v>44607</v>
      </c>
      <c r="C1221" s="449">
        <v>44631</v>
      </c>
      <c r="D1221" s="474" t="s">
        <v>2901</v>
      </c>
      <c r="E1221" s="474" t="s">
        <v>2984</v>
      </c>
      <c r="F1221" s="474" t="s">
        <v>1147</v>
      </c>
      <c r="G1221" s="474">
        <v>2022</v>
      </c>
      <c r="H1221" s="474">
        <v>6</v>
      </c>
      <c r="I1221" s="474"/>
      <c r="J1221" s="475"/>
      <c r="K1221" s="474" t="s">
        <v>3173</v>
      </c>
      <c r="L1221" s="474" t="s">
        <v>3159</v>
      </c>
      <c r="M1221" s="475">
        <v>44607</v>
      </c>
      <c r="N1221" s="475">
        <v>44713</v>
      </c>
      <c r="O1221" s="475" t="s">
        <v>2365</v>
      </c>
      <c r="P1221" s="475"/>
      <c r="Q1221" s="475"/>
      <c r="R1221" s="475"/>
      <c r="S1221" s="474" t="s">
        <v>2904</v>
      </c>
      <c r="T1221" s="474">
        <v>60</v>
      </c>
      <c r="U1221" s="474" t="s">
        <v>1760</v>
      </c>
      <c r="V1221" s="474" t="s">
        <v>973</v>
      </c>
      <c r="W1221" s="474">
        <v>400</v>
      </c>
      <c r="X1221" s="432">
        <v>832</v>
      </c>
      <c r="Y1221" s="491">
        <f t="shared" si="241"/>
        <v>332800</v>
      </c>
      <c r="Z1221" s="478">
        <v>0.5</v>
      </c>
      <c r="AA1221" s="492">
        <f t="shared" si="243"/>
        <v>166400</v>
      </c>
      <c r="AB1221" s="492"/>
      <c r="AC1221" s="446">
        <v>0</v>
      </c>
      <c r="AD1221" s="490"/>
      <c r="AE1221" s="437"/>
      <c r="AF1221" s="580">
        <f t="shared" si="242"/>
        <v>166400</v>
      </c>
      <c r="AG1221" s="474" t="s">
        <v>47</v>
      </c>
      <c r="AH1221" s="438"/>
      <c r="AI1221" s="474">
        <v>30</v>
      </c>
      <c r="AJ1221" s="484" t="s">
        <v>1083</v>
      </c>
      <c r="AK1221" s="474" t="s">
        <v>1084</v>
      </c>
      <c r="AL1221" s="483" t="s">
        <v>2934</v>
      </c>
      <c r="AM1221" s="474" t="s">
        <v>52</v>
      </c>
      <c r="AN1221" s="474" t="s">
        <v>1074</v>
      </c>
      <c r="AO1221" s="474"/>
      <c r="AP1221" s="486"/>
      <c r="AQ1221" s="439" t="s">
        <v>37</v>
      </c>
      <c r="AR1221" s="439" t="s">
        <v>2953</v>
      </c>
      <c r="AS1221" s="473" t="s">
        <v>1087</v>
      </c>
      <c r="AT1221" s="473" t="s">
        <v>1076</v>
      </c>
      <c r="AU1221" s="478">
        <v>0.5</v>
      </c>
      <c r="AV1221" s="471" t="str">
        <f t="shared" si="244"/>
        <v>30390156H</v>
      </c>
      <c r="AW1221" s="471" cm="1">
        <f t="array" ref="AW1221">SUM(MID(0&amp;AV1221,LARGE(INDEX(ISNUMBER(--MID(AV1221,ROW($1:$8),1))*ROW($1:$8),),ROW($1:$8))+1,1)*10^ROW($1:$8)/10)</f>
        <v>30390156</v>
      </c>
      <c r="AX1221" s="471" t="str">
        <f>VLOOKUP($AW1221,'Item Master Data'!$A:$F,3,FALSE)</f>
        <v>Q.PEAK DUO BLK ML G10+</v>
      </c>
      <c r="AY1221" s="471">
        <f>VLOOKUP($AW1221,'Item Master Data'!$A:$F,6,FALSE)</f>
        <v>400</v>
      </c>
      <c r="AZ1221" s="471">
        <f t="shared" si="245"/>
        <v>26</v>
      </c>
      <c r="BA1221" s="471">
        <f>VLOOKUP(AW1221,'Item Master Data'!$A:$G,7,FALSE)</f>
        <v>32</v>
      </c>
      <c r="BC1221" s="471">
        <f t="shared" si="246"/>
        <v>0</v>
      </c>
    </row>
    <row r="1222" spans="1:55" s="471" customFormat="1">
      <c r="A1222" s="472"/>
      <c r="B1222" s="467">
        <v>44650</v>
      </c>
      <c r="C1222" s="467">
        <v>44650</v>
      </c>
      <c r="D1222" s="474" t="s">
        <v>2901</v>
      </c>
      <c r="E1222" s="445" t="s">
        <v>2926</v>
      </c>
      <c r="F1222" s="469" t="s">
        <v>1147</v>
      </c>
      <c r="G1222" s="474">
        <v>2022</v>
      </c>
      <c r="H1222" s="474">
        <v>7</v>
      </c>
      <c r="I1222" s="474"/>
      <c r="J1222" s="475"/>
      <c r="K1222" s="474" t="s">
        <v>2931</v>
      </c>
      <c r="L1222" s="474" t="s">
        <v>2916</v>
      </c>
      <c r="M1222" s="475">
        <v>44498</v>
      </c>
      <c r="N1222" s="475">
        <v>44622</v>
      </c>
      <c r="O1222" s="475"/>
      <c r="P1222" s="475"/>
      <c r="Q1222" s="475"/>
      <c r="R1222" s="475"/>
      <c r="S1222" s="474" t="s">
        <v>2904</v>
      </c>
      <c r="T1222" s="474">
        <v>60</v>
      </c>
      <c r="U1222" s="474">
        <v>49405140</v>
      </c>
      <c r="V1222" s="474" t="s">
        <v>973</v>
      </c>
      <c r="W1222" s="474">
        <v>400</v>
      </c>
      <c r="X1222" s="432">
        <v>2944</v>
      </c>
      <c r="Y1222" s="491">
        <f>W1222*X1222</f>
        <v>1177600</v>
      </c>
      <c r="Z1222" s="478">
        <v>0.55000000000000004</v>
      </c>
      <c r="AA1222" s="492">
        <f t="shared" si="243"/>
        <v>647680</v>
      </c>
      <c r="AB1222" s="492"/>
      <c r="AC1222" s="446">
        <v>0</v>
      </c>
      <c r="AD1222" s="490"/>
      <c r="AE1222" s="437"/>
      <c r="AF1222" s="580">
        <f t="shared" si="242"/>
        <v>647680</v>
      </c>
      <c r="AG1222" s="474" t="s">
        <v>1071</v>
      </c>
      <c r="AH1222" s="438"/>
      <c r="AI1222" s="474">
        <v>60</v>
      </c>
      <c r="AJ1222" s="484" t="s">
        <v>2922</v>
      </c>
      <c r="AK1222" s="474" t="s">
        <v>2406</v>
      </c>
      <c r="AL1222" s="483" t="s">
        <v>2923</v>
      </c>
      <c r="AM1222" s="474" t="s">
        <v>52</v>
      </c>
      <c r="AN1222" s="474" t="s">
        <v>1074</v>
      </c>
      <c r="AO1222" s="474"/>
      <c r="AP1222" s="486"/>
      <c r="AQ1222" s="439" t="s">
        <v>37</v>
      </c>
      <c r="AR1222" s="439" t="s">
        <v>1248</v>
      </c>
      <c r="AS1222" s="473" t="s">
        <v>1076</v>
      </c>
      <c r="AT1222" s="473" t="s">
        <v>1076</v>
      </c>
      <c r="AU1222" s="478">
        <v>0.47499999999999998</v>
      </c>
    </row>
    <row r="1223" spans="1:55" s="471" customFormat="1">
      <c r="A1223" s="472"/>
      <c r="B1223" s="467">
        <v>44578</v>
      </c>
      <c r="C1223" s="467">
        <v>44579</v>
      </c>
      <c r="D1223" s="474" t="s">
        <v>2901</v>
      </c>
      <c r="E1223" s="445" t="s">
        <v>2942</v>
      </c>
      <c r="F1223" s="474" t="s">
        <v>1147</v>
      </c>
      <c r="G1223" s="474">
        <v>2022</v>
      </c>
      <c r="H1223" s="474">
        <v>7</v>
      </c>
      <c r="I1223" s="474"/>
      <c r="J1223" s="556"/>
      <c r="K1223" s="483" t="s">
        <v>2945</v>
      </c>
      <c r="L1223" s="474" t="s">
        <v>2933</v>
      </c>
      <c r="M1223" s="475">
        <v>44456</v>
      </c>
      <c r="N1223" s="475">
        <v>44536</v>
      </c>
      <c r="O1223" s="475">
        <v>44682</v>
      </c>
      <c r="P1223" s="475"/>
      <c r="Q1223" s="475"/>
      <c r="R1223" s="475"/>
      <c r="S1223" s="474" t="s">
        <v>2904</v>
      </c>
      <c r="T1223" s="474">
        <v>60</v>
      </c>
      <c r="U1223" s="474">
        <v>49403140</v>
      </c>
      <c r="V1223" s="474" t="s">
        <v>973</v>
      </c>
      <c r="W1223" s="474">
        <v>400</v>
      </c>
      <c r="X1223" s="476">
        <v>1536</v>
      </c>
      <c r="Y1223" s="491">
        <f>X1223*W1223</f>
        <v>614400</v>
      </c>
      <c r="Z1223" s="478">
        <v>0.55000000000000004</v>
      </c>
      <c r="AA1223" s="492">
        <f t="shared" si="243"/>
        <v>337920</v>
      </c>
      <c r="AB1223" s="492"/>
      <c r="AC1223" s="446">
        <v>0</v>
      </c>
      <c r="AD1223" s="490"/>
      <c r="AE1223" s="482"/>
      <c r="AF1223" s="580">
        <f t="shared" si="242"/>
        <v>337920</v>
      </c>
      <c r="AG1223" s="474" t="s">
        <v>1071</v>
      </c>
      <c r="AH1223" s="474"/>
      <c r="AI1223" s="474">
        <v>60</v>
      </c>
      <c r="AJ1223" s="475" t="s">
        <v>1135</v>
      </c>
      <c r="AK1223" s="483" t="s">
        <v>1084</v>
      </c>
      <c r="AL1223" s="483">
        <v>33064</v>
      </c>
      <c r="AM1223" s="474" t="s">
        <v>52</v>
      </c>
      <c r="AN1223" s="474" t="s">
        <v>1074</v>
      </c>
      <c r="AO1223" s="474"/>
      <c r="AP1223" s="482"/>
      <c r="AQ1223" s="482" t="s">
        <v>37</v>
      </c>
      <c r="AR1223" s="439" t="s">
        <v>1248</v>
      </c>
      <c r="AS1223" s="436" t="s">
        <v>1076</v>
      </c>
      <c r="AT1223" s="436" t="s">
        <v>1076</v>
      </c>
      <c r="AU1223" s="478">
        <v>0.47499999999999998</v>
      </c>
    </row>
    <row r="1224" spans="1:55" s="471" customFormat="1">
      <c r="A1224" s="472"/>
      <c r="B1224" s="467">
        <v>44629</v>
      </c>
      <c r="C1224" s="467">
        <v>44629</v>
      </c>
      <c r="D1224" s="474" t="s">
        <v>2901</v>
      </c>
      <c r="E1224" s="445"/>
      <c r="F1224" s="474" t="s">
        <v>1147</v>
      </c>
      <c r="G1224" s="474">
        <v>2022</v>
      </c>
      <c r="H1224" s="474">
        <v>7</v>
      </c>
      <c r="I1224" s="474"/>
      <c r="J1224" s="556"/>
      <c r="K1224" s="483" t="s">
        <v>2986</v>
      </c>
      <c r="L1224" s="474" t="s">
        <v>2947</v>
      </c>
      <c r="M1224" s="475">
        <v>44518</v>
      </c>
      <c r="N1224" s="475">
        <v>44682</v>
      </c>
      <c r="O1224" s="475"/>
      <c r="P1224" s="475"/>
      <c r="Q1224" s="475"/>
      <c r="R1224" s="475"/>
      <c r="S1224" s="474" t="s">
        <v>2904</v>
      </c>
      <c r="T1224" s="474">
        <v>60</v>
      </c>
      <c r="U1224" s="474">
        <v>49201132</v>
      </c>
      <c r="V1224" s="474" t="s">
        <v>986</v>
      </c>
      <c r="W1224" s="474">
        <v>360</v>
      </c>
      <c r="X1224" s="476">
        <v>5824</v>
      </c>
      <c r="Y1224" s="491">
        <f>X1224*W1224</f>
        <v>2096640</v>
      </c>
      <c r="Z1224" s="478">
        <v>0.5</v>
      </c>
      <c r="AA1224" s="492">
        <f t="shared" si="243"/>
        <v>1048320</v>
      </c>
      <c r="AB1224" s="492"/>
      <c r="AC1224" s="446">
        <v>0</v>
      </c>
      <c r="AD1224" s="490"/>
      <c r="AE1224" s="482"/>
      <c r="AF1224" s="580">
        <f t="shared" si="242"/>
        <v>1048320</v>
      </c>
      <c r="AG1224" s="474" t="s">
        <v>1071</v>
      </c>
      <c r="AH1224" s="474"/>
      <c r="AI1224" s="474">
        <v>60</v>
      </c>
      <c r="AJ1224" s="475" t="s">
        <v>2277</v>
      </c>
      <c r="AK1224" s="483" t="s">
        <v>1084</v>
      </c>
      <c r="AL1224" s="483" t="s">
        <v>2948</v>
      </c>
      <c r="AM1224" s="474" t="s">
        <v>52</v>
      </c>
      <c r="AN1224" s="474" t="s">
        <v>1074</v>
      </c>
      <c r="AO1224" s="474"/>
      <c r="AP1224" s="482"/>
      <c r="AQ1224" s="482" t="s">
        <v>37</v>
      </c>
      <c r="AR1224" s="439" t="s">
        <v>2953</v>
      </c>
      <c r="AS1224" s="436" t="s">
        <v>1087</v>
      </c>
      <c r="AT1224" s="436" t="s">
        <v>1076</v>
      </c>
      <c r="AU1224" s="478">
        <v>0.5</v>
      </c>
    </row>
    <row r="1225" spans="1:55" s="471" customFormat="1">
      <c r="A1225" s="472"/>
      <c r="B1225" s="467">
        <v>44629</v>
      </c>
      <c r="C1225" s="467">
        <v>44629</v>
      </c>
      <c r="D1225" s="474" t="s">
        <v>2901</v>
      </c>
      <c r="E1225" s="445"/>
      <c r="F1225" s="474" t="s">
        <v>1147</v>
      </c>
      <c r="G1225" s="474">
        <v>2022</v>
      </c>
      <c r="H1225" s="474">
        <v>7</v>
      </c>
      <c r="I1225" s="474"/>
      <c r="J1225" s="556"/>
      <c r="K1225" s="483" t="s">
        <v>2982</v>
      </c>
      <c r="L1225" s="474" t="s">
        <v>2947</v>
      </c>
      <c r="M1225" s="475">
        <v>44519</v>
      </c>
      <c r="N1225" s="475">
        <v>44713</v>
      </c>
      <c r="O1225" s="475"/>
      <c r="P1225" s="475"/>
      <c r="Q1225" s="475"/>
      <c r="R1225" s="475"/>
      <c r="S1225" s="474" t="s">
        <v>2904</v>
      </c>
      <c r="T1225" s="474">
        <v>60</v>
      </c>
      <c r="U1225" s="474">
        <v>49403140</v>
      </c>
      <c r="V1225" s="474" t="s">
        <v>973</v>
      </c>
      <c r="W1225" s="474">
        <v>400</v>
      </c>
      <c r="X1225" s="476">
        <v>8320</v>
      </c>
      <c r="Y1225" s="491">
        <f>X1225*W1225</f>
        <v>3328000</v>
      </c>
      <c r="Z1225" s="478">
        <v>0.55000000000000004</v>
      </c>
      <c r="AA1225" s="492">
        <f t="shared" si="243"/>
        <v>1830400.0000000002</v>
      </c>
      <c r="AB1225" s="492"/>
      <c r="AC1225" s="446">
        <v>0</v>
      </c>
      <c r="AD1225" s="490"/>
      <c r="AE1225" s="482"/>
      <c r="AF1225" s="580">
        <f t="shared" si="242"/>
        <v>1830400.0000000002</v>
      </c>
      <c r="AG1225" s="474" t="s">
        <v>1071</v>
      </c>
      <c r="AH1225" s="474"/>
      <c r="AI1225" s="474">
        <v>60</v>
      </c>
      <c r="AJ1225" s="475" t="s">
        <v>2277</v>
      </c>
      <c r="AK1225" s="483" t="s">
        <v>1084</v>
      </c>
      <c r="AL1225" s="483" t="s">
        <v>2948</v>
      </c>
      <c r="AM1225" s="474" t="s">
        <v>52</v>
      </c>
      <c r="AN1225" s="474" t="s">
        <v>1074</v>
      </c>
      <c r="AO1225" s="474"/>
      <c r="AP1225" s="482"/>
      <c r="AQ1225" s="482" t="s">
        <v>37</v>
      </c>
      <c r="AR1225" s="439" t="s">
        <v>1248</v>
      </c>
      <c r="AS1225" s="436" t="s">
        <v>1087</v>
      </c>
      <c r="AT1225" s="436" t="s">
        <v>1076</v>
      </c>
      <c r="AU1225" s="478">
        <v>0.47499999999999998</v>
      </c>
    </row>
    <row r="1226" spans="1:55" s="471" customFormat="1">
      <c r="A1226" s="472"/>
      <c r="B1226" s="449">
        <v>44665</v>
      </c>
      <c r="C1226" s="449">
        <v>44666</v>
      </c>
      <c r="D1226" s="474" t="s">
        <v>2901</v>
      </c>
      <c r="E1226" s="445" t="s">
        <v>2984</v>
      </c>
      <c r="F1226" s="469" t="s">
        <v>1147</v>
      </c>
      <c r="G1226" s="474">
        <v>2022</v>
      </c>
      <c r="H1226" s="474">
        <v>7</v>
      </c>
      <c r="I1226" s="474"/>
      <c r="J1226" s="556"/>
      <c r="K1226" s="474" t="s">
        <v>4692</v>
      </c>
      <c r="L1226" s="474" t="s">
        <v>2947</v>
      </c>
      <c r="M1226" s="475">
        <v>44550</v>
      </c>
      <c r="N1226" s="475">
        <v>44682</v>
      </c>
      <c r="O1226" s="475"/>
      <c r="P1226" s="475"/>
      <c r="Q1226" s="475"/>
      <c r="R1226" s="475"/>
      <c r="S1226" s="474" t="s">
        <v>2904</v>
      </c>
      <c r="T1226" s="474">
        <v>60</v>
      </c>
      <c r="U1226" s="474">
        <v>49204132</v>
      </c>
      <c r="V1226" s="474" t="s">
        <v>1223</v>
      </c>
      <c r="W1226" s="474">
        <v>360</v>
      </c>
      <c r="X1226" s="476">
        <v>2496</v>
      </c>
      <c r="Y1226" s="477">
        <f>W1226*X1226</f>
        <v>898560</v>
      </c>
      <c r="Z1226" s="478">
        <v>0.8</v>
      </c>
      <c r="AA1226" s="479">
        <f t="shared" si="243"/>
        <v>718848</v>
      </c>
      <c r="AB1226" s="479"/>
      <c r="AC1226" s="446">
        <v>0</v>
      </c>
      <c r="AD1226" s="490"/>
      <c r="AE1226" s="482"/>
      <c r="AF1226" s="580">
        <f t="shared" si="242"/>
        <v>718848</v>
      </c>
      <c r="AG1226" s="474" t="s">
        <v>1071</v>
      </c>
      <c r="AH1226" s="474"/>
      <c r="AI1226" s="474">
        <v>60</v>
      </c>
      <c r="AJ1226" s="484" t="s">
        <v>2277</v>
      </c>
      <c r="AK1226" s="474" t="s">
        <v>1084</v>
      </c>
      <c r="AL1226" s="483" t="s">
        <v>2948</v>
      </c>
      <c r="AM1226" s="474" t="s">
        <v>52</v>
      </c>
      <c r="AN1226" s="474" t="s">
        <v>1074</v>
      </c>
      <c r="AO1226" s="474"/>
      <c r="AP1226" s="482"/>
      <c r="AQ1226" s="482" t="s">
        <v>37</v>
      </c>
      <c r="AR1226" s="482" t="s">
        <v>2953</v>
      </c>
      <c r="AS1226" s="436" t="s">
        <v>1087</v>
      </c>
      <c r="AT1226" s="436" t="s">
        <v>1076</v>
      </c>
      <c r="AU1226" s="478">
        <v>0.73</v>
      </c>
    </row>
    <row r="1227" spans="1:55" s="471" customFormat="1">
      <c r="A1227" s="472"/>
      <c r="B1227" s="449">
        <v>44649</v>
      </c>
      <c r="C1227" s="449">
        <v>44649</v>
      </c>
      <c r="D1227" s="474" t="s">
        <v>2901</v>
      </c>
      <c r="E1227" s="445" t="s">
        <v>2984</v>
      </c>
      <c r="F1227" s="469" t="s">
        <v>1147</v>
      </c>
      <c r="G1227" s="474">
        <v>2022</v>
      </c>
      <c r="H1227" s="474">
        <v>7</v>
      </c>
      <c r="I1227" s="474"/>
      <c r="J1227" s="475"/>
      <c r="K1227" s="474" t="s">
        <v>2985</v>
      </c>
      <c r="L1227" s="474" t="s">
        <v>2947</v>
      </c>
      <c r="M1227" s="475">
        <v>44637</v>
      </c>
      <c r="N1227" s="475">
        <v>44743</v>
      </c>
      <c r="O1227" s="475"/>
      <c r="P1227" s="475"/>
      <c r="Q1227" s="475"/>
      <c r="R1227" s="475"/>
      <c r="S1227" s="474" t="s">
        <v>2904</v>
      </c>
      <c r="T1227" s="474">
        <v>60</v>
      </c>
      <c r="U1227" s="474">
        <v>49405140</v>
      </c>
      <c r="V1227" s="474" t="s">
        <v>973</v>
      </c>
      <c r="W1227" s="474">
        <v>400</v>
      </c>
      <c r="X1227" s="432">
        <v>3328</v>
      </c>
      <c r="Y1227" s="491">
        <f>W1227*X1227</f>
        <v>1331200</v>
      </c>
      <c r="Z1227" s="478">
        <v>0.55000000000000004</v>
      </c>
      <c r="AA1227" s="492">
        <f t="shared" si="243"/>
        <v>732160.00000000012</v>
      </c>
      <c r="AB1227" s="492"/>
      <c r="AC1227" s="446">
        <v>0</v>
      </c>
      <c r="AD1227" s="490"/>
      <c r="AE1227" s="437"/>
      <c r="AF1227" s="580">
        <f t="shared" si="242"/>
        <v>732160.00000000012</v>
      </c>
      <c r="AG1227" s="474" t="s">
        <v>1071</v>
      </c>
      <c r="AH1227" s="438"/>
      <c r="AI1227" s="474">
        <v>60</v>
      </c>
      <c r="AJ1227" s="484" t="s">
        <v>2277</v>
      </c>
      <c r="AK1227" s="474" t="s">
        <v>1084</v>
      </c>
      <c r="AL1227" s="483" t="s">
        <v>2948</v>
      </c>
      <c r="AM1227" s="474" t="s">
        <v>52</v>
      </c>
      <c r="AN1227" s="474" t="s">
        <v>1074</v>
      </c>
      <c r="AO1227" s="474"/>
      <c r="AP1227" s="486"/>
      <c r="AQ1227" s="439" t="s">
        <v>37</v>
      </c>
      <c r="AR1227" s="439" t="s">
        <v>2953</v>
      </c>
      <c r="AS1227" s="473" t="s">
        <v>1087</v>
      </c>
      <c r="AT1227" s="473" t="s">
        <v>1076</v>
      </c>
      <c r="AU1227" s="478">
        <v>0.73</v>
      </c>
    </row>
    <row r="1228" spans="1:55" s="471" customFormat="1">
      <c r="A1228" s="472"/>
      <c r="B1228" s="449">
        <v>44657</v>
      </c>
      <c r="C1228" s="449">
        <v>44657</v>
      </c>
      <c r="D1228" s="474" t="s">
        <v>2901</v>
      </c>
      <c r="E1228" s="445" t="s">
        <v>2984</v>
      </c>
      <c r="F1228" s="469" t="s">
        <v>1147</v>
      </c>
      <c r="G1228" s="474">
        <v>2022</v>
      </c>
      <c r="H1228" s="474">
        <v>7</v>
      </c>
      <c r="I1228" s="474"/>
      <c r="J1228" s="475"/>
      <c r="K1228" s="474" t="s">
        <v>2988</v>
      </c>
      <c r="L1228" s="474" t="s">
        <v>2947</v>
      </c>
      <c r="M1228" s="475">
        <v>44655</v>
      </c>
      <c r="N1228" s="475">
        <v>44743</v>
      </c>
      <c r="O1228" s="475"/>
      <c r="P1228" s="475"/>
      <c r="Q1228" s="475"/>
      <c r="R1228" s="475"/>
      <c r="S1228" s="474" t="s">
        <v>2904</v>
      </c>
      <c r="T1228" s="474">
        <v>60</v>
      </c>
      <c r="U1228" s="474">
        <v>49203132</v>
      </c>
      <c r="V1228" s="474" t="s">
        <v>986</v>
      </c>
      <c r="W1228" s="474">
        <v>360</v>
      </c>
      <c r="X1228" s="432">
        <v>4992</v>
      </c>
      <c r="Y1228" s="491">
        <f t="shared" ref="Y1228:Y1237" si="247">X1228*W1228</f>
        <v>1797120</v>
      </c>
      <c r="Z1228" s="478">
        <v>0.53</v>
      </c>
      <c r="AA1228" s="492">
        <f t="shared" si="243"/>
        <v>952473.60000000009</v>
      </c>
      <c r="AB1228" s="492"/>
      <c r="AC1228" s="446">
        <v>0</v>
      </c>
      <c r="AD1228" s="490"/>
      <c r="AE1228" s="437"/>
      <c r="AF1228" s="580">
        <v>952473.60000000009</v>
      </c>
      <c r="AG1228" s="474" t="s">
        <v>1071</v>
      </c>
      <c r="AH1228" s="438"/>
      <c r="AI1228" s="474">
        <v>60</v>
      </c>
      <c r="AJ1228" s="484" t="s">
        <v>2277</v>
      </c>
      <c r="AK1228" s="474" t="s">
        <v>1084</v>
      </c>
      <c r="AL1228" s="483" t="s">
        <v>2948</v>
      </c>
      <c r="AM1228" s="474" t="s">
        <v>52</v>
      </c>
      <c r="AN1228" s="474" t="s">
        <v>1074</v>
      </c>
      <c r="AO1228" s="474"/>
      <c r="AP1228" s="486"/>
      <c r="AQ1228" s="439" t="s">
        <v>37</v>
      </c>
      <c r="AR1228" s="439" t="s">
        <v>2953</v>
      </c>
      <c r="AS1228" s="473" t="s">
        <v>1087</v>
      </c>
      <c r="AT1228" s="473" t="s">
        <v>1076</v>
      </c>
      <c r="AU1228" s="478">
        <v>0.73</v>
      </c>
    </row>
    <row r="1229" spans="1:55" s="471" customFormat="1">
      <c r="A1229" s="472"/>
      <c r="B1229" s="449">
        <v>44657</v>
      </c>
      <c r="C1229" s="449">
        <v>44657</v>
      </c>
      <c r="D1229" s="474" t="s">
        <v>2901</v>
      </c>
      <c r="E1229" s="445" t="s">
        <v>2984</v>
      </c>
      <c r="F1229" s="469" t="s">
        <v>1147</v>
      </c>
      <c r="G1229" s="474">
        <v>2022</v>
      </c>
      <c r="H1229" s="474">
        <v>7</v>
      </c>
      <c r="I1229" s="474"/>
      <c r="J1229" s="475"/>
      <c r="K1229" s="474" t="s">
        <v>2987</v>
      </c>
      <c r="L1229" s="474" t="s">
        <v>2947</v>
      </c>
      <c r="M1229" s="475">
        <v>44655</v>
      </c>
      <c r="N1229" s="475">
        <v>44743</v>
      </c>
      <c r="O1229" s="475"/>
      <c r="P1229" s="475"/>
      <c r="Q1229" s="475"/>
      <c r="R1229" s="475"/>
      <c r="S1229" s="474" t="s">
        <v>2904</v>
      </c>
      <c r="T1229" s="474">
        <v>60</v>
      </c>
      <c r="U1229" s="474">
        <v>49405140</v>
      </c>
      <c r="V1229" s="474" t="s">
        <v>973</v>
      </c>
      <c r="W1229" s="474">
        <v>400</v>
      </c>
      <c r="X1229" s="432">
        <v>4992</v>
      </c>
      <c r="Y1229" s="491">
        <f t="shared" si="247"/>
        <v>1996800</v>
      </c>
      <c r="Z1229" s="478">
        <v>0.55000000000000004</v>
      </c>
      <c r="AA1229" s="492">
        <f t="shared" si="243"/>
        <v>1098240</v>
      </c>
      <c r="AB1229" s="492"/>
      <c r="AC1229" s="446">
        <v>0</v>
      </c>
      <c r="AD1229" s="490"/>
      <c r="AE1229" s="437"/>
      <c r="AF1229" s="580">
        <v>1098240</v>
      </c>
      <c r="AG1229" s="474" t="s">
        <v>1071</v>
      </c>
      <c r="AH1229" s="438"/>
      <c r="AI1229" s="474">
        <v>60</v>
      </c>
      <c r="AJ1229" s="484" t="s">
        <v>2277</v>
      </c>
      <c r="AK1229" s="474" t="s">
        <v>1084</v>
      </c>
      <c r="AL1229" s="483" t="s">
        <v>2948</v>
      </c>
      <c r="AM1229" s="474" t="s">
        <v>52</v>
      </c>
      <c r="AN1229" s="474" t="s">
        <v>1074</v>
      </c>
      <c r="AO1229" s="474"/>
      <c r="AP1229" s="486"/>
      <c r="AQ1229" s="439" t="s">
        <v>37</v>
      </c>
      <c r="AR1229" s="439" t="s">
        <v>2953</v>
      </c>
      <c r="AS1229" s="473" t="s">
        <v>1087</v>
      </c>
      <c r="AT1229" s="473" t="s">
        <v>1076</v>
      </c>
      <c r="AU1229" s="478">
        <v>0.73</v>
      </c>
    </row>
    <row r="1230" spans="1:55" s="471" customFormat="1">
      <c r="A1230" s="472"/>
      <c r="B1230" s="467">
        <v>44664</v>
      </c>
      <c r="C1230" s="467">
        <v>44664</v>
      </c>
      <c r="D1230" s="474" t="s">
        <v>2901</v>
      </c>
      <c r="E1230" s="445"/>
      <c r="F1230" s="474" t="s">
        <v>1147</v>
      </c>
      <c r="G1230" s="474">
        <v>2022</v>
      </c>
      <c r="H1230" s="474">
        <v>7</v>
      </c>
      <c r="I1230" s="474"/>
      <c r="J1230" s="556"/>
      <c r="K1230" s="483" t="s">
        <v>2989</v>
      </c>
      <c r="L1230" s="474" t="s">
        <v>2947</v>
      </c>
      <c r="M1230" s="475">
        <v>44657</v>
      </c>
      <c r="N1230" s="475">
        <v>44743</v>
      </c>
      <c r="O1230" s="475"/>
      <c r="P1230" s="475"/>
      <c r="Q1230" s="475"/>
      <c r="R1230" s="475"/>
      <c r="S1230" s="474" t="s">
        <v>2904</v>
      </c>
      <c r="T1230" s="474">
        <v>72</v>
      </c>
      <c r="U1230" s="474" t="s">
        <v>1109</v>
      </c>
      <c r="V1230" s="474" t="s">
        <v>1070</v>
      </c>
      <c r="W1230" s="474">
        <v>480</v>
      </c>
      <c r="X1230" s="476">
        <v>1160</v>
      </c>
      <c r="Y1230" s="491">
        <f t="shared" si="247"/>
        <v>556800</v>
      </c>
      <c r="Z1230" s="478">
        <v>0.505</v>
      </c>
      <c r="AA1230" s="492">
        <f t="shared" si="243"/>
        <v>281184</v>
      </c>
      <c r="AB1230" s="492"/>
      <c r="AC1230" s="446">
        <v>0</v>
      </c>
      <c r="AD1230" s="490"/>
      <c r="AE1230" s="482"/>
      <c r="AF1230" s="580">
        <f t="shared" ref="AF1230:AF1239" si="248">AA1230+AE1230</f>
        <v>281184</v>
      </c>
      <c r="AG1230" s="474" t="s">
        <v>1071</v>
      </c>
      <c r="AH1230" s="474"/>
      <c r="AI1230" s="474">
        <v>60</v>
      </c>
      <c r="AJ1230" s="475" t="s">
        <v>2277</v>
      </c>
      <c r="AK1230" s="483" t="s">
        <v>1084</v>
      </c>
      <c r="AL1230" s="483">
        <v>32809</v>
      </c>
      <c r="AM1230" s="474" t="s">
        <v>52</v>
      </c>
      <c r="AN1230" s="474" t="s">
        <v>1074</v>
      </c>
      <c r="AO1230" s="474"/>
      <c r="AP1230" s="482"/>
      <c r="AQ1230" s="482" t="s">
        <v>37</v>
      </c>
      <c r="AR1230" s="439" t="s">
        <v>2953</v>
      </c>
      <c r="AS1230" s="436" t="s">
        <v>1076</v>
      </c>
      <c r="AT1230" s="436" t="s">
        <v>1076</v>
      </c>
      <c r="AU1230" s="478">
        <v>0.5</v>
      </c>
    </row>
    <row r="1231" spans="1:55" s="471" customFormat="1">
      <c r="A1231" s="472"/>
      <c r="B1231" s="467"/>
      <c r="C1231" s="467"/>
      <c r="D1231" s="474" t="s">
        <v>2901</v>
      </c>
      <c r="E1231" s="445" t="s">
        <v>3183</v>
      </c>
      <c r="F1231" s="474"/>
      <c r="G1231" s="474">
        <v>2022</v>
      </c>
      <c r="H1231" s="474">
        <v>7</v>
      </c>
      <c r="I1231" s="474"/>
      <c r="J1231" s="475"/>
      <c r="K1231" s="483" t="s">
        <v>3184</v>
      </c>
      <c r="L1231" s="474" t="s">
        <v>3185</v>
      </c>
      <c r="M1231" s="475">
        <v>44651</v>
      </c>
      <c r="N1231" s="475">
        <v>44743</v>
      </c>
      <c r="O1231" s="475"/>
      <c r="P1231" s="475"/>
      <c r="Q1231" s="475"/>
      <c r="R1231" s="475"/>
      <c r="S1231" s="474" t="s">
        <v>2904</v>
      </c>
      <c r="T1231" s="474">
        <v>72</v>
      </c>
      <c r="U1231" s="474">
        <v>49301155</v>
      </c>
      <c r="V1231" s="474" t="s">
        <v>1104</v>
      </c>
      <c r="W1231" s="474">
        <v>475</v>
      </c>
      <c r="X1231" s="476">
        <v>1276</v>
      </c>
      <c r="Y1231" s="491">
        <f t="shared" si="247"/>
        <v>606100</v>
      </c>
      <c r="Z1231" s="478">
        <v>0.48501052631000002</v>
      </c>
      <c r="AA1231" s="492">
        <f t="shared" si="243"/>
        <v>293964.87999649101</v>
      </c>
      <c r="AB1231" s="492"/>
      <c r="AC1231" s="446">
        <v>0</v>
      </c>
      <c r="AD1231" s="490"/>
      <c r="AE1231" s="482"/>
      <c r="AF1231" s="580">
        <f t="shared" si="248"/>
        <v>293964.87999649101</v>
      </c>
      <c r="AG1231" s="474" t="s">
        <v>47</v>
      </c>
      <c r="AH1231" s="474"/>
      <c r="AI1231" s="474">
        <v>30</v>
      </c>
      <c r="AJ1231" s="475" t="s">
        <v>1083</v>
      </c>
      <c r="AK1231" s="483" t="s">
        <v>1084</v>
      </c>
      <c r="AL1231" s="483" t="s">
        <v>2934</v>
      </c>
      <c r="AM1231" s="474" t="s">
        <v>52</v>
      </c>
      <c r="AN1231" s="474" t="s">
        <v>50</v>
      </c>
      <c r="AO1231" s="474"/>
      <c r="AP1231" s="482" t="s">
        <v>38</v>
      </c>
      <c r="AQ1231" s="482" t="s">
        <v>37</v>
      </c>
      <c r="AR1231" s="439"/>
      <c r="AS1231" s="436" t="s">
        <v>1087</v>
      </c>
      <c r="AT1231" s="436" t="s">
        <v>1076</v>
      </c>
      <c r="AU1231" s="478"/>
    </row>
    <row r="1232" spans="1:55" s="471" customFormat="1">
      <c r="A1232" s="472"/>
      <c r="B1232" s="467">
        <v>44579</v>
      </c>
      <c r="C1232" s="467">
        <v>44579</v>
      </c>
      <c r="D1232" s="474" t="s">
        <v>2901</v>
      </c>
      <c r="E1232" s="445"/>
      <c r="F1232" s="474"/>
      <c r="G1232" s="474">
        <v>2022</v>
      </c>
      <c r="H1232" s="474">
        <v>7</v>
      </c>
      <c r="I1232" s="474"/>
      <c r="J1232" s="556"/>
      <c r="K1232" s="483" t="s">
        <v>5215</v>
      </c>
      <c r="L1232" s="474" t="s">
        <v>2966</v>
      </c>
      <c r="M1232" s="475">
        <v>44855</v>
      </c>
      <c r="N1232" s="475">
        <v>44713</v>
      </c>
      <c r="O1232" s="475"/>
      <c r="P1232" s="475"/>
      <c r="Q1232" s="475"/>
      <c r="R1232" s="475"/>
      <c r="S1232" s="474" t="s">
        <v>2904</v>
      </c>
      <c r="T1232" s="474">
        <v>72</v>
      </c>
      <c r="U1232" s="474" t="s">
        <v>1225</v>
      </c>
      <c r="V1232" s="474" t="s">
        <v>1070</v>
      </c>
      <c r="W1232" s="474">
        <v>480</v>
      </c>
      <c r="X1232" s="476">
        <v>1276</v>
      </c>
      <c r="Y1232" s="491">
        <f t="shared" si="247"/>
        <v>612480</v>
      </c>
      <c r="Z1232" s="478">
        <v>0.47499999999999998</v>
      </c>
      <c r="AA1232" s="492">
        <f t="shared" si="243"/>
        <v>290928</v>
      </c>
      <c r="AB1232" s="492"/>
      <c r="AC1232" s="446">
        <v>0</v>
      </c>
      <c r="AD1232" s="490"/>
      <c r="AE1232" s="482"/>
      <c r="AF1232" s="580">
        <f t="shared" si="248"/>
        <v>290928</v>
      </c>
      <c r="AG1232" s="474" t="s">
        <v>1071</v>
      </c>
      <c r="AH1232" s="474"/>
      <c r="AI1232" s="474">
        <v>60</v>
      </c>
      <c r="AJ1232" s="475" t="s">
        <v>2967</v>
      </c>
      <c r="AK1232" s="483" t="s">
        <v>1158</v>
      </c>
      <c r="AL1232" s="483" t="s">
        <v>2968</v>
      </c>
      <c r="AM1232" s="474" t="s">
        <v>52</v>
      </c>
      <c r="AN1232" s="474" t="s">
        <v>1554</v>
      </c>
      <c r="AO1232" s="474"/>
      <c r="AP1232" s="482" t="s">
        <v>38</v>
      </c>
      <c r="AQ1232" s="482" t="s">
        <v>37</v>
      </c>
      <c r="AR1232" s="439"/>
      <c r="AS1232" s="436" t="s">
        <v>1076</v>
      </c>
      <c r="AT1232" s="436" t="s">
        <v>1076</v>
      </c>
      <c r="AU1232" s="478"/>
      <c r="AV1232" s="471" t="str">
        <f t="shared" ref="AV1232:AV1260" si="249">U1232</f>
        <v>30397872C</v>
      </c>
      <c r="AW1232" s="471" cm="1">
        <f t="array" ref="AW1232">SUM(MID(0&amp;AV1232,LARGE(INDEX(ISNUMBER(--MID(AV1232,ROW($1:$8),1))*ROW($1:$8),),ROW($1:$8))+1,1)*10^ROW($1:$8)/10)</f>
        <v>30397872</v>
      </c>
      <c r="AX1232" s="471" t="str">
        <f>VLOOKUP($AW1232,'Item Master Data'!$A:$F,3,FALSE)</f>
        <v>Q.PEAK DUO XL G10 BFG</v>
      </c>
      <c r="AY1232" s="471">
        <f>VLOOKUP($AW1232,'Item Master Data'!$A:$F,6,FALSE)</f>
        <v>480</v>
      </c>
      <c r="AZ1232" s="471">
        <f t="shared" ref="AZ1232:AZ1260" si="250">X1232/BA1232</f>
        <v>44</v>
      </c>
      <c r="BA1232" s="471">
        <f>VLOOKUP(AW1232,'Item Master Data'!$A:$G,7,FALSE)</f>
        <v>29</v>
      </c>
      <c r="BC1232" s="471">
        <f t="shared" ref="BC1232:BC1260" si="251">W1232-AY1232</f>
        <v>0</v>
      </c>
    </row>
    <row r="1233" spans="1:55" s="471" customFormat="1">
      <c r="A1233" s="472"/>
      <c r="B1233" s="467">
        <v>44579</v>
      </c>
      <c r="C1233" s="467">
        <v>44579</v>
      </c>
      <c r="D1233" s="474" t="s">
        <v>2901</v>
      </c>
      <c r="E1233" s="445"/>
      <c r="F1233" s="474"/>
      <c r="G1233" s="474">
        <v>2022</v>
      </c>
      <c r="H1233" s="474">
        <v>7</v>
      </c>
      <c r="I1233" s="474"/>
      <c r="J1233" s="556"/>
      <c r="K1233" s="483" t="s">
        <v>5215</v>
      </c>
      <c r="L1233" s="474" t="s">
        <v>2966</v>
      </c>
      <c r="M1233" s="475">
        <v>44855</v>
      </c>
      <c r="N1233" s="475">
        <v>44713</v>
      </c>
      <c r="O1233" s="475"/>
      <c r="P1233" s="475"/>
      <c r="Q1233" s="475"/>
      <c r="R1233" s="475"/>
      <c r="S1233" s="474" t="s">
        <v>2904</v>
      </c>
      <c r="T1233" s="474">
        <v>72</v>
      </c>
      <c r="U1233" s="474" t="s">
        <v>1109</v>
      </c>
      <c r="V1233" s="474" t="s">
        <v>5214</v>
      </c>
      <c r="W1233" s="474">
        <v>430</v>
      </c>
      <c r="X1233" s="476">
        <v>1276</v>
      </c>
      <c r="Y1233" s="491">
        <f t="shared" si="247"/>
        <v>548680</v>
      </c>
      <c r="Z1233" s="478">
        <v>0.44500000000000001</v>
      </c>
      <c r="AA1233" s="492">
        <f t="shared" si="243"/>
        <v>244162.6</v>
      </c>
      <c r="AB1233" s="492"/>
      <c r="AC1233" s="446">
        <v>0</v>
      </c>
      <c r="AD1233" s="490"/>
      <c r="AE1233" s="482"/>
      <c r="AF1233" s="580">
        <f t="shared" si="248"/>
        <v>244162.6</v>
      </c>
      <c r="AG1233" s="474" t="s">
        <v>1071</v>
      </c>
      <c r="AH1233" s="474"/>
      <c r="AI1233" s="474">
        <v>60</v>
      </c>
      <c r="AJ1233" s="475" t="s">
        <v>2967</v>
      </c>
      <c r="AK1233" s="483" t="s">
        <v>1158</v>
      </c>
      <c r="AL1233" s="483" t="s">
        <v>2968</v>
      </c>
      <c r="AM1233" s="474" t="s">
        <v>52</v>
      </c>
      <c r="AN1233" s="474" t="s">
        <v>1554</v>
      </c>
      <c r="AO1233" s="474"/>
      <c r="AP1233" s="482" t="s">
        <v>38</v>
      </c>
      <c r="AQ1233" s="482" t="s">
        <v>37</v>
      </c>
      <c r="AR1233" s="439"/>
      <c r="AS1233" s="436" t="s">
        <v>1076</v>
      </c>
      <c r="AT1233" s="436" t="s">
        <v>1076</v>
      </c>
      <c r="AU1233" s="478"/>
      <c r="AV1233" s="471" t="str">
        <f t="shared" si="249"/>
        <v>TBD</v>
      </c>
      <c r="AW1233" s="471" cm="1">
        <f t="array" ref="AW1233">SUM(MID(0&amp;AV1233,LARGE(INDEX(ISNUMBER(--MID(AV1233,ROW($1:$8),1))*ROW($1:$8),),ROW($1:$8))+1,1)*10^ROW($1:$8)/10)</f>
        <v>0</v>
      </c>
      <c r="AX1233" s="471" t="e">
        <f>VLOOKUP($AW1233,'Item Master Data'!$A:$F,3,FALSE)</f>
        <v>#N/A</v>
      </c>
      <c r="AY1233" s="471" t="e">
        <f>VLOOKUP($AW1233,'Item Master Data'!$A:$F,6,FALSE)</f>
        <v>#N/A</v>
      </c>
      <c r="AZ1233" s="471" t="e">
        <f t="shared" si="250"/>
        <v>#N/A</v>
      </c>
      <c r="BA1233" s="471" t="e">
        <f>VLOOKUP(AW1233,'Item Master Data'!$A:$G,7,FALSE)</f>
        <v>#N/A</v>
      </c>
      <c r="BC1233" s="471" t="e">
        <f t="shared" si="251"/>
        <v>#N/A</v>
      </c>
    </row>
    <row r="1234" spans="1:55" s="471" customFormat="1">
      <c r="A1234" s="472"/>
      <c r="B1234" s="467"/>
      <c r="C1234" s="467">
        <v>44573</v>
      </c>
      <c r="D1234" s="474" t="s">
        <v>2901</v>
      </c>
      <c r="E1234" s="445" t="s">
        <v>3007</v>
      </c>
      <c r="F1234" s="474" t="s">
        <v>1147</v>
      </c>
      <c r="G1234" s="474">
        <v>2022</v>
      </c>
      <c r="H1234" s="474">
        <v>7</v>
      </c>
      <c r="I1234" s="474"/>
      <c r="J1234" s="556"/>
      <c r="K1234" s="483" t="s">
        <v>3017</v>
      </c>
      <c r="L1234" s="474" t="s">
        <v>2966</v>
      </c>
      <c r="M1234" s="475">
        <v>44512</v>
      </c>
      <c r="N1234" s="475">
        <v>44713</v>
      </c>
      <c r="O1234" s="475"/>
      <c r="P1234" s="475"/>
      <c r="Q1234" s="475"/>
      <c r="R1234" s="475"/>
      <c r="S1234" s="474" t="s">
        <v>2904</v>
      </c>
      <c r="T1234" s="474">
        <v>60</v>
      </c>
      <c r="U1234" s="474">
        <v>49403140</v>
      </c>
      <c r="V1234" s="474" t="s">
        <v>973</v>
      </c>
      <c r="W1234" s="474">
        <v>400</v>
      </c>
      <c r="X1234" s="476">
        <v>4160</v>
      </c>
      <c r="Y1234" s="491">
        <f t="shared" si="247"/>
        <v>1664000</v>
      </c>
      <c r="Z1234" s="478">
        <v>0.55000000000000004</v>
      </c>
      <c r="AA1234" s="492">
        <f t="shared" si="243"/>
        <v>915200.00000000012</v>
      </c>
      <c r="AB1234" s="492"/>
      <c r="AC1234" s="446">
        <v>0</v>
      </c>
      <c r="AD1234" s="490"/>
      <c r="AE1234" s="482"/>
      <c r="AF1234" s="580">
        <f t="shared" si="248"/>
        <v>915200.00000000012</v>
      </c>
      <c r="AG1234" s="474" t="s">
        <v>1071</v>
      </c>
      <c r="AH1234" s="474"/>
      <c r="AI1234" s="474">
        <v>60</v>
      </c>
      <c r="AJ1234" s="475" t="s">
        <v>2967</v>
      </c>
      <c r="AK1234" s="483" t="s">
        <v>1158</v>
      </c>
      <c r="AL1234" s="483" t="s">
        <v>2968</v>
      </c>
      <c r="AM1234" s="474" t="s">
        <v>52</v>
      </c>
      <c r="AN1234" s="474" t="s">
        <v>1074</v>
      </c>
      <c r="AO1234" s="474"/>
      <c r="AP1234" s="482"/>
      <c r="AQ1234" s="482" t="s">
        <v>37</v>
      </c>
      <c r="AR1234" s="439" t="s">
        <v>1248</v>
      </c>
      <c r="AS1234" s="436" t="s">
        <v>1076</v>
      </c>
      <c r="AT1234" s="436" t="s">
        <v>1076</v>
      </c>
      <c r="AU1234" s="478">
        <v>0.47499999999999998</v>
      </c>
      <c r="AV1234" s="471">
        <f t="shared" si="249"/>
        <v>49403140</v>
      </c>
      <c r="AW1234" s="471" cm="1">
        <f t="array" ref="AW1234">SUM(MID(0&amp;AV1234,LARGE(INDEX(ISNUMBER(--MID(AV1234,ROW($1:$8),1))*ROW($1:$8),),ROW($1:$8))+1,1)*10^ROW($1:$8)/10)</f>
        <v>49403140</v>
      </c>
      <c r="AX1234" s="471" t="str">
        <f>VLOOKUP($AW1234,'Item Master Data'!$A:$F,3,FALSE)</f>
        <v>Q.PEAK DUO BLK ML G10+</v>
      </c>
      <c r="AY1234" s="471">
        <f>VLOOKUP($AW1234,'Item Master Data'!$A:$F,6,FALSE)</f>
        <v>400</v>
      </c>
      <c r="AZ1234" s="471">
        <f t="shared" si="250"/>
        <v>130</v>
      </c>
      <c r="BA1234" s="471">
        <f>VLOOKUP(AW1234,'Item Master Data'!$A:$G,7,FALSE)</f>
        <v>32</v>
      </c>
      <c r="BC1234" s="471">
        <f t="shared" si="251"/>
        <v>0</v>
      </c>
    </row>
    <row r="1235" spans="1:55" s="471" customFormat="1">
      <c r="A1235" s="472"/>
      <c r="B1235" s="467"/>
      <c r="C1235" s="467">
        <v>44573</v>
      </c>
      <c r="D1235" s="474" t="s">
        <v>2901</v>
      </c>
      <c r="E1235" s="445" t="s">
        <v>3007</v>
      </c>
      <c r="F1235" s="474" t="s">
        <v>1147</v>
      </c>
      <c r="G1235" s="474">
        <v>2022</v>
      </c>
      <c r="H1235" s="474">
        <v>7</v>
      </c>
      <c r="I1235" s="474"/>
      <c r="J1235" s="556"/>
      <c r="K1235" s="483" t="s">
        <v>3016</v>
      </c>
      <c r="L1235" s="474" t="s">
        <v>2966</v>
      </c>
      <c r="M1235" s="475">
        <v>44529</v>
      </c>
      <c r="N1235" s="475">
        <v>44687</v>
      </c>
      <c r="O1235" s="475"/>
      <c r="P1235" s="475"/>
      <c r="Q1235" s="475"/>
      <c r="R1235" s="475"/>
      <c r="S1235" s="474" t="s">
        <v>2904</v>
      </c>
      <c r="T1235" s="474">
        <v>60</v>
      </c>
      <c r="U1235" s="474">
        <v>49403140</v>
      </c>
      <c r="V1235" s="474" t="s">
        <v>973</v>
      </c>
      <c r="W1235" s="474">
        <v>400</v>
      </c>
      <c r="X1235" s="476">
        <v>832</v>
      </c>
      <c r="Y1235" s="491">
        <f t="shared" si="247"/>
        <v>332800</v>
      </c>
      <c r="Z1235" s="478">
        <v>0.55000000000000004</v>
      </c>
      <c r="AA1235" s="492">
        <f t="shared" si="243"/>
        <v>183040.00000000003</v>
      </c>
      <c r="AB1235" s="492"/>
      <c r="AC1235" s="446">
        <v>0</v>
      </c>
      <c r="AD1235" s="490"/>
      <c r="AE1235" s="482"/>
      <c r="AF1235" s="580">
        <f t="shared" si="248"/>
        <v>183040.00000000003</v>
      </c>
      <c r="AG1235" s="474" t="s">
        <v>1071</v>
      </c>
      <c r="AH1235" s="474"/>
      <c r="AI1235" s="474">
        <v>60</v>
      </c>
      <c r="AJ1235" s="475" t="s">
        <v>2967</v>
      </c>
      <c r="AK1235" s="483" t="s">
        <v>1158</v>
      </c>
      <c r="AL1235" s="483" t="s">
        <v>2968</v>
      </c>
      <c r="AM1235" s="474" t="s">
        <v>52</v>
      </c>
      <c r="AN1235" s="474" t="s">
        <v>1074</v>
      </c>
      <c r="AO1235" s="474"/>
      <c r="AP1235" s="482"/>
      <c r="AQ1235" s="482" t="s">
        <v>37</v>
      </c>
      <c r="AR1235" s="439" t="s">
        <v>1248</v>
      </c>
      <c r="AS1235" s="436" t="s">
        <v>1076</v>
      </c>
      <c r="AT1235" s="436" t="s">
        <v>1076</v>
      </c>
      <c r="AU1235" s="478">
        <v>0.47499999999999998</v>
      </c>
      <c r="AV1235" s="471">
        <f t="shared" si="249"/>
        <v>49403140</v>
      </c>
      <c r="AW1235" s="471" cm="1">
        <f t="array" ref="AW1235">SUM(MID(0&amp;AV1235,LARGE(INDEX(ISNUMBER(--MID(AV1235,ROW($1:$8),1))*ROW($1:$8),),ROW($1:$8))+1,1)*10^ROW($1:$8)/10)</f>
        <v>49403140</v>
      </c>
      <c r="AX1235" s="471" t="str">
        <f>VLOOKUP($AW1235,'Item Master Data'!$A:$F,3,FALSE)</f>
        <v>Q.PEAK DUO BLK ML G10+</v>
      </c>
      <c r="AY1235" s="471">
        <f>VLOOKUP($AW1235,'Item Master Data'!$A:$F,6,FALSE)</f>
        <v>400</v>
      </c>
      <c r="AZ1235" s="471">
        <f t="shared" si="250"/>
        <v>26</v>
      </c>
      <c r="BA1235" s="471">
        <f>VLOOKUP(AW1235,'Item Master Data'!$A:$G,7,FALSE)</f>
        <v>32</v>
      </c>
      <c r="BC1235" s="471">
        <f t="shared" si="251"/>
        <v>0</v>
      </c>
    </row>
    <row r="1236" spans="1:55" s="471" customFormat="1">
      <c r="A1236" s="472"/>
      <c r="B1236" s="467">
        <v>44531</v>
      </c>
      <c r="C1236" s="467">
        <v>44543</v>
      </c>
      <c r="D1236" s="474" t="s">
        <v>2901</v>
      </c>
      <c r="E1236" s="445" t="s">
        <v>3007</v>
      </c>
      <c r="F1236" s="474" t="s">
        <v>1147</v>
      </c>
      <c r="G1236" s="474">
        <v>2022</v>
      </c>
      <c r="H1236" s="474">
        <v>7</v>
      </c>
      <c r="I1236" s="474"/>
      <c r="J1236" s="556"/>
      <c r="K1236" s="483" t="s">
        <v>3018</v>
      </c>
      <c r="L1236" s="474" t="s">
        <v>2966</v>
      </c>
      <c r="M1236" s="475">
        <v>44529</v>
      </c>
      <c r="N1236" s="475">
        <v>44718</v>
      </c>
      <c r="O1236" s="475"/>
      <c r="P1236" s="475"/>
      <c r="Q1236" s="475"/>
      <c r="R1236" s="475"/>
      <c r="S1236" s="474" t="s">
        <v>2904</v>
      </c>
      <c r="T1236" s="474">
        <v>60</v>
      </c>
      <c r="U1236" s="474">
        <v>49403140</v>
      </c>
      <c r="V1236" s="474" t="s">
        <v>973</v>
      </c>
      <c r="W1236" s="474">
        <v>400</v>
      </c>
      <c r="X1236" s="476">
        <v>1664</v>
      </c>
      <c r="Y1236" s="491">
        <f t="shared" si="247"/>
        <v>665600</v>
      </c>
      <c r="Z1236" s="478">
        <v>0.55000000000000004</v>
      </c>
      <c r="AA1236" s="492">
        <f t="shared" si="243"/>
        <v>366080.00000000006</v>
      </c>
      <c r="AB1236" s="492"/>
      <c r="AC1236" s="446">
        <v>0</v>
      </c>
      <c r="AD1236" s="490"/>
      <c r="AE1236" s="482"/>
      <c r="AF1236" s="580">
        <f t="shared" si="248"/>
        <v>366080.00000000006</v>
      </c>
      <c r="AG1236" s="474" t="s">
        <v>1071</v>
      </c>
      <c r="AH1236" s="474"/>
      <c r="AI1236" s="474">
        <v>60</v>
      </c>
      <c r="AJ1236" s="475" t="s">
        <v>2967</v>
      </c>
      <c r="AK1236" s="483" t="s">
        <v>1158</v>
      </c>
      <c r="AL1236" s="483" t="s">
        <v>2968</v>
      </c>
      <c r="AM1236" s="474" t="s">
        <v>52</v>
      </c>
      <c r="AN1236" s="474" t="s">
        <v>1074</v>
      </c>
      <c r="AO1236" s="474"/>
      <c r="AP1236" s="482"/>
      <c r="AQ1236" s="482" t="s">
        <v>37</v>
      </c>
      <c r="AR1236" s="439" t="s">
        <v>1288</v>
      </c>
      <c r="AS1236" s="436" t="s">
        <v>1076</v>
      </c>
      <c r="AT1236" s="436" t="s">
        <v>1076</v>
      </c>
      <c r="AU1236" s="478">
        <v>0.49</v>
      </c>
      <c r="AV1236" s="471">
        <f t="shared" si="249"/>
        <v>49403140</v>
      </c>
      <c r="AW1236" s="471" cm="1">
        <f t="array" ref="AW1236">SUM(MID(0&amp;AV1236,LARGE(INDEX(ISNUMBER(--MID(AV1236,ROW($1:$8),1))*ROW($1:$8),),ROW($1:$8))+1,1)*10^ROW($1:$8)/10)</f>
        <v>49403140</v>
      </c>
      <c r="AX1236" s="471" t="str">
        <f>VLOOKUP($AW1236,'Item Master Data'!$A:$F,3,FALSE)</f>
        <v>Q.PEAK DUO BLK ML G10+</v>
      </c>
      <c r="AY1236" s="471">
        <f>VLOOKUP($AW1236,'Item Master Data'!$A:$F,6,FALSE)</f>
        <v>400</v>
      </c>
      <c r="AZ1236" s="471">
        <f t="shared" si="250"/>
        <v>52</v>
      </c>
      <c r="BA1236" s="471">
        <f>VLOOKUP(AW1236,'Item Master Data'!$A:$G,7,FALSE)</f>
        <v>32</v>
      </c>
      <c r="BC1236" s="471">
        <f t="shared" si="251"/>
        <v>0</v>
      </c>
    </row>
    <row r="1237" spans="1:55" s="471" customFormat="1">
      <c r="A1237" s="472"/>
      <c r="B1237" s="449">
        <v>44607</v>
      </c>
      <c r="C1237" s="449">
        <v>44631</v>
      </c>
      <c r="D1237" s="474" t="s">
        <v>2901</v>
      </c>
      <c r="E1237" s="474" t="s">
        <v>2984</v>
      </c>
      <c r="F1237" s="474" t="s">
        <v>1147</v>
      </c>
      <c r="G1237" s="474">
        <v>2022</v>
      </c>
      <c r="H1237" s="474">
        <v>7</v>
      </c>
      <c r="I1237" s="474"/>
      <c r="J1237" s="475"/>
      <c r="K1237" s="474" t="s">
        <v>3174</v>
      </c>
      <c r="L1237" s="474" t="s">
        <v>3159</v>
      </c>
      <c r="M1237" s="475">
        <v>44607</v>
      </c>
      <c r="N1237" s="475">
        <v>44713</v>
      </c>
      <c r="O1237" s="475" t="s">
        <v>2365</v>
      </c>
      <c r="P1237" s="475"/>
      <c r="Q1237" s="475"/>
      <c r="R1237" s="475"/>
      <c r="S1237" s="474" t="s">
        <v>2904</v>
      </c>
      <c r="T1237" s="474">
        <v>60</v>
      </c>
      <c r="U1237" s="474" t="s">
        <v>1760</v>
      </c>
      <c r="V1237" s="474" t="s">
        <v>973</v>
      </c>
      <c r="W1237" s="474">
        <v>400</v>
      </c>
      <c r="X1237" s="432">
        <v>15808</v>
      </c>
      <c r="Y1237" s="491">
        <f t="shared" si="247"/>
        <v>6323200</v>
      </c>
      <c r="Z1237" s="478">
        <v>0.5</v>
      </c>
      <c r="AA1237" s="492">
        <f t="shared" si="243"/>
        <v>3161600</v>
      </c>
      <c r="AB1237" s="492"/>
      <c r="AC1237" s="446">
        <v>0</v>
      </c>
      <c r="AD1237" s="490"/>
      <c r="AE1237" s="437"/>
      <c r="AF1237" s="580">
        <f t="shared" si="248"/>
        <v>3161600</v>
      </c>
      <c r="AG1237" s="474" t="s">
        <v>47</v>
      </c>
      <c r="AH1237" s="438"/>
      <c r="AI1237" s="474">
        <v>30</v>
      </c>
      <c r="AJ1237" s="484" t="s">
        <v>1083</v>
      </c>
      <c r="AK1237" s="474" t="s">
        <v>1084</v>
      </c>
      <c r="AL1237" s="483" t="s">
        <v>2934</v>
      </c>
      <c r="AM1237" s="474" t="s">
        <v>52</v>
      </c>
      <c r="AN1237" s="474" t="s">
        <v>1074</v>
      </c>
      <c r="AO1237" s="474"/>
      <c r="AP1237" s="486"/>
      <c r="AQ1237" s="439" t="s">
        <v>37</v>
      </c>
      <c r="AR1237" s="439" t="s">
        <v>2953</v>
      </c>
      <c r="AS1237" s="473" t="s">
        <v>1087</v>
      </c>
      <c r="AT1237" s="473" t="s">
        <v>1076</v>
      </c>
      <c r="AU1237" s="478">
        <v>0.5</v>
      </c>
      <c r="AV1237" s="471" t="str">
        <f t="shared" si="249"/>
        <v>30390156H</v>
      </c>
      <c r="AW1237" s="471" cm="1">
        <f t="array" ref="AW1237">SUM(MID(0&amp;AV1237,LARGE(INDEX(ISNUMBER(--MID(AV1237,ROW($1:$8),1))*ROW($1:$8),),ROW($1:$8))+1,1)*10^ROW($1:$8)/10)</f>
        <v>30390156</v>
      </c>
      <c r="AX1237" s="471" t="str">
        <f>VLOOKUP($AW1237,'Item Master Data'!$A:$F,3,FALSE)</f>
        <v>Q.PEAK DUO BLK ML G10+</v>
      </c>
      <c r="AY1237" s="471">
        <f>VLOOKUP($AW1237,'Item Master Data'!$A:$F,6,FALSE)</f>
        <v>400</v>
      </c>
      <c r="AZ1237" s="471">
        <f t="shared" si="250"/>
        <v>494</v>
      </c>
      <c r="BA1237" s="471">
        <f>VLOOKUP(AW1237,'Item Master Data'!$A:$G,7,FALSE)</f>
        <v>32</v>
      </c>
      <c r="BC1237" s="471">
        <f t="shared" si="251"/>
        <v>0</v>
      </c>
    </row>
    <row r="1238" spans="1:55" s="471" customFormat="1">
      <c r="A1238" s="472"/>
      <c r="B1238" s="449">
        <v>44665</v>
      </c>
      <c r="C1238" s="449">
        <v>44666</v>
      </c>
      <c r="D1238" s="474" t="s">
        <v>2901</v>
      </c>
      <c r="E1238" s="445" t="s">
        <v>2984</v>
      </c>
      <c r="F1238" s="469" t="s">
        <v>1147</v>
      </c>
      <c r="G1238" s="474">
        <v>2022</v>
      </c>
      <c r="H1238" s="474">
        <v>8</v>
      </c>
      <c r="I1238" s="474"/>
      <c r="J1238" s="556"/>
      <c r="K1238" s="474" t="s">
        <v>4698</v>
      </c>
      <c r="L1238" s="474" t="s">
        <v>2947</v>
      </c>
      <c r="M1238" s="475">
        <v>44550</v>
      </c>
      <c r="N1238" s="475">
        <v>44713</v>
      </c>
      <c r="O1238" s="475"/>
      <c r="P1238" s="475"/>
      <c r="Q1238" s="475"/>
      <c r="R1238" s="475"/>
      <c r="S1238" s="474" t="s">
        <v>2904</v>
      </c>
      <c r="T1238" s="474">
        <v>60</v>
      </c>
      <c r="U1238" s="474">
        <v>49204132</v>
      </c>
      <c r="V1238" s="474" t="s">
        <v>1223</v>
      </c>
      <c r="W1238" s="474">
        <v>360</v>
      </c>
      <c r="X1238" s="476">
        <v>2496</v>
      </c>
      <c r="Y1238" s="477">
        <f>W1238*X1238</f>
        <v>898560</v>
      </c>
      <c r="Z1238" s="478">
        <v>0.8</v>
      </c>
      <c r="AA1238" s="479">
        <f t="shared" si="243"/>
        <v>718848</v>
      </c>
      <c r="AB1238" s="479"/>
      <c r="AC1238" s="446">
        <v>0</v>
      </c>
      <c r="AD1238" s="490"/>
      <c r="AE1238" s="482"/>
      <c r="AF1238" s="580">
        <f t="shared" si="248"/>
        <v>718848</v>
      </c>
      <c r="AG1238" s="474" t="s">
        <v>1071</v>
      </c>
      <c r="AH1238" s="474"/>
      <c r="AI1238" s="474">
        <v>60</v>
      </c>
      <c r="AJ1238" s="484" t="s">
        <v>2277</v>
      </c>
      <c r="AK1238" s="474" t="s">
        <v>1084</v>
      </c>
      <c r="AL1238" s="483" t="s">
        <v>2948</v>
      </c>
      <c r="AM1238" s="474" t="s">
        <v>52</v>
      </c>
      <c r="AN1238" s="474" t="s">
        <v>1074</v>
      </c>
      <c r="AO1238" s="474"/>
      <c r="AP1238" s="482"/>
      <c r="AQ1238" s="482" t="s">
        <v>37</v>
      </c>
      <c r="AR1238" s="482" t="s">
        <v>2953</v>
      </c>
      <c r="AS1238" s="436" t="s">
        <v>1087</v>
      </c>
      <c r="AT1238" s="436" t="s">
        <v>1076</v>
      </c>
      <c r="AU1238" s="468">
        <v>0.73</v>
      </c>
      <c r="AV1238" s="471">
        <f t="shared" si="249"/>
        <v>49204132</v>
      </c>
      <c r="AW1238" s="471" cm="1">
        <f t="array" ref="AW1238">SUM(MID(0&amp;AV1238,LARGE(INDEX(ISNUMBER(--MID(AV1238,ROW($1:$8),1))*ROW($1:$8),),ROW($1:$8))+1,1)*10^ROW($1:$8)/10)</f>
        <v>49204132</v>
      </c>
      <c r="AX1238" s="471" t="str">
        <f>VLOOKUP($AW1238,'Item Master Data'!$A:$F,3,FALSE)</f>
        <v>Q.PEAK DUO BLK G10+/AC</v>
      </c>
      <c r="AY1238" s="471">
        <f>VLOOKUP($AW1238,'Item Master Data'!$A:$F,6,FALSE)</f>
        <v>360</v>
      </c>
      <c r="AZ1238" s="471">
        <f t="shared" si="250"/>
        <v>96</v>
      </c>
      <c r="BA1238" s="471">
        <f>VLOOKUP(AW1238,'Item Master Data'!$A:$G,7,FALSE)</f>
        <v>26</v>
      </c>
      <c r="BC1238" s="471">
        <f t="shared" si="251"/>
        <v>0</v>
      </c>
    </row>
    <row r="1239" spans="1:55" s="471" customFormat="1">
      <c r="A1239" s="472"/>
      <c r="B1239" s="449">
        <v>44649</v>
      </c>
      <c r="C1239" s="449">
        <v>44649</v>
      </c>
      <c r="D1239" s="474" t="s">
        <v>2901</v>
      </c>
      <c r="E1239" s="445" t="s">
        <v>2984</v>
      </c>
      <c r="F1239" s="469" t="s">
        <v>1147</v>
      </c>
      <c r="G1239" s="474">
        <v>2022</v>
      </c>
      <c r="H1239" s="474">
        <v>8</v>
      </c>
      <c r="I1239" s="474"/>
      <c r="J1239" s="475"/>
      <c r="K1239" s="474" t="s">
        <v>2990</v>
      </c>
      <c r="L1239" s="474" t="s">
        <v>2947</v>
      </c>
      <c r="M1239" s="475">
        <v>44637</v>
      </c>
      <c r="N1239" s="475">
        <v>44774</v>
      </c>
      <c r="O1239" s="475"/>
      <c r="P1239" s="475"/>
      <c r="Q1239" s="475"/>
      <c r="R1239" s="475"/>
      <c r="S1239" s="474" t="s">
        <v>2904</v>
      </c>
      <c r="T1239" s="474">
        <v>60</v>
      </c>
      <c r="U1239" s="474">
        <v>49405140</v>
      </c>
      <c r="V1239" s="474" t="s">
        <v>973</v>
      </c>
      <c r="W1239" s="474">
        <v>400</v>
      </c>
      <c r="X1239" s="432">
        <v>3328</v>
      </c>
      <c r="Y1239" s="491">
        <f>W1239*X1239</f>
        <v>1331200</v>
      </c>
      <c r="Z1239" s="478">
        <v>0.55000000000000004</v>
      </c>
      <c r="AA1239" s="492">
        <f t="shared" si="243"/>
        <v>732160.00000000012</v>
      </c>
      <c r="AB1239" s="492"/>
      <c r="AC1239" s="446">
        <v>0</v>
      </c>
      <c r="AD1239" s="490"/>
      <c r="AE1239" s="437"/>
      <c r="AF1239" s="580">
        <f t="shared" si="248"/>
        <v>732160.00000000012</v>
      </c>
      <c r="AG1239" s="474" t="s">
        <v>1071</v>
      </c>
      <c r="AH1239" s="438"/>
      <c r="AI1239" s="474">
        <v>60</v>
      </c>
      <c r="AJ1239" s="484" t="s">
        <v>2277</v>
      </c>
      <c r="AK1239" s="474" t="s">
        <v>1084</v>
      </c>
      <c r="AL1239" s="483" t="s">
        <v>2948</v>
      </c>
      <c r="AM1239" s="474" t="s">
        <v>52</v>
      </c>
      <c r="AN1239" s="474" t="s">
        <v>1074</v>
      </c>
      <c r="AO1239" s="474"/>
      <c r="AP1239" s="486"/>
      <c r="AQ1239" s="439" t="s">
        <v>37</v>
      </c>
      <c r="AR1239" s="439" t="s">
        <v>2953</v>
      </c>
      <c r="AS1239" s="473" t="s">
        <v>1087</v>
      </c>
      <c r="AT1239" s="473" t="s">
        <v>1076</v>
      </c>
      <c r="AU1239" s="478">
        <v>0.73</v>
      </c>
      <c r="AV1239" s="471">
        <f t="shared" si="249"/>
        <v>49405140</v>
      </c>
      <c r="AW1239" s="471" cm="1">
        <f t="array" ref="AW1239">SUM(MID(0&amp;AV1239,LARGE(INDEX(ISNUMBER(--MID(AV1239,ROW($1:$8),1))*ROW($1:$8),),ROW($1:$8))+1,1)*10^ROW($1:$8)/10)</f>
        <v>49405140</v>
      </c>
      <c r="AX1239" s="471" t="str">
        <f>VLOOKUP($AW1239,'Item Master Data'!$A:$F,3,FALSE)</f>
        <v>Q.PEAK DUO BLK ML G10+</v>
      </c>
      <c r="AY1239" s="471">
        <f>VLOOKUP($AW1239,'Item Master Data'!$A:$F,6,FALSE)</f>
        <v>400</v>
      </c>
      <c r="AZ1239" s="471">
        <f t="shared" si="250"/>
        <v>104</v>
      </c>
      <c r="BA1239" s="471">
        <f>VLOOKUP(AW1239,'Item Master Data'!$A:$G,7,FALSE)</f>
        <v>32</v>
      </c>
      <c r="BC1239" s="471">
        <f t="shared" si="251"/>
        <v>0</v>
      </c>
    </row>
    <row r="1240" spans="1:55" s="471" customFormat="1">
      <c r="A1240" s="472"/>
      <c r="B1240" s="449">
        <v>44657</v>
      </c>
      <c r="C1240" s="449">
        <v>44657</v>
      </c>
      <c r="D1240" s="474" t="s">
        <v>2901</v>
      </c>
      <c r="E1240" s="445" t="s">
        <v>2984</v>
      </c>
      <c r="F1240" s="469" t="s">
        <v>1147</v>
      </c>
      <c r="G1240" s="474">
        <v>2022</v>
      </c>
      <c r="H1240" s="474">
        <v>8</v>
      </c>
      <c r="I1240" s="474"/>
      <c r="J1240" s="475"/>
      <c r="K1240" s="474" t="s">
        <v>2992</v>
      </c>
      <c r="L1240" s="474" t="s">
        <v>2947</v>
      </c>
      <c r="M1240" s="475">
        <v>44655</v>
      </c>
      <c r="N1240" s="475">
        <v>44774</v>
      </c>
      <c r="O1240" s="475"/>
      <c r="P1240" s="475"/>
      <c r="Q1240" s="475"/>
      <c r="R1240" s="475"/>
      <c r="S1240" s="474" t="s">
        <v>2904</v>
      </c>
      <c r="T1240" s="474">
        <v>60</v>
      </c>
      <c r="U1240" s="474">
        <v>49203132</v>
      </c>
      <c r="V1240" s="474" t="s">
        <v>986</v>
      </c>
      <c r="W1240" s="474">
        <v>360</v>
      </c>
      <c r="X1240" s="432">
        <v>4992</v>
      </c>
      <c r="Y1240" s="491">
        <f>X1240*W1240</f>
        <v>1797120</v>
      </c>
      <c r="Z1240" s="478">
        <v>0.53</v>
      </c>
      <c r="AA1240" s="492">
        <f t="shared" si="243"/>
        <v>952473.60000000009</v>
      </c>
      <c r="AB1240" s="492"/>
      <c r="AC1240" s="446">
        <v>0</v>
      </c>
      <c r="AD1240" s="490"/>
      <c r="AE1240" s="437"/>
      <c r="AF1240" s="580">
        <v>952473.60000000009</v>
      </c>
      <c r="AG1240" s="474" t="s">
        <v>1071</v>
      </c>
      <c r="AH1240" s="438"/>
      <c r="AI1240" s="474">
        <v>60</v>
      </c>
      <c r="AJ1240" s="484" t="s">
        <v>2277</v>
      </c>
      <c r="AK1240" s="474" t="s">
        <v>1084</v>
      </c>
      <c r="AL1240" s="483" t="s">
        <v>2948</v>
      </c>
      <c r="AM1240" s="474" t="s">
        <v>52</v>
      </c>
      <c r="AN1240" s="474" t="s">
        <v>1074</v>
      </c>
      <c r="AO1240" s="474"/>
      <c r="AP1240" s="486"/>
      <c r="AQ1240" s="439" t="s">
        <v>37</v>
      </c>
      <c r="AR1240" s="439" t="s">
        <v>2953</v>
      </c>
      <c r="AS1240" s="473" t="s">
        <v>1087</v>
      </c>
      <c r="AT1240" s="473" t="s">
        <v>1076</v>
      </c>
      <c r="AU1240" s="478">
        <v>0.73</v>
      </c>
      <c r="AV1240" s="471">
        <f t="shared" si="249"/>
        <v>49203132</v>
      </c>
      <c r="AW1240" s="471" cm="1">
        <f t="array" ref="AW1240">SUM(MID(0&amp;AV1240,LARGE(INDEX(ISNUMBER(--MID(AV1240,ROW($1:$8),1))*ROW($1:$8),),ROW($1:$8))+1,1)*10^ROW($1:$8)/10)</f>
        <v>49203132</v>
      </c>
      <c r="AX1240" s="471" t="str">
        <f>VLOOKUP($AW1240,'Item Master Data'!$A:$F,3,FALSE)</f>
        <v>Q.PEAK DUO BLK G10+</v>
      </c>
      <c r="AY1240" s="471">
        <f>VLOOKUP($AW1240,'Item Master Data'!$A:$F,6,FALSE)</f>
        <v>360</v>
      </c>
      <c r="AZ1240" s="471">
        <f t="shared" si="250"/>
        <v>156</v>
      </c>
      <c r="BA1240" s="471">
        <f>VLOOKUP(AW1240,'Item Master Data'!$A:$G,7,FALSE)</f>
        <v>32</v>
      </c>
      <c r="BC1240" s="471">
        <f t="shared" si="251"/>
        <v>0</v>
      </c>
    </row>
    <row r="1241" spans="1:55" s="471" customFormat="1">
      <c r="A1241" s="472"/>
      <c r="B1241" s="449">
        <v>44657</v>
      </c>
      <c r="C1241" s="449">
        <v>44657</v>
      </c>
      <c r="D1241" s="474" t="s">
        <v>2901</v>
      </c>
      <c r="E1241" s="445" t="s">
        <v>2984</v>
      </c>
      <c r="F1241" s="469" t="s">
        <v>1147</v>
      </c>
      <c r="G1241" s="474">
        <v>2022</v>
      </c>
      <c r="H1241" s="474">
        <v>8</v>
      </c>
      <c r="I1241" s="474"/>
      <c r="J1241" s="475"/>
      <c r="K1241" s="474" t="s">
        <v>2991</v>
      </c>
      <c r="L1241" s="474" t="s">
        <v>2947</v>
      </c>
      <c r="M1241" s="475">
        <v>44655</v>
      </c>
      <c r="N1241" s="475">
        <v>44774</v>
      </c>
      <c r="O1241" s="475"/>
      <c r="P1241" s="475"/>
      <c r="Q1241" s="475"/>
      <c r="R1241" s="475"/>
      <c r="S1241" s="474" t="s">
        <v>2904</v>
      </c>
      <c r="T1241" s="474">
        <v>60</v>
      </c>
      <c r="U1241" s="474">
        <v>49405140</v>
      </c>
      <c r="V1241" s="474" t="s">
        <v>973</v>
      </c>
      <c r="W1241" s="474">
        <v>400</v>
      </c>
      <c r="X1241" s="432">
        <v>4992</v>
      </c>
      <c r="Y1241" s="491">
        <f>X1241*W1241</f>
        <v>1996800</v>
      </c>
      <c r="Z1241" s="478">
        <v>0.55000000000000004</v>
      </c>
      <c r="AA1241" s="492">
        <f t="shared" si="243"/>
        <v>1098240</v>
      </c>
      <c r="AB1241" s="492"/>
      <c r="AC1241" s="446">
        <v>0</v>
      </c>
      <c r="AD1241" s="490"/>
      <c r="AE1241" s="437"/>
      <c r="AF1241" s="580">
        <v>1098240</v>
      </c>
      <c r="AG1241" s="474" t="s">
        <v>1071</v>
      </c>
      <c r="AH1241" s="438"/>
      <c r="AI1241" s="474">
        <v>60</v>
      </c>
      <c r="AJ1241" s="484" t="s">
        <v>2277</v>
      </c>
      <c r="AK1241" s="474" t="s">
        <v>1084</v>
      </c>
      <c r="AL1241" s="483" t="s">
        <v>2948</v>
      </c>
      <c r="AM1241" s="474" t="s">
        <v>52</v>
      </c>
      <c r="AN1241" s="474" t="s">
        <v>1074</v>
      </c>
      <c r="AO1241" s="474"/>
      <c r="AP1241" s="486"/>
      <c r="AQ1241" s="439" t="s">
        <v>37</v>
      </c>
      <c r="AR1241" s="439" t="s">
        <v>2953</v>
      </c>
      <c r="AS1241" s="473" t="s">
        <v>1087</v>
      </c>
      <c r="AT1241" s="473" t="s">
        <v>1076</v>
      </c>
      <c r="AU1241" s="478">
        <v>0.73</v>
      </c>
      <c r="AV1241" s="471">
        <f t="shared" si="249"/>
        <v>49405140</v>
      </c>
      <c r="AW1241" s="471" cm="1">
        <f t="array" ref="AW1241">SUM(MID(0&amp;AV1241,LARGE(INDEX(ISNUMBER(--MID(AV1241,ROW($1:$8),1))*ROW($1:$8),),ROW($1:$8))+1,1)*10^ROW($1:$8)/10)</f>
        <v>49405140</v>
      </c>
      <c r="AX1241" s="471" t="str">
        <f>VLOOKUP($AW1241,'Item Master Data'!$A:$F,3,FALSE)</f>
        <v>Q.PEAK DUO BLK ML G10+</v>
      </c>
      <c r="AY1241" s="471">
        <f>VLOOKUP($AW1241,'Item Master Data'!$A:$F,6,FALSE)</f>
        <v>400</v>
      </c>
      <c r="AZ1241" s="471">
        <f t="shared" si="250"/>
        <v>156</v>
      </c>
      <c r="BA1241" s="471">
        <f>VLOOKUP(AW1241,'Item Master Data'!$A:$G,7,FALSE)</f>
        <v>32</v>
      </c>
      <c r="BC1241" s="471">
        <f t="shared" si="251"/>
        <v>0</v>
      </c>
    </row>
    <row r="1242" spans="1:55" s="471" customFormat="1">
      <c r="A1242" s="472"/>
      <c r="B1242" s="449">
        <v>44607</v>
      </c>
      <c r="C1242" s="449">
        <v>44631</v>
      </c>
      <c r="D1242" s="474" t="s">
        <v>2901</v>
      </c>
      <c r="E1242" s="474" t="s">
        <v>2984</v>
      </c>
      <c r="F1242" s="474" t="s">
        <v>1147</v>
      </c>
      <c r="G1242" s="474">
        <v>2022</v>
      </c>
      <c r="H1242" s="474">
        <v>8</v>
      </c>
      <c r="I1242" s="474"/>
      <c r="J1242" s="475"/>
      <c r="K1242" s="474" t="s">
        <v>3175</v>
      </c>
      <c r="L1242" s="474" t="s">
        <v>3159</v>
      </c>
      <c r="M1242" s="475">
        <v>44607</v>
      </c>
      <c r="N1242" s="475">
        <v>44743</v>
      </c>
      <c r="O1242" s="475" t="s">
        <v>2365</v>
      </c>
      <c r="P1242" s="475"/>
      <c r="Q1242" s="475"/>
      <c r="R1242" s="475"/>
      <c r="S1242" s="474" t="s">
        <v>2904</v>
      </c>
      <c r="T1242" s="474">
        <v>60</v>
      </c>
      <c r="U1242" s="474" t="s">
        <v>1760</v>
      </c>
      <c r="V1242" s="474" t="s">
        <v>973</v>
      </c>
      <c r="W1242" s="474">
        <v>400</v>
      </c>
      <c r="X1242" s="432">
        <v>16640</v>
      </c>
      <c r="Y1242" s="491">
        <f>X1242*W1242</f>
        <v>6656000</v>
      </c>
      <c r="Z1242" s="478">
        <v>0.5</v>
      </c>
      <c r="AA1242" s="492">
        <f t="shared" si="243"/>
        <v>3328000</v>
      </c>
      <c r="AB1242" s="492"/>
      <c r="AC1242" s="446">
        <v>0</v>
      </c>
      <c r="AD1242" s="490"/>
      <c r="AE1242" s="437"/>
      <c r="AF1242" s="580">
        <f>AA1242+AE1242</f>
        <v>3328000</v>
      </c>
      <c r="AG1242" s="474" t="s">
        <v>47</v>
      </c>
      <c r="AH1242" s="438"/>
      <c r="AI1242" s="474">
        <v>30</v>
      </c>
      <c r="AJ1242" s="484" t="s">
        <v>1083</v>
      </c>
      <c r="AK1242" s="474" t="s">
        <v>1084</v>
      </c>
      <c r="AL1242" s="483" t="s">
        <v>2934</v>
      </c>
      <c r="AM1242" s="474" t="s">
        <v>52</v>
      </c>
      <c r="AN1242" s="474" t="s">
        <v>1074</v>
      </c>
      <c r="AO1242" s="474"/>
      <c r="AP1242" s="486"/>
      <c r="AQ1242" s="439" t="s">
        <v>37</v>
      </c>
      <c r="AR1242" s="439" t="s">
        <v>2953</v>
      </c>
      <c r="AS1242" s="473" t="s">
        <v>1087</v>
      </c>
      <c r="AT1242" s="473" t="s">
        <v>1076</v>
      </c>
      <c r="AU1242" s="478">
        <v>0.5</v>
      </c>
      <c r="AV1242" s="471" t="str">
        <f t="shared" si="249"/>
        <v>30390156H</v>
      </c>
      <c r="AW1242" s="471" cm="1">
        <f t="array" ref="AW1242">SUM(MID(0&amp;AV1242,LARGE(INDEX(ISNUMBER(--MID(AV1242,ROW($1:$8),1))*ROW($1:$8),),ROW($1:$8))+1,1)*10^ROW($1:$8)/10)</f>
        <v>30390156</v>
      </c>
      <c r="AX1242" s="471" t="str">
        <f>VLOOKUP($AW1242,'Item Master Data'!$A:$F,3,FALSE)</f>
        <v>Q.PEAK DUO BLK ML G10+</v>
      </c>
      <c r="AY1242" s="471">
        <f>VLOOKUP($AW1242,'Item Master Data'!$A:$F,6,FALSE)</f>
        <v>400</v>
      </c>
      <c r="AZ1242" s="471">
        <f t="shared" si="250"/>
        <v>520</v>
      </c>
      <c r="BA1242" s="471">
        <f>VLOOKUP(AW1242,'Item Master Data'!$A:$G,7,FALSE)</f>
        <v>32</v>
      </c>
      <c r="BC1242" s="471">
        <f t="shared" si="251"/>
        <v>0</v>
      </c>
    </row>
    <row r="1243" spans="1:55" s="471" customFormat="1">
      <c r="A1243" s="472"/>
      <c r="B1243" s="449">
        <v>44665</v>
      </c>
      <c r="C1243" s="449">
        <v>44666</v>
      </c>
      <c r="D1243" s="474" t="s">
        <v>2901</v>
      </c>
      <c r="E1243" s="445" t="s">
        <v>2984</v>
      </c>
      <c r="F1243" s="469" t="s">
        <v>1147</v>
      </c>
      <c r="G1243" s="474">
        <v>2022</v>
      </c>
      <c r="H1243" s="474">
        <v>9</v>
      </c>
      <c r="I1243" s="474"/>
      <c r="J1243" s="475"/>
      <c r="K1243" s="474" t="s">
        <v>5210</v>
      </c>
      <c r="L1243" s="474" t="s">
        <v>2947</v>
      </c>
      <c r="M1243" s="475">
        <v>44550</v>
      </c>
      <c r="N1243" s="475">
        <v>44577</v>
      </c>
      <c r="O1243" s="475"/>
      <c r="P1243" s="475"/>
      <c r="Q1243" s="475"/>
      <c r="R1243" s="475"/>
      <c r="S1243" s="474" t="s">
        <v>2904</v>
      </c>
      <c r="T1243" s="474">
        <v>60</v>
      </c>
      <c r="U1243" s="474">
        <v>49204132</v>
      </c>
      <c r="V1243" s="474" t="s">
        <v>1223</v>
      </c>
      <c r="W1243" s="474">
        <v>360</v>
      </c>
      <c r="X1243" s="432">
        <v>1664</v>
      </c>
      <c r="Y1243" s="491">
        <f>W1243*X1243</f>
        <v>599040</v>
      </c>
      <c r="Z1243" s="478">
        <v>0.8</v>
      </c>
      <c r="AA1243" s="492">
        <f t="shared" si="243"/>
        <v>479232</v>
      </c>
      <c r="AB1243" s="492"/>
      <c r="AC1243" s="446">
        <v>0</v>
      </c>
      <c r="AD1243" s="490"/>
      <c r="AE1243" s="437"/>
      <c r="AF1243" s="580">
        <f>AA1243+AE1243</f>
        <v>479232</v>
      </c>
      <c r="AG1243" s="474" t="s">
        <v>1071</v>
      </c>
      <c r="AH1243" s="438"/>
      <c r="AI1243" s="474">
        <v>60</v>
      </c>
      <c r="AJ1243" s="484" t="s">
        <v>2277</v>
      </c>
      <c r="AK1243" s="474" t="s">
        <v>1084</v>
      </c>
      <c r="AL1243" s="483" t="s">
        <v>2948</v>
      </c>
      <c r="AM1243" s="474" t="s">
        <v>52</v>
      </c>
      <c r="AN1243" s="474" t="s">
        <v>1074</v>
      </c>
      <c r="AO1243" s="474"/>
      <c r="AP1243" s="486"/>
      <c r="AQ1243" s="439" t="s">
        <v>37</v>
      </c>
      <c r="AR1243" s="439" t="s">
        <v>2953</v>
      </c>
      <c r="AS1243" s="473" t="s">
        <v>1087</v>
      </c>
      <c r="AT1243" s="473" t="s">
        <v>1076</v>
      </c>
      <c r="AU1243" s="478">
        <v>0.73</v>
      </c>
      <c r="AV1243" s="471">
        <f t="shared" si="249"/>
        <v>49204132</v>
      </c>
      <c r="AW1243" s="471" cm="1">
        <f t="array" ref="AW1243">SUM(MID(0&amp;AV1243,LARGE(INDEX(ISNUMBER(--MID(AV1243,ROW($1:$8),1))*ROW($1:$8),),ROW($1:$8))+1,1)*10^ROW($1:$8)/10)</f>
        <v>49204132</v>
      </c>
      <c r="AX1243" s="471" t="str">
        <f>VLOOKUP($AW1243,'Item Master Data'!$A:$F,3,FALSE)</f>
        <v>Q.PEAK DUO BLK G10+/AC</v>
      </c>
      <c r="AY1243" s="471">
        <f>VLOOKUP($AW1243,'Item Master Data'!$A:$F,6,FALSE)</f>
        <v>360</v>
      </c>
      <c r="AZ1243" s="471">
        <f t="shared" si="250"/>
        <v>64</v>
      </c>
      <c r="BA1243" s="471">
        <f>VLOOKUP(AW1243,'Item Master Data'!$A:$G,7,FALSE)</f>
        <v>26</v>
      </c>
      <c r="BC1243" s="471">
        <f t="shared" si="251"/>
        <v>0</v>
      </c>
    </row>
    <row r="1244" spans="1:55" s="471" customFormat="1">
      <c r="A1244" s="472"/>
      <c r="B1244" s="449">
        <v>44649</v>
      </c>
      <c r="C1244" s="449">
        <v>44649</v>
      </c>
      <c r="D1244" s="474" t="s">
        <v>2901</v>
      </c>
      <c r="E1244" s="445" t="s">
        <v>2984</v>
      </c>
      <c r="F1244" s="469" t="s">
        <v>1147</v>
      </c>
      <c r="G1244" s="474">
        <v>2022</v>
      </c>
      <c r="H1244" s="474">
        <v>9</v>
      </c>
      <c r="I1244" s="474"/>
      <c r="J1244" s="475"/>
      <c r="K1244" s="474" t="s">
        <v>2993</v>
      </c>
      <c r="L1244" s="474" t="s">
        <v>2947</v>
      </c>
      <c r="M1244" s="475">
        <v>44637</v>
      </c>
      <c r="N1244" s="475">
        <v>44805</v>
      </c>
      <c r="O1244" s="475"/>
      <c r="P1244" s="475"/>
      <c r="Q1244" s="475"/>
      <c r="R1244" s="475"/>
      <c r="S1244" s="474" t="s">
        <v>2904</v>
      </c>
      <c r="T1244" s="474">
        <v>60</v>
      </c>
      <c r="U1244" s="474">
        <v>49405140</v>
      </c>
      <c r="V1244" s="474" t="s">
        <v>973</v>
      </c>
      <c r="W1244" s="474">
        <v>400</v>
      </c>
      <c r="X1244" s="432">
        <v>3328</v>
      </c>
      <c r="Y1244" s="491">
        <f>W1244*X1244</f>
        <v>1331200</v>
      </c>
      <c r="Z1244" s="478">
        <v>0.55000000000000004</v>
      </c>
      <c r="AA1244" s="492">
        <f t="shared" si="243"/>
        <v>732160.00000000012</v>
      </c>
      <c r="AB1244" s="492"/>
      <c r="AC1244" s="446">
        <v>0</v>
      </c>
      <c r="AD1244" s="490"/>
      <c r="AE1244" s="437"/>
      <c r="AF1244" s="580">
        <f>AA1244+AE1244</f>
        <v>732160.00000000012</v>
      </c>
      <c r="AG1244" s="474" t="s">
        <v>1071</v>
      </c>
      <c r="AH1244" s="438"/>
      <c r="AI1244" s="474">
        <v>60</v>
      </c>
      <c r="AJ1244" s="484" t="s">
        <v>2277</v>
      </c>
      <c r="AK1244" s="474" t="s">
        <v>1084</v>
      </c>
      <c r="AL1244" s="483" t="s">
        <v>2948</v>
      </c>
      <c r="AM1244" s="474" t="s">
        <v>52</v>
      </c>
      <c r="AN1244" s="474" t="s">
        <v>1074</v>
      </c>
      <c r="AO1244" s="474"/>
      <c r="AP1244" s="486"/>
      <c r="AQ1244" s="439" t="s">
        <v>37</v>
      </c>
      <c r="AR1244" s="439" t="s">
        <v>2953</v>
      </c>
      <c r="AS1244" s="473" t="s">
        <v>1087</v>
      </c>
      <c r="AT1244" s="473" t="s">
        <v>1076</v>
      </c>
      <c r="AU1244" s="478">
        <v>0.73</v>
      </c>
      <c r="AV1244" s="471">
        <f t="shared" si="249"/>
        <v>49405140</v>
      </c>
      <c r="AW1244" s="471" cm="1">
        <f t="array" ref="AW1244">SUM(MID(0&amp;AV1244,LARGE(INDEX(ISNUMBER(--MID(AV1244,ROW($1:$8),1))*ROW($1:$8),),ROW($1:$8))+1,1)*10^ROW($1:$8)/10)</f>
        <v>49405140</v>
      </c>
      <c r="AX1244" s="471" t="str">
        <f>VLOOKUP($AW1244,'Item Master Data'!$A:$F,3,FALSE)</f>
        <v>Q.PEAK DUO BLK ML G10+</v>
      </c>
      <c r="AY1244" s="471">
        <f>VLOOKUP($AW1244,'Item Master Data'!$A:$F,6,FALSE)</f>
        <v>400</v>
      </c>
      <c r="AZ1244" s="471">
        <f t="shared" si="250"/>
        <v>104</v>
      </c>
      <c r="BA1244" s="471">
        <f>VLOOKUP(AW1244,'Item Master Data'!$A:$G,7,FALSE)</f>
        <v>32</v>
      </c>
      <c r="BC1244" s="471">
        <f t="shared" si="251"/>
        <v>0</v>
      </c>
    </row>
    <row r="1245" spans="1:55" s="471" customFormat="1">
      <c r="A1245" s="472"/>
      <c r="B1245" s="449">
        <v>44657</v>
      </c>
      <c r="C1245" s="449">
        <v>44657</v>
      </c>
      <c r="D1245" s="474" t="s">
        <v>2901</v>
      </c>
      <c r="E1245" s="445" t="s">
        <v>2984</v>
      </c>
      <c r="F1245" s="469" t="s">
        <v>1147</v>
      </c>
      <c r="G1245" s="474">
        <v>2022</v>
      </c>
      <c r="H1245" s="474">
        <v>9</v>
      </c>
      <c r="I1245" s="474"/>
      <c r="J1245" s="475"/>
      <c r="K1245" s="474" t="s">
        <v>2995</v>
      </c>
      <c r="L1245" s="474" t="s">
        <v>2947</v>
      </c>
      <c r="M1245" s="475">
        <v>44655</v>
      </c>
      <c r="N1245" s="475">
        <v>44805</v>
      </c>
      <c r="O1245" s="475"/>
      <c r="P1245" s="475"/>
      <c r="Q1245" s="475"/>
      <c r="R1245" s="475"/>
      <c r="S1245" s="474" t="s">
        <v>2904</v>
      </c>
      <c r="T1245" s="474">
        <v>60</v>
      </c>
      <c r="U1245" s="474">
        <v>49203132</v>
      </c>
      <c r="V1245" s="474" t="s">
        <v>986</v>
      </c>
      <c r="W1245" s="474">
        <v>360</v>
      </c>
      <c r="X1245" s="432">
        <v>4992</v>
      </c>
      <c r="Y1245" s="491">
        <f>X1245*W1245</f>
        <v>1797120</v>
      </c>
      <c r="Z1245" s="478">
        <v>0.53</v>
      </c>
      <c r="AA1245" s="492">
        <f t="shared" si="243"/>
        <v>952473.60000000009</v>
      </c>
      <c r="AB1245" s="492"/>
      <c r="AC1245" s="446">
        <v>0</v>
      </c>
      <c r="AD1245" s="490"/>
      <c r="AE1245" s="437"/>
      <c r="AF1245" s="580">
        <v>952473.60000000009</v>
      </c>
      <c r="AG1245" s="474" t="s">
        <v>1071</v>
      </c>
      <c r="AH1245" s="438"/>
      <c r="AI1245" s="474">
        <v>60</v>
      </c>
      <c r="AJ1245" s="484" t="s">
        <v>2277</v>
      </c>
      <c r="AK1245" s="474" t="s">
        <v>1084</v>
      </c>
      <c r="AL1245" s="483" t="s">
        <v>2948</v>
      </c>
      <c r="AM1245" s="474" t="s">
        <v>52</v>
      </c>
      <c r="AN1245" s="474" t="s">
        <v>1074</v>
      </c>
      <c r="AO1245" s="474"/>
      <c r="AP1245" s="486"/>
      <c r="AQ1245" s="439" t="s">
        <v>37</v>
      </c>
      <c r="AR1245" s="439" t="s">
        <v>2953</v>
      </c>
      <c r="AS1245" s="473" t="s">
        <v>1087</v>
      </c>
      <c r="AT1245" s="473" t="s">
        <v>1076</v>
      </c>
      <c r="AU1245" s="478">
        <v>0.73</v>
      </c>
      <c r="AV1245" s="471">
        <f t="shared" si="249"/>
        <v>49203132</v>
      </c>
      <c r="AW1245" s="471" cm="1">
        <f t="array" ref="AW1245">SUM(MID(0&amp;AV1245,LARGE(INDEX(ISNUMBER(--MID(AV1245,ROW($1:$8),1))*ROW($1:$8),),ROW($1:$8))+1,1)*10^ROW($1:$8)/10)</f>
        <v>49203132</v>
      </c>
      <c r="AX1245" s="471" t="str">
        <f>VLOOKUP($AW1245,'Item Master Data'!$A:$F,3,FALSE)</f>
        <v>Q.PEAK DUO BLK G10+</v>
      </c>
      <c r="AY1245" s="471">
        <f>VLOOKUP($AW1245,'Item Master Data'!$A:$F,6,FALSE)</f>
        <v>360</v>
      </c>
      <c r="AZ1245" s="471">
        <f t="shared" si="250"/>
        <v>156</v>
      </c>
      <c r="BA1245" s="471">
        <f>VLOOKUP(AW1245,'Item Master Data'!$A:$G,7,FALSE)</f>
        <v>32</v>
      </c>
      <c r="BC1245" s="471">
        <f t="shared" si="251"/>
        <v>0</v>
      </c>
    </row>
    <row r="1246" spans="1:55" s="471" customFormat="1">
      <c r="A1246" s="472"/>
      <c r="B1246" s="449">
        <v>44657</v>
      </c>
      <c r="C1246" s="449">
        <v>44657</v>
      </c>
      <c r="D1246" s="474" t="s">
        <v>2901</v>
      </c>
      <c r="E1246" s="445" t="s">
        <v>2984</v>
      </c>
      <c r="F1246" s="469" t="s">
        <v>1147</v>
      </c>
      <c r="G1246" s="474">
        <v>2022</v>
      </c>
      <c r="H1246" s="474">
        <v>9</v>
      </c>
      <c r="I1246" s="474"/>
      <c r="J1246" s="475"/>
      <c r="K1246" s="474" t="s">
        <v>2994</v>
      </c>
      <c r="L1246" s="474" t="s">
        <v>2947</v>
      </c>
      <c r="M1246" s="475">
        <v>44655</v>
      </c>
      <c r="N1246" s="475">
        <v>44805</v>
      </c>
      <c r="O1246" s="475"/>
      <c r="P1246" s="475"/>
      <c r="Q1246" s="475"/>
      <c r="R1246" s="475"/>
      <c r="S1246" s="474" t="s">
        <v>2904</v>
      </c>
      <c r="T1246" s="474">
        <v>60</v>
      </c>
      <c r="U1246" s="474">
        <v>49405140</v>
      </c>
      <c r="V1246" s="474" t="s">
        <v>973</v>
      </c>
      <c r="W1246" s="474">
        <v>400</v>
      </c>
      <c r="X1246" s="432">
        <v>4992</v>
      </c>
      <c r="Y1246" s="491">
        <f>X1246*W1246</f>
        <v>1996800</v>
      </c>
      <c r="Z1246" s="478">
        <v>0.55000000000000004</v>
      </c>
      <c r="AA1246" s="492">
        <f t="shared" si="243"/>
        <v>1098240</v>
      </c>
      <c r="AB1246" s="492"/>
      <c r="AC1246" s="446">
        <v>0</v>
      </c>
      <c r="AD1246" s="490"/>
      <c r="AE1246" s="437"/>
      <c r="AF1246" s="580">
        <v>1098240</v>
      </c>
      <c r="AG1246" s="474" t="s">
        <v>1071</v>
      </c>
      <c r="AH1246" s="438"/>
      <c r="AI1246" s="474">
        <v>60</v>
      </c>
      <c r="AJ1246" s="484" t="s">
        <v>2277</v>
      </c>
      <c r="AK1246" s="474" t="s">
        <v>1084</v>
      </c>
      <c r="AL1246" s="483" t="s">
        <v>2948</v>
      </c>
      <c r="AM1246" s="474" t="s">
        <v>52</v>
      </c>
      <c r="AN1246" s="474" t="s">
        <v>1074</v>
      </c>
      <c r="AO1246" s="474"/>
      <c r="AP1246" s="486"/>
      <c r="AQ1246" s="439" t="s">
        <v>37</v>
      </c>
      <c r="AR1246" s="439" t="s">
        <v>2953</v>
      </c>
      <c r="AS1246" s="473" t="s">
        <v>1087</v>
      </c>
      <c r="AT1246" s="473" t="s">
        <v>1076</v>
      </c>
      <c r="AU1246" s="478">
        <v>0.73</v>
      </c>
      <c r="AV1246" s="471">
        <f t="shared" si="249"/>
        <v>49405140</v>
      </c>
      <c r="AW1246" s="471" cm="1">
        <f t="array" ref="AW1246">SUM(MID(0&amp;AV1246,LARGE(INDEX(ISNUMBER(--MID(AV1246,ROW($1:$8),1))*ROW($1:$8),),ROW($1:$8))+1,1)*10^ROW($1:$8)/10)</f>
        <v>49405140</v>
      </c>
      <c r="AX1246" s="471" t="str">
        <f>VLOOKUP($AW1246,'Item Master Data'!$A:$F,3,FALSE)</f>
        <v>Q.PEAK DUO BLK ML G10+</v>
      </c>
      <c r="AY1246" s="471">
        <f>VLOOKUP($AW1246,'Item Master Data'!$A:$F,6,FALSE)</f>
        <v>400</v>
      </c>
      <c r="AZ1246" s="471">
        <f t="shared" si="250"/>
        <v>156</v>
      </c>
      <c r="BA1246" s="471">
        <f>VLOOKUP(AW1246,'Item Master Data'!$A:$G,7,FALSE)</f>
        <v>32</v>
      </c>
      <c r="BC1246" s="471">
        <f t="shared" si="251"/>
        <v>0</v>
      </c>
    </row>
    <row r="1247" spans="1:55" s="471" customFormat="1">
      <c r="A1247" s="472"/>
      <c r="B1247" s="449">
        <v>44607</v>
      </c>
      <c r="C1247" s="449">
        <v>44631</v>
      </c>
      <c r="D1247" s="474" t="s">
        <v>2901</v>
      </c>
      <c r="E1247" s="474" t="s">
        <v>2984</v>
      </c>
      <c r="F1247" s="474" t="s">
        <v>1147</v>
      </c>
      <c r="G1247" s="474">
        <v>2022</v>
      </c>
      <c r="H1247" s="474">
        <v>9</v>
      </c>
      <c r="I1247" s="474"/>
      <c r="J1247" s="475"/>
      <c r="K1247" s="474" t="s">
        <v>3176</v>
      </c>
      <c r="L1247" s="474" t="s">
        <v>3159</v>
      </c>
      <c r="M1247" s="475">
        <v>44607</v>
      </c>
      <c r="N1247" s="475">
        <v>44774</v>
      </c>
      <c r="O1247" s="475" t="s">
        <v>2365</v>
      </c>
      <c r="P1247" s="475"/>
      <c r="Q1247" s="475"/>
      <c r="R1247" s="475"/>
      <c r="S1247" s="474" t="s">
        <v>2904</v>
      </c>
      <c r="T1247" s="474">
        <v>60</v>
      </c>
      <c r="U1247" s="474" t="s">
        <v>1760</v>
      </c>
      <c r="V1247" s="474" t="s">
        <v>973</v>
      </c>
      <c r="W1247" s="474">
        <v>400</v>
      </c>
      <c r="X1247" s="432">
        <v>16640</v>
      </c>
      <c r="Y1247" s="491">
        <f>X1247*W1247</f>
        <v>6656000</v>
      </c>
      <c r="Z1247" s="478">
        <v>0.5</v>
      </c>
      <c r="AA1247" s="492">
        <f t="shared" si="243"/>
        <v>3328000</v>
      </c>
      <c r="AB1247" s="492"/>
      <c r="AC1247" s="446">
        <v>0</v>
      </c>
      <c r="AD1247" s="490"/>
      <c r="AE1247" s="437"/>
      <c r="AF1247" s="580">
        <f>AA1247+AE1247</f>
        <v>3328000</v>
      </c>
      <c r="AG1247" s="474" t="s">
        <v>47</v>
      </c>
      <c r="AH1247" s="438"/>
      <c r="AI1247" s="474">
        <v>30</v>
      </c>
      <c r="AJ1247" s="484" t="s">
        <v>1083</v>
      </c>
      <c r="AK1247" s="474" t="s">
        <v>1084</v>
      </c>
      <c r="AL1247" s="483" t="s">
        <v>2934</v>
      </c>
      <c r="AM1247" s="474" t="s">
        <v>52</v>
      </c>
      <c r="AN1247" s="474" t="s">
        <v>1074</v>
      </c>
      <c r="AO1247" s="474"/>
      <c r="AP1247" s="486"/>
      <c r="AQ1247" s="439" t="s">
        <v>37</v>
      </c>
      <c r="AR1247" s="439" t="s">
        <v>2953</v>
      </c>
      <c r="AS1247" s="473" t="s">
        <v>1087</v>
      </c>
      <c r="AT1247" s="473" t="s">
        <v>1076</v>
      </c>
      <c r="AU1247" s="478">
        <v>0.5</v>
      </c>
      <c r="AV1247" s="471" t="str">
        <f t="shared" si="249"/>
        <v>30390156H</v>
      </c>
      <c r="AW1247" s="471" cm="1">
        <f t="array" ref="AW1247">SUM(MID(0&amp;AV1247,LARGE(INDEX(ISNUMBER(--MID(AV1247,ROW($1:$8),1))*ROW($1:$8),),ROW($1:$8))+1,1)*10^ROW($1:$8)/10)</f>
        <v>30390156</v>
      </c>
      <c r="AX1247" s="471" t="str">
        <f>VLOOKUP($AW1247,'Item Master Data'!$A:$F,3,FALSE)</f>
        <v>Q.PEAK DUO BLK ML G10+</v>
      </c>
      <c r="AY1247" s="471">
        <f>VLOOKUP($AW1247,'Item Master Data'!$A:$F,6,FALSE)</f>
        <v>400</v>
      </c>
      <c r="AZ1247" s="471">
        <f t="shared" si="250"/>
        <v>520</v>
      </c>
      <c r="BA1247" s="471">
        <f>VLOOKUP(AW1247,'Item Master Data'!$A:$G,7,FALSE)</f>
        <v>32</v>
      </c>
      <c r="BC1247" s="471">
        <f t="shared" si="251"/>
        <v>0</v>
      </c>
    </row>
    <row r="1248" spans="1:55" s="471" customFormat="1">
      <c r="A1248" s="472"/>
      <c r="B1248" s="449">
        <v>44649</v>
      </c>
      <c r="C1248" s="449">
        <v>44649</v>
      </c>
      <c r="D1248" s="474" t="s">
        <v>2901</v>
      </c>
      <c r="E1248" s="445" t="s">
        <v>2984</v>
      </c>
      <c r="F1248" s="469" t="s">
        <v>1147</v>
      </c>
      <c r="G1248" s="474">
        <v>2022</v>
      </c>
      <c r="H1248" s="474">
        <v>10</v>
      </c>
      <c r="I1248" s="474"/>
      <c r="J1248" s="475"/>
      <c r="K1248" s="474" t="s">
        <v>2996</v>
      </c>
      <c r="L1248" s="474" t="s">
        <v>2947</v>
      </c>
      <c r="M1248" s="475">
        <v>44637</v>
      </c>
      <c r="N1248" s="475">
        <v>44835</v>
      </c>
      <c r="O1248" s="475"/>
      <c r="P1248" s="475"/>
      <c r="Q1248" s="475"/>
      <c r="R1248" s="475"/>
      <c r="S1248" s="474" t="s">
        <v>2904</v>
      </c>
      <c r="T1248" s="474">
        <v>60</v>
      </c>
      <c r="U1248" s="474">
        <v>49405140</v>
      </c>
      <c r="V1248" s="474" t="s">
        <v>973</v>
      </c>
      <c r="W1248" s="474">
        <v>400</v>
      </c>
      <c r="X1248" s="432">
        <v>3328</v>
      </c>
      <c r="Y1248" s="491">
        <f>W1248*X1248</f>
        <v>1331200</v>
      </c>
      <c r="Z1248" s="478">
        <v>0.55000000000000004</v>
      </c>
      <c r="AA1248" s="492">
        <f t="shared" si="243"/>
        <v>732160.00000000012</v>
      </c>
      <c r="AB1248" s="492"/>
      <c r="AC1248" s="446">
        <v>0</v>
      </c>
      <c r="AD1248" s="490"/>
      <c r="AE1248" s="437"/>
      <c r="AF1248" s="580">
        <f>AA1248+AE1248</f>
        <v>732160.00000000012</v>
      </c>
      <c r="AG1248" s="474" t="s">
        <v>1071</v>
      </c>
      <c r="AH1248" s="438"/>
      <c r="AI1248" s="474">
        <v>60</v>
      </c>
      <c r="AJ1248" s="484" t="s">
        <v>2277</v>
      </c>
      <c r="AK1248" s="474" t="s">
        <v>1084</v>
      </c>
      <c r="AL1248" s="483" t="s">
        <v>2948</v>
      </c>
      <c r="AM1248" s="474" t="s">
        <v>52</v>
      </c>
      <c r="AN1248" s="474" t="s">
        <v>1074</v>
      </c>
      <c r="AO1248" s="474"/>
      <c r="AP1248" s="486"/>
      <c r="AQ1248" s="439" t="s">
        <v>37</v>
      </c>
      <c r="AR1248" s="439" t="s">
        <v>2953</v>
      </c>
      <c r="AS1248" s="473" t="s">
        <v>1087</v>
      </c>
      <c r="AT1248" s="473" t="s">
        <v>1076</v>
      </c>
      <c r="AU1248" s="478">
        <v>0.73</v>
      </c>
      <c r="AV1248" s="471">
        <f t="shared" si="249"/>
        <v>49405140</v>
      </c>
      <c r="AW1248" s="471" cm="1">
        <f t="array" ref="AW1248">SUM(MID(0&amp;AV1248,LARGE(INDEX(ISNUMBER(--MID(AV1248,ROW($1:$8),1))*ROW($1:$8),),ROW($1:$8))+1,1)*10^ROW($1:$8)/10)</f>
        <v>49405140</v>
      </c>
      <c r="AX1248" s="471" t="str">
        <f>VLOOKUP($AW1248,'Item Master Data'!$A:$F,3,FALSE)</f>
        <v>Q.PEAK DUO BLK ML G10+</v>
      </c>
      <c r="AY1248" s="471">
        <f>VLOOKUP($AW1248,'Item Master Data'!$A:$F,6,FALSE)</f>
        <v>400</v>
      </c>
      <c r="AZ1248" s="471">
        <f t="shared" si="250"/>
        <v>104</v>
      </c>
      <c r="BA1248" s="471">
        <f>VLOOKUP(AW1248,'Item Master Data'!$A:$G,7,FALSE)</f>
        <v>32</v>
      </c>
      <c r="BC1248" s="471">
        <f t="shared" si="251"/>
        <v>0</v>
      </c>
    </row>
    <row r="1249" spans="1:55" s="471" customFormat="1">
      <c r="A1249" s="472"/>
      <c r="B1249" s="449">
        <v>44657</v>
      </c>
      <c r="C1249" s="449">
        <v>44657</v>
      </c>
      <c r="D1249" s="474" t="s">
        <v>2901</v>
      </c>
      <c r="E1249" s="445" t="s">
        <v>2984</v>
      </c>
      <c r="F1249" s="469" t="s">
        <v>1147</v>
      </c>
      <c r="G1249" s="474">
        <v>2022</v>
      </c>
      <c r="H1249" s="474">
        <v>10</v>
      </c>
      <c r="I1249" s="474" t="s">
        <v>3004</v>
      </c>
      <c r="J1249" s="475"/>
      <c r="K1249" s="474" t="s">
        <v>3005</v>
      </c>
      <c r="L1249" s="474" t="s">
        <v>2947</v>
      </c>
      <c r="M1249" s="475">
        <v>44656</v>
      </c>
      <c r="N1249" s="475">
        <v>44835</v>
      </c>
      <c r="O1249" s="475"/>
      <c r="P1249" s="475"/>
      <c r="Q1249" s="475"/>
      <c r="R1249" s="475"/>
      <c r="S1249" s="474" t="s">
        <v>2904</v>
      </c>
      <c r="T1249" s="474">
        <v>60</v>
      </c>
      <c r="U1249" s="474">
        <v>49405140</v>
      </c>
      <c r="V1249" s="474" t="s">
        <v>973</v>
      </c>
      <c r="W1249" s="474">
        <v>400</v>
      </c>
      <c r="X1249" s="432">
        <v>6656</v>
      </c>
      <c r="Y1249" s="491">
        <f>X1249*W1249</f>
        <v>2662400</v>
      </c>
      <c r="Z1249" s="478">
        <v>0.55000000000000004</v>
      </c>
      <c r="AA1249" s="492">
        <f t="shared" si="243"/>
        <v>1464320.0000000002</v>
      </c>
      <c r="AB1249" s="492"/>
      <c r="AC1249" s="446">
        <v>0</v>
      </c>
      <c r="AD1249" s="490"/>
      <c r="AE1249" s="437"/>
      <c r="AF1249" s="580">
        <v>1464320.0000000002</v>
      </c>
      <c r="AG1249" s="474" t="s">
        <v>1071</v>
      </c>
      <c r="AH1249" s="438"/>
      <c r="AI1249" s="474">
        <v>60</v>
      </c>
      <c r="AJ1249" s="484" t="s">
        <v>2277</v>
      </c>
      <c r="AK1249" s="474" t="s">
        <v>1084</v>
      </c>
      <c r="AL1249" s="483" t="s">
        <v>2948</v>
      </c>
      <c r="AM1249" s="474" t="s">
        <v>52</v>
      </c>
      <c r="AN1249" s="474" t="s">
        <v>1074</v>
      </c>
      <c r="AO1249" s="474"/>
      <c r="AP1249" s="486"/>
      <c r="AQ1249" s="439" t="s">
        <v>37</v>
      </c>
      <c r="AR1249" s="439" t="s">
        <v>2953</v>
      </c>
      <c r="AS1249" s="473" t="s">
        <v>1087</v>
      </c>
      <c r="AT1249" s="473" t="s">
        <v>1076</v>
      </c>
      <c r="AU1249" s="478">
        <v>0.73</v>
      </c>
      <c r="AV1249" s="471">
        <f t="shared" si="249"/>
        <v>49405140</v>
      </c>
      <c r="AW1249" s="471" cm="1">
        <f t="array" ref="AW1249">SUM(MID(0&amp;AV1249,LARGE(INDEX(ISNUMBER(--MID(AV1249,ROW($1:$8),1))*ROW($1:$8),),ROW($1:$8))+1,1)*10^ROW($1:$8)/10)</f>
        <v>49405140</v>
      </c>
      <c r="AX1249" s="471" t="str">
        <f>VLOOKUP($AW1249,'Item Master Data'!$A:$F,3,FALSE)</f>
        <v>Q.PEAK DUO BLK ML G10+</v>
      </c>
      <c r="AY1249" s="471">
        <f>VLOOKUP($AW1249,'Item Master Data'!$A:$F,6,FALSE)</f>
        <v>400</v>
      </c>
      <c r="AZ1249" s="471">
        <f t="shared" si="250"/>
        <v>208</v>
      </c>
      <c r="BA1249" s="471">
        <f>VLOOKUP(AW1249,'Item Master Data'!$A:$G,7,FALSE)</f>
        <v>32</v>
      </c>
      <c r="BC1249" s="471">
        <f t="shared" si="251"/>
        <v>0</v>
      </c>
    </row>
    <row r="1250" spans="1:55" s="471" customFormat="1">
      <c r="A1250" s="472"/>
      <c r="B1250" s="449">
        <v>44607</v>
      </c>
      <c r="C1250" s="449">
        <v>44631</v>
      </c>
      <c r="D1250" s="474" t="s">
        <v>2901</v>
      </c>
      <c r="E1250" s="474" t="s">
        <v>2984</v>
      </c>
      <c r="F1250" s="474" t="s">
        <v>1147</v>
      </c>
      <c r="G1250" s="474">
        <v>2022</v>
      </c>
      <c r="H1250" s="474">
        <v>10</v>
      </c>
      <c r="I1250" s="474"/>
      <c r="J1250" s="475"/>
      <c r="K1250" s="474" t="s">
        <v>3178</v>
      </c>
      <c r="L1250" s="474" t="s">
        <v>3159</v>
      </c>
      <c r="M1250" s="475">
        <v>44607</v>
      </c>
      <c r="N1250" s="475">
        <v>44805</v>
      </c>
      <c r="O1250" s="475" t="s">
        <v>2365</v>
      </c>
      <c r="P1250" s="475"/>
      <c r="Q1250" s="475"/>
      <c r="R1250" s="475"/>
      <c r="S1250" s="474" t="s">
        <v>2904</v>
      </c>
      <c r="T1250" s="474">
        <v>60</v>
      </c>
      <c r="U1250" s="474" t="s">
        <v>1760</v>
      </c>
      <c r="V1250" s="474" t="s">
        <v>973</v>
      </c>
      <c r="W1250" s="474">
        <v>400</v>
      </c>
      <c r="X1250" s="432">
        <v>16640</v>
      </c>
      <c r="Y1250" s="491">
        <f>X1250*W1250</f>
        <v>6656000</v>
      </c>
      <c r="Z1250" s="478">
        <v>0.5</v>
      </c>
      <c r="AA1250" s="492">
        <f t="shared" si="243"/>
        <v>3328000</v>
      </c>
      <c r="AB1250" s="492"/>
      <c r="AC1250" s="446">
        <v>0</v>
      </c>
      <c r="AD1250" s="490"/>
      <c r="AE1250" s="437"/>
      <c r="AF1250" s="580">
        <f>AA1250+AE1250</f>
        <v>3328000</v>
      </c>
      <c r="AG1250" s="474" t="s">
        <v>47</v>
      </c>
      <c r="AH1250" s="438"/>
      <c r="AI1250" s="474">
        <v>30</v>
      </c>
      <c r="AJ1250" s="484" t="s">
        <v>1083</v>
      </c>
      <c r="AK1250" s="474" t="s">
        <v>1084</v>
      </c>
      <c r="AL1250" s="483" t="s">
        <v>2934</v>
      </c>
      <c r="AM1250" s="474" t="s">
        <v>52</v>
      </c>
      <c r="AN1250" s="474" t="s">
        <v>1074</v>
      </c>
      <c r="AO1250" s="474"/>
      <c r="AP1250" s="486"/>
      <c r="AQ1250" s="439" t="s">
        <v>37</v>
      </c>
      <c r="AR1250" s="439" t="s">
        <v>2953</v>
      </c>
      <c r="AS1250" s="473" t="s">
        <v>1087</v>
      </c>
      <c r="AT1250" s="473" t="s">
        <v>1076</v>
      </c>
      <c r="AU1250" s="478">
        <v>0.5</v>
      </c>
      <c r="AV1250" s="471" t="str">
        <f t="shared" si="249"/>
        <v>30390156H</v>
      </c>
      <c r="AW1250" s="471" cm="1">
        <f t="array" ref="AW1250">SUM(MID(0&amp;AV1250,LARGE(INDEX(ISNUMBER(--MID(AV1250,ROW($1:$8),1))*ROW($1:$8),),ROW($1:$8))+1,1)*10^ROW($1:$8)/10)</f>
        <v>30390156</v>
      </c>
      <c r="AX1250" s="471" t="str">
        <f>VLOOKUP($AW1250,'Item Master Data'!$A:$F,3,FALSE)</f>
        <v>Q.PEAK DUO BLK ML G10+</v>
      </c>
      <c r="AY1250" s="471">
        <f>VLOOKUP($AW1250,'Item Master Data'!$A:$F,6,FALSE)</f>
        <v>400</v>
      </c>
      <c r="AZ1250" s="471">
        <f t="shared" si="250"/>
        <v>520</v>
      </c>
      <c r="BA1250" s="471">
        <f>VLOOKUP(AW1250,'Item Master Data'!$A:$G,7,FALSE)</f>
        <v>32</v>
      </c>
      <c r="BC1250" s="471">
        <f t="shared" si="251"/>
        <v>0</v>
      </c>
    </row>
    <row r="1251" spans="1:55" s="471" customFormat="1">
      <c r="A1251" s="472"/>
      <c r="B1251" s="449">
        <v>44655</v>
      </c>
      <c r="C1251" s="449">
        <v>44655</v>
      </c>
      <c r="D1251" s="474" t="s">
        <v>2901</v>
      </c>
      <c r="E1251" s="445" t="s">
        <v>2984</v>
      </c>
      <c r="F1251" s="474" t="s">
        <v>1147</v>
      </c>
      <c r="G1251" s="474">
        <v>2022</v>
      </c>
      <c r="H1251" s="474">
        <v>10</v>
      </c>
      <c r="I1251" s="474"/>
      <c r="J1251" s="556"/>
      <c r="K1251" s="474" t="s">
        <v>3177</v>
      </c>
      <c r="L1251" s="474" t="s">
        <v>3159</v>
      </c>
      <c r="M1251" s="475">
        <v>44650</v>
      </c>
      <c r="N1251" s="475">
        <v>44835</v>
      </c>
      <c r="O1251" s="475"/>
      <c r="P1251" s="475"/>
      <c r="Q1251" s="475"/>
      <c r="R1251" s="475"/>
      <c r="S1251" s="474" t="s">
        <v>2904</v>
      </c>
      <c r="T1251" s="474">
        <v>60</v>
      </c>
      <c r="U1251" s="474" t="s">
        <v>1760</v>
      </c>
      <c r="V1251" s="474" t="s">
        <v>973</v>
      </c>
      <c r="W1251" s="474">
        <v>400</v>
      </c>
      <c r="X1251" s="476">
        <v>16640</v>
      </c>
      <c r="Y1251" s="491">
        <f>W1251*X1251</f>
        <v>6656000</v>
      </c>
      <c r="Z1251" s="478">
        <v>0.5</v>
      </c>
      <c r="AA1251" s="492">
        <f t="shared" si="243"/>
        <v>3328000</v>
      </c>
      <c r="AB1251" s="492"/>
      <c r="AC1251" s="446">
        <v>0</v>
      </c>
      <c r="AD1251" s="490"/>
      <c r="AE1251" s="482"/>
      <c r="AF1251" s="580">
        <f>AA1251+AE1251</f>
        <v>3328000</v>
      </c>
      <c r="AG1251" s="474" t="s">
        <v>47</v>
      </c>
      <c r="AH1251" s="474"/>
      <c r="AI1251" s="474">
        <v>30</v>
      </c>
      <c r="AJ1251" s="484" t="s">
        <v>1083</v>
      </c>
      <c r="AK1251" s="474" t="s">
        <v>1084</v>
      </c>
      <c r="AL1251" s="483" t="s">
        <v>2934</v>
      </c>
      <c r="AM1251" s="474" t="s">
        <v>52</v>
      </c>
      <c r="AN1251" s="474" t="s">
        <v>1074</v>
      </c>
      <c r="AO1251" s="474"/>
      <c r="AP1251" s="482"/>
      <c r="AQ1251" s="482" t="s">
        <v>37</v>
      </c>
      <c r="AR1251" s="482" t="s">
        <v>3026</v>
      </c>
      <c r="AS1251" s="436" t="s">
        <v>1076</v>
      </c>
      <c r="AT1251" s="436" t="s">
        <v>1076</v>
      </c>
      <c r="AU1251" s="478">
        <v>0.73</v>
      </c>
      <c r="AV1251" s="471" t="str">
        <f t="shared" si="249"/>
        <v>30390156H</v>
      </c>
      <c r="AW1251" s="471" cm="1">
        <f t="array" ref="AW1251">SUM(MID(0&amp;AV1251,LARGE(INDEX(ISNUMBER(--MID(AV1251,ROW($1:$8),1))*ROW($1:$8),),ROW($1:$8))+1,1)*10^ROW($1:$8)/10)</f>
        <v>30390156</v>
      </c>
      <c r="AX1251" s="471" t="str">
        <f>VLOOKUP($AW1251,'Item Master Data'!$A:$F,3,FALSE)</f>
        <v>Q.PEAK DUO BLK ML G10+</v>
      </c>
      <c r="AY1251" s="471">
        <f>VLOOKUP($AW1251,'Item Master Data'!$A:$F,6,FALSE)</f>
        <v>400</v>
      </c>
      <c r="AZ1251" s="471">
        <f t="shared" si="250"/>
        <v>520</v>
      </c>
      <c r="BA1251" s="471">
        <f>VLOOKUP(AW1251,'Item Master Data'!$A:$G,7,FALSE)</f>
        <v>32</v>
      </c>
      <c r="BC1251" s="471">
        <f t="shared" si="251"/>
        <v>0</v>
      </c>
    </row>
    <row r="1252" spans="1:55" s="471" customFormat="1">
      <c r="A1252" s="472"/>
      <c r="B1252" s="449">
        <v>44649</v>
      </c>
      <c r="C1252" s="449">
        <v>44649</v>
      </c>
      <c r="D1252" s="474" t="s">
        <v>2901</v>
      </c>
      <c r="E1252" s="445" t="s">
        <v>2984</v>
      </c>
      <c r="F1252" s="469" t="s">
        <v>1147</v>
      </c>
      <c r="G1252" s="474">
        <v>2022</v>
      </c>
      <c r="H1252" s="474">
        <v>11</v>
      </c>
      <c r="I1252" s="474"/>
      <c r="J1252" s="475"/>
      <c r="K1252" s="474" t="s">
        <v>3012</v>
      </c>
      <c r="L1252" s="474" t="s">
        <v>2947</v>
      </c>
      <c r="M1252" s="475">
        <v>44637</v>
      </c>
      <c r="N1252" s="475">
        <v>44866</v>
      </c>
      <c r="O1252" s="475"/>
      <c r="P1252" s="475"/>
      <c r="Q1252" s="475"/>
      <c r="R1252" s="475"/>
      <c r="S1252" s="474" t="s">
        <v>2904</v>
      </c>
      <c r="T1252" s="474">
        <v>60</v>
      </c>
      <c r="U1252" s="474">
        <v>49405140</v>
      </c>
      <c r="V1252" s="474" t="s">
        <v>973</v>
      </c>
      <c r="W1252" s="474">
        <v>400</v>
      </c>
      <c r="X1252" s="432">
        <v>3328</v>
      </c>
      <c r="Y1252" s="491">
        <f>W1252*X1252</f>
        <v>1331200</v>
      </c>
      <c r="Z1252" s="478">
        <v>0.55000000000000004</v>
      </c>
      <c r="AA1252" s="492">
        <f t="shared" si="243"/>
        <v>732160.00000000012</v>
      </c>
      <c r="AB1252" s="492"/>
      <c r="AC1252" s="446">
        <v>0</v>
      </c>
      <c r="AD1252" s="490"/>
      <c r="AE1252" s="437"/>
      <c r="AF1252" s="580">
        <f>AA1252+AE1252</f>
        <v>732160.00000000012</v>
      </c>
      <c r="AG1252" s="474" t="s">
        <v>1071</v>
      </c>
      <c r="AH1252" s="438"/>
      <c r="AI1252" s="474">
        <v>60</v>
      </c>
      <c r="AJ1252" s="484" t="s">
        <v>2277</v>
      </c>
      <c r="AK1252" s="474" t="s">
        <v>1084</v>
      </c>
      <c r="AL1252" s="483" t="s">
        <v>2948</v>
      </c>
      <c r="AM1252" s="474" t="s">
        <v>52</v>
      </c>
      <c r="AN1252" s="474" t="s">
        <v>1074</v>
      </c>
      <c r="AO1252" s="474"/>
      <c r="AP1252" s="486"/>
      <c r="AQ1252" s="439" t="s">
        <v>37</v>
      </c>
      <c r="AR1252" s="439" t="s">
        <v>2953</v>
      </c>
      <c r="AS1252" s="473" t="s">
        <v>1087</v>
      </c>
      <c r="AT1252" s="473" t="s">
        <v>1076</v>
      </c>
      <c r="AU1252" s="478">
        <v>0.73</v>
      </c>
      <c r="AV1252" s="471">
        <f t="shared" si="249"/>
        <v>49405140</v>
      </c>
      <c r="AW1252" s="471" cm="1">
        <f t="array" ref="AW1252">SUM(MID(0&amp;AV1252,LARGE(INDEX(ISNUMBER(--MID(AV1252,ROW($1:$8),1))*ROW($1:$8),),ROW($1:$8))+1,1)*10^ROW($1:$8)/10)</f>
        <v>49405140</v>
      </c>
      <c r="AX1252" s="471" t="str">
        <f>VLOOKUP($AW1252,'Item Master Data'!$A:$F,3,FALSE)</f>
        <v>Q.PEAK DUO BLK ML G10+</v>
      </c>
      <c r="AY1252" s="471">
        <f>VLOOKUP($AW1252,'Item Master Data'!$A:$F,6,FALSE)</f>
        <v>400</v>
      </c>
      <c r="AZ1252" s="471">
        <f t="shared" si="250"/>
        <v>104</v>
      </c>
      <c r="BA1252" s="471">
        <f>VLOOKUP(AW1252,'Item Master Data'!$A:$G,7,FALSE)</f>
        <v>32</v>
      </c>
      <c r="BC1252" s="471">
        <f t="shared" si="251"/>
        <v>0</v>
      </c>
    </row>
    <row r="1253" spans="1:55" s="471" customFormat="1">
      <c r="A1253" s="472"/>
      <c r="B1253" s="449">
        <v>44657</v>
      </c>
      <c r="C1253" s="449">
        <v>44657</v>
      </c>
      <c r="D1253" s="474" t="s">
        <v>2901</v>
      </c>
      <c r="E1253" s="445" t="s">
        <v>2984</v>
      </c>
      <c r="F1253" s="469" t="s">
        <v>1147</v>
      </c>
      <c r="G1253" s="474">
        <v>2022</v>
      </c>
      <c r="H1253" s="474">
        <v>11</v>
      </c>
      <c r="I1253" s="474" t="s">
        <v>3004</v>
      </c>
      <c r="J1253" s="475"/>
      <c r="K1253" s="474" t="s">
        <v>3039</v>
      </c>
      <c r="L1253" s="474" t="s">
        <v>2947</v>
      </c>
      <c r="M1253" s="475">
        <v>44656</v>
      </c>
      <c r="N1253" s="475">
        <v>44866</v>
      </c>
      <c r="O1253" s="475"/>
      <c r="P1253" s="475"/>
      <c r="Q1253" s="475"/>
      <c r="R1253" s="475"/>
      <c r="S1253" s="474" t="s">
        <v>2904</v>
      </c>
      <c r="T1253" s="474">
        <v>60</v>
      </c>
      <c r="U1253" s="474">
        <v>49405140</v>
      </c>
      <c r="V1253" s="474" t="s">
        <v>973</v>
      </c>
      <c r="W1253" s="474">
        <v>400</v>
      </c>
      <c r="X1253" s="432">
        <v>6656</v>
      </c>
      <c r="Y1253" s="491">
        <f>X1253*W1253</f>
        <v>2662400</v>
      </c>
      <c r="Z1253" s="478">
        <v>0.55000000000000004</v>
      </c>
      <c r="AA1253" s="492">
        <f t="shared" si="243"/>
        <v>1464320.0000000002</v>
      </c>
      <c r="AB1253" s="492"/>
      <c r="AC1253" s="446">
        <v>0</v>
      </c>
      <c r="AD1253" s="490"/>
      <c r="AE1253" s="437"/>
      <c r="AF1253" s="580">
        <v>1464320.0000000002</v>
      </c>
      <c r="AG1253" s="474" t="s">
        <v>1071</v>
      </c>
      <c r="AH1253" s="438"/>
      <c r="AI1253" s="474">
        <v>60</v>
      </c>
      <c r="AJ1253" s="484" t="s">
        <v>2277</v>
      </c>
      <c r="AK1253" s="474" t="s">
        <v>1084</v>
      </c>
      <c r="AL1253" s="483" t="s">
        <v>2948</v>
      </c>
      <c r="AM1253" s="474" t="s">
        <v>52</v>
      </c>
      <c r="AN1253" s="474" t="s">
        <v>1074</v>
      </c>
      <c r="AO1253" s="474"/>
      <c r="AP1253" s="486"/>
      <c r="AQ1253" s="439" t="s">
        <v>37</v>
      </c>
      <c r="AR1253" s="439" t="s">
        <v>2953</v>
      </c>
      <c r="AS1253" s="473" t="s">
        <v>1087</v>
      </c>
      <c r="AT1253" s="473" t="s">
        <v>1076</v>
      </c>
      <c r="AU1253" s="478">
        <v>0.73</v>
      </c>
      <c r="AV1253" s="471">
        <f t="shared" si="249"/>
        <v>49405140</v>
      </c>
      <c r="AW1253" s="471" cm="1">
        <f t="array" ref="AW1253">SUM(MID(0&amp;AV1253,LARGE(INDEX(ISNUMBER(--MID(AV1253,ROW($1:$8),1))*ROW($1:$8),),ROW($1:$8))+1,1)*10^ROW($1:$8)/10)</f>
        <v>49405140</v>
      </c>
      <c r="AX1253" s="471" t="str">
        <f>VLOOKUP($AW1253,'Item Master Data'!$A:$F,3,FALSE)</f>
        <v>Q.PEAK DUO BLK ML G10+</v>
      </c>
      <c r="AY1253" s="471">
        <f>VLOOKUP($AW1253,'Item Master Data'!$A:$F,6,FALSE)</f>
        <v>400</v>
      </c>
      <c r="AZ1253" s="471">
        <f t="shared" si="250"/>
        <v>208</v>
      </c>
      <c r="BA1253" s="471">
        <f>VLOOKUP(AW1253,'Item Master Data'!$A:$G,7,FALSE)</f>
        <v>32</v>
      </c>
      <c r="BC1253" s="471">
        <f t="shared" si="251"/>
        <v>0</v>
      </c>
    </row>
    <row r="1254" spans="1:55" s="471" customFormat="1">
      <c r="A1254" s="472"/>
      <c r="B1254" s="449">
        <v>44607</v>
      </c>
      <c r="C1254" s="449">
        <v>44631</v>
      </c>
      <c r="D1254" s="474" t="s">
        <v>2901</v>
      </c>
      <c r="E1254" s="474" t="s">
        <v>2984</v>
      </c>
      <c r="F1254" s="474" t="s">
        <v>1147</v>
      </c>
      <c r="G1254" s="474">
        <v>2022</v>
      </c>
      <c r="H1254" s="474">
        <v>11</v>
      </c>
      <c r="I1254" s="474"/>
      <c r="J1254" s="475"/>
      <c r="K1254" s="474" t="s">
        <v>3180</v>
      </c>
      <c r="L1254" s="474" t="s">
        <v>3159</v>
      </c>
      <c r="M1254" s="475">
        <v>44607</v>
      </c>
      <c r="N1254" s="475">
        <v>44835</v>
      </c>
      <c r="O1254" s="475" t="s">
        <v>2365</v>
      </c>
      <c r="P1254" s="475"/>
      <c r="Q1254" s="475"/>
      <c r="R1254" s="475"/>
      <c r="S1254" s="474" t="s">
        <v>2904</v>
      </c>
      <c r="T1254" s="474">
        <v>60</v>
      </c>
      <c r="U1254" s="474" t="s">
        <v>1760</v>
      </c>
      <c r="V1254" s="474" t="s">
        <v>973</v>
      </c>
      <c r="W1254" s="474">
        <v>400</v>
      </c>
      <c r="X1254" s="432">
        <v>11648</v>
      </c>
      <c r="Y1254" s="491">
        <f>X1254*W1254</f>
        <v>4659200</v>
      </c>
      <c r="Z1254" s="478">
        <v>0.5</v>
      </c>
      <c r="AA1254" s="492">
        <f t="shared" si="243"/>
        <v>2329600</v>
      </c>
      <c r="AB1254" s="492"/>
      <c r="AC1254" s="446">
        <v>0</v>
      </c>
      <c r="AD1254" s="490"/>
      <c r="AE1254" s="437"/>
      <c r="AF1254" s="580">
        <f>AA1254+AE1254</f>
        <v>2329600</v>
      </c>
      <c r="AG1254" s="474" t="s">
        <v>47</v>
      </c>
      <c r="AH1254" s="438"/>
      <c r="AI1254" s="474">
        <v>30</v>
      </c>
      <c r="AJ1254" s="484" t="s">
        <v>1083</v>
      </c>
      <c r="AK1254" s="474" t="s">
        <v>1084</v>
      </c>
      <c r="AL1254" s="483" t="s">
        <v>2934</v>
      </c>
      <c r="AM1254" s="474" t="s">
        <v>52</v>
      </c>
      <c r="AN1254" s="474" t="s">
        <v>1074</v>
      </c>
      <c r="AO1254" s="474"/>
      <c r="AP1254" s="486"/>
      <c r="AQ1254" s="439" t="s">
        <v>37</v>
      </c>
      <c r="AR1254" s="439" t="s">
        <v>2953</v>
      </c>
      <c r="AS1254" s="473" t="s">
        <v>1087</v>
      </c>
      <c r="AT1254" s="473" t="s">
        <v>1076</v>
      </c>
      <c r="AU1254" s="478">
        <v>0.5</v>
      </c>
      <c r="AV1254" s="471" t="str">
        <f t="shared" si="249"/>
        <v>30390156H</v>
      </c>
      <c r="AW1254" s="471" cm="1">
        <f t="array" ref="AW1254">SUM(MID(0&amp;AV1254,LARGE(INDEX(ISNUMBER(--MID(AV1254,ROW($1:$8),1))*ROW($1:$8),),ROW($1:$8))+1,1)*10^ROW($1:$8)/10)</f>
        <v>30390156</v>
      </c>
      <c r="AX1254" s="471" t="str">
        <f>VLOOKUP($AW1254,'Item Master Data'!$A:$F,3,FALSE)</f>
        <v>Q.PEAK DUO BLK ML G10+</v>
      </c>
      <c r="AY1254" s="471">
        <f>VLOOKUP($AW1254,'Item Master Data'!$A:$F,6,FALSE)</f>
        <v>400</v>
      </c>
      <c r="AZ1254" s="471">
        <f t="shared" si="250"/>
        <v>364</v>
      </c>
      <c r="BA1254" s="471">
        <f>VLOOKUP(AW1254,'Item Master Data'!$A:$G,7,FALSE)</f>
        <v>32</v>
      </c>
      <c r="BC1254" s="471">
        <f t="shared" si="251"/>
        <v>0</v>
      </c>
    </row>
    <row r="1255" spans="1:55" s="471" customFormat="1">
      <c r="A1255" s="472"/>
      <c r="B1255" s="449">
        <v>44655</v>
      </c>
      <c r="C1255" s="449">
        <v>44655</v>
      </c>
      <c r="D1255" s="474" t="s">
        <v>2901</v>
      </c>
      <c r="E1255" s="445" t="s">
        <v>2984</v>
      </c>
      <c r="F1255" s="474" t="s">
        <v>1147</v>
      </c>
      <c r="G1255" s="474">
        <v>2022</v>
      </c>
      <c r="H1255" s="474">
        <v>11</v>
      </c>
      <c r="I1255" s="474"/>
      <c r="J1255" s="556"/>
      <c r="K1255" s="474" t="s">
        <v>3179</v>
      </c>
      <c r="L1255" s="474" t="s">
        <v>3159</v>
      </c>
      <c r="M1255" s="475">
        <v>44650</v>
      </c>
      <c r="N1255" s="475">
        <v>44866</v>
      </c>
      <c r="O1255" s="475"/>
      <c r="P1255" s="475"/>
      <c r="Q1255" s="475"/>
      <c r="R1255" s="475"/>
      <c r="S1255" s="474" t="s">
        <v>2904</v>
      </c>
      <c r="T1255" s="474">
        <v>60</v>
      </c>
      <c r="U1255" s="474" t="s">
        <v>1760</v>
      </c>
      <c r="V1255" s="474" t="s">
        <v>973</v>
      </c>
      <c r="W1255" s="474">
        <v>400</v>
      </c>
      <c r="X1255" s="476">
        <v>16640</v>
      </c>
      <c r="Y1255" s="491">
        <f>W1255*X1255</f>
        <v>6656000</v>
      </c>
      <c r="Z1255" s="478">
        <v>0.5</v>
      </c>
      <c r="AA1255" s="492">
        <f t="shared" si="243"/>
        <v>3328000</v>
      </c>
      <c r="AB1255" s="492"/>
      <c r="AC1255" s="446">
        <v>0</v>
      </c>
      <c r="AD1255" s="490"/>
      <c r="AE1255" s="482"/>
      <c r="AF1255" s="580">
        <f>AA1255+AE1255</f>
        <v>3328000</v>
      </c>
      <c r="AG1255" s="474" t="s">
        <v>47</v>
      </c>
      <c r="AH1255" s="474"/>
      <c r="AI1255" s="474">
        <v>30</v>
      </c>
      <c r="AJ1255" s="484" t="s">
        <v>1083</v>
      </c>
      <c r="AK1255" s="474" t="s">
        <v>1084</v>
      </c>
      <c r="AL1255" s="483" t="s">
        <v>2934</v>
      </c>
      <c r="AM1255" s="474" t="s">
        <v>52</v>
      </c>
      <c r="AN1255" s="474" t="s">
        <v>1074</v>
      </c>
      <c r="AO1255" s="474"/>
      <c r="AP1255" s="482"/>
      <c r="AQ1255" s="482" t="s">
        <v>37</v>
      </c>
      <c r="AR1255" s="482" t="s">
        <v>3026</v>
      </c>
      <c r="AS1255" s="436" t="s">
        <v>1076</v>
      </c>
      <c r="AT1255" s="436" t="s">
        <v>1076</v>
      </c>
      <c r="AU1255" s="478">
        <v>0.73</v>
      </c>
      <c r="AV1255" s="471" t="str">
        <f t="shared" si="249"/>
        <v>30390156H</v>
      </c>
      <c r="AW1255" s="471" cm="1">
        <f t="array" ref="AW1255">SUM(MID(0&amp;AV1255,LARGE(INDEX(ISNUMBER(--MID(AV1255,ROW($1:$8),1))*ROW($1:$8),),ROW($1:$8))+1,1)*10^ROW($1:$8)/10)</f>
        <v>30390156</v>
      </c>
      <c r="AX1255" s="471" t="str">
        <f>VLOOKUP($AW1255,'Item Master Data'!$A:$F,3,FALSE)</f>
        <v>Q.PEAK DUO BLK ML G10+</v>
      </c>
      <c r="AY1255" s="471">
        <f>VLOOKUP($AW1255,'Item Master Data'!$A:$F,6,FALSE)</f>
        <v>400</v>
      </c>
      <c r="AZ1255" s="471">
        <f t="shared" si="250"/>
        <v>520</v>
      </c>
      <c r="BA1255" s="471">
        <f>VLOOKUP(AW1255,'Item Master Data'!$A:$G,7,FALSE)</f>
        <v>32</v>
      </c>
      <c r="BC1255" s="471">
        <f t="shared" si="251"/>
        <v>0</v>
      </c>
    </row>
    <row r="1256" spans="1:55" s="471" customFormat="1">
      <c r="A1256" s="472"/>
      <c r="B1256" s="449">
        <v>44649</v>
      </c>
      <c r="C1256" s="449">
        <v>44649</v>
      </c>
      <c r="D1256" s="474" t="s">
        <v>2901</v>
      </c>
      <c r="E1256" s="445" t="s">
        <v>2984</v>
      </c>
      <c r="F1256" s="469" t="s">
        <v>1147</v>
      </c>
      <c r="G1256" s="474">
        <v>2022</v>
      </c>
      <c r="H1256" s="474">
        <v>12</v>
      </c>
      <c r="I1256" s="474"/>
      <c r="J1256" s="475"/>
      <c r="K1256" s="474" t="s">
        <v>3045</v>
      </c>
      <c r="L1256" s="474" t="s">
        <v>2947</v>
      </c>
      <c r="M1256" s="475">
        <v>44637</v>
      </c>
      <c r="N1256" s="475">
        <v>44896</v>
      </c>
      <c r="O1256" s="475"/>
      <c r="P1256" s="475"/>
      <c r="Q1256" s="475"/>
      <c r="R1256" s="475"/>
      <c r="S1256" s="474" t="s">
        <v>2904</v>
      </c>
      <c r="T1256" s="474">
        <v>60</v>
      </c>
      <c r="U1256" s="474">
        <v>49405140</v>
      </c>
      <c r="V1256" s="474" t="s">
        <v>973</v>
      </c>
      <c r="W1256" s="474">
        <v>400</v>
      </c>
      <c r="X1256" s="432">
        <v>3328</v>
      </c>
      <c r="Y1256" s="491">
        <f>W1256*X1256</f>
        <v>1331200</v>
      </c>
      <c r="Z1256" s="478">
        <v>0.55000000000000004</v>
      </c>
      <c r="AA1256" s="492">
        <f t="shared" si="243"/>
        <v>732160.00000000012</v>
      </c>
      <c r="AB1256" s="492"/>
      <c r="AC1256" s="446">
        <v>0</v>
      </c>
      <c r="AD1256" s="490"/>
      <c r="AE1256" s="437"/>
      <c r="AF1256" s="580">
        <f>AA1256+AE1256</f>
        <v>732160.00000000012</v>
      </c>
      <c r="AG1256" s="474" t="s">
        <v>1071</v>
      </c>
      <c r="AH1256" s="438"/>
      <c r="AI1256" s="474">
        <v>60</v>
      </c>
      <c r="AJ1256" s="484" t="s">
        <v>2277</v>
      </c>
      <c r="AK1256" s="474" t="s">
        <v>1084</v>
      </c>
      <c r="AL1256" s="483" t="s">
        <v>2948</v>
      </c>
      <c r="AM1256" s="474" t="s">
        <v>52</v>
      </c>
      <c r="AN1256" s="474" t="s">
        <v>1074</v>
      </c>
      <c r="AO1256" s="474"/>
      <c r="AP1256" s="486"/>
      <c r="AQ1256" s="439" t="s">
        <v>37</v>
      </c>
      <c r="AR1256" s="439" t="s">
        <v>2953</v>
      </c>
      <c r="AS1256" s="473" t="s">
        <v>1087</v>
      </c>
      <c r="AT1256" s="473" t="s">
        <v>1076</v>
      </c>
      <c r="AU1256" s="478">
        <v>0.73</v>
      </c>
      <c r="AV1256" s="471">
        <f t="shared" si="249"/>
        <v>49405140</v>
      </c>
      <c r="AW1256" s="471" cm="1">
        <f t="array" ref="AW1256">SUM(MID(0&amp;AV1256,LARGE(INDEX(ISNUMBER(--MID(AV1256,ROW($1:$8),1))*ROW($1:$8),),ROW($1:$8))+1,1)*10^ROW($1:$8)/10)</f>
        <v>49405140</v>
      </c>
      <c r="AX1256" s="471" t="str">
        <f>VLOOKUP($AW1256,'Item Master Data'!$A:$F,3,FALSE)</f>
        <v>Q.PEAK DUO BLK ML G10+</v>
      </c>
      <c r="AY1256" s="471">
        <f>VLOOKUP($AW1256,'Item Master Data'!$A:$F,6,FALSE)</f>
        <v>400</v>
      </c>
      <c r="AZ1256" s="471">
        <f t="shared" si="250"/>
        <v>104</v>
      </c>
      <c r="BA1256" s="471">
        <f>VLOOKUP(AW1256,'Item Master Data'!$A:$G,7,FALSE)</f>
        <v>32</v>
      </c>
      <c r="BC1256" s="471">
        <f t="shared" si="251"/>
        <v>0</v>
      </c>
    </row>
    <row r="1257" spans="1:55" s="471" customFormat="1">
      <c r="A1257" s="472"/>
      <c r="B1257" s="449">
        <v>44657</v>
      </c>
      <c r="C1257" s="449">
        <v>44657</v>
      </c>
      <c r="D1257" s="474" t="s">
        <v>2901</v>
      </c>
      <c r="E1257" s="445" t="s">
        <v>2984</v>
      </c>
      <c r="F1257" s="469" t="s">
        <v>1147</v>
      </c>
      <c r="G1257" s="474">
        <v>2022</v>
      </c>
      <c r="H1257" s="474">
        <v>12</v>
      </c>
      <c r="I1257" s="474" t="s">
        <v>3004</v>
      </c>
      <c r="J1257" s="475"/>
      <c r="K1257" s="474" t="s">
        <v>3157</v>
      </c>
      <c r="L1257" s="474" t="s">
        <v>2947</v>
      </c>
      <c r="M1257" s="475">
        <v>44656</v>
      </c>
      <c r="N1257" s="475">
        <v>44896</v>
      </c>
      <c r="O1257" s="475"/>
      <c r="P1257" s="475"/>
      <c r="Q1257" s="475"/>
      <c r="R1257" s="475"/>
      <c r="S1257" s="474" t="s">
        <v>2904</v>
      </c>
      <c r="T1257" s="474">
        <v>60</v>
      </c>
      <c r="U1257" s="474">
        <v>49405140</v>
      </c>
      <c r="V1257" s="474" t="s">
        <v>973</v>
      </c>
      <c r="W1257" s="474">
        <v>400</v>
      </c>
      <c r="X1257" s="432">
        <v>6656</v>
      </c>
      <c r="Y1257" s="491">
        <f>X1257*W1257</f>
        <v>2662400</v>
      </c>
      <c r="Z1257" s="478">
        <v>0.55000000000000004</v>
      </c>
      <c r="AA1257" s="492">
        <f t="shared" si="243"/>
        <v>1464320.0000000002</v>
      </c>
      <c r="AB1257" s="492"/>
      <c r="AC1257" s="446">
        <v>0</v>
      </c>
      <c r="AD1257" s="490"/>
      <c r="AE1257" s="437"/>
      <c r="AF1257" s="580">
        <v>1464320.0000000002</v>
      </c>
      <c r="AG1257" s="474" t="s">
        <v>1071</v>
      </c>
      <c r="AH1257" s="438"/>
      <c r="AI1257" s="474">
        <v>60</v>
      </c>
      <c r="AJ1257" s="484" t="s">
        <v>2277</v>
      </c>
      <c r="AK1257" s="474" t="s">
        <v>1084</v>
      </c>
      <c r="AL1257" s="483" t="s">
        <v>2948</v>
      </c>
      <c r="AM1257" s="474" t="s">
        <v>52</v>
      </c>
      <c r="AN1257" s="474" t="s">
        <v>1074</v>
      </c>
      <c r="AO1257" s="474"/>
      <c r="AP1257" s="486"/>
      <c r="AQ1257" s="439" t="s">
        <v>37</v>
      </c>
      <c r="AR1257" s="439" t="s">
        <v>2953</v>
      </c>
      <c r="AS1257" s="473" t="s">
        <v>1087</v>
      </c>
      <c r="AT1257" s="473" t="s">
        <v>1076</v>
      </c>
      <c r="AU1257" s="478">
        <v>0.73</v>
      </c>
      <c r="AV1257" s="471">
        <f t="shared" si="249"/>
        <v>49405140</v>
      </c>
      <c r="AW1257" s="471" cm="1">
        <f t="array" ref="AW1257">SUM(MID(0&amp;AV1257,LARGE(INDEX(ISNUMBER(--MID(AV1257,ROW($1:$8),1))*ROW($1:$8),),ROW($1:$8))+1,1)*10^ROW($1:$8)/10)</f>
        <v>49405140</v>
      </c>
      <c r="AX1257" s="471" t="str">
        <f>VLOOKUP($AW1257,'Item Master Data'!$A:$F,3,FALSE)</f>
        <v>Q.PEAK DUO BLK ML G10+</v>
      </c>
      <c r="AY1257" s="471">
        <f>VLOOKUP($AW1257,'Item Master Data'!$A:$F,6,FALSE)</f>
        <v>400</v>
      </c>
      <c r="AZ1257" s="471">
        <f t="shared" si="250"/>
        <v>208</v>
      </c>
      <c r="BA1257" s="471">
        <f>VLOOKUP(AW1257,'Item Master Data'!$A:$G,7,FALSE)</f>
        <v>32</v>
      </c>
      <c r="BC1257" s="471">
        <f t="shared" si="251"/>
        <v>0</v>
      </c>
    </row>
    <row r="1258" spans="1:55" s="471" customFormat="1">
      <c r="A1258" s="472"/>
      <c r="B1258" s="449">
        <v>44607</v>
      </c>
      <c r="C1258" s="449">
        <v>44631</v>
      </c>
      <c r="D1258" s="474" t="s">
        <v>2901</v>
      </c>
      <c r="E1258" s="474" t="s">
        <v>2984</v>
      </c>
      <c r="F1258" s="474" t="s">
        <v>1147</v>
      </c>
      <c r="G1258" s="474">
        <v>2022</v>
      </c>
      <c r="H1258" s="474">
        <v>12</v>
      </c>
      <c r="I1258" s="474"/>
      <c r="J1258" s="475"/>
      <c r="K1258" s="474" t="s">
        <v>3182</v>
      </c>
      <c r="L1258" s="474" t="s">
        <v>3159</v>
      </c>
      <c r="M1258" s="475">
        <v>44607</v>
      </c>
      <c r="N1258" s="475">
        <v>44866</v>
      </c>
      <c r="O1258" s="475" t="s">
        <v>2365</v>
      </c>
      <c r="P1258" s="475"/>
      <c r="Q1258" s="475"/>
      <c r="R1258" s="475"/>
      <c r="S1258" s="474" t="s">
        <v>2904</v>
      </c>
      <c r="T1258" s="474">
        <v>60</v>
      </c>
      <c r="U1258" s="474">
        <v>49403140</v>
      </c>
      <c r="V1258" s="474" t="s">
        <v>973</v>
      </c>
      <c r="W1258" s="474">
        <v>400</v>
      </c>
      <c r="X1258" s="432">
        <v>11648</v>
      </c>
      <c r="Y1258" s="491">
        <f>X1258*W1258</f>
        <v>4659200</v>
      </c>
      <c r="Z1258" s="478">
        <v>0.5</v>
      </c>
      <c r="AA1258" s="492">
        <f t="shared" si="243"/>
        <v>2329600</v>
      </c>
      <c r="AB1258" s="492"/>
      <c r="AC1258" s="446">
        <v>0</v>
      </c>
      <c r="AD1258" s="490"/>
      <c r="AE1258" s="437"/>
      <c r="AF1258" s="580">
        <f>AA1258+AE1258</f>
        <v>2329600</v>
      </c>
      <c r="AG1258" s="474" t="s">
        <v>47</v>
      </c>
      <c r="AH1258" s="438"/>
      <c r="AI1258" s="474">
        <v>30</v>
      </c>
      <c r="AJ1258" s="484" t="s">
        <v>1083</v>
      </c>
      <c r="AK1258" s="474" t="s">
        <v>1084</v>
      </c>
      <c r="AL1258" s="483" t="s">
        <v>2934</v>
      </c>
      <c r="AM1258" s="474" t="s">
        <v>52</v>
      </c>
      <c r="AN1258" s="474" t="s">
        <v>1074</v>
      </c>
      <c r="AO1258" s="474"/>
      <c r="AP1258" s="486"/>
      <c r="AQ1258" s="439" t="s">
        <v>37</v>
      </c>
      <c r="AR1258" s="439" t="s">
        <v>2953</v>
      </c>
      <c r="AS1258" s="473" t="s">
        <v>1087</v>
      </c>
      <c r="AT1258" s="473" t="s">
        <v>1076</v>
      </c>
      <c r="AU1258" s="478">
        <v>0.5</v>
      </c>
      <c r="AV1258" s="471">
        <f t="shared" si="249"/>
        <v>49403140</v>
      </c>
      <c r="AW1258" s="471" cm="1">
        <f t="array" ref="AW1258">SUM(MID(0&amp;AV1258,LARGE(INDEX(ISNUMBER(--MID(AV1258,ROW($1:$8),1))*ROW($1:$8),),ROW($1:$8))+1,1)*10^ROW($1:$8)/10)</f>
        <v>49403140</v>
      </c>
      <c r="AX1258" s="471" t="str">
        <f>VLOOKUP($AW1258,'Item Master Data'!$A:$F,3,FALSE)</f>
        <v>Q.PEAK DUO BLK ML G10+</v>
      </c>
      <c r="AY1258" s="471">
        <f>VLOOKUP($AW1258,'Item Master Data'!$A:$F,6,FALSE)</f>
        <v>400</v>
      </c>
      <c r="AZ1258" s="471">
        <f t="shared" si="250"/>
        <v>364</v>
      </c>
      <c r="BA1258" s="471">
        <f>VLOOKUP(AW1258,'Item Master Data'!$A:$G,7,FALSE)</f>
        <v>32</v>
      </c>
      <c r="BC1258" s="471">
        <f t="shared" si="251"/>
        <v>0</v>
      </c>
    </row>
    <row r="1259" spans="1:55" s="471" customFormat="1">
      <c r="A1259" s="472"/>
      <c r="B1259" s="449">
        <v>44655</v>
      </c>
      <c r="C1259" s="449">
        <v>44655</v>
      </c>
      <c r="D1259" s="474" t="s">
        <v>2901</v>
      </c>
      <c r="E1259" s="445" t="s">
        <v>2984</v>
      </c>
      <c r="F1259" s="474" t="s">
        <v>1147</v>
      </c>
      <c r="G1259" s="474">
        <v>2022</v>
      </c>
      <c r="H1259" s="474">
        <v>12</v>
      </c>
      <c r="I1259" s="474"/>
      <c r="J1259" s="556"/>
      <c r="K1259" s="474" t="s">
        <v>3181</v>
      </c>
      <c r="L1259" s="474" t="s">
        <v>3159</v>
      </c>
      <c r="M1259" s="475">
        <v>44650</v>
      </c>
      <c r="N1259" s="475">
        <v>44896</v>
      </c>
      <c r="O1259" s="475"/>
      <c r="P1259" s="475"/>
      <c r="Q1259" s="475"/>
      <c r="R1259" s="475"/>
      <c r="S1259" s="474" t="s">
        <v>2904</v>
      </c>
      <c r="T1259" s="474">
        <v>60</v>
      </c>
      <c r="U1259" s="474" t="s">
        <v>1760</v>
      </c>
      <c r="V1259" s="474" t="s">
        <v>973</v>
      </c>
      <c r="W1259" s="474">
        <v>400</v>
      </c>
      <c r="X1259" s="476">
        <v>16640</v>
      </c>
      <c r="Y1259" s="491">
        <f>W1259*X1259</f>
        <v>6656000</v>
      </c>
      <c r="Z1259" s="478">
        <v>0.5</v>
      </c>
      <c r="AA1259" s="492">
        <f t="shared" si="243"/>
        <v>3328000</v>
      </c>
      <c r="AB1259" s="492"/>
      <c r="AC1259" s="446">
        <v>0</v>
      </c>
      <c r="AD1259" s="490"/>
      <c r="AE1259" s="482"/>
      <c r="AF1259" s="580">
        <f>AA1259+AE1259</f>
        <v>3328000</v>
      </c>
      <c r="AG1259" s="474" t="s">
        <v>47</v>
      </c>
      <c r="AH1259" s="474"/>
      <c r="AI1259" s="474">
        <v>30</v>
      </c>
      <c r="AJ1259" s="484" t="s">
        <v>1083</v>
      </c>
      <c r="AK1259" s="474" t="s">
        <v>1084</v>
      </c>
      <c r="AL1259" s="483" t="s">
        <v>2934</v>
      </c>
      <c r="AM1259" s="474" t="s">
        <v>52</v>
      </c>
      <c r="AN1259" s="474" t="s">
        <v>1074</v>
      </c>
      <c r="AO1259" s="474"/>
      <c r="AP1259" s="482"/>
      <c r="AQ1259" s="482" t="s">
        <v>37</v>
      </c>
      <c r="AR1259" s="482" t="s">
        <v>3026</v>
      </c>
      <c r="AS1259" s="436" t="s">
        <v>1076</v>
      </c>
      <c r="AT1259" s="436" t="s">
        <v>1076</v>
      </c>
      <c r="AU1259" s="478">
        <v>0.73</v>
      </c>
      <c r="AV1259" s="471" t="str">
        <f t="shared" si="249"/>
        <v>30390156H</v>
      </c>
      <c r="AW1259" s="471" cm="1">
        <f t="array" ref="AW1259">SUM(MID(0&amp;AV1259,LARGE(INDEX(ISNUMBER(--MID(AV1259,ROW($1:$8),1))*ROW($1:$8),),ROW($1:$8))+1,1)*10^ROW($1:$8)/10)</f>
        <v>30390156</v>
      </c>
      <c r="AX1259" s="471" t="str">
        <f>VLOOKUP($AW1259,'Item Master Data'!$A:$F,3,FALSE)</f>
        <v>Q.PEAK DUO BLK ML G10+</v>
      </c>
      <c r="AY1259" s="471">
        <f>VLOOKUP($AW1259,'Item Master Data'!$A:$F,6,FALSE)</f>
        <v>400</v>
      </c>
      <c r="AZ1259" s="471">
        <f t="shared" si="250"/>
        <v>520</v>
      </c>
      <c r="BA1259" s="471">
        <f>VLOOKUP(AW1259,'Item Master Data'!$A:$G,7,FALSE)</f>
        <v>32</v>
      </c>
      <c r="BC1259" s="471">
        <f t="shared" si="251"/>
        <v>0</v>
      </c>
    </row>
    <row r="1260" spans="1:55" s="471" customFormat="1">
      <c r="A1260" s="472"/>
      <c r="B1260" s="449">
        <v>44607</v>
      </c>
      <c r="C1260" s="449">
        <v>44631</v>
      </c>
      <c r="D1260" s="474" t="s">
        <v>2901</v>
      </c>
      <c r="E1260" s="474" t="s">
        <v>2984</v>
      </c>
      <c r="F1260" s="474" t="s">
        <v>1147</v>
      </c>
      <c r="G1260" s="474">
        <v>2023</v>
      </c>
      <c r="H1260" s="474">
        <v>1</v>
      </c>
      <c r="I1260" s="474"/>
      <c r="J1260" s="475"/>
      <c r="K1260" s="474" t="s">
        <v>3158</v>
      </c>
      <c r="L1260" s="474" t="s">
        <v>3159</v>
      </c>
      <c r="M1260" s="475">
        <v>44607</v>
      </c>
      <c r="N1260" s="475">
        <v>44896</v>
      </c>
      <c r="O1260" s="475" t="s">
        <v>2365</v>
      </c>
      <c r="P1260" s="475"/>
      <c r="Q1260" s="475"/>
      <c r="R1260" s="475"/>
      <c r="S1260" s="474" t="s">
        <v>2904</v>
      </c>
      <c r="T1260" s="474">
        <v>60</v>
      </c>
      <c r="U1260" s="474">
        <v>49403140</v>
      </c>
      <c r="V1260" s="474" t="s">
        <v>973</v>
      </c>
      <c r="W1260" s="474">
        <v>400</v>
      </c>
      <c r="X1260" s="432">
        <v>11648</v>
      </c>
      <c r="Y1260" s="491">
        <f>X1260*W1260</f>
        <v>4659200</v>
      </c>
      <c r="Z1260" s="478">
        <v>0.5</v>
      </c>
      <c r="AA1260" s="492">
        <f t="shared" si="243"/>
        <v>2329600</v>
      </c>
      <c r="AB1260" s="492"/>
      <c r="AC1260" s="446">
        <v>0</v>
      </c>
      <c r="AD1260" s="490"/>
      <c r="AE1260" s="437"/>
      <c r="AF1260" s="580">
        <f>AA1260+AE1260</f>
        <v>2329600</v>
      </c>
      <c r="AG1260" s="474" t="s">
        <v>47</v>
      </c>
      <c r="AH1260" s="438"/>
      <c r="AI1260" s="474">
        <v>30</v>
      </c>
      <c r="AJ1260" s="484" t="s">
        <v>1083</v>
      </c>
      <c r="AK1260" s="474" t="s">
        <v>1084</v>
      </c>
      <c r="AL1260" s="483" t="s">
        <v>2934</v>
      </c>
      <c r="AM1260" s="474" t="s">
        <v>52</v>
      </c>
      <c r="AN1260" s="474" t="s">
        <v>1074</v>
      </c>
      <c r="AO1260" s="474"/>
      <c r="AP1260" s="486"/>
      <c r="AQ1260" s="439" t="s">
        <v>37</v>
      </c>
      <c r="AR1260" s="439" t="s">
        <v>2953</v>
      </c>
      <c r="AS1260" s="473" t="s">
        <v>1087</v>
      </c>
      <c r="AT1260" s="473" t="s">
        <v>1076</v>
      </c>
      <c r="AU1260" s="478">
        <v>0.5</v>
      </c>
      <c r="AV1260" s="471">
        <f t="shared" si="249"/>
        <v>49403140</v>
      </c>
      <c r="AW1260" s="471" cm="1">
        <f t="array" ref="AW1260">SUM(MID(0&amp;AV1260,LARGE(INDEX(ISNUMBER(--MID(AV1260,ROW($1:$8),1))*ROW($1:$8),),ROW($1:$8))+1,1)*10^ROW($1:$8)/10)</f>
        <v>49403140</v>
      </c>
      <c r="AX1260" s="471" t="str">
        <f>VLOOKUP($AW1260,'Item Master Data'!$A:$F,3,FALSE)</f>
        <v>Q.PEAK DUO BLK ML G10+</v>
      </c>
      <c r="AY1260" s="471">
        <f>VLOOKUP($AW1260,'Item Master Data'!$A:$F,6,FALSE)</f>
        <v>400</v>
      </c>
      <c r="AZ1260" s="471">
        <f t="shared" si="250"/>
        <v>364</v>
      </c>
      <c r="BA1260" s="471">
        <f>VLOOKUP(AW1260,'Item Master Data'!$A:$G,7,FALSE)</f>
        <v>32</v>
      </c>
      <c r="BC1260" s="471">
        <f t="shared" si="251"/>
        <v>0</v>
      </c>
    </row>
    <row r="1261" spans="1:55" s="471" customFormat="1">
      <c r="A1261" s="472"/>
      <c r="B1261" s="515">
        <v>44648</v>
      </c>
      <c r="C1261" s="515"/>
      <c r="D1261" s="485" t="s">
        <v>3186</v>
      </c>
      <c r="E1261" s="474" t="s">
        <v>3211</v>
      </c>
      <c r="F1261" s="474"/>
      <c r="G1261" s="474">
        <v>2022</v>
      </c>
      <c r="H1261" s="474">
        <v>3</v>
      </c>
      <c r="I1261" s="474">
        <v>127767</v>
      </c>
      <c r="J1261" s="475">
        <v>44651</v>
      </c>
      <c r="K1261" s="483" t="s">
        <v>3212</v>
      </c>
      <c r="L1261" s="474" t="s">
        <v>3188</v>
      </c>
      <c r="M1261" s="487">
        <v>44582</v>
      </c>
      <c r="N1261" s="487">
        <v>44742</v>
      </c>
      <c r="O1261" s="487"/>
      <c r="P1261" s="475">
        <v>44645</v>
      </c>
      <c r="Q1261" s="475">
        <v>44651</v>
      </c>
      <c r="R1261" s="475">
        <v>44654</v>
      </c>
      <c r="S1261" s="474" t="s">
        <v>2379</v>
      </c>
      <c r="T1261" s="474">
        <v>72</v>
      </c>
      <c r="U1261" s="474" t="s">
        <v>1103</v>
      </c>
      <c r="V1261" s="474" t="s">
        <v>1002</v>
      </c>
      <c r="W1261" s="474">
        <v>480</v>
      </c>
      <c r="X1261" s="476">
        <v>290</v>
      </c>
      <c r="Y1261" s="477">
        <f>X1261*W1261</f>
        <v>139200</v>
      </c>
      <c r="Z1261" s="478">
        <v>0.48</v>
      </c>
      <c r="AA1261" s="479">
        <f>Z1261*Y1261</f>
        <v>66816</v>
      </c>
      <c r="AB1261" s="480"/>
      <c r="AC1261" s="481">
        <f>AB1261*Y1261</f>
        <v>0</v>
      </c>
      <c r="AD1261" s="490"/>
      <c r="AE1261" s="482"/>
      <c r="AF1261" s="493">
        <f>AE1261+AD1261+AA1261</f>
        <v>66816</v>
      </c>
      <c r="AG1261" s="474" t="s">
        <v>1071</v>
      </c>
      <c r="AH1261" s="474"/>
      <c r="AI1261" s="483">
        <v>30</v>
      </c>
      <c r="AJ1261" s="474" t="s">
        <v>3213</v>
      </c>
      <c r="AK1261" s="494" t="s">
        <v>1221</v>
      </c>
      <c r="AL1261" s="474">
        <v>45701</v>
      </c>
      <c r="AM1261" s="474" t="s">
        <v>52</v>
      </c>
      <c r="AN1261" s="474" t="s">
        <v>50</v>
      </c>
      <c r="AO1261" s="474"/>
      <c r="AP1261" s="486" t="s">
        <v>38</v>
      </c>
      <c r="AQ1261" s="486" t="s">
        <v>37</v>
      </c>
      <c r="AR1261" s="486"/>
      <c r="AS1261" s="495"/>
      <c r="AT1261" s="495"/>
      <c r="AU1261" s="478"/>
    </row>
    <row r="1262" spans="1:55" s="471" customFormat="1">
      <c r="A1262" s="472"/>
      <c r="B1262" s="515">
        <v>44648</v>
      </c>
      <c r="C1262" s="515"/>
      <c r="D1262" s="485" t="s">
        <v>3186</v>
      </c>
      <c r="E1262" s="474" t="s">
        <v>3211</v>
      </c>
      <c r="F1262" s="474"/>
      <c r="G1262" s="474">
        <v>2022</v>
      </c>
      <c r="H1262" s="474">
        <v>3</v>
      </c>
      <c r="I1262" s="474">
        <v>127766</v>
      </c>
      <c r="J1262" s="475">
        <v>44651</v>
      </c>
      <c r="K1262" s="483" t="s">
        <v>3212</v>
      </c>
      <c r="L1262" s="474" t="s">
        <v>3188</v>
      </c>
      <c r="M1262" s="487">
        <v>44582</v>
      </c>
      <c r="N1262" s="487">
        <v>44742</v>
      </c>
      <c r="O1262" s="487"/>
      <c r="P1262" s="475">
        <v>44645</v>
      </c>
      <c r="Q1262" s="475">
        <v>44651</v>
      </c>
      <c r="R1262" s="475">
        <v>44656</v>
      </c>
      <c r="S1262" s="474" t="s">
        <v>2379</v>
      </c>
      <c r="T1262" s="474">
        <v>72</v>
      </c>
      <c r="U1262" s="474" t="s">
        <v>1103</v>
      </c>
      <c r="V1262" s="474" t="s">
        <v>1002</v>
      </c>
      <c r="W1262" s="474">
        <v>480</v>
      </c>
      <c r="X1262" s="476">
        <v>928</v>
      </c>
      <c r="Y1262" s="477">
        <f>X1262*W1262</f>
        <v>445440</v>
      </c>
      <c r="Z1262" s="478">
        <v>0.48</v>
      </c>
      <c r="AA1262" s="479">
        <f>Z1262*Y1262</f>
        <v>213811.19999999998</v>
      </c>
      <c r="AB1262" s="480"/>
      <c r="AC1262" s="481">
        <f>AB1262*Y1262</f>
        <v>0</v>
      </c>
      <c r="AD1262" s="490"/>
      <c r="AE1262" s="482"/>
      <c r="AF1262" s="493">
        <f>AE1262+AD1262+AA1262</f>
        <v>213811.19999999998</v>
      </c>
      <c r="AG1262" s="474" t="s">
        <v>1071</v>
      </c>
      <c r="AH1262" s="474"/>
      <c r="AI1262" s="483">
        <v>30</v>
      </c>
      <c r="AJ1262" s="474" t="s">
        <v>3214</v>
      </c>
      <c r="AK1262" s="494" t="s">
        <v>1221</v>
      </c>
      <c r="AL1262" s="474">
        <v>44125</v>
      </c>
      <c r="AM1262" s="474" t="s">
        <v>52</v>
      </c>
      <c r="AN1262" s="474" t="s">
        <v>50</v>
      </c>
      <c r="AO1262" s="474"/>
      <c r="AP1262" s="486" t="s">
        <v>38</v>
      </c>
      <c r="AQ1262" s="486" t="s">
        <v>37</v>
      </c>
      <c r="AR1262" s="486"/>
      <c r="AS1262" s="495"/>
      <c r="AT1262" s="495"/>
      <c r="AU1262" s="478"/>
    </row>
    <row r="1263" spans="1:55" s="471" customFormat="1">
      <c r="A1263" s="472"/>
      <c r="B1263" s="514">
        <v>44628</v>
      </c>
      <c r="C1263" s="514">
        <v>44629</v>
      </c>
      <c r="D1263" s="485" t="s">
        <v>3186</v>
      </c>
      <c r="E1263" s="474" t="s">
        <v>1283</v>
      </c>
      <c r="F1263" s="474"/>
      <c r="G1263" s="547">
        <v>2022</v>
      </c>
      <c r="H1263" s="547">
        <v>6</v>
      </c>
      <c r="I1263" s="547" t="s">
        <v>1676</v>
      </c>
      <c r="J1263" s="548"/>
      <c r="K1263" s="549" t="s">
        <v>3623</v>
      </c>
      <c r="L1263" s="547" t="s">
        <v>3188</v>
      </c>
      <c r="M1263" s="550">
        <v>44564</v>
      </c>
      <c r="N1263" s="550">
        <v>44717</v>
      </c>
      <c r="O1263" s="550"/>
      <c r="P1263" s="548"/>
      <c r="Q1263" s="548"/>
      <c r="R1263" s="548"/>
      <c r="S1263" s="547" t="s">
        <v>2379</v>
      </c>
      <c r="T1263" s="547">
        <v>60</v>
      </c>
      <c r="U1263" s="547"/>
      <c r="V1263" s="547" t="s">
        <v>973</v>
      </c>
      <c r="W1263" s="547">
        <v>400</v>
      </c>
      <c r="X1263" s="551">
        <v>726</v>
      </c>
      <c r="Y1263" s="477">
        <f>X1263*W1263</f>
        <v>290400</v>
      </c>
      <c r="Z1263" s="478">
        <v>0.55000000000000004</v>
      </c>
      <c r="AA1263" s="479">
        <f>Z1263*Y1263</f>
        <v>159720</v>
      </c>
      <c r="AB1263" s="480"/>
      <c r="AC1263" s="481">
        <f>AB1263*Y1263</f>
        <v>0</v>
      </c>
      <c r="AD1263" s="490"/>
      <c r="AE1263" s="482"/>
      <c r="AF1263" s="493">
        <f>AE1263+AD1263+AA1263</f>
        <v>159720</v>
      </c>
      <c r="AG1263" s="474" t="s">
        <v>1071</v>
      </c>
      <c r="AH1263" s="474"/>
      <c r="AI1263" s="483" t="s">
        <v>2374</v>
      </c>
      <c r="AJ1263" s="474" t="s">
        <v>3624</v>
      </c>
      <c r="AK1263" s="494" t="s">
        <v>3618</v>
      </c>
      <c r="AL1263" s="474">
        <v>63132</v>
      </c>
      <c r="AM1263" s="474" t="s">
        <v>52</v>
      </c>
      <c r="AN1263" s="474"/>
      <c r="AO1263" s="474"/>
      <c r="AP1263" s="486"/>
      <c r="AQ1263" s="486" t="s">
        <v>37</v>
      </c>
      <c r="AR1263" s="486"/>
      <c r="AS1263" s="495"/>
      <c r="AT1263" s="472"/>
      <c r="AU1263" s="478">
        <v>0.55000000000000004</v>
      </c>
    </row>
    <row r="1264" spans="1:55" s="471" customFormat="1">
      <c r="A1264" s="472"/>
      <c r="B1264" s="515">
        <v>44599</v>
      </c>
      <c r="C1264" s="515">
        <v>44634</v>
      </c>
      <c r="D1264" s="485" t="s">
        <v>3186</v>
      </c>
      <c r="E1264" s="474" t="s">
        <v>1283</v>
      </c>
      <c r="F1264" s="474"/>
      <c r="G1264" s="474">
        <v>2022</v>
      </c>
      <c r="H1264" s="474">
        <v>6</v>
      </c>
      <c r="I1264" s="474" t="s">
        <v>1676</v>
      </c>
      <c r="J1264" s="475"/>
      <c r="K1264" s="483" t="s">
        <v>3622</v>
      </c>
      <c r="L1264" s="474" t="s">
        <v>3188</v>
      </c>
      <c r="M1264" s="487">
        <v>44599</v>
      </c>
      <c r="N1264" s="487">
        <v>44713</v>
      </c>
      <c r="O1264" s="487"/>
      <c r="P1264" s="475"/>
      <c r="Q1264" s="475"/>
      <c r="R1264" s="475"/>
      <c r="S1264" s="474" t="s">
        <v>2379</v>
      </c>
      <c r="T1264" s="474">
        <v>60</v>
      </c>
      <c r="U1264" s="474"/>
      <c r="V1264" s="474" t="s">
        <v>973</v>
      </c>
      <c r="W1264" s="474">
        <v>400</v>
      </c>
      <c r="X1264" s="476">
        <v>320</v>
      </c>
      <c r="Y1264" s="477">
        <f>X1264*W1264</f>
        <v>128000</v>
      </c>
      <c r="Z1264" s="478">
        <v>0.57999999999999996</v>
      </c>
      <c r="AA1264" s="479">
        <f>Z1264*Y1264</f>
        <v>74240</v>
      </c>
      <c r="AB1264" s="480"/>
      <c r="AC1264" s="481">
        <f>AB1264*Y1264</f>
        <v>0</v>
      </c>
      <c r="AD1264" s="490"/>
      <c r="AE1264" s="482"/>
      <c r="AF1264" s="493">
        <f>AE1264+AD1264+AA1264</f>
        <v>74240</v>
      </c>
      <c r="AG1264" s="474" t="s">
        <v>47</v>
      </c>
      <c r="AH1264" s="474"/>
      <c r="AI1264" s="483" t="s">
        <v>2374</v>
      </c>
      <c r="AJ1264" s="474" t="s">
        <v>1822</v>
      </c>
      <c r="AK1264" s="494" t="s">
        <v>1823</v>
      </c>
      <c r="AL1264" s="474">
        <v>97702</v>
      </c>
      <c r="AM1264" s="474" t="s">
        <v>52</v>
      </c>
      <c r="AN1264" s="474"/>
      <c r="AO1264" s="474"/>
      <c r="AP1264" s="486"/>
      <c r="AQ1264" s="486" t="s">
        <v>37</v>
      </c>
      <c r="AR1264" s="486"/>
      <c r="AS1264" s="495"/>
      <c r="AT1264" s="495"/>
      <c r="AU1264" s="478">
        <v>0.55000000000000004</v>
      </c>
    </row>
    <row r="1265" spans="1:47" s="471" customFormat="1">
      <c r="A1265" s="472"/>
      <c r="B1265" s="515">
        <v>44559</v>
      </c>
      <c r="C1265" s="515">
        <v>44634</v>
      </c>
      <c r="D1265" s="485" t="s">
        <v>3186</v>
      </c>
      <c r="E1265" s="474" t="s">
        <v>1283</v>
      </c>
      <c r="F1265" s="474"/>
      <c r="G1265" s="474">
        <v>2022</v>
      </c>
      <c r="H1265" s="474">
        <v>6</v>
      </c>
      <c r="I1265" s="474" t="s">
        <v>1676</v>
      </c>
      <c r="J1265" s="475"/>
      <c r="K1265" s="483" t="s">
        <v>3621</v>
      </c>
      <c r="L1265" s="474" t="s">
        <v>3188</v>
      </c>
      <c r="M1265" s="487">
        <v>44559</v>
      </c>
      <c r="N1265" s="487">
        <v>44713</v>
      </c>
      <c r="O1265" s="487"/>
      <c r="P1265" s="475"/>
      <c r="Q1265" s="475"/>
      <c r="R1265" s="475"/>
      <c r="S1265" s="474" t="s">
        <v>2379</v>
      </c>
      <c r="T1265" s="474">
        <v>60</v>
      </c>
      <c r="U1265" s="474"/>
      <c r="V1265" s="474" t="s">
        <v>973</v>
      </c>
      <c r="W1265" s="474">
        <v>400</v>
      </c>
      <c r="X1265" s="476">
        <v>320</v>
      </c>
      <c r="Y1265" s="477">
        <f>X1265*W1265</f>
        <v>128000</v>
      </c>
      <c r="Z1265" s="478">
        <v>0.55000000000000004</v>
      </c>
      <c r="AA1265" s="479">
        <f>Z1265*Y1265</f>
        <v>70400</v>
      </c>
      <c r="AB1265" s="480"/>
      <c r="AC1265" s="481">
        <f>AB1265*Y1265</f>
        <v>0</v>
      </c>
      <c r="AD1265" s="490"/>
      <c r="AE1265" s="482"/>
      <c r="AF1265" s="493">
        <f>AE1265+AD1265+AA1265</f>
        <v>70400</v>
      </c>
      <c r="AG1265" s="474" t="s">
        <v>47</v>
      </c>
      <c r="AH1265" s="474"/>
      <c r="AI1265" s="483" t="s">
        <v>2374</v>
      </c>
      <c r="AJ1265" s="474" t="s">
        <v>1822</v>
      </c>
      <c r="AK1265" s="494" t="s">
        <v>1823</v>
      </c>
      <c r="AL1265" s="474">
        <v>97702</v>
      </c>
      <c r="AM1265" s="474" t="s">
        <v>52</v>
      </c>
      <c r="AN1265" s="474"/>
      <c r="AO1265" s="474"/>
      <c r="AP1265" s="486"/>
      <c r="AQ1265" s="486" t="s">
        <v>37</v>
      </c>
      <c r="AR1265" s="486"/>
      <c r="AS1265" s="495"/>
      <c r="AT1265" s="495"/>
      <c r="AU1265" s="478">
        <v>0.55000000000000004</v>
      </c>
    </row>
    <row r="1266" spans="1:47" s="471" customFormat="1">
      <c r="A1266" s="472"/>
      <c r="B1266" s="515">
        <v>44617</v>
      </c>
      <c r="C1266" s="515">
        <v>44617</v>
      </c>
      <c r="D1266" s="485" t="s">
        <v>3186</v>
      </c>
      <c r="E1266" s="474" t="s">
        <v>1283</v>
      </c>
      <c r="F1266" s="474"/>
      <c r="G1266" s="474">
        <v>2022</v>
      </c>
      <c r="H1266" s="474">
        <v>9</v>
      </c>
      <c r="I1266" s="474" t="s">
        <v>1676</v>
      </c>
      <c r="J1266" s="475"/>
      <c r="K1266" s="483" t="s">
        <v>3534</v>
      </c>
      <c r="L1266" s="474" t="s">
        <v>3188</v>
      </c>
      <c r="M1266" s="487">
        <v>44617</v>
      </c>
      <c r="N1266" s="487">
        <v>44818</v>
      </c>
      <c r="O1266" s="487"/>
      <c r="P1266" s="475"/>
      <c r="Q1266" s="475"/>
      <c r="R1266" s="475"/>
      <c r="S1266" s="474" t="s">
        <v>2379</v>
      </c>
      <c r="T1266" s="474">
        <v>60</v>
      </c>
      <c r="U1266" s="474"/>
      <c r="V1266" s="474" t="s">
        <v>973</v>
      </c>
      <c r="W1266" s="474">
        <v>400</v>
      </c>
      <c r="X1266" s="476">
        <v>320</v>
      </c>
      <c r="Y1266" s="477">
        <f>X1266*W1266</f>
        <v>128000</v>
      </c>
      <c r="Z1266" s="478">
        <v>0.55000000000000004</v>
      </c>
      <c r="AA1266" s="479">
        <f>Z1266*Y1266</f>
        <v>70400</v>
      </c>
      <c r="AB1266" s="480"/>
      <c r="AC1266" s="481">
        <f>AB1266*Y1266</f>
        <v>0</v>
      </c>
      <c r="AD1266" s="490"/>
      <c r="AE1266" s="482"/>
      <c r="AF1266" s="493">
        <f>AE1266+AD1266+AA1266</f>
        <v>70400</v>
      </c>
      <c r="AG1266" s="474" t="s">
        <v>47</v>
      </c>
      <c r="AH1266" s="474"/>
      <c r="AI1266" s="483" t="s">
        <v>2374</v>
      </c>
      <c r="AJ1266" s="474" t="s">
        <v>3484</v>
      </c>
      <c r="AK1266" s="494" t="s">
        <v>2362</v>
      </c>
      <c r="AL1266" s="474">
        <v>81623</v>
      </c>
      <c r="AM1266" s="474" t="s">
        <v>52</v>
      </c>
      <c r="AN1266" s="474"/>
      <c r="AO1266" s="474"/>
      <c r="AP1266" s="486"/>
      <c r="AQ1266" s="486" t="s">
        <v>37</v>
      </c>
      <c r="AR1266" s="486"/>
      <c r="AS1266" s="495"/>
      <c r="AT1266" s="495"/>
      <c r="AU1266" s="478">
        <v>0.55000000000000004</v>
      </c>
    </row>
    <row r="1267" spans="1:47" s="471" customFormat="1">
      <c r="A1267" s="472"/>
      <c r="B1267" s="515">
        <v>44670</v>
      </c>
      <c r="C1267" s="515">
        <v>44670</v>
      </c>
      <c r="D1267" s="485" t="s">
        <v>3186</v>
      </c>
      <c r="E1267" s="474" t="s">
        <v>1283</v>
      </c>
      <c r="F1267" s="474"/>
      <c r="G1267" s="474">
        <v>2022</v>
      </c>
      <c r="H1267" s="474">
        <v>8</v>
      </c>
      <c r="I1267" s="474"/>
      <c r="J1267" s="475"/>
      <c r="K1267" s="483" t="s">
        <v>3483</v>
      </c>
      <c r="L1267" s="474" t="s">
        <v>3188</v>
      </c>
      <c r="M1267" s="487">
        <v>44581</v>
      </c>
      <c r="N1267" s="487">
        <v>44804</v>
      </c>
      <c r="O1267" s="487"/>
      <c r="P1267" s="475"/>
      <c r="Q1267" s="475"/>
      <c r="R1267" s="475"/>
      <c r="S1267" s="474" t="s">
        <v>2379</v>
      </c>
      <c r="T1267" s="474">
        <v>72</v>
      </c>
      <c r="U1267" s="474"/>
      <c r="V1267" s="474" t="s">
        <v>1070</v>
      </c>
      <c r="W1267" s="474">
        <v>480</v>
      </c>
      <c r="X1267" s="476">
        <v>464</v>
      </c>
      <c r="Y1267" s="477">
        <f>X1267*W1267</f>
        <v>222720</v>
      </c>
      <c r="Z1267" s="478">
        <v>0.48</v>
      </c>
      <c r="AA1267" s="479">
        <f>Z1267*Y1267</f>
        <v>106905.59999999999</v>
      </c>
      <c r="AB1267" s="480"/>
      <c r="AC1267" s="481">
        <f>AB1267*Y1267</f>
        <v>0</v>
      </c>
      <c r="AD1267" s="490"/>
      <c r="AE1267" s="482"/>
      <c r="AF1267" s="493">
        <f>AE1267+AD1267+AA1267</f>
        <v>106905.59999999999</v>
      </c>
      <c r="AG1267" s="474" t="s">
        <v>47</v>
      </c>
      <c r="AH1267" s="474"/>
      <c r="AI1267" s="483">
        <v>30</v>
      </c>
      <c r="AJ1267" s="474" t="s">
        <v>3484</v>
      </c>
      <c r="AK1267" s="494" t="s">
        <v>2362</v>
      </c>
      <c r="AL1267" s="474">
        <v>81623</v>
      </c>
      <c r="AM1267" s="474" t="s">
        <v>52</v>
      </c>
      <c r="AN1267" s="474"/>
      <c r="AO1267" s="474"/>
      <c r="AP1267" s="486"/>
      <c r="AQ1267" s="486" t="s">
        <v>37</v>
      </c>
      <c r="AR1267" s="486"/>
      <c r="AS1267" s="495"/>
      <c r="AT1267" s="495"/>
      <c r="AU1267" s="478"/>
    </row>
    <row r="1268" spans="1:47" s="471" customFormat="1">
      <c r="A1268" s="472"/>
      <c r="B1268" s="515">
        <v>44659</v>
      </c>
      <c r="C1268" s="515" t="s">
        <v>5510</v>
      </c>
      <c r="D1268" s="485" t="s">
        <v>3186</v>
      </c>
      <c r="E1268" s="474" t="s">
        <v>3668</v>
      </c>
      <c r="F1268" s="474"/>
      <c r="G1268" s="474">
        <v>2022</v>
      </c>
      <c r="H1268" s="474"/>
      <c r="I1268" s="474" t="s">
        <v>1676</v>
      </c>
      <c r="J1268" s="475"/>
      <c r="K1268" s="483" t="s">
        <v>3669</v>
      </c>
      <c r="L1268" s="474" t="s">
        <v>3188</v>
      </c>
      <c r="M1268" s="487">
        <v>44657</v>
      </c>
      <c r="N1268" s="487">
        <v>44728</v>
      </c>
      <c r="O1268" s="487"/>
      <c r="P1268" s="475"/>
      <c r="Q1268" s="475"/>
      <c r="R1268" s="475"/>
      <c r="S1268" s="474" t="s">
        <v>2379</v>
      </c>
      <c r="T1268" s="474">
        <v>72</v>
      </c>
      <c r="U1268" s="474"/>
      <c r="V1268" s="474" t="s">
        <v>1070</v>
      </c>
      <c r="W1268" s="474">
        <v>480</v>
      </c>
      <c r="X1268" s="476">
        <v>319</v>
      </c>
      <c r="Y1268" s="477">
        <f>X1268*W1268</f>
        <v>153120</v>
      </c>
      <c r="Z1268" s="478">
        <v>0.48</v>
      </c>
      <c r="AA1268" s="479">
        <f>Z1268*Y1268</f>
        <v>73497.599999999991</v>
      </c>
      <c r="AB1268" s="480"/>
      <c r="AC1268" s="481">
        <f>AB1268*Y1268</f>
        <v>0</v>
      </c>
      <c r="AD1268" s="490"/>
      <c r="AE1268" s="482"/>
      <c r="AF1268" s="493">
        <f>AE1268+AD1268+AA1268</f>
        <v>73497.599999999991</v>
      </c>
      <c r="AG1268" s="474" t="s">
        <v>47</v>
      </c>
      <c r="AH1268" s="474"/>
      <c r="AI1268" s="483" t="s">
        <v>2374</v>
      </c>
      <c r="AJ1268" s="474" t="s">
        <v>3484</v>
      </c>
      <c r="AK1268" s="494" t="s">
        <v>2362</v>
      </c>
      <c r="AL1268" s="474">
        <v>81623</v>
      </c>
      <c r="AM1268" s="474" t="s">
        <v>52</v>
      </c>
      <c r="AN1268" s="474"/>
      <c r="AO1268" s="474"/>
      <c r="AP1268" s="486"/>
      <c r="AQ1268" s="486" t="s">
        <v>37</v>
      </c>
      <c r="AR1268" s="486"/>
      <c r="AS1268" s="495"/>
      <c r="AT1268" s="495"/>
      <c r="AU1268" s="478">
        <v>0.55000000000000004</v>
      </c>
    </row>
    <row r="1269" spans="1:47" s="471" customFormat="1">
      <c r="A1269" s="472" t="s">
        <v>3190</v>
      </c>
      <c r="B1269" s="515">
        <v>44638</v>
      </c>
      <c r="C1269" s="515">
        <v>44638</v>
      </c>
      <c r="D1269" s="485" t="s">
        <v>3186</v>
      </c>
      <c r="E1269" s="474"/>
      <c r="F1269" s="474"/>
      <c r="G1269" s="474">
        <v>2022</v>
      </c>
      <c r="H1269" s="474">
        <v>3</v>
      </c>
      <c r="I1269" s="474">
        <v>127676</v>
      </c>
      <c r="J1269" s="475">
        <v>44648</v>
      </c>
      <c r="K1269" s="483" t="s">
        <v>3205</v>
      </c>
      <c r="L1269" s="474" t="s">
        <v>3188</v>
      </c>
      <c r="M1269" s="487">
        <v>44405</v>
      </c>
      <c r="N1269" s="487">
        <v>44643</v>
      </c>
      <c r="O1269" s="487"/>
      <c r="P1269" s="475">
        <v>44638</v>
      </c>
      <c r="Q1269" s="475">
        <v>44648</v>
      </c>
      <c r="R1269" s="475">
        <v>44650</v>
      </c>
      <c r="S1269" s="474" t="s">
        <v>2379</v>
      </c>
      <c r="T1269" s="474">
        <v>60</v>
      </c>
      <c r="U1269" s="474">
        <v>46213128</v>
      </c>
      <c r="V1269" s="474" t="s">
        <v>2097</v>
      </c>
      <c r="W1269" s="474">
        <v>340</v>
      </c>
      <c r="X1269" s="476">
        <v>52</v>
      </c>
      <c r="Y1269" s="477">
        <f>X1269*W1269</f>
        <v>17680</v>
      </c>
      <c r="Z1269" s="478">
        <v>0.75</v>
      </c>
      <c r="AA1269" s="479">
        <f>Z1269*Y1269</f>
        <v>13260</v>
      </c>
      <c r="AB1269" s="480"/>
      <c r="AC1269" s="481">
        <f>AB1269*Y1269</f>
        <v>0</v>
      </c>
      <c r="AD1269" s="490"/>
      <c r="AE1269" s="482"/>
      <c r="AF1269" s="493">
        <f>AE1269+AD1269+AA1269</f>
        <v>13260</v>
      </c>
      <c r="AG1269" s="474" t="s">
        <v>1071</v>
      </c>
      <c r="AH1269" s="474"/>
      <c r="AI1269" s="483">
        <v>45</v>
      </c>
      <c r="AJ1269" s="474" t="s">
        <v>3206</v>
      </c>
      <c r="AK1269" s="494" t="s">
        <v>2362</v>
      </c>
      <c r="AL1269" s="474">
        <v>81623</v>
      </c>
      <c r="AM1269" s="474" t="s">
        <v>52</v>
      </c>
      <c r="AN1269" s="474" t="s">
        <v>1158</v>
      </c>
      <c r="AO1269" s="474"/>
      <c r="AP1269" s="486"/>
      <c r="AQ1269" s="486" t="s">
        <v>37</v>
      </c>
      <c r="AR1269" s="486"/>
      <c r="AS1269" s="495" t="s">
        <v>1076</v>
      </c>
      <c r="AT1269" s="495" t="s">
        <v>1076</v>
      </c>
      <c r="AU1269" s="478"/>
    </row>
    <row r="1270" spans="1:47" s="471" customFormat="1">
      <c r="A1270" s="472" t="s">
        <v>3190</v>
      </c>
      <c r="B1270" s="515">
        <v>44638</v>
      </c>
      <c r="C1270" s="515">
        <v>44638</v>
      </c>
      <c r="D1270" s="485" t="s">
        <v>3186</v>
      </c>
      <c r="E1270" s="474"/>
      <c r="F1270" s="474"/>
      <c r="G1270" s="474">
        <v>2022</v>
      </c>
      <c r="H1270" s="474">
        <v>3</v>
      </c>
      <c r="I1270" s="474">
        <v>127676</v>
      </c>
      <c r="J1270" s="475">
        <v>44648</v>
      </c>
      <c r="K1270" s="483" t="s">
        <v>3205</v>
      </c>
      <c r="L1270" s="474" t="s">
        <v>3188</v>
      </c>
      <c r="M1270" s="487">
        <v>44405</v>
      </c>
      <c r="N1270" s="487">
        <v>44643</v>
      </c>
      <c r="O1270" s="487"/>
      <c r="P1270" s="475">
        <v>44638</v>
      </c>
      <c r="Q1270" s="475">
        <v>44648</v>
      </c>
      <c r="R1270" s="475">
        <v>44650</v>
      </c>
      <c r="S1270" s="474" t="s">
        <v>2379</v>
      </c>
      <c r="T1270" s="474">
        <v>60</v>
      </c>
      <c r="U1270" s="474">
        <v>46221128</v>
      </c>
      <c r="V1270" s="474" t="s">
        <v>2097</v>
      </c>
      <c r="W1270" s="474">
        <v>340</v>
      </c>
      <c r="X1270" s="476">
        <v>78</v>
      </c>
      <c r="Y1270" s="477">
        <f>X1270*W1270</f>
        <v>26520</v>
      </c>
      <c r="Z1270" s="478">
        <v>0.75</v>
      </c>
      <c r="AA1270" s="479">
        <f>Z1270*Y1270</f>
        <v>19890</v>
      </c>
      <c r="AB1270" s="480"/>
      <c r="AC1270" s="481">
        <f>AB1270*Y1270</f>
        <v>0</v>
      </c>
      <c r="AD1270" s="490"/>
      <c r="AE1270" s="482"/>
      <c r="AF1270" s="493">
        <f>AE1270+AD1270+AA1270</f>
        <v>19890</v>
      </c>
      <c r="AG1270" s="474" t="s">
        <v>1071</v>
      </c>
      <c r="AH1270" s="474"/>
      <c r="AI1270" s="483">
        <v>45</v>
      </c>
      <c r="AJ1270" s="474" t="s">
        <v>3206</v>
      </c>
      <c r="AK1270" s="494" t="s">
        <v>2362</v>
      </c>
      <c r="AL1270" s="474">
        <v>81623</v>
      </c>
      <c r="AM1270" s="474" t="s">
        <v>52</v>
      </c>
      <c r="AN1270" s="474" t="s">
        <v>1158</v>
      </c>
      <c r="AO1270" s="474"/>
      <c r="AP1270" s="486"/>
      <c r="AQ1270" s="486" t="s">
        <v>37</v>
      </c>
      <c r="AR1270" s="486"/>
      <c r="AS1270" s="495" t="s">
        <v>1076</v>
      </c>
      <c r="AT1270" s="495" t="s">
        <v>1076</v>
      </c>
      <c r="AU1270" s="478"/>
    </row>
    <row r="1271" spans="1:47" s="471" customFormat="1">
      <c r="A1271" s="472" t="s">
        <v>3190</v>
      </c>
      <c r="B1271" s="515">
        <v>44638</v>
      </c>
      <c r="C1271" s="515">
        <v>44638</v>
      </c>
      <c r="D1271" s="485" t="s">
        <v>3186</v>
      </c>
      <c r="E1271" s="474"/>
      <c r="F1271" s="474"/>
      <c r="G1271" s="474">
        <v>2022</v>
      </c>
      <c r="H1271" s="474">
        <v>3</v>
      </c>
      <c r="I1271" s="474">
        <v>127602</v>
      </c>
      <c r="J1271" s="475">
        <v>44649</v>
      </c>
      <c r="K1271" s="483" t="s">
        <v>3205</v>
      </c>
      <c r="L1271" s="474" t="s">
        <v>3188</v>
      </c>
      <c r="M1271" s="487">
        <v>44405</v>
      </c>
      <c r="N1271" s="487">
        <v>44643</v>
      </c>
      <c r="O1271" s="487"/>
      <c r="P1271" s="475">
        <v>44638</v>
      </c>
      <c r="Q1271" s="475">
        <v>44649</v>
      </c>
      <c r="R1271" s="475">
        <v>44650</v>
      </c>
      <c r="S1271" s="474" t="s">
        <v>2379</v>
      </c>
      <c r="T1271" s="474">
        <v>60</v>
      </c>
      <c r="U1271" s="474" t="s">
        <v>3207</v>
      </c>
      <c r="V1271" s="474" t="s">
        <v>3208</v>
      </c>
      <c r="W1271" s="474">
        <v>340</v>
      </c>
      <c r="X1271" s="476">
        <v>18</v>
      </c>
      <c r="Y1271" s="477">
        <f>X1271*W1271</f>
        <v>6120</v>
      </c>
      <c r="Z1271" s="478">
        <v>0.48499999999999999</v>
      </c>
      <c r="AA1271" s="479">
        <f>Z1271*Y1271</f>
        <v>2968.2</v>
      </c>
      <c r="AB1271" s="480"/>
      <c r="AC1271" s="481">
        <f>AB1271*Y1271</f>
        <v>0</v>
      </c>
      <c r="AD1271" s="490"/>
      <c r="AE1271" s="482"/>
      <c r="AF1271" s="493">
        <f>AE1271+AD1271+AA1271</f>
        <v>2968.2</v>
      </c>
      <c r="AG1271" s="474" t="s">
        <v>1071</v>
      </c>
      <c r="AH1271" s="474"/>
      <c r="AI1271" s="483">
        <v>45</v>
      </c>
      <c r="AJ1271" s="474" t="s">
        <v>3206</v>
      </c>
      <c r="AK1271" s="494" t="s">
        <v>2362</v>
      </c>
      <c r="AL1271" s="474">
        <v>81623</v>
      </c>
      <c r="AM1271" s="474" t="s">
        <v>52</v>
      </c>
      <c r="AN1271" s="474" t="s">
        <v>50</v>
      </c>
      <c r="AO1271" s="474"/>
      <c r="AP1271" s="486" t="s">
        <v>38</v>
      </c>
      <c r="AQ1271" s="486" t="s">
        <v>37</v>
      </c>
      <c r="AR1271" s="486"/>
      <c r="AS1271" s="495" t="s">
        <v>1076</v>
      </c>
      <c r="AT1271" s="495" t="s">
        <v>1076</v>
      </c>
      <c r="AU1271" s="478"/>
    </row>
    <row r="1272" spans="1:47" s="471" customFormat="1">
      <c r="A1272" s="472" t="s">
        <v>3190</v>
      </c>
      <c r="B1272" s="515">
        <v>44638</v>
      </c>
      <c r="C1272" s="515">
        <v>44638</v>
      </c>
      <c r="D1272" s="485" t="s">
        <v>3186</v>
      </c>
      <c r="E1272" s="474"/>
      <c r="F1272" s="474"/>
      <c r="G1272" s="474">
        <v>2022</v>
      </c>
      <c r="H1272" s="474">
        <v>3</v>
      </c>
      <c r="I1272" s="474">
        <v>127602</v>
      </c>
      <c r="J1272" s="475">
        <v>44649</v>
      </c>
      <c r="K1272" s="483" t="s">
        <v>3205</v>
      </c>
      <c r="L1272" s="474" t="s">
        <v>3188</v>
      </c>
      <c r="M1272" s="487">
        <v>44405</v>
      </c>
      <c r="N1272" s="487">
        <v>44643</v>
      </c>
      <c r="O1272" s="487"/>
      <c r="P1272" s="475">
        <v>44638</v>
      </c>
      <c r="Q1272" s="475">
        <v>44644</v>
      </c>
      <c r="R1272" s="475">
        <v>44651</v>
      </c>
      <c r="S1272" s="474" t="s">
        <v>2379</v>
      </c>
      <c r="T1272" s="474">
        <v>60</v>
      </c>
      <c r="U1272" s="474" t="s">
        <v>3209</v>
      </c>
      <c r="V1272" s="474" t="s">
        <v>3208</v>
      </c>
      <c r="W1272" s="474">
        <v>340</v>
      </c>
      <c r="X1272" s="476">
        <v>31</v>
      </c>
      <c r="Y1272" s="477">
        <f>X1272*W1272</f>
        <v>10540</v>
      </c>
      <c r="Z1272" s="478">
        <v>0.48499999999999999</v>
      </c>
      <c r="AA1272" s="479">
        <f>Z1272*Y1272</f>
        <v>5111.8999999999996</v>
      </c>
      <c r="AB1272" s="480"/>
      <c r="AC1272" s="481">
        <f>AB1272*Y1272</f>
        <v>0</v>
      </c>
      <c r="AD1272" s="490"/>
      <c r="AE1272" s="482"/>
      <c r="AF1272" s="493">
        <f>AE1272+AD1272+AA1272</f>
        <v>5111.8999999999996</v>
      </c>
      <c r="AG1272" s="474" t="s">
        <v>1071</v>
      </c>
      <c r="AH1272" s="474"/>
      <c r="AI1272" s="483">
        <v>45</v>
      </c>
      <c r="AJ1272" s="474" t="s">
        <v>3206</v>
      </c>
      <c r="AK1272" s="494" t="s">
        <v>2362</v>
      </c>
      <c r="AL1272" s="474">
        <v>81623</v>
      </c>
      <c r="AM1272" s="474" t="s">
        <v>52</v>
      </c>
      <c r="AN1272" s="474" t="s">
        <v>50</v>
      </c>
      <c r="AO1272" s="474"/>
      <c r="AP1272" s="486" t="s">
        <v>38</v>
      </c>
      <c r="AQ1272" s="486" t="s">
        <v>37</v>
      </c>
      <c r="AR1272" s="486"/>
      <c r="AS1272" s="495" t="s">
        <v>1076</v>
      </c>
      <c r="AT1272" s="495" t="s">
        <v>1076</v>
      </c>
      <c r="AU1272" s="478"/>
    </row>
    <row r="1273" spans="1:47" s="471" customFormat="1">
      <c r="A1273" s="472" t="s">
        <v>3190</v>
      </c>
      <c r="B1273" s="515">
        <v>44638</v>
      </c>
      <c r="C1273" s="515">
        <v>44638</v>
      </c>
      <c r="D1273" s="485" t="s">
        <v>3186</v>
      </c>
      <c r="E1273" s="474"/>
      <c r="F1273" s="474"/>
      <c r="G1273" s="474">
        <v>2022</v>
      </c>
      <c r="H1273" s="474">
        <v>3</v>
      </c>
      <c r="I1273" s="474">
        <v>127602</v>
      </c>
      <c r="J1273" s="475">
        <v>44649</v>
      </c>
      <c r="K1273" s="483" t="s">
        <v>3205</v>
      </c>
      <c r="L1273" s="474" t="s">
        <v>3188</v>
      </c>
      <c r="M1273" s="487">
        <v>44405</v>
      </c>
      <c r="N1273" s="487">
        <v>44643</v>
      </c>
      <c r="O1273" s="487"/>
      <c r="P1273" s="475">
        <v>44638</v>
      </c>
      <c r="Q1273" s="475">
        <v>44649</v>
      </c>
      <c r="R1273" s="475">
        <v>44650</v>
      </c>
      <c r="S1273" s="474" t="s">
        <v>2379</v>
      </c>
      <c r="T1273" s="474">
        <v>60</v>
      </c>
      <c r="U1273" s="474" t="s">
        <v>3210</v>
      </c>
      <c r="V1273" s="474" t="s">
        <v>3208</v>
      </c>
      <c r="W1273" s="474">
        <v>340</v>
      </c>
      <c r="X1273" s="476">
        <v>3</v>
      </c>
      <c r="Y1273" s="477">
        <f>X1273*W1273</f>
        <v>1020</v>
      </c>
      <c r="Z1273" s="478">
        <v>0.48499999999999999</v>
      </c>
      <c r="AA1273" s="479">
        <f>Z1273*Y1273</f>
        <v>494.7</v>
      </c>
      <c r="AB1273" s="480"/>
      <c r="AC1273" s="481">
        <f>AB1273*Y1273</f>
        <v>0</v>
      </c>
      <c r="AD1273" s="490"/>
      <c r="AE1273" s="482"/>
      <c r="AF1273" s="493">
        <f>AE1273+AD1273+AA1273</f>
        <v>494.7</v>
      </c>
      <c r="AG1273" s="474" t="s">
        <v>1071</v>
      </c>
      <c r="AH1273" s="474"/>
      <c r="AI1273" s="483">
        <v>45</v>
      </c>
      <c r="AJ1273" s="474" t="s">
        <v>3206</v>
      </c>
      <c r="AK1273" s="494" t="s">
        <v>2362</v>
      </c>
      <c r="AL1273" s="474">
        <v>81623</v>
      </c>
      <c r="AM1273" s="474" t="s">
        <v>52</v>
      </c>
      <c r="AN1273" s="474" t="s">
        <v>50</v>
      </c>
      <c r="AO1273" s="474"/>
      <c r="AP1273" s="486" t="s">
        <v>38</v>
      </c>
      <c r="AQ1273" s="486" t="s">
        <v>37</v>
      </c>
      <c r="AR1273" s="486"/>
      <c r="AS1273" s="495" t="s">
        <v>1076</v>
      </c>
      <c r="AT1273" s="495" t="s">
        <v>1076</v>
      </c>
      <c r="AU1273" s="478"/>
    </row>
    <row r="1274" spans="1:47" s="471" customFormat="1">
      <c r="A1274" s="472"/>
      <c r="B1274" s="515">
        <v>44523</v>
      </c>
      <c r="C1274" s="515">
        <v>44544</v>
      </c>
      <c r="D1274" s="485" t="s">
        <v>3186</v>
      </c>
      <c r="E1274" s="474" t="s">
        <v>3379</v>
      </c>
      <c r="F1274" s="474"/>
      <c r="G1274" s="474">
        <v>2022</v>
      </c>
      <c r="H1274" s="474">
        <v>5</v>
      </c>
      <c r="I1274" s="474">
        <v>2005247</v>
      </c>
      <c r="J1274" s="475"/>
      <c r="K1274" s="483" t="s">
        <v>3380</v>
      </c>
      <c r="L1274" s="474" t="s">
        <v>3188</v>
      </c>
      <c r="M1274" s="487">
        <v>44522</v>
      </c>
      <c r="N1274" s="487"/>
      <c r="O1274" s="487"/>
      <c r="P1274" s="475"/>
      <c r="Q1274" s="475"/>
      <c r="R1274" s="475"/>
      <c r="S1274" s="474" t="s">
        <v>2379</v>
      </c>
      <c r="T1274" s="474">
        <v>60</v>
      </c>
      <c r="U1274" s="474" t="s">
        <v>1109</v>
      </c>
      <c r="V1274" s="474" t="s">
        <v>986</v>
      </c>
      <c r="W1274" s="474">
        <v>360</v>
      </c>
      <c r="X1274" s="476">
        <v>832</v>
      </c>
      <c r="Y1274" s="477">
        <f>X1274*W1274</f>
        <v>299520</v>
      </c>
      <c r="Z1274" s="478">
        <v>0.53</v>
      </c>
      <c r="AA1274" s="479">
        <f>Z1274*Y1274</f>
        <v>158745.60000000001</v>
      </c>
      <c r="AB1274" s="480"/>
      <c r="AC1274" s="481">
        <f>AB1274*Y1274</f>
        <v>0</v>
      </c>
      <c r="AD1274" s="490"/>
      <c r="AE1274" s="482">
        <v>8512.9</v>
      </c>
      <c r="AF1274" s="493">
        <f>AE1274+AD1274+AA1274</f>
        <v>167258.5</v>
      </c>
      <c r="AG1274" s="474" t="s">
        <v>47</v>
      </c>
      <c r="AH1274" s="474">
        <v>100</v>
      </c>
      <c r="AI1274" s="483"/>
      <c r="AJ1274" s="474" t="s">
        <v>3381</v>
      </c>
      <c r="AK1274" s="494" t="s">
        <v>2362</v>
      </c>
      <c r="AL1274" s="474">
        <v>81301</v>
      </c>
      <c r="AM1274" s="474" t="s">
        <v>52</v>
      </c>
      <c r="AN1274" s="474" t="s">
        <v>1109</v>
      </c>
      <c r="AO1274" s="474"/>
      <c r="AP1274" s="486"/>
      <c r="AQ1274" s="486" t="s">
        <v>37</v>
      </c>
      <c r="AR1274" s="486"/>
      <c r="AS1274" s="495"/>
      <c r="AT1274" s="495"/>
      <c r="AU1274" s="478"/>
    </row>
    <row r="1275" spans="1:47" s="471" customFormat="1">
      <c r="A1275" s="472"/>
      <c r="B1275" s="515">
        <v>44523</v>
      </c>
      <c r="C1275" s="515">
        <v>44544</v>
      </c>
      <c r="D1275" s="485" t="s">
        <v>3186</v>
      </c>
      <c r="E1275" s="474" t="s">
        <v>3379</v>
      </c>
      <c r="F1275" s="474"/>
      <c r="G1275" s="547">
        <v>2022</v>
      </c>
      <c r="H1275" s="547">
        <v>5</v>
      </c>
      <c r="I1275" s="474">
        <v>2005247</v>
      </c>
      <c r="J1275" s="548"/>
      <c r="K1275" s="549" t="s">
        <v>3380</v>
      </c>
      <c r="L1275" s="547" t="s">
        <v>3188</v>
      </c>
      <c r="M1275" s="550">
        <v>44522</v>
      </c>
      <c r="N1275" s="550"/>
      <c r="O1275" s="550"/>
      <c r="P1275" s="548"/>
      <c r="Q1275" s="548"/>
      <c r="R1275" s="548"/>
      <c r="S1275" s="547" t="s">
        <v>2379</v>
      </c>
      <c r="T1275" s="547">
        <v>60</v>
      </c>
      <c r="U1275" s="547">
        <v>49401140</v>
      </c>
      <c r="V1275" s="547" t="s">
        <v>973</v>
      </c>
      <c r="W1275" s="547">
        <v>400</v>
      </c>
      <c r="X1275" s="551">
        <v>384</v>
      </c>
      <c r="Y1275" s="477">
        <f>X1275*W1275</f>
        <v>153600</v>
      </c>
      <c r="Z1275" s="478">
        <v>0.55000000000000004</v>
      </c>
      <c r="AA1275" s="479">
        <f>Z1275*Y1275</f>
        <v>84480</v>
      </c>
      <c r="AB1275" s="480"/>
      <c r="AC1275" s="481">
        <f>AB1275*Y1275</f>
        <v>0</v>
      </c>
      <c r="AD1275" s="490"/>
      <c r="AE1275" s="482"/>
      <c r="AF1275" s="493">
        <f>AE1275+AD1275+AA1275</f>
        <v>84480</v>
      </c>
      <c r="AG1275" s="474" t="s">
        <v>47</v>
      </c>
      <c r="AH1275" s="474">
        <v>100</v>
      </c>
      <c r="AI1275" s="483"/>
      <c r="AJ1275" s="474" t="s">
        <v>3569</v>
      </c>
      <c r="AK1275" s="494" t="s">
        <v>2362</v>
      </c>
      <c r="AL1275" s="474">
        <v>81301</v>
      </c>
      <c r="AM1275" s="474" t="s">
        <v>52</v>
      </c>
      <c r="AN1275" s="474" t="s">
        <v>1074</v>
      </c>
      <c r="AO1275" s="474"/>
      <c r="AP1275" s="486"/>
      <c r="AQ1275" s="486" t="s">
        <v>37</v>
      </c>
      <c r="AR1275" s="486"/>
      <c r="AS1275" s="495"/>
      <c r="AT1275" s="495"/>
      <c r="AU1275" s="478"/>
    </row>
    <row r="1276" spans="1:47" s="471" customFormat="1">
      <c r="A1276" s="472"/>
      <c r="B1276" s="514">
        <v>44912</v>
      </c>
      <c r="C1276" s="514">
        <v>44629</v>
      </c>
      <c r="D1276" s="485" t="s">
        <v>3186</v>
      </c>
      <c r="E1276" s="474" t="s">
        <v>1283</v>
      </c>
      <c r="F1276" s="474"/>
      <c r="G1276" s="547">
        <v>2022</v>
      </c>
      <c r="H1276" s="547">
        <v>5</v>
      </c>
      <c r="I1276" s="547" t="s">
        <v>1676</v>
      </c>
      <c r="J1276" s="548"/>
      <c r="K1276" s="549" t="s">
        <v>3610</v>
      </c>
      <c r="L1276" s="547" t="s">
        <v>3188</v>
      </c>
      <c r="M1276" s="550">
        <v>44546</v>
      </c>
      <c r="N1276" s="550">
        <v>44620</v>
      </c>
      <c r="O1276" s="550"/>
      <c r="P1276" s="548"/>
      <c r="Q1276" s="548"/>
      <c r="R1276" s="548"/>
      <c r="S1276" s="547" t="s">
        <v>2379</v>
      </c>
      <c r="T1276" s="547">
        <v>60</v>
      </c>
      <c r="U1276" s="547"/>
      <c r="V1276" s="547" t="s">
        <v>973</v>
      </c>
      <c r="W1276" s="547">
        <v>400</v>
      </c>
      <c r="X1276" s="551">
        <v>320</v>
      </c>
      <c r="Y1276" s="491">
        <f>X1276*W1276</f>
        <v>128000</v>
      </c>
      <c r="Z1276" s="478">
        <v>0.55000000000000004</v>
      </c>
      <c r="AA1276" s="492">
        <f>Z1276*Y1276</f>
        <v>70400</v>
      </c>
      <c r="AB1276" s="480"/>
      <c r="AC1276" s="481">
        <f>AB1276*Y1276</f>
        <v>0</v>
      </c>
      <c r="AD1276" s="490"/>
      <c r="AE1276" s="482"/>
      <c r="AF1276" s="493">
        <f>AE1276+AD1276+AA1276</f>
        <v>70400</v>
      </c>
      <c r="AG1276" s="474" t="s">
        <v>47</v>
      </c>
      <c r="AH1276" s="474"/>
      <c r="AI1276" s="483" t="s">
        <v>2374</v>
      </c>
      <c r="AJ1276" s="474" t="s">
        <v>3611</v>
      </c>
      <c r="AK1276" s="494" t="s">
        <v>3477</v>
      </c>
      <c r="AL1276" s="474" t="s">
        <v>3612</v>
      </c>
      <c r="AM1276" s="474" t="s">
        <v>52</v>
      </c>
      <c r="AN1276" s="474"/>
      <c r="AO1276" s="474"/>
      <c r="AP1276" s="486"/>
      <c r="AQ1276" s="486" t="s">
        <v>37</v>
      </c>
      <c r="AR1276" s="486"/>
      <c r="AS1276" s="495"/>
      <c r="AT1276" s="472"/>
      <c r="AU1276" s="478">
        <v>0.55000000000000004</v>
      </c>
    </row>
    <row r="1277" spans="1:47" s="471" customFormat="1">
      <c r="A1277" s="472"/>
      <c r="B1277" s="515">
        <v>44491</v>
      </c>
      <c r="C1277" s="515">
        <v>44560</v>
      </c>
      <c r="D1277" s="485" t="s">
        <v>3186</v>
      </c>
      <c r="E1277" s="474"/>
      <c r="F1277" s="474"/>
      <c r="G1277" s="547">
        <v>2022</v>
      </c>
      <c r="H1277" s="547">
        <v>5</v>
      </c>
      <c r="I1277" s="547"/>
      <c r="J1277" s="548"/>
      <c r="K1277" s="549" t="s">
        <v>3564</v>
      </c>
      <c r="L1277" s="547" t="s">
        <v>3188</v>
      </c>
      <c r="M1277" s="550">
        <v>44491</v>
      </c>
      <c r="N1277" s="550">
        <v>44682</v>
      </c>
      <c r="O1277" s="550"/>
      <c r="P1277" s="548" t="s">
        <v>5252</v>
      </c>
      <c r="Q1277" s="548"/>
      <c r="R1277" s="548"/>
      <c r="S1277" s="547" t="s">
        <v>2379</v>
      </c>
      <c r="T1277" s="547">
        <v>60</v>
      </c>
      <c r="U1277" s="547">
        <v>49401140</v>
      </c>
      <c r="V1277" s="547" t="s">
        <v>973</v>
      </c>
      <c r="W1277" s="547">
        <v>400</v>
      </c>
      <c r="X1277" s="551">
        <v>320</v>
      </c>
      <c r="Y1277" s="477">
        <f>X1277*W1277</f>
        <v>128000</v>
      </c>
      <c r="Z1277" s="478">
        <v>0.55000000000000004</v>
      </c>
      <c r="AA1277" s="479">
        <f>Z1277*Y1277</f>
        <v>70400</v>
      </c>
      <c r="AB1277" s="480"/>
      <c r="AC1277" s="481">
        <f>AB1277*Y1277</f>
        <v>0</v>
      </c>
      <c r="AD1277" s="490"/>
      <c r="AE1277" s="482"/>
      <c r="AF1277" s="493">
        <f>AE1277+AD1277+AA1277</f>
        <v>70400</v>
      </c>
      <c r="AG1277" s="474" t="s">
        <v>47</v>
      </c>
      <c r="AH1277" s="474"/>
      <c r="AI1277" s="483" t="s">
        <v>2374</v>
      </c>
      <c r="AJ1277" s="474" t="s">
        <v>1822</v>
      </c>
      <c r="AK1277" s="494" t="s">
        <v>1823</v>
      </c>
      <c r="AL1277" s="474">
        <v>97702</v>
      </c>
      <c r="AM1277" s="474" t="s">
        <v>52</v>
      </c>
      <c r="AN1277" s="474" t="s">
        <v>1074</v>
      </c>
      <c r="AO1277" s="474"/>
      <c r="AP1277" s="486"/>
      <c r="AQ1277" s="486" t="s">
        <v>37</v>
      </c>
      <c r="AR1277" s="486"/>
      <c r="AS1277" s="495"/>
      <c r="AT1277" s="495"/>
      <c r="AU1277" s="478"/>
    </row>
    <row r="1278" spans="1:47" s="471" customFormat="1">
      <c r="A1278" s="472">
        <v>10</v>
      </c>
      <c r="B1278" s="515">
        <v>44595</v>
      </c>
      <c r="C1278" s="515">
        <v>44627</v>
      </c>
      <c r="D1278" s="485" t="s">
        <v>3186</v>
      </c>
      <c r="E1278" s="474"/>
      <c r="F1278" s="474"/>
      <c r="G1278" s="474">
        <v>2022</v>
      </c>
      <c r="H1278" s="474">
        <v>3</v>
      </c>
      <c r="I1278" s="474">
        <v>127258</v>
      </c>
      <c r="J1278" s="475">
        <v>44634</v>
      </c>
      <c r="K1278" s="483" t="s">
        <v>3204</v>
      </c>
      <c r="L1278" s="474" t="s">
        <v>3188</v>
      </c>
      <c r="M1278" s="487">
        <v>44470</v>
      </c>
      <c r="N1278" s="487">
        <v>44270</v>
      </c>
      <c r="O1278" s="487"/>
      <c r="P1278" s="475">
        <v>44629</v>
      </c>
      <c r="Q1278" s="475">
        <v>44631</v>
      </c>
      <c r="R1278" s="475">
        <v>44634</v>
      </c>
      <c r="S1278" s="474" t="s">
        <v>2379</v>
      </c>
      <c r="T1278" s="474">
        <v>60</v>
      </c>
      <c r="U1278" s="474" t="s">
        <v>1760</v>
      </c>
      <c r="V1278" s="474" t="s">
        <v>973</v>
      </c>
      <c r="W1278" s="474">
        <v>400</v>
      </c>
      <c r="X1278" s="476">
        <v>320</v>
      </c>
      <c r="Y1278" s="477">
        <f>X1278*W1278</f>
        <v>128000</v>
      </c>
      <c r="Z1278" s="478">
        <v>0.55000000000000004</v>
      </c>
      <c r="AA1278" s="479">
        <f>Z1278*Y1278</f>
        <v>70400</v>
      </c>
      <c r="AB1278" s="480"/>
      <c r="AC1278" s="481">
        <f>AB1278*Y1278</f>
        <v>0</v>
      </c>
      <c r="AD1278" s="490"/>
      <c r="AE1278" s="482"/>
      <c r="AF1278" s="493">
        <f>AE1278+AD1278+AA1278</f>
        <v>70400</v>
      </c>
      <c r="AG1278" s="474" t="s">
        <v>47</v>
      </c>
      <c r="AH1278" s="474"/>
      <c r="AI1278" s="483">
        <v>30</v>
      </c>
      <c r="AJ1278" s="474" t="s">
        <v>1822</v>
      </c>
      <c r="AK1278" s="494" t="s">
        <v>1823</v>
      </c>
      <c r="AL1278" s="474" t="s">
        <v>1824</v>
      </c>
      <c r="AM1278" s="474" t="s">
        <v>52</v>
      </c>
      <c r="AN1278" s="474" t="s">
        <v>50</v>
      </c>
      <c r="AO1278" s="474"/>
      <c r="AP1278" s="486" t="s">
        <v>38</v>
      </c>
      <c r="AQ1278" s="486" t="s">
        <v>37</v>
      </c>
      <c r="AR1278" s="486"/>
      <c r="AS1278" s="495"/>
      <c r="AT1278" s="495"/>
      <c r="AU1278" s="478"/>
    </row>
    <row r="1279" spans="1:47" s="471" customFormat="1">
      <c r="A1279" s="472"/>
      <c r="B1279" s="514">
        <v>44624</v>
      </c>
      <c r="C1279" s="514">
        <v>44655</v>
      </c>
      <c r="D1279" s="485" t="s">
        <v>3186</v>
      </c>
      <c r="E1279" s="474" t="s">
        <v>3253</v>
      </c>
      <c r="F1279" s="474"/>
      <c r="G1279" s="474">
        <v>2022</v>
      </c>
      <c r="H1279" s="519">
        <v>4</v>
      </c>
      <c r="I1279" s="474">
        <v>2005246</v>
      </c>
      <c r="J1279" s="521"/>
      <c r="K1279" s="518" t="s">
        <v>3254</v>
      </c>
      <c r="L1279" s="519" t="s">
        <v>3188</v>
      </c>
      <c r="M1279" s="520">
        <v>44623</v>
      </c>
      <c r="N1279" s="520">
        <v>44652</v>
      </c>
      <c r="O1279" s="520"/>
      <c r="P1279" s="521" t="s">
        <v>5307</v>
      </c>
      <c r="Q1279" s="521"/>
      <c r="R1279" s="521"/>
      <c r="S1279" s="519" t="s">
        <v>2379</v>
      </c>
      <c r="T1279" s="519">
        <v>60</v>
      </c>
      <c r="U1279" s="519" t="s">
        <v>1281</v>
      </c>
      <c r="V1279" s="519" t="s">
        <v>973</v>
      </c>
      <c r="W1279" s="519">
        <v>400</v>
      </c>
      <c r="X1279" s="522">
        <v>832</v>
      </c>
      <c r="Y1279" s="470">
        <f>X1279*W1279</f>
        <v>332800</v>
      </c>
      <c r="Z1279" s="478">
        <v>0.55000000000000004</v>
      </c>
      <c r="AA1279" s="479">
        <f>Z1279*Y1279</f>
        <v>183040.00000000003</v>
      </c>
      <c r="AB1279" s="480"/>
      <c r="AC1279" s="481">
        <f>AB1279*Y1279</f>
        <v>0</v>
      </c>
      <c r="AD1279" s="490"/>
      <c r="AE1279" s="482">
        <v>11962.5</v>
      </c>
      <c r="AF1279" s="493">
        <f>AE1279+AD1279+AA1279</f>
        <v>195002.50000000003</v>
      </c>
      <c r="AG1279" s="474" t="s">
        <v>1071</v>
      </c>
      <c r="AH1279" s="474">
        <v>100</v>
      </c>
      <c r="AI1279" s="483"/>
      <c r="AJ1279" s="474" t="s">
        <v>3255</v>
      </c>
      <c r="AK1279" s="494" t="s">
        <v>2362</v>
      </c>
      <c r="AL1279" s="474">
        <v>81301</v>
      </c>
      <c r="AM1279" s="474" t="s">
        <v>52</v>
      </c>
      <c r="AN1279" s="474" t="s">
        <v>50</v>
      </c>
      <c r="AO1279" s="474"/>
      <c r="AP1279" s="486" t="s">
        <v>38</v>
      </c>
      <c r="AQ1279" s="486" t="s">
        <v>37</v>
      </c>
      <c r="AR1279" s="486"/>
      <c r="AS1279" s="495"/>
      <c r="AT1279" s="472"/>
      <c r="AU1279" s="478">
        <v>0.55000000000000004</v>
      </c>
    </row>
    <row r="1280" spans="1:47" s="471" customFormat="1">
      <c r="A1280" s="472"/>
      <c r="B1280" s="514">
        <v>44624</v>
      </c>
      <c r="C1280" s="514">
        <v>44655</v>
      </c>
      <c r="D1280" s="485" t="s">
        <v>3186</v>
      </c>
      <c r="E1280" s="474" t="s">
        <v>3253</v>
      </c>
      <c r="F1280" s="474"/>
      <c r="G1280" s="474">
        <v>2022</v>
      </c>
      <c r="H1280" s="474">
        <v>5</v>
      </c>
      <c r="I1280" s="474">
        <v>2005246</v>
      </c>
      <c r="J1280" s="475"/>
      <c r="K1280" s="483" t="s">
        <v>3254</v>
      </c>
      <c r="L1280" s="474" t="s">
        <v>3188</v>
      </c>
      <c r="M1280" s="487">
        <v>44623</v>
      </c>
      <c r="N1280" s="487">
        <v>44652</v>
      </c>
      <c r="O1280" s="487"/>
      <c r="P1280" s="475"/>
      <c r="Q1280" s="475"/>
      <c r="R1280" s="475"/>
      <c r="S1280" s="474" t="s">
        <v>2379</v>
      </c>
      <c r="T1280" s="474">
        <v>60</v>
      </c>
      <c r="U1280" s="474"/>
      <c r="V1280" s="474" t="s">
        <v>986</v>
      </c>
      <c r="W1280" s="474">
        <v>360</v>
      </c>
      <c r="X1280" s="476">
        <v>832</v>
      </c>
      <c r="Y1280" s="477">
        <f>X1280*W1280</f>
        <v>299520</v>
      </c>
      <c r="Z1280" s="478">
        <v>0.53</v>
      </c>
      <c r="AA1280" s="479">
        <f>Z1280*Y1280</f>
        <v>158745.60000000001</v>
      </c>
      <c r="AB1280" s="480"/>
      <c r="AC1280" s="481">
        <f>AB1280*Y1280</f>
        <v>0</v>
      </c>
      <c r="AD1280" s="490"/>
      <c r="AE1280" s="482"/>
      <c r="AF1280" s="493">
        <f>AE1280+AD1280+AA1280</f>
        <v>158745.60000000001</v>
      </c>
      <c r="AG1280" s="474" t="s">
        <v>1071</v>
      </c>
      <c r="AH1280" s="474">
        <v>100</v>
      </c>
      <c r="AI1280" s="483"/>
      <c r="AJ1280" s="474" t="s">
        <v>3255</v>
      </c>
      <c r="AK1280" s="494" t="s">
        <v>2362</v>
      </c>
      <c r="AL1280" s="474">
        <v>81301</v>
      </c>
      <c r="AM1280" s="474" t="s">
        <v>52</v>
      </c>
      <c r="AN1280" s="474"/>
      <c r="AO1280" s="474"/>
      <c r="AP1280" s="486"/>
      <c r="AQ1280" s="486" t="s">
        <v>37</v>
      </c>
      <c r="AR1280" s="486"/>
      <c r="AS1280" s="495"/>
      <c r="AT1280" s="472"/>
      <c r="AU1280" s="478">
        <v>0.55000000000000004</v>
      </c>
    </row>
    <row r="1281" spans="1:47" s="471" customFormat="1">
      <c r="A1281" s="472"/>
      <c r="B1281" s="514">
        <v>44610</v>
      </c>
      <c r="C1281" s="514">
        <v>44610</v>
      </c>
      <c r="D1281" s="485" t="s">
        <v>3186</v>
      </c>
      <c r="E1281" s="474" t="s">
        <v>3253</v>
      </c>
      <c r="F1281" s="474"/>
      <c r="G1281" s="474">
        <v>2022</v>
      </c>
      <c r="H1281" s="474">
        <v>5</v>
      </c>
      <c r="I1281" s="474" t="s">
        <v>1676</v>
      </c>
      <c r="J1281" s="475"/>
      <c r="K1281" s="483" t="s">
        <v>3369</v>
      </c>
      <c r="L1281" s="474" t="s">
        <v>3188</v>
      </c>
      <c r="M1281" s="487">
        <v>44609</v>
      </c>
      <c r="N1281" s="487">
        <v>44655</v>
      </c>
      <c r="O1281" s="487"/>
      <c r="P1281" s="475"/>
      <c r="Q1281" s="475"/>
      <c r="R1281" s="475"/>
      <c r="S1281" s="474" t="s">
        <v>2379</v>
      </c>
      <c r="T1281" s="474">
        <v>60</v>
      </c>
      <c r="U1281" s="474"/>
      <c r="V1281" s="474" t="s">
        <v>3370</v>
      </c>
      <c r="W1281" s="474">
        <v>360</v>
      </c>
      <c r="X1281" s="476">
        <v>13182</v>
      </c>
      <c r="Y1281" s="477">
        <f>X1281*W1281</f>
        <v>4745520</v>
      </c>
      <c r="Z1281" s="478">
        <v>0.83</v>
      </c>
      <c r="AA1281" s="479">
        <f>Z1281*Y1281</f>
        <v>3938781.5999999996</v>
      </c>
      <c r="AB1281" s="480"/>
      <c r="AC1281" s="481">
        <f>AB1281*Y1281</f>
        <v>0</v>
      </c>
      <c r="AD1281" s="490"/>
      <c r="AE1281" s="482"/>
      <c r="AF1281" s="493">
        <f>AE1281+AD1281+AA1281</f>
        <v>3938781.5999999996</v>
      </c>
      <c r="AG1281" s="474" t="s">
        <v>47</v>
      </c>
      <c r="AH1281" s="474"/>
      <c r="AI1281" s="483" t="s">
        <v>3270</v>
      </c>
      <c r="AJ1281" s="474" t="s">
        <v>3198</v>
      </c>
      <c r="AK1281" s="494" t="s">
        <v>3199</v>
      </c>
      <c r="AL1281" s="474">
        <v>25704</v>
      </c>
      <c r="AM1281" s="474" t="s">
        <v>52</v>
      </c>
      <c r="AN1281" s="474"/>
      <c r="AO1281" s="474"/>
      <c r="AP1281" s="486"/>
      <c r="AQ1281" s="486" t="s">
        <v>37</v>
      </c>
      <c r="AR1281" s="486"/>
      <c r="AS1281" s="495"/>
      <c r="AT1281" s="472"/>
      <c r="AU1281" s="478">
        <v>0.55000000000000004</v>
      </c>
    </row>
    <row r="1282" spans="1:47" s="471" customFormat="1">
      <c r="A1282" s="472">
        <v>10</v>
      </c>
      <c r="B1282" s="515">
        <v>44601</v>
      </c>
      <c r="C1282" s="515">
        <v>44601</v>
      </c>
      <c r="D1282" s="485" t="s">
        <v>3186</v>
      </c>
      <c r="E1282" s="474"/>
      <c r="F1282" s="474"/>
      <c r="G1282" s="474">
        <v>2022</v>
      </c>
      <c r="H1282" s="474">
        <v>3</v>
      </c>
      <c r="I1282" s="474">
        <v>127446</v>
      </c>
      <c r="J1282" s="475">
        <v>44635</v>
      </c>
      <c r="K1282" s="483" t="s">
        <v>3202</v>
      </c>
      <c r="L1282" s="474" t="s">
        <v>3188</v>
      </c>
      <c r="M1282" s="487">
        <v>44503</v>
      </c>
      <c r="N1282" s="487">
        <v>44571</v>
      </c>
      <c r="O1282" s="487" t="s">
        <v>1280</v>
      </c>
      <c r="P1282" s="475">
        <v>44628</v>
      </c>
      <c r="Q1282" s="475">
        <v>44634</v>
      </c>
      <c r="R1282" s="475">
        <v>44635</v>
      </c>
      <c r="S1282" s="474" t="s">
        <v>2379</v>
      </c>
      <c r="T1282" s="474">
        <v>60</v>
      </c>
      <c r="U1282" s="474">
        <v>49403140</v>
      </c>
      <c r="V1282" s="474" t="s">
        <v>973</v>
      </c>
      <c r="W1282" s="474">
        <v>400</v>
      </c>
      <c r="X1282" s="476">
        <f>1600-352-352-352</f>
        <v>544</v>
      </c>
      <c r="Y1282" s="477">
        <f>X1282*W1282</f>
        <v>217600</v>
      </c>
      <c r="Z1282" s="478">
        <v>0.55000000000000004</v>
      </c>
      <c r="AA1282" s="479">
        <f>Z1282*Y1282</f>
        <v>119680.00000000001</v>
      </c>
      <c r="AB1282" s="480"/>
      <c r="AC1282" s="481">
        <f>AB1282*Y1282</f>
        <v>0</v>
      </c>
      <c r="AD1282" s="490"/>
      <c r="AE1282" s="482"/>
      <c r="AF1282" s="493">
        <f>AE1282+AD1282+AA1282</f>
        <v>119680.00000000001</v>
      </c>
      <c r="AG1282" s="474" t="s">
        <v>47</v>
      </c>
      <c r="AH1282" s="474">
        <v>100</v>
      </c>
      <c r="AI1282" s="483" t="s">
        <v>3203</v>
      </c>
      <c r="AJ1282" s="474" t="s">
        <v>3198</v>
      </c>
      <c r="AK1282" s="494" t="s">
        <v>3199</v>
      </c>
      <c r="AL1282" s="474">
        <v>25704</v>
      </c>
      <c r="AM1282" s="474" t="s">
        <v>52</v>
      </c>
      <c r="AN1282" s="474" t="s">
        <v>1074</v>
      </c>
      <c r="AO1282" s="474"/>
      <c r="AP1282" s="486"/>
      <c r="AQ1282" s="486" t="s">
        <v>37</v>
      </c>
      <c r="AR1282" s="486"/>
      <c r="AS1282" s="495"/>
      <c r="AT1282" s="495"/>
      <c r="AU1282" s="478"/>
    </row>
    <row r="1283" spans="1:47" s="471" customFormat="1">
      <c r="A1283" s="472"/>
      <c r="B1283" s="515">
        <v>44624</v>
      </c>
      <c r="C1283" s="515">
        <v>44624</v>
      </c>
      <c r="D1283" s="485" t="s">
        <v>3186</v>
      </c>
      <c r="E1283" s="474" t="s">
        <v>3230</v>
      </c>
      <c r="F1283" s="474"/>
      <c r="G1283" s="474">
        <v>2022</v>
      </c>
      <c r="H1283" s="474">
        <v>4</v>
      </c>
      <c r="I1283" s="474">
        <v>127977</v>
      </c>
      <c r="J1283" s="475">
        <v>44662</v>
      </c>
      <c r="K1283" s="483" t="s">
        <v>3231</v>
      </c>
      <c r="L1283" s="474" t="s">
        <v>3188</v>
      </c>
      <c r="M1283" s="487">
        <v>44503</v>
      </c>
      <c r="N1283" s="487">
        <v>44571</v>
      </c>
      <c r="O1283" s="487"/>
      <c r="P1283" s="475">
        <v>44657</v>
      </c>
      <c r="Q1283" s="475">
        <v>44659</v>
      </c>
      <c r="R1283" s="475">
        <v>44662</v>
      </c>
      <c r="S1283" s="474" t="s">
        <v>2379</v>
      </c>
      <c r="T1283" s="474">
        <v>72</v>
      </c>
      <c r="U1283" s="474" t="s">
        <v>2280</v>
      </c>
      <c r="V1283" s="474" t="s">
        <v>1000</v>
      </c>
      <c r="W1283" s="474">
        <v>475</v>
      </c>
      <c r="X1283" s="476">
        <v>290</v>
      </c>
      <c r="Y1283" s="477">
        <f>X1283*W1283</f>
        <v>137750</v>
      </c>
      <c r="Z1283" s="478">
        <v>0.47499999999999998</v>
      </c>
      <c r="AA1283" s="479">
        <f>Z1283*Y1283</f>
        <v>65431.25</v>
      </c>
      <c r="AB1283" s="480"/>
      <c r="AC1283" s="481">
        <f>AB1283*Y1283</f>
        <v>0</v>
      </c>
      <c r="AD1283" s="490"/>
      <c r="AE1283" s="482"/>
      <c r="AF1283" s="493">
        <f>AE1283+AD1283+AA1283</f>
        <v>65431.25</v>
      </c>
      <c r="AG1283" s="474" t="s">
        <v>47</v>
      </c>
      <c r="AH1283" s="474">
        <v>100</v>
      </c>
      <c r="AI1283" s="483" t="s">
        <v>3203</v>
      </c>
      <c r="AJ1283" s="474" t="s">
        <v>3198</v>
      </c>
      <c r="AK1283" s="494" t="s">
        <v>3199</v>
      </c>
      <c r="AL1283" s="474">
        <v>25704</v>
      </c>
      <c r="AM1283" s="474" t="s">
        <v>52</v>
      </c>
      <c r="AN1283" s="474" t="s">
        <v>1085</v>
      </c>
      <c r="AO1283" s="474"/>
      <c r="AP1283" s="486" t="s">
        <v>38</v>
      </c>
      <c r="AQ1283" s="486" t="s">
        <v>37</v>
      </c>
      <c r="AR1283" s="486"/>
      <c r="AS1283" s="495"/>
      <c r="AT1283" s="495"/>
      <c r="AU1283" s="478"/>
    </row>
    <row r="1284" spans="1:47" s="471" customFormat="1">
      <c r="A1284" s="472"/>
      <c r="B1284" s="515">
        <v>44610</v>
      </c>
      <c r="C1284" s="515">
        <v>44627</v>
      </c>
      <c r="D1284" s="485" t="s">
        <v>3186</v>
      </c>
      <c r="E1284" s="474"/>
      <c r="F1284" s="474"/>
      <c r="G1284" s="474">
        <v>2022</v>
      </c>
      <c r="H1284" s="474">
        <v>5</v>
      </c>
      <c r="I1284" s="474"/>
      <c r="J1284" s="475"/>
      <c r="K1284" s="483" t="s">
        <v>5688</v>
      </c>
      <c r="L1284" s="474" t="s">
        <v>3188</v>
      </c>
      <c r="M1284" s="487">
        <v>44468</v>
      </c>
      <c r="N1284" s="487">
        <v>44564</v>
      </c>
      <c r="O1284" s="487"/>
      <c r="P1284" s="475"/>
      <c r="Q1284" s="475"/>
      <c r="R1284" s="475"/>
      <c r="S1284" s="474" t="s">
        <v>2379</v>
      </c>
      <c r="T1284" s="474">
        <v>60</v>
      </c>
      <c r="U1284" s="474">
        <v>49204132</v>
      </c>
      <c r="V1284" s="474" t="s">
        <v>1223</v>
      </c>
      <c r="W1284" s="474">
        <v>360</v>
      </c>
      <c r="X1284" s="476">
        <f>4160-1248+728-260-260-338-338-338-390</f>
        <v>1716</v>
      </c>
      <c r="Y1284" s="491">
        <f>X1284*W1284</f>
        <v>617760</v>
      </c>
      <c r="Z1284" s="478">
        <v>0.83</v>
      </c>
      <c r="AA1284" s="479">
        <f>Z1284*Y1284</f>
        <v>512740.8</v>
      </c>
      <c r="AB1284" s="480"/>
      <c r="AC1284" s="481">
        <f>AB1284*Y1284</f>
        <v>0</v>
      </c>
      <c r="AD1284" s="490"/>
      <c r="AE1284" s="482"/>
      <c r="AF1284" s="493">
        <f>AE1284+AD1284+AA1284</f>
        <v>512740.8</v>
      </c>
      <c r="AG1284" s="474" t="s">
        <v>47</v>
      </c>
      <c r="AH1284" s="474">
        <v>100</v>
      </c>
      <c r="AI1284" s="483"/>
      <c r="AJ1284" s="474" t="s">
        <v>3198</v>
      </c>
      <c r="AK1284" s="494" t="s">
        <v>3199</v>
      </c>
      <c r="AL1284" s="474">
        <v>25704</v>
      </c>
      <c r="AM1284" s="474" t="s">
        <v>52</v>
      </c>
      <c r="AN1284" s="474" t="s">
        <v>1106</v>
      </c>
      <c r="AO1284" s="474"/>
      <c r="AP1284" s="486"/>
      <c r="AQ1284" s="486" t="s">
        <v>37</v>
      </c>
      <c r="AR1284" s="486"/>
      <c r="AS1284" s="495"/>
      <c r="AT1284" s="495"/>
      <c r="AU1284" s="478"/>
    </row>
    <row r="1285" spans="1:47" s="471" customFormat="1">
      <c r="A1285" s="472"/>
      <c r="B1285" s="515">
        <v>44610</v>
      </c>
      <c r="C1285" s="515">
        <v>44627</v>
      </c>
      <c r="D1285" s="485" t="s">
        <v>3186</v>
      </c>
      <c r="E1285" s="474"/>
      <c r="F1285" s="474"/>
      <c r="G1285" s="474">
        <v>2022</v>
      </c>
      <c r="H1285" s="474">
        <v>5</v>
      </c>
      <c r="I1285" s="474"/>
      <c r="J1285" s="475"/>
      <c r="K1285" s="483" t="s">
        <v>5251</v>
      </c>
      <c r="L1285" s="474" t="s">
        <v>3188</v>
      </c>
      <c r="M1285" s="487">
        <v>44468</v>
      </c>
      <c r="N1285" s="487">
        <v>44564</v>
      </c>
      <c r="O1285" s="487">
        <v>44684</v>
      </c>
      <c r="P1285" s="475">
        <v>44679</v>
      </c>
      <c r="Q1285" s="475"/>
      <c r="R1285" s="475"/>
      <c r="S1285" s="474" t="s">
        <v>2379</v>
      </c>
      <c r="T1285" s="474">
        <v>60</v>
      </c>
      <c r="U1285" s="474">
        <v>49204132</v>
      </c>
      <c r="V1285" s="474" t="s">
        <v>1223</v>
      </c>
      <c r="W1285" s="474">
        <v>360</v>
      </c>
      <c r="X1285" s="476">
        <v>390</v>
      </c>
      <c r="Y1285" s="491">
        <f>X1285*W1285</f>
        <v>140400</v>
      </c>
      <c r="Z1285" s="478">
        <v>0.83</v>
      </c>
      <c r="AA1285" s="479">
        <f>Z1285*Y1285</f>
        <v>116532</v>
      </c>
      <c r="AB1285" s="480"/>
      <c r="AC1285" s="481">
        <f>AB1285*Y1285</f>
        <v>0</v>
      </c>
      <c r="AD1285" s="490"/>
      <c r="AE1285" s="482"/>
      <c r="AF1285" s="493">
        <f>AE1285+AD1285+AA1285</f>
        <v>116532</v>
      </c>
      <c r="AG1285" s="474" t="s">
        <v>47</v>
      </c>
      <c r="AH1285" s="474">
        <v>100</v>
      </c>
      <c r="AI1285" s="483"/>
      <c r="AJ1285" s="474" t="s">
        <v>3198</v>
      </c>
      <c r="AK1285" s="494" t="s">
        <v>3199</v>
      </c>
      <c r="AL1285" s="474">
        <v>25704</v>
      </c>
      <c r="AM1285" s="474" t="s">
        <v>52</v>
      </c>
      <c r="AN1285" s="474" t="s">
        <v>1106</v>
      </c>
      <c r="AO1285" s="474"/>
      <c r="AP1285" s="486"/>
      <c r="AQ1285" s="486" t="s">
        <v>37</v>
      </c>
      <c r="AR1285" s="486"/>
      <c r="AS1285" s="495"/>
      <c r="AT1285" s="495"/>
      <c r="AU1285" s="478"/>
    </row>
    <row r="1286" spans="1:47" s="471" customFormat="1">
      <c r="A1286" s="472"/>
      <c r="B1286" s="515">
        <v>44610</v>
      </c>
      <c r="C1286" s="515">
        <v>44627</v>
      </c>
      <c r="D1286" s="485" t="s">
        <v>3186</v>
      </c>
      <c r="E1286" s="474"/>
      <c r="F1286" s="474"/>
      <c r="G1286" s="474">
        <v>2022</v>
      </c>
      <c r="H1286" s="474">
        <v>4</v>
      </c>
      <c r="I1286" s="474">
        <v>128216</v>
      </c>
      <c r="J1286" s="538">
        <v>44676</v>
      </c>
      <c r="K1286" s="483" t="s">
        <v>3229</v>
      </c>
      <c r="L1286" s="474" t="s">
        <v>3188</v>
      </c>
      <c r="M1286" s="487">
        <v>44468</v>
      </c>
      <c r="N1286" s="487">
        <v>44564</v>
      </c>
      <c r="O1286" s="487">
        <v>44676</v>
      </c>
      <c r="P1286" s="475">
        <v>44671</v>
      </c>
      <c r="Q1286" s="475">
        <v>44673</v>
      </c>
      <c r="R1286" s="475">
        <v>44676</v>
      </c>
      <c r="S1286" s="474" t="s">
        <v>2379</v>
      </c>
      <c r="T1286" s="474">
        <v>60</v>
      </c>
      <c r="U1286" s="474">
        <v>49204132</v>
      </c>
      <c r="V1286" s="474" t="s">
        <v>1223</v>
      </c>
      <c r="W1286" s="474">
        <v>360</v>
      </c>
      <c r="X1286" s="476">
        <v>338</v>
      </c>
      <c r="Y1286" s="477">
        <f>X1286*W1286</f>
        <v>121680</v>
      </c>
      <c r="Z1286" s="478">
        <v>0.83</v>
      </c>
      <c r="AA1286" s="479">
        <f>Z1286*Y1286</f>
        <v>100994.4</v>
      </c>
      <c r="AB1286" s="480"/>
      <c r="AC1286" s="481">
        <f>AB1286*Y1286</f>
        <v>0</v>
      </c>
      <c r="AD1286" s="490"/>
      <c r="AE1286" s="482"/>
      <c r="AF1286" s="493">
        <f>AE1286+AD1286+AA1286</f>
        <v>100994.4</v>
      </c>
      <c r="AG1286" s="474" t="s">
        <v>47</v>
      </c>
      <c r="AH1286" s="474">
        <v>100</v>
      </c>
      <c r="AI1286" s="483"/>
      <c r="AJ1286" s="474" t="s">
        <v>3198</v>
      </c>
      <c r="AK1286" s="494" t="s">
        <v>3199</v>
      </c>
      <c r="AL1286" s="474">
        <v>25704</v>
      </c>
      <c r="AM1286" s="474" t="s">
        <v>52</v>
      </c>
      <c r="AN1286" s="474" t="s">
        <v>1106</v>
      </c>
      <c r="AO1286" s="474"/>
      <c r="AP1286" s="486"/>
      <c r="AQ1286" s="486" t="s">
        <v>37</v>
      </c>
      <c r="AR1286" s="486"/>
      <c r="AS1286" s="495"/>
      <c r="AT1286" s="495"/>
      <c r="AU1286" s="478"/>
    </row>
    <row r="1287" spans="1:47" s="471" customFormat="1">
      <c r="A1287" s="472"/>
      <c r="B1287" s="515">
        <v>44610</v>
      </c>
      <c r="C1287" s="515">
        <v>44627</v>
      </c>
      <c r="D1287" s="485" t="s">
        <v>3186</v>
      </c>
      <c r="E1287" s="474" t="s">
        <v>2726</v>
      </c>
      <c r="F1287" s="474"/>
      <c r="G1287" s="474">
        <v>2022</v>
      </c>
      <c r="H1287" s="474">
        <v>4</v>
      </c>
      <c r="I1287" s="474">
        <v>128202</v>
      </c>
      <c r="J1287" s="475">
        <v>44670</v>
      </c>
      <c r="K1287" s="483" t="s">
        <v>3223</v>
      </c>
      <c r="L1287" s="474" t="s">
        <v>3188</v>
      </c>
      <c r="M1287" s="487">
        <v>44468</v>
      </c>
      <c r="N1287" s="487">
        <v>44564</v>
      </c>
      <c r="O1287" s="487">
        <v>44669</v>
      </c>
      <c r="P1287" s="475">
        <v>44659</v>
      </c>
      <c r="Q1287" s="475">
        <v>44669</v>
      </c>
      <c r="R1287" s="475">
        <v>44670</v>
      </c>
      <c r="S1287" s="474" t="s">
        <v>2379</v>
      </c>
      <c r="T1287" s="474">
        <v>60</v>
      </c>
      <c r="U1287" s="474">
        <v>49204132</v>
      </c>
      <c r="V1287" s="474" t="s">
        <v>1223</v>
      </c>
      <c r="W1287" s="474">
        <v>360</v>
      </c>
      <c r="X1287" s="476">
        <v>338</v>
      </c>
      <c r="Y1287" s="477">
        <f>X1287*W1287</f>
        <v>121680</v>
      </c>
      <c r="Z1287" s="478">
        <v>0.83</v>
      </c>
      <c r="AA1287" s="479">
        <f>Z1287*Y1287</f>
        <v>100994.4</v>
      </c>
      <c r="AB1287" s="480"/>
      <c r="AC1287" s="481">
        <f>AB1287*Y1287</f>
        <v>0</v>
      </c>
      <c r="AD1287" s="490"/>
      <c r="AE1287" s="482"/>
      <c r="AF1287" s="493">
        <f>AE1287+AD1287+AA1287</f>
        <v>100994.4</v>
      </c>
      <c r="AG1287" s="474" t="s">
        <v>47</v>
      </c>
      <c r="AH1287" s="474">
        <v>100</v>
      </c>
      <c r="AI1287" s="483"/>
      <c r="AJ1287" s="474" t="s">
        <v>3198</v>
      </c>
      <c r="AK1287" s="494" t="s">
        <v>3199</v>
      </c>
      <c r="AL1287" s="474">
        <v>25704</v>
      </c>
      <c r="AM1287" s="474" t="s">
        <v>52</v>
      </c>
      <c r="AN1287" s="474" t="s">
        <v>1106</v>
      </c>
      <c r="AO1287" s="474"/>
      <c r="AP1287" s="486"/>
      <c r="AQ1287" s="486" t="s">
        <v>37</v>
      </c>
      <c r="AR1287" s="486"/>
      <c r="AS1287" s="495"/>
      <c r="AT1287" s="495"/>
      <c r="AU1287" s="478"/>
    </row>
    <row r="1288" spans="1:47" s="471" customFormat="1">
      <c r="A1288" s="472"/>
      <c r="B1288" s="515">
        <v>44610</v>
      </c>
      <c r="C1288" s="515">
        <v>44627</v>
      </c>
      <c r="D1288" s="485" t="s">
        <v>3186</v>
      </c>
      <c r="E1288" s="474" t="s">
        <v>2726</v>
      </c>
      <c r="F1288" s="474"/>
      <c r="G1288" s="474">
        <v>2022</v>
      </c>
      <c r="H1288" s="474">
        <v>4</v>
      </c>
      <c r="I1288" s="474">
        <v>128250</v>
      </c>
      <c r="J1288" s="475">
        <v>44662</v>
      </c>
      <c r="K1288" s="483" t="s">
        <v>3222</v>
      </c>
      <c r="L1288" s="474" t="s">
        <v>3188</v>
      </c>
      <c r="M1288" s="487">
        <v>44468</v>
      </c>
      <c r="N1288" s="487">
        <v>44564</v>
      </c>
      <c r="O1288" s="487">
        <v>44662</v>
      </c>
      <c r="P1288" s="475">
        <v>44657</v>
      </c>
      <c r="Q1288" s="475">
        <v>44659</v>
      </c>
      <c r="R1288" s="475">
        <v>44662</v>
      </c>
      <c r="S1288" s="474" t="s">
        <v>2379</v>
      </c>
      <c r="T1288" s="474">
        <v>60</v>
      </c>
      <c r="U1288" s="474">
        <v>49204132</v>
      </c>
      <c r="V1288" s="474" t="s">
        <v>1223</v>
      </c>
      <c r="W1288" s="474">
        <v>360</v>
      </c>
      <c r="X1288" s="476">
        <v>338</v>
      </c>
      <c r="Y1288" s="477">
        <f>X1288*W1288</f>
        <v>121680</v>
      </c>
      <c r="Z1288" s="478">
        <v>0.83</v>
      </c>
      <c r="AA1288" s="479">
        <f>Z1288*Y1288</f>
        <v>100994.4</v>
      </c>
      <c r="AB1288" s="480"/>
      <c r="AC1288" s="481">
        <f>AB1288*Y1288</f>
        <v>0</v>
      </c>
      <c r="AD1288" s="490"/>
      <c r="AE1288" s="482"/>
      <c r="AF1288" s="493">
        <f>AE1288+AD1288+AA1288</f>
        <v>100994.4</v>
      </c>
      <c r="AG1288" s="474" t="s">
        <v>47</v>
      </c>
      <c r="AH1288" s="474">
        <v>100</v>
      </c>
      <c r="AI1288" s="483"/>
      <c r="AJ1288" s="474" t="s">
        <v>3198</v>
      </c>
      <c r="AK1288" s="494" t="s">
        <v>3199</v>
      </c>
      <c r="AL1288" s="474">
        <v>25704</v>
      </c>
      <c r="AM1288" s="474" t="s">
        <v>52</v>
      </c>
      <c r="AN1288" s="474" t="s">
        <v>1074</v>
      </c>
      <c r="AO1288" s="474"/>
      <c r="AP1288" s="486"/>
      <c r="AQ1288" s="486" t="s">
        <v>37</v>
      </c>
      <c r="AR1288" s="486"/>
      <c r="AS1288" s="495"/>
      <c r="AT1288" s="495"/>
      <c r="AU1288" s="478"/>
    </row>
    <row r="1289" spans="1:47" s="471" customFormat="1">
      <c r="A1289" s="472"/>
      <c r="B1289" s="515">
        <v>44610</v>
      </c>
      <c r="C1289" s="515">
        <v>44627</v>
      </c>
      <c r="D1289" s="485" t="s">
        <v>3186</v>
      </c>
      <c r="E1289" s="474" t="s">
        <v>3217</v>
      </c>
      <c r="F1289" s="474"/>
      <c r="G1289" s="474">
        <v>2022</v>
      </c>
      <c r="H1289" s="474">
        <v>4</v>
      </c>
      <c r="I1289" s="474">
        <v>128018</v>
      </c>
      <c r="J1289" s="475">
        <v>44657</v>
      </c>
      <c r="K1289" s="483" t="s">
        <v>3218</v>
      </c>
      <c r="L1289" s="474" t="s">
        <v>3188</v>
      </c>
      <c r="M1289" s="487">
        <v>44468</v>
      </c>
      <c r="N1289" s="487">
        <v>44564</v>
      </c>
      <c r="O1289" s="487"/>
      <c r="P1289" s="475">
        <v>44652</v>
      </c>
      <c r="Q1289" s="475">
        <v>44656</v>
      </c>
      <c r="R1289" s="475">
        <v>44657</v>
      </c>
      <c r="S1289" s="474" t="s">
        <v>2379</v>
      </c>
      <c r="T1289" s="474">
        <v>60</v>
      </c>
      <c r="U1289" s="474">
        <v>49204132</v>
      </c>
      <c r="V1289" s="474" t="s">
        <v>1223</v>
      </c>
      <c r="W1289" s="474">
        <v>360</v>
      </c>
      <c r="X1289" s="476">
        <v>260</v>
      </c>
      <c r="Y1289" s="477">
        <f>X1289*W1289</f>
        <v>93600</v>
      </c>
      <c r="Z1289" s="478">
        <v>0.83</v>
      </c>
      <c r="AA1289" s="479">
        <f>Z1289*Y1289</f>
        <v>77688</v>
      </c>
      <c r="AB1289" s="480"/>
      <c r="AC1289" s="481">
        <f>AB1289*Y1289</f>
        <v>0</v>
      </c>
      <c r="AD1289" s="490"/>
      <c r="AE1289" s="482"/>
      <c r="AF1289" s="493">
        <f>AE1289+AD1289+AA1289</f>
        <v>77688</v>
      </c>
      <c r="AG1289" s="474" t="s">
        <v>47</v>
      </c>
      <c r="AH1289" s="474">
        <v>100</v>
      </c>
      <c r="AI1289" s="483"/>
      <c r="AJ1289" s="474" t="s">
        <v>3198</v>
      </c>
      <c r="AK1289" s="494" t="s">
        <v>3199</v>
      </c>
      <c r="AL1289" s="474">
        <v>25704</v>
      </c>
      <c r="AM1289" s="474" t="s">
        <v>52</v>
      </c>
      <c r="AN1289" s="474" t="s">
        <v>1106</v>
      </c>
      <c r="AO1289" s="474"/>
      <c r="AP1289" s="486"/>
      <c r="AQ1289" s="486" t="s">
        <v>37</v>
      </c>
      <c r="AR1289" s="486"/>
      <c r="AS1289" s="495"/>
      <c r="AT1289" s="495"/>
      <c r="AU1289" s="478"/>
    </row>
    <row r="1290" spans="1:47" s="471" customFormat="1">
      <c r="A1290" s="472" t="s">
        <v>3190</v>
      </c>
      <c r="B1290" s="515">
        <v>44627</v>
      </c>
      <c r="C1290" s="515">
        <v>44627</v>
      </c>
      <c r="D1290" s="485" t="s">
        <v>3186</v>
      </c>
      <c r="E1290" s="474" t="s">
        <v>3200</v>
      </c>
      <c r="F1290" s="474"/>
      <c r="G1290" s="474">
        <v>2022</v>
      </c>
      <c r="H1290" s="474">
        <v>3</v>
      </c>
      <c r="I1290" s="474">
        <v>127675</v>
      </c>
      <c r="J1290" s="475">
        <v>44649</v>
      </c>
      <c r="K1290" s="483" t="s">
        <v>3201</v>
      </c>
      <c r="L1290" s="474" t="s">
        <v>3188</v>
      </c>
      <c r="M1290" s="487">
        <v>44468</v>
      </c>
      <c r="N1290" s="487">
        <v>44564</v>
      </c>
      <c r="O1290" s="487"/>
      <c r="P1290" s="475">
        <v>44644</v>
      </c>
      <c r="Q1290" s="475">
        <v>44648</v>
      </c>
      <c r="R1290" s="475">
        <v>44649</v>
      </c>
      <c r="S1290" s="474" t="s">
        <v>2379</v>
      </c>
      <c r="T1290" s="474">
        <v>60</v>
      </c>
      <c r="U1290" s="474">
        <v>49204132</v>
      </c>
      <c r="V1290" s="474" t="s">
        <v>1223</v>
      </c>
      <c r="W1290" s="474">
        <v>360</v>
      </c>
      <c r="X1290" s="476">
        <f>1248-260-728+260</f>
        <v>520</v>
      </c>
      <c r="Y1290" s="477">
        <f>X1290*W1290</f>
        <v>187200</v>
      </c>
      <c r="Z1290" s="478">
        <v>0.83</v>
      </c>
      <c r="AA1290" s="479">
        <f>Z1290*Y1290</f>
        <v>155376</v>
      </c>
      <c r="AB1290" s="480"/>
      <c r="AC1290" s="481">
        <f>AB1290*Y1290</f>
        <v>0</v>
      </c>
      <c r="AD1290" s="490"/>
      <c r="AE1290" s="482"/>
      <c r="AF1290" s="493">
        <f>AE1290+AD1290+AA1290</f>
        <v>155376</v>
      </c>
      <c r="AG1290" s="474" t="s">
        <v>47</v>
      </c>
      <c r="AH1290" s="474">
        <v>100</v>
      </c>
      <c r="AI1290" s="483"/>
      <c r="AJ1290" s="474" t="s">
        <v>3198</v>
      </c>
      <c r="AK1290" s="494" t="s">
        <v>3199</v>
      </c>
      <c r="AL1290" s="474">
        <v>25704</v>
      </c>
      <c r="AM1290" s="474" t="s">
        <v>52</v>
      </c>
      <c r="AN1290" s="526" t="s">
        <v>1106</v>
      </c>
      <c r="AO1290" s="474"/>
      <c r="AP1290" s="486"/>
      <c r="AQ1290" s="486" t="s">
        <v>37</v>
      </c>
      <c r="AR1290" s="486"/>
      <c r="AS1290" s="495"/>
      <c r="AT1290" s="495"/>
      <c r="AU1290" s="478"/>
    </row>
    <row r="1291" spans="1:47" s="471" customFormat="1">
      <c r="A1291" s="472" t="s">
        <v>3190</v>
      </c>
      <c r="B1291" s="515">
        <v>44627</v>
      </c>
      <c r="C1291" s="515">
        <v>44627</v>
      </c>
      <c r="D1291" s="485" t="s">
        <v>3186</v>
      </c>
      <c r="E1291" s="474" t="s">
        <v>3196</v>
      </c>
      <c r="F1291" s="474"/>
      <c r="G1291" s="474">
        <v>2022</v>
      </c>
      <c r="H1291" s="474">
        <v>3</v>
      </c>
      <c r="I1291" s="474">
        <v>127535</v>
      </c>
      <c r="J1291" s="475">
        <v>44643</v>
      </c>
      <c r="K1291" s="483" t="s">
        <v>3197</v>
      </c>
      <c r="L1291" s="474" t="s">
        <v>3188</v>
      </c>
      <c r="M1291" s="487">
        <v>44468</v>
      </c>
      <c r="N1291" s="487">
        <v>44564</v>
      </c>
      <c r="O1291" s="487"/>
      <c r="P1291" s="487">
        <v>44638</v>
      </c>
      <c r="Q1291" s="475">
        <v>44642</v>
      </c>
      <c r="R1291" s="475">
        <v>44643</v>
      </c>
      <c r="S1291" s="474" t="s">
        <v>2379</v>
      </c>
      <c r="T1291" s="474">
        <v>60</v>
      </c>
      <c r="U1291" s="474">
        <v>49204132</v>
      </c>
      <c r="V1291" s="474" t="s">
        <v>1223</v>
      </c>
      <c r="W1291" s="474">
        <v>360</v>
      </c>
      <c r="X1291" s="476">
        <v>260</v>
      </c>
      <c r="Y1291" s="477">
        <f>X1291*W1291</f>
        <v>93600</v>
      </c>
      <c r="Z1291" s="478">
        <v>0.83</v>
      </c>
      <c r="AA1291" s="479">
        <f>Z1291*Y1291</f>
        <v>77688</v>
      </c>
      <c r="AB1291" s="480"/>
      <c r="AC1291" s="481">
        <f>AB1291*Y1291</f>
        <v>0</v>
      </c>
      <c r="AD1291" s="490"/>
      <c r="AE1291" s="482"/>
      <c r="AF1291" s="493">
        <f>AE1291+AD1291+AA1291</f>
        <v>77688</v>
      </c>
      <c r="AG1291" s="474" t="s">
        <v>47</v>
      </c>
      <c r="AH1291" s="474">
        <v>100</v>
      </c>
      <c r="AI1291" s="483"/>
      <c r="AJ1291" s="474" t="s">
        <v>3198</v>
      </c>
      <c r="AK1291" s="494" t="s">
        <v>3199</v>
      </c>
      <c r="AL1291" s="474">
        <v>25704</v>
      </c>
      <c r="AM1291" s="474" t="s">
        <v>52</v>
      </c>
      <c r="AN1291" s="474" t="s">
        <v>1074</v>
      </c>
      <c r="AO1291" s="474"/>
      <c r="AP1291" s="486"/>
      <c r="AQ1291" s="486" t="s">
        <v>37</v>
      </c>
      <c r="AR1291" s="486"/>
      <c r="AS1291" s="495"/>
      <c r="AT1291" s="495"/>
      <c r="AU1291" s="478"/>
    </row>
    <row r="1292" spans="1:47" s="471" customFormat="1">
      <c r="A1292" s="472"/>
      <c r="B1292" s="600">
        <v>44628</v>
      </c>
      <c r="C1292" s="600">
        <v>44628</v>
      </c>
      <c r="D1292" s="485" t="s">
        <v>3186</v>
      </c>
      <c r="E1292" s="474" t="s">
        <v>3193</v>
      </c>
      <c r="F1292" s="474"/>
      <c r="G1292" s="474">
        <v>2022</v>
      </c>
      <c r="H1292" s="474">
        <v>3</v>
      </c>
      <c r="I1292" s="474">
        <v>127832</v>
      </c>
      <c r="J1292" s="475">
        <v>44650</v>
      </c>
      <c r="K1292" s="483" t="s">
        <v>3194</v>
      </c>
      <c r="L1292" s="474" t="s">
        <v>3188</v>
      </c>
      <c r="M1292" s="487">
        <v>44621</v>
      </c>
      <c r="N1292" s="487">
        <v>44634</v>
      </c>
      <c r="O1292" s="487"/>
      <c r="P1292" s="475">
        <v>44628</v>
      </c>
      <c r="Q1292" s="475">
        <v>44641</v>
      </c>
      <c r="R1292" s="475">
        <v>44650</v>
      </c>
      <c r="S1292" s="474" t="s">
        <v>2379</v>
      </c>
      <c r="T1292" s="474">
        <v>72</v>
      </c>
      <c r="U1292" s="474">
        <v>49304155</v>
      </c>
      <c r="V1292" s="474" t="s">
        <v>1104</v>
      </c>
      <c r="W1292" s="474">
        <v>475</v>
      </c>
      <c r="X1292" s="476">
        <v>783</v>
      </c>
      <c r="Y1292" s="477">
        <f>X1292*W1292</f>
        <v>371925</v>
      </c>
      <c r="Z1292" s="478">
        <v>0.47</v>
      </c>
      <c r="AA1292" s="479">
        <f>Z1292*Y1292</f>
        <v>174804.75</v>
      </c>
      <c r="AB1292" s="480"/>
      <c r="AC1292" s="481">
        <f>AB1292*Y1292</f>
        <v>0</v>
      </c>
      <c r="AD1292" s="490"/>
      <c r="AE1292" s="482"/>
      <c r="AF1292" s="493">
        <f>AE1292+AD1292+AA1292</f>
        <v>174804.75</v>
      </c>
      <c r="AG1292" s="474" t="s">
        <v>47</v>
      </c>
      <c r="AH1292" s="474"/>
      <c r="AI1292" s="483" t="s">
        <v>2374</v>
      </c>
      <c r="AJ1292" s="474" t="s">
        <v>3195</v>
      </c>
      <c r="AK1292" s="494" t="s">
        <v>1221</v>
      </c>
      <c r="AL1292" s="474">
        <v>44662</v>
      </c>
      <c r="AM1292" s="474" t="s">
        <v>52</v>
      </c>
      <c r="AN1292" s="526" t="s">
        <v>1106</v>
      </c>
      <c r="AO1292" s="474"/>
      <c r="AP1292" s="486"/>
      <c r="AQ1292" s="486" t="s">
        <v>1086</v>
      </c>
      <c r="AR1292" s="486"/>
      <c r="AS1292" s="495"/>
      <c r="AT1292" s="495"/>
      <c r="AU1292" s="478">
        <v>0.55000000000000004</v>
      </c>
    </row>
    <row r="1293" spans="1:47" s="471" customFormat="1">
      <c r="A1293" s="472"/>
      <c r="B1293" s="600">
        <v>44628</v>
      </c>
      <c r="C1293" s="600">
        <v>44628</v>
      </c>
      <c r="D1293" s="485" t="s">
        <v>3186</v>
      </c>
      <c r="E1293" s="474" t="s">
        <v>3193</v>
      </c>
      <c r="F1293" s="474"/>
      <c r="G1293" s="474">
        <v>2022</v>
      </c>
      <c r="H1293" s="474">
        <v>3</v>
      </c>
      <c r="I1293" s="474">
        <v>127832</v>
      </c>
      <c r="J1293" s="475">
        <v>44650</v>
      </c>
      <c r="K1293" s="483" t="s">
        <v>3194</v>
      </c>
      <c r="L1293" s="474" t="s">
        <v>3188</v>
      </c>
      <c r="M1293" s="487">
        <v>44621</v>
      </c>
      <c r="N1293" s="487">
        <v>44634</v>
      </c>
      <c r="O1293" s="487"/>
      <c r="P1293" s="475">
        <v>44628</v>
      </c>
      <c r="Q1293" s="475">
        <v>44642</v>
      </c>
      <c r="R1293" s="475">
        <v>44650</v>
      </c>
      <c r="S1293" s="474" t="s">
        <v>2379</v>
      </c>
      <c r="T1293" s="474">
        <v>72</v>
      </c>
      <c r="U1293" s="474">
        <v>49302155</v>
      </c>
      <c r="V1293" s="474" t="s">
        <v>1104</v>
      </c>
      <c r="W1293" s="474">
        <v>475</v>
      </c>
      <c r="X1293" s="476">
        <v>1102</v>
      </c>
      <c r="Y1293" s="477">
        <f>X1293*W1293</f>
        <v>523450</v>
      </c>
      <c r="Z1293" s="478">
        <v>0.47</v>
      </c>
      <c r="AA1293" s="479">
        <f>Z1293*Y1293</f>
        <v>246021.5</v>
      </c>
      <c r="AB1293" s="480"/>
      <c r="AC1293" s="481">
        <f>AB1293*Y1293</f>
        <v>0</v>
      </c>
      <c r="AD1293" s="490"/>
      <c r="AE1293" s="482"/>
      <c r="AF1293" s="493">
        <f>AE1293+AD1293+AA1293</f>
        <v>246021.5</v>
      </c>
      <c r="AG1293" s="474" t="s">
        <v>47</v>
      </c>
      <c r="AH1293" s="474"/>
      <c r="AI1293" s="483" t="s">
        <v>2374</v>
      </c>
      <c r="AJ1293" s="474" t="s">
        <v>3195</v>
      </c>
      <c r="AK1293" s="494" t="s">
        <v>1221</v>
      </c>
      <c r="AL1293" s="474">
        <v>44662</v>
      </c>
      <c r="AM1293" s="474" t="s">
        <v>52</v>
      </c>
      <c r="AN1293" s="526" t="s">
        <v>1106</v>
      </c>
      <c r="AO1293" s="474"/>
      <c r="AP1293" s="486"/>
      <c r="AQ1293" s="486" t="s">
        <v>1086</v>
      </c>
      <c r="AR1293" s="486"/>
      <c r="AS1293" s="495"/>
      <c r="AT1293" s="495"/>
      <c r="AU1293" s="478">
        <v>0.55000000000000004</v>
      </c>
    </row>
    <row r="1294" spans="1:47" s="471" customFormat="1">
      <c r="A1294" s="472"/>
      <c r="B1294" s="600">
        <v>44628</v>
      </c>
      <c r="C1294" s="600">
        <v>44628</v>
      </c>
      <c r="D1294" s="485" t="s">
        <v>3186</v>
      </c>
      <c r="E1294" s="474" t="s">
        <v>3193</v>
      </c>
      <c r="F1294" s="474"/>
      <c r="G1294" s="474">
        <v>2022</v>
      </c>
      <c r="H1294" s="474">
        <v>3</v>
      </c>
      <c r="I1294" s="474">
        <v>127832</v>
      </c>
      <c r="J1294" s="475">
        <v>44650</v>
      </c>
      <c r="K1294" s="483" t="s">
        <v>3194</v>
      </c>
      <c r="L1294" s="474" t="s">
        <v>3188</v>
      </c>
      <c r="M1294" s="487">
        <v>44621</v>
      </c>
      <c r="N1294" s="487">
        <v>44634</v>
      </c>
      <c r="O1294" s="487"/>
      <c r="P1294" s="475">
        <v>44628</v>
      </c>
      <c r="Q1294" s="475">
        <v>44641</v>
      </c>
      <c r="R1294" s="475">
        <v>44643</v>
      </c>
      <c r="S1294" s="474" t="s">
        <v>2379</v>
      </c>
      <c r="T1294" s="474">
        <v>72</v>
      </c>
      <c r="U1294" s="474">
        <v>49301155</v>
      </c>
      <c r="V1294" s="474" t="s">
        <v>1104</v>
      </c>
      <c r="W1294" s="474">
        <v>475</v>
      </c>
      <c r="X1294" s="476">
        <v>8844</v>
      </c>
      <c r="Y1294" s="477">
        <f>X1294*W1294</f>
        <v>4200900</v>
      </c>
      <c r="Z1294" s="478">
        <v>0.47</v>
      </c>
      <c r="AA1294" s="479">
        <f>Z1294*Y1294</f>
        <v>1974423</v>
      </c>
      <c r="AB1294" s="480"/>
      <c r="AC1294" s="481">
        <f>AB1294*Y1294</f>
        <v>0</v>
      </c>
      <c r="AD1294" s="490"/>
      <c r="AE1294" s="482"/>
      <c r="AF1294" s="493">
        <f>AE1294+AD1294+AA1294</f>
        <v>1974423</v>
      </c>
      <c r="AG1294" s="474" t="s">
        <v>47</v>
      </c>
      <c r="AH1294" s="474"/>
      <c r="AI1294" s="483" t="s">
        <v>2374</v>
      </c>
      <c r="AJ1294" s="474" t="s">
        <v>3195</v>
      </c>
      <c r="AK1294" s="494" t="s">
        <v>1221</v>
      </c>
      <c r="AL1294" s="474">
        <v>44662</v>
      </c>
      <c r="AM1294" s="474" t="s">
        <v>52</v>
      </c>
      <c r="AN1294" s="526" t="s">
        <v>1106</v>
      </c>
      <c r="AO1294" s="474"/>
      <c r="AP1294" s="486"/>
      <c r="AQ1294" s="486" t="s">
        <v>1086</v>
      </c>
      <c r="AR1294" s="486"/>
      <c r="AS1294" s="495"/>
      <c r="AT1294" s="495"/>
      <c r="AU1294" s="478">
        <v>0.55000000000000004</v>
      </c>
    </row>
    <row r="1295" spans="1:47" s="471" customFormat="1">
      <c r="A1295" s="472"/>
      <c r="B1295" s="600">
        <v>44628</v>
      </c>
      <c r="C1295" s="600">
        <v>44628</v>
      </c>
      <c r="D1295" s="485" t="s">
        <v>3186</v>
      </c>
      <c r="E1295" s="474" t="s">
        <v>3307</v>
      </c>
      <c r="F1295" s="474"/>
      <c r="G1295" s="474">
        <v>2022</v>
      </c>
      <c r="H1295" s="474">
        <v>3</v>
      </c>
      <c r="I1295" s="524">
        <v>127877</v>
      </c>
      <c r="J1295" s="538">
        <v>44650</v>
      </c>
      <c r="K1295" s="523" t="s">
        <v>3194</v>
      </c>
      <c r="L1295" s="524" t="s">
        <v>3188</v>
      </c>
      <c r="M1295" s="487">
        <v>44621</v>
      </c>
      <c r="N1295" s="487">
        <v>44634</v>
      </c>
      <c r="O1295" s="487"/>
      <c r="P1295" s="475">
        <v>44628</v>
      </c>
      <c r="Q1295" s="475">
        <v>44642</v>
      </c>
      <c r="R1295" s="475">
        <v>44650</v>
      </c>
      <c r="S1295" s="474" t="s">
        <v>2379</v>
      </c>
      <c r="T1295" s="474">
        <v>72</v>
      </c>
      <c r="U1295" s="474">
        <v>49302155</v>
      </c>
      <c r="V1295" s="474" t="s">
        <v>1104</v>
      </c>
      <c r="W1295" s="474">
        <v>475</v>
      </c>
      <c r="X1295" s="476">
        <v>116</v>
      </c>
      <c r="Y1295" s="477">
        <f>X1295*W1295</f>
        <v>55100</v>
      </c>
      <c r="Z1295" s="478">
        <v>0.47</v>
      </c>
      <c r="AA1295" s="479">
        <f>Z1295*Y1295</f>
        <v>25897</v>
      </c>
      <c r="AB1295" s="480"/>
      <c r="AC1295" s="481">
        <f>AB1295*Y1295</f>
        <v>0</v>
      </c>
      <c r="AD1295" s="490"/>
      <c r="AE1295" s="482"/>
      <c r="AF1295" s="493">
        <f>AE1295+AD1295+AA1295</f>
        <v>25897</v>
      </c>
      <c r="AG1295" s="474" t="s">
        <v>47</v>
      </c>
      <c r="AH1295" s="474"/>
      <c r="AI1295" s="483" t="s">
        <v>2374</v>
      </c>
      <c r="AJ1295" s="474" t="s">
        <v>3195</v>
      </c>
      <c r="AK1295" s="494" t="s">
        <v>1221</v>
      </c>
      <c r="AL1295" s="474">
        <v>44662</v>
      </c>
      <c r="AM1295" s="474" t="s">
        <v>52</v>
      </c>
      <c r="AN1295" s="526" t="s">
        <v>1106</v>
      </c>
      <c r="AO1295" s="474"/>
      <c r="AP1295" s="486"/>
      <c r="AQ1295" s="486" t="s">
        <v>1086</v>
      </c>
      <c r="AR1295" s="486"/>
      <c r="AS1295" s="495"/>
      <c r="AT1295" s="495"/>
      <c r="AU1295" s="478">
        <v>0.55000000000000004</v>
      </c>
    </row>
    <row r="1296" spans="1:47" s="471" customFormat="1">
      <c r="A1296" s="472"/>
      <c r="B1296" s="600">
        <v>44628</v>
      </c>
      <c r="C1296" s="600">
        <v>44628</v>
      </c>
      <c r="D1296" s="485" t="s">
        <v>3186</v>
      </c>
      <c r="E1296" s="474" t="s">
        <v>3339</v>
      </c>
      <c r="F1296" s="474"/>
      <c r="G1296" s="474">
        <v>2022</v>
      </c>
      <c r="H1296" s="474">
        <v>3</v>
      </c>
      <c r="I1296" s="524">
        <v>127877</v>
      </c>
      <c r="J1296" s="538">
        <v>44650</v>
      </c>
      <c r="K1296" s="523" t="s">
        <v>3194</v>
      </c>
      <c r="L1296" s="524" t="s">
        <v>3188</v>
      </c>
      <c r="M1296" s="487">
        <v>44621</v>
      </c>
      <c r="N1296" s="487">
        <v>44634</v>
      </c>
      <c r="O1296" s="487"/>
      <c r="P1296" s="475">
        <v>44628</v>
      </c>
      <c r="Q1296" s="475">
        <v>44641</v>
      </c>
      <c r="R1296" s="475">
        <v>44643</v>
      </c>
      <c r="S1296" s="474" t="s">
        <v>2379</v>
      </c>
      <c r="T1296" s="474">
        <v>72</v>
      </c>
      <c r="U1296" s="474">
        <v>49301155</v>
      </c>
      <c r="V1296" s="474" t="s">
        <v>1104</v>
      </c>
      <c r="W1296" s="474">
        <v>475</v>
      </c>
      <c r="X1296" s="476">
        <v>1</v>
      </c>
      <c r="Y1296" s="477">
        <f>X1296*W1296</f>
        <v>475</v>
      </c>
      <c r="Z1296" s="478">
        <v>0.47</v>
      </c>
      <c r="AA1296" s="479">
        <f>Z1296*Y1296</f>
        <v>223.25</v>
      </c>
      <c r="AB1296" s="480"/>
      <c r="AC1296" s="481">
        <f>AB1296*Y1296</f>
        <v>0</v>
      </c>
      <c r="AD1296" s="490"/>
      <c r="AE1296" s="482"/>
      <c r="AF1296" s="493">
        <f>AE1296+AD1296+AA1296</f>
        <v>223.25</v>
      </c>
      <c r="AG1296" s="474" t="s">
        <v>47</v>
      </c>
      <c r="AH1296" s="474"/>
      <c r="AI1296" s="483" t="s">
        <v>2374</v>
      </c>
      <c r="AJ1296" s="474" t="s">
        <v>3195</v>
      </c>
      <c r="AK1296" s="494" t="s">
        <v>1221</v>
      </c>
      <c r="AL1296" s="474">
        <v>44662</v>
      </c>
      <c r="AM1296" s="474" t="s">
        <v>52</v>
      </c>
      <c r="AN1296" s="526" t="s">
        <v>1106</v>
      </c>
      <c r="AO1296" s="474"/>
      <c r="AP1296" s="486"/>
      <c r="AQ1296" s="486" t="s">
        <v>1086</v>
      </c>
      <c r="AR1296" s="486"/>
      <c r="AS1296" s="495"/>
      <c r="AT1296" s="495"/>
      <c r="AU1296" s="478">
        <v>0.55000000000000004</v>
      </c>
    </row>
    <row r="1297" spans="1:47" s="471" customFormat="1">
      <c r="A1297" s="472"/>
      <c r="B1297" s="515">
        <v>44650</v>
      </c>
      <c r="C1297" s="515" t="s">
        <v>5509</v>
      </c>
      <c r="D1297" s="485" t="s">
        <v>3186</v>
      </c>
      <c r="E1297" s="474" t="s">
        <v>3663</v>
      </c>
      <c r="F1297" s="474"/>
      <c r="G1297" s="474">
        <v>2022</v>
      </c>
      <c r="H1297" s="474"/>
      <c r="I1297" s="474" t="s">
        <v>1676</v>
      </c>
      <c r="J1297" s="475"/>
      <c r="K1297" s="483" t="s">
        <v>3666</v>
      </c>
      <c r="L1297" s="474" t="s">
        <v>3188</v>
      </c>
      <c r="M1297" s="487">
        <v>44649</v>
      </c>
      <c r="N1297" s="487">
        <v>44683</v>
      </c>
      <c r="O1297" s="487"/>
      <c r="P1297" s="475" t="s">
        <v>3433</v>
      </c>
      <c r="Q1297" s="475"/>
      <c r="R1297" s="475"/>
      <c r="S1297" s="474" t="s">
        <v>2379</v>
      </c>
      <c r="T1297" s="474">
        <v>72</v>
      </c>
      <c r="U1297" s="474"/>
      <c r="V1297" s="474" t="s">
        <v>1070</v>
      </c>
      <c r="W1297" s="474">
        <v>475</v>
      </c>
      <c r="X1297" s="476">
        <v>290</v>
      </c>
      <c r="Y1297" s="477">
        <f>X1297*W1297</f>
        <v>137750</v>
      </c>
      <c r="Z1297" s="478">
        <v>0.51</v>
      </c>
      <c r="AA1297" s="479">
        <f>Z1297*Y1297</f>
        <v>70252.5</v>
      </c>
      <c r="AB1297" s="480"/>
      <c r="AC1297" s="481">
        <f>AB1297*Y1297</f>
        <v>0</v>
      </c>
      <c r="AD1297" s="490"/>
      <c r="AE1297" s="482"/>
      <c r="AF1297" s="493">
        <f>AE1297+AD1297+AA1297</f>
        <v>70252.5</v>
      </c>
      <c r="AG1297" s="474" t="s">
        <v>47</v>
      </c>
      <c r="AH1297" s="474">
        <v>100</v>
      </c>
      <c r="AI1297" s="483"/>
      <c r="AJ1297" s="474" t="s">
        <v>3667</v>
      </c>
      <c r="AK1297" s="494" t="s">
        <v>1138</v>
      </c>
      <c r="AL1297" s="474">
        <v>12401</v>
      </c>
      <c r="AM1297" s="474" t="s">
        <v>52</v>
      </c>
      <c r="AN1297" s="474"/>
      <c r="AO1297" s="474"/>
      <c r="AP1297" s="486"/>
      <c r="AQ1297" s="486" t="s">
        <v>37</v>
      </c>
      <c r="AR1297" s="486"/>
      <c r="AS1297" s="495"/>
      <c r="AT1297" s="495"/>
      <c r="AU1297" s="478">
        <v>0.55000000000000004</v>
      </c>
    </row>
    <row r="1298" spans="1:47" s="471" customFormat="1">
      <c r="A1298" s="472"/>
      <c r="B1298" s="515">
        <v>44650</v>
      </c>
      <c r="C1298" s="515" t="s">
        <v>5509</v>
      </c>
      <c r="D1298" s="485" t="s">
        <v>3186</v>
      </c>
      <c r="E1298" s="474" t="s">
        <v>3663</v>
      </c>
      <c r="F1298" s="474"/>
      <c r="G1298" s="474">
        <v>2022</v>
      </c>
      <c r="H1298" s="474"/>
      <c r="I1298" s="474" t="s">
        <v>1676</v>
      </c>
      <c r="J1298" s="475"/>
      <c r="K1298" s="483" t="s">
        <v>3665</v>
      </c>
      <c r="L1298" s="474" t="s">
        <v>3188</v>
      </c>
      <c r="M1298" s="487">
        <v>44649</v>
      </c>
      <c r="N1298" s="487">
        <v>44774</v>
      </c>
      <c r="O1298" s="487"/>
      <c r="P1298" s="475" t="s">
        <v>3433</v>
      </c>
      <c r="Q1298" s="475"/>
      <c r="R1298" s="475"/>
      <c r="S1298" s="474" t="s">
        <v>2379</v>
      </c>
      <c r="T1298" s="474">
        <v>72</v>
      </c>
      <c r="U1298" s="474"/>
      <c r="V1298" s="474" t="s">
        <v>1070</v>
      </c>
      <c r="W1298" s="474">
        <v>475</v>
      </c>
      <c r="X1298" s="476">
        <v>580</v>
      </c>
      <c r="Y1298" s="477">
        <f>X1298*W1298</f>
        <v>275500</v>
      </c>
      <c r="Z1298" s="478">
        <v>0.51</v>
      </c>
      <c r="AA1298" s="479">
        <f>Z1298*Y1298</f>
        <v>140505</v>
      </c>
      <c r="AB1298" s="480"/>
      <c r="AC1298" s="481">
        <f>AB1298*Y1298</f>
        <v>0</v>
      </c>
      <c r="AD1298" s="490"/>
      <c r="AE1298" s="482"/>
      <c r="AF1298" s="493">
        <f>AE1298+AD1298+AA1298</f>
        <v>140505</v>
      </c>
      <c r="AG1298" s="474" t="s">
        <v>47</v>
      </c>
      <c r="AH1298" s="474">
        <v>100</v>
      </c>
      <c r="AI1298" s="483"/>
      <c r="AJ1298" s="474" t="s">
        <v>3376</v>
      </c>
      <c r="AK1298" s="494" t="s">
        <v>1370</v>
      </c>
      <c r="AL1298" s="474">
        <v>5676</v>
      </c>
      <c r="AM1298" s="474" t="s">
        <v>52</v>
      </c>
      <c r="AN1298" s="474"/>
      <c r="AO1298" s="474"/>
      <c r="AP1298" s="486"/>
      <c r="AQ1298" s="486" t="s">
        <v>37</v>
      </c>
      <c r="AR1298" s="486"/>
      <c r="AS1298" s="495"/>
      <c r="AT1298" s="495"/>
      <c r="AU1298" s="478">
        <v>0.55000000000000004</v>
      </c>
    </row>
    <row r="1299" spans="1:47" s="471" customFormat="1">
      <c r="A1299" s="472"/>
      <c r="B1299" s="515">
        <v>44650</v>
      </c>
      <c r="C1299" s="515" t="s">
        <v>5509</v>
      </c>
      <c r="D1299" s="485" t="s">
        <v>3186</v>
      </c>
      <c r="E1299" s="474" t="s">
        <v>3663</v>
      </c>
      <c r="F1299" s="474"/>
      <c r="G1299" s="474">
        <v>2022</v>
      </c>
      <c r="H1299" s="474"/>
      <c r="I1299" s="474" t="s">
        <v>1676</v>
      </c>
      <c r="J1299" s="475"/>
      <c r="K1299" s="483" t="s">
        <v>3664</v>
      </c>
      <c r="L1299" s="474" t="s">
        <v>3188</v>
      </c>
      <c r="M1299" s="487">
        <v>44649</v>
      </c>
      <c r="N1299" s="487">
        <v>44743</v>
      </c>
      <c r="O1299" s="487"/>
      <c r="P1299" s="475" t="s">
        <v>3433</v>
      </c>
      <c r="Q1299" s="475"/>
      <c r="R1299" s="475"/>
      <c r="S1299" s="474" t="s">
        <v>2379</v>
      </c>
      <c r="T1299" s="474">
        <v>72</v>
      </c>
      <c r="U1299" s="474"/>
      <c r="V1299" s="474" t="s">
        <v>1070</v>
      </c>
      <c r="W1299" s="474">
        <v>475</v>
      </c>
      <c r="X1299" s="476">
        <v>580</v>
      </c>
      <c r="Y1299" s="477">
        <f>X1299*W1299</f>
        <v>275500</v>
      </c>
      <c r="Z1299" s="478">
        <v>0.51</v>
      </c>
      <c r="AA1299" s="479">
        <f>Z1299*Y1299</f>
        <v>140505</v>
      </c>
      <c r="AB1299" s="480"/>
      <c r="AC1299" s="481">
        <f>AB1299*Y1299</f>
        <v>0</v>
      </c>
      <c r="AD1299" s="490"/>
      <c r="AE1299" s="482"/>
      <c r="AF1299" s="493">
        <f>AE1299+AD1299+AA1299</f>
        <v>140505</v>
      </c>
      <c r="AG1299" s="474" t="s">
        <v>47</v>
      </c>
      <c r="AH1299" s="474">
        <v>100</v>
      </c>
      <c r="AI1299" s="483"/>
      <c r="AJ1299" s="474" t="s">
        <v>3376</v>
      </c>
      <c r="AK1299" s="494" t="s">
        <v>1370</v>
      </c>
      <c r="AL1299" s="474">
        <v>5676</v>
      </c>
      <c r="AM1299" s="474" t="s">
        <v>52</v>
      </c>
      <c r="AN1299" s="474"/>
      <c r="AO1299" s="474"/>
      <c r="AP1299" s="486"/>
      <c r="AQ1299" s="486" t="s">
        <v>37</v>
      </c>
      <c r="AR1299" s="486"/>
      <c r="AS1299" s="495"/>
      <c r="AT1299" s="495"/>
      <c r="AU1299" s="478">
        <v>0.55000000000000004</v>
      </c>
    </row>
    <row r="1300" spans="1:47" s="471" customFormat="1">
      <c r="A1300" s="472"/>
      <c r="B1300" s="515">
        <v>44616</v>
      </c>
      <c r="C1300" s="515"/>
      <c r="D1300" s="485" t="s">
        <v>3186</v>
      </c>
      <c r="E1300" s="474" t="s">
        <v>3431</v>
      </c>
      <c r="F1300" s="474"/>
      <c r="G1300" s="474">
        <v>2022</v>
      </c>
      <c r="H1300" s="474"/>
      <c r="I1300" s="474" t="s">
        <v>1676</v>
      </c>
      <c r="J1300" s="475"/>
      <c r="K1300" s="483" t="s">
        <v>3462</v>
      </c>
      <c r="L1300" s="474" t="s">
        <v>3188</v>
      </c>
      <c r="M1300" s="487">
        <v>44615</v>
      </c>
      <c r="N1300" s="487">
        <v>44747</v>
      </c>
      <c r="O1300" s="487"/>
      <c r="P1300" s="475" t="s">
        <v>3433</v>
      </c>
      <c r="Q1300" s="475"/>
      <c r="R1300" s="475"/>
      <c r="S1300" s="474" t="s">
        <v>2379</v>
      </c>
      <c r="T1300" s="474">
        <v>72</v>
      </c>
      <c r="U1300" s="474" t="s">
        <v>1856</v>
      </c>
      <c r="V1300" s="474" t="s">
        <v>1002</v>
      </c>
      <c r="W1300" s="474">
        <v>475</v>
      </c>
      <c r="X1300" s="476">
        <v>580</v>
      </c>
      <c r="Y1300" s="477">
        <f>X1300*W1300</f>
        <v>275500</v>
      </c>
      <c r="Z1300" s="478">
        <v>0.495</v>
      </c>
      <c r="AA1300" s="479">
        <f>Z1300*Y1300</f>
        <v>136372.5</v>
      </c>
      <c r="AB1300" s="480"/>
      <c r="AC1300" s="481">
        <f>AB1300*Y1300</f>
        <v>0</v>
      </c>
      <c r="AD1300" s="490"/>
      <c r="AE1300" s="482"/>
      <c r="AF1300" s="493">
        <f>AE1300+AD1300+AA1300</f>
        <v>136372.5</v>
      </c>
      <c r="AG1300" s="474" t="s">
        <v>47</v>
      </c>
      <c r="AH1300" s="474"/>
      <c r="AI1300" s="483" t="s">
        <v>3270</v>
      </c>
      <c r="AJ1300" s="474" t="s">
        <v>3376</v>
      </c>
      <c r="AK1300" s="494" t="s">
        <v>1370</v>
      </c>
      <c r="AL1300" s="474">
        <v>5676</v>
      </c>
      <c r="AM1300" s="474" t="s">
        <v>52</v>
      </c>
      <c r="AN1300" s="474" t="s">
        <v>50</v>
      </c>
      <c r="AO1300" s="474"/>
      <c r="AP1300" s="486"/>
      <c r="AQ1300" s="486" t="s">
        <v>37</v>
      </c>
      <c r="AR1300" s="486"/>
      <c r="AS1300" s="495"/>
      <c r="AT1300" s="495"/>
      <c r="AU1300" s="478"/>
    </row>
    <row r="1301" spans="1:47" s="471" customFormat="1">
      <c r="A1301" s="472"/>
      <c r="B1301" s="515">
        <v>44665</v>
      </c>
      <c r="C1301" s="515">
        <v>44665</v>
      </c>
      <c r="D1301" s="485" t="s">
        <v>3186</v>
      </c>
      <c r="E1301" s="474" t="s">
        <v>5507</v>
      </c>
      <c r="F1301" s="474"/>
      <c r="G1301" s="474">
        <v>2022</v>
      </c>
      <c r="H1301" s="474">
        <v>6</v>
      </c>
      <c r="I1301" s="474"/>
      <c r="J1301" s="475"/>
      <c r="K1301" s="483" t="s">
        <v>3434</v>
      </c>
      <c r="L1301" s="474" t="s">
        <v>3188</v>
      </c>
      <c r="M1301" s="487">
        <v>44615</v>
      </c>
      <c r="N1301" s="487">
        <v>44718</v>
      </c>
      <c r="O1301" s="487"/>
      <c r="P1301" s="475" t="s">
        <v>3433</v>
      </c>
      <c r="Q1301" s="475"/>
      <c r="R1301" s="475"/>
      <c r="S1301" s="474" t="s">
        <v>2379</v>
      </c>
      <c r="T1301" s="474">
        <v>72</v>
      </c>
      <c r="U1301" s="474" t="s">
        <v>1856</v>
      </c>
      <c r="V1301" s="474" t="s">
        <v>995</v>
      </c>
      <c r="W1301" s="474">
        <v>480</v>
      </c>
      <c r="X1301" s="476">
        <v>580</v>
      </c>
      <c r="Y1301" s="477">
        <f>X1301*W1301</f>
        <v>278400</v>
      </c>
      <c r="Z1301" s="478">
        <v>0.495</v>
      </c>
      <c r="AA1301" s="479">
        <f>Z1301*Y1301</f>
        <v>137808</v>
      </c>
      <c r="AB1301" s="480"/>
      <c r="AC1301" s="481">
        <f>AB1301*Y1301</f>
        <v>0</v>
      </c>
      <c r="AD1301" s="490"/>
      <c r="AE1301" s="482"/>
      <c r="AF1301" s="493">
        <f>AE1301+AD1301+AA1301</f>
        <v>137808</v>
      </c>
      <c r="AG1301" s="474" t="s">
        <v>47</v>
      </c>
      <c r="AH1301" s="474"/>
      <c r="AI1301" s="483" t="s">
        <v>3270</v>
      </c>
      <c r="AJ1301" s="474" t="s">
        <v>3376</v>
      </c>
      <c r="AK1301" s="494" t="s">
        <v>1370</v>
      </c>
      <c r="AL1301" s="474">
        <v>5676</v>
      </c>
      <c r="AM1301" s="474" t="s">
        <v>52</v>
      </c>
      <c r="AN1301" s="474" t="s">
        <v>50</v>
      </c>
      <c r="AO1301" s="474"/>
      <c r="AP1301" s="486"/>
      <c r="AQ1301" s="486" t="s">
        <v>37</v>
      </c>
      <c r="AR1301" s="486"/>
      <c r="AS1301" s="495"/>
      <c r="AT1301" s="495"/>
      <c r="AU1301" s="478"/>
    </row>
    <row r="1302" spans="1:47" s="471" customFormat="1">
      <c r="A1302" s="472"/>
      <c r="B1302" s="515">
        <v>44616</v>
      </c>
      <c r="C1302" s="515">
        <v>44671</v>
      </c>
      <c r="D1302" s="485" t="s">
        <v>3186</v>
      </c>
      <c r="E1302" s="474" t="s">
        <v>5507</v>
      </c>
      <c r="F1302" s="474"/>
      <c r="G1302" s="474">
        <v>2022</v>
      </c>
      <c r="H1302" s="474">
        <v>6</v>
      </c>
      <c r="I1302" s="474"/>
      <c r="J1302" s="475"/>
      <c r="K1302" s="483" t="s">
        <v>3432</v>
      </c>
      <c r="L1302" s="474" t="s">
        <v>3188</v>
      </c>
      <c r="M1302" s="487">
        <v>44615</v>
      </c>
      <c r="N1302" s="487">
        <v>44718</v>
      </c>
      <c r="O1302" s="487"/>
      <c r="P1302" s="475" t="s">
        <v>3433</v>
      </c>
      <c r="Q1302" s="475"/>
      <c r="R1302" s="475"/>
      <c r="S1302" s="474" t="s">
        <v>2379</v>
      </c>
      <c r="T1302" s="474">
        <v>72</v>
      </c>
      <c r="U1302" s="474"/>
      <c r="V1302" s="474" t="s">
        <v>1070</v>
      </c>
      <c r="W1302" s="474">
        <v>470</v>
      </c>
      <c r="X1302" s="476">
        <v>580</v>
      </c>
      <c r="Y1302" s="477">
        <f>X1302*W1302</f>
        <v>272600</v>
      </c>
      <c r="Z1302" s="478">
        <v>0.505</v>
      </c>
      <c r="AA1302" s="479">
        <f>Z1302*Y1302</f>
        <v>137663</v>
      </c>
      <c r="AB1302" s="480"/>
      <c r="AC1302" s="481">
        <f>AB1302*Y1302</f>
        <v>0</v>
      </c>
      <c r="AD1302" s="490"/>
      <c r="AE1302" s="482"/>
      <c r="AF1302" s="493">
        <f>AE1302+AD1302+AA1302</f>
        <v>137663</v>
      </c>
      <c r="AG1302" s="474" t="s">
        <v>47</v>
      </c>
      <c r="AH1302" s="474"/>
      <c r="AI1302" s="483" t="s">
        <v>3270</v>
      </c>
      <c r="AJ1302" s="474" t="s">
        <v>3376</v>
      </c>
      <c r="AK1302" s="494" t="s">
        <v>1370</v>
      </c>
      <c r="AL1302" s="474">
        <v>5676</v>
      </c>
      <c r="AM1302" s="474" t="s">
        <v>52</v>
      </c>
      <c r="AN1302" s="474"/>
      <c r="AO1302" s="474"/>
      <c r="AP1302" s="486"/>
      <c r="AQ1302" s="486" t="s">
        <v>37</v>
      </c>
      <c r="AR1302" s="486"/>
      <c r="AS1302" s="495"/>
      <c r="AT1302" s="495"/>
      <c r="AU1302" s="478"/>
    </row>
    <row r="1303" spans="1:47" s="471" customFormat="1">
      <c r="A1303" s="472"/>
      <c r="B1303" s="515">
        <v>44603</v>
      </c>
      <c r="C1303" s="515">
        <v>44603</v>
      </c>
      <c r="D1303" s="485" t="s">
        <v>3186</v>
      </c>
      <c r="E1303" s="474" t="s">
        <v>1283</v>
      </c>
      <c r="F1303" s="474"/>
      <c r="G1303" s="474">
        <v>2022</v>
      </c>
      <c r="H1303" s="474">
        <v>5</v>
      </c>
      <c r="I1303" s="474"/>
      <c r="J1303" s="475"/>
      <c r="K1303" s="483" t="s">
        <v>3377</v>
      </c>
      <c r="L1303" s="474" t="s">
        <v>3188</v>
      </c>
      <c r="M1303" s="487">
        <v>44603</v>
      </c>
      <c r="N1303" s="487">
        <v>44683</v>
      </c>
      <c r="O1303" s="487"/>
      <c r="P1303" s="475" t="s">
        <v>3433</v>
      </c>
      <c r="Q1303" s="475"/>
      <c r="R1303" s="475"/>
      <c r="S1303" s="474" t="s">
        <v>2379</v>
      </c>
      <c r="T1303" s="474">
        <v>72</v>
      </c>
      <c r="U1303" s="474"/>
      <c r="V1303" s="474" t="s">
        <v>1070</v>
      </c>
      <c r="W1303" s="474">
        <v>475</v>
      </c>
      <c r="X1303" s="476">
        <v>261</v>
      </c>
      <c r="Y1303" s="477">
        <f>X1303*W1303</f>
        <v>123975</v>
      </c>
      <c r="Z1303" s="478">
        <v>0.51</v>
      </c>
      <c r="AA1303" s="479">
        <f>Z1303*Y1303</f>
        <v>63227.25</v>
      </c>
      <c r="AB1303" s="480"/>
      <c r="AC1303" s="481">
        <f>AB1303*Y1303</f>
        <v>0</v>
      </c>
      <c r="AD1303" s="490"/>
      <c r="AE1303" s="482"/>
      <c r="AF1303" s="493">
        <f>AE1303+AD1303+AA1303</f>
        <v>63227.25</v>
      </c>
      <c r="AG1303" s="474" t="s">
        <v>47</v>
      </c>
      <c r="AH1303" s="474"/>
      <c r="AI1303" s="483">
        <v>30</v>
      </c>
      <c r="AJ1303" s="474" t="s">
        <v>3378</v>
      </c>
      <c r="AK1303" s="494" t="s">
        <v>1138</v>
      </c>
      <c r="AL1303" s="474">
        <v>12401</v>
      </c>
      <c r="AM1303" s="474" t="s">
        <v>52</v>
      </c>
      <c r="AN1303" s="474"/>
      <c r="AO1303" s="474"/>
      <c r="AP1303" s="486"/>
      <c r="AQ1303" s="486" t="s">
        <v>37</v>
      </c>
      <c r="AR1303" s="486"/>
      <c r="AS1303" s="495"/>
      <c r="AT1303" s="495"/>
      <c r="AU1303" s="478"/>
    </row>
    <row r="1304" spans="1:47" s="471" customFormat="1">
      <c r="A1304" s="472"/>
      <c r="B1304" s="515">
        <v>44603</v>
      </c>
      <c r="C1304" s="515">
        <v>44603</v>
      </c>
      <c r="D1304" s="485" t="s">
        <v>3186</v>
      </c>
      <c r="E1304" s="474" t="s">
        <v>1283</v>
      </c>
      <c r="F1304" s="474"/>
      <c r="G1304" s="474">
        <v>2022</v>
      </c>
      <c r="H1304" s="474">
        <v>5</v>
      </c>
      <c r="I1304" s="474"/>
      <c r="J1304" s="475"/>
      <c r="K1304" s="483" t="s">
        <v>3375</v>
      </c>
      <c r="L1304" s="474" t="s">
        <v>3188</v>
      </c>
      <c r="M1304" s="487">
        <v>44603</v>
      </c>
      <c r="N1304" s="487">
        <v>44683</v>
      </c>
      <c r="O1304" s="487"/>
      <c r="P1304" s="475" t="s">
        <v>3433</v>
      </c>
      <c r="Q1304" s="475"/>
      <c r="R1304" s="475"/>
      <c r="S1304" s="474" t="s">
        <v>2379</v>
      </c>
      <c r="T1304" s="474">
        <v>72</v>
      </c>
      <c r="U1304" s="474"/>
      <c r="V1304" s="474" t="s">
        <v>1070</v>
      </c>
      <c r="W1304" s="474">
        <v>475</v>
      </c>
      <c r="X1304" s="476">
        <v>522</v>
      </c>
      <c r="Y1304" s="477">
        <f>X1304*W1304</f>
        <v>247950</v>
      </c>
      <c r="Z1304" s="478">
        <v>0.51</v>
      </c>
      <c r="AA1304" s="479">
        <f>Z1304*Y1304</f>
        <v>126454.5</v>
      </c>
      <c r="AB1304" s="480"/>
      <c r="AC1304" s="481">
        <f>AB1304*Y1304</f>
        <v>0</v>
      </c>
      <c r="AD1304" s="490"/>
      <c r="AE1304" s="482"/>
      <c r="AF1304" s="493">
        <f>AE1304+AD1304+AA1304</f>
        <v>126454.5</v>
      </c>
      <c r="AG1304" s="474" t="s">
        <v>47</v>
      </c>
      <c r="AH1304" s="474"/>
      <c r="AI1304" s="483">
        <v>30</v>
      </c>
      <c r="AJ1304" s="474" t="s">
        <v>3376</v>
      </c>
      <c r="AK1304" s="494" t="s">
        <v>1370</v>
      </c>
      <c r="AL1304" s="474">
        <v>5676</v>
      </c>
      <c r="AM1304" s="474" t="s">
        <v>52</v>
      </c>
      <c r="AN1304" s="474"/>
      <c r="AO1304" s="474"/>
      <c r="AP1304" s="486"/>
      <c r="AQ1304" s="486" t="s">
        <v>37</v>
      </c>
      <c r="AR1304" s="486"/>
      <c r="AS1304" s="495"/>
      <c r="AT1304" s="495"/>
      <c r="AU1304" s="478"/>
    </row>
    <row r="1305" spans="1:47" s="471" customFormat="1">
      <c r="A1305" s="472"/>
      <c r="B1305" s="515">
        <v>44656</v>
      </c>
      <c r="C1305" s="515">
        <v>44656</v>
      </c>
      <c r="D1305" s="485" t="s">
        <v>3186</v>
      </c>
      <c r="E1305" s="474" t="s">
        <v>3635</v>
      </c>
      <c r="F1305" s="474"/>
      <c r="G1305" s="474">
        <v>2022</v>
      </c>
      <c r="H1305" s="474">
        <v>12</v>
      </c>
      <c r="I1305" s="474"/>
      <c r="J1305" s="475"/>
      <c r="K1305" s="483" t="s">
        <v>3661</v>
      </c>
      <c r="L1305" s="474" t="s">
        <v>3188</v>
      </c>
      <c r="M1305" s="487">
        <v>44655</v>
      </c>
      <c r="N1305" s="487">
        <v>44907</v>
      </c>
      <c r="O1305" s="487"/>
      <c r="P1305" s="475"/>
      <c r="Q1305" s="475"/>
      <c r="R1305" s="475"/>
      <c r="S1305" s="474" t="s">
        <v>2379</v>
      </c>
      <c r="T1305" s="474">
        <v>60</v>
      </c>
      <c r="U1305" s="474"/>
      <c r="V1305" s="474" t="s">
        <v>986</v>
      </c>
      <c r="W1305" s="474">
        <v>365</v>
      </c>
      <c r="X1305" s="476">
        <v>320</v>
      </c>
      <c r="Y1305" s="477">
        <f>X1305*W1305</f>
        <v>116800</v>
      </c>
      <c r="Z1305" s="478">
        <v>0.56000000000000005</v>
      </c>
      <c r="AA1305" s="479">
        <f>Z1305*Y1305</f>
        <v>65408.000000000007</v>
      </c>
      <c r="AB1305" s="480"/>
      <c r="AC1305" s="481">
        <f>AB1305*Y1305</f>
        <v>0</v>
      </c>
      <c r="AD1305" s="490"/>
      <c r="AE1305" s="482"/>
      <c r="AF1305" s="493">
        <f>AE1305+AD1305+AA1305</f>
        <v>65408.000000000007</v>
      </c>
      <c r="AG1305" s="474" t="s">
        <v>47</v>
      </c>
      <c r="AH1305" s="474"/>
      <c r="AI1305" s="483" t="s">
        <v>2374</v>
      </c>
      <c r="AJ1305" s="474" t="s">
        <v>3637</v>
      </c>
      <c r="AK1305" s="494" t="s">
        <v>1096</v>
      </c>
      <c r="AL1305" s="474">
        <v>1085</v>
      </c>
      <c r="AM1305" s="474" t="s">
        <v>52</v>
      </c>
      <c r="AN1305" s="474"/>
      <c r="AO1305" s="474"/>
      <c r="AP1305" s="486"/>
      <c r="AQ1305" s="486" t="s">
        <v>37</v>
      </c>
      <c r="AR1305" s="486"/>
      <c r="AS1305" s="495"/>
      <c r="AT1305" s="495"/>
      <c r="AU1305" s="478">
        <v>0.55000000000000004</v>
      </c>
    </row>
    <row r="1306" spans="1:47" s="471" customFormat="1">
      <c r="A1306" s="472"/>
      <c r="B1306" s="515">
        <v>44656</v>
      </c>
      <c r="C1306" s="515">
        <v>44656</v>
      </c>
      <c r="D1306" s="485" t="s">
        <v>3186</v>
      </c>
      <c r="E1306" s="474" t="s">
        <v>3635</v>
      </c>
      <c r="F1306" s="474"/>
      <c r="G1306" s="474">
        <v>2022</v>
      </c>
      <c r="H1306" s="474">
        <v>10</v>
      </c>
      <c r="I1306" s="474"/>
      <c r="J1306" s="475"/>
      <c r="K1306" s="483" t="s">
        <v>3653</v>
      </c>
      <c r="L1306" s="474" t="s">
        <v>3188</v>
      </c>
      <c r="M1306" s="487">
        <v>44655</v>
      </c>
      <c r="N1306" s="487">
        <v>44851</v>
      </c>
      <c r="O1306" s="487"/>
      <c r="P1306" s="475"/>
      <c r="Q1306" s="475"/>
      <c r="R1306" s="475"/>
      <c r="S1306" s="474" t="s">
        <v>2379</v>
      </c>
      <c r="T1306" s="474">
        <v>60</v>
      </c>
      <c r="U1306" s="474"/>
      <c r="V1306" s="474" t="s">
        <v>986</v>
      </c>
      <c r="W1306" s="474">
        <v>365</v>
      </c>
      <c r="X1306" s="476">
        <v>320</v>
      </c>
      <c r="Y1306" s="477">
        <f>X1306*W1306</f>
        <v>116800</v>
      </c>
      <c r="Z1306" s="478">
        <v>0.56000000000000005</v>
      </c>
      <c r="AA1306" s="479">
        <f>Z1306*Y1306</f>
        <v>65408.000000000007</v>
      </c>
      <c r="AB1306" s="480"/>
      <c r="AC1306" s="481">
        <f>AB1306*Y1306</f>
        <v>0</v>
      </c>
      <c r="AD1306" s="490"/>
      <c r="AE1306" s="482"/>
      <c r="AF1306" s="493">
        <f>AE1306+AD1306+AA1306</f>
        <v>65408.000000000007</v>
      </c>
      <c r="AG1306" s="474" t="s">
        <v>47</v>
      </c>
      <c r="AH1306" s="474"/>
      <c r="AI1306" s="483" t="s">
        <v>2374</v>
      </c>
      <c r="AJ1306" s="474" t="s">
        <v>3637</v>
      </c>
      <c r="AK1306" s="494" t="s">
        <v>1096</v>
      </c>
      <c r="AL1306" s="474">
        <v>1085</v>
      </c>
      <c r="AM1306" s="474" t="s">
        <v>52</v>
      </c>
      <c r="AN1306" s="474"/>
      <c r="AO1306" s="474"/>
      <c r="AP1306" s="486"/>
      <c r="AQ1306" s="486" t="s">
        <v>37</v>
      </c>
      <c r="AR1306" s="486"/>
      <c r="AS1306" s="495"/>
      <c r="AT1306" s="495"/>
      <c r="AU1306" s="478">
        <v>0.55000000000000004</v>
      </c>
    </row>
    <row r="1307" spans="1:47" s="471" customFormat="1">
      <c r="A1307" s="472"/>
      <c r="B1307" s="515">
        <v>44656</v>
      </c>
      <c r="C1307" s="515">
        <v>44656</v>
      </c>
      <c r="D1307" s="485" t="s">
        <v>3186</v>
      </c>
      <c r="E1307" s="474" t="s">
        <v>3635</v>
      </c>
      <c r="F1307" s="474"/>
      <c r="G1307" s="474">
        <v>2022</v>
      </c>
      <c r="H1307" s="474">
        <v>8</v>
      </c>
      <c r="I1307" s="474"/>
      <c r="J1307" s="475"/>
      <c r="K1307" s="483" t="s">
        <v>3645</v>
      </c>
      <c r="L1307" s="474" t="s">
        <v>3188</v>
      </c>
      <c r="M1307" s="487">
        <v>44655</v>
      </c>
      <c r="N1307" s="487">
        <v>44795</v>
      </c>
      <c r="O1307" s="487"/>
      <c r="P1307" s="475"/>
      <c r="Q1307" s="475"/>
      <c r="R1307" s="475"/>
      <c r="S1307" s="474" t="s">
        <v>2379</v>
      </c>
      <c r="T1307" s="474">
        <v>60</v>
      </c>
      <c r="U1307" s="474"/>
      <c r="V1307" s="474" t="s">
        <v>986</v>
      </c>
      <c r="W1307" s="474">
        <v>365</v>
      </c>
      <c r="X1307" s="476">
        <v>320</v>
      </c>
      <c r="Y1307" s="477">
        <f>X1307*W1307</f>
        <v>116800</v>
      </c>
      <c r="Z1307" s="478">
        <v>0.56000000000000005</v>
      </c>
      <c r="AA1307" s="479">
        <f>Z1307*Y1307</f>
        <v>65408.000000000007</v>
      </c>
      <c r="AB1307" s="480"/>
      <c r="AC1307" s="481">
        <f>AB1307*Y1307</f>
        <v>0</v>
      </c>
      <c r="AD1307" s="490"/>
      <c r="AE1307" s="482"/>
      <c r="AF1307" s="493">
        <f>AE1307+AD1307+AA1307</f>
        <v>65408.000000000007</v>
      </c>
      <c r="AG1307" s="474" t="s">
        <v>47</v>
      </c>
      <c r="AH1307" s="474"/>
      <c r="AI1307" s="483" t="s">
        <v>2374</v>
      </c>
      <c r="AJ1307" s="474" t="s">
        <v>3637</v>
      </c>
      <c r="AK1307" s="494" t="s">
        <v>1096</v>
      </c>
      <c r="AL1307" s="474">
        <v>1085</v>
      </c>
      <c r="AM1307" s="474" t="s">
        <v>52</v>
      </c>
      <c r="AN1307" s="474"/>
      <c r="AO1307" s="474"/>
      <c r="AP1307" s="486"/>
      <c r="AQ1307" s="486" t="s">
        <v>37</v>
      </c>
      <c r="AR1307" s="486"/>
      <c r="AS1307" s="495"/>
      <c r="AT1307" s="495"/>
      <c r="AU1307" s="478">
        <v>0.55000000000000004</v>
      </c>
    </row>
    <row r="1308" spans="1:47" s="471" customFormat="1">
      <c r="A1308" s="472"/>
      <c r="B1308" s="515">
        <v>44656</v>
      </c>
      <c r="C1308" s="515">
        <v>44656</v>
      </c>
      <c r="D1308" s="485" t="s">
        <v>3186</v>
      </c>
      <c r="E1308" s="474" t="s">
        <v>3635</v>
      </c>
      <c r="F1308" s="474"/>
      <c r="G1308" s="474">
        <v>2022</v>
      </c>
      <c r="H1308" s="474">
        <v>7</v>
      </c>
      <c r="I1308" s="474"/>
      <c r="J1308" s="475"/>
      <c r="K1308" s="483" t="s">
        <v>3636</v>
      </c>
      <c r="L1308" s="474" t="s">
        <v>3188</v>
      </c>
      <c r="M1308" s="487">
        <v>44655</v>
      </c>
      <c r="N1308" s="487">
        <v>44753</v>
      </c>
      <c r="O1308" s="487"/>
      <c r="P1308" s="475"/>
      <c r="Q1308" s="475"/>
      <c r="R1308" s="475"/>
      <c r="S1308" s="474" t="s">
        <v>2379</v>
      </c>
      <c r="T1308" s="474">
        <v>60</v>
      </c>
      <c r="U1308" s="474"/>
      <c r="V1308" s="474" t="s">
        <v>986</v>
      </c>
      <c r="W1308" s="474">
        <v>365</v>
      </c>
      <c r="X1308" s="476">
        <v>320</v>
      </c>
      <c r="Y1308" s="477">
        <f>X1308*W1308</f>
        <v>116800</v>
      </c>
      <c r="Z1308" s="478">
        <v>0.56000000000000005</v>
      </c>
      <c r="AA1308" s="479">
        <f>Z1308*Y1308</f>
        <v>65408.000000000007</v>
      </c>
      <c r="AB1308" s="480"/>
      <c r="AC1308" s="481">
        <f>AB1308*Y1308</f>
        <v>0</v>
      </c>
      <c r="AD1308" s="490"/>
      <c r="AE1308" s="482"/>
      <c r="AF1308" s="493">
        <f>AE1308+AD1308+AA1308</f>
        <v>65408.000000000007</v>
      </c>
      <c r="AG1308" s="474" t="s">
        <v>47</v>
      </c>
      <c r="AH1308" s="474"/>
      <c r="AI1308" s="483" t="s">
        <v>2374</v>
      </c>
      <c r="AJ1308" s="474" t="s">
        <v>3637</v>
      </c>
      <c r="AK1308" s="494" t="s">
        <v>1096</v>
      </c>
      <c r="AL1308" s="474">
        <v>1085</v>
      </c>
      <c r="AM1308" s="474" t="s">
        <v>52</v>
      </c>
      <c r="AN1308" s="474"/>
      <c r="AO1308" s="474"/>
      <c r="AP1308" s="486"/>
      <c r="AQ1308" s="486" t="s">
        <v>37</v>
      </c>
      <c r="AR1308" s="486"/>
      <c r="AS1308" s="495"/>
      <c r="AT1308" s="495"/>
      <c r="AU1308" s="478">
        <v>0.55000000000000004</v>
      </c>
    </row>
    <row r="1309" spans="1:47" s="471" customFormat="1">
      <c r="A1309" s="472"/>
      <c r="B1309" s="514">
        <v>44665</v>
      </c>
      <c r="C1309" s="514">
        <v>44665</v>
      </c>
      <c r="D1309" s="485" t="s">
        <v>3186</v>
      </c>
      <c r="E1309" s="474" t="s">
        <v>2984</v>
      </c>
      <c r="F1309" s="474"/>
      <c r="G1309" s="474">
        <v>2022</v>
      </c>
      <c r="H1309" s="474">
        <v>8</v>
      </c>
      <c r="I1309" s="474" t="s">
        <v>1676</v>
      </c>
      <c r="J1309" s="556"/>
      <c r="K1309" s="483" t="s">
        <v>4917</v>
      </c>
      <c r="L1309" s="474" t="s">
        <v>3361</v>
      </c>
      <c r="M1309" s="487">
        <v>44655</v>
      </c>
      <c r="N1309" s="487">
        <v>44656</v>
      </c>
      <c r="O1309" s="487"/>
      <c r="P1309" s="475"/>
      <c r="Q1309" s="475"/>
      <c r="R1309" s="475"/>
      <c r="S1309" s="474" t="s">
        <v>1563</v>
      </c>
      <c r="T1309" s="474">
        <v>60</v>
      </c>
      <c r="U1309" s="474"/>
      <c r="V1309" s="474" t="s">
        <v>986</v>
      </c>
      <c r="W1309" s="474">
        <v>360</v>
      </c>
      <c r="X1309" s="476">
        <v>416</v>
      </c>
      <c r="Y1309" s="491">
        <f>X1309*W1309</f>
        <v>149760</v>
      </c>
      <c r="Z1309" s="478">
        <v>0.53500000000000003</v>
      </c>
      <c r="AA1309" s="492">
        <f>Z1309*Y1309</f>
        <v>80121.600000000006</v>
      </c>
      <c r="AB1309" s="480"/>
      <c r="AC1309" s="481">
        <f>AB1309*Y1309</f>
        <v>0</v>
      </c>
      <c r="AD1309" s="490"/>
      <c r="AE1309" s="482"/>
      <c r="AF1309" s="493">
        <f>AE1309+AD1309+AA1309</f>
        <v>80121.600000000006</v>
      </c>
      <c r="AG1309" s="474" t="s">
        <v>1071</v>
      </c>
      <c r="AH1309" s="474"/>
      <c r="AI1309" s="483">
        <v>60</v>
      </c>
      <c r="AJ1309" s="474" t="s">
        <v>4918</v>
      </c>
      <c r="AK1309" s="494" t="s">
        <v>1133</v>
      </c>
      <c r="AL1309" s="474">
        <v>86004</v>
      </c>
      <c r="AM1309" s="474" t="s">
        <v>52</v>
      </c>
      <c r="AN1309" s="474"/>
      <c r="AO1309" s="474"/>
      <c r="AP1309" s="486"/>
      <c r="AQ1309" s="486" t="s">
        <v>37</v>
      </c>
      <c r="AR1309" s="486"/>
      <c r="AS1309" s="495"/>
      <c r="AT1309" s="495"/>
      <c r="AU1309" s="478">
        <v>0.80577777777000004</v>
      </c>
    </row>
    <row r="1310" spans="1:47" s="471" customFormat="1">
      <c r="A1310" s="472"/>
      <c r="B1310" s="515">
        <v>44628</v>
      </c>
      <c r="C1310" s="515">
        <v>44628</v>
      </c>
      <c r="D1310" s="485" t="s">
        <v>3186</v>
      </c>
      <c r="E1310" s="474" t="s">
        <v>3466</v>
      </c>
      <c r="F1310" s="474"/>
      <c r="G1310" s="474">
        <v>2022</v>
      </c>
      <c r="H1310" s="474">
        <v>7</v>
      </c>
      <c r="I1310" s="474"/>
      <c r="J1310" s="475"/>
      <c r="K1310" s="483" t="s">
        <v>3475</v>
      </c>
      <c r="L1310" s="474" t="s">
        <v>3266</v>
      </c>
      <c r="M1310" s="487">
        <v>44624</v>
      </c>
      <c r="N1310" s="487">
        <v>44743</v>
      </c>
      <c r="O1310" s="487"/>
      <c r="P1310" s="475"/>
      <c r="Q1310" s="475"/>
      <c r="R1310" s="475"/>
      <c r="S1310" s="474" t="s">
        <v>1069</v>
      </c>
      <c r="T1310" s="474">
        <v>72</v>
      </c>
      <c r="U1310" s="474" t="s">
        <v>2144</v>
      </c>
      <c r="V1310" s="474" t="s">
        <v>3287</v>
      </c>
      <c r="W1310" s="474">
        <v>475</v>
      </c>
      <c r="X1310" s="476">
        <v>1276</v>
      </c>
      <c r="Y1310" s="477">
        <f>X1310*W1310</f>
        <v>606100</v>
      </c>
      <c r="Z1310" s="478">
        <v>0.495</v>
      </c>
      <c r="AA1310" s="479">
        <f>Z1310*Y1310</f>
        <v>300019.5</v>
      </c>
      <c r="AB1310" s="480"/>
      <c r="AC1310" s="481">
        <f>AB1310*Y1310</f>
        <v>0</v>
      </c>
      <c r="AD1310" s="490"/>
      <c r="AE1310" s="482"/>
      <c r="AF1310" s="493">
        <f>AE1310+AD1310+AA1310</f>
        <v>300019.5</v>
      </c>
      <c r="AG1310" s="474" t="s">
        <v>1071</v>
      </c>
      <c r="AH1310" s="474"/>
      <c r="AI1310" s="483" t="s">
        <v>2442</v>
      </c>
      <c r="AJ1310" s="474" t="s">
        <v>3476</v>
      </c>
      <c r="AK1310" s="494" t="s">
        <v>3477</v>
      </c>
      <c r="AL1310" s="474">
        <v>2910</v>
      </c>
      <c r="AM1310" s="474" t="s">
        <v>52</v>
      </c>
      <c r="AN1310" s="474"/>
      <c r="AO1310" s="474"/>
      <c r="AP1310" s="486"/>
      <c r="AQ1310" s="486" t="s">
        <v>37</v>
      </c>
      <c r="AR1310" s="486"/>
      <c r="AS1310" s="495"/>
      <c r="AT1310" s="495"/>
      <c r="AU1310" s="478"/>
    </row>
    <row r="1311" spans="1:47" s="471" customFormat="1">
      <c r="A1311" s="472"/>
      <c r="B1311" s="515">
        <v>44629</v>
      </c>
      <c r="C1311" s="515">
        <v>44629</v>
      </c>
      <c r="D1311" s="485" t="s">
        <v>3186</v>
      </c>
      <c r="E1311" s="474" t="s">
        <v>3649</v>
      </c>
      <c r="F1311" s="474"/>
      <c r="G1311" s="474">
        <v>2022</v>
      </c>
      <c r="H1311" s="474">
        <v>10</v>
      </c>
      <c r="I1311" s="474" t="s">
        <v>1676</v>
      </c>
      <c r="J1311" s="475"/>
      <c r="K1311" s="483" t="s">
        <v>3654</v>
      </c>
      <c r="L1311" s="474" t="s">
        <v>3188</v>
      </c>
      <c r="M1311" s="487">
        <v>44623</v>
      </c>
      <c r="N1311" s="487">
        <v>44835</v>
      </c>
      <c r="O1311" s="487"/>
      <c r="P1311" s="475"/>
      <c r="Q1311" s="475"/>
      <c r="R1311" s="475"/>
      <c r="S1311" s="474" t="s">
        <v>2379</v>
      </c>
      <c r="T1311" s="474">
        <v>60</v>
      </c>
      <c r="U1311" s="474"/>
      <c r="V1311" s="474" t="s">
        <v>973</v>
      </c>
      <c r="W1311" s="474">
        <v>400</v>
      </c>
      <c r="X1311" s="476">
        <v>6912</v>
      </c>
      <c r="Y1311" s="477">
        <f>X1311*W1311</f>
        <v>2764800</v>
      </c>
      <c r="Z1311" s="478">
        <v>0.57999999999999996</v>
      </c>
      <c r="AA1311" s="479">
        <f>Z1311*Y1311</f>
        <v>1603584</v>
      </c>
      <c r="AB1311" s="480"/>
      <c r="AC1311" s="481">
        <f>AB1311*Y1311</f>
        <v>0</v>
      </c>
      <c r="AD1311" s="490"/>
      <c r="AE1311" s="482"/>
      <c r="AF1311" s="493">
        <f>AE1311+AD1311+AA1311</f>
        <v>1603584</v>
      </c>
      <c r="AG1311" s="474" t="s">
        <v>47</v>
      </c>
      <c r="AH1311" s="474"/>
      <c r="AI1311" s="483" t="s">
        <v>2374</v>
      </c>
      <c r="AJ1311" s="474"/>
      <c r="AK1311" s="494"/>
      <c r="AL1311" s="474"/>
      <c r="AM1311" s="474" t="s">
        <v>52</v>
      </c>
      <c r="AN1311" s="474"/>
      <c r="AO1311" s="474"/>
      <c r="AP1311" s="486"/>
      <c r="AQ1311" s="486" t="s">
        <v>37</v>
      </c>
      <c r="AR1311" s="486"/>
      <c r="AS1311" s="495"/>
      <c r="AT1311" s="495"/>
      <c r="AU1311" s="478">
        <v>0.55000000000000004</v>
      </c>
    </row>
    <row r="1312" spans="1:47" s="471" customFormat="1">
      <c r="A1312" s="472"/>
      <c r="B1312" s="515">
        <v>44629</v>
      </c>
      <c r="C1312" s="515">
        <v>44629</v>
      </c>
      <c r="D1312" s="485" t="s">
        <v>3186</v>
      </c>
      <c r="E1312" s="474" t="s">
        <v>3649</v>
      </c>
      <c r="F1312" s="474"/>
      <c r="G1312" s="474">
        <v>2022</v>
      </c>
      <c r="H1312" s="474">
        <v>9</v>
      </c>
      <c r="I1312" s="474" t="s">
        <v>1676</v>
      </c>
      <c r="J1312" s="475"/>
      <c r="K1312" s="483" t="s">
        <v>3650</v>
      </c>
      <c r="L1312" s="474" t="s">
        <v>3188</v>
      </c>
      <c r="M1312" s="487">
        <v>44623</v>
      </c>
      <c r="N1312" s="487">
        <v>44835</v>
      </c>
      <c r="O1312" s="487"/>
      <c r="P1312" s="475"/>
      <c r="Q1312" s="475"/>
      <c r="R1312" s="475"/>
      <c r="S1312" s="474" t="s">
        <v>2379</v>
      </c>
      <c r="T1312" s="474">
        <v>60</v>
      </c>
      <c r="U1312" s="474"/>
      <c r="V1312" s="474" t="s">
        <v>973</v>
      </c>
      <c r="W1312" s="474">
        <v>400</v>
      </c>
      <c r="X1312" s="476">
        <v>6912</v>
      </c>
      <c r="Y1312" s="477">
        <f>X1312*W1312</f>
        <v>2764800</v>
      </c>
      <c r="Z1312" s="478">
        <v>0.57999999999999996</v>
      </c>
      <c r="AA1312" s="479">
        <f>Z1312*Y1312</f>
        <v>1603584</v>
      </c>
      <c r="AB1312" s="480"/>
      <c r="AC1312" s="481">
        <f>AB1312*Y1312</f>
        <v>0</v>
      </c>
      <c r="AD1312" s="490"/>
      <c r="AE1312" s="482"/>
      <c r="AF1312" s="493">
        <f>AE1312+AD1312+AA1312</f>
        <v>1603584</v>
      </c>
      <c r="AG1312" s="474" t="s">
        <v>47</v>
      </c>
      <c r="AH1312" s="474"/>
      <c r="AI1312" s="483" t="s">
        <v>2374</v>
      </c>
      <c r="AJ1312" s="474"/>
      <c r="AK1312" s="494"/>
      <c r="AL1312" s="474"/>
      <c r="AM1312" s="474" t="s">
        <v>52</v>
      </c>
      <c r="AN1312" s="474"/>
      <c r="AO1312" s="474"/>
      <c r="AP1312" s="486"/>
      <c r="AQ1312" s="486" t="s">
        <v>37</v>
      </c>
      <c r="AR1312" s="486"/>
      <c r="AS1312" s="495"/>
      <c r="AT1312" s="495"/>
      <c r="AU1312" s="478">
        <v>0.55000000000000004</v>
      </c>
    </row>
    <row r="1313" spans="1:47" s="471" customFormat="1">
      <c r="A1313" s="472"/>
      <c r="B1313" s="515">
        <v>44673</v>
      </c>
      <c r="C1313" s="515">
        <v>44673</v>
      </c>
      <c r="D1313" s="485" t="s">
        <v>3186</v>
      </c>
      <c r="E1313" s="474" t="s">
        <v>1283</v>
      </c>
      <c r="F1313" s="474"/>
      <c r="G1313" s="474">
        <v>2022</v>
      </c>
      <c r="H1313" s="474">
        <v>6</v>
      </c>
      <c r="I1313" s="474" t="s">
        <v>1676</v>
      </c>
      <c r="J1313" s="475"/>
      <c r="K1313" s="483" t="s">
        <v>3497</v>
      </c>
      <c r="L1313" s="474" t="s">
        <v>3188</v>
      </c>
      <c r="M1313" s="487">
        <v>44573</v>
      </c>
      <c r="N1313" s="487">
        <v>44652</v>
      </c>
      <c r="O1313" s="487"/>
      <c r="P1313" s="475"/>
      <c r="Q1313" s="475"/>
      <c r="R1313" s="475"/>
      <c r="S1313" s="474" t="s">
        <v>2379</v>
      </c>
      <c r="T1313" s="474">
        <v>60</v>
      </c>
      <c r="U1313" s="474"/>
      <c r="V1313" s="474" t="s">
        <v>986</v>
      </c>
      <c r="W1313" s="474">
        <v>360</v>
      </c>
      <c r="X1313" s="476">
        <f>1664-1152</f>
        <v>512</v>
      </c>
      <c r="Y1313" s="477">
        <f>X1313*W1313</f>
        <v>184320</v>
      </c>
      <c r="Z1313" s="478">
        <v>0.53</v>
      </c>
      <c r="AA1313" s="479">
        <f>Z1313*Y1313</f>
        <v>97689.600000000006</v>
      </c>
      <c r="AB1313" s="480"/>
      <c r="AC1313" s="481">
        <f>AB1313*Y1313</f>
        <v>0</v>
      </c>
      <c r="AD1313" s="490"/>
      <c r="AE1313" s="482"/>
      <c r="AF1313" s="493">
        <f>AE1313+AD1313+AA1313</f>
        <v>97689.600000000006</v>
      </c>
      <c r="AG1313" s="474" t="s">
        <v>47</v>
      </c>
      <c r="AH1313" s="474"/>
      <c r="AI1313" s="483" t="s">
        <v>2374</v>
      </c>
      <c r="AJ1313" s="474" t="s">
        <v>1546</v>
      </c>
      <c r="AK1313" s="494" t="s">
        <v>1297</v>
      </c>
      <c r="AL1313" s="474">
        <v>4106</v>
      </c>
      <c r="AM1313" s="474" t="s">
        <v>52</v>
      </c>
      <c r="AN1313" s="474"/>
      <c r="AO1313" s="474"/>
      <c r="AP1313" s="486"/>
      <c r="AQ1313" s="486" t="s">
        <v>37</v>
      </c>
      <c r="AR1313" s="486"/>
      <c r="AS1313" s="495"/>
      <c r="AT1313" s="495"/>
      <c r="AU1313" s="478">
        <v>0.53</v>
      </c>
    </row>
    <row r="1314" spans="1:47" s="471" customFormat="1">
      <c r="A1314" s="472"/>
      <c r="B1314" s="514">
        <v>44673</v>
      </c>
      <c r="C1314" s="514">
        <v>44673</v>
      </c>
      <c r="D1314" s="485" t="s">
        <v>3186</v>
      </c>
      <c r="E1314" s="474"/>
      <c r="F1314" s="474"/>
      <c r="G1314" s="474">
        <v>2022</v>
      </c>
      <c r="H1314" s="474">
        <v>4</v>
      </c>
      <c r="I1314" s="474" t="s">
        <v>3023</v>
      </c>
      <c r="J1314" s="475"/>
      <c r="K1314" s="483" t="s">
        <v>3239</v>
      </c>
      <c r="L1314" s="474" t="s">
        <v>3188</v>
      </c>
      <c r="M1314" s="487">
        <v>44573</v>
      </c>
      <c r="N1314" s="487">
        <v>44652</v>
      </c>
      <c r="O1314" s="487"/>
      <c r="P1314" s="475">
        <v>44671</v>
      </c>
      <c r="Q1314" s="475">
        <v>44676</v>
      </c>
      <c r="R1314" s="475">
        <v>44678</v>
      </c>
      <c r="S1314" s="474" t="s">
        <v>2379</v>
      </c>
      <c r="T1314" s="474">
        <v>60</v>
      </c>
      <c r="U1314" s="474">
        <v>49203132</v>
      </c>
      <c r="V1314" s="474" t="s">
        <v>986</v>
      </c>
      <c r="W1314" s="474">
        <v>360</v>
      </c>
      <c r="X1314" s="476">
        <v>1152</v>
      </c>
      <c r="Y1314" s="491">
        <f>X1314*W1314</f>
        <v>414720</v>
      </c>
      <c r="Z1314" s="478">
        <v>0.53</v>
      </c>
      <c r="AA1314" s="492">
        <f>Z1314*Y1314</f>
        <v>219801.60000000001</v>
      </c>
      <c r="AB1314" s="480"/>
      <c r="AC1314" s="481">
        <f>AB1314*Y1314</f>
        <v>0</v>
      </c>
      <c r="AD1314" s="490"/>
      <c r="AE1314" s="482"/>
      <c r="AF1314" s="493">
        <f>AE1314+AD1314+AA1314</f>
        <v>219801.60000000001</v>
      </c>
      <c r="AG1314" s="474" t="s">
        <v>47</v>
      </c>
      <c r="AH1314" s="474"/>
      <c r="AI1314" s="483" t="s">
        <v>2374</v>
      </c>
      <c r="AJ1314" s="474" t="s">
        <v>3240</v>
      </c>
      <c r="AK1314" s="494" t="s">
        <v>1297</v>
      </c>
      <c r="AL1314" s="494">
        <v>4538</v>
      </c>
      <c r="AM1314" s="474" t="s">
        <v>52</v>
      </c>
      <c r="AN1314" s="474" t="s">
        <v>1106</v>
      </c>
      <c r="AO1314" s="474"/>
      <c r="AP1314" s="486"/>
      <c r="AQ1314" s="486" t="s">
        <v>37</v>
      </c>
      <c r="AR1314" s="486"/>
      <c r="AS1314" s="495"/>
      <c r="AT1314" s="472"/>
      <c r="AU1314" s="478">
        <v>0.53</v>
      </c>
    </row>
    <row r="1315" spans="1:47" s="471" customFormat="1">
      <c r="A1315" s="472"/>
      <c r="B1315" s="515">
        <v>44630</v>
      </c>
      <c r="C1315" s="515">
        <v>44630</v>
      </c>
      <c r="D1315" s="485" t="s">
        <v>3186</v>
      </c>
      <c r="E1315" s="474" t="s">
        <v>1283</v>
      </c>
      <c r="F1315" s="474"/>
      <c r="G1315" s="474">
        <v>2022</v>
      </c>
      <c r="H1315" s="474">
        <v>7</v>
      </c>
      <c r="I1315" s="474" t="s">
        <v>1676</v>
      </c>
      <c r="J1315" s="475"/>
      <c r="K1315" s="483" t="s">
        <v>3632</v>
      </c>
      <c r="L1315" s="474" t="s">
        <v>3188</v>
      </c>
      <c r="M1315" s="487">
        <v>44630</v>
      </c>
      <c r="N1315" s="487">
        <v>44743</v>
      </c>
      <c r="O1315" s="487"/>
      <c r="P1315" s="475"/>
      <c r="Q1315" s="475"/>
      <c r="R1315" s="475"/>
      <c r="S1315" s="474" t="s">
        <v>2379</v>
      </c>
      <c r="T1315" s="474">
        <v>60</v>
      </c>
      <c r="U1315" s="474"/>
      <c r="V1315" s="474" t="s">
        <v>973</v>
      </c>
      <c r="W1315" s="474">
        <v>400</v>
      </c>
      <c r="X1315" s="476">
        <v>1088</v>
      </c>
      <c r="Y1315" s="477">
        <f>X1315*W1315</f>
        <v>435200</v>
      </c>
      <c r="Z1315" s="478">
        <v>0.57999999999999996</v>
      </c>
      <c r="AA1315" s="479">
        <f>Z1315*Y1315</f>
        <v>252415.99999999997</v>
      </c>
      <c r="AB1315" s="480"/>
      <c r="AC1315" s="481">
        <f>AB1315*Y1315</f>
        <v>0</v>
      </c>
      <c r="AD1315" s="490"/>
      <c r="AE1315" s="482"/>
      <c r="AF1315" s="493">
        <f>AE1315+AD1315+AA1315</f>
        <v>252415.99999999997</v>
      </c>
      <c r="AG1315" s="474" t="s">
        <v>47</v>
      </c>
      <c r="AH1315" s="474"/>
      <c r="AI1315" s="483" t="s">
        <v>2374</v>
      </c>
      <c r="AJ1315" s="474" t="s">
        <v>3633</v>
      </c>
      <c r="AK1315" s="494" t="s">
        <v>3634</v>
      </c>
      <c r="AL1315" s="474">
        <v>3216</v>
      </c>
      <c r="AM1315" s="474" t="s">
        <v>52</v>
      </c>
      <c r="AN1315" s="474"/>
      <c r="AO1315" s="474"/>
      <c r="AP1315" s="486"/>
      <c r="AQ1315" s="486" t="s">
        <v>37</v>
      </c>
      <c r="AR1315" s="486"/>
      <c r="AS1315" s="495"/>
      <c r="AT1315" s="495"/>
      <c r="AU1315" s="478">
        <v>0.55000000000000004</v>
      </c>
    </row>
    <row r="1316" spans="1:47" s="471" customFormat="1">
      <c r="A1316" s="472"/>
      <c r="B1316" s="515">
        <v>44630</v>
      </c>
      <c r="C1316" s="515">
        <v>44630</v>
      </c>
      <c r="D1316" s="485" t="s">
        <v>3186</v>
      </c>
      <c r="E1316" s="474" t="s">
        <v>1283</v>
      </c>
      <c r="F1316" s="474"/>
      <c r="G1316" s="474">
        <v>2022</v>
      </c>
      <c r="H1316" s="474">
        <v>8</v>
      </c>
      <c r="I1316" s="474" t="s">
        <v>1676</v>
      </c>
      <c r="J1316" s="475"/>
      <c r="K1316" s="483" t="s">
        <v>3643</v>
      </c>
      <c r="L1316" s="474" t="s">
        <v>3188</v>
      </c>
      <c r="M1316" s="487">
        <v>44630</v>
      </c>
      <c r="N1316" s="487">
        <v>44774</v>
      </c>
      <c r="O1316" s="487"/>
      <c r="P1316" s="475"/>
      <c r="Q1316" s="475"/>
      <c r="R1316" s="475"/>
      <c r="S1316" s="474" t="s">
        <v>2379</v>
      </c>
      <c r="T1316" s="474">
        <v>60</v>
      </c>
      <c r="U1316" s="474"/>
      <c r="V1316" s="474" t="s">
        <v>973</v>
      </c>
      <c r="W1316" s="474">
        <v>400</v>
      </c>
      <c r="X1316" s="476">
        <v>704</v>
      </c>
      <c r="Y1316" s="477">
        <f>X1316*W1316</f>
        <v>281600</v>
      </c>
      <c r="Z1316" s="478">
        <v>0.57999999999999996</v>
      </c>
      <c r="AA1316" s="479">
        <f>Z1316*Y1316</f>
        <v>163328</v>
      </c>
      <c r="AB1316" s="480"/>
      <c r="AC1316" s="481">
        <f>AB1316*Y1316</f>
        <v>0</v>
      </c>
      <c r="AD1316" s="490"/>
      <c r="AE1316" s="482"/>
      <c r="AF1316" s="493">
        <f>AE1316+AD1316+AA1316</f>
        <v>163328</v>
      </c>
      <c r="AG1316" s="474" t="s">
        <v>47</v>
      </c>
      <c r="AH1316" s="474"/>
      <c r="AI1316" s="483" t="s">
        <v>2374</v>
      </c>
      <c r="AJ1316" s="474" t="s">
        <v>3644</v>
      </c>
      <c r="AK1316" s="494" t="s">
        <v>3634</v>
      </c>
      <c r="AL1316" s="474">
        <v>3064</v>
      </c>
      <c r="AM1316" s="474" t="s">
        <v>52</v>
      </c>
      <c r="AN1316" s="474"/>
      <c r="AO1316" s="474"/>
      <c r="AP1316" s="486"/>
      <c r="AQ1316" s="486" t="s">
        <v>37</v>
      </c>
      <c r="AR1316" s="486"/>
      <c r="AS1316" s="495"/>
      <c r="AT1316" s="495"/>
      <c r="AU1316" s="478">
        <v>0.55000000000000004</v>
      </c>
    </row>
    <row r="1317" spans="1:47" s="471" customFormat="1">
      <c r="A1317" s="472"/>
      <c r="B1317" s="515">
        <v>44670</v>
      </c>
      <c r="C1317" s="515">
        <v>44616</v>
      </c>
      <c r="D1317" s="485" t="s">
        <v>3186</v>
      </c>
      <c r="E1317" s="474" t="s">
        <v>3641</v>
      </c>
      <c r="F1317" s="474"/>
      <c r="G1317" s="474">
        <v>2022</v>
      </c>
      <c r="H1317" s="474">
        <v>8</v>
      </c>
      <c r="I1317" s="474" t="s">
        <v>1676</v>
      </c>
      <c r="J1317" s="475"/>
      <c r="K1317" s="483" t="s">
        <v>3642</v>
      </c>
      <c r="L1317" s="474" t="s">
        <v>3188</v>
      </c>
      <c r="M1317" s="487">
        <v>44615</v>
      </c>
      <c r="N1317" s="487">
        <v>44777</v>
      </c>
      <c r="O1317" s="487"/>
      <c r="P1317" s="475"/>
      <c r="Q1317" s="475"/>
      <c r="R1317" s="475"/>
      <c r="S1317" s="474" t="s">
        <v>2379</v>
      </c>
      <c r="T1317" s="474">
        <v>60</v>
      </c>
      <c r="U1317" s="474"/>
      <c r="V1317" s="474" t="s">
        <v>973</v>
      </c>
      <c r="W1317" s="474">
        <v>400</v>
      </c>
      <c r="X1317" s="476">
        <v>320</v>
      </c>
      <c r="Y1317" s="477">
        <f>X1317*W1317</f>
        <v>128000</v>
      </c>
      <c r="Z1317" s="478">
        <v>0.55000000000000004</v>
      </c>
      <c r="AA1317" s="479">
        <f>Z1317*Y1317</f>
        <v>70400</v>
      </c>
      <c r="AB1317" s="480"/>
      <c r="AC1317" s="481">
        <f>AB1317*Y1317</f>
        <v>0</v>
      </c>
      <c r="AD1317" s="490"/>
      <c r="AE1317" s="482"/>
      <c r="AF1317" s="493">
        <f>AE1317+AD1317+AA1317</f>
        <v>70400</v>
      </c>
      <c r="AG1317" s="474" t="s">
        <v>47</v>
      </c>
      <c r="AH1317" s="474"/>
      <c r="AI1317" s="483" t="s">
        <v>2374</v>
      </c>
      <c r="AJ1317" s="474" t="s">
        <v>2380</v>
      </c>
      <c r="AK1317" s="494" t="s">
        <v>2381</v>
      </c>
      <c r="AL1317" s="474">
        <v>87107</v>
      </c>
      <c r="AM1317" s="474" t="s">
        <v>52</v>
      </c>
      <c r="AN1317" s="474"/>
      <c r="AO1317" s="474"/>
      <c r="AP1317" s="486"/>
      <c r="AQ1317" s="486" t="s">
        <v>37</v>
      </c>
      <c r="AR1317" s="486"/>
      <c r="AS1317" s="495"/>
      <c r="AT1317" s="495"/>
      <c r="AU1317" s="478">
        <v>0.55000000000000004</v>
      </c>
    </row>
    <row r="1318" spans="1:47" s="471" customFormat="1">
      <c r="A1318" s="472"/>
      <c r="B1318" s="515">
        <v>44670</v>
      </c>
      <c r="C1318" s="515">
        <v>44616</v>
      </c>
      <c r="D1318" s="485" t="s">
        <v>3186</v>
      </c>
      <c r="E1318" s="474" t="s">
        <v>3641</v>
      </c>
      <c r="F1318" s="474"/>
      <c r="G1318" s="474">
        <v>2022</v>
      </c>
      <c r="H1318" s="474">
        <v>12</v>
      </c>
      <c r="I1318" s="474" t="s">
        <v>1676</v>
      </c>
      <c r="J1318" s="475"/>
      <c r="K1318" s="483" t="s">
        <v>3660</v>
      </c>
      <c r="L1318" s="474" t="s">
        <v>3188</v>
      </c>
      <c r="M1318" s="487">
        <v>44615</v>
      </c>
      <c r="N1318" s="487">
        <v>44917</v>
      </c>
      <c r="O1318" s="487"/>
      <c r="P1318" s="475"/>
      <c r="Q1318" s="475"/>
      <c r="R1318" s="475"/>
      <c r="S1318" s="474" t="s">
        <v>2379</v>
      </c>
      <c r="T1318" s="474">
        <v>60</v>
      </c>
      <c r="U1318" s="474"/>
      <c r="V1318" s="474" t="s">
        <v>973</v>
      </c>
      <c r="W1318" s="474">
        <v>400</v>
      </c>
      <c r="X1318" s="476">
        <v>320</v>
      </c>
      <c r="Y1318" s="477">
        <f>X1318*W1318</f>
        <v>128000</v>
      </c>
      <c r="Z1318" s="478">
        <v>0.55000000000000004</v>
      </c>
      <c r="AA1318" s="479">
        <f>Z1318*Y1318</f>
        <v>70400</v>
      </c>
      <c r="AB1318" s="480"/>
      <c r="AC1318" s="481">
        <f>AB1318*Y1318</f>
        <v>0</v>
      </c>
      <c r="AD1318" s="490"/>
      <c r="AE1318" s="482"/>
      <c r="AF1318" s="493">
        <f>AE1318+AD1318+AA1318</f>
        <v>70400</v>
      </c>
      <c r="AG1318" s="474" t="s">
        <v>47</v>
      </c>
      <c r="AH1318" s="474"/>
      <c r="AI1318" s="483" t="s">
        <v>2374</v>
      </c>
      <c r="AJ1318" s="474" t="s">
        <v>2380</v>
      </c>
      <c r="AK1318" s="494" t="s">
        <v>2381</v>
      </c>
      <c r="AL1318" s="474">
        <v>87107</v>
      </c>
      <c r="AM1318" s="474" t="s">
        <v>52</v>
      </c>
      <c r="AN1318" s="474"/>
      <c r="AO1318" s="474"/>
      <c r="AP1318" s="486"/>
      <c r="AQ1318" s="486" t="s">
        <v>37</v>
      </c>
      <c r="AR1318" s="486"/>
      <c r="AS1318" s="495"/>
      <c r="AT1318" s="495"/>
      <c r="AU1318" s="478">
        <v>0.55000000000000004</v>
      </c>
    </row>
    <row r="1319" spans="1:47" s="471" customFormat="1">
      <c r="A1319" s="472"/>
      <c r="B1319" s="515">
        <v>44670</v>
      </c>
      <c r="C1319" s="515">
        <v>44616</v>
      </c>
      <c r="D1319" s="485" t="s">
        <v>3186</v>
      </c>
      <c r="E1319" s="474" t="s">
        <v>3641</v>
      </c>
      <c r="F1319" s="474"/>
      <c r="G1319" s="474">
        <v>2022</v>
      </c>
      <c r="H1319" s="474">
        <v>12</v>
      </c>
      <c r="I1319" s="474" t="s">
        <v>1676</v>
      </c>
      <c r="J1319" s="475"/>
      <c r="K1319" s="483" t="s">
        <v>3659</v>
      </c>
      <c r="L1319" s="474" t="s">
        <v>3188</v>
      </c>
      <c r="M1319" s="487">
        <v>44615</v>
      </c>
      <c r="N1319" s="487">
        <v>44896</v>
      </c>
      <c r="O1319" s="487"/>
      <c r="P1319" s="475"/>
      <c r="Q1319" s="475"/>
      <c r="R1319" s="475"/>
      <c r="S1319" s="474" t="s">
        <v>2379</v>
      </c>
      <c r="T1319" s="474">
        <v>60</v>
      </c>
      <c r="U1319" s="474"/>
      <c r="V1319" s="474" t="s">
        <v>973</v>
      </c>
      <c r="W1319" s="474">
        <v>400</v>
      </c>
      <c r="X1319" s="476">
        <v>320</v>
      </c>
      <c r="Y1319" s="477">
        <f>X1319*W1319</f>
        <v>128000</v>
      </c>
      <c r="Z1319" s="478">
        <v>0.55000000000000004</v>
      </c>
      <c r="AA1319" s="479">
        <f>Z1319*Y1319</f>
        <v>70400</v>
      </c>
      <c r="AB1319" s="480"/>
      <c r="AC1319" s="481">
        <f>AB1319*Y1319</f>
        <v>0</v>
      </c>
      <c r="AD1319" s="490"/>
      <c r="AE1319" s="482"/>
      <c r="AF1319" s="493">
        <f>AE1319+AD1319+AA1319</f>
        <v>70400</v>
      </c>
      <c r="AG1319" s="474" t="s">
        <v>47</v>
      </c>
      <c r="AH1319" s="474"/>
      <c r="AI1319" s="483" t="s">
        <v>2374</v>
      </c>
      <c r="AJ1319" s="474" t="s">
        <v>2380</v>
      </c>
      <c r="AK1319" s="494" t="s">
        <v>2381</v>
      </c>
      <c r="AL1319" s="474">
        <v>87107</v>
      </c>
      <c r="AM1319" s="474" t="s">
        <v>52</v>
      </c>
      <c r="AN1319" s="474"/>
      <c r="AO1319" s="474"/>
      <c r="AP1319" s="486"/>
      <c r="AQ1319" s="486" t="s">
        <v>37</v>
      </c>
      <c r="AR1319" s="486"/>
      <c r="AS1319" s="495"/>
      <c r="AT1319" s="495"/>
      <c r="AU1319" s="478">
        <v>0.55000000000000004</v>
      </c>
    </row>
    <row r="1320" spans="1:47" s="471" customFormat="1">
      <c r="A1320" s="472"/>
      <c r="B1320" s="515">
        <v>44670</v>
      </c>
      <c r="C1320" s="515">
        <v>44616</v>
      </c>
      <c r="D1320" s="485" t="s">
        <v>3186</v>
      </c>
      <c r="E1320" s="474" t="s">
        <v>3641</v>
      </c>
      <c r="F1320" s="474"/>
      <c r="G1320" s="474">
        <v>2022</v>
      </c>
      <c r="H1320" s="474">
        <v>11</v>
      </c>
      <c r="I1320" s="474" t="s">
        <v>1676</v>
      </c>
      <c r="J1320" s="475"/>
      <c r="K1320" s="483" t="s">
        <v>3657</v>
      </c>
      <c r="L1320" s="474" t="s">
        <v>3188</v>
      </c>
      <c r="M1320" s="487">
        <v>44615</v>
      </c>
      <c r="N1320" s="487">
        <v>44868</v>
      </c>
      <c r="O1320" s="487"/>
      <c r="P1320" s="475"/>
      <c r="Q1320" s="475"/>
      <c r="R1320" s="475"/>
      <c r="S1320" s="474" t="s">
        <v>2379</v>
      </c>
      <c r="T1320" s="474">
        <v>60</v>
      </c>
      <c r="U1320" s="474"/>
      <c r="V1320" s="474" t="s">
        <v>973</v>
      </c>
      <c r="W1320" s="474">
        <v>400</v>
      </c>
      <c r="X1320" s="476">
        <v>320</v>
      </c>
      <c r="Y1320" s="477">
        <f>X1320*W1320</f>
        <v>128000</v>
      </c>
      <c r="Z1320" s="478">
        <v>0.55000000000000004</v>
      </c>
      <c r="AA1320" s="479">
        <f>Z1320*Y1320</f>
        <v>70400</v>
      </c>
      <c r="AB1320" s="480"/>
      <c r="AC1320" s="481">
        <f>AB1320*Y1320</f>
        <v>0</v>
      </c>
      <c r="AD1320" s="490"/>
      <c r="AE1320" s="482"/>
      <c r="AF1320" s="493">
        <f>AE1320+AD1320+AA1320</f>
        <v>70400</v>
      </c>
      <c r="AG1320" s="474" t="s">
        <v>47</v>
      </c>
      <c r="AH1320" s="474"/>
      <c r="AI1320" s="483" t="s">
        <v>2374</v>
      </c>
      <c r="AJ1320" s="474" t="s">
        <v>2380</v>
      </c>
      <c r="AK1320" s="494" t="s">
        <v>2381</v>
      </c>
      <c r="AL1320" s="474">
        <v>87107</v>
      </c>
      <c r="AM1320" s="474" t="s">
        <v>52</v>
      </c>
      <c r="AN1320" s="474"/>
      <c r="AO1320" s="474"/>
      <c r="AP1320" s="486"/>
      <c r="AQ1320" s="486" t="s">
        <v>37</v>
      </c>
      <c r="AR1320" s="486"/>
      <c r="AS1320" s="495"/>
      <c r="AT1320" s="495"/>
      <c r="AU1320" s="478">
        <v>0.55000000000000004</v>
      </c>
    </row>
    <row r="1321" spans="1:47" s="471" customFormat="1">
      <c r="A1321" s="472"/>
      <c r="B1321" s="515">
        <v>44670</v>
      </c>
      <c r="C1321" s="515">
        <v>44616</v>
      </c>
      <c r="D1321" s="485" t="s">
        <v>3186</v>
      </c>
      <c r="E1321" s="474" t="s">
        <v>3641</v>
      </c>
      <c r="F1321" s="474"/>
      <c r="G1321" s="474">
        <v>2022</v>
      </c>
      <c r="H1321" s="474">
        <v>10</v>
      </c>
      <c r="I1321" s="474" t="s">
        <v>1676</v>
      </c>
      <c r="J1321" s="475"/>
      <c r="K1321" s="483" t="s">
        <v>3652</v>
      </c>
      <c r="L1321" s="474" t="s">
        <v>3188</v>
      </c>
      <c r="M1321" s="487">
        <v>44615</v>
      </c>
      <c r="N1321" s="487">
        <v>44840</v>
      </c>
      <c r="O1321" s="487"/>
      <c r="P1321" s="475"/>
      <c r="Q1321" s="475"/>
      <c r="R1321" s="475"/>
      <c r="S1321" s="474" t="s">
        <v>2379</v>
      </c>
      <c r="T1321" s="474">
        <v>60</v>
      </c>
      <c r="U1321" s="474"/>
      <c r="V1321" s="474" t="s">
        <v>973</v>
      </c>
      <c r="W1321" s="474">
        <v>400</v>
      </c>
      <c r="X1321" s="476">
        <v>320</v>
      </c>
      <c r="Y1321" s="477">
        <f>X1321*W1321</f>
        <v>128000</v>
      </c>
      <c r="Z1321" s="478">
        <v>0.55000000000000004</v>
      </c>
      <c r="AA1321" s="479">
        <f>Z1321*Y1321</f>
        <v>70400</v>
      </c>
      <c r="AB1321" s="480"/>
      <c r="AC1321" s="481">
        <f>AB1321*Y1321</f>
        <v>0</v>
      </c>
      <c r="AD1321" s="490"/>
      <c r="AE1321" s="482"/>
      <c r="AF1321" s="493">
        <f>AE1321+AD1321+AA1321</f>
        <v>70400</v>
      </c>
      <c r="AG1321" s="474" t="s">
        <v>47</v>
      </c>
      <c r="AH1321" s="474"/>
      <c r="AI1321" s="483" t="s">
        <v>2374</v>
      </c>
      <c r="AJ1321" s="474" t="s">
        <v>2380</v>
      </c>
      <c r="AK1321" s="494" t="s">
        <v>2381</v>
      </c>
      <c r="AL1321" s="474">
        <v>87107</v>
      </c>
      <c r="AM1321" s="474" t="s">
        <v>52</v>
      </c>
      <c r="AN1321" s="474"/>
      <c r="AO1321" s="474"/>
      <c r="AP1321" s="486"/>
      <c r="AQ1321" s="486" t="s">
        <v>37</v>
      </c>
      <c r="AR1321" s="486"/>
      <c r="AS1321" s="495"/>
      <c r="AT1321" s="495"/>
      <c r="AU1321" s="478">
        <v>0.55000000000000004</v>
      </c>
    </row>
    <row r="1322" spans="1:47" s="471" customFormat="1">
      <c r="A1322" s="472"/>
      <c r="B1322" s="515">
        <v>44670</v>
      </c>
      <c r="C1322" s="515">
        <v>44616</v>
      </c>
      <c r="D1322" s="485" t="s">
        <v>3186</v>
      </c>
      <c r="E1322" s="474" t="s">
        <v>3641</v>
      </c>
      <c r="F1322" s="474"/>
      <c r="G1322" s="474">
        <v>2022</v>
      </c>
      <c r="H1322" s="474">
        <v>9</v>
      </c>
      <c r="I1322" s="474" t="s">
        <v>1676</v>
      </c>
      <c r="J1322" s="475"/>
      <c r="K1322" s="483" t="s">
        <v>3647</v>
      </c>
      <c r="L1322" s="474" t="s">
        <v>3188</v>
      </c>
      <c r="M1322" s="487">
        <v>44615</v>
      </c>
      <c r="N1322" s="487">
        <v>44816</v>
      </c>
      <c r="O1322" s="487"/>
      <c r="P1322" s="475"/>
      <c r="Q1322" s="475"/>
      <c r="R1322" s="475"/>
      <c r="S1322" s="474" t="s">
        <v>2379</v>
      </c>
      <c r="T1322" s="474">
        <v>60</v>
      </c>
      <c r="U1322" s="474"/>
      <c r="V1322" s="474" t="s">
        <v>973</v>
      </c>
      <c r="W1322" s="474">
        <v>400</v>
      </c>
      <c r="X1322" s="476">
        <v>320</v>
      </c>
      <c r="Y1322" s="477">
        <f>X1322*W1322</f>
        <v>128000</v>
      </c>
      <c r="Z1322" s="478">
        <v>0.55000000000000004</v>
      </c>
      <c r="AA1322" s="479">
        <f>Z1322*Y1322</f>
        <v>70400</v>
      </c>
      <c r="AB1322" s="480"/>
      <c r="AC1322" s="481">
        <f>AB1322*Y1322</f>
        <v>0</v>
      </c>
      <c r="AD1322" s="490"/>
      <c r="AE1322" s="482"/>
      <c r="AF1322" s="493">
        <f>AE1322+AD1322+AA1322</f>
        <v>70400</v>
      </c>
      <c r="AG1322" s="474" t="s">
        <v>47</v>
      </c>
      <c r="AH1322" s="474"/>
      <c r="AI1322" s="483" t="s">
        <v>2374</v>
      </c>
      <c r="AJ1322" s="474" t="s">
        <v>2380</v>
      </c>
      <c r="AK1322" s="494" t="s">
        <v>2381</v>
      </c>
      <c r="AL1322" s="474">
        <v>87107</v>
      </c>
      <c r="AM1322" s="474" t="s">
        <v>52</v>
      </c>
      <c r="AN1322" s="474"/>
      <c r="AO1322" s="474"/>
      <c r="AP1322" s="486"/>
      <c r="AQ1322" s="486" t="s">
        <v>37</v>
      </c>
      <c r="AR1322" s="486"/>
      <c r="AS1322" s="495"/>
      <c r="AT1322" s="495"/>
      <c r="AU1322" s="478">
        <v>0.55000000000000004</v>
      </c>
    </row>
    <row r="1323" spans="1:47" s="471" customFormat="1">
      <c r="A1323" s="472"/>
      <c r="B1323" s="515">
        <v>44566</v>
      </c>
      <c r="C1323" s="515">
        <v>44565</v>
      </c>
      <c r="D1323" s="485" t="s">
        <v>3186</v>
      </c>
      <c r="E1323" s="474" t="s">
        <v>3371</v>
      </c>
      <c r="F1323" s="474"/>
      <c r="G1323" s="474">
        <v>2022</v>
      </c>
      <c r="H1323" s="474">
        <v>5</v>
      </c>
      <c r="I1323" s="474">
        <v>2005094</v>
      </c>
      <c r="J1323" s="475"/>
      <c r="K1323" s="483" t="s">
        <v>3372</v>
      </c>
      <c r="L1323" s="474" t="s">
        <v>3188</v>
      </c>
      <c r="M1323" s="487">
        <v>44565</v>
      </c>
      <c r="N1323" s="487">
        <v>44683</v>
      </c>
      <c r="O1323" s="487"/>
      <c r="P1323" s="475"/>
      <c r="Q1323" s="475"/>
      <c r="R1323" s="475"/>
      <c r="S1323" s="474" t="s">
        <v>2379</v>
      </c>
      <c r="T1323" s="474">
        <v>72</v>
      </c>
      <c r="U1323" s="474"/>
      <c r="V1323" s="474" t="s">
        <v>995</v>
      </c>
      <c r="W1323" s="474">
        <v>480</v>
      </c>
      <c r="X1323" s="476">
        <v>2987</v>
      </c>
      <c r="Y1323" s="477">
        <f>X1323*W1323</f>
        <v>1433760</v>
      </c>
      <c r="Z1323" s="478">
        <v>0.49</v>
      </c>
      <c r="AA1323" s="479">
        <f>Z1323*Y1323</f>
        <v>702542.4</v>
      </c>
      <c r="AB1323" s="480"/>
      <c r="AC1323" s="481">
        <f>AB1323*Y1323</f>
        <v>0</v>
      </c>
      <c r="AD1323" s="490"/>
      <c r="AE1323" s="482"/>
      <c r="AF1323" s="493">
        <f>AE1323+AD1323+AA1323</f>
        <v>702542.4</v>
      </c>
      <c r="AG1323" s="474" t="s">
        <v>47</v>
      </c>
      <c r="AH1323" s="474">
        <v>100</v>
      </c>
      <c r="AI1323" s="483"/>
      <c r="AJ1323" s="474" t="s">
        <v>3373</v>
      </c>
      <c r="AK1323" s="494" t="s">
        <v>3374</v>
      </c>
      <c r="AL1323" s="474">
        <v>20020</v>
      </c>
      <c r="AM1323" s="474" t="s">
        <v>52</v>
      </c>
      <c r="AN1323" s="474"/>
      <c r="AO1323" s="474"/>
      <c r="AP1323" s="486"/>
      <c r="AQ1323" s="486" t="s">
        <v>37</v>
      </c>
      <c r="AR1323" s="486"/>
      <c r="AS1323" s="495"/>
      <c r="AT1323" s="495"/>
      <c r="AU1323" s="478"/>
    </row>
    <row r="1324" spans="1:47" s="471" customFormat="1">
      <c r="A1324" s="472"/>
      <c r="B1324" s="515">
        <v>44657</v>
      </c>
      <c r="C1324" s="515">
        <v>44657</v>
      </c>
      <c r="D1324" s="485" t="s">
        <v>3186</v>
      </c>
      <c r="E1324" s="474"/>
      <c r="F1324" s="474"/>
      <c r="G1324" s="474">
        <v>2022</v>
      </c>
      <c r="H1324" s="474">
        <v>8</v>
      </c>
      <c r="I1324" s="474" t="s">
        <v>1676</v>
      </c>
      <c r="J1324" s="475"/>
      <c r="K1324" s="483" t="s">
        <v>3619</v>
      </c>
      <c r="L1324" s="474" t="s">
        <v>3418</v>
      </c>
      <c r="M1324" s="487">
        <v>44650</v>
      </c>
      <c r="N1324" s="487">
        <v>44774</v>
      </c>
      <c r="O1324" s="487"/>
      <c r="P1324" s="475"/>
      <c r="Q1324" s="475"/>
      <c r="R1324" s="475"/>
      <c r="S1324" s="474" t="s">
        <v>2379</v>
      </c>
      <c r="T1324" s="474">
        <v>60</v>
      </c>
      <c r="U1324" s="474"/>
      <c r="V1324" s="474" t="s">
        <v>973</v>
      </c>
      <c r="W1324" s="474">
        <v>400</v>
      </c>
      <c r="X1324" s="476">
        <v>832</v>
      </c>
      <c r="Y1324" s="477">
        <f>X1324*W1324</f>
        <v>332800</v>
      </c>
      <c r="Z1324" s="478">
        <v>0.55500000000000005</v>
      </c>
      <c r="AA1324" s="479">
        <f>Z1324*Y1324</f>
        <v>184704.00000000003</v>
      </c>
      <c r="AB1324" s="480"/>
      <c r="AC1324" s="481">
        <f>AB1324*Y1324</f>
        <v>0</v>
      </c>
      <c r="AD1324" s="490"/>
      <c r="AE1324" s="482"/>
      <c r="AF1324" s="493">
        <f>AE1324+AD1324+AA1324</f>
        <v>184704.00000000003</v>
      </c>
      <c r="AG1324" s="474" t="s">
        <v>1071</v>
      </c>
      <c r="AH1324" s="474"/>
      <c r="AI1324" s="483" t="s">
        <v>2442</v>
      </c>
      <c r="AJ1324" s="474" t="s">
        <v>3617</v>
      </c>
      <c r="AK1324" s="494" t="s">
        <v>3618</v>
      </c>
      <c r="AL1324" s="474">
        <v>63110</v>
      </c>
      <c r="AM1324" s="474" t="s">
        <v>52</v>
      </c>
      <c r="AN1324" s="474"/>
      <c r="AO1324" s="474"/>
      <c r="AP1324" s="486"/>
      <c r="AQ1324" s="486" t="s">
        <v>37</v>
      </c>
      <c r="AR1324" s="486"/>
      <c r="AS1324" s="495"/>
      <c r="AT1324" s="495"/>
      <c r="AU1324" s="478">
        <v>0.51</v>
      </c>
    </row>
    <row r="1325" spans="1:47" s="471" customFormat="1">
      <c r="A1325" s="472"/>
      <c r="B1325" s="515">
        <v>44657</v>
      </c>
      <c r="C1325" s="515">
        <v>44657</v>
      </c>
      <c r="D1325" s="485" t="s">
        <v>3186</v>
      </c>
      <c r="E1325" s="474"/>
      <c r="F1325" s="474"/>
      <c r="G1325" s="474">
        <v>2022</v>
      </c>
      <c r="H1325" s="474">
        <v>7</v>
      </c>
      <c r="I1325" s="474" t="s">
        <v>1676</v>
      </c>
      <c r="J1325" s="475"/>
      <c r="K1325" s="483" t="s">
        <v>3616</v>
      </c>
      <c r="L1325" s="474" t="s">
        <v>3418</v>
      </c>
      <c r="M1325" s="487">
        <v>44650</v>
      </c>
      <c r="N1325" s="487">
        <v>44743</v>
      </c>
      <c r="O1325" s="487"/>
      <c r="P1325" s="475"/>
      <c r="Q1325" s="475"/>
      <c r="R1325" s="475"/>
      <c r="S1325" s="474" t="s">
        <v>2379</v>
      </c>
      <c r="T1325" s="474">
        <v>60</v>
      </c>
      <c r="U1325" s="474"/>
      <c r="V1325" s="474" t="s">
        <v>973</v>
      </c>
      <c r="W1325" s="474">
        <v>400</v>
      </c>
      <c r="X1325" s="476">
        <v>832</v>
      </c>
      <c r="Y1325" s="477">
        <f>X1325*W1325</f>
        <v>332800</v>
      </c>
      <c r="Z1325" s="478">
        <v>0.55500000000000005</v>
      </c>
      <c r="AA1325" s="479">
        <f>Z1325*Y1325</f>
        <v>184704.00000000003</v>
      </c>
      <c r="AB1325" s="480"/>
      <c r="AC1325" s="481">
        <f>AB1325*Y1325</f>
        <v>0</v>
      </c>
      <c r="AD1325" s="490"/>
      <c r="AE1325" s="482"/>
      <c r="AF1325" s="493">
        <f>AE1325+AD1325+AA1325</f>
        <v>184704.00000000003</v>
      </c>
      <c r="AG1325" s="474" t="s">
        <v>1071</v>
      </c>
      <c r="AH1325" s="474"/>
      <c r="AI1325" s="483" t="s">
        <v>2442</v>
      </c>
      <c r="AJ1325" s="474" t="s">
        <v>3617</v>
      </c>
      <c r="AK1325" s="494" t="s">
        <v>3618</v>
      </c>
      <c r="AL1325" s="474">
        <v>63110</v>
      </c>
      <c r="AM1325" s="474" t="s">
        <v>52</v>
      </c>
      <c r="AN1325" s="474"/>
      <c r="AO1325" s="474"/>
      <c r="AP1325" s="486"/>
      <c r="AQ1325" s="486" t="s">
        <v>37</v>
      </c>
      <c r="AR1325" s="486"/>
      <c r="AS1325" s="495"/>
      <c r="AT1325" s="495"/>
      <c r="AU1325" s="478">
        <v>0.51</v>
      </c>
    </row>
    <row r="1326" spans="1:47" s="471" customFormat="1">
      <c r="A1326" s="472"/>
      <c r="B1326" s="515">
        <v>44540</v>
      </c>
      <c r="C1326" s="515">
        <v>44544</v>
      </c>
      <c r="D1326" s="485" t="s">
        <v>3186</v>
      </c>
      <c r="E1326" s="474"/>
      <c r="F1326" s="474"/>
      <c r="G1326" s="474">
        <v>2022</v>
      </c>
      <c r="H1326" s="474">
        <v>5</v>
      </c>
      <c r="I1326" s="474"/>
      <c r="J1326" s="475"/>
      <c r="K1326" s="483" t="s">
        <v>3417</v>
      </c>
      <c r="L1326" s="474" t="s">
        <v>3418</v>
      </c>
      <c r="M1326" s="487">
        <v>44538</v>
      </c>
      <c r="N1326" s="487">
        <v>44652</v>
      </c>
      <c r="O1326" s="487"/>
      <c r="P1326" s="475"/>
      <c r="Q1326" s="475"/>
      <c r="R1326" s="475"/>
      <c r="S1326" s="474" t="s">
        <v>2379</v>
      </c>
      <c r="T1326" s="474">
        <v>60</v>
      </c>
      <c r="U1326" s="474" t="s">
        <v>1109</v>
      </c>
      <c r="V1326" s="474" t="s">
        <v>986</v>
      </c>
      <c r="W1326" s="474">
        <v>360</v>
      </c>
      <c r="X1326" s="476">
        <v>832</v>
      </c>
      <c r="Y1326" s="477">
        <f>X1326*W1326</f>
        <v>299520</v>
      </c>
      <c r="Z1326" s="478">
        <v>0.505</v>
      </c>
      <c r="AA1326" s="479">
        <f>Z1326*Y1326</f>
        <v>151257.60000000001</v>
      </c>
      <c r="AB1326" s="480"/>
      <c r="AC1326" s="481">
        <f>AB1326*Y1326</f>
        <v>0</v>
      </c>
      <c r="AD1326" s="490"/>
      <c r="AE1326" s="482"/>
      <c r="AF1326" s="493">
        <f>AE1326+AD1326+AA1326</f>
        <v>151257.60000000001</v>
      </c>
      <c r="AG1326" s="474" t="s">
        <v>47</v>
      </c>
      <c r="AH1326" s="474"/>
      <c r="AI1326" s="483" t="s">
        <v>3419</v>
      </c>
      <c r="AJ1326" s="474" t="s">
        <v>3420</v>
      </c>
      <c r="AK1326" s="494" t="s">
        <v>1491</v>
      </c>
      <c r="AL1326" s="474">
        <v>53177</v>
      </c>
      <c r="AM1326" s="474" t="s">
        <v>52</v>
      </c>
      <c r="AN1326" s="474" t="s">
        <v>1109</v>
      </c>
      <c r="AO1326" s="474"/>
      <c r="AP1326" s="486"/>
      <c r="AQ1326" s="486" t="s">
        <v>37</v>
      </c>
      <c r="AR1326" s="486"/>
      <c r="AS1326" s="495"/>
      <c r="AT1326" s="495"/>
      <c r="AU1326" s="478"/>
    </row>
    <row r="1327" spans="1:47" s="471" customFormat="1">
      <c r="A1327" s="472"/>
      <c r="B1327" s="515">
        <v>44680</v>
      </c>
      <c r="C1327" s="515"/>
      <c r="D1327" s="485" t="s">
        <v>3186</v>
      </c>
      <c r="E1327" s="474" t="s">
        <v>5511</v>
      </c>
      <c r="F1327" s="474"/>
      <c r="G1327" s="474">
        <v>2022</v>
      </c>
      <c r="H1327" s="474">
        <v>5</v>
      </c>
      <c r="I1327" s="474" t="s">
        <v>1676</v>
      </c>
      <c r="J1327" s="475"/>
      <c r="K1327" s="483" t="s">
        <v>5750</v>
      </c>
      <c r="L1327" s="474" t="s">
        <v>3361</v>
      </c>
      <c r="M1327" s="487">
        <v>44679</v>
      </c>
      <c r="N1327" s="487">
        <v>44712</v>
      </c>
      <c r="O1327" s="487"/>
      <c r="P1327" s="475"/>
      <c r="Q1327" s="475"/>
      <c r="R1327" s="475"/>
      <c r="S1327" s="474" t="s">
        <v>2379</v>
      </c>
      <c r="T1327" s="474">
        <v>72</v>
      </c>
      <c r="U1327" s="474" t="s">
        <v>5513</v>
      </c>
      <c r="V1327" s="474" t="s">
        <v>1070</v>
      </c>
      <c r="W1327" s="474">
        <v>480</v>
      </c>
      <c r="X1327" s="476">
        <v>435</v>
      </c>
      <c r="Y1327" s="477">
        <f>X1327*W1327</f>
        <v>208800</v>
      </c>
      <c r="Z1327" s="478">
        <v>0.6</v>
      </c>
      <c r="AA1327" s="479">
        <f>Z1327*Y1327</f>
        <v>125280</v>
      </c>
      <c r="AB1327" s="480"/>
      <c r="AC1327" s="481">
        <f>AB1327*Y1327</f>
        <v>0</v>
      </c>
      <c r="AD1327" s="490"/>
      <c r="AE1327" s="482"/>
      <c r="AF1327" s="493">
        <f>AE1327+AD1327+AA1327</f>
        <v>125280</v>
      </c>
      <c r="AG1327" s="474" t="s">
        <v>1071</v>
      </c>
      <c r="AH1327" s="474"/>
      <c r="AI1327" s="483" t="s">
        <v>2442</v>
      </c>
      <c r="AJ1327" s="474" t="s">
        <v>1593</v>
      </c>
      <c r="AK1327" s="494" t="s">
        <v>1144</v>
      </c>
      <c r="AL1327" s="474">
        <v>78744</v>
      </c>
      <c r="AM1327" s="474" t="s">
        <v>52</v>
      </c>
      <c r="AN1327" s="474"/>
      <c r="AO1327" s="474"/>
      <c r="AP1327" s="486"/>
      <c r="AQ1327" s="486" t="s">
        <v>37</v>
      </c>
      <c r="AR1327" s="486"/>
      <c r="AS1327" s="495"/>
      <c r="AT1327" s="495"/>
      <c r="AU1327" s="478">
        <v>0.55000000000000004</v>
      </c>
    </row>
    <row r="1328" spans="1:47" s="471" customFormat="1">
      <c r="A1328" s="472"/>
      <c r="B1328" s="515">
        <v>44680</v>
      </c>
      <c r="C1328" s="515"/>
      <c r="D1328" s="485" t="s">
        <v>3186</v>
      </c>
      <c r="E1328" s="474" t="s">
        <v>5511</v>
      </c>
      <c r="F1328" s="474"/>
      <c r="G1328" s="474">
        <v>2022</v>
      </c>
      <c r="H1328" s="474">
        <v>7</v>
      </c>
      <c r="I1328" s="474" t="s">
        <v>1676</v>
      </c>
      <c r="J1328" s="475"/>
      <c r="K1328" s="483" t="s">
        <v>5751</v>
      </c>
      <c r="L1328" s="474" t="s">
        <v>3361</v>
      </c>
      <c r="M1328" s="487">
        <v>44679</v>
      </c>
      <c r="N1328" s="487">
        <v>44773</v>
      </c>
      <c r="O1328" s="487"/>
      <c r="P1328" s="475"/>
      <c r="Q1328" s="475"/>
      <c r="R1328" s="475"/>
      <c r="S1328" s="474" t="s">
        <v>2379</v>
      </c>
      <c r="T1328" s="474">
        <v>72</v>
      </c>
      <c r="U1328" s="474" t="s">
        <v>5513</v>
      </c>
      <c r="V1328" s="474" t="s">
        <v>1070</v>
      </c>
      <c r="W1328" s="474">
        <v>480</v>
      </c>
      <c r="X1328" s="476">
        <v>435</v>
      </c>
      <c r="Y1328" s="477">
        <f>X1328*W1328</f>
        <v>208800</v>
      </c>
      <c r="Z1328" s="478">
        <v>0.6</v>
      </c>
      <c r="AA1328" s="479">
        <f>Z1328*Y1328</f>
        <v>125280</v>
      </c>
      <c r="AB1328" s="480"/>
      <c r="AC1328" s="481">
        <f>AB1328*Y1328</f>
        <v>0</v>
      </c>
      <c r="AD1328" s="490"/>
      <c r="AE1328" s="482"/>
      <c r="AF1328" s="493">
        <f>AE1328+AD1328+AA1328</f>
        <v>125280</v>
      </c>
      <c r="AG1328" s="474" t="s">
        <v>1071</v>
      </c>
      <c r="AH1328" s="474"/>
      <c r="AI1328" s="483" t="s">
        <v>2442</v>
      </c>
      <c r="AJ1328" s="474" t="s">
        <v>1593</v>
      </c>
      <c r="AK1328" s="494" t="s">
        <v>1144</v>
      </c>
      <c r="AL1328" s="474">
        <v>78744</v>
      </c>
      <c r="AM1328" s="474" t="s">
        <v>52</v>
      </c>
      <c r="AN1328" s="474"/>
      <c r="AO1328" s="474"/>
      <c r="AP1328" s="486"/>
      <c r="AQ1328" s="486" t="s">
        <v>37</v>
      </c>
      <c r="AR1328" s="486"/>
      <c r="AS1328" s="495"/>
      <c r="AT1328" s="495"/>
      <c r="AU1328" s="478">
        <v>0.55000000000000004</v>
      </c>
    </row>
    <row r="1329" spans="1:47" s="471" customFormat="1">
      <c r="A1329" s="472"/>
      <c r="B1329" s="515">
        <v>44673</v>
      </c>
      <c r="C1329" s="515"/>
      <c r="D1329" s="485" t="s">
        <v>3186</v>
      </c>
      <c r="E1329" s="474" t="s">
        <v>5511</v>
      </c>
      <c r="F1329" s="474"/>
      <c r="G1329" s="474">
        <v>2022</v>
      </c>
      <c r="H1329" s="474"/>
      <c r="I1329" s="474" t="s">
        <v>1676</v>
      </c>
      <c r="J1329" s="475"/>
      <c r="K1329" s="483" t="s">
        <v>5512</v>
      </c>
      <c r="L1329" s="474" t="s">
        <v>3361</v>
      </c>
      <c r="M1329" s="487">
        <v>44673</v>
      </c>
      <c r="N1329" s="487">
        <v>44673</v>
      </c>
      <c r="O1329" s="487"/>
      <c r="P1329" s="475"/>
      <c r="Q1329" s="475"/>
      <c r="R1329" s="475"/>
      <c r="S1329" s="474" t="s">
        <v>2379</v>
      </c>
      <c r="T1329" s="474">
        <v>72</v>
      </c>
      <c r="U1329" s="474" t="s">
        <v>5513</v>
      </c>
      <c r="V1329" s="474" t="s">
        <v>1070</v>
      </c>
      <c r="W1329" s="474">
        <v>480</v>
      </c>
      <c r="X1329" s="476">
        <v>754</v>
      </c>
      <c r="Y1329" s="477">
        <f>X1329*W1329</f>
        <v>361920</v>
      </c>
      <c r="Z1329" s="478">
        <v>0.6</v>
      </c>
      <c r="AA1329" s="479">
        <f>Z1329*Y1329</f>
        <v>217152</v>
      </c>
      <c r="AB1329" s="480"/>
      <c r="AC1329" s="481">
        <f>AB1329*Y1329</f>
        <v>0</v>
      </c>
      <c r="AD1329" s="490"/>
      <c r="AE1329" s="482"/>
      <c r="AF1329" s="493">
        <f>AE1329+AD1329+AA1329</f>
        <v>217152</v>
      </c>
      <c r="AG1329" s="474" t="s">
        <v>1071</v>
      </c>
      <c r="AH1329" s="474"/>
      <c r="AI1329" s="483" t="s">
        <v>2442</v>
      </c>
      <c r="AJ1329" s="474" t="s">
        <v>2380</v>
      </c>
      <c r="AK1329" s="494" t="s">
        <v>2381</v>
      </c>
      <c r="AL1329" s="474">
        <v>87113</v>
      </c>
      <c r="AM1329" s="474" t="s">
        <v>52</v>
      </c>
      <c r="AN1329" s="474"/>
      <c r="AO1329" s="474"/>
      <c r="AP1329" s="486"/>
      <c r="AQ1329" s="486" t="s">
        <v>37</v>
      </c>
      <c r="AR1329" s="486"/>
      <c r="AS1329" s="495"/>
      <c r="AT1329" s="495"/>
      <c r="AU1329" s="478">
        <v>0.55000000000000004</v>
      </c>
    </row>
    <row r="1330" spans="1:47" s="471" customFormat="1">
      <c r="A1330" s="472"/>
      <c r="B1330" s="514">
        <v>44670</v>
      </c>
      <c r="C1330" s="514">
        <v>44670</v>
      </c>
      <c r="D1330" s="485" t="s">
        <v>3186</v>
      </c>
      <c r="E1330" s="474" t="s">
        <v>2984</v>
      </c>
      <c r="F1330" s="474"/>
      <c r="G1330" s="474">
        <v>2022</v>
      </c>
      <c r="H1330" s="474"/>
      <c r="I1330" s="474" t="s">
        <v>1676</v>
      </c>
      <c r="J1330" s="556"/>
      <c r="K1330" s="483" t="s">
        <v>5254</v>
      </c>
      <c r="L1330" s="474" t="s">
        <v>3361</v>
      </c>
      <c r="M1330" s="487">
        <v>44669</v>
      </c>
      <c r="N1330" s="487">
        <v>44865</v>
      </c>
      <c r="O1330" s="487"/>
      <c r="P1330" s="475"/>
      <c r="Q1330" s="475"/>
      <c r="R1330" s="475"/>
      <c r="S1330" s="474" t="s">
        <v>2379</v>
      </c>
      <c r="T1330" s="474">
        <v>72</v>
      </c>
      <c r="U1330" s="474"/>
      <c r="V1330" s="474" t="s">
        <v>1115</v>
      </c>
      <c r="W1330" s="474">
        <v>575</v>
      </c>
      <c r="X1330" s="476">
        <v>1624</v>
      </c>
      <c r="Y1330" s="491">
        <f>X1330*W1330</f>
        <v>933800</v>
      </c>
      <c r="Z1330" s="478">
        <v>0.57499999999999996</v>
      </c>
      <c r="AA1330" s="492">
        <f>Z1330*Y1330</f>
        <v>536935</v>
      </c>
      <c r="AB1330" s="480"/>
      <c r="AC1330" s="481">
        <f>AB1330*Y1330</f>
        <v>0</v>
      </c>
      <c r="AD1330" s="490"/>
      <c r="AE1330" s="482"/>
      <c r="AF1330" s="493">
        <f>AE1330+AD1330+AA1330</f>
        <v>536935</v>
      </c>
      <c r="AG1330" s="474" t="s">
        <v>1071</v>
      </c>
      <c r="AH1330" s="474"/>
      <c r="AI1330" s="483">
        <v>60</v>
      </c>
      <c r="AJ1330" s="474" t="s">
        <v>1593</v>
      </c>
      <c r="AK1330" s="494" t="s">
        <v>1144</v>
      </c>
      <c r="AL1330" s="474">
        <v>78744</v>
      </c>
      <c r="AM1330" s="474" t="s">
        <v>52</v>
      </c>
      <c r="AN1330" s="474"/>
      <c r="AO1330" s="474"/>
      <c r="AP1330" s="486"/>
      <c r="AQ1330" s="486" t="s">
        <v>37</v>
      </c>
      <c r="AR1330" s="474"/>
      <c r="AS1330" s="495"/>
      <c r="AT1330" s="495"/>
      <c r="AU1330" s="478">
        <v>0.80577777777000004</v>
      </c>
    </row>
    <row r="1331" spans="1:47" s="471" customFormat="1">
      <c r="A1331" s="472"/>
      <c r="B1331" s="514">
        <v>44671</v>
      </c>
      <c r="C1331" s="514">
        <v>44671</v>
      </c>
      <c r="D1331" s="485" t="s">
        <v>3186</v>
      </c>
      <c r="E1331" s="474" t="s">
        <v>2984</v>
      </c>
      <c r="F1331" s="474"/>
      <c r="G1331" s="474">
        <v>2022</v>
      </c>
      <c r="H1331" s="474"/>
      <c r="I1331" s="474" t="s">
        <v>1676</v>
      </c>
      <c r="J1331" s="556"/>
      <c r="K1331" s="483" t="s">
        <v>5376</v>
      </c>
      <c r="L1331" s="474" t="s">
        <v>3361</v>
      </c>
      <c r="M1331" s="487">
        <v>44669</v>
      </c>
      <c r="N1331" s="487">
        <v>44900</v>
      </c>
      <c r="O1331" s="487"/>
      <c r="P1331" s="475"/>
      <c r="Q1331" s="475"/>
      <c r="R1331" s="475"/>
      <c r="S1331" s="474" t="s">
        <v>1563</v>
      </c>
      <c r="T1331" s="474">
        <v>72</v>
      </c>
      <c r="U1331" s="474" t="s">
        <v>3362</v>
      </c>
      <c r="V1331" s="474" t="s">
        <v>1104</v>
      </c>
      <c r="W1331" s="474">
        <v>480</v>
      </c>
      <c r="X1331" s="476">
        <v>2320</v>
      </c>
      <c r="Y1331" s="491">
        <f>X1331*W1331</f>
        <v>1113600</v>
      </c>
      <c r="Z1331" s="478">
        <v>0.55500000000000005</v>
      </c>
      <c r="AA1331" s="492">
        <f>Z1331*Y1331</f>
        <v>618048</v>
      </c>
      <c r="AB1331" s="480"/>
      <c r="AC1331" s="481">
        <f>AB1331*Y1331</f>
        <v>0</v>
      </c>
      <c r="AD1331" s="490"/>
      <c r="AE1331" s="482"/>
      <c r="AF1331" s="493">
        <f>AE1331+AD1331+AA1331</f>
        <v>618048</v>
      </c>
      <c r="AG1331" s="474" t="s">
        <v>1071</v>
      </c>
      <c r="AH1331" s="474"/>
      <c r="AI1331" s="483">
        <v>60</v>
      </c>
      <c r="AJ1331" s="474" t="s">
        <v>3281</v>
      </c>
      <c r="AK1331" s="494" t="s">
        <v>50</v>
      </c>
      <c r="AL1331" s="474">
        <v>92841</v>
      </c>
      <c r="AM1331" s="474" t="s">
        <v>52</v>
      </c>
      <c r="AN1331" s="474"/>
      <c r="AO1331" s="474"/>
      <c r="AP1331" s="486"/>
      <c r="AQ1331" s="486" t="s">
        <v>37</v>
      </c>
      <c r="AR1331" s="474"/>
      <c r="AS1331" s="495"/>
      <c r="AT1331" s="495"/>
      <c r="AU1331" s="478">
        <v>0.80577777777000004</v>
      </c>
    </row>
    <row r="1332" spans="1:47" s="471" customFormat="1">
      <c r="A1332" s="472"/>
      <c r="B1332" s="514">
        <v>44671</v>
      </c>
      <c r="C1332" s="514">
        <v>44671</v>
      </c>
      <c r="D1332" s="485" t="s">
        <v>3186</v>
      </c>
      <c r="E1332" s="474" t="s">
        <v>2984</v>
      </c>
      <c r="F1332" s="474"/>
      <c r="G1332" s="474">
        <v>2022</v>
      </c>
      <c r="H1332" s="474"/>
      <c r="I1332" s="474" t="s">
        <v>1676</v>
      </c>
      <c r="J1332" s="556"/>
      <c r="K1332" s="483" t="s">
        <v>5375</v>
      </c>
      <c r="L1332" s="474" t="s">
        <v>3361</v>
      </c>
      <c r="M1332" s="487">
        <v>44669</v>
      </c>
      <c r="N1332" s="487">
        <v>44872</v>
      </c>
      <c r="O1332" s="487"/>
      <c r="P1332" s="475"/>
      <c r="Q1332" s="475"/>
      <c r="R1332" s="475"/>
      <c r="S1332" s="474" t="s">
        <v>1563</v>
      </c>
      <c r="T1332" s="474">
        <v>72</v>
      </c>
      <c r="U1332" s="474" t="s">
        <v>3362</v>
      </c>
      <c r="V1332" s="474" t="s">
        <v>1104</v>
      </c>
      <c r="W1332" s="474">
        <v>480</v>
      </c>
      <c r="X1332" s="476">
        <v>2320</v>
      </c>
      <c r="Y1332" s="491">
        <f>X1332*W1332</f>
        <v>1113600</v>
      </c>
      <c r="Z1332" s="478">
        <v>0.55500000000000005</v>
      </c>
      <c r="AA1332" s="492">
        <f>Z1332*Y1332</f>
        <v>618048</v>
      </c>
      <c r="AB1332" s="480"/>
      <c r="AC1332" s="481">
        <f>AB1332*Y1332</f>
        <v>0</v>
      </c>
      <c r="AD1332" s="490"/>
      <c r="AE1332" s="482"/>
      <c r="AF1332" s="493">
        <f>AE1332+AD1332+AA1332</f>
        <v>618048</v>
      </c>
      <c r="AG1332" s="474" t="s">
        <v>1071</v>
      </c>
      <c r="AH1332" s="474"/>
      <c r="AI1332" s="483">
        <v>60</v>
      </c>
      <c r="AJ1332" s="474" t="s">
        <v>3281</v>
      </c>
      <c r="AK1332" s="494" t="s">
        <v>50</v>
      </c>
      <c r="AL1332" s="474">
        <v>92841</v>
      </c>
      <c r="AM1332" s="474" t="s">
        <v>52</v>
      </c>
      <c r="AN1332" s="474"/>
      <c r="AO1332" s="474"/>
      <c r="AP1332" s="486"/>
      <c r="AQ1332" s="486" t="s">
        <v>37</v>
      </c>
      <c r="AR1332" s="474"/>
      <c r="AS1332" s="495"/>
      <c r="AT1332" s="495"/>
      <c r="AU1332" s="478">
        <v>0.80577777777000004</v>
      </c>
    </row>
    <row r="1333" spans="1:47" s="471" customFormat="1">
      <c r="A1333" s="472"/>
      <c r="B1333" s="514">
        <v>44671</v>
      </c>
      <c r="C1333" s="514">
        <v>44671</v>
      </c>
      <c r="D1333" s="485" t="s">
        <v>3186</v>
      </c>
      <c r="E1333" s="474" t="s">
        <v>2984</v>
      </c>
      <c r="F1333" s="474"/>
      <c r="G1333" s="474">
        <v>2022</v>
      </c>
      <c r="H1333" s="474"/>
      <c r="I1333" s="474" t="s">
        <v>1676</v>
      </c>
      <c r="J1333" s="556"/>
      <c r="K1333" s="483" t="s">
        <v>5374</v>
      </c>
      <c r="L1333" s="474" t="s">
        <v>3361</v>
      </c>
      <c r="M1333" s="487">
        <v>44669</v>
      </c>
      <c r="N1333" s="487">
        <v>44837</v>
      </c>
      <c r="O1333" s="487"/>
      <c r="P1333" s="475"/>
      <c r="Q1333" s="475"/>
      <c r="R1333" s="475"/>
      <c r="S1333" s="474" t="s">
        <v>1563</v>
      </c>
      <c r="T1333" s="474">
        <v>72</v>
      </c>
      <c r="U1333" s="474" t="s">
        <v>3362</v>
      </c>
      <c r="V1333" s="474" t="s">
        <v>1104</v>
      </c>
      <c r="W1333" s="474">
        <v>480</v>
      </c>
      <c r="X1333" s="476">
        <v>2900</v>
      </c>
      <c r="Y1333" s="491">
        <f>X1333*W1333</f>
        <v>1392000</v>
      </c>
      <c r="Z1333" s="478">
        <v>0.55500000000000005</v>
      </c>
      <c r="AA1333" s="492">
        <f>Z1333*Y1333</f>
        <v>772560.00000000012</v>
      </c>
      <c r="AB1333" s="480"/>
      <c r="AC1333" s="481">
        <f>AB1333*Y1333</f>
        <v>0</v>
      </c>
      <c r="AD1333" s="490"/>
      <c r="AE1333" s="482"/>
      <c r="AF1333" s="493">
        <f>AE1333+AD1333+AA1333</f>
        <v>772560.00000000012</v>
      </c>
      <c r="AG1333" s="474" t="s">
        <v>1071</v>
      </c>
      <c r="AH1333" s="474"/>
      <c r="AI1333" s="483">
        <v>60</v>
      </c>
      <c r="AJ1333" s="474" t="s">
        <v>3281</v>
      </c>
      <c r="AK1333" s="494" t="s">
        <v>50</v>
      </c>
      <c r="AL1333" s="474">
        <v>92841</v>
      </c>
      <c r="AM1333" s="474" t="s">
        <v>52</v>
      </c>
      <c r="AN1333" s="474"/>
      <c r="AO1333" s="474"/>
      <c r="AP1333" s="486"/>
      <c r="AQ1333" s="486" t="s">
        <v>37</v>
      </c>
      <c r="AR1333" s="474"/>
      <c r="AS1333" s="495"/>
      <c r="AT1333" s="495"/>
      <c r="AU1333" s="478">
        <v>0.80577777777000004</v>
      </c>
    </row>
    <row r="1334" spans="1:47" s="471" customFormat="1">
      <c r="A1334" s="472"/>
      <c r="B1334" s="514">
        <v>44671</v>
      </c>
      <c r="C1334" s="514">
        <v>44671</v>
      </c>
      <c r="D1334" s="485" t="s">
        <v>3186</v>
      </c>
      <c r="E1334" s="474" t="s">
        <v>2984</v>
      </c>
      <c r="F1334" s="474"/>
      <c r="G1334" s="474">
        <v>2022</v>
      </c>
      <c r="H1334" s="474"/>
      <c r="I1334" s="474" t="s">
        <v>1676</v>
      </c>
      <c r="J1334" s="556"/>
      <c r="K1334" s="483" t="s">
        <v>5373</v>
      </c>
      <c r="L1334" s="474" t="s">
        <v>3361</v>
      </c>
      <c r="M1334" s="487">
        <v>44669</v>
      </c>
      <c r="N1334" s="487">
        <v>44809</v>
      </c>
      <c r="O1334" s="487"/>
      <c r="P1334" s="475"/>
      <c r="Q1334" s="475"/>
      <c r="R1334" s="475"/>
      <c r="S1334" s="474" t="s">
        <v>1563</v>
      </c>
      <c r="T1334" s="474">
        <v>72</v>
      </c>
      <c r="U1334" s="474" t="s">
        <v>3362</v>
      </c>
      <c r="V1334" s="474" t="s">
        <v>1070</v>
      </c>
      <c r="W1334" s="474">
        <v>480</v>
      </c>
      <c r="X1334" s="476">
        <v>1740</v>
      </c>
      <c r="Y1334" s="491">
        <f>X1334*W1334</f>
        <v>835200</v>
      </c>
      <c r="Z1334" s="478">
        <v>0.56000000000000005</v>
      </c>
      <c r="AA1334" s="492">
        <f>Z1334*Y1334</f>
        <v>467712.00000000006</v>
      </c>
      <c r="AB1334" s="480"/>
      <c r="AC1334" s="481">
        <f>AB1334*Y1334</f>
        <v>0</v>
      </c>
      <c r="AD1334" s="490"/>
      <c r="AE1334" s="482"/>
      <c r="AF1334" s="493">
        <f>AE1334+AD1334+AA1334</f>
        <v>467712.00000000006</v>
      </c>
      <c r="AG1334" s="474" t="s">
        <v>1071</v>
      </c>
      <c r="AH1334" s="474"/>
      <c r="AI1334" s="483">
        <v>60</v>
      </c>
      <c r="AJ1334" s="474" t="s">
        <v>3281</v>
      </c>
      <c r="AK1334" s="494" t="s">
        <v>50</v>
      </c>
      <c r="AL1334" s="474">
        <v>92841</v>
      </c>
      <c r="AM1334" s="474" t="s">
        <v>52</v>
      </c>
      <c r="AN1334" s="474"/>
      <c r="AO1334" s="474"/>
      <c r="AP1334" s="486"/>
      <c r="AQ1334" s="486" t="s">
        <v>37</v>
      </c>
      <c r="AR1334" s="474"/>
      <c r="AS1334" s="495"/>
      <c r="AT1334" s="495"/>
      <c r="AU1334" s="478">
        <v>0.80577777777000004</v>
      </c>
    </row>
    <row r="1335" spans="1:47" s="471" customFormat="1">
      <c r="A1335" s="472"/>
      <c r="B1335" s="514">
        <v>44671</v>
      </c>
      <c r="C1335" s="514">
        <v>44671</v>
      </c>
      <c r="D1335" s="485" t="s">
        <v>3186</v>
      </c>
      <c r="E1335" s="474" t="s">
        <v>2984</v>
      </c>
      <c r="F1335" s="474"/>
      <c r="G1335" s="474">
        <v>2022</v>
      </c>
      <c r="H1335" s="474"/>
      <c r="I1335" s="474" t="s">
        <v>1676</v>
      </c>
      <c r="J1335" s="556"/>
      <c r="K1335" s="483" t="s">
        <v>5372</v>
      </c>
      <c r="L1335" s="474" t="s">
        <v>3361</v>
      </c>
      <c r="M1335" s="487">
        <v>44669</v>
      </c>
      <c r="N1335" s="487">
        <v>44774</v>
      </c>
      <c r="O1335" s="487"/>
      <c r="P1335" s="475"/>
      <c r="Q1335" s="475"/>
      <c r="R1335" s="475"/>
      <c r="S1335" s="474" t="s">
        <v>1563</v>
      </c>
      <c r="T1335" s="474">
        <v>72</v>
      </c>
      <c r="U1335" s="474" t="s">
        <v>3362</v>
      </c>
      <c r="V1335" s="474" t="s">
        <v>1070</v>
      </c>
      <c r="W1335" s="474">
        <v>480</v>
      </c>
      <c r="X1335" s="476">
        <v>2320</v>
      </c>
      <c r="Y1335" s="491">
        <f>X1335*W1335</f>
        <v>1113600</v>
      </c>
      <c r="Z1335" s="478">
        <v>0.56000000000000005</v>
      </c>
      <c r="AA1335" s="492">
        <f>Z1335*Y1335</f>
        <v>623616.00000000012</v>
      </c>
      <c r="AB1335" s="480"/>
      <c r="AC1335" s="481">
        <f>AB1335*Y1335</f>
        <v>0</v>
      </c>
      <c r="AD1335" s="490"/>
      <c r="AE1335" s="482"/>
      <c r="AF1335" s="493">
        <f>AE1335+AD1335+AA1335</f>
        <v>623616.00000000012</v>
      </c>
      <c r="AG1335" s="474" t="s">
        <v>1071</v>
      </c>
      <c r="AH1335" s="474"/>
      <c r="AI1335" s="483">
        <v>60</v>
      </c>
      <c r="AJ1335" s="474" t="s">
        <v>3281</v>
      </c>
      <c r="AK1335" s="494" t="s">
        <v>50</v>
      </c>
      <c r="AL1335" s="474">
        <v>92841</v>
      </c>
      <c r="AM1335" s="474" t="s">
        <v>52</v>
      </c>
      <c r="AN1335" s="474"/>
      <c r="AO1335" s="474"/>
      <c r="AP1335" s="486"/>
      <c r="AQ1335" s="486" t="s">
        <v>37</v>
      </c>
      <c r="AR1335" s="474"/>
      <c r="AS1335" s="495"/>
      <c r="AT1335" s="495"/>
      <c r="AU1335" s="478">
        <v>0.80577777777000004</v>
      </c>
    </row>
    <row r="1336" spans="1:47" s="471" customFormat="1">
      <c r="A1336" s="472"/>
      <c r="B1336" s="514">
        <v>44671</v>
      </c>
      <c r="C1336" s="514">
        <v>44671</v>
      </c>
      <c r="D1336" s="485" t="s">
        <v>3186</v>
      </c>
      <c r="E1336" s="474" t="s">
        <v>2984</v>
      </c>
      <c r="F1336" s="474"/>
      <c r="G1336" s="474">
        <v>2022</v>
      </c>
      <c r="H1336" s="474"/>
      <c r="I1336" s="474" t="s">
        <v>1676</v>
      </c>
      <c r="J1336" s="556"/>
      <c r="K1336" s="483" t="s">
        <v>5371</v>
      </c>
      <c r="L1336" s="474" t="s">
        <v>3361</v>
      </c>
      <c r="M1336" s="487">
        <v>44669</v>
      </c>
      <c r="N1336" s="487">
        <v>44746</v>
      </c>
      <c r="O1336" s="487"/>
      <c r="P1336" s="475"/>
      <c r="Q1336" s="475"/>
      <c r="R1336" s="475"/>
      <c r="S1336" s="474" t="s">
        <v>1563</v>
      </c>
      <c r="T1336" s="474">
        <v>72</v>
      </c>
      <c r="U1336" s="474" t="s">
        <v>3362</v>
      </c>
      <c r="V1336" s="474" t="s">
        <v>1070</v>
      </c>
      <c r="W1336" s="474">
        <v>480</v>
      </c>
      <c r="X1336" s="476">
        <v>2320</v>
      </c>
      <c r="Y1336" s="491">
        <f>X1336*W1336</f>
        <v>1113600</v>
      </c>
      <c r="Z1336" s="478">
        <v>0.56000000000000005</v>
      </c>
      <c r="AA1336" s="492">
        <f>Z1336*Y1336</f>
        <v>623616.00000000012</v>
      </c>
      <c r="AB1336" s="480"/>
      <c r="AC1336" s="481">
        <f>AB1336*Y1336</f>
        <v>0</v>
      </c>
      <c r="AD1336" s="490"/>
      <c r="AE1336" s="482"/>
      <c r="AF1336" s="493">
        <f>AE1336+AD1336+AA1336</f>
        <v>623616.00000000012</v>
      </c>
      <c r="AG1336" s="474" t="s">
        <v>1071</v>
      </c>
      <c r="AH1336" s="474"/>
      <c r="AI1336" s="483">
        <v>60</v>
      </c>
      <c r="AJ1336" s="474" t="s">
        <v>3281</v>
      </c>
      <c r="AK1336" s="494" t="s">
        <v>50</v>
      </c>
      <c r="AL1336" s="474">
        <v>92841</v>
      </c>
      <c r="AM1336" s="474" t="s">
        <v>52</v>
      </c>
      <c r="AN1336" s="474"/>
      <c r="AO1336" s="474"/>
      <c r="AP1336" s="486"/>
      <c r="AQ1336" s="486" t="s">
        <v>37</v>
      </c>
      <c r="AR1336" s="474"/>
      <c r="AS1336" s="495"/>
      <c r="AT1336" s="495"/>
      <c r="AU1336" s="478">
        <v>0.80577777777000004</v>
      </c>
    </row>
    <row r="1337" spans="1:47" s="471" customFormat="1">
      <c r="A1337" s="472"/>
      <c r="B1337" s="514">
        <v>44671</v>
      </c>
      <c r="C1337" s="514">
        <v>44671</v>
      </c>
      <c r="D1337" s="485" t="s">
        <v>3186</v>
      </c>
      <c r="E1337" s="474" t="s">
        <v>2984</v>
      </c>
      <c r="F1337" s="474"/>
      <c r="G1337" s="474">
        <v>2022</v>
      </c>
      <c r="H1337" s="474"/>
      <c r="I1337" s="474" t="s">
        <v>1676</v>
      </c>
      <c r="J1337" s="556"/>
      <c r="K1337" s="483" t="s">
        <v>5370</v>
      </c>
      <c r="L1337" s="474" t="s">
        <v>3361</v>
      </c>
      <c r="M1337" s="487">
        <v>44669</v>
      </c>
      <c r="N1337" s="487">
        <v>44900</v>
      </c>
      <c r="O1337" s="487"/>
      <c r="P1337" s="475"/>
      <c r="Q1337" s="475"/>
      <c r="R1337" s="475"/>
      <c r="S1337" s="474" t="s">
        <v>1563</v>
      </c>
      <c r="T1337" s="474">
        <v>72</v>
      </c>
      <c r="U1337" s="474" t="s">
        <v>3362</v>
      </c>
      <c r="V1337" s="474" t="s">
        <v>1070</v>
      </c>
      <c r="W1337" s="474">
        <v>480</v>
      </c>
      <c r="X1337" s="476">
        <v>580</v>
      </c>
      <c r="Y1337" s="491">
        <f>X1337*W1337</f>
        <v>278400</v>
      </c>
      <c r="Z1337" s="478">
        <v>0.56000000000000005</v>
      </c>
      <c r="AA1337" s="492">
        <f>Z1337*Y1337</f>
        <v>155904.00000000003</v>
      </c>
      <c r="AB1337" s="480"/>
      <c r="AC1337" s="481">
        <f>AB1337*Y1337</f>
        <v>0</v>
      </c>
      <c r="AD1337" s="490"/>
      <c r="AE1337" s="482"/>
      <c r="AF1337" s="493">
        <f>AE1337+AD1337+AA1337</f>
        <v>155904.00000000003</v>
      </c>
      <c r="AG1337" s="474" t="s">
        <v>1071</v>
      </c>
      <c r="AH1337" s="474"/>
      <c r="AI1337" s="483">
        <v>60</v>
      </c>
      <c r="AJ1337" s="474" t="s">
        <v>1575</v>
      </c>
      <c r="AK1337" s="494" t="s">
        <v>50</v>
      </c>
      <c r="AL1337" s="474">
        <v>94544</v>
      </c>
      <c r="AM1337" s="474" t="s">
        <v>52</v>
      </c>
      <c r="AN1337" s="474"/>
      <c r="AO1337" s="474"/>
      <c r="AP1337" s="486"/>
      <c r="AQ1337" s="486" t="s">
        <v>37</v>
      </c>
      <c r="AR1337" s="474"/>
      <c r="AS1337" s="495"/>
      <c r="AT1337" s="495"/>
      <c r="AU1337" s="478">
        <v>0.80577777777000004</v>
      </c>
    </row>
    <row r="1338" spans="1:47" s="471" customFormat="1">
      <c r="A1338" s="472"/>
      <c r="B1338" s="514">
        <v>44671</v>
      </c>
      <c r="C1338" s="514">
        <v>44671</v>
      </c>
      <c r="D1338" s="485" t="s">
        <v>3186</v>
      </c>
      <c r="E1338" s="474" t="s">
        <v>2984</v>
      </c>
      <c r="F1338" s="474"/>
      <c r="G1338" s="474">
        <v>2022</v>
      </c>
      <c r="H1338" s="474"/>
      <c r="I1338" s="474" t="s">
        <v>1676</v>
      </c>
      <c r="J1338" s="556"/>
      <c r="K1338" s="483" t="s">
        <v>5369</v>
      </c>
      <c r="L1338" s="474" t="s">
        <v>3361</v>
      </c>
      <c r="M1338" s="487">
        <v>44669</v>
      </c>
      <c r="N1338" s="487">
        <v>44872</v>
      </c>
      <c r="O1338" s="487"/>
      <c r="P1338" s="475"/>
      <c r="Q1338" s="475"/>
      <c r="R1338" s="475"/>
      <c r="S1338" s="474" t="s">
        <v>1563</v>
      </c>
      <c r="T1338" s="474">
        <v>72</v>
      </c>
      <c r="U1338" s="474" t="s">
        <v>3362</v>
      </c>
      <c r="V1338" s="474" t="s">
        <v>1070</v>
      </c>
      <c r="W1338" s="474">
        <v>480</v>
      </c>
      <c r="X1338" s="476">
        <v>1160</v>
      </c>
      <c r="Y1338" s="491">
        <f>X1338*W1338</f>
        <v>556800</v>
      </c>
      <c r="Z1338" s="478">
        <v>0.56000000000000005</v>
      </c>
      <c r="AA1338" s="492">
        <f>Z1338*Y1338</f>
        <v>311808.00000000006</v>
      </c>
      <c r="AB1338" s="480"/>
      <c r="AC1338" s="481">
        <f>AB1338*Y1338</f>
        <v>0</v>
      </c>
      <c r="AD1338" s="490"/>
      <c r="AE1338" s="482"/>
      <c r="AF1338" s="493">
        <f>AE1338+AD1338+AA1338</f>
        <v>311808.00000000006</v>
      </c>
      <c r="AG1338" s="474" t="s">
        <v>1071</v>
      </c>
      <c r="AH1338" s="474"/>
      <c r="AI1338" s="483">
        <v>60</v>
      </c>
      <c r="AJ1338" s="474" t="s">
        <v>1575</v>
      </c>
      <c r="AK1338" s="494" t="s">
        <v>50</v>
      </c>
      <c r="AL1338" s="474">
        <v>94544</v>
      </c>
      <c r="AM1338" s="474" t="s">
        <v>52</v>
      </c>
      <c r="AN1338" s="474"/>
      <c r="AO1338" s="474"/>
      <c r="AP1338" s="486"/>
      <c r="AQ1338" s="486" t="s">
        <v>37</v>
      </c>
      <c r="AR1338" s="474"/>
      <c r="AS1338" s="495"/>
      <c r="AT1338" s="495"/>
      <c r="AU1338" s="478">
        <v>0.80577777777000004</v>
      </c>
    </row>
    <row r="1339" spans="1:47" s="471" customFormat="1">
      <c r="A1339" s="472"/>
      <c r="B1339" s="514">
        <v>44671</v>
      </c>
      <c r="C1339" s="514">
        <v>44671</v>
      </c>
      <c r="D1339" s="485" t="s">
        <v>3186</v>
      </c>
      <c r="E1339" s="474" t="s">
        <v>2984</v>
      </c>
      <c r="F1339" s="474"/>
      <c r="G1339" s="474">
        <v>2022</v>
      </c>
      <c r="H1339" s="474"/>
      <c r="I1339" s="474" t="s">
        <v>1676</v>
      </c>
      <c r="J1339" s="556"/>
      <c r="K1339" s="483" t="s">
        <v>5368</v>
      </c>
      <c r="L1339" s="474" t="s">
        <v>3361</v>
      </c>
      <c r="M1339" s="487">
        <v>44669</v>
      </c>
      <c r="N1339" s="487">
        <v>44837</v>
      </c>
      <c r="O1339" s="487"/>
      <c r="P1339" s="475"/>
      <c r="Q1339" s="475"/>
      <c r="R1339" s="475"/>
      <c r="S1339" s="474" t="s">
        <v>1563</v>
      </c>
      <c r="T1339" s="474">
        <v>72</v>
      </c>
      <c r="U1339" s="474" t="s">
        <v>3362</v>
      </c>
      <c r="V1339" s="474" t="s">
        <v>1070</v>
      </c>
      <c r="W1339" s="474">
        <v>480</v>
      </c>
      <c r="X1339" s="476">
        <v>1160</v>
      </c>
      <c r="Y1339" s="491">
        <f>X1339*W1339</f>
        <v>556800</v>
      </c>
      <c r="Z1339" s="478">
        <v>0.56000000000000005</v>
      </c>
      <c r="AA1339" s="492">
        <f>Z1339*Y1339</f>
        <v>311808.00000000006</v>
      </c>
      <c r="AB1339" s="480"/>
      <c r="AC1339" s="481">
        <f>AB1339*Y1339</f>
        <v>0</v>
      </c>
      <c r="AD1339" s="490"/>
      <c r="AE1339" s="482"/>
      <c r="AF1339" s="493">
        <f>AE1339+AD1339+AA1339</f>
        <v>311808.00000000006</v>
      </c>
      <c r="AG1339" s="474" t="s">
        <v>1071</v>
      </c>
      <c r="AH1339" s="474"/>
      <c r="AI1339" s="483">
        <v>60</v>
      </c>
      <c r="AJ1339" s="474" t="s">
        <v>1575</v>
      </c>
      <c r="AK1339" s="494" t="s">
        <v>50</v>
      </c>
      <c r="AL1339" s="474">
        <v>94544</v>
      </c>
      <c r="AM1339" s="474" t="s">
        <v>52</v>
      </c>
      <c r="AN1339" s="474"/>
      <c r="AO1339" s="474"/>
      <c r="AP1339" s="486"/>
      <c r="AQ1339" s="486" t="s">
        <v>37</v>
      </c>
      <c r="AR1339" s="474"/>
      <c r="AS1339" s="495"/>
      <c r="AT1339" s="495"/>
      <c r="AU1339" s="478">
        <v>0.80577777777000004</v>
      </c>
    </row>
    <row r="1340" spans="1:47" s="471" customFormat="1">
      <c r="A1340" s="472"/>
      <c r="B1340" s="514">
        <v>44671</v>
      </c>
      <c r="C1340" s="514">
        <v>44671</v>
      </c>
      <c r="D1340" s="485" t="s">
        <v>3186</v>
      </c>
      <c r="E1340" s="474" t="s">
        <v>2984</v>
      </c>
      <c r="F1340" s="474"/>
      <c r="G1340" s="474">
        <v>2022</v>
      </c>
      <c r="H1340" s="474"/>
      <c r="I1340" s="474" t="s">
        <v>1676</v>
      </c>
      <c r="J1340" s="556"/>
      <c r="K1340" s="483" t="s">
        <v>5367</v>
      </c>
      <c r="L1340" s="474" t="s">
        <v>3361</v>
      </c>
      <c r="M1340" s="487">
        <v>44669</v>
      </c>
      <c r="N1340" s="487">
        <v>44809</v>
      </c>
      <c r="O1340" s="487"/>
      <c r="P1340" s="475"/>
      <c r="Q1340" s="475"/>
      <c r="R1340" s="475"/>
      <c r="S1340" s="474" t="s">
        <v>1563</v>
      </c>
      <c r="T1340" s="474">
        <v>72</v>
      </c>
      <c r="U1340" s="474" t="s">
        <v>3362</v>
      </c>
      <c r="V1340" s="474" t="s">
        <v>1070</v>
      </c>
      <c r="W1340" s="474">
        <v>480</v>
      </c>
      <c r="X1340" s="476">
        <v>1160</v>
      </c>
      <c r="Y1340" s="491">
        <f>X1340*W1340</f>
        <v>556800</v>
      </c>
      <c r="Z1340" s="478">
        <v>0.56000000000000005</v>
      </c>
      <c r="AA1340" s="492">
        <f>Z1340*Y1340</f>
        <v>311808.00000000006</v>
      </c>
      <c r="AB1340" s="480"/>
      <c r="AC1340" s="481">
        <f>AB1340*Y1340</f>
        <v>0</v>
      </c>
      <c r="AD1340" s="490"/>
      <c r="AE1340" s="482"/>
      <c r="AF1340" s="493">
        <f>AE1340+AD1340+AA1340</f>
        <v>311808.00000000006</v>
      </c>
      <c r="AG1340" s="474" t="s">
        <v>1071</v>
      </c>
      <c r="AH1340" s="474"/>
      <c r="AI1340" s="483">
        <v>60</v>
      </c>
      <c r="AJ1340" s="474" t="s">
        <v>1575</v>
      </c>
      <c r="AK1340" s="494" t="s">
        <v>50</v>
      </c>
      <c r="AL1340" s="474">
        <v>94544</v>
      </c>
      <c r="AM1340" s="474" t="s">
        <v>52</v>
      </c>
      <c r="AN1340" s="474"/>
      <c r="AO1340" s="474"/>
      <c r="AP1340" s="486"/>
      <c r="AQ1340" s="486" t="s">
        <v>37</v>
      </c>
      <c r="AR1340" s="474"/>
      <c r="AS1340" s="495"/>
      <c r="AT1340" s="495"/>
      <c r="AU1340" s="478">
        <v>0.80577777777000004</v>
      </c>
    </row>
    <row r="1341" spans="1:47" s="471" customFormat="1">
      <c r="A1341" s="472"/>
      <c r="B1341" s="514">
        <v>44671</v>
      </c>
      <c r="C1341" s="514">
        <v>44671</v>
      </c>
      <c r="D1341" s="485" t="s">
        <v>3186</v>
      </c>
      <c r="E1341" s="474" t="s">
        <v>2984</v>
      </c>
      <c r="F1341" s="474"/>
      <c r="G1341" s="474">
        <v>2022</v>
      </c>
      <c r="H1341" s="474"/>
      <c r="I1341" s="474" t="s">
        <v>1676</v>
      </c>
      <c r="J1341" s="556"/>
      <c r="K1341" s="483" t="s">
        <v>5366</v>
      </c>
      <c r="L1341" s="474" t="s">
        <v>3361</v>
      </c>
      <c r="M1341" s="487">
        <v>44669</v>
      </c>
      <c r="N1341" s="487">
        <v>44774</v>
      </c>
      <c r="O1341" s="487"/>
      <c r="P1341" s="475"/>
      <c r="Q1341" s="475"/>
      <c r="R1341" s="475"/>
      <c r="S1341" s="474" t="s">
        <v>1563</v>
      </c>
      <c r="T1341" s="474">
        <v>72</v>
      </c>
      <c r="U1341" s="474" t="s">
        <v>3362</v>
      </c>
      <c r="V1341" s="474" t="s">
        <v>1070</v>
      </c>
      <c r="W1341" s="474">
        <v>480</v>
      </c>
      <c r="X1341" s="476">
        <v>1740</v>
      </c>
      <c r="Y1341" s="491">
        <f>X1341*W1341</f>
        <v>835200</v>
      </c>
      <c r="Z1341" s="478">
        <v>0.56000000000000005</v>
      </c>
      <c r="AA1341" s="492">
        <f>Z1341*Y1341</f>
        <v>467712.00000000006</v>
      </c>
      <c r="AB1341" s="480"/>
      <c r="AC1341" s="481">
        <f>AB1341*Y1341</f>
        <v>0</v>
      </c>
      <c r="AD1341" s="490"/>
      <c r="AE1341" s="482"/>
      <c r="AF1341" s="493">
        <f>AE1341+AD1341+AA1341</f>
        <v>467712.00000000006</v>
      </c>
      <c r="AG1341" s="474" t="s">
        <v>1071</v>
      </c>
      <c r="AH1341" s="474"/>
      <c r="AI1341" s="483">
        <v>60</v>
      </c>
      <c r="AJ1341" s="474" t="s">
        <v>1575</v>
      </c>
      <c r="AK1341" s="494" t="s">
        <v>50</v>
      </c>
      <c r="AL1341" s="474">
        <v>94544</v>
      </c>
      <c r="AM1341" s="474" t="s">
        <v>52</v>
      </c>
      <c r="AN1341" s="474"/>
      <c r="AO1341" s="474"/>
      <c r="AP1341" s="486"/>
      <c r="AQ1341" s="486" t="s">
        <v>37</v>
      </c>
      <c r="AR1341" s="474"/>
      <c r="AS1341" s="495"/>
      <c r="AT1341" s="495"/>
      <c r="AU1341" s="478">
        <v>0.80577777777000004</v>
      </c>
    </row>
    <row r="1342" spans="1:47" s="471" customFormat="1">
      <c r="A1342" s="472"/>
      <c r="B1342" s="514">
        <v>44671</v>
      </c>
      <c r="C1342" s="514">
        <v>44671</v>
      </c>
      <c r="D1342" s="485" t="s">
        <v>3186</v>
      </c>
      <c r="E1342" s="474" t="s">
        <v>2984</v>
      </c>
      <c r="F1342" s="474"/>
      <c r="G1342" s="474">
        <v>2022</v>
      </c>
      <c r="H1342" s="474"/>
      <c r="I1342" s="474" t="s">
        <v>1676</v>
      </c>
      <c r="J1342" s="556"/>
      <c r="K1342" s="483" t="s">
        <v>5365</v>
      </c>
      <c r="L1342" s="474" t="s">
        <v>3361</v>
      </c>
      <c r="M1342" s="487">
        <v>44669</v>
      </c>
      <c r="N1342" s="487">
        <v>44746</v>
      </c>
      <c r="O1342" s="487"/>
      <c r="P1342" s="475"/>
      <c r="Q1342" s="475"/>
      <c r="R1342" s="475"/>
      <c r="S1342" s="474" t="s">
        <v>1563</v>
      </c>
      <c r="T1342" s="474">
        <v>72</v>
      </c>
      <c r="U1342" s="474" t="s">
        <v>3362</v>
      </c>
      <c r="V1342" s="474" t="s">
        <v>1070</v>
      </c>
      <c r="W1342" s="474">
        <v>480</v>
      </c>
      <c r="X1342" s="476">
        <v>3480</v>
      </c>
      <c r="Y1342" s="491">
        <f>X1342*W1342</f>
        <v>1670400</v>
      </c>
      <c r="Z1342" s="478">
        <v>0.56000000000000005</v>
      </c>
      <c r="AA1342" s="492">
        <f>Z1342*Y1342</f>
        <v>935424.00000000012</v>
      </c>
      <c r="AB1342" s="480"/>
      <c r="AC1342" s="481">
        <f>AB1342*Y1342</f>
        <v>0</v>
      </c>
      <c r="AD1342" s="490"/>
      <c r="AE1342" s="482"/>
      <c r="AF1342" s="493">
        <f>AE1342+AD1342+AA1342</f>
        <v>935424.00000000012</v>
      </c>
      <c r="AG1342" s="474" t="s">
        <v>1071</v>
      </c>
      <c r="AH1342" s="474"/>
      <c r="AI1342" s="483">
        <v>60</v>
      </c>
      <c r="AJ1342" s="474" t="s">
        <v>1575</v>
      </c>
      <c r="AK1342" s="494" t="s">
        <v>50</v>
      </c>
      <c r="AL1342" s="474">
        <v>94544</v>
      </c>
      <c r="AM1342" s="474" t="s">
        <v>52</v>
      </c>
      <c r="AN1342" s="474"/>
      <c r="AO1342" s="474"/>
      <c r="AP1342" s="486"/>
      <c r="AQ1342" s="486" t="s">
        <v>37</v>
      </c>
      <c r="AR1342" s="474"/>
      <c r="AS1342" s="495"/>
      <c r="AT1342" s="495"/>
      <c r="AU1342" s="478">
        <v>0.80577777777000004</v>
      </c>
    </row>
    <row r="1343" spans="1:47" s="471" customFormat="1">
      <c r="A1343" s="472"/>
      <c r="B1343" s="514">
        <v>44665</v>
      </c>
      <c r="C1343" s="514">
        <v>44665</v>
      </c>
      <c r="D1343" s="485" t="s">
        <v>3186</v>
      </c>
      <c r="E1343" s="474" t="s">
        <v>2984</v>
      </c>
      <c r="F1343" s="474"/>
      <c r="G1343" s="474">
        <v>2022</v>
      </c>
      <c r="H1343" s="474">
        <v>8</v>
      </c>
      <c r="I1343" s="474" t="s">
        <v>1676</v>
      </c>
      <c r="J1343" s="556"/>
      <c r="K1343" s="483" t="s">
        <v>4948</v>
      </c>
      <c r="L1343" s="474" t="s">
        <v>3361</v>
      </c>
      <c r="M1343" s="487">
        <v>44663</v>
      </c>
      <c r="N1343" s="487">
        <v>44777</v>
      </c>
      <c r="O1343" s="487"/>
      <c r="P1343" s="475"/>
      <c r="Q1343" s="475"/>
      <c r="R1343" s="475"/>
      <c r="S1343" s="474" t="s">
        <v>3353</v>
      </c>
      <c r="T1343" s="474">
        <v>60</v>
      </c>
      <c r="U1343" s="474"/>
      <c r="V1343" s="474" t="s">
        <v>986</v>
      </c>
      <c r="W1343" s="474">
        <v>360</v>
      </c>
      <c r="X1343" s="476">
        <v>832</v>
      </c>
      <c r="Y1343" s="491">
        <f>X1343*W1343</f>
        <v>299520</v>
      </c>
      <c r="Z1343" s="478">
        <v>0.505</v>
      </c>
      <c r="AA1343" s="492">
        <f>Z1343*Y1343</f>
        <v>151257.60000000001</v>
      </c>
      <c r="AB1343" s="480"/>
      <c r="AC1343" s="481">
        <f>AB1343*Y1343</f>
        <v>0</v>
      </c>
      <c r="AD1343" s="490"/>
      <c r="AE1343" s="482"/>
      <c r="AF1343" s="493">
        <f>AE1343+AD1343+AA1343</f>
        <v>151257.60000000001</v>
      </c>
      <c r="AG1343" s="474" t="s">
        <v>1071</v>
      </c>
      <c r="AH1343" s="474"/>
      <c r="AI1343" s="483">
        <v>60</v>
      </c>
      <c r="AJ1343" s="474" t="s">
        <v>2277</v>
      </c>
      <c r="AK1343" s="494" t="s">
        <v>1084</v>
      </c>
      <c r="AL1343" s="474">
        <v>32809</v>
      </c>
      <c r="AM1343" s="474" t="s">
        <v>52</v>
      </c>
      <c r="AN1343" s="474"/>
      <c r="AO1343" s="474"/>
      <c r="AP1343" s="486"/>
      <c r="AQ1343" s="486" t="s">
        <v>37</v>
      </c>
      <c r="AR1343" s="486" t="s">
        <v>4921</v>
      </c>
      <c r="AS1343" s="495"/>
      <c r="AT1343" s="495"/>
      <c r="AU1343" s="478">
        <v>0.80577777777000004</v>
      </c>
    </row>
    <row r="1344" spans="1:47" s="471" customFormat="1">
      <c r="A1344" s="472"/>
      <c r="B1344" s="514">
        <v>44666</v>
      </c>
      <c r="C1344" s="514">
        <v>44665</v>
      </c>
      <c r="D1344" s="485" t="s">
        <v>3186</v>
      </c>
      <c r="E1344" s="474" t="s">
        <v>2984</v>
      </c>
      <c r="F1344" s="474"/>
      <c r="G1344" s="474">
        <v>2022</v>
      </c>
      <c r="H1344" s="474">
        <v>8</v>
      </c>
      <c r="I1344" s="474" t="s">
        <v>1676</v>
      </c>
      <c r="J1344" s="556"/>
      <c r="K1344" s="483" t="s">
        <v>4947</v>
      </c>
      <c r="L1344" s="474" t="s">
        <v>3361</v>
      </c>
      <c r="M1344" s="487">
        <v>44662</v>
      </c>
      <c r="N1344" s="487">
        <v>44697</v>
      </c>
      <c r="O1344" s="487"/>
      <c r="P1344" s="475"/>
      <c r="Q1344" s="475"/>
      <c r="R1344" s="475"/>
      <c r="S1344" s="474" t="s">
        <v>3353</v>
      </c>
      <c r="T1344" s="474">
        <v>60</v>
      </c>
      <c r="U1344" s="474"/>
      <c r="V1344" s="474" t="s">
        <v>986</v>
      </c>
      <c r="W1344" s="474">
        <v>360</v>
      </c>
      <c r="X1344" s="476">
        <v>832</v>
      </c>
      <c r="Y1344" s="491">
        <f>X1344*W1344</f>
        <v>299520</v>
      </c>
      <c r="Z1344" s="478">
        <v>0.505</v>
      </c>
      <c r="AA1344" s="492">
        <f>Z1344*Y1344</f>
        <v>151257.60000000001</v>
      </c>
      <c r="AB1344" s="480"/>
      <c r="AC1344" s="481">
        <f>AB1344*Y1344</f>
        <v>0</v>
      </c>
      <c r="AD1344" s="490"/>
      <c r="AE1344" s="482"/>
      <c r="AF1344" s="493">
        <f>AE1344+AD1344+AA1344</f>
        <v>151257.60000000001</v>
      </c>
      <c r="AG1344" s="474" t="s">
        <v>1071</v>
      </c>
      <c r="AH1344" s="474"/>
      <c r="AI1344" s="483">
        <v>60</v>
      </c>
      <c r="AJ1344" s="474" t="s">
        <v>2277</v>
      </c>
      <c r="AK1344" s="494" t="s">
        <v>1084</v>
      </c>
      <c r="AL1344" s="474">
        <v>32809</v>
      </c>
      <c r="AM1344" s="474" t="s">
        <v>52</v>
      </c>
      <c r="AN1344" s="474"/>
      <c r="AO1344" s="474"/>
      <c r="AP1344" s="486"/>
      <c r="AQ1344" s="486" t="s">
        <v>37</v>
      </c>
      <c r="AR1344" s="486" t="s">
        <v>4921</v>
      </c>
      <c r="AS1344" s="495"/>
      <c r="AT1344" s="495"/>
      <c r="AU1344" s="478">
        <v>0.80577777777000004</v>
      </c>
    </row>
    <row r="1345" spans="1:55" s="471" customFormat="1">
      <c r="A1345" s="472"/>
      <c r="B1345" s="514">
        <v>44652</v>
      </c>
      <c r="C1345" s="589">
        <v>44671</v>
      </c>
      <c r="D1345" s="512" t="s">
        <v>3186</v>
      </c>
      <c r="E1345" s="501" t="s">
        <v>3356</v>
      </c>
      <c r="F1345" s="501"/>
      <c r="G1345" s="501">
        <v>2022</v>
      </c>
      <c r="H1345" s="501">
        <v>5</v>
      </c>
      <c r="I1345" s="501" t="s">
        <v>1676</v>
      </c>
      <c r="J1345" s="513"/>
      <c r="K1345" s="503" t="s">
        <v>4946</v>
      </c>
      <c r="L1345" s="501" t="s">
        <v>3361</v>
      </c>
      <c r="M1345" s="504">
        <v>44649</v>
      </c>
      <c r="N1345" s="504">
        <v>44690</v>
      </c>
      <c r="O1345" s="504"/>
      <c r="P1345" s="502"/>
      <c r="Q1345" s="502"/>
      <c r="R1345" s="502"/>
      <c r="S1345" s="501" t="s">
        <v>3353</v>
      </c>
      <c r="T1345" s="501">
        <v>60</v>
      </c>
      <c r="U1345" s="501"/>
      <c r="V1345" s="501" t="s">
        <v>973</v>
      </c>
      <c r="W1345" s="501">
        <v>400</v>
      </c>
      <c r="X1345" s="505">
        <v>768</v>
      </c>
      <c r="Y1345" s="491">
        <f>X1345*W1345</f>
        <v>307200</v>
      </c>
      <c r="Z1345" s="478">
        <v>0.52500000000000002</v>
      </c>
      <c r="AA1345" s="492">
        <f>Z1345*Y1345</f>
        <v>161280</v>
      </c>
      <c r="AB1345" s="480"/>
      <c r="AC1345" s="481">
        <f>AB1345*Y1345</f>
        <v>0</v>
      </c>
      <c r="AD1345" s="490"/>
      <c r="AE1345" s="482"/>
      <c r="AF1345" s="493">
        <f>AE1345+AD1345+AA1345</f>
        <v>161280</v>
      </c>
      <c r="AG1345" s="474" t="s">
        <v>1071</v>
      </c>
      <c r="AH1345" s="474"/>
      <c r="AI1345" s="483">
        <v>60</v>
      </c>
      <c r="AJ1345" s="474" t="s">
        <v>1593</v>
      </c>
      <c r="AK1345" s="494" t="s">
        <v>1144</v>
      </c>
      <c r="AL1345" s="474">
        <v>78744</v>
      </c>
      <c r="AM1345" s="474" t="s">
        <v>52</v>
      </c>
      <c r="AN1345" s="474"/>
      <c r="AO1345" s="474"/>
      <c r="AP1345" s="486"/>
      <c r="AQ1345" s="486" t="s">
        <v>37</v>
      </c>
      <c r="AR1345" s="486" t="s">
        <v>4921</v>
      </c>
      <c r="AS1345" s="495"/>
      <c r="AT1345" s="495"/>
      <c r="AU1345" s="478">
        <v>0.80577777777000004</v>
      </c>
    </row>
    <row r="1346" spans="1:55" s="471" customFormat="1">
      <c r="A1346" s="472"/>
      <c r="B1346" s="515">
        <v>44652</v>
      </c>
      <c r="C1346" s="515">
        <v>44652</v>
      </c>
      <c r="D1346" s="485" t="s">
        <v>3186</v>
      </c>
      <c r="E1346" s="474" t="s">
        <v>1283</v>
      </c>
      <c r="F1346" s="474"/>
      <c r="G1346" s="474">
        <v>2022</v>
      </c>
      <c r="H1346" s="474">
        <v>5</v>
      </c>
      <c r="I1346" s="474" t="s">
        <v>1676</v>
      </c>
      <c r="J1346" s="475"/>
      <c r="K1346" s="483" t="s">
        <v>3455</v>
      </c>
      <c r="L1346" s="474" t="s">
        <v>3361</v>
      </c>
      <c r="M1346" s="487">
        <v>44645</v>
      </c>
      <c r="N1346" s="487">
        <v>44708</v>
      </c>
      <c r="O1346" s="487"/>
      <c r="P1346" s="475"/>
      <c r="Q1346" s="475"/>
      <c r="R1346" s="475"/>
      <c r="S1346" s="474" t="s">
        <v>2379</v>
      </c>
      <c r="T1346" s="474">
        <v>72</v>
      </c>
      <c r="U1346" s="474">
        <v>49303154</v>
      </c>
      <c r="V1346" s="474" t="s">
        <v>1050</v>
      </c>
      <c r="W1346" s="474">
        <v>470</v>
      </c>
      <c r="X1346" s="476">
        <v>696</v>
      </c>
      <c r="Y1346" s="477">
        <f>X1346*W1346</f>
        <v>327120</v>
      </c>
      <c r="Z1346" s="478">
        <v>0.5</v>
      </c>
      <c r="AA1346" s="479">
        <f>Z1346*Y1346</f>
        <v>163560</v>
      </c>
      <c r="AB1346" s="480"/>
      <c r="AC1346" s="481">
        <v>0</v>
      </c>
      <c r="AD1346" s="490"/>
      <c r="AE1346" s="482"/>
      <c r="AF1346" s="493">
        <v>99180</v>
      </c>
      <c r="AG1346" s="474" t="s">
        <v>1071</v>
      </c>
      <c r="AH1346" s="474"/>
      <c r="AI1346" s="483">
        <v>60</v>
      </c>
      <c r="AJ1346" s="474" t="s">
        <v>1384</v>
      </c>
      <c r="AK1346" s="494" t="s">
        <v>1144</v>
      </c>
      <c r="AL1346" s="474" t="s">
        <v>3427</v>
      </c>
      <c r="AM1346" s="474" t="s">
        <v>52</v>
      </c>
      <c r="AN1346" s="474" t="s">
        <v>1106</v>
      </c>
      <c r="AO1346" s="474"/>
      <c r="AP1346" s="486"/>
      <c r="AQ1346" s="486" t="s">
        <v>37</v>
      </c>
      <c r="AR1346" s="486"/>
      <c r="AS1346" s="495"/>
      <c r="AT1346" s="495"/>
      <c r="AU1346" s="478"/>
    </row>
    <row r="1347" spans="1:55" s="471" customFormat="1">
      <c r="A1347" s="472"/>
      <c r="B1347" s="515">
        <v>44654</v>
      </c>
      <c r="C1347" s="515">
        <v>44671</v>
      </c>
      <c r="D1347" s="485" t="s">
        <v>3186</v>
      </c>
      <c r="E1347" s="474" t="s">
        <v>5577</v>
      </c>
      <c r="F1347" s="474"/>
      <c r="G1347" s="474">
        <v>2022</v>
      </c>
      <c r="H1347" s="474">
        <v>4</v>
      </c>
      <c r="I1347" s="474"/>
      <c r="J1347" s="475" t="s">
        <v>5752</v>
      </c>
      <c r="K1347" s="483" t="s">
        <v>3426</v>
      </c>
      <c r="L1347" s="474" t="s">
        <v>3266</v>
      </c>
      <c r="M1347" s="487">
        <v>44646</v>
      </c>
      <c r="N1347" s="487">
        <v>44679</v>
      </c>
      <c r="O1347" s="487"/>
      <c r="P1347" s="475">
        <v>44671</v>
      </c>
      <c r="Q1347" s="475">
        <v>44677</v>
      </c>
      <c r="R1347" s="475">
        <v>44679</v>
      </c>
      <c r="S1347" s="474" t="s">
        <v>2379</v>
      </c>
      <c r="T1347" s="474">
        <v>72</v>
      </c>
      <c r="U1347" s="474">
        <v>49303154</v>
      </c>
      <c r="V1347" s="474" t="s">
        <v>1050</v>
      </c>
      <c r="W1347" s="474">
        <v>470</v>
      </c>
      <c r="X1347" s="476">
        <v>696</v>
      </c>
      <c r="Y1347" s="477">
        <f>X1347*W1347</f>
        <v>327120</v>
      </c>
      <c r="Z1347" s="478">
        <v>0.5</v>
      </c>
      <c r="AA1347" s="479">
        <f>Z1347*Y1347</f>
        <v>163560</v>
      </c>
      <c r="AB1347" s="480"/>
      <c r="AC1347" s="481">
        <v>0</v>
      </c>
      <c r="AD1347" s="490"/>
      <c r="AE1347" s="482"/>
      <c r="AF1347" s="493">
        <f>AA1347+AD1347+AE1347</f>
        <v>163560</v>
      </c>
      <c r="AG1347" s="474" t="s">
        <v>1071</v>
      </c>
      <c r="AH1347" s="474"/>
      <c r="AI1347" s="483">
        <v>60</v>
      </c>
      <c r="AJ1347" s="474" t="s">
        <v>1593</v>
      </c>
      <c r="AK1347" s="494" t="s">
        <v>1144</v>
      </c>
      <c r="AL1347" s="474" t="s">
        <v>3427</v>
      </c>
      <c r="AM1347" s="474" t="s">
        <v>52</v>
      </c>
      <c r="AN1347" s="474" t="s">
        <v>1106</v>
      </c>
      <c r="AO1347" s="474"/>
      <c r="AP1347" s="486"/>
      <c r="AQ1347" s="486" t="s">
        <v>37</v>
      </c>
      <c r="AR1347" s="486"/>
      <c r="AS1347" s="495"/>
      <c r="AT1347" s="495"/>
      <c r="AU1347" s="478"/>
    </row>
    <row r="1348" spans="1:55" s="471" customFormat="1">
      <c r="A1348" s="472"/>
      <c r="B1348" s="515">
        <v>44615</v>
      </c>
      <c r="C1348" s="515">
        <v>44614</v>
      </c>
      <c r="D1348" s="485" t="s">
        <v>3186</v>
      </c>
      <c r="E1348" s="474"/>
      <c r="F1348" s="474"/>
      <c r="G1348" s="474">
        <v>2022</v>
      </c>
      <c r="H1348" s="474">
        <v>5</v>
      </c>
      <c r="I1348" s="474"/>
      <c r="J1348" s="475"/>
      <c r="K1348" s="483" t="s">
        <v>3359</v>
      </c>
      <c r="L1348" s="474" t="s">
        <v>3278</v>
      </c>
      <c r="M1348" s="487">
        <v>44613</v>
      </c>
      <c r="N1348" s="487">
        <v>44652</v>
      </c>
      <c r="O1348" s="487"/>
      <c r="P1348" s="475"/>
      <c r="Q1348" s="475"/>
      <c r="R1348" s="475"/>
      <c r="S1348" s="474" t="s">
        <v>2379</v>
      </c>
      <c r="T1348" s="474">
        <v>72</v>
      </c>
      <c r="U1348" s="474" t="s">
        <v>1082</v>
      </c>
      <c r="V1348" s="474" t="s">
        <v>1050</v>
      </c>
      <c r="W1348" s="474">
        <v>475</v>
      </c>
      <c r="X1348" s="476">
        <v>290</v>
      </c>
      <c r="Y1348" s="477">
        <f>X1348*W1348</f>
        <v>137750</v>
      </c>
      <c r="Z1348" s="478">
        <v>0.505</v>
      </c>
      <c r="AA1348" s="479">
        <f>Z1348*Y1348</f>
        <v>69563.75</v>
      </c>
      <c r="AB1348" s="480"/>
      <c r="AC1348" s="481">
        <f>AB1348*Y1348</f>
        <v>0</v>
      </c>
      <c r="AD1348" s="490"/>
      <c r="AE1348" s="482"/>
      <c r="AF1348" s="493">
        <f>AE1348+AD1348+AA1348</f>
        <v>69563.75</v>
      </c>
      <c r="AG1348" s="474" t="s">
        <v>1071</v>
      </c>
      <c r="AH1348" s="474"/>
      <c r="AI1348" s="483">
        <v>60</v>
      </c>
      <c r="AJ1348" s="474" t="s">
        <v>1593</v>
      </c>
      <c r="AK1348" s="494" t="s">
        <v>1144</v>
      </c>
      <c r="AL1348" s="474">
        <v>78744</v>
      </c>
      <c r="AM1348" s="474" t="s">
        <v>52</v>
      </c>
      <c r="AN1348" s="474"/>
      <c r="AO1348" s="474"/>
      <c r="AP1348" s="486"/>
      <c r="AQ1348" s="486" t="s">
        <v>37</v>
      </c>
      <c r="AR1348" s="486"/>
      <c r="AS1348" s="495" t="s">
        <v>1076</v>
      </c>
      <c r="AT1348" s="495" t="s">
        <v>1076</v>
      </c>
      <c r="AU1348" s="478">
        <v>0.505</v>
      </c>
    </row>
    <row r="1349" spans="1:55" s="471" customFormat="1">
      <c r="A1349" s="472"/>
      <c r="B1349" s="472"/>
      <c r="C1349" s="472"/>
      <c r="D1349" s="557" t="s">
        <v>3186</v>
      </c>
      <c r="E1349" s="558" t="s">
        <v>3356</v>
      </c>
      <c r="F1349" s="558"/>
      <c r="G1349" s="558"/>
      <c r="H1349" s="547">
        <v>5</v>
      </c>
      <c r="I1349" s="558" t="s">
        <v>1676</v>
      </c>
      <c r="J1349" s="568"/>
      <c r="K1349" s="564" t="s">
        <v>3594</v>
      </c>
      <c r="L1349" s="558" t="s">
        <v>3361</v>
      </c>
      <c r="M1349" s="560">
        <v>44594</v>
      </c>
      <c r="N1349" s="560">
        <v>44718</v>
      </c>
      <c r="O1349" s="560"/>
      <c r="P1349" s="559"/>
      <c r="Q1349" s="559"/>
      <c r="R1349" s="559"/>
      <c r="S1349" s="558" t="s">
        <v>1563</v>
      </c>
      <c r="T1349" s="558">
        <v>60</v>
      </c>
      <c r="U1349" s="558"/>
      <c r="V1349" s="558" t="s">
        <v>973</v>
      </c>
      <c r="W1349" s="558">
        <v>400</v>
      </c>
      <c r="X1349" s="561">
        <v>384</v>
      </c>
      <c r="Y1349" s="491">
        <f>X1349*W1349</f>
        <v>153600</v>
      </c>
      <c r="Z1349" s="562">
        <v>0.52500000000000002</v>
      </c>
      <c r="AA1349" s="492">
        <f>Z1349*Y1349</f>
        <v>80640</v>
      </c>
      <c r="AB1349" s="480"/>
      <c r="AC1349" s="481">
        <f>AB1349*Y1349</f>
        <v>0</v>
      </c>
      <c r="AD1349" s="567"/>
      <c r="AE1349" s="563"/>
      <c r="AF1349" s="493">
        <f>AE1349+AD1349+AA1349</f>
        <v>80640</v>
      </c>
      <c r="AG1349" s="558" t="s">
        <v>1071</v>
      </c>
      <c r="AH1349" s="558"/>
      <c r="AI1349" s="564">
        <v>60</v>
      </c>
      <c r="AJ1349" s="558" t="s">
        <v>1575</v>
      </c>
      <c r="AK1349" s="565" t="s">
        <v>50</v>
      </c>
      <c r="AL1349" s="558">
        <v>94544</v>
      </c>
      <c r="AM1349" s="558" t="s">
        <v>52</v>
      </c>
      <c r="AN1349" s="558"/>
      <c r="AO1349" s="558"/>
      <c r="AP1349" s="566"/>
      <c r="AQ1349" s="566" t="s">
        <v>37</v>
      </c>
      <c r="AR1349" s="566"/>
      <c r="AS1349" s="495"/>
      <c r="AT1349" s="495"/>
      <c r="AU1349" s="478">
        <v>0.80577777777000004</v>
      </c>
    </row>
    <row r="1350" spans="1:55" s="471" customFormat="1">
      <c r="A1350" s="472"/>
      <c r="B1350" s="514">
        <v>44665</v>
      </c>
      <c r="C1350" s="514">
        <v>44665</v>
      </c>
      <c r="D1350" s="485" t="s">
        <v>3186</v>
      </c>
      <c r="E1350" s="474" t="s">
        <v>2984</v>
      </c>
      <c r="F1350" s="474"/>
      <c r="G1350" s="474">
        <v>2022</v>
      </c>
      <c r="H1350" s="474">
        <v>8</v>
      </c>
      <c r="I1350" s="474" t="s">
        <v>1676</v>
      </c>
      <c r="J1350" s="556"/>
      <c r="K1350" s="483" t="s">
        <v>4916</v>
      </c>
      <c r="L1350" s="474" t="s">
        <v>3361</v>
      </c>
      <c r="M1350" s="487">
        <v>44594</v>
      </c>
      <c r="N1350" s="487">
        <v>44655</v>
      </c>
      <c r="O1350" s="487"/>
      <c r="P1350" s="475"/>
      <c r="Q1350" s="475"/>
      <c r="R1350" s="475"/>
      <c r="S1350" s="474" t="s">
        <v>1563</v>
      </c>
      <c r="T1350" s="474">
        <v>60</v>
      </c>
      <c r="U1350" s="474"/>
      <c r="V1350" s="474" t="s">
        <v>986</v>
      </c>
      <c r="W1350" s="474">
        <v>360</v>
      </c>
      <c r="X1350" s="476">
        <v>3168</v>
      </c>
      <c r="Y1350" s="491">
        <f>X1350*W1350</f>
        <v>1140480</v>
      </c>
      <c r="Z1350" s="478">
        <v>0.53500000000000003</v>
      </c>
      <c r="AA1350" s="492">
        <f>Z1350*Y1350</f>
        <v>610156.80000000005</v>
      </c>
      <c r="AB1350" s="480"/>
      <c r="AC1350" s="481">
        <f>AB1350*Y1350</f>
        <v>0</v>
      </c>
      <c r="AD1350" s="490"/>
      <c r="AE1350" s="482"/>
      <c r="AF1350" s="493">
        <f>AE1350+AD1350+AA1350</f>
        <v>610156.80000000005</v>
      </c>
      <c r="AG1350" s="474" t="s">
        <v>1071</v>
      </c>
      <c r="AH1350" s="474"/>
      <c r="AI1350" s="483">
        <v>60</v>
      </c>
      <c r="AJ1350" s="474" t="s">
        <v>1575</v>
      </c>
      <c r="AK1350" s="494" t="s">
        <v>50</v>
      </c>
      <c r="AL1350" s="474">
        <v>94544</v>
      </c>
      <c r="AM1350" s="474" t="s">
        <v>52</v>
      </c>
      <c r="AN1350" s="474"/>
      <c r="AO1350" s="474"/>
      <c r="AP1350" s="486"/>
      <c r="AQ1350" s="486" t="s">
        <v>37</v>
      </c>
      <c r="AR1350" s="486"/>
      <c r="AS1350" s="495"/>
      <c r="AT1350" s="495"/>
      <c r="AU1350" s="478">
        <v>0.80577777777000004</v>
      </c>
    </row>
    <row r="1351" spans="1:55" s="471" customFormat="1">
      <c r="A1351" s="472"/>
      <c r="B1351" s="514">
        <v>44665</v>
      </c>
      <c r="C1351" s="514">
        <v>44665</v>
      </c>
      <c r="D1351" s="485" t="s">
        <v>3186</v>
      </c>
      <c r="E1351" s="474" t="s">
        <v>2984</v>
      </c>
      <c r="F1351" s="474"/>
      <c r="G1351" s="474">
        <v>2022</v>
      </c>
      <c r="H1351" s="474">
        <v>8</v>
      </c>
      <c r="I1351" s="474" t="s">
        <v>1676</v>
      </c>
      <c r="J1351" s="556"/>
      <c r="K1351" s="483" t="s">
        <v>4916</v>
      </c>
      <c r="L1351" s="474" t="s">
        <v>3361</v>
      </c>
      <c r="M1351" s="487">
        <v>44594</v>
      </c>
      <c r="N1351" s="487">
        <v>44655</v>
      </c>
      <c r="O1351" s="487"/>
      <c r="P1351" s="475"/>
      <c r="Q1351" s="475"/>
      <c r="R1351" s="475"/>
      <c r="S1351" s="474" t="s">
        <v>1563</v>
      </c>
      <c r="T1351" s="474">
        <v>60</v>
      </c>
      <c r="U1351" s="474"/>
      <c r="V1351" s="474" t="s">
        <v>973</v>
      </c>
      <c r="W1351" s="474">
        <v>400</v>
      </c>
      <c r="X1351" s="476">
        <v>768</v>
      </c>
      <c r="Y1351" s="491">
        <f>X1351*W1351</f>
        <v>307200</v>
      </c>
      <c r="Z1351" s="478">
        <v>0.52500000000000002</v>
      </c>
      <c r="AA1351" s="492">
        <f>Z1351*Y1351</f>
        <v>161280</v>
      </c>
      <c r="AB1351" s="480"/>
      <c r="AC1351" s="481">
        <f>AB1351*Y1351</f>
        <v>0</v>
      </c>
      <c r="AD1351" s="490"/>
      <c r="AE1351" s="482"/>
      <c r="AF1351" s="493">
        <f>AE1351+AD1351+AA1351</f>
        <v>161280</v>
      </c>
      <c r="AG1351" s="474" t="s">
        <v>1071</v>
      </c>
      <c r="AH1351" s="474"/>
      <c r="AI1351" s="483">
        <v>60</v>
      </c>
      <c r="AJ1351" s="474" t="s">
        <v>1575</v>
      </c>
      <c r="AK1351" s="494" t="s">
        <v>50</v>
      </c>
      <c r="AL1351" s="474">
        <v>94544</v>
      </c>
      <c r="AM1351" s="474" t="s">
        <v>52</v>
      </c>
      <c r="AN1351" s="474"/>
      <c r="AO1351" s="474"/>
      <c r="AP1351" s="486"/>
      <c r="AQ1351" s="486" t="s">
        <v>37</v>
      </c>
      <c r="AR1351" s="486"/>
      <c r="AS1351" s="495"/>
      <c r="AT1351" s="495"/>
      <c r="AU1351" s="478">
        <v>0.80577777777000004</v>
      </c>
    </row>
    <row r="1352" spans="1:55" s="471" customFormat="1">
      <c r="A1352" s="472"/>
      <c r="B1352" s="515">
        <v>44658</v>
      </c>
      <c r="C1352" s="515">
        <v>44662</v>
      </c>
      <c r="D1352" s="485" t="s">
        <v>3186</v>
      </c>
      <c r="E1352" s="474" t="s">
        <v>2984</v>
      </c>
      <c r="F1352" s="474"/>
      <c r="G1352" s="474">
        <v>2022</v>
      </c>
      <c r="H1352" s="474">
        <v>5</v>
      </c>
      <c r="I1352" s="474" t="s">
        <v>1676</v>
      </c>
      <c r="J1352" s="475"/>
      <c r="K1352" s="483" t="s">
        <v>3591</v>
      </c>
      <c r="L1352" s="474" t="s">
        <v>3361</v>
      </c>
      <c r="M1352" s="487">
        <v>44578</v>
      </c>
      <c r="N1352" s="487">
        <v>44690</v>
      </c>
      <c r="O1352" s="487"/>
      <c r="P1352" s="475"/>
      <c r="Q1352" s="475"/>
      <c r="R1352" s="475"/>
      <c r="S1352" s="474" t="s">
        <v>1563</v>
      </c>
      <c r="T1352" s="474">
        <v>72</v>
      </c>
      <c r="U1352" s="474" t="s">
        <v>3362</v>
      </c>
      <c r="V1352" s="474" t="s">
        <v>1050</v>
      </c>
      <c r="W1352" s="474">
        <v>480</v>
      </c>
      <c r="X1352" s="476">
        <v>754</v>
      </c>
      <c r="Y1352" s="477">
        <f>X1352*W1352</f>
        <v>361920</v>
      </c>
      <c r="Z1352" s="478">
        <v>0.47499999999999998</v>
      </c>
      <c r="AA1352" s="479">
        <v>171912</v>
      </c>
      <c r="AB1352" s="480"/>
      <c r="AC1352" s="481">
        <v>0</v>
      </c>
      <c r="AD1352" s="490"/>
      <c r="AE1352" s="482"/>
      <c r="AF1352" s="493">
        <v>171912</v>
      </c>
      <c r="AG1352" s="474" t="s">
        <v>1071</v>
      </c>
      <c r="AH1352" s="474"/>
      <c r="AI1352" s="483">
        <v>60</v>
      </c>
      <c r="AJ1352" s="474" t="s">
        <v>1575</v>
      </c>
      <c r="AK1352" s="494" t="s">
        <v>50</v>
      </c>
      <c r="AL1352" s="474">
        <v>94544</v>
      </c>
      <c r="AM1352" s="474" t="s">
        <v>52</v>
      </c>
      <c r="AN1352" s="474"/>
      <c r="AO1352" s="474"/>
      <c r="AP1352" s="486"/>
      <c r="AQ1352" s="486" t="s">
        <v>37</v>
      </c>
      <c r="AR1352" s="486"/>
      <c r="AS1352" s="495"/>
      <c r="AT1352" s="495"/>
      <c r="AU1352" s="478"/>
    </row>
    <row r="1353" spans="1:55" s="471" customFormat="1">
      <c r="A1353" s="472"/>
      <c r="B1353" s="515">
        <v>44658</v>
      </c>
      <c r="C1353" s="515">
        <v>44662</v>
      </c>
      <c r="D1353" s="485" t="s">
        <v>3186</v>
      </c>
      <c r="E1353" s="474" t="s">
        <v>5577</v>
      </c>
      <c r="F1353" s="474"/>
      <c r="G1353" s="474">
        <v>2022</v>
      </c>
      <c r="H1353" s="519">
        <v>5</v>
      </c>
      <c r="I1353" s="474"/>
      <c r="J1353" s="475"/>
      <c r="K1353" s="483" t="s">
        <v>3425</v>
      </c>
      <c r="L1353" s="474" t="s">
        <v>3361</v>
      </c>
      <c r="M1353" s="487">
        <v>44578</v>
      </c>
      <c r="N1353" s="487">
        <v>44655</v>
      </c>
      <c r="O1353" s="475" t="s">
        <v>5506</v>
      </c>
      <c r="P1353" s="475">
        <v>44673</v>
      </c>
      <c r="Q1353" s="475">
        <v>44678</v>
      </c>
      <c r="R1353" s="475">
        <v>44683</v>
      </c>
      <c r="S1353" s="474" t="s">
        <v>1563</v>
      </c>
      <c r="T1353" s="474">
        <v>72</v>
      </c>
      <c r="U1353" s="474">
        <v>49303156</v>
      </c>
      <c r="V1353" s="474" t="s">
        <v>1050</v>
      </c>
      <c r="W1353" s="474">
        <v>480</v>
      </c>
      <c r="X1353" s="476">
        <v>754</v>
      </c>
      <c r="Y1353" s="477">
        <f>X1353*W1353</f>
        <v>361920</v>
      </c>
      <c r="Z1353" s="478">
        <v>0.47499999999999998</v>
      </c>
      <c r="AA1353" s="479">
        <v>171912</v>
      </c>
      <c r="AB1353" s="480"/>
      <c r="AC1353" s="481">
        <v>0</v>
      </c>
      <c r="AD1353" s="490"/>
      <c r="AE1353" s="482"/>
      <c r="AF1353" s="493">
        <v>171912</v>
      </c>
      <c r="AG1353" s="474" t="s">
        <v>1071</v>
      </c>
      <c r="AH1353" s="474"/>
      <c r="AI1353" s="483">
        <v>60</v>
      </c>
      <c r="AJ1353" s="474" t="s">
        <v>1575</v>
      </c>
      <c r="AK1353" s="494" t="s">
        <v>50</v>
      </c>
      <c r="AL1353" s="474">
        <v>94544</v>
      </c>
      <c r="AM1353" s="474" t="s">
        <v>52</v>
      </c>
      <c r="AN1353" s="474" t="s">
        <v>1074</v>
      </c>
      <c r="AO1353" s="474"/>
      <c r="AP1353" s="486"/>
      <c r="AQ1353" s="486" t="s">
        <v>37</v>
      </c>
      <c r="AR1353" s="486"/>
      <c r="AS1353" s="495"/>
      <c r="AT1353" s="495"/>
      <c r="AU1353" s="478"/>
    </row>
    <row r="1354" spans="1:55" s="471" customFormat="1">
      <c r="A1354" s="472"/>
      <c r="B1354" s="515">
        <v>44658</v>
      </c>
      <c r="C1354" s="515">
        <v>44662</v>
      </c>
      <c r="D1354" s="485" t="s">
        <v>3186</v>
      </c>
      <c r="E1354" s="474" t="s">
        <v>2984</v>
      </c>
      <c r="F1354" s="474"/>
      <c r="G1354" s="474">
        <v>2022</v>
      </c>
      <c r="H1354" s="474">
        <v>6</v>
      </c>
      <c r="I1354" s="474" t="s">
        <v>1676</v>
      </c>
      <c r="J1354" s="475"/>
      <c r="K1354" s="483" t="s">
        <v>3596</v>
      </c>
      <c r="L1354" s="474" t="s">
        <v>3361</v>
      </c>
      <c r="M1354" s="487">
        <v>44578</v>
      </c>
      <c r="N1354" s="487">
        <v>44718</v>
      </c>
      <c r="O1354" s="487"/>
      <c r="P1354" s="475"/>
      <c r="Q1354" s="475"/>
      <c r="R1354" s="475"/>
      <c r="S1354" s="474" t="s">
        <v>1563</v>
      </c>
      <c r="T1354" s="474">
        <v>72</v>
      </c>
      <c r="U1354" s="474" t="s">
        <v>3362</v>
      </c>
      <c r="V1354" s="474" t="s">
        <v>1050</v>
      </c>
      <c r="W1354" s="474">
        <v>480</v>
      </c>
      <c r="X1354" s="476">
        <v>754</v>
      </c>
      <c r="Y1354" s="477">
        <f>X1354*W1354</f>
        <v>361920</v>
      </c>
      <c r="Z1354" s="478">
        <v>0.47499999999999998</v>
      </c>
      <c r="AA1354" s="479">
        <v>171912</v>
      </c>
      <c r="AB1354" s="480"/>
      <c r="AC1354" s="481">
        <v>0</v>
      </c>
      <c r="AD1354" s="490"/>
      <c r="AE1354" s="482"/>
      <c r="AF1354" s="493">
        <v>171912</v>
      </c>
      <c r="AG1354" s="474" t="s">
        <v>1071</v>
      </c>
      <c r="AH1354" s="474"/>
      <c r="AI1354" s="483">
        <v>60</v>
      </c>
      <c r="AJ1354" s="474" t="s">
        <v>3281</v>
      </c>
      <c r="AK1354" s="494" t="s">
        <v>50</v>
      </c>
      <c r="AL1354" s="474">
        <v>92841</v>
      </c>
      <c r="AM1354" s="474" t="s">
        <v>52</v>
      </c>
      <c r="AN1354" s="474"/>
      <c r="AO1354" s="474"/>
      <c r="AP1354" s="486"/>
      <c r="AQ1354" s="486" t="s">
        <v>37</v>
      </c>
      <c r="AR1354" s="486"/>
      <c r="AS1354" s="495"/>
      <c r="AT1354" s="495"/>
      <c r="AU1354" s="478"/>
    </row>
    <row r="1355" spans="1:55" s="471" customFormat="1">
      <c r="A1355" s="472"/>
      <c r="B1355" s="515">
        <v>44658</v>
      </c>
      <c r="C1355" s="515">
        <v>44662</v>
      </c>
      <c r="D1355" s="485" t="s">
        <v>3186</v>
      </c>
      <c r="E1355" s="474" t="s">
        <v>2984</v>
      </c>
      <c r="F1355" s="474"/>
      <c r="G1355" s="474">
        <v>2022</v>
      </c>
      <c r="H1355" s="474">
        <v>5</v>
      </c>
      <c r="I1355" s="474" t="s">
        <v>1676</v>
      </c>
      <c r="J1355" s="475"/>
      <c r="K1355" s="483" t="s">
        <v>3503</v>
      </c>
      <c r="L1355" s="474" t="s">
        <v>3361</v>
      </c>
      <c r="M1355" s="487">
        <v>44578</v>
      </c>
      <c r="N1355" s="487">
        <v>44690</v>
      </c>
      <c r="O1355" s="487"/>
      <c r="P1355" s="475"/>
      <c r="Q1355" s="475"/>
      <c r="R1355" s="475"/>
      <c r="S1355" s="474" t="s">
        <v>1563</v>
      </c>
      <c r="T1355" s="474">
        <v>72</v>
      </c>
      <c r="U1355" s="474" t="s">
        <v>3362</v>
      </c>
      <c r="V1355" s="474" t="s">
        <v>1050</v>
      </c>
      <c r="W1355" s="474">
        <v>480</v>
      </c>
      <c r="X1355" s="476">
        <v>754</v>
      </c>
      <c r="Y1355" s="477">
        <f>X1355*W1355</f>
        <v>361920</v>
      </c>
      <c r="Z1355" s="478">
        <v>0.47499999999999998</v>
      </c>
      <c r="AA1355" s="479">
        <v>171912</v>
      </c>
      <c r="AB1355" s="480"/>
      <c r="AC1355" s="481">
        <v>0</v>
      </c>
      <c r="AD1355" s="490"/>
      <c r="AE1355" s="482"/>
      <c r="AF1355" s="493">
        <v>171912</v>
      </c>
      <c r="AG1355" s="474" t="s">
        <v>1071</v>
      </c>
      <c r="AH1355" s="474"/>
      <c r="AI1355" s="483">
        <v>60</v>
      </c>
      <c r="AJ1355" s="474" t="s">
        <v>3281</v>
      </c>
      <c r="AK1355" s="494" t="s">
        <v>50</v>
      </c>
      <c r="AL1355" s="474">
        <v>92841</v>
      </c>
      <c r="AM1355" s="474" t="s">
        <v>52</v>
      </c>
      <c r="AN1355" s="474"/>
      <c r="AO1355" s="474"/>
      <c r="AP1355" s="486"/>
      <c r="AQ1355" s="486" t="s">
        <v>37</v>
      </c>
      <c r="AR1355" s="486"/>
      <c r="AS1355" s="495"/>
      <c r="AT1355" s="495"/>
      <c r="AU1355" s="478"/>
      <c r="AV1355" s="471" t="str">
        <f t="shared" ref="AV1355:AV1363" si="252">U1355</f>
        <v>LONGER MC34 LEADS</v>
      </c>
      <c r="AW1355" s="471" cm="1">
        <f t="array" ref="AW1355">SUM(MID(0&amp;AV1355,LARGE(INDEX(ISNUMBER(--MID(AV1355,ROW($1:$8),1))*ROW($1:$8),),ROW($1:$8))+1,1)*10^ROW($1:$8)/10)</f>
        <v>0</v>
      </c>
      <c r="AX1355" s="471" t="e">
        <f>VLOOKUP($AW1355,'Item Master Data'!$A:$F,3,FALSE)</f>
        <v>#N/A</v>
      </c>
      <c r="AY1355" s="471" t="e">
        <f>VLOOKUP($AW1355,'Item Master Data'!$A:$F,6,FALSE)</f>
        <v>#N/A</v>
      </c>
      <c r="AZ1355" s="471" t="e">
        <f t="shared" ref="AZ1355:AZ1363" si="253">X1355/BA1355</f>
        <v>#N/A</v>
      </c>
      <c r="BA1355" s="471" t="e">
        <f>VLOOKUP(AW1355,'Item Master Data'!$A:$G,7,FALSE)</f>
        <v>#N/A</v>
      </c>
      <c r="BC1355" s="471" t="e">
        <f t="shared" ref="BC1355:BC1363" si="254">W1355-AY1355</f>
        <v>#N/A</v>
      </c>
    </row>
    <row r="1356" spans="1:55" s="471" customFormat="1">
      <c r="A1356" s="472"/>
      <c r="B1356" s="515">
        <v>44658</v>
      </c>
      <c r="C1356" s="515">
        <v>44662</v>
      </c>
      <c r="D1356" s="485" t="s">
        <v>3186</v>
      </c>
      <c r="E1356" s="474" t="s">
        <v>5577</v>
      </c>
      <c r="F1356" s="474"/>
      <c r="G1356" s="474">
        <v>2022</v>
      </c>
      <c r="H1356" s="519">
        <v>5</v>
      </c>
      <c r="I1356" s="474"/>
      <c r="J1356" s="475"/>
      <c r="K1356" s="483" t="s">
        <v>3360</v>
      </c>
      <c r="L1356" s="474" t="s">
        <v>3361</v>
      </c>
      <c r="M1356" s="487">
        <v>44578</v>
      </c>
      <c r="N1356" s="487">
        <v>44655</v>
      </c>
      <c r="O1356" s="475" t="s">
        <v>5506</v>
      </c>
      <c r="P1356" s="475">
        <v>44673</v>
      </c>
      <c r="Q1356" s="475">
        <v>44678</v>
      </c>
      <c r="R1356" s="475">
        <v>44683</v>
      </c>
      <c r="S1356" s="474" t="s">
        <v>1563</v>
      </c>
      <c r="T1356" s="474">
        <v>72</v>
      </c>
      <c r="U1356" s="474">
        <v>49303156</v>
      </c>
      <c r="V1356" s="474" t="s">
        <v>1050</v>
      </c>
      <c r="W1356" s="474">
        <v>480</v>
      </c>
      <c r="X1356" s="476">
        <v>754</v>
      </c>
      <c r="Y1356" s="477">
        <f>W1356*X1356</f>
        <v>361920</v>
      </c>
      <c r="Z1356" s="478">
        <v>0.47499999999999998</v>
      </c>
      <c r="AA1356" s="479">
        <v>171912</v>
      </c>
      <c r="AB1356" s="480"/>
      <c r="AC1356" s="481">
        <v>0</v>
      </c>
      <c r="AD1356" s="490"/>
      <c r="AE1356" s="482"/>
      <c r="AF1356" s="493">
        <v>171912</v>
      </c>
      <c r="AG1356" s="474" t="s">
        <v>1071</v>
      </c>
      <c r="AH1356" s="474"/>
      <c r="AI1356" s="483">
        <v>60</v>
      </c>
      <c r="AJ1356" s="474" t="s">
        <v>3281</v>
      </c>
      <c r="AK1356" s="494" t="s">
        <v>50</v>
      </c>
      <c r="AL1356" s="474">
        <v>92841</v>
      </c>
      <c r="AM1356" s="474" t="s">
        <v>52</v>
      </c>
      <c r="AN1356" s="474" t="s">
        <v>1106</v>
      </c>
      <c r="AO1356" s="474"/>
      <c r="AP1356" s="486"/>
      <c r="AQ1356" s="486" t="s">
        <v>37</v>
      </c>
      <c r="AR1356" s="486"/>
      <c r="AS1356" s="495"/>
      <c r="AT1356" s="495"/>
      <c r="AU1356" s="478"/>
      <c r="AV1356" s="471">
        <f t="shared" si="252"/>
        <v>49303156</v>
      </c>
      <c r="AW1356" s="471" cm="1">
        <f t="array" ref="AW1356">SUM(MID(0&amp;AV1356,LARGE(INDEX(ISNUMBER(--MID(AV1356,ROW($1:$8),1))*ROW($1:$8),),ROW($1:$8))+1,1)*10^ROW($1:$8)/10)</f>
        <v>49303156</v>
      </c>
      <c r="AX1356" s="471" t="str">
        <f>VLOOKUP($AW1356,'Item Master Data'!$A:$F,3,FALSE)</f>
        <v>Q.PEAK DUO XL G10 BFG</v>
      </c>
      <c r="AY1356" s="471">
        <f>VLOOKUP($AW1356,'Item Master Data'!$A:$F,6,FALSE)</f>
        <v>480</v>
      </c>
      <c r="AZ1356" s="471">
        <f t="shared" si="253"/>
        <v>26</v>
      </c>
      <c r="BA1356" s="471">
        <f>VLOOKUP(AW1356,'Item Master Data'!$A:$G,7,FALSE)</f>
        <v>29</v>
      </c>
      <c r="BC1356" s="471">
        <f t="shared" si="254"/>
        <v>0</v>
      </c>
    </row>
    <row r="1357" spans="1:55" s="471" customFormat="1">
      <c r="A1357" s="472"/>
      <c r="B1357" s="515">
        <v>44658</v>
      </c>
      <c r="C1357" s="515">
        <v>44658</v>
      </c>
      <c r="D1357" s="485" t="s">
        <v>3186</v>
      </c>
      <c r="E1357" s="474" t="s">
        <v>5508</v>
      </c>
      <c r="F1357" s="474"/>
      <c r="G1357" s="474">
        <v>2022</v>
      </c>
      <c r="H1357" s="474">
        <v>9</v>
      </c>
      <c r="I1357" s="474" t="s">
        <v>1676</v>
      </c>
      <c r="J1357" s="475"/>
      <c r="K1357" s="483" t="s">
        <v>3595</v>
      </c>
      <c r="L1357" s="474" t="s">
        <v>3361</v>
      </c>
      <c r="M1357" s="487">
        <v>44577</v>
      </c>
      <c r="N1357" s="487">
        <v>44806</v>
      </c>
      <c r="O1357" s="487"/>
      <c r="P1357" s="475"/>
      <c r="Q1357" s="475"/>
      <c r="R1357" s="475"/>
      <c r="S1357" s="474" t="s">
        <v>2379</v>
      </c>
      <c r="T1357" s="474">
        <v>72</v>
      </c>
      <c r="U1357" s="474"/>
      <c r="V1357" s="474" t="s">
        <v>1050</v>
      </c>
      <c r="W1357" s="474">
        <v>480</v>
      </c>
      <c r="X1357" s="476">
        <v>435</v>
      </c>
      <c r="Y1357" s="477">
        <f>X1357*W1357</f>
        <v>208800</v>
      </c>
      <c r="Z1357" s="478">
        <v>0.47499999999999998</v>
      </c>
      <c r="AA1357" s="479">
        <f>Z1357*Y1357</f>
        <v>99180</v>
      </c>
      <c r="AB1357" s="480"/>
      <c r="AC1357" s="481">
        <v>0</v>
      </c>
      <c r="AD1357" s="490"/>
      <c r="AE1357" s="482"/>
      <c r="AF1357" s="493">
        <v>99180</v>
      </c>
      <c r="AG1357" s="474" t="s">
        <v>1071</v>
      </c>
      <c r="AH1357" s="474"/>
      <c r="AI1357" s="483">
        <v>60</v>
      </c>
      <c r="AJ1357" s="474" t="s">
        <v>1593</v>
      </c>
      <c r="AK1357" s="494" t="s">
        <v>1144</v>
      </c>
      <c r="AL1357" s="474" t="s">
        <v>3427</v>
      </c>
      <c r="AM1357" s="474" t="s">
        <v>52</v>
      </c>
      <c r="AN1357" s="474"/>
      <c r="AO1357" s="474"/>
      <c r="AP1357" s="486"/>
      <c r="AQ1357" s="486" t="s">
        <v>37</v>
      </c>
      <c r="AR1357" s="486"/>
      <c r="AS1357" s="495"/>
      <c r="AT1357" s="495"/>
      <c r="AU1357" s="478"/>
      <c r="AV1357" s="471">
        <f t="shared" si="252"/>
        <v>0</v>
      </c>
      <c r="AW1357" s="471" cm="1">
        <f t="array" ref="AW1357">SUM(MID(0&amp;AV1357,LARGE(INDEX(ISNUMBER(--MID(AV1357,ROW($1:$8),1))*ROW($1:$8),),ROW($1:$8))+1,1)*10^ROW($1:$8)/10)</f>
        <v>0</v>
      </c>
      <c r="AX1357" s="471" t="e">
        <f>VLOOKUP($AW1357,'Item Master Data'!$A:$F,3,FALSE)</f>
        <v>#N/A</v>
      </c>
      <c r="AY1357" s="471" t="e">
        <f>VLOOKUP($AW1357,'Item Master Data'!$A:$F,6,FALSE)</f>
        <v>#N/A</v>
      </c>
      <c r="AZ1357" s="471" t="e">
        <f t="shared" si="253"/>
        <v>#N/A</v>
      </c>
      <c r="BA1357" s="471" t="e">
        <f>VLOOKUP(AW1357,'Item Master Data'!$A:$G,7,FALSE)</f>
        <v>#N/A</v>
      </c>
      <c r="BC1357" s="471" t="e">
        <f t="shared" si="254"/>
        <v>#N/A</v>
      </c>
    </row>
    <row r="1358" spans="1:55" s="471" customFormat="1">
      <c r="A1358" s="472"/>
      <c r="B1358" s="515">
        <v>44658</v>
      </c>
      <c r="C1358" s="515">
        <v>44658</v>
      </c>
      <c r="D1358" s="485" t="s">
        <v>3186</v>
      </c>
      <c r="E1358" s="474" t="s">
        <v>5508</v>
      </c>
      <c r="F1358" s="474"/>
      <c r="G1358" s="474">
        <v>2022</v>
      </c>
      <c r="H1358" s="474">
        <v>8</v>
      </c>
      <c r="I1358" s="474" t="s">
        <v>1676</v>
      </c>
      <c r="J1358" s="475"/>
      <c r="K1358" s="483" t="s">
        <v>3593</v>
      </c>
      <c r="L1358" s="474" t="s">
        <v>3361</v>
      </c>
      <c r="M1358" s="487">
        <v>44577</v>
      </c>
      <c r="N1358" s="487">
        <v>44778</v>
      </c>
      <c r="O1358" s="487"/>
      <c r="P1358" s="475"/>
      <c r="Q1358" s="475"/>
      <c r="R1358" s="475"/>
      <c r="S1358" s="474" t="s">
        <v>2379</v>
      </c>
      <c r="T1358" s="474">
        <v>72</v>
      </c>
      <c r="U1358" s="474"/>
      <c r="V1358" s="474" t="s">
        <v>1050</v>
      </c>
      <c r="W1358" s="474">
        <v>480</v>
      </c>
      <c r="X1358" s="476">
        <v>435</v>
      </c>
      <c r="Y1358" s="477">
        <f>X1358*W1358</f>
        <v>208800</v>
      </c>
      <c r="Z1358" s="478">
        <v>0.47499999999999998</v>
      </c>
      <c r="AA1358" s="479">
        <v>99180</v>
      </c>
      <c r="AB1358" s="480"/>
      <c r="AC1358" s="481">
        <v>0</v>
      </c>
      <c r="AD1358" s="490"/>
      <c r="AE1358" s="482"/>
      <c r="AF1358" s="493">
        <v>99180</v>
      </c>
      <c r="AG1358" s="474" t="s">
        <v>1071</v>
      </c>
      <c r="AH1358" s="474"/>
      <c r="AI1358" s="483">
        <v>60</v>
      </c>
      <c r="AJ1358" s="474" t="s">
        <v>1593</v>
      </c>
      <c r="AK1358" s="494" t="s">
        <v>1144</v>
      </c>
      <c r="AL1358" s="474" t="s">
        <v>3427</v>
      </c>
      <c r="AM1358" s="474" t="s">
        <v>52</v>
      </c>
      <c r="AN1358" s="474"/>
      <c r="AO1358" s="474"/>
      <c r="AP1358" s="486"/>
      <c r="AQ1358" s="486" t="s">
        <v>37</v>
      </c>
      <c r="AR1358" s="486"/>
      <c r="AS1358" s="495"/>
      <c r="AT1358" s="495"/>
      <c r="AU1358" s="478"/>
      <c r="AV1358" s="471">
        <f t="shared" si="252"/>
        <v>0</v>
      </c>
      <c r="AW1358" s="471" cm="1">
        <f t="array" ref="AW1358">SUM(MID(0&amp;AV1358,LARGE(INDEX(ISNUMBER(--MID(AV1358,ROW($1:$8),1))*ROW($1:$8),),ROW($1:$8))+1,1)*10^ROW($1:$8)/10)</f>
        <v>0</v>
      </c>
      <c r="AX1358" s="471" t="e">
        <f>VLOOKUP($AW1358,'Item Master Data'!$A:$F,3,FALSE)</f>
        <v>#N/A</v>
      </c>
      <c r="AY1358" s="471" t="e">
        <f>VLOOKUP($AW1358,'Item Master Data'!$A:$F,6,FALSE)</f>
        <v>#N/A</v>
      </c>
      <c r="AZ1358" s="471" t="e">
        <f t="shared" si="253"/>
        <v>#N/A</v>
      </c>
      <c r="BA1358" s="471" t="e">
        <f>VLOOKUP(AW1358,'Item Master Data'!$A:$G,7,FALSE)</f>
        <v>#N/A</v>
      </c>
      <c r="BC1358" s="471" t="e">
        <f t="shared" si="254"/>
        <v>#N/A</v>
      </c>
    </row>
    <row r="1359" spans="1:55" s="471" customFormat="1">
      <c r="A1359" s="472"/>
      <c r="B1359" s="515">
        <v>44658</v>
      </c>
      <c r="C1359" s="515">
        <v>44658</v>
      </c>
      <c r="D1359" s="485" t="s">
        <v>3186</v>
      </c>
      <c r="E1359" s="474" t="s">
        <v>5508</v>
      </c>
      <c r="F1359" s="474"/>
      <c r="G1359" s="474">
        <v>2022</v>
      </c>
      <c r="H1359" s="474">
        <v>7</v>
      </c>
      <c r="I1359" s="474" t="s">
        <v>1676</v>
      </c>
      <c r="J1359" s="475"/>
      <c r="K1359" s="483" t="s">
        <v>3488</v>
      </c>
      <c r="L1359" s="474" t="s">
        <v>3361</v>
      </c>
      <c r="M1359" s="487">
        <v>44577</v>
      </c>
      <c r="N1359" s="487">
        <v>44743</v>
      </c>
      <c r="O1359" s="487"/>
      <c r="P1359" s="475"/>
      <c r="Q1359" s="475"/>
      <c r="R1359" s="475"/>
      <c r="S1359" s="474" t="s">
        <v>2379</v>
      </c>
      <c r="T1359" s="474">
        <v>72</v>
      </c>
      <c r="U1359" s="474"/>
      <c r="V1359" s="474" t="s">
        <v>1050</v>
      </c>
      <c r="W1359" s="474">
        <v>480</v>
      </c>
      <c r="X1359" s="476">
        <v>435</v>
      </c>
      <c r="Y1359" s="477">
        <f>W1359*X1359</f>
        <v>208800</v>
      </c>
      <c r="Z1359" s="478">
        <v>0.47499999999999998</v>
      </c>
      <c r="AA1359" s="479">
        <v>99180</v>
      </c>
      <c r="AB1359" s="480"/>
      <c r="AC1359" s="481">
        <v>0</v>
      </c>
      <c r="AD1359" s="490"/>
      <c r="AE1359" s="482"/>
      <c r="AF1359" s="493">
        <v>99180</v>
      </c>
      <c r="AG1359" s="474" t="s">
        <v>1071</v>
      </c>
      <c r="AH1359" s="474"/>
      <c r="AI1359" s="483">
        <v>60</v>
      </c>
      <c r="AJ1359" s="474" t="s">
        <v>1593</v>
      </c>
      <c r="AK1359" s="494" t="s">
        <v>1144</v>
      </c>
      <c r="AL1359" s="474" t="s">
        <v>3427</v>
      </c>
      <c r="AM1359" s="474" t="s">
        <v>52</v>
      </c>
      <c r="AN1359" s="474"/>
      <c r="AO1359" s="474"/>
      <c r="AP1359" s="486"/>
      <c r="AQ1359" s="486" t="s">
        <v>37</v>
      </c>
      <c r="AR1359" s="486"/>
      <c r="AS1359" s="495"/>
      <c r="AT1359" s="495"/>
      <c r="AU1359" s="478"/>
      <c r="AV1359" s="471">
        <f t="shared" si="252"/>
        <v>0</v>
      </c>
      <c r="AW1359" s="471" cm="1">
        <f t="array" ref="AW1359">SUM(MID(0&amp;AV1359,LARGE(INDEX(ISNUMBER(--MID(AV1359,ROW($1:$8),1))*ROW($1:$8),),ROW($1:$8))+1,1)*10^ROW($1:$8)/10)</f>
        <v>0</v>
      </c>
      <c r="AX1359" s="471" t="e">
        <f>VLOOKUP($AW1359,'Item Master Data'!$A:$F,3,FALSE)</f>
        <v>#N/A</v>
      </c>
      <c r="AY1359" s="471" t="e">
        <f>VLOOKUP($AW1359,'Item Master Data'!$A:$F,6,FALSE)</f>
        <v>#N/A</v>
      </c>
      <c r="AZ1359" s="471" t="e">
        <f t="shared" si="253"/>
        <v>#N/A</v>
      </c>
      <c r="BA1359" s="471" t="e">
        <f>VLOOKUP(AW1359,'Item Master Data'!$A:$G,7,FALSE)</f>
        <v>#N/A</v>
      </c>
      <c r="BC1359" s="471" t="e">
        <f t="shared" si="254"/>
        <v>#N/A</v>
      </c>
    </row>
    <row r="1360" spans="1:55" s="471" customFormat="1">
      <c r="A1360" s="472"/>
      <c r="B1360" s="514">
        <v>44573</v>
      </c>
      <c r="C1360" s="514">
        <v>44630</v>
      </c>
      <c r="D1360" s="485" t="s">
        <v>3186</v>
      </c>
      <c r="E1360" s="474" t="s">
        <v>3044</v>
      </c>
      <c r="F1360" s="474"/>
      <c r="G1360" s="474">
        <v>2022</v>
      </c>
      <c r="H1360" s="474">
        <v>7</v>
      </c>
      <c r="I1360" s="474" t="s">
        <v>1676</v>
      </c>
      <c r="J1360" s="475"/>
      <c r="K1360" s="483" t="s">
        <v>3600</v>
      </c>
      <c r="L1360" s="474" t="s">
        <v>3361</v>
      </c>
      <c r="M1360" s="487">
        <v>44573</v>
      </c>
      <c r="N1360" s="487">
        <v>44606</v>
      </c>
      <c r="O1360" s="487"/>
      <c r="P1360" s="475"/>
      <c r="Q1360" s="475"/>
      <c r="R1360" s="475"/>
      <c r="S1360" s="474" t="s">
        <v>2379</v>
      </c>
      <c r="T1360" s="474">
        <v>60</v>
      </c>
      <c r="U1360" s="474"/>
      <c r="V1360" s="474" t="s">
        <v>1018</v>
      </c>
      <c r="W1360" s="474">
        <v>360</v>
      </c>
      <c r="X1360" s="476">
        <v>676</v>
      </c>
      <c r="Y1360" s="477">
        <f>X1360*W1360</f>
        <v>243360</v>
      </c>
      <c r="Z1360" s="478">
        <v>0.80577777777000004</v>
      </c>
      <c r="AA1360" s="479">
        <f>Z1360*Y1360</f>
        <v>196094.07999810722</v>
      </c>
      <c r="AB1360" s="480"/>
      <c r="AC1360" s="481">
        <f>AB1360*Y1360</f>
        <v>0</v>
      </c>
      <c r="AD1360" s="490"/>
      <c r="AE1360" s="482"/>
      <c r="AF1360" s="493">
        <f>AE1360+AD1360+AA1360</f>
        <v>196094.07999810722</v>
      </c>
      <c r="AG1360" s="474" t="s">
        <v>1071</v>
      </c>
      <c r="AH1360" s="474"/>
      <c r="AI1360" s="483">
        <v>60</v>
      </c>
      <c r="AJ1360" s="474" t="s">
        <v>1593</v>
      </c>
      <c r="AK1360" s="494" t="s">
        <v>1144</v>
      </c>
      <c r="AL1360" s="474" t="s">
        <v>3427</v>
      </c>
      <c r="AM1360" s="474" t="s">
        <v>52</v>
      </c>
      <c r="AN1360" s="474"/>
      <c r="AO1360" s="474"/>
      <c r="AP1360" s="486"/>
      <c r="AQ1360" s="486" t="s">
        <v>37</v>
      </c>
      <c r="AR1360" s="486"/>
      <c r="AS1360" s="495"/>
      <c r="AT1360" s="495"/>
      <c r="AU1360" s="478">
        <v>0.80577777777000004</v>
      </c>
      <c r="AV1360" s="471">
        <f t="shared" si="252"/>
        <v>0</v>
      </c>
      <c r="AW1360" s="471" cm="1">
        <f t="array" ref="AW1360">SUM(MID(0&amp;AV1360,LARGE(INDEX(ISNUMBER(--MID(AV1360,ROW($1:$8),1))*ROW($1:$8),),ROW($1:$8))+1,1)*10^ROW($1:$8)/10)</f>
        <v>0</v>
      </c>
      <c r="AX1360" s="471" t="e">
        <f>VLOOKUP($AW1360,'Item Master Data'!$A:$F,3,FALSE)</f>
        <v>#N/A</v>
      </c>
      <c r="AY1360" s="471" t="e">
        <f>VLOOKUP($AW1360,'Item Master Data'!$A:$F,6,FALSE)</f>
        <v>#N/A</v>
      </c>
      <c r="AZ1360" s="471" t="e">
        <f t="shared" si="253"/>
        <v>#N/A</v>
      </c>
      <c r="BA1360" s="471" t="e">
        <f>VLOOKUP(AW1360,'Item Master Data'!$A:$G,7,FALSE)</f>
        <v>#N/A</v>
      </c>
      <c r="BC1360" s="471" t="e">
        <f t="shared" si="254"/>
        <v>#N/A</v>
      </c>
    </row>
    <row r="1361" spans="1:55" s="471" customFormat="1">
      <c r="A1361" s="472"/>
      <c r="B1361" s="514">
        <v>44573</v>
      </c>
      <c r="C1361" s="514">
        <v>44630</v>
      </c>
      <c r="D1361" s="485" t="s">
        <v>3186</v>
      </c>
      <c r="E1361" s="474"/>
      <c r="F1361" s="474"/>
      <c r="G1361" s="474">
        <v>2022</v>
      </c>
      <c r="H1361" s="474">
        <v>4</v>
      </c>
      <c r="I1361" s="474">
        <v>128217</v>
      </c>
      <c r="J1361" s="475">
        <v>44673</v>
      </c>
      <c r="K1361" s="474" t="s">
        <v>3383</v>
      </c>
      <c r="L1361" s="474" t="s">
        <v>3266</v>
      </c>
      <c r="M1361" s="487">
        <v>44573</v>
      </c>
      <c r="N1361" s="487">
        <v>44603</v>
      </c>
      <c r="O1361" s="487"/>
      <c r="P1361" s="475">
        <v>44671</v>
      </c>
      <c r="Q1361" s="475">
        <v>44673</v>
      </c>
      <c r="R1361" s="475">
        <v>44676</v>
      </c>
      <c r="S1361" s="474" t="s">
        <v>2379</v>
      </c>
      <c r="T1361" s="474">
        <v>60</v>
      </c>
      <c r="U1361" s="474">
        <v>49204132</v>
      </c>
      <c r="V1361" s="474" t="s">
        <v>1018</v>
      </c>
      <c r="W1361" s="474">
        <v>360</v>
      </c>
      <c r="X1361" s="476">
        <v>676</v>
      </c>
      <c r="Y1361" s="491">
        <f>X1361*W1361</f>
        <v>243360</v>
      </c>
      <c r="Z1361" s="478">
        <v>0.80577777777000004</v>
      </c>
      <c r="AA1361" s="492">
        <f>Z1361*Y1361</f>
        <v>196094.07999810722</v>
      </c>
      <c r="AB1361" s="480"/>
      <c r="AC1361" s="481">
        <f>AB1361*Y1361</f>
        <v>0</v>
      </c>
      <c r="AD1361" s="490"/>
      <c r="AE1361" s="482"/>
      <c r="AF1361" s="493">
        <f>AE1361+AD1361+AA1361</f>
        <v>196094.07999810722</v>
      </c>
      <c r="AG1361" s="474" t="s">
        <v>1071</v>
      </c>
      <c r="AH1361" s="474"/>
      <c r="AI1361" s="483">
        <v>60</v>
      </c>
      <c r="AJ1361" s="474" t="s">
        <v>1384</v>
      </c>
      <c r="AK1361" s="494" t="s">
        <v>1144</v>
      </c>
      <c r="AL1361" s="474">
        <v>77092</v>
      </c>
      <c r="AM1361" s="474" t="s">
        <v>52</v>
      </c>
      <c r="AN1361" s="474" t="s">
        <v>1106</v>
      </c>
      <c r="AO1361" s="474"/>
      <c r="AP1361" s="486"/>
      <c r="AQ1361" s="486" t="s">
        <v>37</v>
      </c>
      <c r="AR1361" s="486"/>
      <c r="AS1361" s="495"/>
      <c r="AT1361" s="495"/>
      <c r="AU1361" s="478">
        <v>0.80577777777000004</v>
      </c>
      <c r="AV1361" s="471">
        <f t="shared" si="252"/>
        <v>49204132</v>
      </c>
      <c r="AW1361" s="471" cm="1">
        <f t="array" ref="AW1361">SUM(MID(0&amp;AV1361,LARGE(INDEX(ISNUMBER(--MID(AV1361,ROW($1:$8),1))*ROW($1:$8),),ROW($1:$8))+1,1)*10^ROW($1:$8)/10)</f>
        <v>49204132</v>
      </c>
      <c r="AX1361" s="471" t="str">
        <f>VLOOKUP($AW1361,'Item Master Data'!$A:$F,3,FALSE)</f>
        <v>Q.PEAK DUO BLK G10+/AC</v>
      </c>
      <c r="AY1361" s="471">
        <f>VLOOKUP($AW1361,'Item Master Data'!$A:$F,6,FALSE)</f>
        <v>360</v>
      </c>
      <c r="AZ1361" s="471">
        <f t="shared" si="253"/>
        <v>26</v>
      </c>
      <c r="BA1361" s="471">
        <f>VLOOKUP(AW1361,'Item Master Data'!$A:$G,7,FALSE)</f>
        <v>26</v>
      </c>
      <c r="BC1361" s="471">
        <f t="shared" si="254"/>
        <v>0</v>
      </c>
    </row>
    <row r="1362" spans="1:55" s="471" customFormat="1">
      <c r="A1362" s="472"/>
      <c r="B1362" s="515"/>
      <c r="C1362" s="515"/>
      <c r="D1362" s="485" t="s">
        <v>3186</v>
      </c>
      <c r="E1362" s="474"/>
      <c r="F1362" s="474"/>
      <c r="G1362" s="474">
        <v>2022</v>
      </c>
      <c r="H1362" s="547">
        <v>4</v>
      </c>
      <c r="I1362" s="474"/>
      <c r="J1362" s="475" t="s">
        <v>5753</v>
      </c>
      <c r="K1362" s="483" t="s">
        <v>3352</v>
      </c>
      <c r="L1362" s="474" t="s">
        <v>3278</v>
      </c>
      <c r="M1362" s="487">
        <v>44566</v>
      </c>
      <c r="N1362" s="487">
        <v>44567</v>
      </c>
      <c r="O1362" s="487"/>
      <c r="P1362" s="475">
        <v>44671</v>
      </c>
      <c r="Q1362" s="475"/>
      <c r="R1362" s="475"/>
      <c r="S1362" s="474" t="s">
        <v>3353</v>
      </c>
      <c r="T1362" s="474">
        <v>60</v>
      </c>
      <c r="U1362" s="474">
        <v>49203132</v>
      </c>
      <c r="V1362" s="474" t="s">
        <v>986</v>
      </c>
      <c r="W1362" s="474">
        <v>360</v>
      </c>
      <c r="X1362" s="476">
        <v>832</v>
      </c>
      <c r="Y1362" s="477">
        <f>X1362*W1362</f>
        <v>299520</v>
      </c>
      <c r="Z1362" s="478">
        <v>0.505</v>
      </c>
      <c r="AA1362" s="479">
        <f>Z1362*Y1362</f>
        <v>151257.60000000001</v>
      </c>
      <c r="AB1362" s="480"/>
      <c r="AC1362" s="481">
        <f>AB1362*Y1362</f>
        <v>0</v>
      </c>
      <c r="AD1362" s="490"/>
      <c r="AE1362" s="482"/>
      <c r="AF1362" s="493">
        <f>AE1362+AD1362+AA1362</f>
        <v>151257.60000000001</v>
      </c>
      <c r="AG1362" s="474" t="s">
        <v>1071</v>
      </c>
      <c r="AH1362" s="474"/>
      <c r="AI1362" s="483">
        <v>60</v>
      </c>
      <c r="AJ1362" s="474" t="s">
        <v>2277</v>
      </c>
      <c r="AK1362" s="494" t="s">
        <v>1084</v>
      </c>
      <c r="AL1362" s="474">
        <v>32809</v>
      </c>
      <c r="AM1362" s="474" t="s">
        <v>52</v>
      </c>
      <c r="AN1362" s="474" t="s">
        <v>1106</v>
      </c>
      <c r="AO1362" s="474"/>
      <c r="AP1362" s="486"/>
      <c r="AQ1362" s="486" t="s">
        <v>37</v>
      </c>
      <c r="AR1362" s="486"/>
      <c r="AS1362" s="495" t="s">
        <v>1076</v>
      </c>
      <c r="AT1362" s="495" t="s">
        <v>1076</v>
      </c>
      <c r="AU1362" s="478">
        <v>0.505</v>
      </c>
      <c r="AV1362" s="471">
        <f t="shared" si="252"/>
        <v>49203132</v>
      </c>
      <c r="AW1362" s="471" cm="1">
        <f t="array" ref="AW1362">SUM(MID(0&amp;AV1362,LARGE(INDEX(ISNUMBER(--MID(AV1362,ROW($1:$8),1))*ROW($1:$8),),ROW($1:$8))+1,1)*10^ROW($1:$8)/10)</f>
        <v>49203132</v>
      </c>
      <c r="AX1362" s="471" t="str">
        <f>VLOOKUP($AW1362,'Item Master Data'!$A:$F,3,FALSE)</f>
        <v>Q.PEAK DUO BLK G10+</v>
      </c>
      <c r="AY1362" s="471">
        <f>VLOOKUP($AW1362,'Item Master Data'!$A:$F,6,FALSE)</f>
        <v>360</v>
      </c>
      <c r="AZ1362" s="471">
        <f t="shared" si="253"/>
        <v>26</v>
      </c>
      <c r="BA1362" s="471">
        <f>VLOOKUP(AW1362,'Item Master Data'!$A:$G,7,FALSE)</f>
        <v>32</v>
      </c>
      <c r="BC1362" s="471">
        <f t="shared" si="254"/>
        <v>0</v>
      </c>
    </row>
    <row r="1363" spans="1:55" s="471" customFormat="1">
      <c r="A1363" s="472"/>
      <c r="B1363" s="514">
        <v>44655</v>
      </c>
      <c r="C1363" s="514">
        <v>44671</v>
      </c>
      <c r="D1363" s="485" t="s">
        <v>3186</v>
      </c>
      <c r="E1363" s="474" t="s">
        <v>2984</v>
      </c>
      <c r="F1363" s="474"/>
      <c r="G1363" s="474">
        <v>2022</v>
      </c>
      <c r="H1363" s="547">
        <v>4</v>
      </c>
      <c r="I1363" s="474"/>
      <c r="J1363" s="475" t="s">
        <v>5753</v>
      </c>
      <c r="K1363" s="483" t="s">
        <v>3605</v>
      </c>
      <c r="L1363" s="474" t="s">
        <v>3278</v>
      </c>
      <c r="M1363" s="487">
        <v>44558</v>
      </c>
      <c r="N1363" s="487">
        <v>44620</v>
      </c>
      <c r="O1363" s="487"/>
      <c r="P1363" s="475">
        <v>44672</v>
      </c>
      <c r="Q1363" s="475"/>
      <c r="R1363" s="475"/>
      <c r="S1363" s="474" t="s">
        <v>3353</v>
      </c>
      <c r="T1363" s="474">
        <v>60</v>
      </c>
      <c r="U1363" s="474" t="s">
        <v>1760</v>
      </c>
      <c r="V1363" s="474" t="s">
        <v>973</v>
      </c>
      <c r="W1363" s="474">
        <v>400</v>
      </c>
      <c r="X1363" s="476">
        <v>768</v>
      </c>
      <c r="Y1363" s="477">
        <f>X1363*W1363</f>
        <v>307200</v>
      </c>
      <c r="Z1363" s="478">
        <v>0.52500000000000002</v>
      </c>
      <c r="AA1363" s="479">
        <f>Z1363*Y1363</f>
        <v>161280</v>
      </c>
      <c r="AB1363" s="480"/>
      <c r="AC1363" s="481">
        <f>AB1363*Y1363</f>
        <v>0</v>
      </c>
      <c r="AD1363" s="490"/>
      <c r="AE1363" s="482"/>
      <c r="AF1363" s="493">
        <f>AE1363+AD1363+AA1363</f>
        <v>161280</v>
      </c>
      <c r="AG1363" s="474" t="s">
        <v>1071</v>
      </c>
      <c r="AH1363" s="474"/>
      <c r="AI1363" s="483">
        <v>60</v>
      </c>
      <c r="AJ1363" s="474" t="s">
        <v>2277</v>
      </c>
      <c r="AK1363" s="494" t="s">
        <v>1084</v>
      </c>
      <c r="AL1363" s="474">
        <v>32809</v>
      </c>
      <c r="AM1363" s="474" t="s">
        <v>52</v>
      </c>
      <c r="AN1363" s="474" t="s">
        <v>50</v>
      </c>
      <c r="AO1363" s="474"/>
      <c r="AP1363" s="486"/>
      <c r="AQ1363" s="486" t="s">
        <v>37</v>
      </c>
      <c r="AR1363" s="486"/>
      <c r="AS1363" s="495" t="s">
        <v>1076</v>
      </c>
      <c r="AT1363" s="495" t="s">
        <v>1076</v>
      </c>
      <c r="AU1363" s="478">
        <v>0.52500000000000002</v>
      </c>
      <c r="AV1363" s="471" t="str">
        <f t="shared" si="252"/>
        <v>30390156H</v>
      </c>
      <c r="AW1363" s="471" cm="1">
        <f t="array" ref="AW1363">SUM(MID(0&amp;AV1363,LARGE(INDEX(ISNUMBER(--MID(AV1363,ROW($1:$8),1))*ROW($1:$8),),ROW($1:$8))+1,1)*10^ROW($1:$8)/10)</f>
        <v>30390156</v>
      </c>
      <c r="AX1363" s="471" t="str">
        <f>VLOOKUP($AW1363,'Item Master Data'!$A:$F,3,FALSE)</f>
        <v>Q.PEAK DUO BLK ML G10+</v>
      </c>
      <c r="AY1363" s="471">
        <f>VLOOKUP($AW1363,'Item Master Data'!$A:$F,6,FALSE)</f>
        <v>400</v>
      </c>
      <c r="AZ1363" s="471">
        <f t="shared" si="253"/>
        <v>24</v>
      </c>
      <c r="BA1363" s="471">
        <f>VLOOKUP(AW1363,'Item Master Data'!$A:$G,7,FALSE)</f>
        <v>32</v>
      </c>
      <c r="BC1363" s="471">
        <f t="shared" si="254"/>
        <v>0</v>
      </c>
    </row>
    <row r="1364" spans="1:55" s="471" customFormat="1">
      <c r="A1364" s="472"/>
      <c r="B1364" s="472"/>
      <c r="C1364" s="472"/>
      <c r="D1364" s="557" t="s">
        <v>3186</v>
      </c>
      <c r="E1364" s="557" t="s">
        <v>3044</v>
      </c>
      <c r="F1364" s="558"/>
      <c r="G1364" s="558"/>
      <c r="H1364" s="547">
        <v>6</v>
      </c>
      <c r="I1364" s="558" t="s">
        <v>1676</v>
      </c>
      <c r="J1364" s="559"/>
      <c r="K1364" s="559" t="s">
        <v>3599</v>
      </c>
      <c r="L1364" s="559" t="s">
        <v>3278</v>
      </c>
      <c r="M1364" s="559">
        <v>44550</v>
      </c>
      <c r="N1364" s="559">
        <v>44652</v>
      </c>
      <c r="O1364" s="560"/>
      <c r="P1364" s="559"/>
      <c r="Q1364" s="559"/>
      <c r="R1364" s="559"/>
      <c r="S1364" s="558" t="s">
        <v>2379</v>
      </c>
      <c r="T1364" s="558">
        <v>60</v>
      </c>
      <c r="U1364" s="558"/>
      <c r="V1364" s="558" t="s">
        <v>973</v>
      </c>
      <c r="W1364" s="558">
        <v>400</v>
      </c>
      <c r="X1364" s="561">
        <v>480</v>
      </c>
      <c r="Y1364" s="491">
        <f>X1364*W1364</f>
        <v>192000</v>
      </c>
      <c r="Z1364" s="562">
        <v>0.53</v>
      </c>
      <c r="AA1364" s="492">
        <f>Z1364*Y1364</f>
        <v>101760</v>
      </c>
      <c r="AB1364" s="480"/>
      <c r="AC1364" s="481">
        <f>AB1364*Y1364</f>
        <v>0</v>
      </c>
      <c r="AD1364" s="567"/>
      <c r="AE1364" s="563"/>
      <c r="AF1364" s="493">
        <f>AE1364+AD1364+AA1364</f>
        <v>101760</v>
      </c>
      <c r="AG1364" s="558" t="s">
        <v>1071</v>
      </c>
      <c r="AH1364" s="558"/>
      <c r="AI1364" s="564">
        <v>60</v>
      </c>
      <c r="AJ1364" s="558" t="s">
        <v>3275</v>
      </c>
      <c r="AK1364" s="565" t="s">
        <v>1144</v>
      </c>
      <c r="AL1364" s="558">
        <v>75007</v>
      </c>
      <c r="AM1364" s="558" t="s">
        <v>52</v>
      </c>
      <c r="AN1364" s="558"/>
      <c r="AO1364" s="558"/>
      <c r="AP1364" s="566"/>
      <c r="AQ1364" s="566" t="s">
        <v>37</v>
      </c>
      <c r="AR1364" s="566"/>
      <c r="AS1364" s="495" t="s">
        <v>1076</v>
      </c>
      <c r="AT1364" s="495" t="s">
        <v>1076</v>
      </c>
      <c r="AU1364" s="506">
        <v>0.53</v>
      </c>
    </row>
    <row r="1365" spans="1:55" s="471" customFormat="1">
      <c r="A1365" s="472"/>
      <c r="B1365" s="472"/>
      <c r="C1365" s="472"/>
      <c r="D1365" s="557" t="s">
        <v>3186</v>
      </c>
      <c r="E1365" s="557" t="s">
        <v>3044</v>
      </c>
      <c r="F1365" s="558"/>
      <c r="G1365" s="558"/>
      <c r="H1365" s="547">
        <v>6</v>
      </c>
      <c r="I1365" s="558" t="s">
        <v>1676</v>
      </c>
      <c r="J1365" s="559"/>
      <c r="K1365" s="559" t="s">
        <v>3604</v>
      </c>
      <c r="L1365" s="559" t="s">
        <v>3278</v>
      </c>
      <c r="M1365" s="559">
        <v>44550</v>
      </c>
      <c r="N1365" s="559">
        <v>44687</v>
      </c>
      <c r="O1365" s="560"/>
      <c r="P1365" s="559"/>
      <c r="Q1365" s="559"/>
      <c r="R1365" s="559"/>
      <c r="S1365" s="558" t="s">
        <v>2379</v>
      </c>
      <c r="T1365" s="558">
        <v>60</v>
      </c>
      <c r="U1365" s="558"/>
      <c r="V1365" s="558" t="s">
        <v>973</v>
      </c>
      <c r="W1365" s="558">
        <v>400</v>
      </c>
      <c r="X1365" s="561">
        <v>320</v>
      </c>
      <c r="Y1365" s="491">
        <v>128000</v>
      </c>
      <c r="Z1365" s="562">
        <v>0.53</v>
      </c>
      <c r="AA1365" s="492">
        <v>67840</v>
      </c>
      <c r="AB1365" s="480"/>
      <c r="AC1365" s="481">
        <v>0</v>
      </c>
      <c r="AD1365" s="567"/>
      <c r="AE1365" s="563"/>
      <c r="AF1365" s="493">
        <v>67840</v>
      </c>
      <c r="AG1365" s="558" t="s">
        <v>1071</v>
      </c>
      <c r="AH1365" s="558"/>
      <c r="AI1365" s="564">
        <v>60</v>
      </c>
      <c r="AJ1365" s="558" t="s">
        <v>3479</v>
      </c>
      <c r="AK1365" s="565" t="s">
        <v>3480</v>
      </c>
      <c r="AL1365" s="558">
        <v>70087</v>
      </c>
      <c r="AM1365" s="558" t="s">
        <v>52</v>
      </c>
      <c r="AN1365" s="558"/>
      <c r="AO1365" s="558"/>
      <c r="AP1365" s="566"/>
      <c r="AQ1365" s="566" t="s">
        <v>37</v>
      </c>
      <c r="AR1365" s="566"/>
      <c r="AS1365" s="495" t="s">
        <v>1076</v>
      </c>
      <c r="AT1365" s="495" t="s">
        <v>1076</v>
      </c>
      <c r="AU1365" s="506">
        <v>0.53</v>
      </c>
      <c r="AV1365" s="471">
        <f t="shared" ref="AV1365:AV1396" si="255">U1365</f>
        <v>0</v>
      </c>
      <c r="AW1365" s="471" cm="1">
        <f t="array" ref="AW1365">SUM(MID(0&amp;AV1365,LARGE(INDEX(ISNUMBER(--MID(AV1365,ROW($1:$8),1))*ROW($1:$8),),ROW($1:$8))+1,1)*10^ROW($1:$8)/10)</f>
        <v>0</v>
      </c>
      <c r="AX1365" s="471" t="e">
        <f>VLOOKUP($AW1365,'Item Master Data'!$A:$F,3,FALSE)</f>
        <v>#N/A</v>
      </c>
      <c r="AY1365" s="471" t="e">
        <f>VLOOKUP($AW1365,'Item Master Data'!$A:$F,6,FALSE)</f>
        <v>#N/A</v>
      </c>
      <c r="AZ1365" s="471" t="e">
        <f t="shared" ref="AZ1365:AZ1396" si="256">X1365/BA1365</f>
        <v>#N/A</v>
      </c>
      <c r="BA1365" s="471" t="e">
        <f>VLOOKUP(AW1365,'Item Master Data'!$A:$G,7,FALSE)</f>
        <v>#N/A</v>
      </c>
      <c r="BC1365" s="471" t="e">
        <f t="shared" ref="BC1365:BC1396" si="257">W1365-AY1365</f>
        <v>#N/A</v>
      </c>
    </row>
    <row r="1366" spans="1:55" s="471" customFormat="1">
      <c r="A1366" s="472"/>
      <c r="B1366" s="472"/>
      <c r="C1366" s="472"/>
      <c r="D1366" s="557" t="s">
        <v>3186</v>
      </c>
      <c r="E1366" s="557" t="s">
        <v>3044</v>
      </c>
      <c r="F1366" s="558"/>
      <c r="G1366" s="558"/>
      <c r="H1366" s="547">
        <v>5</v>
      </c>
      <c r="I1366" s="558" t="s">
        <v>1676</v>
      </c>
      <c r="J1366" s="559"/>
      <c r="K1366" s="559" t="s">
        <v>3478</v>
      </c>
      <c r="L1366" s="559" t="s">
        <v>3278</v>
      </c>
      <c r="M1366" s="559">
        <v>44550</v>
      </c>
      <c r="N1366" s="559">
        <v>44652</v>
      </c>
      <c r="O1366" s="560"/>
      <c r="P1366" s="559"/>
      <c r="Q1366" s="559"/>
      <c r="R1366" s="559"/>
      <c r="S1366" s="558" t="s">
        <v>2379</v>
      </c>
      <c r="T1366" s="558">
        <v>60</v>
      </c>
      <c r="U1366" s="558"/>
      <c r="V1366" s="558" t="s">
        <v>973</v>
      </c>
      <c r="W1366" s="558">
        <v>400</v>
      </c>
      <c r="X1366" s="561">
        <v>320</v>
      </c>
      <c r="Y1366" s="491">
        <f>X1366*W1366</f>
        <v>128000</v>
      </c>
      <c r="Z1366" s="562">
        <v>0.53</v>
      </c>
      <c r="AA1366" s="492">
        <f>Z1366*Y1366</f>
        <v>67840</v>
      </c>
      <c r="AB1366" s="480"/>
      <c r="AC1366" s="481">
        <f>AB1366*Y1366</f>
        <v>0</v>
      </c>
      <c r="AD1366" s="567"/>
      <c r="AE1366" s="563"/>
      <c r="AF1366" s="493">
        <f>AE1366+AD1366+AA1366</f>
        <v>67840</v>
      </c>
      <c r="AG1366" s="558" t="s">
        <v>1071</v>
      </c>
      <c r="AH1366" s="558"/>
      <c r="AI1366" s="564">
        <v>60</v>
      </c>
      <c r="AJ1366" s="558" t="s">
        <v>3479</v>
      </c>
      <c r="AK1366" s="565" t="s">
        <v>3480</v>
      </c>
      <c r="AL1366" s="558">
        <v>70087</v>
      </c>
      <c r="AM1366" s="558" t="s">
        <v>52</v>
      </c>
      <c r="AN1366" s="558"/>
      <c r="AO1366" s="558"/>
      <c r="AP1366" s="566"/>
      <c r="AQ1366" s="566" t="s">
        <v>37</v>
      </c>
      <c r="AR1366" s="566"/>
      <c r="AS1366" s="495" t="s">
        <v>1076</v>
      </c>
      <c r="AT1366" s="495" t="s">
        <v>1076</v>
      </c>
      <c r="AU1366" s="506">
        <v>0.53</v>
      </c>
      <c r="AV1366" s="471">
        <f t="shared" si="255"/>
        <v>0</v>
      </c>
      <c r="AW1366" s="471" cm="1">
        <f t="array" ref="AW1366">SUM(MID(0&amp;AV1366,LARGE(INDEX(ISNUMBER(--MID(AV1366,ROW($1:$8),1))*ROW($1:$8),),ROW($1:$8))+1,1)*10^ROW($1:$8)/10)</f>
        <v>0</v>
      </c>
      <c r="AX1366" s="471" t="e">
        <f>VLOOKUP($AW1366,'Item Master Data'!$A:$F,3,FALSE)</f>
        <v>#N/A</v>
      </c>
      <c r="AY1366" s="471" t="e">
        <f>VLOOKUP($AW1366,'Item Master Data'!$A:$F,6,FALSE)</f>
        <v>#N/A</v>
      </c>
      <c r="AZ1366" s="471" t="e">
        <f t="shared" si="256"/>
        <v>#N/A</v>
      </c>
      <c r="BA1366" s="471" t="e">
        <f>VLOOKUP(AW1366,'Item Master Data'!$A:$G,7,FALSE)</f>
        <v>#N/A</v>
      </c>
      <c r="BC1366" s="471" t="e">
        <f t="shared" si="257"/>
        <v>#N/A</v>
      </c>
    </row>
    <row r="1367" spans="1:55" s="471" customFormat="1">
      <c r="A1367" s="472"/>
      <c r="B1367" s="472"/>
      <c r="C1367" s="472"/>
      <c r="D1367" s="557" t="s">
        <v>3186</v>
      </c>
      <c r="E1367" s="557" t="s">
        <v>3044</v>
      </c>
      <c r="F1367" s="558"/>
      <c r="G1367" s="558"/>
      <c r="H1367" s="547">
        <v>6</v>
      </c>
      <c r="I1367" s="558" t="s">
        <v>1676</v>
      </c>
      <c r="J1367" s="559"/>
      <c r="K1367" s="559" t="s">
        <v>3602</v>
      </c>
      <c r="L1367" s="559" t="s">
        <v>3278</v>
      </c>
      <c r="M1367" s="559">
        <v>44550</v>
      </c>
      <c r="N1367" s="559">
        <v>44687</v>
      </c>
      <c r="O1367" s="560"/>
      <c r="P1367" s="559"/>
      <c r="Q1367" s="559"/>
      <c r="R1367" s="559"/>
      <c r="S1367" s="558" t="s">
        <v>2379</v>
      </c>
      <c r="T1367" s="558">
        <v>60</v>
      </c>
      <c r="U1367" s="558"/>
      <c r="V1367" s="558" t="s">
        <v>973</v>
      </c>
      <c r="W1367" s="558">
        <v>400</v>
      </c>
      <c r="X1367" s="561">
        <v>320</v>
      </c>
      <c r="Y1367" s="491">
        <v>128000</v>
      </c>
      <c r="Z1367" s="562">
        <v>0.53</v>
      </c>
      <c r="AA1367" s="492">
        <v>67840</v>
      </c>
      <c r="AB1367" s="480"/>
      <c r="AC1367" s="481">
        <v>0</v>
      </c>
      <c r="AD1367" s="567"/>
      <c r="AE1367" s="563"/>
      <c r="AF1367" s="493">
        <v>67840</v>
      </c>
      <c r="AG1367" s="558" t="s">
        <v>1071</v>
      </c>
      <c r="AH1367" s="558"/>
      <c r="AI1367" s="564">
        <v>60</v>
      </c>
      <c r="AJ1367" s="558" t="s">
        <v>2426</v>
      </c>
      <c r="AK1367" s="565" t="s">
        <v>1144</v>
      </c>
      <c r="AL1367" s="558">
        <v>78217</v>
      </c>
      <c r="AM1367" s="558" t="s">
        <v>52</v>
      </c>
      <c r="AN1367" s="558"/>
      <c r="AO1367" s="558"/>
      <c r="AP1367" s="566"/>
      <c r="AQ1367" s="566" t="s">
        <v>37</v>
      </c>
      <c r="AR1367" s="566"/>
      <c r="AS1367" s="495" t="s">
        <v>1076</v>
      </c>
      <c r="AT1367" s="495" t="s">
        <v>1076</v>
      </c>
      <c r="AU1367" s="506">
        <v>0.53</v>
      </c>
      <c r="AV1367" s="471">
        <f t="shared" si="255"/>
        <v>0</v>
      </c>
      <c r="AW1367" s="471" cm="1">
        <f t="array" ref="AW1367">SUM(MID(0&amp;AV1367,LARGE(INDEX(ISNUMBER(--MID(AV1367,ROW($1:$8),1))*ROW($1:$8),),ROW($1:$8))+1,1)*10^ROW($1:$8)/10)</f>
        <v>0</v>
      </c>
      <c r="AX1367" s="471" t="e">
        <f>VLOOKUP($AW1367,'Item Master Data'!$A:$F,3,FALSE)</f>
        <v>#N/A</v>
      </c>
      <c r="AY1367" s="471" t="e">
        <f>VLOOKUP($AW1367,'Item Master Data'!$A:$F,6,FALSE)</f>
        <v>#N/A</v>
      </c>
      <c r="AZ1367" s="471" t="e">
        <f t="shared" si="256"/>
        <v>#N/A</v>
      </c>
      <c r="BA1367" s="471" t="e">
        <f>VLOOKUP(AW1367,'Item Master Data'!$A:$G,7,FALSE)</f>
        <v>#N/A</v>
      </c>
      <c r="BC1367" s="471" t="e">
        <f t="shared" si="257"/>
        <v>#N/A</v>
      </c>
    </row>
    <row r="1368" spans="1:55" s="471" customFormat="1">
      <c r="A1368" s="472"/>
      <c r="B1368" s="472"/>
      <c r="C1368" s="472"/>
      <c r="D1368" s="557" t="s">
        <v>3186</v>
      </c>
      <c r="E1368" s="557" t="s">
        <v>3044</v>
      </c>
      <c r="F1368" s="558"/>
      <c r="G1368" s="558"/>
      <c r="H1368" s="547">
        <v>5</v>
      </c>
      <c r="I1368" s="558" t="s">
        <v>1676</v>
      </c>
      <c r="J1368" s="559"/>
      <c r="K1368" s="559" t="s">
        <v>3430</v>
      </c>
      <c r="L1368" s="559" t="s">
        <v>3278</v>
      </c>
      <c r="M1368" s="559">
        <v>44550</v>
      </c>
      <c r="N1368" s="559">
        <v>44652</v>
      </c>
      <c r="O1368" s="560"/>
      <c r="P1368" s="559"/>
      <c r="Q1368" s="559"/>
      <c r="R1368" s="559"/>
      <c r="S1368" s="558" t="s">
        <v>2379</v>
      </c>
      <c r="T1368" s="558">
        <v>60</v>
      </c>
      <c r="U1368" s="558"/>
      <c r="V1368" s="558" t="s">
        <v>973</v>
      </c>
      <c r="W1368" s="558">
        <v>400</v>
      </c>
      <c r="X1368" s="561">
        <v>320</v>
      </c>
      <c r="Y1368" s="491">
        <f>X1368*W1368</f>
        <v>128000</v>
      </c>
      <c r="Z1368" s="562">
        <v>0.53</v>
      </c>
      <c r="AA1368" s="492">
        <f>Z1368*Y1368</f>
        <v>67840</v>
      </c>
      <c r="AB1368" s="480"/>
      <c r="AC1368" s="481">
        <f>AB1368*Y1368</f>
        <v>0</v>
      </c>
      <c r="AD1368" s="567"/>
      <c r="AE1368" s="563"/>
      <c r="AF1368" s="493">
        <f>AE1368+AD1368+AA1368</f>
        <v>67840</v>
      </c>
      <c r="AG1368" s="558" t="s">
        <v>1071</v>
      </c>
      <c r="AH1368" s="558"/>
      <c r="AI1368" s="564">
        <v>60</v>
      </c>
      <c r="AJ1368" s="558" t="s">
        <v>2426</v>
      </c>
      <c r="AK1368" s="565" t="s">
        <v>1144</v>
      </c>
      <c r="AL1368" s="558">
        <v>78217</v>
      </c>
      <c r="AM1368" s="558" t="s">
        <v>52</v>
      </c>
      <c r="AN1368" s="558"/>
      <c r="AO1368" s="558"/>
      <c r="AP1368" s="566"/>
      <c r="AQ1368" s="566" t="s">
        <v>37</v>
      </c>
      <c r="AR1368" s="566"/>
      <c r="AS1368" s="495" t="s">
        <v>1076</v>
      </c>
      <c r="AT1368" s="495" t="s">
        <v>1076</v>
      </c>
      <c r="AU1368" s="506">
        <v>0.53</v>
      </c>
      <c r="AV1368" s="471">
        <f t="shared" si="255"/>
        <v>0</v>
      </c>
      <c r="AW1368" s="471" cm="1">
        <f t="array" ref="AW1368">SUM(MID(0&amp;AV1368,LARGE(INDEX(ISNUMBER(--MID(AV1368,ROW($1:$8),1))*ROW($1:$8),),ROW($1:$8))+1,1)*10^ROW($1:$8)/10)</f>
        <v>0</v>
      </c>
      <c r="AX1368" s="471" t="e">
        <f>VLOOKUP($AW1368,'Item Master Data'!$A:$F,3,FALSE)</f>
        <v>#N/A</v>
      </c>
      <c r="AY1368" s="471" t="e">
        <f>VLOOKUP($AW1368,'Item Master Data'!$A:$F,6,FALSE)</f>
        <v>#N/A</v>
      </c>
      <c r="AZ1368" s="471" t="e">
        <f t="shared" si="256"/>
        <v>#N/A</v>
      </c>
      <c r="BA1368" s="471" t="e">
        <f>VLOOKUP(AW1368,'Item Master Data'!$A:$G,7,FALSE)</f>
        <v>#N/A</v>
      </c>
      <c r="BC1368" s="471" t="e">
        <f t="shared" si="257"/>
        <v>#N/A</v>
      </c>
    </row>
    <row r="1369" spans="1:55" s="471" customFormat="1">
      <c r="A1369" s="472"/>
      <c r="B1369" s="514">
        <v>44553</v>
      </c>
      <c r="C1369" s="514">
        <v>44669</v>
      </c>
      <c r="D1369" s="485" t="s">
        <v>3186</v>
      </c>
      <c r="E1369" s="485" t="s">
        <v>3044</v>
      </c>
      <c r="F1369" s="474"/>
      <c r="G1369" s="474"/>
      <c r="H1369" s="547">
        <v>4</v>
      </c>
      <c r="I1369" s="474"/>
      <c r="J1369" s="475"/>
      <c r="K1369" s="475" t="s">
        <v>3351</v>
      </c>
      <c r="L1369" s="475" t="s">
        <v>3278</v>
      </c>
      <c r="M1369" s="475">
        <v>44550</v>
      </c>
      <c r="N1369" s="475">
        <v>44652</v>
      </c>
      <c r="O1369" s="487"/>
      <c r="P1369" s="475">
        <v>44671</v>
      </c>
      <c r="Q1369" s="475"/>
      <c r="R1369" s="475">
        <v>44683</v>
      </c>
      <c r="S1369" s="474" t="s">
        <v>2379</v>
      </c>
      <c r="T1369" s="474">
        <v>60</v>
      </c>
      <c r="U1369" s="474" t="s">
        <v>1760</v>
      </c>
      <c r="V1369" s="474" t="s">
        <v>973</v>
      </c>
      <c r="W1369" s="474">
        <v>400</v>
      </c>
      <c r="X1369" s="476">
        <v>768</v>
      </c>
      <c r="Y1369" s="491">
        <f>X1369*W1369</f>
        <v>307200</v>
      </c>
      <c r="Z1369" s="478">
        <v>0.53</v>
      </c>
      <c r="AA1369" s="492">
        <f>Z1369*Y1369</f>
        <v>162816</v>
      </c>
      <c r="AB1369" s="480"/>
      <c r="AC1369" s="481">
        <f>AB1369*Y1369</f>
        <v>0</v>
      </c>
      <c r="AD1369" s="490"/>
      <c r="AE1369" s="482"/>
      <c r="AF1369" s="493">
        <f>AE1369+AD1369+AA1369</f>
        <v>162816</v>
      </c>
      <c r="AG1369" s="474" t="s">
        <v>1071</v>
      </c>
      <c r="AH1369" s="474"/>
      <c r="AI1369" s="483">
        <v>60</v>
      </c>
      <c r="AJ1369" s="474" t="s">
        <v>1593</v>
      </c>
      <c r="AK1369" s="494" t="s">
        <v>1144</v>
      </c>
      <c r="AL1369" s="474">
        <v>78744</v>
      </c>
      <c r="AM1369" s="474" t="s">
        <v>52</v>
      </c>
      <c r="AN1369" s="474" t="s">
        <v>50</v>
      </c>
      <c r="AO1369" s="474"/>
      <c r="AP1369" s="486"/>
      <c r="AQ1369" s="486" t="s">
        <v>37</v>
      </c>
      <c r="AR1369" s="486"/>
      <c r="AS1369" s="495" t="s">
        <v>1076</v>
      </c>
      <c r="AT1369" s="495" t="s">
        <v>1076</v>
      </c>
      <c r="AU1369" s="506">
        <v>0.53</v>
      </c>
      <c r="AV1369" s="471" t="str">
        <f t="shared" si="255"/>
        <v>30390156H</v>
      </c>
      <c r="AW1369" s="471" cm="1">
        <f t="array" ref="AW1369">SUM(MID(0&amp;AV1369,LARGE(INDEX(ISNUMBER(--MID(AV1369,ROW($1:$8),1))*ROW($1:$8),),ROW($1:$8))+1,1)*10^ROW($1:$8)/10)</f>
        <v>30390156</v>
      </c>
      <c r="AX1369" s="471" t="str">
        <f>VLOOKUP($AW1369,'Item Master Data'!$A:$F,3,FALSE)</f>
        <v>Q.PEAK DUO BLK ML G10+</v>
      </c>
      <c r="AY1369" s="471">
        <f>VLOOKUP($AW1369,'Item Master Data'!$A:$F,6,FALSE)</f>
        <v>400</v>
      </c>
      <c r="AZ1369" s="471">
        <f t="shared" si="256"/>
        <v>24</v>
      </c>
      <c r="BA1369" s="471">
        <f>VLOOKUP(AW1369,'Item Master Data'!$A:$G,7,FALSE)</f>
        <v>32</v>
      </c>
      <c r="BC1369" s="471">
        <f t="shared" si="257"/>
        <v>0</v>
      </c>
    </row>
    <row r="1370" spans="1:55" s="471" customFormat="1">
      <c r="A1370" s="472"/>
      <c r="B1370" s="515">
        <v>44658</v>
      </c>
      <c r="C1370" s="515">
        <v>44658</v>
      </c>
      <c r="D1370" s="485" t="s">
        <v>3186</v>
      </c>
      <c r="E1370" s="474"/>
      <c r="F1370" s="474"/>
      <c r="G1370" s="474">
        <v>2022</v>
      </c>
      <c r="H1370" s="474">
        <v>5</v>
      </c>
      <c r="I1370" s="474"/>
      <c r="J1370" s="475"/>
      <c r="K1370" s="483" t="s">
        <v>3454</v>
      </c>
      <c r="L1370" s="474" t="s">
        <v>3278</v>
      </c>
      <c r="M1370" s="487">
        <v>44550</v>
      </c>
      <c r="N1370" s="487">
        <v>44687</v>
      </c>
      <c r="O1370" s="487"/>
      <c r="P1370" s="475"/>
      <c r="Q1370" s="475"/>
      <c r="R1370" s="475"/>
      <c r="S1370" s="474" t="s">
        <v>2379</v>
      </c>
      <c r="T1370" s="474">
        <v>72</v>
      </c>
      <c r="U1370" s="474" t="s">
        <v>1103</v>
      </c>
      <c r="V1370" s="474" t="s">
        <v>1050</v>
      </c>
      <c r="W1370" s="474">
        <v>480</v>
      </c>
      <c r="X1370" s="476">
        <v>435</v>
      </c>
      <c r="Y1370" s="477">
        <f>X1370*W1370</f>
        <v>208800</v>
      </c>
      <c r="Z1370" s="478">
        <v>0.47499999999999998</v>
      </c>
      <c r="AA1370" s="479">
        <f>Z1370*Y1370</f>
        <v>99180</v>
      </c>
      <c r="AB1370" s="480"/>
      <c r="AC1370" s="481">
        <f>AB1370*Y1370</f>
        <v>0</v>
      </c>
      <c r="AD1370" s="490"/>
      <c r="AE1370" s="482"/>
      <c r="AF1370" s="493">
        <f>AE1370+AD1370+AA1370</f>
        <v>99180</v>
      </c>
      <c r="AG1370" s="474" t="s">
        <v>1071</v>
      </c>
      <c r="AH1370" s="474"/>
      <c r="AI1370" s="483">
        <v>60</v>
      </c>
      <c r="AJ1370" s="474" t="s">
        <v>1593</v>
      </c>
      <c r="AK1370" s="494" t="s">
        <v>1144</v>
      </c>
      <c r="AL1370" s="474">
        <v>78744</v>
      </c>
      <c r="AM1370" s="474" t="s">
        <v>52</v>
      </c>
      <c r="AN1370" s="474" t="s">
        <v>50</v>
      </c>
      <c r="AO1370" s="474"/>
      <c r="AP1370" s="486"/>
      <c r="AQ1370" s="486" t="s">
        <v>37</v>
      </c>
      <c r="AR1370" s="486"/>
      <c r="AS1370" s="495" t="s">
        <v>1076</v>
      </c>
      <c r="AT1370" s="495" t="s">
        <v>1076</v>
      </c>
      <c r="AU1370" s="478"/>
      <c r="AV1370" s="471" t="str">
        <f t="shared" si="255"/>
        <v>30397472F</v>
      </c>
      <c r="AW1370" s="471" cm="1">
        <f t="array" ref="AW1370">SUM(MID(0&amp;AV1370,LARGE(INDEX(ISNUMBER(--MID(AV1370,ROW($1:$8),1))*ROW($1:$8),),ROW($1:$8))+1,1)*10^ROW($1:$8)/10)</f>
        <v>30397472</v>
      </c>
      <c r="AX1370" s="471" t="str">
        <f>VLOOKUP($AW1370,'Item Master Data'!$A:$F,3,FALSE)</f>
        <v>Q.PEAK DUO XL G10</v>
      </c>
      <c r="AY1370" s="471">
        <f>VLOOKUP($AW1370,'Item Master Data'!$A:$F,6,FALSE)</f>
        <v>480</v>
      </c>
      <c r="AZ1370" s="471">
        <f t="shared" si="256"/>
        <v>15</v>
      </c>
      <c r="BA1370" s="471">
        <f>VLOOKUP(AW1370,'Item Master Data'!$A:$G,7,FALSE)</f>
        <v>29</v>
      </c>
      <c r="BC1370" s="471">
        <f t="shared" si="257"/>
        <v>0</v>
      </c>
    </row>
    <row r="1371" spans="1:55" s="471" customFormat="1">
      <c r="A1371" s="472"/>
      <c r="B1371" s="515">
        <v>44658</v>
      </c>
      <c r="C1371" s="515">
        <v>44658</v>
      </c>
      <c r="D1371" s="485" t="s">
        <v>3186</v>
      </c>
      <c r="E1371" s="474" t="s">
        <v>5577</v>
      </c>
      <c r="F1371" s="474"/>
      <c r="G1371" s="474">
        <v>2022</v>
      </c>
      <c r="H1371" s="519">
        <v>5</v>
      </c>
      <c r="I1371" s="474"/>
      <c r="J1371" s="475"/>
      <c r="K1371" s="483" t="s">
        <v>3358</v>
      </c>
      <c r="L1371" s="474" t="s">
        <v>3278</v>
      </c>
      <c r="M1371" s="487">
        <v>44550</v>
      </c>
      <c r="N1371" s="487">
        <v>44652</v>
      </c>
      <c r="O1371" s="475" t="s">
        <v>5506</v>
      </c>
      <c r="P1371" s="475">
        <v>44673</v>
      </c>
      <c r="Q1371" s="475">
        <v>44678</v>
      </c>
      <c r="R1371" s="475">
        <v>44680</v>
      </c>
      <c r="S1371" s="474" t="s">
        <v>2379</v>
      </c>
      <c r="T1371" s="474">
        <v>72</v>
      </c>
      <c r="U1371" s="474">
        <v>49303156</v>
      </c>
      <c r="V1371" s="474" t="s">
        <v>1050</v>
      </c>
      <c r="W1371" s="474">
        <v>480</v>
      </c>
      <c r="X1371" s="476">
        <v>435</v>
      </c>
      <c r="Y1371" s="477">
        <f>X1371*W1371</f>
        <v>208800</v>
      </c>
      <c r="Z1371" s="478">
        <v>0.47499999999999998</v>
      </c>
      <c r="AA1371" s="479">
        <f>Z1371*Y1371</f>
        <v>99180</v>
      </c>
      <c r="AB1371" s="480"/>
      <c r="AC1371" s="481">
        <f>AB1371*Y1371</f>
        <v>0</v>
      </c>
      <c r="AD1371" s="490"/>
      <c r="AE1371" s="482"/>
      <c r="AF1371" s="493">
        <f>AE1371+AD1371+AA1371</f>
        <v>99180</v>
      </c>
      <c r="AG1371" s="474" t="s">
        <v>1071</v>
      </c>
      <c r="AH1371" s="474"/>
      <c r="AI1371" s="483">
        <v>60</v>
      </c>
      <c r="AJ1371" s="474" t="s">
        <v>1593</v>
      </c>
      <c r="AK1371" s="494" t="s">
        <v>1144</v>
      </c>
      <c r="AL1371" s="474">
        <v>78744</v>
      </c>
      <c r="AM1371" s="474" t="s">
        <v>52</v>
      </c>
      <c r="AN1371" s="474" t="s">
        <v>1106</v>
      </c>
      <c r="AO1371" s="474"/>
      <c r="AP1371" s="486" t="s">
        <v>38</v>
      </c>
      <c r="AQ1371" s="486" t="s">
        <v>37</v>
      </c>
      <c r="AR1371" s="486"/>
      <c r="AS1371" s="495" t="s">
        <v>1076</v>
      </c>
      <c r="AT1371" s="495" t="s">
        <v>1076</v>
      </c>
      <c r="AU1371" s="478"/>
      <c r="AV1371" s="471">
        <f t="shared" si="255"/>
        <v>49303156</v>
      </c>
      <c r="AW1371" s="471" cm="1">
        <f t="array" ref="AW1371">SUM(MID(0&amp;AV1371,LARGE(INDEX(ISNUMBER(--MID(AV1371,ROW($1:$8),1))*ROW($1:$8),),ROW($1:$8))+1,1)*10^ROW($1:$8)/10)</f>
        <v>49303156</v>
      </c>
      <c r="AX1371" s="471" t="str">
        <f>VLOOKUP($AW1371,'Item Master Data'!$A:$F,3,FALSE)</f>
        <v>Q.PEAK DUO XL G10 BFG</v>
      </c>
      <c r="AY1371" s="471">
        <f>VLOOKUP($AW1371,'Item Master Data'!$A:$F,6,FALSE)</f>
        <v>480</v>
      </c>
      <c r="AZ1371" s="471">
        <f t="shared" si="256"/>
        <v>15</v>
      </c>
      <c r="BA1371" s="471">
        <f>VLOOKUP(AW1371,'Item Master Data'!$A:$G,7,FALSE)</f>
        <v>29</v>
      </c>
      <c r="BC1371" s="471">
        <f t="shared" si="257"/>
        <v>0</v>
      </c>
    </row>
    <row r="1372" spans="1:55" s="471" customFormat="1">
      <c r="A1372" s="472"/>
      <c r="B1372" s="515">
        <v>44658</v>
      </c>
      <c r="C1372" s="515">
        <v>44658</v>
      </c>
      <c r="D1372" s="485" t="s">
        <v>3186</v>
      </c>
      <c r="E1372" s="474"/>
      <c r="F1372" s="474"/>
      <c r="G1372" s="474">
        <v>2022</v>
      </c>
      <c r="H1372" s="474">
        <v>6</v>
      </c>
      <c r="I1372" s="474"/>
      <c r="J1372" s="475"/>
      <c r="K1372" s="483" t="s">
        <v>3456</v>
      </c>
      <c r="L1372" s="474" t="s">
        <v>3278</v>
      </c>
      <c r="M1372" s="487">
        <v>44550</v>
      </c>
      <c r="N1372" s="487">
        <v>44713</v>
      </c>
      <c r="O1372" s="487"/>
      <c r="P1372" s="475"/>
      <c r="Q1372" s="475"/>
      <c r="R1372" s="475"/>
      <c r="S1372" s="474" t="s">
        <v>2379</v>
      </c>
      <c r="T1372" s="474">
        <v>72</v>
      </c>
      <c r="U1372" s="474" t="s">
        <v>1103</v>
      </c>
      <c r="V1372" s="474" t="s">
        <v>1050</v>
      </c>
      <c r="W1372" s="474">
        <v>480</v>
      </c>
      <c r="X1372" s="476">
        <v>435</v>
      </c>
      <c r="Y1372" s="477">
        <f>X1372*W1372</f>
        <v>208800</v>
      </c>
      <c r="Z1372" s="478">
        <v>0.47499999999999998</v>
      </c>
      <c r="AA1372" s="479">
        <f>Z1372*Y1372</f>
        <v>99180</v>
      </c>
      <c r="AB1372" s="480"/>
      <c r="AC1372" s="481">
        <f>AB1372*Y1372</f>
        <v>0</v>
      </c>
      <c r="AD1372" s="490"/>
      <c r="AE1372" s="482"/>
      <c r="AF1372" s="493">
        <f>AE1372+AD1372+AA1372</f>
        <v>99180</v>
      </c>
      <c r="AG1372" s="474" t="s">
        <v>1071</v>
      </c>
      <c r="AH1372" s="474"/>
      <c r="AI1372" s="483">
        <v>60</v>
      </c>
      <c r="AJ1372" s="474" t="s">
        <v>1593</v>
      </c>
      <c r="AK1372" s="494" t="s">
        <v>1144</v>
      </c>
      <c r="AL1372" s="474">
        <v>78744</v>
      </c>
      <c r="AM1372" s="474" t="s">
        <v>52</v>
      </c>
      <c r="AN1372" s="474" t="s">
        <v>50</v>
      </c>
      <c r="AO1372" s="474"/>
      <c r="AP1372" s="486"/>
      <c r="AQ1372" s="486" t="s">
        <v>37</v>
      </c>
      <c r="AR1372" s="486"/>
      <c r="AS1372" s="495" t="s">
        <v>1076</v>
      </c>
      <c r="AT1372" s="495" t="s">
        <v>1076</v>
      </c>
      <c r="AU1372" s="478"/>
      <c r="AV1372" s="471" t="str">
        <f t="shared" si="255"/>
        <v>30397472F</v>
      </c>
      <c r="AW1372" s="471" cm="1">
        <f t="array" ref="AW1372">SUM(MID(0&amp;AV1372,LARGE(INDEX(ISNUMBER(--MID(AV1372,ROW($1:$8),1))*ROW($1:$8),),ROW($1:$8))+1,1)*10^ROW($1:$8)/10)</f>
        <v>30397472</v>
      </c>
      <c r="AX1372" s="471" t="str">
        <f>VLOOKUP($AW1372,'Item Master Data'!$A:$F,3,FALSE)</f>
        <v>Q.PEAK DUO XL G10</v>
      </c>
      <c r="AY1372" s="471">
        <f>VLOOKUP($AW1372,'Item Master Data'!$A:$F,6,FALSE)</f>
        <v>480</v>
      </c>
      <c r="AZ1372" s="471">
        <f t="shared" si="256"/>
        <v>15</v>
      </c>
      <c r="BA1372" s="471">
        <f>VLOOKUP(AW1372,'Item Master Data'!$A:$G,7,FALSE)</f>
        <v>29</v>
      </c>
      <c r="BC1372" s="471">
        <f t="shared" si="257"/>
        <v>0</v>
      </c>
    </row>
    <row r="1373" spans="1:55" s="471" customFormat="1">
      <c r="A1373" s="472"/>
      <c r="B1373" s="515">
        <v>44624</v>
      </c>
      <c r="C1373" s="515">
        <v>44624</v>
      </c>
      <c r="D1373" s="485" t="s">
        <v>3186</v>
      </c>
      <c r="E1373" s="474"/>
      <c r="F1373" s="474"/>
      <c r="G1373" s="474">
        <v>2022</v>
      </c>
      <c r="H1373" s="474">
        <v>3</v>
      </c>
      <c r="I1373" s="474">
        <v>127590</v>
      </c>
      <c r="J1373" s="475">
        <v>44648</v>
      </c>
      <c r="K1373" s="483" t="s">
        <v>3423</v>
      </c>
      <c r="L1373" s="474" t="s">
        <v>3278</v>
      </c>
      <c r="M1373" s="487">
        <v>44546</v>
      </c>
      <c r="N1373" s="487">
        <v>44624</v>
      </c>
      <c r="O1373" s="487"/>
      <c r="P1373" s="475">
        <v>44630</v>
      </c>
      <c r="Q1373" s="475">
        <v>44648</v>
      </c>
      <c r="R1373" s="475">
        <v>44650</v>
      </c>
      <c r="S1373" s="474" t="s">
        <v>2379</v>
      </c>
      <c r="T1373" s="474">
        <v>72</v>
      </c>
      <c r="U1373" s="474" t="s">
        <v>1809</v>
      </c>
      <c r="V1373" s="474" t="s">
        <v>1104</v>
      </c>
      <c r="W1373" s="474">
        <v>475</v>
      </c>
      <c r="X1373" s="476">
        <v>435</v>
      </c>
      <c r="Y1373" s="477">
        <f>X1373*W1373</f>
        <v>206625</v>
      </c>
      <c r="Z1373" s="478">
        <v>0.47</v>
      </c>
      <c r="AA1373" s="479">
        <f>Z1373*Y1373</f>
        <v>97113.75</v>
      </c>
      <c r="AB1373" s="480"/>
      <c r="AC1373" s="481">
        <f>AB1373*Y1373</f>
        <v>0</v>
      </c>
      <c r="AD1373" s="490"/>
      <c r="AE1373" s="482"/>
      <c r="AF1373" s="493">
        <f>AE1373+AD1373+AA1373</f>
        <v>97113.75</v>
      </c>
      <c r="AG1373" s="474" t="s">
        <v>1071</v>
      </c>
      <c r="AH1373" s="474"/>
      <c r="AI1373" s="483">
        <v>60</v>
      </c>
      <c r="AJ1373" s="474" t="s">
        <v>1593</v>
      </c>
      <c r="AK1373" s="494" t="s">
        <v>1144</v>
      </c>
      <c r="AL1373" s="474">
        <v>78744</v>
      </c>
      <c r="AM1373" s="474" t="s">
        <v>52</v>
      </c>
      <c r="AN1373" s="474" t="s">
        <v>50</v>
      </c>
      <c r="AO1373" s="474"/>
      <c r="AP1373" s="486" t="s">
        <v>38</v>
      </c>
      <c r="AQ1373" s="486" t="s">
        <v>37</v>
      </c>
      <c r="AR1373" s="486"/>
      <c r="AS1373" s="495"/>
      <c r="AT1373" s="495"/>
      <c r="AU1373" s="478"/>
      <c r="AV1373" s="471" t="str">
        <f t="shared" si="255"/>
        <v>30397471F</v>
      </c>
      <c r="AW1373" s="471" cm="1">
        <f t="array" ref="AW1373">SUM(MID(0&amp;AV1373,LARGE(INDEX(ISNUMBER(--MID(AV1373,ROW($1:$8),1))*ROW($1:$8),),ROW($1:$8))+1,1)*10^ROW($1:$8)/10)</f>
        <v>30397471</v>
      </c>
      <c r="AX1373" s="471" t="str">
        <f>VLOOKUP($AW1373,'Item Master Data'!$A:$F,3,FALSE)</f>
        <v>Q.PEAK DUO XL G10</v>
      </c>
      <c r="AY1373" s="471">
        <f>VLOOKUP($AW1373,'Item Master Data'!$A:$F,6,FALSE)</f>
        <v>475</v>
      </c>
      <c r="AZ1373" s="471">
        <f t="shared" si="256"/>
        <v>15</v>
      </c>
      <c r="BA1373" s="471">
        <f>VLOOKUP(AW1373,'Item Master Data'!$A:$G,7,FALSE)</f>
        <v>29</v>
      </c>
      <c r="BC1373" s="471">
        <f t="shared" si="257"/>
        <v>0</v>
      </c>
    </row>
    <row r="1374" spans="1:55" s="471" customFormat="1">
      <c r="A1374" s="472"/>
      <c r="B1374" s="515"/>
      <c r="C1374" s="515"/>
      <c r="D1374" s="485" t="s">
        <v>3186</v>
      </c>
      <c r="E1374" s="474"/>
      <c r="F1374" s="474"/>
      <c r="G1374" s="474">
        <v>2022</v>
      </c>
      <c r="H1374" s="474">
        <v>9</v>
      </c>
      <c r="I1374" s="474"/>
      <c r="J1374" s="475"/>
      <c r="K1374" s="483" t="s">
        <v>3422</v>
      </c>
      <c r="L1374" s="474" t="s">
        <v>3278</v>
      </c>
      <c r="M1374" s="487">
        <v>44516</v>
      </c>
      <c r="N1374" s="487">
        <v>44834</v>
      </c>
      <c r="O1374" s="487"/>
      <c r="P1374" s="475"/>
      <c r="Q1374" s="475"/>
      <c r="R1374" s="475"/>
      <c r="S1374" s="474" t="s">
        <v>1563</v>
      </c>
      <c r="T1374" s="474">
        <v>60</v>
      </c>
      <c r="U1374" s="474">
        <v>49401140</v>
      </c>
      <c r="V1374" s="474" t="s">
        <v>973</v>
      </c>
      <c r="W1374" s="474">
        <v>400</v>
      </c>
      <c r="X1374" s="476">
        <v>768</v>
      </c>
      <c r="Y1374" s="477">
        <f>X1374*W1374</f>
        <v>307200</v>
      </c>
      <c r="Z1374" s="478">
        <f>210/400</f>
        <v>0.52500000000000002</v>
      </c>
      <c r="AA1374" s="479">
        <f>Z1374*Y1374</f>
        <v>161280</v>
      </c>
      <c r="AB1374" s="480"/>
      <c r="AC1374" s="481">
        <f>AB1374*Y1374</f>
        <v>0</v>
      </c>
      <c r="AD1374" s="490"/>
      <c r="AE1374" s="482"/>
      <c r="AF1374" s="493">
        <f>AE1374+AD1374+AA1374</f>
        <v>161280</v>
      </c>
      <c r="AG1374" s="474" t="s">
        <v>1071</v>
      </c>
      <c r="AH1374" s="474"/>
      <c r="AI1374" s="483">
        <v>60</v>
      </c>
      <c r="AJ1374" s="474" t="s">
        <v>3226</v>
      </c>
      <c r="AK1374" s="494" t="s">
        <v>2362</v>
      </c>
      <c r="AL1374" s="474">
        <v>81505</v>
      </c>
      <c r="AM1374" s="474" t="s">
        <v>52</v>
      </c>
      <c r="AN1374" s="474" t="s">
        <v>1074</v>
      </c>
      <c r="AO1374" s="474"/>
      <c r="AP1374" s="486"/>
      <c r="AQ1374" s="486" t="s">
        <v>37</v>
      </c>
      <c r="AR1374" s="486"/>
      <c r="AS1374" s="495"/>
      <c r="AT1374" s="495"/>
      <c r="AU1374" s="478"/>
      <c r="AV1374" s="471">
        <f t="shared" si="255"/>
        <v>49401140</v>
      </c>
      <c r="AW1374" s="471" cm="1">
        <f t="array" ref="AW1374">SUM(MID(0&amp;AV1374,LARGE(INDEX(ISNUMBER(--MID(AV1374,ROW($1:$8),1))*ROW($1:$8),),ROW($1:$8))+1,1)*10^ROW($1:$8)/10)</f>
        <v>49401140</v>
      </c>
      <c r="AX1374" s="471" t="str">
        <f>VLOOKUP($AW1374,'Item Master Data'!$A:$F,3,FALSE)</f>
        <v>Q.PEAK DUO BLK ML G10.a+</v>
      </c>
      <c r="AY1374" s="471">
        <f>VLOOKUP($AW1374,'Item Master Data'!$A:$F,6,FALSE)</f>
        <v>400</v>
      </c>
      <c r="AZ1374" s="471">
        <f t="shared" si="256"/>
        <v>24</v>
      </c>
      <c r="BA1374" s="471">
        <f>VLOOKUP(AW1374,'Item Master Data'!$A:$G,7,FALSE)</f>
        <v>32</v>
      </c>
      <c r="BC1374" s="471">
        <f t="shared" si="257"/>
        <v>0</v>
      </c>
    </row>
    <row r="1375" spans="1:55" s="471" customFormat="1">
      <c r="A1375" s="472"/>
      <c r="B1375" s="515"/>
      <c r="C1375" s="515"/>
      <c r="D1375" s="485" t="s">
        <v>3186</v>
      </c>
      <c r="E1375" s="474"/>
      <c r="F1375" s="474"/>
      <c r="G1375" s="474">
        <v>2022</v>
      </c>
      <c r="H1375" s="474">
        <v>9</v>
      </c>
      <c r="I1375" s="474"/>
      <c r="J1375" s="475"/>
      <c r="K1375" s="483" t="s">
        <v>3421</v>
      </c>
      <c r="L1375" s="474" t="s">
        <v>3278</v>
      </c>
      <c r="M1375" s="487">
        <v>44516</v>
      </c>
      <c r="N1375" s="487">
        <v>44834</v>
      </c>
      <c r="O1375" s="487"/>
      <c r="P1375" s="475"/>
      <c r="Q1375" s="475"/>
      <c r="R1375" s="475"/>
      <c r="S1375" s="474" t="s">
        <v>1563</v>
      </c>
      <c r="T1375" s="474">
        <v>60</v>
      </c>
      <c r="U1375" s="474">
        <v>49401140</v>
      </c>
      <c r="V1375" s="474" t="s">
        <v>973</v>
      </c>
      <c r="W1375" s="474">
        <v>400</v>
      </c>
      <c r="X1375" s="476">
        <v>512</v>
      </c>
      <c r="Y1375" s="477">
        <f>X1375*W1375</f>
        <v>204800</v>
      </c>
      <c r="Z1375" s="478">
        <f>210/400</f>
        <v>0.52500000000000002</v>
      </c>
      <c r="AA1375" s="479">
        <f>Z1375*Y1375</f>
        <v>107520</v>
      </c>
      <c r="AB1375" s="480"/>
      <c r="AC1375" s="481">
        <f>AB1375*Y1375</f>
        <v>0</v>
      </c>
      <c r="AD1375" s="490"/>
      <c r="AE1375" s="482"/>
      <c r="AF1375" s="493">
        <f>AE1375+AD1375+AA1375</f>
        <v>107520</v>
      </c>
      <c r="AG1375" s="474" t="s">
        <v>1071</v>
      </c>
      <c r="AH1375" s="474"/>
      <c r="AI1375" s="483">
        <v>60</v>
      </c>
      <c r="AJ1375" s="474" t="s">
        <v>3349</v>
      </c>
      <c r="AK1375" s="494" t="s">
        <v>2362</v>
      </c>
      <c r="AL1375" s="474">
        <v>81001</v>
      </c>
      <c r="AM1375" s="474" t="s">
        <v>52</v>
      </c>
      <c r="AN1375" s="474" t="s">
        <v>1074</v>
      </c>
      <c r="AO1375" s="474"/>
      <c r="AP1375" s="486"/>
      <c r="AQ1375" s="486" t="s">
        <v>37</v>
      </c>
      <c r="AR1375" s="486"/>
      <c r="AS1375" s="495"/>
      <c r="AT1375" s="495"/>
      <c r="AU1375" s="478"/>
      <c r="AV1375" s="471">
        <f t="shared" si="255"/>
        <v>49401140</v>
      </c>
      <c r="AW1375" s="471" cm="1">
        <f t="array" ref="AW1375">SUM(MID(0&amp;AV1375,LARGE(INDEX(ISNUMBER(--MID(AV1375,ROW($1:$8),1))*ROW($1:$8),),ROW($1:$8))+1,1)*10^ROW($1:$8)/10)</f>
        <v>49401140</v>
      </c>
      <c r="AX1375" s="471" t="str">
        <f>VLOOKUP($AW1375,'Item Master Data'!$A:$F,3,FALSE)</f>
        <v>Q.PEAK DUO BLK ML G10.a+</v>
      </c>
      <c r="AY1375" s="471">
        <f>VLOOKUP($AW1375,'Item Master Data'!$A:$F,6,FALSE)</f>
        <v>400</v>
      </c>
      <c r="AZ1375" s="471">
        <f t="shared" si="256"/>
        <v>16</v>
      </c>
      <c r="BA1375" s="471">
        <f>VLOOKUP(AW1375,'Item Master Data'!$A:$G,7,FALSE)</f>
        <v>32</v>
      </c>
      <c r="BC1375" s="471">
        <f t="shared" si="257"/>
        <v>0</v>
      </c>
    </row>
    <row r="1376" spans="1:55" s="471" customFormat="1">
      <c r="A1376" s="472"/>
      <c r="B1376" s="515"/>
      <c r="C1376" s="515"/>
      <c r="D1376" s="485" t="s">
        <v>3186</v>
      </c>
      <c r="E1376" s="474"/>
      <c r="F1376" s="474"/>
      <c r="G1376" s="474">
        <v>2022</v>
      </c>
      <c r="H1376" s="474">
        <v>9</v>
      </c>
      <c r="I1376" s="474"/>
      <c r="J1376" s="475"/>
      <c r="K1376" s="483" t="s">
        <v>3364</v>
      </c>
      <c r="L1376" s="474" t="s">
        <v>3278</v>
      </c>
      <c r="M1376" s="487">
        <v>44516</v>
      </c>
      <c r="N1376" s="487">
        <v>44834</v>
      </c>
      <c r="O1376" s="487"/>
      <c r="P1376" s="475"/>
      <c r="Q1376" s="475"/>
      <c r="R1376" s="475"/>
      <c r="S1376" s="474" t="s">
        <v>1563</v>
      </c>
      <c r="T1376" s="474">
        <v>60</v>
      </c>
      <c r="U1376" s="474">
        <v>49401140</v>
      </c>
      <c r="V1376" s="474" t="s">
        <v>973</v>
      </c>
      <c r="W1376" s="474">
        <v>400</v>
      </c>
      <c r="X1376" s="476">
        <v>544</v>
      </c>
      <c r="Y1376" s="477">
        <f>X1376*W1376</f>
        <v>217600</v>
      </c>
      <c r="Z1376" s="478">
        <f>210/400</f>
        <v>0.52500000000000002</v>
      </c>
      <c r="AA1376" s="479">
        <f>Z1376*Y1376</f>
        <v>114240</v>
      </c>
      <c r="AB1376" s="480"/>
      <c r="AC1376" s="481">
        <f>AB1376*Y1376</f>
        <v>0</v>
      </c>
      <c r="AD1376" s="490"/>
      <c r="AE1376" s="482"/>
      <c r="AF1376" s="493">
        <f>AE1376+AD1376+AA1376</f>
        <v>114240</v>
      </c>
      <c r="AG1376" s="474" t="s">
        <v>1071</v>
      </c>
      <c r="AH1376" s="474"/>
      <c r="AI1376" s="483">
        <v>60</v>
      </c>
      <c r="AJ1376" s="474" t="s">
        <v>3365</v>
      </c>
      <c r="AK1376" s="494" t="s">
        <v>3366</v>
      </c>
      <c r="AL1376" s="474">
        <v>82007</v>
      </c>
      <c r="AM1376" s="474" t="s">
        <v>52</v>
      </c>
      <c r="AN1376" s="474" t="s">
        <v>1074</v>
      </c>
      <c r="AO1376" s="474"/>
      <c r="AP1376" s="486"/>
      <c r="AQ1376" s="486" t="s">
        <v>37</v>
      </c>
      <c r="AR1376" s="486"/>
      <c r="AS1376" s="495"/>
      <c r="AT1376" s="495"/>
      <c r="AU1376" s="478"/>
      <c r="AV1376" s="471">
        <f t="shared" si="255"/>
        <v>49401140</v>
      </c>
      <c r="AW1376" s="471" cm="1">
        <f t="array" ref="AW1376">SUM(MID(0&amp;AV1376,LARGE(INDEX(ISNUMBER(--MID(AV1376,ROW($1:$8),1))*ROW($1:$8),),ROW($1:$8))+1,1)*10^ROW($1:$8)/10)</f>
        <v>49401140</v>
      </c>
      <c r="AX1376" s="471" t="str">
        <f>VLOOKUP($AW1376,'Item Master Data'!$A:$F,3,FALSE)</f>
        <v>Q.PEAK DUO BLK ML G10.a+</v>
      </c>
      <c r="AY1376" s="471">
        <f>VLOOKUP($AW1376,'Item Master Data'!$A:$F,6,FALSE)</f>
        <v>400</v>
      </c>
      <c r="AZ1376" s="471">
        <f t="shared" si="256"/>
        <v>17</v>
      </c>
      <c r="BA1376" s="471">
        <f>VLOOKUP(AW1376,'Item Master Data'!$A:$G,7,FALSE)</f>
        <v>32</v>
      </c>
      <c r="BC1376" s="471">
        <f t="shared" si="257"/>
        <v>0</v>
      </c>
    </row>
    <row r="1377" spans="1:55" s="471" customFormat="1">
      <c r="A1377" s="472"/>
      <c r="B1377" s="515"/>
      <c r="C1377" s="515"/>
      <c r="D1377" s="485" t="s">
        <v>3186</v>
      </c>
      <c r="E1377" s="474"/>
      <c r="F1377" s="474"/>
      <c r="G1377" s="474">
        <v>2022</v>
      </c>
      <c r="H1377" s="474">
        <v>7</v>
      </c>
      <c r="I1377" s="474"/>
      <c r="J1377" s="475"/>
      <c r="K1377" s="483" t="s">
        <v>3363</v>
      </c>
      <c r="L1377" s="474" t="s">
        <v>3278</v>
      </c>
      <c r="M1377" s="487">
        <v>44516</v>
      </c>
      <c r="N1377" s="487">
        <v>44742</v>
      </c>
      <c r="O1377" s="487"/>
      <c r="P1377" s="475"/>
      <c r="Q1377" s="475"/>
      <c r="R1377" s="475"/>
      <c r="S1377" s="474" t="s">
        <v>1563</v>
      </c>
      <c r="T1377" s="474">
        <v>60</v>
      </c>
      <c r="U1377" s="474">
        <v>49401140</v>
      </c>
      <c r="V1377" s="474" t="s">
        <v>973</v>
      </c>
      <c r="W1377" s="474">
        <v>400</v>
      </c>
      <c r="X1377" s="476">
        <v>768</v>
      </c>
      <c r="Y1377" s="477">
        <f>X1377*W1377</f>
        <v>307200</v>
      </c>
      <c r="Z1377" s="478">
        <f>210/400</f>
        <v>0.52500000000000002</v>
      </c>
      <c r="AA1377" s="479">
        <f>Z1377*Y1377</f>
        <v>161280</v>
      </c>
      <c r="AB1377" s="480"/>
      <c r="AC1377" s="481">
        <f>AB1377*Y1377</f>
        <v>0</v>
      </c>
      <c r="AD1377" s="490"/>
      <c r="AE1377" s="482"/>
      <c r="AF1377" s="493">
        <f>AE1377+AD1377+AA1377</f>
        <v>161280</v>
      </c>
      <c r="AG1377" s="474" t="s">
        <v>1071</v>
      </c>
      <c r="AH1377" s="474"/>
      <c r="AI1377" s="483">
        <v>60</v>
      </c>
      <c r="AJ1377" s="474" t="s">
        <v>3226</v>
      </c>
      <c r="AK1377" s="494" t="s">
        <v>2362</v>
      </c>
      <c r="AL1377" s="474">
        <v>81505</v>
      </c>
      <c r="AM1377" s="474" t="s">
        <v>52</v>
      </c>
      <c r="AN1377" s="474" t="s">
        <v>1074</v>
      </c>
      <c r="AO1377" s="474"/>
      <c r="AP1377" s="486"/>
      <c r="AQ1377" s="486" t="s">
        <v>37</v>
      </c>
      <c r="AR1377" s="486"/>
      <c r="AS1377" s="495"/>
      <c r="AT1377" s="495"/>
      <c r="AU1377" s="478"/>
      <c r="AV1377" s="471">
        <f t="shared" si="255"/>
        <v>49401140</v>
      </c>
      <c r="AW1377" s="471" cm="1">
        <f t="array" ref="AW1377">SUM(MID(0&amp;AV1377,LARGE(INDEX(ISNUMBER(--MID(AV1377,ROW($1:$8),1))*ROW($1:$8),),ROW($1:$8))+1,1)*10^ROW($1:$8)/10)</f>
        <v>49401140</v>
      </c>
      <c r="AX1377" s="471" t="str">
        <f>VLOOKUP($AW1377,'Item Master Data'!$A:$F,3,FALSE)</f>
        <v>Q.PEAK DUO BLK ML G10.a+</v>
      </c>
      <c r="AY1377" s="471">
        <f>VLOOKUP($AW1377,'Item Master Data'!$A:$F,6,FALSE)</f>
        <v>400</v>
      </c>
      <c r="AZ1377" s="471">
        <f t="shared" si="256"/>
        <v>24</v>
      </c>
      <c r="BA1377" s="471">
        <f>VLOOKUP(AW1377,'Item Master Data'!$A:$G,7,FALSE)</f>
        <v>32</v>
      </c>
      <c r="BC1377" s="471">
        <f t="shared" si="257"/>
        <v>0</v>
      </c>
    </row>
    <row r="1378" spans="1:55" s="471" customFormat="1">
      <c r="A1378" s="472"/>
      <c r="B1378" s="515"/>
      <c r="C1378" s="515"/>
      <c r="D1378" s="485" t="s">
        <v>3186</v>
      </c>
      <c r="E1378" s="474"/>
      <c r="F1378" s="474"/>
      <c r="G1378" s="474">
        <v>2022</v>
      </c>
      <c r="H1378" s="474">
        <v>8</v>
      </c>
      <c r="I1378" s="474"/>
      <c r="J1378" s="475"/>
      <c r="K1378" s="483" t="s">
        <v>3631</v>
      </c>
      <c r="L1378" s="474" t="s">
        <v>3278</v>
      </c>
      <c r="M1378" s="487">
        <v>44516</v>
      </c>
      <c r="N1378" s="487">
        <v>44742</v>
      </c>
      <c r="O1378" s="487"/>
      <c r="P1378" s="475"/>
      <c r="Q1378" s="475"/>
      <c r="R1378" s="475"/>
      <c r="S1378" s="474" t="s">
        <v>1563</v>
      </c>
      <c r="T1378" s="474">
        <v>60</v>
      </c>
      <c r="U1378" s="474">
        <v>49401140</v>
      </c>
      <c r="V1378" s="474" t="s">
        <v>973</v>
      </c>
      <c r="W1378" s="474">
        <v>400</v>
      </c>
      <c r="X1378" s="476">
        <v>512</v>
      </c>
      <c r="Y1378" s="477">
        <f>X1378*W1378</f>
        <v>204800</v>
      </c>
      <c r="Z1378" s="478">
        <f>210/400</f>
        <v>0.52500000000000002</v>
      </c>
      <c r="AA1378" s="479">
        <f>Z1378*Y1378</f>
        <v>107520</v>
      </c>
      <c r="AB1378" s="480"/>
      <c r="AC1378" s="481">
        <f>AB1378*Y1378</f>
        <v>0</v>
      </c>
      <c r="AD1378" s="490"/>
      <c r="AE1378" s="482"/>
      <c r="AF1378" s="493">
        <f>AE1378+AD1378+AA1378</f>
        <v>107520</v>
      </c>
      <c r="AG1378" s="474" t="s">
        <v>1071</v>
      </c>
      <c r="AH1378" s="474"/>
      <c r="AI1378" s="483">
        <v>60</v>
      </c>
      <c r="AJ1378" s="474" t="s">
        <v>3349</v>
      </c>
      <c r="AK1378" s="494" t="s">
        <v>2362</v>
      </c>
      <c r="AL1378" s="474">
        <v>81001</v>
      </c>
      <c r="AM1378" s="474" t="s">
        <v>52</v>
      </c>
      <c r="AN1378" s="474" t="s">
        <v>1074</v>
      </c>
      <c r="AO1378" s="474"/>
      <c r="AP1378" s="486"/>
      <c r="AQ1378" s="486" t="s">
        <v>37</v>
      </c>
      <c r="AR1378" s="486"/>
      <c r="AS1378" s="495"/>
      <c r="AT1378" s="495"/>
      <c r="AU1378" s="478"/>
      <c r="AV1378" s="471">
        <f t="shared" si="255"/>
        <v>49401140</v>
      </c>
      <c r="AW1378" s="471" cm="1">
        <f t="array" ref="AW1378">SUM(MID(0&amp;AV1378,LARGE(INDEX(ISNUMBER(--MID(AV1378,ROW($1:$8),1))*ROW($1:$8),),ROW($1:$8))+1,1)*10^ROW($1:$8)/10)</f>
        <v>49401140</v>
      </c>
      <c r="AX1378" s="471" t="str">
        <f>VLOOKUP($AW1378,'Item Master Data'!$A:$F,3,FALSE)</f>
        <v>Q.PEAK DUO BLK ML G10.a+</v>
      </c>
      <c r="AY1378" s="471">
        <f>VLOOKUP($AW1378,'Item Master Data'!$A:$F,6,FALSE)</f>
        <v>400</v>
      </c>
      <c r="AZ1378" s="471">
        <f t="shared" si="256"/>
        <v>16</v>
      </c>
      <c r="BA1378" s="471">
        <f>VLOOKUP(AW1378,'Item Master Data'!$A:$G,7,FALSE)</f>
        <v>32</v>
      </c>
      <c r="BC1378" s="471">
        <f t="shared" si="257"/>
        <v>0</v>
      </c>
    </row>
    <row r="1379" spans="1:55" s="471" customFormat="1">
      <c r="A1379" s="472"/>
      <c r="B1379" s="515"/>
      <c r="C1379" s="515"/>
      <c r="D1379" s="485" t="s">
        <v>3186</v>
      </c>
      <c r="E1379" s="474"/>
      <c r="F1379" s="474"/>
      <c r="G1379" s="474">
        <v>2022</v>
      </c>
      <c r="H1379" s="474">
        <v>8</v>
      </c>
      <c r="I1379" s="474"/>
      <c r="J1379" s="475"/>
      <c r="K1379" s="483" t="s">
        <v>3620</v>
      </c>
      <c r="L1379" s="474" t="s">
        <v>3278</v>
      </c>
      <c r="M1379" s="487">
        <v>44516</v>
      </c>
      <c r="N1379" s="487">
        <v>44742</v>
      </c>
      <c r="O1379" s="487"/>
      <c r="P1379" s="475"/>
      <c r="Q1379" s="475"/>
      <c r="R1379" s="475"/>
      <c r="S1379" s="474" t="s">
        <v>1563</v>
      </c>
      <c r="T1379" s="474">
        <v>60</v>
      </c>
      <c r="U1379" s="474">
        <v>49401140</v>
      </c>
      <c r="V1379" s="474" t="s">
        <v>973</v>
      </c>
      <c r="W1379" s="474">
        <v>400</v>
      </c>
      <c r="X1379" s="476">
        <v>384</v>
      </c>
      <c r="Y1379" s="477">
        <f>X1379*W1379</f>
        <v>153600</v>
      </c>
      <c r="Z1379" s="478">
        <f>210/400</f>
        <v>0.52500000000000002</v>
      </c>
      <c r="AA1379" s="479">
        <f>Z1379*Y1379</f>
        <v>80640</v>
      </c>
      <c r="AB1379" s="480"/>
      <c r="AC1379" s="481">
        <f>AB1379*Y1379</f>
        <v>0</v>
      </c>
      <c r="AD1379" s="490"/>
      <c r="AE1379" s="482"/>
      <c r="AF1379" s="493">
        <f>AE1379+AD1379+AA1379</f>
        <v>80640</v>
      </c>
      <c r="AG1379" s="474" t="s">
        <v>1071</v>
      </c>
      <c r="AH1379" s="474"/>
      <c r="AI1379" s="483">
        <v>60</v>
      </c>
      <c r="AJ1379" s="474" t="s">
        <v>2390</v>
      </c>
      <c r="AK1379" s="494" t="s">
        <v>2362</v>
      </c>
      <c r="AL1379" s="474">
        <v>80239</v>
      </c>
      <c r="AM1379" s="474" t="s">
        <v>52</v>
      </c>
      <c r="AN1379" s="474" t="s">
        <v>1074</v>
      </c>
      <c r="AO1379" s="474"/>
      <c r="AP1379" s="486"/>
      <c r="AQ1379" s="486" t="s">
        <v>37</v>
      </c>
      <c r="AR1379" s="486"/>
      <c r="AS1379" s="495"/>
      <c r="AT1379" s="495"/>
      <c r="AU1379" s="478"/>
      <c r="AV1379" s="471">
        <f t="shared" si="255"/>
        <v>49401140</v>
      </c>
      <c r="AW1379" s="471" cm="1">
        <f t="array" ref="AW1379">SUM(MID(0&amp;AV1379,LARGE(INDEX(ISNUMBER(--MID(AV1379,ROW($1:$8),1))*ROW($1:$8),),ROW($1:$8))+1,1)*10^ROW($1:$8)/10)</f>
        <v>49401140</v>
      </c>
      <c r="AX1379" s="471" t="str">
        <f>VLOOKUP($AW1379,'Item Master Data'!$A:$F,3,FALSE)</f>
        <v>Q.PEAK DUO BLK ML G10.a+</v>
      </c>
      <c r="AY1379" s="471">
        <f>VLOOKUP($AW1379,'Item Master Data'!$A:$F,6,FALSE)</f>
        <v>400</v>
      </c>
      <c r="AZ1379" s="471">
        <f t="shared" si="256"/>
        <v>12</v>
      </c>
      <c r="BA1379" s="471">
        <f>VLOOKUP(AW1379,'Item Master Data'!$A:$G,7,FALSE)</f>
        <v>32</v>
      </c>
      <c r="BC1379" s="471">
        <f t="shared" si="257"/>
        <v>0</v>
      </c>
    </row>
    <row r="1380" spans="1:55" s="471" customFormat="1">
      <c r="A1380" s="472"/>
      <c r="B1380" s="515"/>
      <c r="C1380" s="515"/>
      <c r="D1380" s="485" t="s">
        <v>3186</v>
      </c>
      <c r="E1380" s="474"/>
      <c r="F1380" s="474"/>
      <c r="G1380" s="474">
        <v>2022</v>
      </c>
      <c r="H1380" s="474">
        <v>9</v>
      </c>
      <c r="I1380" s="474"/>
      <c r="J1380" s="475"/>
      <c r="K1380" s="483" t="s">
        <v>3609</v>
      </c>
      <c r="L1380" s="474" t="s">
        <v>3278</v>
      </c>
      <c r="M1380" s="487">
        <v>44516</v>
      </c>
      <c r="N1380" s="487">
        <v>44742</v>
      </c>
      <c r="O1380" s="487"/>
      <c r="P1380" s="475"/>
      <c r="Q1380" s="475"/>
      <c r="R1380" s="475"/>
      <c r="S1380" s="474" t="s">
        <v>1563</v>
      </c>
      <c r="T1380" s="474">
        <v>60</v>
      </c>
      <c r="U1380" s="474">
        <v>49401140</v>
      </c>
      <c r="V1380" s="474" t="s">
        <v>973</v>
      </c>
      <c r="W1380" s="474">
        <v>400</v>
      </c>
      <c r="X1380" s="476">
        <v>544</v>
      </c>
      <c r="Y1380" s="477">
        <f>X1380*W1380</f>
        <v>217600</v>
      </c>
      <c r="Z1380" s="478">
        <f>210/400</f>
        <v>0.52500000000000002</v>
      </c>
      <c r="AA1380" s="479">
        <f>Z1380*Y1380</f>
        <v>114240</v>
      </c>
      <c r="AB1380" s="480"/>
      <c r="AC1380" s="481">
        <f>AB1380*Y1380</f>
        <v>0</v>
      </c>
      <c r="AD1380" s="490"/>
      <c r="AE1380" s="482"/>
      <c r="AF1380" s="493">
        <f>AE1380+AD1380+AA1380</f>
        <v>114240</v>
      </c>
      <c r="AG1380" s="474" t="s">
        <v>1071</v>
      </c>
      <c r="AH1380" s="474"/>
      <c r="AI1380" s="483">
        <v>60</v>
      </c>
      <c r="AJ1380" s="474" t="s">
        <v>3365</v>
      </c>
      <c r="AK1380" s="494" t="s">
        <v>3366</v>
      </c>
      <c r="AL1380" s="474">
        <v>82007</v>
      </c>
      <c r="AM1380" s="474" t="s">
        <v>52</v>
      </c>
      <c r="AN1380" s="474" t="s">
        <v>1074</v>
      </c>
      <c r="AO1380" s="474"/>
      <c r="AP1380" s="486"/>
      <c r="AQ1380" s="486" t="s">
        <v>37</v>
      </c>
      <c r="AR1380" s="486"/>
      <c r="AS1380" s="495"/>
      <c r="AT1380" s="495"/>
      <c r="AU1380" s="478"/>
      <c r="AV1380" s="471">
        <f t="shared" si="255"/>
        <v>49401140</v>
      </c>
      <c r="AW1380" s="471" cm="1">
        <f t="array" ref="AW1380">SUM(MID(0&amp;AV1380,LARGE(INDEX(ISNUMBER(--MID(AV1380,ROW($1:$8),1))*ROW($1:$8),),ROW($1:$8))+1,1)*10^ROW($1:$8)/10)</f>
        <v>49401140</v>
      </c>
      <c r="AX1380" s="471" t="str">
        <f>VLOOKUP($AW1380,'Item Master Data'!$A:$F,3,FALSE)</f>
        <v>Q.PEAK DUO BLK ML G10.a+</v>
      </c>
      <c r="AY1380" s="471">
        <f>VLOOKUP($AW1380,'Item Master Data'!$A:$F,6,FALSE)</f>
        <v>400</v>
      </c>
      <c r="AZ1380" s="471">
        <f t="shared" si="256"/>
        <v>17</v>
      </c>
      <c r="BA1380" s="471">
        <f>VLOOKUP(AW1380,'Item Master Data'!$A:$G,7,FALSE)</f>
        <v>32</v>
      </c>
      <c r="BC1380" s="471">
        <f t="shared" si="257"/>
        <v>0</v>
      </c>
    </row>
    <row r="1381" spans="1:55" s="471" customFormat="1">
      <c r="A1381" s="472"/>
      <c r="B1381" s="515"/>
      <c r="C1381" s="515"/>
      <c r="D1381" s="485" t="s">
        <v>3186</v>
      </c>
      <c r="E1381" s="474"/>
      <c r="F1381" s="474"/>
      <c r="G1381" s="474">
        <v>2022</v>
      </c>
      <c r="H1381" s="474">
        <v>8</v>
      </c>
      <c r="I1381" s="474"/>
      <c r="J1381" s="475"/>
      <c r="K1381" s="483" t="s">
        <v>3608</v>
      </c>
      <c r="L1381" s="474" t="s">
        <v>3278</v>
      </c>
      <c r="M1381" s="487">
        <v>44516</v>
      </c>
      <c r="N1381" s="487">
        <v>44651</v>
      </c>
      <c r="O1381" s="487"/>
      <c r="P1381" s="475"/>
      <c r="Q1381" s="475"/>
      <c r="R1381" s="475"/>
      <c r="S1381" s="474" t="s">
        <v>1563</v>
      </c>
      <c r="T1381" s="474">
        <v>60</v>
      </c>
      <c r="U1381" s="474">
        <v>49401140</v>
      </c>
      <c r="V1381" s="474" t="s">
        <v>973</v>
      </c>
      <c r="W1381" s="474">
        <v>400</v>
      </c>
      <c r="X1381" s="476">
        <v>768</v>
      </c>
      <c r="Y1381" s="477">
        <f>X1381*W1381</f>
        <v>307200</v>
      </c>
      <c r="Z1381" s="478">
        <f>210/400</f>
        <v>0.52500000000000002</v>
      </c>
      <c r="AA1381" s="479">
        <f>Z1381*Y1381</f>
        <v>161280</v>
      </c>
      <c r="AB1381" s="480"/>
      <c r="AC1381" s="481">
        <f>AB1381*Y1381</f>
        <v>0</v>
      </c>
      <c r="AD1381" s="490"/>
      <c r="AE1381" s="482"/>
      <c r="AF1381" s="493">
        <f>AE1381+AD1381+AA1381</f>
        <v>161280</v>
      </c>
      <c r="AG1381" s="474" t="s">
        <v>1071</v>
      </c>
      <c r="AH1381" s="474"/>
      <c r="AI1381" s="483">
        <v>60</v>
      </c>
      <c r="AJ1381" s="474" t="s">
        <v>3226</v>
      </c>
      <c r="AK1381" s="494" t="s">
        <v>2362</v>
      </c>
      <c r="AL1381" s="474">
        <v>81505</v>
      </c>
      <c r="AM1381" s="474" t="s">
        <v>52</v>
      </c>
      <c r="AN1381" s="474" t="s">
        <v>1074</v>
      </c>
      <c r="AO1381" s="474"/>
      <c r="AP1381" s="486"/>
      <c r="AQ1381" s="486" t="s">
        <v>37</v>
      </c>
      <c r="AR1381" s="486"/>
      <c r="AS1381" s="495"/>
      <c r="AT1381" s="495"/>
      <c r="AU1381" s="478"/>
      <c r="AV1381" s="471">
        <f t="shared" si="255"/>
        <v>49401140</v>
      </c>
      <c r="AW1381" s="471" cm="1">
        <f t="array" ref="AW1381">SUM(MID(0&amp;AV1381,LARGE(INDEX(ISNUMBER(--MID(AV1381,ROW($1:$8),1))*ROW($1:$8),),ROW($1:$8))+1,1)*10^ROW($1:$8)/10)</f>
        <v>49401140</v>
      </c>
      <c r="AX1381" s="471" t="str">
        <f>VLOOKUP($AW1381,'Item Master Data'!$A:$F,3,FALSE)</f>
        <v>Q.PEAK DUO BLK ML G10.a+</v>
      </c>
      <c r="AY1381" s="471">
        <f>VLOOKUP($AW1381,'Item Master Data'!$A:$F,6,FALSE)</f>
        <v>400</v>
      </c>
      <c r="AZ1381" s="471">
        <f t="shared" si="256"/>
        <v>24</v>
      </c>
      <c r="BA1381" s="471">
        <f>VLOOKUP(AW1381,'Item Master Data'!$A:$G,7,FALSE)</f>
        <v>32</v>
      </c>
      <c r="BC1381" s="471">
        <f t="shared" si="257"/>
        <v>0</v>
      </c>
    </row>
    <row r="1382" spans="1:55" s="471" customFormat="1">
      <c r="A1382" s="472"/>
      <c r="B1382" s="515"/>
      <c r="C1382" s="515"/>
      <c r="D1382" s="485" t="s">
        <v>3186</v>
      </c>
      <c r="E1382" s="474"/>
      <c r="F1382" s="474"/>
      <c r="G1382" s="474">
        <v>2022</v>
      </c>
      <c r="H1382" s="547">
        <v>5</v>
      </c>
      <c r="I1382" s="474"/>
      <c r="J1382" s="475"/>
      <c r="K1382" s="483" t="s">
        <v>3429</v>
      </c>
      <c r="L1382" s="474" t="s">
        <v>3278</v>
      </c>
      <c r="M1382" s="487">
        <v>44516</v>
      </c>
      <c r="N1382" s="487">
        <v>44651</v>
      </c>
      <c r="O1382" s="487"/>
      <c r="P1382" s="475"/>
      <c r="Q1382" s="475"/>
      <c r="R1382" s="475"/>
      <c r="S1382" s="474" t="s">
        <v>1563</v>
      </c>
      <c r="T1382" s="474">
        <v>60</v>
      </c>
      <c r="U1382" s="474">
        <v>49401140</v>
      </c>
      <c r="V1382" s="474" t="s">
        <v>973</v>
      </c>
      <c r="W1382" s="474">
        <v>400</v>
      </c>
      <c r="X1382" s="476">
        <v>512</v>
      </c>
      <c r="Y1382" s="477">
        <f>X1382*W1382</f>
        <v>204800</v>
      </c>
      <c r="Z1382" s="478">
        <f>210/400</f>
        <v>0.52500000000000002</v>
      </c>
      <c r="AA1382" s="479">
        <f>Z1382*Y1382</f>
        <v>107520</v>
      </c>
      <c r="AB1382" s="480"/>
      <c r="AC1382" s="481">
        <f>AB1382*Y1382</f>
        <v>0</v>
      </c>
      <c r="AD1382" s="490"/>
      <c r="AE1382" s="482"/>
      <c r="AF1382" s="493">
        <f>AE1382+AD1382+AA1382</f>
        <v>107520</v>
      </c>
      <c r="AG1382" s="474" t="s">
        <v>1071</v>
      </c>
      <c r="AH1382" s="474"/>
      <c r="AI1382" s="483">
        <v>60</v>
      </c>
      <c r="AJ1382" s="474" t="s">
        <v>3349</v>
      </c>
      <c r="AK1382" s="494" t="s">
        <v>2362</v>
      </c>
      <c r="AL1382" s="474">
        <v>81001</v>
      </c>
      <c r="AM1382" s="474" t="s">
        <v>52</v>
      </c>
      <c r="AN1382" s="474" t="s">
        <v>1074</v>
      </c>
      <c r="AO1382" s="474"/>
      <c r="AP1382" s="486"/>
      <c r="AQ1382" s="486" t="s">
        <v>37</v>
      </c>
      <c r="AR1382" s="486"/>
      <c r="AS1382" s="495"/>
      <c r="AT1382" s="495"/>
      <c r="AU1382" s="478"/>
      <c r="AV1382" s="471">
        <f t="shared" si="255"/>
        <v>49401140</v>
      </c>
      <c r="AW1382" s="471" cm="1">
        <f t="array" ref="AW1382">SUM(MID(0&amp;AV1382,LARGE(INDEX(ISNUMBER(--MID(AV1382,ROW($1:$8),1))*ROW($1:$8),),ROW($1:$8))+1,1)*10^ROW($1:$8)/10)</f>
        <v>49401140</v>
      </c>
      <c r="AX1382" s="471" t="str">
        <f>VLOOKUP($AW1382,'Item Master Data'!$A:$F,3,FALSE)</f>
        <v>Q.PEAK DUO BLK ML G10.a+</v>
      </c>
      <c r="AY1382" s="471">
        <f>VLOOKUP($AW1382,'Item Master Data'!$A:$F,6,FALSE)</f>
        <v>400</v>
      </c>
      <c r="AZ1382" s="471">
        <f t="shared" si="256"/>
        <v>16</v>
      </c>
      <c r="BA1382" s="471">
        <f>VLOOKUP(AW1382,'Item Master Data'!$A:$G,7,FALSE)</f>
        <v>32</v>
      </c>
      <c r="BC1382" s="471">
        <f t="shared" si="257"/>
        <v>0</v>
      </c>
    </row>
    <row r="1383" spans="1:55" s="471" customFormat="1">
      <c r="A1383" s="472"/>
      <c r="B1383" s="515"/>
      <c r="C1383" s="515"/>
      <c r="D1383" s="485" t="s">
        <v>3186</v>
      </c>
      <c r="E1383" s="474"/>
      <c r="F1383" s="474"/>
      <c r="G1383" s="474">
        <v>2022</v>
      </c>
      <c r="H1383" s="474">
        <v>7</v>
      </c>
      <c r="I1383" s="474"/>
      <c r="J1383" s="475"/>
      <c r="K1383" s="483" t="s">
        <v>3429</v>
      </c>
      <c r="L1383" s="474" t="s">
        <v>3278</v>
      </c>
      <c r="M1383" s="487">
        <v>44516</v>
      </c>
      <c r="N1383" s="487">
        <v>44651</v>
      </c>
      <c r="O1383" s="487"/>
      <c r="P1383" s="475"/>
      <c r="Q1383" s="475"/>
      <c r="R1383" s="475"/>
      <c r="S1383" s="474" t="s">
        <v>1563</v>
      </c>
      <c r="T1383" s="474">
        <v>60</v>
      </c>
      <c r="U1383" s="474">
        <v>49401140</v>
      </c>
      <c r="V1383" s="474" t="s">
        <v>973</v>
      </c>
      <c r="W1383" s="474">
        <v>400</v>
      </c>
      <c r="X1383" s="476">
        <v>512</v>
      </c>
      <c r="Y1383" s="477">
        <f>X1383*W1383</f>
        <v>204800</v>
      </c>
      <c r="Z1383" s="478">
        <f>210/400</f>
        <v>0.52500000000000002</v>
      </c>
      <c r="AA1383" s="479">
        <f>Z1383*Y1383</f>
        <v>107520</v>
      </c>
      <c r="AB1383" s="480"/>
      <c r="AC1383" s="481">
        <f>AB1383*Y1383</f>
        <v>0</v>
      </c>
      <c r="AD1383" s="490"/>
      <c r="AE1383" s="482"/>
      <c r="AF1383" s="493">
        <f>AE1383+AD1383+AA1383</f>
        <v>107520</v>
      </c>
      <c r="AG1383" s="474" t="s">
        <v>1071</v>
      </c>
      <c r="AH1383" s="474"/>
      <c r="AI1383" s="483">
        <v>60</v>
      </c>
      <c r="AJ1383" s="474" t="s">
        <v>3349</v>
      </c>
      <c r="AK1383" s="494" t="s">
        <v>2362</v>
      </c>
      <c r="AL1383" s="474">
        <v>81001</v>
      </c>
      <c r="AM1383" s="474" t="s">
        <v>52</v>
      </c>
      <c r="AN1383" s="474" t="s">
        <v>1074</v>
      </c>
      <c r="AO1383" s="474"/>
      <c r="AP1383" s="486"/>
      <c r="AQ1383" s="486" t="s">
        <v>37</v>
      </c>
      <c r="AR1383" s="486"/>
      <c r="AS1383" s="495"/>
      <c r="AT1383" s="495"/>
      <c r="AU1383" s="478"/>
      <c r="AV1383" s="471">
        <f t="shared" si="255"/>
        <v>49401140</v>
      </c>
      <c r="AW1383" s="471" cm="1">
        <f t="array" ref="AW1383">SUM(MID(0&amp;AV1383,LARGE(INDEX(ISNUMBER(--MID(AV1383,ROW($1:$8),1))*ROW($1:$8),),ROW($1:$8))+1,1)*10^ROW($1:$8)/10)</f>
        <v>49401140</v>
      </c>
      <c r="AX1383" s="471" t="str">
        <f>VLOOKUP($AW1383,'Item Master Data'!$A:$F,3,FALSE)</f>
        <v>Q.PEAK DUO BLK ML G10.a+</v>
      </c>
      <c r="AY1383" s="471">
        <f>VLOOKUP($AW1383,'Item Master Data'!$A:$F,6,FALSE)</f>
        <v>400</v>
      </c>
      <c r="AZ1383" s="471">
        <f t="shared" si="256"/>
        <v>16</v>
      </c>
      <c r="BA1383" s="471">
        <f>VLOOKUP(AW1383,'Item Master Data'!$A:$G,7,FALSE)</f>
        <v>32</v>
      </c>
      <c r="BC1383" s="471">
        <f t="shared" si="257"/>
        <v>0</v>
      </c>
    </row>
    <row r="1384" spans="1:55" s="471" customFormat="1">
      <c r="A1384" s="472"/>
      <c r="B1384" s="515"/>
      <c r="C1384" s="515"/>
      <c r="D1384" s="485" t="s">
        <v>3186</v>
      </c>
      <c r="E1384" s="474"/>
      <c r="F1384" s="474"/>
      <c r="G1384" s="474">
        <v>2022</v>
      </c>
      <c r="H1384" s="474">
        <v>7</v>
      </c>
      <c r="I1384" s="474"/>
      <c r="J1384" s="475"/>
      <c r="K1384" s="483" t="s">
        <v>3601</v>
      </c>
      <c r="L1384" s="474" t="s">
        <v>3278</v>
      </c>
      <c r="M1384" s="487">
        <v>44516</v>
      </c>
      <c r="N1384" s="487">
        <v>44651</v>
      </c>
      <c r="O1384" s="487"/>
      <c r="P1384" s="475"/>
      <c r="Q1384" s="475"/>
      <c r="R1384" s="475"/>
      <c r="S1384" s="474" t="s">
        <v>1563</v>
      </c>
      <c r="T1384" s="474">
        <v>60</v>
      </c>
      <c r="U1384" s="474">
        <v>49401140</v>
      </c>
      <c r="V1384" s="474" t="s">
        <v>973</v>
      </c>
      <c r="W1384" s="474">
        <v>400</v>
      </c>
      <c r="X1384" s="476">
        <v>544</v>
      </c>
      <c r="Y1384" s="477">
        <f>X1384*W1384</f>
        <v>217600</v>
      </c>
      <c r="Z1384" s="478">
        <f>210/400</f>
        <v>0.52500000000000002</v>
      </c>
      <c r="AA1384" s="479">
        <f>Z1384*Y1384</f>
        <v>114240</v>
      </c>
      <c r="AB1384" s="480"/>
      <c r="AC1384" s="481">
        <f>AB1384*Y1384</f>
        <v>0</v>
      </c>
      <c r="AD1384" s="490"/>
      <c r="AE1384" s="482"/>
      <c r="AF1384" s="493">
        <f>AE1384+AD1384+AA1384</f>
        <v>114240</v>
      </c>
      <c r="AG1384" s="474" t="s">
        <v>1071</v>
      </c>
      <c r="AH1384" s="474"/>
      <c r="AI1384" s="483">
        <v>60</v>
      </c>
      <c r="AJ1384" s="474" t="s">
        <v>3365</v>
      </c>
      <c r="AK1384" s="494" t="s">
        <v>3366</v>
      </c>
      <c r="AL1384" s="474">
        <v>82007</v>
      </c>
      <c r="AM1384" s="474" t="s">
        <v>52</v>
      </c>
      <c r="AN1384" s="474" t="s">
        <v>1074</v>
      </c>
      <c r="AO1384" s="474"/>
      <c r="AP1384" s="486"/>
      <c r="AQ1384" s="486" t="s">
        <v>37</v>
      </c>
      <c r="AR1384" s="486"/>
      <c r="AS1384" s="495"/>
      <c r="AT1384" s="495"/>
      <c r="AU1384" s="478"/>
      <c r="AV1384" s="471">
        <f t="shared" si="255"/>
        <v>49401140</v>
      </c>
      <c r="AW1384" s="471" cm="1">
        <f t="array" ref="AW1384">SUM(MID(0&amp;AV1384,LARGE(INDEX(ISNUMBER(--MID(AV1384,ROW($1:$8),1))*ROW($1:$8),),ROW($1:$8))+1,1)*10^ROW($1:$8)/10)</f>
        <v>49401140</v>
      </c>
      <c r="AX1384" s="471" t="str">
        <f>VLOOKUP($AW1384,'Item Master Data'!$A:$F,3,FALSE)</f>
        <v>Q.PEAK DUO BLK ML G10.a+</v>
      </c>
      <c r="AY1384" s="471">
        <f>VLOOKUP($AW1384,'Item Master Data'!$A:$F,6,FALSE)</f>
        <v>400</v>
      </c>
      <c r="AZ1384" s="471">
        <f t="shared" si="256"/>
        <v>17</v>
      </c>
      <c r="BA1384" s="471">
        <f>VLOOKUP(AW1384,'Item Master Data'!$A:$G,7,FALSE)</f>
        <v>32</v>
      </c>
      <c r="BC1384" s="471">
        <f t="shared" si="257"/>
        <v>0</v>
      </c>
    </row>
    <row r="1385" spans="1:55" s="471" customFormat="1">
      <c r="A1385" s="472"/>
      <c r="B1385" s="515">
        <v>44666</v>
      </c>
      <c r="C1385" s="515">
        <v>44669</v>
      </c>
      <c r="D1385" s="485" t="s">
        <v>3186</v>
      </c>
      <c r="E1385" s="474"/>
      <c r="F1385" s="474"/>
      <c r="G1385" s="474">
        <v>2022</v>
      </c>
      <c r="H1385" s="547">
        <v>4</v>
      </c>
      <c r="I1385" s="474"/>
      <c r="J1385" s="475"/>
      <c r="K1385" s="483" t="s">
        <v>3350</v>
      </c>
      <c r="L1385" s="474" t="s">
        <v>3278</v>
      </c>
      <c r="M1385" s="487">
        <v>44516</v>
      </c>
      <c r="N1385" s="487">
        <v>44592</v>
      </c>
      <c r="O1385" s="487"/>
      <c r="P1385" s="475">
        <v>44671</v>
      </c>
      <c r="Q1385" s="475">
        <v>44680</v>
      </c>
      <c r="R1385" s="475">
        <v>44683</v>
      </c>
      <c r="S1385" s="474" t="s">
        <v>1563</v>
      </c>
      <c r="T1385" s="474">
        <v>60</v>
      </c>
      <c r="U1385" s="474" t="s">
        <v>1760</v>
      </c>
      <c r="V1385" s="474" t="s">
        <v>973</v>
      </c>
      <c r="W1385" s="474">
        <v>400</v>
      </c>
      <c r="X1385" s="476">
        <v>512</v>
      </c>
      <c r="Y1385" s="477">
        <f>X1385*W1385</f>
        <v>204800</v>
      </c>
      <c r="Z1385" s="478">
        <f>210/400</f>
        <v>0.52500000000000002</v>
      </c>
      <c r="AA1385" s="479">
        <f>Z1385*Y1385</f>
        <v>107520</v>
      </c>
      <c r="AB1385" s="480"/>
      <c r="AC1385" s="481">
        <f>AB1385*Y1385</f>
        <v>0</v>
      </c>
      <c r="AD1385" s="490"/>
      <c r="AE1385" s="482"/>
      <c r="AF1385" s="493">
        <f>AE1385+AD1385+AA1385</f>
        <v>107520</v>
      </c>
      <c r="AG1385" s="474" t="s">
        <v>1071</v>
      </c>
      <c r="AH1385" s="474"/>
      <c r="AI1385" s="483">
        <v>60</v>
      </c>
      <c r="AJ1385" s="474" t="s">
        <v>2390</v>
      </c>
      <c r="AK1385" s="494" t="s">
        <v>2362</v>
      </c>
      <c r="AL1385" s="474">
        <v>80239</v>
      </c>
      <c r="AM1385" s="474" t="s">
        <v>52</v>
      </c>
      <c r="AN1385" s="474" t="s">
        <v>50</v>
      </c>
      <c r="AO1385" s="474"/>
      <c r="AP1385" s="486"/>
      <c r="AQ1385" s="486" t="s">
        <v>37</v>
      </c>
      <c r="AR1385" s="486"/>
      <c r="AS1385" s="495"/>
      <c r="AT1385" s="495"/>
      <c r="AU1385" s="478"/>
      <c r="AV1385" s="471" t="str">
        <f t="shared" si="255"/>
        <v>30390156H</v>
      </c>
      <c r="AW1385" s="471" cm="1">
        <f t="array" ref="AW1385">SUM(MID(0&amp;AV1385,LARGE(INDEX(ISNUMBER(--MID(AV1385,ROW($1:$8),1))*ROW($1:$8),),ROW($1:$8))+1,1)*10^ROW($1:$8)/10)</f>
        <v>30390156</v>
      </c>
      <c r="AX1385" s="471" t="str">
        <f>VLOOKUP($AW1385,'Item Master Data'!$A:$F,3,FALSE)</f>
        <v>Q.PEAK DUO BLK ML G10+</v>
      </c>
      <c r="AY1385" s="471">
        <f>VLOOKUP($AW1385,'Item Master Data'!$A:$F,6,FALSE)</f>
        <v>400</v>
      </c>
      <c r="AZ1385" s="471">
        <f t="shared" si="256"/>
        <v>16</v>
      </c>
      <c r="BA1385" s="471">
        <f>VLOOKUP(AW1385,'Item Master Data'!$A:$G,7,FALSE)</f>
        <v>32</v>
      </c>
      <c r="BC1385" s="471">
        <f t="shared" si="257"/>
        <v>0</v>
      </c>
    </row>
    <row r="1386" spans="1:55" s="471" customFormat="1">
      <c r="A1386" s="472"/>
      <c r="B1386" s="515">
        <v>44666</v>
      </c>
      <c r="C1386" s="515">
        <v>44669</v>
      </c>
      <c r="D1386" s="485" t="s">
        <v>3186</v>
      </c>
      <c r="E1386" s="474"/>
      <c r="F1386" s="474"/>
      <c r="G1386" s="474">
        <v>2022</v>
      </c>
      <c r="H1386" s="547">
        <v>4</v>
      </c>
      <c r="I1386" s="474"/>
      <c r="J1386" s="475"/>
      <c r="K1386" s="483" t="s">
        <v>3348</v>
      </c>
      <c r="L1386" s="474" t="s">
        <v>3278</v>
      </c>
      <c r="M1386" s="487">
        <v>44516</v>
      </c>
      <c r="N1386" s="487">
        <v>44592</v>
      </c>
      <c r="O1386" s="487"/>
      <c r="P1386" s="475">
        <v>44671</v>
      </c>
      <c r="Q1386" s="475">
        <v>44680</v>
      </c>
      <c r="R1386" s="475">
        <v>44683</v>
      </c>
      <c r="S1386" s="474" t="s">
        <v>1563</v>
      </c>
      <c r="T1386" s="474">
        <v>60</v>
      </c>
      <c r="U1386" s="474" t="s">
        <v>1760</v>
      </c>
      <c r="V1386" s="474" t="s">
        <v>973</v>
      </c>
      <c r="W1386" s="474">
        <v>400</v>
      </c>
      <c r="X1386" s="476">
        <v>352</v>
      </c>
      <c r="Y1386" s="477">
        <f>X1386*W1386</f>
        <v>140800</v>
      </c>
      <c r="Z1386" s="478">
        <f>210/400</f>
        <v>0.52500000000000002</v>
      </c>
      <c r="AA1386" s="479">
        <f>Z1386*Y1386</f>
        <v>73920</v>
      </c>
      <c r="AB1386" s="480"/>
      <c r="AC1386" s="481">
        <f>AB1386*Y1386</f>
        <v>0</v>
      </c>
      <c r="AD1386" s="490"/>
      <c r="AE1386" s="482"/>
      <c r="AF1386" s="493">
        <f>AE1386+AD1386+AA1386</f>
        <v>73920</v>
      </c>
      <c r="AG1386" s="474" t="s">
        <v>1071</v>
      </c>
      <c r="AH1386" s="474"/>
      <c r="AI1386" s="483">
        <v>60</v>
      </c>
      <c r="AJ1386" s="474" t="s">
        <v>2390</v>
      </c>
      <c r="AK1386" s="494" t="s">
        <v>2362</v>
      </c>
      <c r="AL1386" s="474">
        <v>80239</v>
      </c>
      <c r="AM1386" s="474" t="s">
        <v>52</v>
      </c>
      <c r="AN1386" s="474" t="s">
        <v>50</v>
      </c>
      <c r="AO1386" s="474"/>
      <c r="AP1386" s="486"/>
      <c r="AQ1386" s="486" t="s">
        <v>37</v>
      </c>
      <c r="AR1386" s="486"/>
      <c r="AS1386" s="495"/>
      <c r="AT1386" s="495"/>
      <c r="AU1386" s="478"/>
      <c r="AV1386" s="471" t="str">
        <f t="shared" si="255"/>
        <v>30390156H</v>
      </c>
      <c r="AW1386" s="471" cm="1">
        <f t="array" ref="AW1386">SUM(MID(0&amp;AV1386,LARGE(INDEX(ISNUMBER(--MID(AV1386,ROW($1:$8),1))*ROW($1:$8),),ROW($1:$8))+1,1)*10^ROW($1:$8)/10)</f>
        <v>30390156</v>
      </c>
      <c r="AX1386" s="471" t="str">
        <f>VLOOKUP($AW1386,'Item Master Data'!$A:$F,3,FALSE)</f>
        <v>Q.PEAK DUO BLK ML G10+</v>
      </c>
      <c r="AY1386" s="471">
        <f>VLOOKUP($AW1386,'Item Master Data'!$A:$F,6,FALSE)</f>
        <v>400</v>
      </c>
      <c r="AZ1386" s="471">
        <f t="shared" si="256"/>
        <v>11</v>
      </c>
      <c r="BA1386" s="471">
        <f>VLOOKUP(AW1386,'Item Master Data'!$A:$G,7,FALSE)</f>
        <v>32</v>
      </c>
      <c r="BC1386" s="471">
        <f t="shared" si="257"/>
        <v>0</v>
      </c>
    </row>
    <row r="1387" spans="1:55" s="471" customFormat="1">
      <c r="A1387" s="472"/>
      <c r="B1387" s="515"/>
      <c r="C1387" s="515"/>
      <c r="D1387" s="485" t="s">
        <v>3186</v>
      </c>
      <c r="E1387" s="474" t="s">
        <v>3597</v>
      </c>
      <c r="F1387" s="474"/>
      <c r="G1387" s="474">
        <v>2022</v>
      </c>
      <c r="H1387" s="474">
        <v>7</v>
      </c>
      <c r="I1387" s="474"/>
      <c r="J1387" s="475"/>
      <c r="K1387" s="483" t="s">
        <v>3603</v>
      </c>
      <c r="L1387" s="474" t="s">
        <v>3278</v>
      </c>
      <c r="M1387" s="487">
        <v>44516</v>
      </c>
      <c r="N1387" s="487">
        <v>44592</v>
      </c>
      <c r="O1387" s="487"/>
      <c r="P1387" s="475"/>
      <c r="Q1387" s="475"/>
      <c r="R1387" s="475"/>
      <c r="S1387" s="474" t="s">
        <v>1563</v>
      </c>
      <c r="T1387" s="474">
        <v>60</v>
      </c>
      <c r="U1387" s="474">
        <v>49401140</v>
      </c>
      <c r="V1387" s="474" t="s">
        <v>973</v>
      </c>
      <c r="W1387" s="474">
        <v>400</v>
      </c>
      <c r="X1387" s="476">
        <v>384</v>
      </c>
      <c r="Y1387" s="477">
        <f>X1387*W1387</f>
        <v>153600</v>
      </c>
      <c r="Z1387" s="478">
        <f>210/400</f>
        <v>0.52500000000000002</v>
      </c>
      <c r="AA1387" s="479">
        <f>Z1387*Y1387</f>
        <v>80640</v>
      </c>
      <c r="AB1387" s="480"/>
      <c r="AC1387" s="481">
        <f>AB1387*Y1387</f>
        <v>0</v>
      </c>
      <c r="AD1387" s="490"/>
      <c r="AE1387" s="482"/>
      <c r="AF1387" s="493">
        <f>AE1387+AD1387+AA1387</f>
        <v>80640</v>
      </c>
      <c r="AG1387" s="474" t="s">
        <v>1071</v>
      </c>
      <c r="AH1387" s="474"/>
      <c r="AI1387" s="483">
        <v>60</v>
      </c>
      <c r="AJ1387" s="474" t="s">
        <v>3365</v>
      </c>
      <c r="AK1387" s="494" t="s">
        <v>3366</v>
      </c>
      <c r="AL1387" s="474">
        <v>82007</v>
      </c>
      <c r="AM1387" s="474" t="s">
        <v>52</v>
      </c>
      <c r="AN1387" s="474" t="s">
        <v>1074</v>
      </c>
      <c r="AO1387" s="474"/>
      <c r="AP1387" s="486"/>
      <c r="AQ1387" s="486" t="s">
        <v>37</v>
      </c>
      <c r="AR1387" s="486"/>
      <c r="AS1387" s="495"/>
      <c r="AT1387" s="495"/>
      <c r="AU1387" s="478"/>
      <c r="AV1387" s="471">
        <f t="shared" si="255"/>
        <v>49401140</v>
      </c>
      <c r="AW1387" s="471" cm="1">
        <f t="array" ref="AW1387">SUM(MID(0&amp;AV1387,LARGE(INDEX(ISNUMBER(--MID(AV1387,ROW($1:$8),1))*ROW($1:$8),),ROW($1:$8))+1,1)*10^ROW($1:$8)/10)</f>
        <v>49401140</v>
      </c>
      <c r="AX1387" s="471" t="str">
        <f>VLOOKUP($AW1387,'Item Master Data'!$A:$F,3,FALSE)</f>
        <v>Q.PEAK DUO BLK ML G10.a+</v>
      </c>
      <c r="AY1387" s="471">
        <f>VLOOKUP($AW1387,'Item Master Data'!$A:$F,6,FALSE)</f>
        <v>400</v>
      </c>
      <c r="AZ1387" s="471">
        <f t="shared" si="256"/>
        <v>12</v>
      </c>
      <c r="BA1387" s="471">
        <f>VLOOKUP(AW1387,'Item Master Data'!$A:$G,7,FALSE)</f>
        <v>32</v>
      </c>
      <c r="BC1387" s="471">
        <f t="shared" si="257"/>
        <v>0</v>
      </c>
    </row>
    <row r="1388" spans="1:55" s="471" customFormat="1">
      <c r="A1388" s="472"/>
      <c r="B1388" s="515"/>
      <c r="C1388" s="515"/>
      <c r="D1388" s="485" t="s">
        <v>3186</v>
      </c>
      <c r="E1388" s="474" t="s">
        <v>3597</v>
      </c>
      <c r="F1388" s="474"/>
      <c r="G1388" s="474">
        <v>2022</v>
      </c>
      <c r="H1388" s="547">
        <v>6</v>
      </c>
      <c r="I1388" s="474"/>
      <c r="J1388" s="475"/>
      <c r="K1388" s="483" t="s">
        <v>3598</v>
      </c>
      <c r="L1388" s="474" t="s">
        <v>3278</v>
      </c>
      <c r="M1388" s="487">
        <v>44516</v>
      </c>
      <c r="N1388" s="487">
        <v>44592</v>
      </c>
      <c r="O1388" s="487"/>
      <c r="P1388" s="475"/>
      <c r="Q1388" s="475"/>
      <c r="R1388" s="475"/>
      <c r="S1388" s="474" t="s">
        <v>1563</v>
      </c>
      <c r="T1388" s="474">
        <v>60</v>
      </c>
      <c r="U1388" s="474">
        <v>49401140</v>
      </c>
      <c r="V1388" s="474" t="s">
        <v>973</v>
      </c>
      <c r="W1388" s="474">
        <v>400</v>
      </c>
      <c r="X1388" s="476">
        <v>352</v>
      </c>
      <c r="Y1388" s="477">
        <f>X1388*W1388</f>
        <v>140800</v>
      </c>
      <c r="Z1388" s="478">
        <f>210/400</f>
        <v>0.52500000000000002</v>
      </c>
      <c r="AA1388" s="479">
        <f>Z1388*Y1388</f>
        <v>73920</v>
      </c>
      <c r="AB1388" s="480"/>
      <c r="AC1388" s="481">
        <f>AB1388*Y1388</f>
        <v>0</v>
      </c>
      <c r="AD1388" s="490"/>
      <c r="AE1388" s="482"/>
      <c r="AF1388" s="493">
        <f>AE1388+AD1388+AA1388</f>
        <v>73920</v>
      </c>
      <c r="AG1388" s="474" t="s">
        <v>1071</v>
      </c>
      <c r="AH1388" s="474"/>
      <c r="AI1388" s="483">
        <v>60</v>
      </c>
      <c r="AJ1388" s="474" t="s">
        <v>2390</v>
      </c>
      <c r="AK1388" s="494" t="s">
        <v>2362</v>
      </c>
      <c r="AL1388" s="474">
        <v>80239</v>
      </c>
      <c r="AM1388" s="474" t="s">
        <v>52</v>
      </c>
      <c r="AN1388" s="474" t="s">
        <v>1074</v>
      </c>
      <c r="AO1388" s="474"/>
      <c r="AP1388" s="486"/>
      <c r="AQ1388" s="486" t="s">
        <v>37</v>
      </c>
      <c r="AR1388" s="486"/>
      <c r="AS1388" s="495"/>
      <c r="AT1388" s="495"/>
      <c r="AU1388" s="478"/>
      <c r="AV1388" s="471">
        <f t="shared" si="255"/>
        <v>49401140</v>
      </c>
      <c r="AW1388" s="471" cm="1">
        <f t="array" ref="AW1388">SUM(MID(0&amp;AV1388,LARGE(INDEX(ISNUMBER(--MID(AV1388,ROW($1:$8),1))*ROW($1:$8),),ROW($1:$8))+1,1)*10^ROW($1:$8)/10)</f>
        <v>49401140</v>
      </c>
      <c r="AX1388" s="471" t="str">
        <f>VLOOKUP($AW1388,'Item Master Data'!$A:$F,3,FALSE)</f>
        <v>Q.PEAK DUO BLK ML G10.a+</v>
      </c>
      <c r="AY1388" s="471">
        <f>VLOOKUP($AW1388,'Item Master Data'!$A:$F,6,FALSE)</f>
        <v>400</v>
      </c>
      <c r="AZ1388" s="471">
        <f t="shared" si="256"/>
        <v>11</v>
      </c>
      <c r="BA1388" s="471">
        <f>VLOOKUP(AW1388,'Item Master Data'!$A:$G,7,FALSE)</f>
        <v>32</v>
      </c>
      <c r="BC1388" s="471">
        <f t="shared" si="257"/>
        <v>0</v>
      </c>
    </row>
    <row r="1389" spans="1:55" s="471" customFormat="1">
      <c r="A1389" s="472"/>
      <c r="B1389" s="515">
        <v>44627</v>
      </c>
      <c r="C1389" s="515">
        <v>44627</v>
      </c>
      <c r="D1389" s="485" t="s">
        <v>3186</v>
      </c>
      <c r="E1389" s="555" t="s">
        <v>5230</v>
      </c>
      <c r="F1389" s="474"/>
      <c r="G1389" s="474">
        <v>2022</v>
      </c>
      <c r="H1389" s="474">
        <v>3</v>
      </c>
      <c r="I1389" s="524">
        <v>127789</v>
      </c>
      <c r="J1389" s="538">
        <v>44651</v>
      </c>
      <c r="K1389" s="523" t="s">
        <v>3589</v>
      </c>
      <c r="L1389" s="524" t="s">
        <v>3278</v>
      </c>
      <c r="M1389" s="487">
        <v>44504</v>
      </c>
      <c r="N1389" s="487">
        <v>44627</v>
      </c>
      <c r="O1389" s="487"/>
      <c r="P1389" s="475">
        <v>44629</v>
      </c>
      <c r="Q1389" s="475">
        <v>44651</v>
      </c>
      <c r="R1389" s="475">
        <v>44655</v>
      </c>
      <c r="S1389" s="474" t="s">
        <v>1563</v>
      </c>
      <c r="T1389" s="474">
        <v>60</v>
      </c>
      <c r="U1389" s="474">
        <v>49201132</v>
      </c>
      <c r="V1389" s="474" t="s">
        <v>986</v>
      </c>
      <c r="W1389" s="474">
        <v>360</v>
      </c>
      <c r="X1389" s="476">
        <v>416</v>
      </c>
      <c r="Y1389" s="477">
        <f>X1389*W1389</f>
        <v>149760</v>
      </c>
      <c r="Z1389" s="478">
        <v>0.53500000000000003</v>
      </c>
      <c r="AA1389" s="479">
        <f>Z1389*Y1389</f>
        <v>80121.600000000006</v>
      </c>
      <c r="AB1389" s="480"/>
      <c r="AC1389" s="481">
        <f>AB1389*Y1389</f>
        <v>0</v>
      </c>
      <c r="AD1389" s="490"/>
      <c r="AE1389" s="482"/>
      <c r="AF1389" s="493">
        <f>AE1389+AD1389+AA1389</f>
        <v>80121.600000000006</v>
      </c>
      <c r="AG1389" s="474" t="s">
        <v>1071</v>
      </c>
      <c r="AH1389" s="474"/>
      <c r="AI1389" s="483">
        <v>60</v>
      </c>
      <c r="AJ1389" s="474" t="s">
        <v>1575</v>
      </c>
      <c r="AK1389" s="494" t="s">
        <v>50</v>
      </c>
      <c r="AL1389" s="474" t="s">
        <v>3590</v>
      </c>
      <c r="AM1389" s="474" t="s">
        <v>52</v>
      </c>
      <c r="AN1389" s="526" t="s">
        <v>1106</v>
      </c>
      <c r="AO1389" s="474"/>
      <c r="AP1389" s="486"/>
      <c r="AQ1389" s="486" t="s">
        <v>37</v>
      </c>
      <c r="AR1389" s="486"/>
      <c r="AS1389" s="495"/>
      <c r="AT1389" s="495"/>
      <c r="AU1389" s="478"/>
      <c r="AV1389" s="471">
        <f t="shared" si="255"/>
        <v>49201132</v>
      </c>
      <c r="AW1389" s="471" cm="1">
        <f t="array" ref="AW1389">SUM(MID(0&amp;AV1389,LARGE(INDEX(ISNUMBER(--MID(AV1389,ROW($1:$8),1))*ROW($1:$8),),ROW($1:$8))+1,1)*10^ROW($1:$8)/10)</f>
        <v>49201132</v>
      </c>
      <c r="AX1389" s="471" t="str">
        <f>VLOOKUP($AW1389,'Item Master Data'!$A:$F,3,FALSE)</f>
        <v>Q.PEAK DUO BLK G10+</v>
      </c>
      <c r="AY1389" s="471">
        <f>VLOOKUP($AW1389,'Item Master Data'!$A:$F,6,FALSE)</f>
        <v>360</v>
      </c>
      <c r="AZ1389" s="471">
        <f t="shared" si="256"/>
        <v>13</v>
      </c>
      <c r="BA1389" s="471">
        <f>VLOOKUP(AW1389,'Item Master Data'!$A:$G,7,FALSE)</f>
        <v>32</v>
      </c>
      <c r="BC1389" s="471">
        <f t="shared" si="257"/>
        <v>0</v>
      </c>
    </row>
    <row r="1390" spans="1:55" s="471" customFormat="1">
      <c r="A1390" s="472">
        <v>10</v>
      </c>
      <c r="B1390" s="515">
        <v>44627</v>
      </c>
      <c r="C1390" s="515">
        <v>44627</v>
      </c>
      <c r="D1390" s="485" t="s">
        <v>3186</v>
      </c>
      <c r="E1390" s="474" t="s">
        <v>3283</v>
      </c>
      <c r="F1390" s="474"/>
      <c r="G1390" s="474">
        <v>2022</v>
      </c>
      <c r="H1390" s="474">
        <v>3</v>
      </c>
      <c r="I1390" s="474">
        <v>127444</v>
      </c>
      <c r="J1390" s="475">
        <v>44642</v>
      </c>
      <c r="K1390" s="483" t="s">
        <v>3284</v>
      </c>
      <c r="L1390" s="474" t="s">
        <v>3278</v>
      </c>
      <c r="M1390" s="487">
        <v>44504</v>
      </c>
      <c r="N1390" s="487">
        <v>44627</v>
      </c>
      <c r="O1390" s="487"/>
      <c r="P1390" s="475">
        <v>44630</v>
      </c>
      <c r="Q1390" s="475">
        <v>44642</v>
      </c>
      <c r="R1390" s="475">
        <v>44642</v>
      </c>
      <c r="S1390" s="474" t="s">
        <v>1563</v>
      </c>
      <c r="T1390" s="474">
        <v>60</v>
      </c>
      <c r="U1390" s="474" t="s">
        <v>1760</v>
      </c>
      <c r="V1390" s="474" t="s">
        <v>973</v>
      </c>
      <c r="W1390" s="474">
        <v>400</v>
      </c>
      <c r="X1390" s="476">
        <v>832</v>
      </c>
      <c r="Y1390" s="477">
        <f>X1390*W1390</f>
        <v>332800</v>
      </c>
      <c r="Z1390" s="478">
        <v>0.55500000000000005</v>
      </c>
      <c r="AA1390" s="479">
        <f>Z1390*Y1390</f>
        <v>184704.00000000003</v>
      </c>
      <c r="AB1390" s="480"/>
      <c r="AC1390" s="481">
        <f>AB1390*Y1390</f>
        <v>0</v>
      </c>
      <c r="AD1390" s="490"/>
      <c r="AE1390" s="482"/>
      <c r="AF1390" s="493">
        <f>AE1390+AD1390+AA1390</f>
        <v>184704.00000000003</v>
      </c>
      <c r="AG1390" s="474" t="s">
        <v>1071</v>
      </c>
      <c r="AH1390" s="474"/>
      <c r="AI1390" s="483">
        <v>60</v>
      </c>
      <c r="AJ1390" s="474" t="s">
        <v>3281</v>
      </c>
      <c r="AK1390" s="494" t="s">
        <v>50</v>
      </c>
      <c r="AL1390" s="474" t="s">
        <v>3282</v>
      </c>
      <c r="AM1390" s="474" t="s">
        <v>52</v>
      </c>
      <c r="AN1390" s="474" t="s">
        <v>50</v>
      </c>
      <c r="AO1390" s="474"/>
      <c r="AP1390" s="486" t="s">
        <v>38</v>
      </c>
      <c r="AQ1390" s="486" t="s">
        <v>37</v>
      </c>
      <c r="AR1390" s="486"/>
      <c r="AS1390" s="495"/>
      <c r="AT1390" s="495"/>
      <c r="AU1390" s="478"/>
      <c r="AV1390" s="471" t="str">
        <f t="shared" si="255"/>
        <v>30390156H</v>
      </c>
      <c r="AW1390" s="471" cm="1">
        <f t="array" ref="AW1390">SUM(MID(0&amp;AV1390,LARGE(INDEX(ISNUMBER(--MID(AV1390,ROW($1:$8),1))*ROW($1:$8),),ROW($1:$8))+1,1)*10^ROW($1:$8)/10)</f>
        <v>30390156</v>
      </c>
      <c r="AX1390" s="471" t="str">
        <f>VLOOKUP($AW1390,'Item Master Data'!$A:$F,3,FALSE)</f>
        <v>Q.PEAK DUO BLK ML G10+</v>
      </c>
      <c r="AY1390" s="471">
        <f>VLOOKUP($AW1390,'Item Master Data'!$A:$F,6,FALSE)</f>
        <v>400</v>
      </c>
      <c r="AZ1390" s="471">
        <f t="shared" si="256"/>
        <v>26</v>
      </c>
      <c r="BA1390" s="471">
        <f>VLOOKUP(AW1390,'Item Master Data'!$A:$G,7,FALSE)</f>
        <v>32</v>
      </c>
      <c r="BC1390" s="471">
        <f t="shared" si="257"/>
        <v>0</v>
      </c>
    </row>
    <row r="1391" spans="1:55" s="471" customFormat="1">
      <c r="A1391" s="472"/>
      <c r="B1391" s="515">
        <v>44627</v>
      </c>
      <c r="C1391" s="515">
        <v>44627</v>
      </c>
      <c r="D1391" s="485" t="s">
        <v>3186</v>
      </c>
      <c r="E1391" s="555" t="s">
        <v>5503</v>
      </c>
      <c r="F1391" s="474"/>
      <c r="G1391" s="474">
        <v>2022</v>
      </c>
      <c r="H1391" s="474">
        <v>3</v>
      </c>
      <c r="I1391" s="524">
        <v>127788</v>
      </c>
      <c r="J1391" s="538">
        <v>44650</v>
      </c>
      <c r="K1391" s="523" t="s">
        <v>3284</v>
      </c>
      <c r="L1391" s="524" t="s">
        <v>3278</v>
      </c>
      <c r="M1391" s="487">
        <v>44504</v>
      </c>
      <c r="N1391" s="487">
        <v>44627</v>
      </c>
      <c r="O1391" s="487"/>
      <c r="P1391" s="475">
        <v>44630</v>
      </c>
      <c r="Q1391" s="475">
        <v>44650</v>
      </c>
      <c r="R1391" s="475">
        <v>44655</v>
      </c>
      <c r="S1391" s="474" t="s">
        <v>1563</v>
      </c>
      <c r="T1391" s="474">
        <v>60</v>
      </c>
      <c r="U1391" s="474">
        <v>49201132</v>
      </c>
      <c r="V1391" s="474" t="s">
        <v>986</v>
      </c>
      <c r="W1391" s="474">
        <v>360</v>
      </c>
      <c r="X1391" s="476">
        <v>416</v>
      </c>
      <c r="Y1391" s="477">
        <f>X1391*W1391</f>
        <v>149760</v>
      </c>
      <c r="Z1391" s="478">
        <v>0.53500000000000003</v>
      </c>
      <c r="AA1391" s="479">
        <f>Z1391*Y1391</f>
        <v>80121.600000000006</v>
      </c>
      <c r="AB1391" s="480"/>
      <c r="AC1391" s="481">
        <f>AB1391*Y1391</f>
        <v>0</v>
      </c>
      <c r="AD1391" s="490"/>
      <c r="AE1391" s="482"/>
      <c r="AF1391" s="493">
        <f>AE1391+AD1391+AA1391</f>
        <v>80121.600000000006</v>
      </c>
      <c r="AG1391" s="474" t="s">
        <v>1071</v>
      </c>
      <c r="AH1391" s="474"/>
      <c r="AI1391" s="483">
        <v>60</v>
      </c>
      <c r="AJ1391" s="474" t="s">
        <v>3281</v>
      </c>
      <c r="AK1391" s="494" t="s">
        <v>50</v>
      </c>
      <c r="AL1391" s="474" t="s">
        <v>3282</v>
      </c>
      <c r="AM1391" s="474" t="s">
        <v>52</v>
      </c>
      <c r="AN1391" s="526" t="s">
        <v>1106</v>
      </c>
      <c r="AO1391" s="474"/>
      <c r="AP1391" s="486"/>
      <c r="AQ1391" s="486" t="s">
        <v>37</v>
      </c>
      <c r="AR1391" s="486"/>
      <c r="AS1391" s="495"/>
      <c r="AT1391" s="495"/>
      <c r="AU1391" s="478"/>
      <c r="AV1391" s="471">
        <f t="shared" si="255"/>
        <v>49201132</v>
      </c>
      <c r="AW1391" s="471" cm="1">
        <f t="array" ref="AW1391">SUM(MID(0&amp;AV1391,LARGE(INDEX(ISNUMBER(--MID(AV1391,ROW($1:$8),1))*ROW($1:$8),),ROW($1:$8))+1,1)*10^ROW($1:$8)/10)</f>
        <v>49201132</v>
      </c>
      <c r="AX1391" s="471" t="str">
        <f>VLOOKUP($AW1391,'Item Master Data'!$A:$F,3,FALSE)</f>
        <v>Q.PEAK DUO BLK G10+</v>
      </c>
      <c r="AY1391" s="471">
        <f>VLOOKUP($AW1391,'Item Master Data'!$A:$F,6,FALSE)</f>
        <v>360</v>
      </c>
      <c r="AZ1391" s="471">
        <f t="shared" si="256"/>
        <v>13</v>
      </c>
      <c r="BA1391" s="471">
        <f>VLOOKUP(AW1391,'Item Master Data'!$A:$G,7,FALSE)</f>
        <v>32</v>
      </c>
      <c r="BC1391" s="471">
        <f t="shared" si="257"/>
        <v>0</v>
      </c>
    </row>
    <row r="1392" spans="1:55" s="471" customFormat="1">
      <c r="A1392" s="472"/>
      <c r="B1392" s="515">
        <v>44634</v>
      </c>
      <c r="C1392" s="515">
        <v>44634</v>
      </c>
      <c r="D1392" s="485" t="s">
        <v>3186</v>
      </c>
      <c r="E1392" s="474" t="s">
        <v>3279</v>
      </c>
      <c r="F1392" s="474"/>
      <c r="G1392" s="474">
        <v>2022</v>
      </c>
      <c r="H1392" s="474">
        <v>3</v>
      </c>
      <c r="I1392" s="474">
        <v>127787</v>
      </c>
      <c r="J1392" s="475">
        <v>44650</v>
      </c>
      <c r="K1392" s="483" t="s">
        <v>3280</v>
      </c>
      <c r="L1392" s="474" t="s">
        <v>3278</v>
      </c>
      <c r="M1392" s="487">
        <v>44504</v>
      </c>
      <c r="N1392" s="487">
        <v>44599</v>
      </c>
      <c r="O1392" s="487"/>
      <c r="P1392" s="475">
        <v>44630</v>
      </c>
      <c r="Q1392" s="475">
        <v>44650</v>
      </c>
      <c r="R1392" s="475">
        <v>44655</v>
      </c>
      <c r="S1392" s="474" t="s">
        <v>1563</v>
      </c>
      <c r="T1392" s="474">
        <v>60</v>
      </c>
      <c r="U1392" s="474">
        <v>49201132</v>
      </c>
      <c r="V1392" s="474" t="s">
        <v>986</v>
      </c>
      <c r="W1392" s="474">
        <v>360</v>
      </c>
      <c r="X1392" s="476">
        <v>352</v>
      </c>
      <c r="Y1392" s="477">
        <f>X1392*W1392</f>
        <v>126720</v>
      </c>
      <c r="Z1392" s="478">
        <v>0.53500000000000003</v>
      </c>
      <c r="AA1392" s="479">
        <f>Z1392*Y1392</f>
        <v>67795.199999999997</v>
      </c>
      <c r="AB1392" s="480"/>
      <c r="AC1392" s="481">
        <f>AB1392*Y1392</f>
        <v>0</v>
      </c>
      <c r="AD1392" s="490"/>
      <c r="AE1392" s="482"/>
      <c r="AF1392" s="493">
        <f>AE1392+AD1392+AA1392</f>
        <v>67795.199999999997</v>
      </c>
      <c r="AG1392" s="474" t="s">
        <v>1071</v>
      </c>
      <c r="AH1392" s="474"/>
      <c r="AI1392" s="483">
        <v>60</v>
      </c>
      <c r="AJ1392" s="474" t="s">
        <v>3281</v>
      </c>
      <c r="AK1392" s="494" t="s">
        <v>50</v>
      </c>
      <c r="AL1392" s="474" t="s">
        <v>3282</v>
      </c>
      <c r="AM1392" s="474" t="s">
        <v>52</v>
      </c>
      <c r="AN1392" s="526" t="s">
        <v>1106</v>
      </c>
      <c r="AO1392" s="474"/>
      <c r="AP1392" s="486"/>
      <c r="AQ1392" s="486" t="s">
        <v>37</v>
      </c>
      <c r="AR1392" s="486"/>
      <c r="AS1392" s="495"/>
      <c r="AT1392" s="495"/>
      <c r="AU1392" s="478"/>
      <c r="AV1392" s="471">
        <f t="shared" si="255"/>
        <v>49201132</v>
      </c>
      <c r="AW1392" s="471" cm="1">
        <f t="array" ref="AW1392">SUM(MID(0&amp;AV1392,LARGE(INDEX(ISNUMBER(--MID(AV1392,ROW($1:$8),1))*ROW($1:$8),),ROW($1:$8))+1,1)*10^ROW($1:$8)/10)</f>
        <v>49201132</v>
      </c>
      <c r="AX1392" s="471" t="str">
        <f>VLOOKUP($AW1392,'Item Master Data'!$A:$F,3,FALSE)</f>
        <v>Q.PEAK DUO BLK G10+</v>
      </c>
      <c r="AY1392" s="471">
        <f>VLOOKUP($AW1392,'Item Master Data'!$A:$F,6,FALSE)</f>
        <v>360</v>
      </c>
      <c r="AZ1392" s="471">
        <f t="shared" si="256"/>
        <v>11</v>
      </c>
      <c r="BA1392" s="471">
        <f>VLOOKUP(AW1392,'Item Master Data'!$A:$G,7,FALSE)</f>
        <v>32</v>
      </c>
      <c r="BC1392" s="471">
        <f t="shared" si="257"/>
        <v>0</v>
      </c>
    </row>
    <row r="1393" spans="1:55" s="471" customFormat="1">
      <c r="A1393" s="472">
        <v>10</v>
      </c>
      <c r="B1393" s="515">
        <v>44634</v>
      </c>
      <c r="C1393" s="515">
        <v>44634</v>
      </c>
      <c r="D1393" s="485" t="s">
        <v>3186</v>
      </c>
      <c r="E1393" s="474" t="s">
        <v>3283</v>
      </c>
      <c r="F1393" s="474"/>
      <c r="G1393" s="474">
        <v>2022</v>
      </c>
      <c r="H1393" s="474">
        <v>3</v>
      </c>
      <c r="I1393" s="474">
        <v>127445</v>
      </c>
      <c r="J1393" s="475">
        <v>44642</v>
      </c>
      <c r="K1393" s="483" t="s">
        <v>3280</v>
      </c>
      <c r="L1393" s="474" t="s">
        <v>3278</v>
      </c>
      <c r="M1393" s="487">
        <v>44504</v>
      </c>
      <c r="N1393" s="487">
        <v>44599</v>
      </c>
      <c r="O1393" s="487"/>
      <c r="P1393" s="475">
        <v>44630</v>
      </c>
      <c r="Q1393" s="475">
        <v>44642</v>
      </c>
      <c r="R1393" s="475">
        <v>44643</v>
      </c>
      <c r="S1393" s="474" t="s">
        <v>1563</v>
      </c>
      <c r="T1393" s="474">
        <v>60</v>
      </c>
      <c r="U1393" s="474" t="s">
        <v>1760</v>
      </c>
      <c r="V1393" s="474" t="s">
        <v>973</v>
      </c>
      <c r="W1393" s="474">
        <v>400</v>
      </c>
      <c r="X1393" s="476">
        <v>832</v>
      </c>
      <c r="Y1393" s="477">
        <f>X1393*W1393</f>
        <v>332800</v>
      </c>
      <c r="Z1393" s="478">
        <v>0.55500000000000005</v>
      </c>
      <c r="AA1393" s="479">
        <f>Z1393*Y1393</f>
        <v>184704.00000000003</v>
      </c>
      <c r="AB1393" s="480"/>
      <c r="AC1393" s="481">
        <f>AB1393*Y1393</f>
        <v>0</v>
      </c>
      <c r="AD1393" s="490"/>
      <c r="AE1393" s="482"/>
      <c r="AF1393" s="493">
        <f>AE1393+AD1393+AA1393</f>
        <v>184704.00000000003</v>
      </c>
      <c r="AG1393" s="474" t="s">
        <v>1071</v>
      </c>
      <c r="AH1393" s="474"/>
      <c r="AI1393" s="483">
        <v>60</v>
      </c>
      <c r="AJ1393" s="474" t="s">
        <v>1575</v>
      </c>
      <c r="AK1393" s="494" t="s">
        <v>50</v>
      </c>
      <c r="AL1393" s="474">
        <v>94544</v>
      </c>
      <c r="AM1393" s="474" t="s">
        <v>52</v>
      </c>
      <c r="AN1393" s="474" t="s">
        <v>50</v>
      </c>
      <c r="AO1393" s="474"/>
      <c r="AP1393" s="486" t="s">
        <v>38</v>
      </c>
      <c r="AQ1393" s="486" t="s">
        <v>37</v>
      </c>
      <c r="AR1393" s="486"/>
      <c r="AS1393" s="495"/>
      <c r="AT1393" s="495"/>
      <c r="AU1393" s="478"/>
      <c r="AV1393" s="471" t="str">
        <f t="shared" si="255"/>
        <v>30390156H</v>
      </c>
      <c r="AW1393" s="471" cm="1">
        <f t="array" ref="AW1393">SUM(MID(0&amp;AV1393,LARGE(INDEX(ISNUMBER(--MID(AV1393,ROW($1:$8),1))*ROW($1:$8),),ROW($1:$8))+1,1)*10^ROW($1:$8)/10)</f>
        <v>30390156</v>
      </c>
      <c r="AX1393" s="471" t="str">
        <f>VLOOKUP($AW1393,'Item Master Data'!$A:$F,3,FALSE)</f>
        <v>Q.PEAK DUO BLK ML G10+</v>
      </c>
      <c r="AY1393" s="471">
        <f>VLOOKUP($AW1393,'Item Master Data'!$A:$F,6,FALSE)</f>
        <v>400</v>
      </c>
      <c r="AZ1393" s="471">
        <f t="shared" si="256"/>
        <v>26</v>
      </c>
      <c r="BA1393" s="471">
        <f>VLOOKUP(AW1393,'Item Master Data'!$A:$G,7,FALSE)</f>
        <v>32</v>
      </c>
      <c r="BC1393" s="471">
        <f t="shared" si="257"/>
        <v>0</v>
      </c>
    </row>
    <row r="1394" spans="1:55" s="471" customFormat="1">
      <c r="A1394" s="472"/>
      <c r="B1394" s="515">
        <v>44634</v>
      </c>
      <c r="C1394" s="515">
        <v>44634</v>
      </c>
      <c r="D1394" s="485" t="s">
        <v>3186</v>
      </c>
      <c r="E1394" s="555" t="s">
        <v>5253</v>
      </c>
      <c r="F1394" s="474"/>
      <c r="G1394" s="474">
        <v>2022</v>
      </c>
      <c r="H1394" s="474">
        <v>3</v>
      </c>
      <c r="I1394" s="524">
        <v>127861</v>
      </c>
      <c r="J1394" s="538">
        <v>44650</v>
      </c>
      <c r="K1394" s="523" t="s">
        <v>3280</v>
      </c>
      <c r="L1394" s="524" t="s">
        <v>3278</v>
      </c>
      <c r="M1394" s="487">
        <v>44504</v>
      </c>
      <c r="N1394" s="487">
        <v>44599</v>
      </c>
      <c r="O1394" s="487"/>
      <c r="P1394" s="475">
        <v>44630</v>
      </c>
      <c r="Q1394" s="475">
        <v>44650</v>
      </c>
      <c r="R1394" s="475">
        <v>44655</v>
      </c>
      <c r="S1394" s="474" t="s">
        <v>1563</v>
      </c>
      <c r="T1394" s="474">
        <v>60</v>
      </c>
      <c r="U1394" s="474">
        <v>49201132</v>
      </c>
      <c r="V1394" s="474" t="s">
        <v>986</v>
      </c>
      <c r="W1394" s="474">
        <v>360</v>
      </c>
      <c r="X1394" s="476">
        <v>64</v>
      </c>
      <c r="Y1394" s="477">
        <f>X1394*W1394</f>
        <v>23040</v>
      </c>
      <c r="Z1394" s="478">
        <v>0.53500000000000003</v>
      </c>
      <c r="AA1394" s="479">
        <f>Z1394*Y1394</f>
        <v>12326.400000000001</v>
      </c>
      <c r="AB1394" s="480"/>
      <c r="AC1394" s="481">
        <f>AB1394*Y1394</f>
        <v>0</v>
      </c>
      <c r="AD1394" s="490"/>
      <c r="AE1394" s="482"/>
      <c r="AF1394" s="493">
        <f>AE1394+AD1394+AA1394</f>
        <v>12326.400000000001</v>
      </c>
      <c r="AG1394" s="474" t="s">
        <v>1071</v>
      </c>
      <c r="AH1394" s="474"/>
      <c r="AI1394" s="483">
        <v>60</v>
      </c>
      <c r="AJ1394" s="474" t="s">
        <v>3281</v>
      </c>
      <c r="AK1394" s="494" t="s">
        <v>50</v>
      </c>
      <c r="AL1394" s="474" t="s">
        <v>3282</v>
      </c>
      <c r="AM1394" s="474" t="s">
        <v>52</v>
      </c>
      <c r="AN1394" s="526" t="s">
        <v>1106</v>
      </c>
      <c r="AO1394" s="474"/>
      <c r="AP1394" s="486"/>
      <c r="AQ1394" s="486" t="s">
        <v>37</v>
      </c>
      <c r="AR1394" s="486"/>
      <c r="AS1394" s="495"/>
      <c r="AT1394" s="495"/>
      <c r="AU1394" s="478"/>
      <c r="AV1394" s="471">
        <f t="shared" si="255"/>
        <v>49201132</v>
      </c>
      <c r="AW1394" s="471" cm="1">
        <f t="array" ref="AW1394">SUM(MID(0&amp;AV1394,LARGE(INDEX(ISNUMBER(--MID(AV1394,ROW($1:$8),1))*ROW($1:$8),),ROW($1:$8))+1,1)*10^ROW($1:$8)/10)</f>
        <v>49201132</v>
      </c>
      <c r="AX1394" s="471" t="str">
        <f>VLOOKUP($AW1394,'Item Master Data'!$A:$F,3,FALSE)</f>
        <v>Q.PEAK DUO BLK G10+</v>
      </c>
      <c r="AY1394" s="471">
        <f>VLOOKUP($AW1394,'Item Master Data'!$A:$F,6,FALSE)</f>
        <v>360</v>
      </c>
      <c r="AZ1394" s="471">
        <f t="shared" si="256"/>
        <v>2</v>
      </c>
      <c r="BA1394" s="471">
        <f>VLOOKUP(AW1394,'Item Master Data'!$A:$G,7,FALSE)</f>
        <v>32</v>
      </c>
      <c r="BC1394" s="471">
        <f t="shared" si="257"/>
        <v>0</v>
      </c>
    </row>
    <row r="1395" spans="1:55" s="471" customFormat="1">
      <c r="A1395" s="472"/>
      <c r="B1395" s="515">
        <v>44624</v>
      </c>
      <c r="C1395" s="515">
        <v>44624</v>
      </c>
      <c r="D1395" s="485" t="s">
        <v>3186</v>
      </c>
      <c r="E1395" s="474"/>
      <c r="F1395" s="474"/>
      <c r="G1395" s="474">
        <v>2022</v>
      </c>
      <c r="H1395" s="474">
        <v>3</v>
      </c>
      <c r="I1395" s="474">
        <v>127589</v>
      </c>
      <c r="J1395" s="475">
        <v>44648</v>
      </c>
      <c r="K1395" s="483" t="s">
        <v>3277</v>
      </c>
      <c r="L1395" s="474" t="s">
        <v>3278</v>
      </c>
      <c r="M1395" s="487">
        <v>44501</v>
      </c>
      <c r="N1395" s="487">
        <v>44624</v>
      </c>
      <c r="O1395" s="487"/>
      <c r="P1395" s="475">
        <v>44630</v>
      </c>
      <c r="Q1395" s="475">
        <v>44648</v>
      </c>
      <c r="R1395" s="475">
        <v>44650</v>
      </c>
      <c r="S1395" s="474" t="s">
        <v>2379</v>
      </c>
      <c r="T1395" s="474">
        <v>72</v>
      </c>
      <c r="U1395" s="474" t="s">
        <v>1809</v>
      </c>
      <c r="V1395" s="474" t="s">
        <v>2455</v>
      </c>
      <c r="W1395" s="474">
        <v>475</v>
      </c>
      <c r="X1395" s="476">
        <v>435</v>
      </c>
      <c r="Y1395" s="477">
        <f>X1395*W1395</f>
        <v>206625</v>
      </c>
      <c r="Z1395" s="478">
        <v>0.47</v>
      </c>
      <c r="AA1395" s="479">
        <f>Z1395*Y1395</f>
        <v>97113.75</v>
      </c>
      <c r="AB1395" s="480"/>
      <c r="AC1395" s="481">
        <f>AB1395*Y1395</f>
        <v>0</v>
      </c>
      <c r="AD1395" s="490"/>
      <c r="AE1395" s="482"/>
      <c r="AF1395" s="493">
        <f>AE1395+AD1395+AA1395</f>
        <v>97113.75</v>
      </c>
      <c r="AG1395" s="474" t="s">
        <v>1071</v>
      </c>
      <c r="AH1395" s="474"/>
      <c r="AI1395" s="483">
        <v>60</v>
      </c>
      <c r="AJ1395" s="474" t="s">
        <v>1593</v>
      </c>
      <c r="AK1395" s="494" t="s">
        <v>1144</v>
      </c>
      <c r="AL1395" s="474">
        <v>78744</v>
      </c>
      <c r="AM1395" s="474" t="s">
        <v>52</v>
      </c>
      <c r="AN1395" s="474" t="s">
        <v>50</v>
      </c>
      <c r="AO1395" s="474"/>
      <c r="AP1395" s="486" t="s">
        <v>38</v>
      </c>
      <c r="AQ1395" s="486" t="s">
        <v>37</v>
      </c>
      <c r="AR1395" s="486"/>
      <c r="AS1395" s="495"/>
      <c r="AT1395" s="495"/>
      <c r="AU1395" s="478"/>
      <c r="AV1395" s="471" t="str">
        <f t="shared" si="255"/>
        <v>30397471F</v>
      </c>
      <c r="AW1395" s="471" cm="1">
        <f t="array" ref="AW1395">SUM(MID(0&amp;AV1395,LARGE(INDEX(ISNUMBER(--MID(AV1395,ROW($1:$8),1))*ROW($1:$8),),ROW($1:$8))+1,1)*10^ROW($1:$8)/10)</f>
        <v>30397471</v>
      </c>
      <c r="AX1395" s="471" t="str">
        <f>VLOOKUP($AW1395,'Item Master Data'!$A:$F,3,FALSE)</f>
        <v>Q.PEAK DUO XL G10</v>
      </c>
      <c r="AY1395" s="471">
        <f>VLOOKUP($AW1395,'Item Master Data'!$A:$F,6,FALSE)</f>
        <v>475</v>
      </c>
      <c r="AZ1395" s="471">
        <f t="shared" si="256"/>
        <v>15</v>
      </c>
      <c r="BA1395" s="471">
        <f>VLOOKUP(AW1395,'Item Master Data'!$A:$G,7,FALSE)</f>
        <v>29</v>
      </c>
      <c r="BC1395" s="471">
        <f t="shared" si="257"/>
        <v>0</v>
      </c>
    </row>
    <row r="1396" spans="1:55" s="471" customFormat="1">
      <c r="A1396" s="472"/>
      <c r="B1396" s="515">
        <v>44644</v>
      </c>
      <c r="C1396" s="515">
        <v>44644</v>
      </c>
      <c r="D1396" s="485" t="s">
        <v>3186</v>
      </c>
      <c r="E1396" s="474"/>
      <c r="F1396" s="474"/>
      <c r="G1396" s="474">
        <v>2022</v>
      </c>
      <c r="H1396" s="474">
        <v>3</v>
      </c>
      <c r="I1396" s="474">
        <v>127669</v>
      </c>
      <c r="J1396" s="475">
        <v>44649</v>
      </c>
      <c r="K1396" s="483" t="s">
        <v>3265</v>
      </c>
      <c r="L1396" s="474" t="s">
        <v>3266</v>
      </c>
      <c r="M1396" s="487">
        <v>44490</v>
      </c>
      <c r="N1396" s="487">
        <v>44624</v>
      </c>
      <c r="O1396" s="487"/>
      <c r="P1396" s="475">
        <v>44645</v>
      </c>
      <c r="Q1396" s="475">
        <v>44649</v>
      </c>
      <c r="R1396" s="475">
        <v>44656</v>
      </c>
      <c r="S1396" s="474" t="s">
        <v>2379</v>
      </c>
      <c r="T1396" s="474">
        <v>60</v>
      </c>
      <c r="U1396" s="474">
        <v>49203132</v>
      </c>
      <c r="V1396" s="474" t="s">
        <v>986</v>
      </c>
      <c r="W1396" s="474">
        <v>360</v>
      </c>
      <c r="X1396" s="476">
        <v>320</v>
      </c>
      <c r="Y1396" s="477">
        <f>X1396*W1396</f>
        <v>115200</v>
      </c>
      <c r="Z1396" s="478">
        <v>0.51500000000000001</v>
      </c>
      <c r="AA1396" s="479">
        <f>Z1396*Y1396</f>
        <v>59328</v>
      </c>
      <c r="AB1396" s="480"/>
      <c r="AC1396" s="481">
        <f>AB1396*Y1396</f>
        <v>0</v>
      </c>
      <c r="AD1396" s="490"/>
      <c r="AE1396" s="482"/>
      <c r="AF1396" s="493">
        <f>AE1396+AD1396+AA1396</f>
        <v>59328</v>
      </c>
      <c r="AG1396" s="474" t="s">
        <v>1071</v>
      </c>
      <c r="AH1396" s="474"/>
      <c r="AI1396" s="483" t="s">
        <v>2442</v>
      </c>
      <c r="AJ1396" s="474" t="s">
        <v>1384</v>
      </c>
      <c r="AK1396" s="494" t="s">
        <v>1144</v>
      </c>
      <c r="AL1396" s="474">
        <v>77092</v>
      </c>
      <c r="AM1396" s="474" t="s">
        <v>52</v>
      </c>
      <c r="AN1396" s="474" t="s">
        <v>1074</v>
      </c>
      <c r="AO1396" s="474"/>
      <c r="AP1396" s="486"/>
      <c r="AQ1396" s="486" t="s">
        <v>37</v>
      </c>
      <c r="AR1396" s="486"/>
      <c r="AS1396" s="495"/>
      <c r="AT1396" s="495"/>
      <c r="AU1396" s="478"/>
      <c r="AV1396" s="471">
        <f t="shared" si="255"/>
        <v>49203132</v>
      </c>
      <c r="AW1396" s="471" cm="1">
        <f t="array" ref="AW1396">SUM(MID(0&amp;AV1396,LARGE(INDEX(ISNUMBER(--MID(AV1396,ROW($1:$8),1))*ROW($1:$8),),ROW($1:$8))+1,1)*10^ROW($1:$8)/10)</f>
        <v>49203132</v>
      </c>
      <c r="AX1396" s="471" t="str">
        <f>VLOOKUP($AW1396,'Item Master Data'!$A:$F,3,FALSE)</f>
        <v>Q.PEAK DUO BLK G10+</v>
      </c>
      <c r="AY1396" s="471">
        <f>VLOOKUP($AW1396,'Item Master Data'!$A:$F,6,FALSE)</f>
        <v>360</v>
      </c>
      <c r="AZ1396" s="471">
        <f t="shared" si="256"/>
        <v>10</v>
      </c>
      <c r="BA1396" s="471">
        <f>VLOOKUP(AW1396,'Item Master Data'!$A:$G,7,FALSE)</f>
        <v>32</v>
      </c>
      <c r="BC1396" s="471">
        <f t="shared" si="257"/>
        <v>0</v>
      </c>
    </row>
    <row r="1397" spans="1:55" s="471" customFormat="1">
      <c r="A1397" s="472"/>
      <c r="B1397" s="515">
        <v>44644</v>
      </c>
      <c r="C1397" s="515">
        <v>44644</v>
      </c>
      <c r="D1397" s="485" t="s">
        <v>3186</v>
      </c>
      <c r="E1397" s="474"/>
      <c r="F1397" s="474"/>
      <c r="G1397" s="474">
        <v>2022</v>
      </c>
      <c r="H1397" s="474">
        <v>3</v>
      </c>
      <c r="I1397" s="474">
        <v>127670</v>
      </c>
      <c r="J1397" s="475">
        <v>44649</v>
      </c>
      <c r="K1397" s="483" t="s">
        <v>3274</v>
      </c>
      <c r="L1397" s="474" t="s">
        <v>3273</v>
      </c>
      <c r="M1397" s="487">
        <v>44490</v>
      </c>
      <c r="N1397" s="487">
        <v>44623</v>
      </c>
      <c r="O1397" s="487"/>
      <c r="P1397" s="475">
        <v>44645</v>
      </c>
      <c r="Q1397" s="475">
        <v>44650</v>
      </c>
      <c r="R1397" s="475">
        <v>44656</v>
      </c>
      <c r="S1397" s="474" t="s">
        <v>2379</v>
      </c>
      <c r="T1397" s="474">
        <v>60</v>
      </c>
      <c r="U1397" s="474">
        <v>49203132</v>
      </c>
      <c r="V1397" s="474" t="s">
        <v>986</v>
      </c>
      <c r="W1397" s="474">
        <v>360</v>
      </c>
      <c r="X1397" s="476">
        <v>320</v>
      </c>
      <c r="Y1397" s="477">
        <f>X1397*W1397</f>
        <v>115200</v>
      </c>
      <c r="Z1397" s="478">
        <v>0.51500000000000001</v>
      </c>
      <c r="AA1397" s="479">
        <f>Z1397*Y1397</f>
        <v>59328</v>
      </c>
      <c r="AB1397" s="480"/>
      <c r="AC1397" s="481">
        <f>AB1397*Y1397</f>
        <v>0</v>
      </c>
      <c r="AD1397" s="490"/>
      <c r="AE1397" s="482"/>
      <c r="AF1397" s="493">
        <f>AE1397+AD1397+AA1397</f>
        <v>59328</v>
      </c>
      <c r="AG1397" s="474" t="s">
        <v>1071</v>
      </c>
      <c r="AH1397" s="474"/>
      <c r="AI1397" s="483">
        <v>60</v>
      </c>
      <c r="AJ1397" s="474" t="s">
        <v>3275</v>
      </c>
      <c r="AK1397" s="494" t="s">
        <v>1144</v>
      </c>
      <c r="AL1397" s="474">
        <v>75007</v>
      </c>
      <c r="AM1397" s="474" t="s">
        <v>52</v>
      </c>
      <c r="AN1397" s="474" t="s">
        <v>1074</v>
      </c>
      <c r="AO1397" s="474"/>
      <c r="AP1397" s="486"/>
      <c r="AQ1397" s="486" t="s">
        <v>37</v>
      </c>
      <c r="AR1397" s="486" t="s">
        <v>3276</v>
      </c>
      <c r="AS1397" s="495"/>
      <c r="AT1397" s="495"/>
      <c r="AU1397" s="478"/>
      <c r="AV1397" s="471">
        <f t="shared" ref="AV1397:AV1413" si="258">U1397</f>
        <v>49203132</v>
      </c>
      <c r="AW1397" s="471" cm="1">
        <f t="array" ref="AW1397">SUM(MID(0&amp;AV1397,LARGE(INDEX(ISNUMBER(--MID(AV1397,ROW($1:$8),1))*ROW($1:$8),),ROW($1:$8))+1,1)*10^ROW($1:$8)/10)</f>
        <v>49203132</v>
      </c>
      <c r="AX1397" s="471" t="str">
        <f>VLOOKUP($AW1397,'Item Master Data'!$A:$F,3,FALSE)</f>
        <v>Q.PEAK DUO BLK G10+</v>
      </c>
      <c r="AY1397" s="471">
        <f>VLOOKUP($AW1397,'Item Master Data'!$A:$F,6,FALSE)</f>
        <v>360</v>
      </c>
      <c r="AZ1397" s="471">
        <f t="shared" ref="AZ1397:AZ1428" si="259">X1397/BA1397</f>
        <v>10</v>
      </c>
      <c r="BA1397" s="471">
        <f>VLOOKUP(AW1397,'Item Master Data'!$A:$G,7,FALSE)</f>
        <v>32</v>
      </c>
      <c r="BC1397" s="471">
        <f t="shared" ref="BC1397:BC1413" si="260">W1397-AY1397</f>
        <v>0</v>
      </c>
    </row>
    <row r="1398" spans="1:55" s="471" customFormat="1">
      <c r="A1398" s="472"/>
      <c r="B1398" s="515">
        <v>44628</v>
      </c>
      <c r="C1398" s="515">
        <v>44628</v>
      </c>
      <c r="D1398" s="485" t="s">
        <v>3186</v>
      </c>
      <c r="E1398" s="474"/>
      <c r="F1398" s="474"/>
      <c r="G1398" s="474">
        <v>2022</v>
      </c>
      <c r="H1398" s="474">
        <v>3</v>
      </c>
      <c r="I1398" s="474">
        <v>127747</v>
      </c>
      <c r="J1398" s="475">
        <v>44651</v>
      </c>
      <c r="K1398" s="483" t="s">
        <v>3272</v>
      </c>
      <c r="L1398" s="474" t="s">
        <v>3273</v>
      </c>
      <c r="M1398" s="487">
        <v>44490</v>
      </c>
      <c r="N1398" s="487">
        <v>44624</v>
      </c>
      <c r="O1398" s="487"/>
      <c r="P1398" s="475">
        <v>44629</v>
      </c>
      <c r="Q1398" s="475">
        <v>44651</v>
      </c>
      <c r="R1398" s="475">
        <v>44652</v>
      </c>
      <c r="S1398" s="474" t="s">
        <v>2379</v>
      </c>
      <c r="T1398" s="474">
        <v>60</v>
      </c>
      <c r="U1398" s="474">
        <v>49201132</v>
      </c>
      <c r="V1398" s="474" t="s">
        <v>986</v>
      </c>
      <c r="W1398" s="474">
        <v>360</v>
      </c>
      <c r="X1398" s="476">
        <v>416</v>
      </c>
      <c r="Y1398" s="477">
        <f>X1398*W1398</f>
        <v>149760</v>
      </c>
      <c r="Z1398" s="478">
        <v>0.53500000000000003</v>
      </c>
      <c r="AA1398" s="479">
        <f>Z1398*Y1398</f>
        <v>80121.600000000006</v>
      </c>
      <c r="AB1398" s="480"/>
      <c r="AC1398" s="481">
        <f>AB1398*Y1398</f>
        <v>0</v>
      </c>
      <c r="AD1398" s="490"/>
      <c r="AE1398" s="482"/>
      <c r="AF1398" s="493">
        <f>AE1398+AD1398+AA1398</f>
        <v>80121.600000000006</v>
      </c>
      <c r="AG1398" s="474" t="s">
        <v>1071</v>
      </c>
      <c r="AH1398" s="474"/>
      <c r="AI1398" s="483">
        <v>60</v>
      </c>
      <c r="AJ1398" s="474" t="s">
        <v>1593</v>
      </c>
      <c r="AK1398" s="494" t="s">
        <v>1144</v>
      </c>
      <c r="AL1398" s="474">
        <v>78744</v>
      </c>
      <c r="AM1398" s="474" t="s">
        <v>52</v>
      </c>
      <c r="AN1398" s="526" t="s">
        <v>1106</v>
      </c>
      <c r="AO1398" s="474"/>
      <c r="AP1398" s="486"/>
      <c r="AQ1398" s="486" t="s">
        <v>37</v>
      </c>
      <c r="AR1398" s="486"/>
      <c r="AS1398" s="495"/>
      <c r="AT1398" s="495"/>
      <c r="AU1398" s="478"/>
      <c r="AV1398" s="471">
        <f t="shared" si="258"/>
        <v>49201132</v>
      </c>
      <c r="AW1398" s="471" cm="1">
        <f t="array" ref="AW1398">SUM(MID(0&amp;AV1398,LARGE(INDEX(ISNUMBER(--MID(AV1398,ROW($1:$8),1))*ROW($1:$8),),ROW($1:$8))+1,1)*10^ROW($1:$8)/10)</f>
        <v>49201132</v>
      </c>
      <c r="AX1398" s="471" t="str">
        <f>VLOOKUP($AW1398,'Item Master Data'!$A:$F,3,FALSE)</f>
        <v>Q.PEAK DUO BLK G10+</v>
      </c>
      <c r="AY1398" s="471">
        <f>VLOOKUP($AW1398,'Item Master Data'!$A:$F,6,FALSE)</f>
        <v>360</v>
      </c>
      <c r="AZ1398" s="471">
        <f t="shared" si="259"/>
        <v>13</v>
      </c>
      <c r="BA1398" s="471">
        <f>VLOOKUP(AW1398,'Item Master Data'!$A:$G,7,FALSE)</f>
        <v>32</v>
      </c>
      <c r="BC1398" s="471">
        <f t="shared" si="260"/>
        <v>0</v>
      </c>
    </row>
    <row r="1399" spans="1:55" s="471" customFormat="1">
      <c r="A1399" s="472"/>
      <c r="B1399" s="515">
        <v>44599</v>
      </c>
      <c r="C1399" s="515">
        <v>44607</v>
      </c>
      <c r="D1399" s="485" t="s">
        <v>3186</v>
      </c>
      <c r="E1399" s="474"/>
      <c r="F1399" s="474"/>
      <c r="G1399" s="474">
        <v>2022</v>
      </c>
      <c r="H1399" s="474">
        <v>3</v>
      </c>
      <c r="I1399" s="474">
        <v>127338</v>
      </c>
      <c r="J1399" s="475">
        <v>44641</v>
      </c>
      <c r="K1399" s="483" t="s">
        <v>3192</v>
      </c>
      <c r="L1399" s="474" t="s">
        <v>3188</v>
      </c>
      <c r="M1399" s="487">
        <v>44599</v>
      </c>
      <c r="N1399" s="487">
        <v>44621</v>
      </c>
      <c r="O1399" s="487"/>
      <c r="P1399" s="475">
        <v>44630</v>
      </c>
      <c r="Q1399" s="475">
        <v>44637</v>
      </c>
      <c r="R1399" s="475">
        <v>44641</v>
      </c>
      <c r="S1399" s="474" t="s">
        <v>2379</v>
      </c>
      <c r="T1399" s="474">
        <v>72</v>
      </c>
      <c r="U1399" s="474" t="s">
        <v>1809</v>
      </c>
      <c r="V1399" s="474" t="s">
        <v>1002</v>
      </c>
      <c r="W1399" s="474">
        <v>475</v>
      </c>
      <c r="X1399" s="476">
        <v>377</v>
      </c>
      <c r="Y1399" s="477">
        <f>X1399*W1399</f>
        <v>179075</v>
      </c>
      <c r="Z1399" s="478">
        <v>0.495</v>
      </c>
      <c r="AA1399" s="479">
        <f>Z1399*Y1399</f>
        <v>88642.125</v>
      </c>
      <c r="AB1399" s="480"/>
      <c r="AC1399" s="481">
        <f>AB1399*Y1399</f>
        <v>0</v>
      </c>
      <c r="AD1399" s="490"/>
      <c r="AE1399" s="482"/>
      <c r="AF1399" s="493">
        <f>AE1399+AD1399+AA1399</f>
        <v>88642.125</v>
      </c>
      <c r="AG1399" s="474" t="s">
        <v>47</v>
      </c>
      <c r="AH1399" s="474">
        <v>100</v>
      </c>
      <c r="AI1399" s="483"/>
      <c r="AJ1399" s="474" t="s">
        <v>1786</v>
      </c>
      <c r="AK1399" s="494" t="s">
        <v>1787</v>
      </c>
      <c r="AL1399" s="474">
        <v>59715</v>
      </c>
      <c r="AM1399" s="474" t="s">
        <v>52</v>
      </c>
      <c r="AN1399" s="474" t="s">
        <v>50</v>
      </c>
      <c r="AO1399" s="474"/>
      <c r="AP1399" s="486" t="s">
        <v>38</v>
      </c>
      <c r="AQ1399" s="486" t="s">
        <v>37</v>
      </c>
      <c r="AR1399" s="486"/>
      <c r="AS1399" s="495"/>
      <c r="AT1399" s="495"/>
      <c r="AU1399" s="478"/>
      <c r="AV1399" s="471" t="str">
        <f t="shared" si="258"/>
        <v>30397471F</v>
      </c>
      <c r="AW1399" s="471" cm="1">
        <f t="array" ref="AW1399">SUM(MID(0&amp;AV1399,LARGE(INDEX(ISNUMBER(--MID(AV1399,ROW($1:$8),1))*ROW($1:$8),),ROW($1:$8))+1,1)*10^ROW($1:$8)/10)</f>
        <v>30397471</v>
      </c>
      <c r="AX1399" s="471" t="str">
        <f>VLOOKUP($AW1399,'Item Master Data'!$A:$F,3,FALSE)</f>
        <v>Q.PEAK DUO XL G10</v>
      </c>
      <c r="AY1399" s="471">
        <f>VLOOKUP($AW1399,'Item Master Data'!$A:$F,6,FALSE)</f>
        <v>475</v>
      </c>
      <c r="AZ1399" s="471">
        <f t="shared" si="259"/>
        <v>13</v>
      </c>
      <c r="BA1399" s="471">
        <f>VLOOKUP(AW1399,'Item Master Data'!$A:$G,7,FALSE)</f>
        <v>29</v>
      </c>
      <c r="BC1399" s="471">
        <f t="shared" si="260"/>
        <v>0</v>
      </c>
    </row>
    <row r="1400" spans="1:55" s="471" customFormat="1">
      <c r="A1400" s="472"/>
      <c r="B1400" s="515">
        <v>44468</v>
      </c>
      <c r="C1400" s="515">
        <v>44468</v>
      </c>
      <c r="D1400" s="485" t="s">
        <v>3186</v>
      </c>
      <c r="E1400" s="474" t="s">
        <v>3253</v>
      </c>
      <c r="F1400" s="474"/>
      <c r="G1400" s="474">
        <v>2022</v>
      </c>
      <c r="H1400" s="474">
        <v>9</v>
      </c>
      <c r="I1400" s="474"/>
      <c r="J1400" s="475"/>
      <c r="K1400" s="483" t="s">
        <v>3533</v>
      </c>
      <c r="L1400" s="474" t="s">
        <v>3188</v>
      </c>
      <c r="M1400" s="487">
        <v>44466</v>
      </c>
      <c r="N1400" s="487">
        <v>44805</v>
      </c>
      <c r="O1400" s="487"/>
      <c r="P1400" s="475"/>
      <c r="Q1400" s="475"/>
      <c r="R1400" s="475"/>
      <c r="S1400" s="474" t="s">
        <v>2379</v>
      </c>
      <c r="T1400" s="474">
        <v>60</v>
      </c>
      <c r="U1400" s="474">
        <v>49201132</v>
      </c>
      <c r="V1400" s="474" t="s">
        <v>986</v>
      </c>
      <c r="W1400" s="474">
        <v>360</v>
      </c>
      <c r="X1400" s="476">
        <v>320</v>
      </c>
      <c r="Y1400" s="477">
        <f>X1400*W1400</f>
        <v>115200</v>
      </c>
      <c r="Z1400" s="478">
        <v>0.53</v>
      </c>
      <c r="AA1400" s="479">
        <f>Z1400*Y1400</f>
        <v>61056</v>
      </c>
      <c r="AB1400" s="480"/>
      <c r="AC1400" s="481">
        <f>AB1400*Y1400</f>
        <v>0</v>
      </c>
      <c r="AD1400" s="490"/>
      <c r="AE1400" s="482"/>
      <c r="AF1400" s="493">
        <f>AE1400+AD1400+AA1400</f>
        <v>61056</v>
      </c>
      <c r="AG1400" s="474" t="s">
        <v>47</v>
      </c>
      <c r="AH1400" s="474"/>
      <c r="AI1400" s="483">
        <v>30</v>
      </c>
      <c r="AJ1400" s="474" t="s">
        <v>3461</v>
      </c>
      <c r="AK1400" s="494" t="s">
        <v>1491</v>
      </c>
      <c r="AL1400" s="474">
        <v>54406</v>
      </c>
      <c r="AM1400" s="474" t="s">
        <v>52</v>
      </c>
      <c r="AN1400" s="474"/>
      <c r="AO1400" s="474"/>
      <c r="AP1400" s="486"/>
      <c r="AQ1400" s="486" t="s">
        <v>37</v>
      </c>
      <c r="AR1400" s="486"/>
      <c r="AS1400" s="495"/>
      <c r="AT1400" s="495"/>
      <c r="AU1400" s="478"/>
      <c r="AV1400" s="471">
        <f t="shared" si="258"/>
        <v>49201132</v>
      </c>
      <c r="AW1400" s="471" cm="1">
        <f t="array" ref="AW1400">SUM(MID(0&amp;AV1400,LARGE(INDEX(ISNUMBER(--MID(AV1400,ROW($1:$8),1))*ROW($1:$8),),ROW($1:$8))+1,1)*10^ROW($1:$8)/10)</f>
        <v>49201132</v>
      </c>
      <c r="AX1400" s="471" t="str">
        <f>VLOOKUP($AW1400,'Item Master Data'!$A:$F,3,FALSE)</f>
        <v>Q.PEAK DUO BLK G10+</v>
      </c>
      <c r="AY1400" s="471">
        <f>VLOOKUP($AW1400,'Item Master Data'!$A:$F,6,FALSE)</f>
        <v>360</v>
      </c>
      <c r="AZ1400" s="471">
        <f t="shared" si="259"/>
        <v>10</v>
      </c>
      <c r="BA1400" s="471">
        <f>VLOOKUP(AW1400,'Item Master Data'!$A:$G,7,FALSE)</f>
        <v>32</v>
      </c>
      <c r="BC1400" s="471">
        <f t="shared" si="260"/>
        <v>0</v>
      </c>
    </row>
    <row r="1401" spans="1:55" s="471" customFormat="1">
      <c r="A1401" s="472"/>
      <c r="B1401" s="515">
        <v>44468</v>
      </c>
      <c r="C1401" s="515">
        <v>44468</v>
      </c>
      <c r="D1401" s="485" t="s">
        <v>3186</v>
      </c>
      <c r="E1401" s="474" t="s">
        <v>3253</v>
      </c>
      <c r="F1401" s="474"/>
      <c r="G1401" s="474">
        <v>2022</v>
      </c>
      <c r="H1401" s="474">
        <v>8</v>
      </c>
      <c r="I1401" s="474"/>
      <c r="J1401" s="475"/>
      <c r="K1401" s="483" t="s">
        <v>3532</v>
      </c>
      <c r="L1401" s="474" t="s">
        <v>3188</v>
      </c>
      <c r="M1401" s="487">
        <v>44466</v>
      </c>
      <c r="N1401" s="487">
        <v>44775</v>
      </c>
      <c r="O1401" s="487"/>
      <c r="P1401" s="475"/>
      <c r="Q1401" s="475"/>
      <c r="R1401" s="475"/>
      <c r="S1401" s="474" t="s">
        <v>2379</v>
      </c>
      <c r="T1401" s="474">
        <v>60</v>
      </c>
      <c r="U1401" s="474">
        <v>49201132</v>
      </c>
      <c r="V1401" s="474" t="s">
        <v>986</v>
      </c>
      <c r="W1401" s="474">
        <v>360</v>
      </c>
      <c r="X1401" s="476">
        <v>320</v>
      </c>
      <c r="Y1401" s="477">
        <f>X1401*W1401</f>
        <v>115200</v>
      </c>
      <c r="Z1401" s="478">
        <v>0.53</v>
      </c>
      <c r="AA1401" s="479">
        <f>Z1401*Y1401</f>
        <v>61056</v>
      </c>
      <c r="AB1401" s="480"/>
      <c r="AC1401" s="481">
        <f>AB1401*Y1401</f>
        <v>0</v>
      </c>
      <c r="AD1401" s="490"/>
      <c r="AE1401" s="482"/>
      <c r="AF1401" s="493">
        <f>AE1401+AD1401+AA1401</f>
        <v>61056</v>
      </c>
      <c r="AG1401" s="474" t="s">
        <v>47</v>
      </c>
      <c r="AH1401" s="474"/>
      <c r="AI1401" s="483">
        <v>30</v>
      </c>
      <c r="AJ1401" s="474" t="s">
        <v>3461</v>
      </c>
      <c r="AK1401" s="494" t="s">
        <v>1491</v>
      </c>
      <c r="AL1401" s="474">
        <v>54406</v>
      </c>
      <c r="AM1401" s="474" t="s">
        <v>52</v>
      </c>
      <c r="AN1401" s="474"/>
      <c r="AO1401" s="474"/>
      <c r="AP1401" s="486"/>
      <c r="AQ1401" s="486" t="s">
        <v>37</v>
      </c>
      <c r="AR1401" s="486"/>
      <c r="AS1401" s="495"/>
      <c r="AT1401" s="495"/>
      <c r="AU1401" s="478"/>
      <c r="AV1401" s="471">
        <f t="shared" si="258"/>
        <v>49201132</v>
      </c>
      <c r="AW1401" s="471" cm="1">
        <f t="array" ref="AW1401">SUM(MID(0&amp;AV1401,LARGE(INDEX(ISNUMBER(--MID(AV1401,ROW($1:$8),1))*ROW($1:$8),),ROW($1:$8))+1,1)*10^ROW($1:$8)/10)</f>
        <v>49201132</v>
      </c>
      <c r="AX1401" s="471" t="str">
        <f>VLOOKUP($AW1401,'Item Master Data'!$A:$F,3,FALSE)</f>
        <v>Q.PEAK DUO BLK G10+</v>
      </c>
      <c r="AY1401" s="471">
        <f>VLOOKUP($AW1401,'Item Master Data'!$A:$F,6,FALSE)</f>
        <v>360</v>
      </c>
      <c r="AZ1401" s="471">
        <f t="shared" si="259"/>
        <v>10</v>
      </c>
      <c r="BA1401" s="471">
        <f>VLOOKUP(AW1401,'Item Master Data'!$A:$G,7,FALSE)</f>
        <v>32</v>
      </c>
      <c r="BC1401" s="471">
        <f t="shared" si="260"/>
        <v>0</v>
      </c>
    </row>
    <row r="1402" spans="1:55" s="471" customFormat="1">
      <c r="A1402" s="472"/>
      <c r="B1402" s="515">
        <v>44468</v>
      </c>
      <c r="C1402" s="515">
        <v>44468</v>
      </c>
      <c r="D1402" s="485" t="s">
        <v>3186</v>
      </c>
      <c r="E1402" s="474" t="s">
        <v>1283</v>
      </c>
      <c r="F1402" s="474"/>
      <c r="G1402" s="474">
        <v>2022</v>
      </c>
      <c r="H1402" s="474">
        <v>7</v>
      </c>
      <c r="I1402" s="474"/>
      <c r="J1402" s="475"/>
      <c r="K1402" s="483" t="s">
        <v>3519</v>
      </c>
      <c r="L1402" s="474" t="s">
        <v>3188</v>
      </c>
      <c r="M1402" s="487">
        <v>44466</v>
      </c>
      <c r="N1402" s="487">
        <v>44748</v>
      </c>
      <c r="O1402" s="487"/>
      <c r="P1402" s="475"/>
      <c r="Q1402" s="475"/>
      <c r="R1402" s="475"/>
      <c r="S1402" s="474" t="s">
        <v>2379</v>
      </c>
      <c r="T1402" s="474">
        <v>60</v>
      </c>
      <c r="U1402" s="474">
        <v>49201132</v>
      </c>
      <c r="V1402" s="474" t="s">
        <v>986</v>
      </c>
      <c r="W1402" s="474">
        <v>360</v>
      </c>
      <c r="X1402" s="476">
        <v>320</v>
      </c>
      <c r="Y1402" s="477">
        <f>X1402*W1402</f>
        <v>115200</v>
      </c>
      <c r="Z1402" s="478">
        <v>0.53</v>
      </c>
      <c r="AA1402" s="479">
        <f>Z1402*Y1402</f>
        <v>61056</v>
      </c>
      <c r="AB1402" s="480"/>
      <c r="AC1402" s="481">
        <f>AB1402*Y1402</f>
        <v>0</v>
      </c>
      <c r="AD1402" s="490"/>
      <c r="AE1402" s="482"/>
      <c r="AF1402" s="493">
        <f>AE1402+AD1402+AA1402</f>
        <v>61056</v>
      </c>
      <c r="AG1402" s="474" t="s">
        <v>47</v>
      </c>
      <c r="AH1402" s="474"/>
      <c r="AI1402" s="483">
        <v>30</v>
      </c>
      <c r="AJ1402" s="474" t="s">
        <v>3461</v>
      </c>
      <c r="AK1402" s="494" t="s">
        <v>1491</v>
      </c>
      <c r="AL1402" s="474">
        <v>54406</v>
      </c>
      <c r="AM1402" s="474" t="s">
        <v>52</v>
      </c>
      <c r="AN1402" s="474"/>
      <c r="AO1402" s="474"/>
      <c r="AP1402" s="486"/>
      <c r="AQ1402" s="486" t="s">
        <v>37</v>
      </c>
      <c r="AR1402" s="486"/>
      <c r="AS1402" s="495"/>
      <c r="AT1402" s="495"/>
      <c r="AU1402" s="478"/>
      <c r="AV1402" s="471">
        <f t="shared" si="258"/>
        <v>49201132</v>
      </c>
      <c r="AW1402" s="471" cm="1">
        <f t="array" ref="AW1402">SUM(MID(0&amp;AV1402,LARGE(INDEX(ISNUMBER(--MID(AV1402,ROW($1:$8),1))*ROW($1:$8),),ROW($1:$8))+1,1)*10^ROW($1:$8)/10)</f>
        <v>49201132</v>
      </c>
      <c r="AX1402" s="471" t="str">
        <f>VLOOKUP($AW1402,'Item Master Data'!$A:$F,3,FALSE)</f>
        <v>Q.PEAK DUO BLK G10+</v>
      </c>
      <c r="AY1402" s="471">
        <f>VLOOKUP($AW1402,'Item Master Data'!$A:$F,6,FALSE)</f>
        <v>360</v>
      </c>
      <c r="AZ1402" s="471">
        <f t="shared" si="259"/>
        <v>10</v>
      </c>
      <c r="BA1402" s="471">
        <f>VLOOKUP(AW1402,'Item Master Data'!$A:$G,7,FALSE)</f>
        <v>32</v>
      </c>
      <c r="BC1402" s="471">
        <f t="shared" si="260"/>
        <v>0</v>
      </c>
    </row>
    <row r="1403" spans="1:55" s="471" customFormat="1">
      <c r="A1403" s="472"/>
      <c r="B1403" s="515">
        <v>44468</v>
      </c>
      <c r="C1403" s="515">
        <v>44468</v>
      </c>
      <c r="D1403" s="485" t="s">
        <v>3186</v>
      </c>
      <c r="E1403" s="474" t="s">
        <v>3481</v>
      </c>
      <c r="F1403" s="474"/>
      <c r="G1403" s="474">
        <v>2022</v>
      </c>
      <c r="H1403" s="474">
        <v>7</v>
      </c>
      <c r="I1403" s="474"/>
      <c r="J1403" s="475"/>
      <c r="K1403" s="483" t="s">
        <v>3482</v>
      </c>
      <c r="L1403" s="474" t="s">
        <v>3188</v>
      </c>
      <c r="M1403" s="487">
        <v>44466</v>
      </c>
      <c r="N1403" s="487">
        <v>44714</v>
      </c>
      <c r="O1403" s="487"/>
      <c r="P1403" s="475"/>
      <c r="Q1403" s="475"/>
      <c r="R1403" s="475"/>
      <c r="S1403" s="474" t="s">
        <v>2379</v>
      </c>
      <c r="T1403" s="474">
        <v>60</v>
      </c>
      <c r="U1403" s="474">
        <v>49201132</v>
      </c>
      <c r="V1403" s="474" t="s">
        <v>986</v>
      </c>
      <c r="W1403" s="474">
        <v>360</v>
      </c>
      <c r="X1403" s="476">
        <v>320</v>
      </c>
      <c r="Y1403" s="477">
        <f>X1403*W1403</f>
        <v>115200</v>
      </c>
      <c r="Z1403" s="478">
        <v>0.53</v>
      </c>
      <c r="AA1403" s="479">
        <f>Z1403*Y1403</f>
        <v>61056</v>
      </c>
      <c r="AB1403" s="480"/>
      <c r="AC1403" s="481">
        <f>AB1403*Y1403</f>
        <v>0</v>
      </c>
      <c r="AD1403" s="490"/>
      <c r="AE1403" s="482"/>
      <c r="AF1403" s="493">
        <f>AE1403+AD1403+AA1403</f>
        <v>61056</v>
      </c>
      <c r="AG1403" s="474" t="s">
        <v>47</v>
      </c>
      <c r="AH1403" s="474"/>
      <c r="AI1403" s="483">
        <v>30</v>
      </c>
      <c r="AJ1403" s="474" t="s">
        <v>3461</v>
      </c>
      <c r="AK1403" s="494" t="s">
        <v>1491</v>
      </c>
      <c r="AL1403" s="474">
        <v>54406</v>
      </c>
      <c r="AM1403" s="474" t="s">
        <v>52</v>
      </c>
      <c r="AN1403" s="474"/>
      <c r="AO1403" s="474"/>
      <c r="AP1403" s="486"/>
      <c r="AQ1403" s="486" t="s">
        <v>37</v>
      </c>
      <c r="AR1403" s="486"/>
      <c r="AS1403" s="495"/>
      <c r="AT1403" s="495"/>
      <c r="AU1403" s="478"/>
      <c r="AV1403" s="471">
        <f t="shared" si="258"/>
        <v>49201132</v>
      </c>
      <c r="AW1403" s="471" cm="1">
        <f t="array" ref="AW1403">SUM(MID(0&amp;AV1403,LARGE(INDEX(ISNUMBER(--MID(AV1403,ROW($1:$8),1))*ROW($1:$8),),ROW($1:$8))+1,1)*10^ROW($1:$8)/10)</f>
        <v>49201132</v>
      </c>
      <c r="AX1403" s="471" t="str">
        <f>VLOOKUP($AW1403,'Item Master Data'!$A:$F,3,FALSE)</f>
        <v>Q.PEAK DUO BLK G10+</v>
      </c>
      <c r="AY1403" s="471">
        <f>VLOOKUP($AW1403,'Item Master Data'!$A:$F,6,FALSE)</f>
        <v>360</v>
      </c>
      <c r="AZ1403" s="471">
        <f t="shared" si="259"/>
        <v>10</v>
      </c>
      <c r="BA1403" s="471">
        <f>VLOOKUP(AW1403,'Item Master Data'!$A:$G,7,FALSE)</f>
        <v>32</v>
      </c>
      <c r="BC1403" s="471">
        <f t="shared" si="260"/>
        <v>0</v>
      </c>
    </row>
    <row r="1404" spans="1:55" s="471" customFormat="1">
      <c r="A1404" s="472"/>
      <c r="B1404" s="515">
        <v>44468</v>
      </c>
      <c r="C1404" s="515">
        <v>44468</v>
      </c>
      <c r="D1404" s="485" t="s">
        <v>3186</v>
      </c>
      <c r="E1404" s="474" t="s">
        <v>1283</v>
      </c>
      <c r="F1404" s="474"/>
      <c r="G1404" s="474">
        <v>2022</v>
      </c>
      <c r="H1404" s="474">
        <v>6</v>
      </c>
      <c r="I1404" s="474"/>
      <c r="J1404" s="475"/>
      <c r="K1404" s="483" t="s">
        <v>3460</v>
      </c>
      <c r="L1404" s="474" t="s">
        <v>3188</v>
      </c>
      <c r="M1404" s="487">
        <v>44466</v>
      </c>
      <c r="N1404" s="487">
        <v>44684</v>
      </c>
      <c r="O1404" s="487"/>
      <c r="P1404" s="475"/>
      <c r="Q1404" s="475"/>
      <c r="R1404" s="475"/>
      <c r="S1404" s="474" t="s">
        <v>2379</v>
      </c>
      <c r="T1404" s="474">
        <v>60</v>
      </c>
      <c r="U1404" s="474">
        <v>49201132</v>
      </c>
      <c r="V1404" s="474" t="s">
        <v>986</v>
      </c>
      <c r="W1404" s="474">
        <v>360</v>
      </c>
      <c r="X1404" s="476">
        <v>320</v>
      </c>
      <c r="Y1404" s="477">
        <f>X1404*W1404</f>
        <v>115200</v>
      </c>
      <c r="Z1404" s="478">
        <v>0.53</v>
      </c>
      <c r="AA1404" s="479">
        <f>Z1404*Y1404</f>
        <v>61056</v>
      </c>
      <c r="AB1404" s="480"/>
      <c r="AC1404" s="481">
        <f>AB1404*Y1404</f>
        <v>0</v>
      </c>
      <c r="AD1404" s="490"/>
      <c r="AE1404" s="482"/>
      <c r="AF1404" s="493">
        <f>AE1404+AD1404+AA1404</f>
        <v>61056</v>
      </c>
      <c r="AG1404" s="474" t="s">
        <v>47</v>
      </c>
      <c r="AH1404" s="474"/>
      <c r="AI1404" s="483">
        <v>30</v>
      </c>
      <c r="AJ1404" s="474" t="s">
        <v>3461</v>
      </c>
      <c r="AK1404" s="494" t="s">
        <v>1491</v>
      </c>
      <c r="AL1404" s="474">
        <v>54406</v>
      </c>
      <c r="AM1404" s="474" t="s">
        <v>52</v>
      </c>
      <c r="AN1404" s="474"/>
      <c r="AO1404" s="474"/>
      <c r="AP1404" s="486"/>
      <c r="AQ1404" s="486" t="s">
        <v>37</v>
      </c>
      <c r="AR1404" s="486"/>
      <c r="AS1404" s="495"/>
      <c r="AT1404" s="495"/>
      <c r="AU1404" s="478"/>
      <c r="AV1404" s="471">
        <f t="shared" si="258"/>
        <v>49201132</v>
      </c>
      <c r="AW1404" s="471" cm="1">
        <f t="array" ref="AW1404">SUM(MID(0&amp;AV1404,LARGE(INDEX(ISNUMBER(--MID(AV1404,ROW($1:$8),1))*ROW($1:$8),),ROW($1:$8))+1,1)*10^ROW($1:$8)/10)</f>
        <v>49201132</v>
      </c>
      <c r="AX1404" s="471" t="str">
        <f>VLOOKUP($AW1404,'Item Master Data'!$A:$F,3,FALSE)</f>
        <v>Q.PEAK DUO BLK G10+</v>
      </c>
      <c r="AY1404" s="471">
        <f>VLOOKUP($AW1404,'Item Master Data'!$A:$F,6,FALSE)</f>
        <v>360</v>
      </c>
      <c r="AZ1404" s="471">
        <f t="shared" si="259"/>
        <v>10</v>
      </c>
      <c r="BA1404" s="471">
        <f>VLOOKUP(AW1404,'Item Master Data'!$A:$G,7,FALSE)</f>
        <v>32</v>
      </c>
      <c r="BC1404" s="471">
        <f t="shared" si="260"/>
        <v>0</v>
      </c>
    </row>
    <row r="1405" spans="1:55" s="471" customFormat="1">
      <c r="A1405" s="525"/>
      <c r="B1405" s="514">
        <v>44648</v>
      </c>
      <c r="C1405" s="472"/>
      <c r="D1405" s="485" t="s">
        <v>3186</v>
      </c>
      <c r="E1405" s="474" t="s">
        <v>3625</v>
      </c>
      <c r="F1405" s="474"/>
      <c r="G1405" s="547">
        <v>2022</v>
      </c>
      <c r="H1405" s="547">
        <v>6</v>
      </c>
      <c r="I1405" s="547" t="s">
        <v>1676</v>
      </c>
      <c r="J1405" s="548"/>
      <c r="K1405" s="549" t="s">
        <v>3626</v>
      </c>
      <c r="L1405" s="547" t="s">
        <v>3188</v>
      </c>
      <c r="M1405" s="550">
        <v>44644</v>
      </c>
      <c r="N1405" s="550">
        <v>44682</v>
      </c>
      <c r="O1405" s="550"/>
      <c r="P1405" s="548"/>
      <c r="Q1405" s="548"/>
      <c r="R1405" s="548"/>
      <c r="S1405" s="547" t="s">
        <v>2379</v>
      </c>
      <c r="T1405" s="547">
        <v>60</v>
      </c>
      <c r="U1405" s="547"/>
      <c r="V1405" s="547" t="s">
        <v>973</v>
      </c>
      <c r="W1405" s="547">
        <v>400</v>
      </c>
      <c r="X1405" s="551">
        <v>768</v>
      </c>
      <c r="Y1405" s="477">
        <f>X1405*W1405</f>
        <v>307200</v>
      </c>
      <c r="Z1405" s="478">
        <v>0.57999999999999996</v>
      </c>
      <c r="AA1405" s="479">
        <f>Z1405*Y1405</f>
        <v>178176</v>
      </c>
      <c r="AB1405" s="480"/>
      <c r="AC1405" s="481">
        <f>AB1405*Y1405</f>
        <v>0</v>
      </c>
      <c r="AD1405" s="490"/>
      <c r="AE1405" s="482"/>
      <c r="AF1405" s="493">
        <f>AE1405+AD1405+AA1405</f>
        <v>178176</v>
      </c>
      <c r="AG1405" s="474" t="s">
        <v>47</v>
      </c>
      <c r="AH1405" s="474"/>
      <c r="AI1405" s="483" t="s">
        <v>2374</v>
      </c>
      <c r="AJ1405" s="474" t="s">
        <v>3252</v>
      </c>
      <c r="AK1405" s="494" t="s">
        <v>1375</v>
      </c>
      <c r="AL1405" s="474">
        <v>22031</v>
      </c>
      <c r="AM1405" s="474" t="s">
        <v>52</v>
      </c>
      <c r="AN1405" s="474"/>
      <c r="AO1405" s="474"/>
      <c r="AP1405" s="486"/>
      <c r="AQ1405" s="486" t="s">
        <v>37</v>
      </c>
      <c r="AR1405" s="486"/>
      <c r="AS1405" s="495"/>
      <c r="AT1405" s="472"/>
      <c r="AU1405" s="478">
        <v>0.55000000000000004</v>
      </c>
      <c r="AV1405" s="471">
        <f t="shared" si="258"/>
        <v>0</v>
      </c>
      <c r="AW1405" s="471" cm="1">
        <f t="array" ref="AW1405">SUM(MID(0&amp;AV1405,LARGE(INDEX(ISNUMBER(--MID(AV1405,ROW($1:$8),1))*ROW($1:$8),),ROW($1:$8))+1,1)*10^ROW($1:$8)/10)</f>
        <v>0</v>
      </c>
      <c r="AX1405" s="471" t="e">
        <f>VLOOKUP($AW1405,'Item Master Data'!$A:$F,3,FALSE)</f>
        <v>#N/A</v>
      </c>
      <c r="AY1405" s="471" t="e">
        <f>VLOOKUP($AW1405,'Item Master Data'!$A:$F,6,FALSE)</f>
        <v>#N/A</v>
      </c>
      <c r="AZ1405" s="471" t="e">
        <f t="shared" si="259"/>
        <v>#N/A</v>
      </c>
      <c r="BA1405" s="471" t="e">
        <f>VLOOKUP(AW1405,'Item Master Data'!$A:$G,7,FALSE)</f>
        <v>#N/A</v>
      </c>
      <c r="BC1405" s="471" t="e">
        <f t="shared" si="260"/>
        <v>#N/A</v>
      </c>
    </row>
    <row r="1406" spans="1:55" s="471" customFormat="1">
      <c r="A1406" s="472"/>
      <c r="B1406" s="515">
        <v>44601</v>
      </c>
      <c r="C1406" s="515">
        <v>44601</v>
      </c>
      <c r="D1406" s="485" t="s">
        <v>3186</v>
      </c>
      <c r="E1406" s="474" t="s">
        <v>3249</v>
      </c>
      <c r="F1406" s="474"/>
      <c r="G1406" s="474">
        <v>2022</v>
      </c>
      <c r="H1406" s="474">
        <v>4</v>
      </c>
      <c r="I1406" s="474">
        <v>127978</v>
      </c>
      <c r="J1406" s="475">
        <v>44659</v>
      </c>
      <c r="K1406" s="483" t="s">
        <v>3250</v>
      </c>
      <c r="L1406" s="474" t="s">
        <v>3188</v>
      </c>
      <c r="M1406" s="487">
        <v>44491</v>
      </c>
      <c r="N1406" s="487">
        <v>44599</v>
      </c>
      <c r="O1406" s="487" t="s">
        <v>1280</v>
      </c>
      <c r="P1406" s="475">
        <v>44601</v>
      </c>
      <c r="Q1406" s="475">
        <v>44658</v>
      </c>
      <c r="R1406" s="475">
        <v>44659</v>
      </c>
      <c r="S1406" s="474" t="s">
        <v>2379</v>
      </c>
      <c r="T1406" s="474">
        <v>60</v>
      </c>
      <c r="U1406" s="474">
        <v>49403140</v>
      </c>
      <c r="V1406" s="474" t="s">
        <v>973</v>
      </c>
      <c r="W1406" s="474">
        <v>400</v>
      </c>
      <c r="X1406" s="476">
        <v>768</v>
      </c>
      <c r="Y1406" s="477">
        <f>X1406*W1406</f>
        <v>307200</v>
      </c>
      <c r="Z1406" s="478">
        <v>0.55000000000000004</v>
      </c>
      <c r="AA1406" s="479">
        <f>Z1406*Y1406</f>
        <v>168960</v>
      </c>
      <c r="AB1406" s="480"/>
      <c r="AC1406" s="481">
        <f>AB1406*Y1406</f>
        <v>0</v>
      </c>
      <c r="AD1406" s="490"/>
      <c r="AE1406" s="482"/>
      <c r="AF1406" s="493">
        <f>AE1406+AD1406+AA1406</f>
        <v>168960</v>
      </c>
      <c r="AG1406" s="474" t="s">
        <v>3251</v>
      </c>
      <c r="AH1406" s="474"/>
      <c r="AI1406" s="483" t="s">
        <v>2374</v>
      </c>
      <c r="AJ1406" s="474" t="s">
        <v>3252</v>
      </c>
      <c r="AK1406" s="494" t="s">
        <v>1375</v>
      </c>
      <c r="AL1406" s="474">
        <v>2203</v>
      </c>
      <c r="AM1406" s="474" t="s">
        <v>52</v>
      </c>
      <c r="AN1406" s="474" t="s">
        <v>1106</v>
      </c>
      <c r="AO1406" s="474"/>
      <c r="AP1406" s="486"/>
      <c r="AQ1406" s="486" t="s">
        <v>37</v>
      </c>
      <c r="AR1406" s="486"/>
      <c r="AS1406" s="495"/>
      <c r="AT1406" s="495"/>
      <c r="AU1406" s="478"/>
      <c r="AV1406" s="471">
        <f t="shared" si="258"/>
        <v>49403140</v>
      </c>
      <c r="AW1406" s="471" cm="1">
        <f t="array" ref="AW1406">SUM(MID(0&amp;AV1406,LARGE(INDEX(ISNUMBER(--MID(AV1406,ROW($1:$8),1))*ROW($1:$8),),ROW($1:$8))+1,1)*10^ROW($1:$8)/10)</f>
        <v>49403140</v>
      </c>
      <c r="AX1406" s="471" t="str">
        <f>VLOOKUP($AW1406,'Item Master Data'!$A:$F,3,FALSE)</f>
        <v>Q.PEAK DUO BLK ML G10+</v>
      </c>
      <c r="AY1406" s="471">
        <f>VLOOKUP($AW1406,'Item Master Data'!$A:$F,6,FALSE)</f>
        <v>400</v>
      </c>
      <c r="AZ1406" s="471">
        <f t="shared" si="259"/>
        <v>24</v>
      </c>
      <c r="BA1406" s="471">
        <f>VLOOKUP(AW1406,'Item Master Data'!$A:$G,7,FALSE)</f>
        <v>32</v>
      </c>
      <c r="BC1406" s="471">
        <f t="shared" si="260"/>
        <v>0</v>
      </c>
    </row>
    <row r="1407" spans="1:55" s="471" customFormat="1">
      <c r="A1407" s="472"/>
      <c r="B1407" s="515">
        <v>44601</v>
      </c>
      <c r="C1407" s="515">
        <v>44601</v>
      </c>
      <c r="D1407" s="485" t="s">
        <v>3186</v>
      </c>
      <c r="E1407" s="474" t="s">
        <v>3249</v>
      </c>
      <c r="F1407" s="474"/>
      <c r="G1407" s="552">
        <v>2022</v>
      </c>
      <c r="H1407" s="552">
        <v>5</v>
      </c>
      <c r="I1407" s="552"/>
      <c r="J1407" s="553">
        <v>44623</v>
      </c>
      <c r="K1407" s="554" t="s">
        <v>3563</v>
      </c>
      <c r="L1407" s="552" t="s">
        <v>3188</v>
      </c>
      <c r="M1407" s="553">
        <v>44491</v>
      </c>
      <c r="N1407" s="553">
        <v>44571</v>
      </c>
      <c r="O1407" s="553" t="s">
        <v>1280</v>
      </c>
      <c r="P1407" s="553">
        <v>44568</v>
      </c>
      <c r="Q1407" s="553">
        <v>44615</v>
      </c>
      <c r="R1407" s="553">
        <v>44623</v>
      </c>
      <c r="S1407" s="552" t="s">
        <v>2379</v>
      </c>
      <c r="T1407" s="552">
        <v>60</v>
      </c>
      <c r="U1407" s="552">
        <v>49401140</v>
      </c>
      <c r="V1407" s="552" t="s">
        <v>985</v>
      </c>
      <c r="W1407" s="552">
        <v>400</v>
      </c>
      <c r="X1407" s="551">
        <v>768</v>
      </c>
      <c r="Y1407" s="477">
        <f>X1407*W1407</f>
        <v>307200</v>
      </c>
      <c r="Z1407" s="478">
        <v>0.55000000000000004</v>
      </c>
      <c r="AA1407" s="479">
        <f>Z1407*Y1407</f>
        <v>168960</v>
      </c>
      <c r="AB1407" s="480"/>
      <c r="AC1407" s="481">
        <f>AB1407*Y1407</f>
        <v>0</v>
      </c>
      <c r="AD1407" s="490"/>
      <c r="AE1407" s="482"/>
      <c r="AF1407" s="493">
        <f>AE1407+AD1407+AA1407</f>
        <v>168960</v>
      </c>
      <c r="AG1407" s="474" t="s">
        <v>47</v>
      </c>
      <c r="AH1407" s="474"/>
      <c r="AI1407" s="483" t="s">
        <v>2374</v>
      </c>
      <c r="AJ1407" s="474" t="s">
        <v>3252</v>
      </c>
      <c r="AK1407" s="494" t="s">
        <v>1375</v>
      </c>
      <c r="AL1407" s="474">
        <v>2203</v>
      </c>
      <c r="AM1407" s="474" t="s">
        <v>52</v>
      </c>
      <c r="AN1407" s="474" t="s">
        <v>1074</v>
      </c>
      <c r="AO1407" s="474"/>
      <c r="AP1407" s="486"/>
      <c r="AQ1407" s="486" t="s">
        <v>37</v>
      </c>
      <c r="AR1407" s="486"/>
      <c r="AS1407" s="495"/>
      <c r="AT1407" s="495"/>
      <c r="AU1407" s="478"/>
      <c r="AV1407" s="471">
        <f t="shared" si="258"/>
        <v>49401140</v>
      </c>
      <c r="AW1407" s="471" cm="1">
        <f t="array" ref="AW1407">SUM(MID(0&amp;AV1407,LARGE(INDEX(ISNUMBER(--MID(AV1407,ROW($1:$8),1))*ROW($1:$8),),ROW($1:$8))+1,1)*10^ROW($1:$8)/10)</f>
        <v>49401140</v>
      </c>
      <c r="AX1407" s="471" t="str">
        <f>VLOOKUP($AW1407,'Item Master Data'!$A:$F,3,FALSE)</f>
        <v>Q.PEAK DUO BLK ML G10.a+</v>
      </c>
      <c r="AY1407" s="471">
        <f>VLOOKUP($AW1407,'Item Master Data'!$A:$F,6,FALSE)</f>
        <v>400</v>
      </c>
      <c r="AZ1407" s="471">
        <f t="shared" si="259"/>
        <v>24</v>
      </c>
      <c r="BA1407" s="471">
        <f>VLOOKUP(AW1407,'Item Master Data'!$A:$G,7,FALSE)</f>
        <v>32</v>
      </c>
      <c r="BC1407" s="471">
        <f t="shared" si="260"/>
        <v>0</v>
      </c>
    </row>
    <row r="1408" spans="1:55" s="471" customFormat="1">
      <c r="A1408" s="472" t="s">
        <v>3190</v>
      </c>
      <c r="B1408" s="515">
        <v>44586</v>
      </c>
      <c r="C1408" s="515">
        <v>44638</v>
      </c>
      <c r="D1408" s="485" t="s">
        <v>3186</v>
      </c>
      <c r="E1408" s="474"/>
      <c r="F1408" s="474"/>
      <c r="G1408" s="474">
        <v>2022</v>
      </c>
      <c r="H1408" s="474">
        <v>3</v>
      </c>
      <c r="I1408" s="474">
        <v>127536</v>
      </c>
      <c r="J1408" s="475">
        <v>44645</v>
      </c>
      <c r="K1408" s="483" t="s">
        <v>3191</v>
      </c>
      <c r="L1408" s="474" t="s">
        <v>3188</v>
      </c>
      <c r="M1408" s="487">
        <v>44531</v>
      </c>
      <c r="N1408" s="487">
        <v>44603</v>
      </c>
      <c r="O1408" s="487"/>
      <c r="P1408" s="475">
        <v>44628</v>
      </c>
      <c r="Q1408" s="475">
        <v>44643</v>
      </c>
      <c r="R1408" s="475">
        <v>44645</v>
      </c>
      <c r="S1408" s="474" t="s">
        <v>2379</v>
      </c>
      <c r="T1408" s="474">
        <v>60</v>
      </c>
      <c r="U1408" s="474">
        <v>49204132</v>
      </c>
      <c r="V1408" s="474" t="s">
        <v>1223</v>
      </c>
      <c r="W1408" s="474">
        <v>360</v>
      </c>
      <c r="X1408" s="476">
        <v>676</v>
      </c>
      <c r="Y1408" s="477">
        <f>X1408*W1408</f>
        <v>243360</v>
      </c>
      <c r="Z1408" s="478">
        <v>0.77</v>
      </c>
      <c r="AA1408" s="479">
        <f>Z1408*Y1408</f>
        <v>187387.2</v>
      </c>
      <c r="AB1408" s="480"/>
      <c r="AC1408" s="481">
        <f>AB1408*Y1408</f>
        <v>0</v>
      </c>
      <c r="AD1408" s="490"/>
      <c r="AE1408" s="482">
        <v>15459.44</v>
      </c>
      <c r="AF1408" s="493">
        <f>AE1408+AD1408+AA1408</f>
        <v>202846.64</v>
      </c>
      <c r="AG1408" s="474" t="s">
        <v>47</v>
      </c>
      <c r="AH1408" s="474"/>
      <c r="AI1408" s="483" t="s">
        <v>2374</v>
      </c>
      <c r="AJ1408" s="474" t="s">
        <v>3189</v>
      </c>
      <c r="AK1408" s="494" t="s">
        <v>1144</v>
      </c>
      <c r="AL1408" s="474">
        <v>78109</v>
      </c>
      <c r="AM1408" s="474" t="s">
        <v>52</v>
      </c>
      <c r="AN1408" s="474" t="s">
        <v>1074</v>
      </c>
      <c r="AO1408" s="474"/>
      <c r="AP1408" s="486"/>
      <c r="AQ1408" s="486" t="s">
        <v>1086</v>
      </c>
      <c r="AR1408" s="486"/>
      <c r="AS1408" s="495"/>
      <c r="AT1408" s="495"/>
      <c r="AU1408" s="478"/>
      <c r="AV1408" s="471">
        <f t="shared" si="258"/>
        <v>49204132</v>
      </c>
      <c r="AW1408" s="471" cm="1">
        <f t="array" ref="AW1408">SUM(MID(0&amp;AV1408,LARGE(INDEX(ISNUMBER(--MID(AV1408,ROW($1:$8),1))*ROW($1:$8),),ROW($1:$8))+1,1)*10^ROW($1:$8)/10)</f>
        <v>49204132</v>
      </c>
      <c r="AX1408" s="471" t="str">
        <f>VLOOKUP($AW1408,'Item Master Data'!$A:$F,3,FALSE)</f>
        <v>Q.PEAK DUO BLK G10+/AC</v>
      </c>
      <c r="AY1408" s="471">
        <f>VLOOKUP($AW1408,'Item Master Data'!$A:$F,6,FALSE)</f>
        <v>360</v>
      </c>
      <c r="AZ1408" s="471">
        <f t="shared" si="259"/>
        <v>26</v>
      </c>
      <c r="BA1408" s="471">
        <f>VLOOKUP(AW1408,'Item Master Data'!$A:$G,7,FALSE)</f>
        <v>26</v>
      </c>
      <c r="BC1408" s="471">
        <f t="shared" si="260"/>
        <v>0</v>
      </c>
    </row>
    <row r="1409" spans="1:55" s="471" customFormat="1">
      <c r="A1409" s="472"/>
      <c r="B1409" s="515">
        <v>44648</v>
      </c>
      <c r="C1409" s="515">
        <v>44648</v>
      </c>
      <c r="D1409" s="485" t="s">
        <v>3186</v>
      </c>
      <c r="E1409" s="474"/>
      <c r="F1409" s="474"/>
      <c r="G1409" s="474">
        <v>2022</v>
      </c>
      <c r="H1409" s="474">
        <v>3</v>
      </c>
      <c r="I1409" s="474">
        <v>127594</v>
      </c>
      <c r="J1409" s="475">
        <v>44649</v>
      </c>
      <c r="K1409" s="483" t="s">
        <v>3187</v>
      </c>
      <c r="L1409" s="474" t="s">
        <v>3188</v>
      </c>
      <c r="M1409" s="487">
        <v>44531</v>
      </c>
      <c r="N1409" s="487">
        <v>44631</v>
      </c>
      <c r="O1409" s="487"/>
      <c r="P1409" s="475">
        <v>44641</v>
      </c>
      <c r="Q1409" s="475">
        <v>44649</v>
      </c>
      <c r="R1409" s="475">
        <v>44652</v>
      </c>
      <c r="S1409" s="474" t="s">
        <v>2379</v>
      </c>
      <c r="T1409" s="474">
        <v>60</v>
      </c>
      <c r="U1409" s="474" t="s">
        <v>1760</v>
      </c>
      <c r="V1409" s="474" t="s">
        <v>973</v>
      </c>
      <c r="W1409" s="474">
        <v>400</v>
      </c>
      <c r="X1409" s="476">
        <v>832</v>
      </c>
      <c r="Y1409" s="477">
        <f>X1409*W1409</f>
        <v>332800</v>
      </c>
      <c r="Z1409" s="478">
        <v>0.53</v>
      </c>
      <c r="AA1409" s="479">
        <f>Z1409*Y1409</f>
        <v>176384</v>
      </c>
      <c r="AB1409" s="480"/>
      <c r="AC1409" s="481">
        <f>AB1409*Y1409</f>
        <v>0</v>
      </c>
      <c r="AD1409" s="490"/>
      <c r="AE1409" s="482">
        <v>14551.68</v>
      </c>
      <c r="AF1409" s="493">
        <f>AE1409+AD1409+AA1409</f>
        <v>190935.67999999999</v>
      </c>
      <c r="AG1409" s="474" t="s">
        <v>1071</v>
      </c>
      <c r="AH1409" s="474"/>
      <c r="AI1409" s="483" t="s">
        <v>2374</v>
      </c>
      <c r="AJ1409" s="474" t="s">
        <v>3189</v>
      </c>
      <c r="AK1409" s="494" t="s">
        <v>1144</v>
      </c>
      <c r="AL1409" s="474">
        <v>78109</v>
      </c>
      <c r="AM1409" s="474" t="s">
        <v>52</v>
      </c>
      <c r="AN1409" s="474" t="s">
        <v>50</v>
      </c>
      <c r="AO1409" s="474"/>
      <c r="AP1409" s="486" t="s">
        <v>38</v>
      </c>
      <c r="AQ1409" s="486" t="s">
        <v>37</v>
      </c>
      <c r="AR1409" s="486"/>
      <c r="AS1409" s="495"/>
      <c r="AT1409" s="495"/>
      <c r="AU1409" s="478"/>
      <c r="AV1409" s="471" t="str">
        <f t="shared" si="258"/>
        <v>30390156H</v>
      </c>
      <c r="AW1409" s="471" cm="1">
        <f t="array" ref="AW1409">SUM(MID(0&amp;AV1409,LARGE(INDEX(ISNUMBER(--MID(AV1409,ROW($1:$8),1))*ROW($1:$8),),ROW($1:$8))+1,1)*10^ROW($1:$8)/10)</f>
        <v>30390156</v>
      </c>
      <c r="AX1409" s="471" t="str">
        <f>VLOOKUP($AW1409,'Item Master Data'!$A:$F,3,FALSE)</f>
        <v>Q.PEAK DUO BLK ML G10+</v>
      </c>
      <c r="AY1409" s="471">
        <f>VLOOKUP($AW1409,'Item Master Data'!$A:$F,6,FALSE)</f>
        <v>400</v>
      </c>
      <c r="AZ1409" s="471">
        <f t="shared" si="259"/>
        <v>26</v>
      </c>
      <c r="BA1409" s="471">
        <f>VLOOKUP(AW1409,'Item Master Data'!$A:$G,7,FALSE)</f>
        <v>32</v>
      </c>
      <c r="BC1409" s="471">
        <f t="shared" si="260"/>
        <v>0</v>
      </c>
    </row>
    <row r="1410" spans="1:55" s="471" customFormat="1">
      <c r="A1410" s="472"/>
      <c r="B1410" s="472"/>
      <c r="C1410" s="472"/>
      <c r="D1410" s="485" t="s">
        <v>3186</v>
      </c>
      <c r="E1410" s="474"/>
      <c r="F1410" s="474"/>
      <c r="G1410" s="474">
        <v>2022</v>
      </c>
      <c r="H1410" s="474">
        <v>4</v>
      </c>
      <c r="I1410" s="474">
        <v>128132</v>
      </c>
      <c r="J1410" s="475">
        <v>44670</v>
      </c>
      <c r="K1410" s="483" t="s">
        <v>3299</v>
      </c>
      <c r="L1410" s="474" t="s">
        <v>3297</v>
      </c>
      <c r="M1410" s="487">
        <v>44601</v>
      </c>
      <c r="N1410" s="487">
        <v>44643</v>
      </c>
      <c r="O1410" s="487"/>
      <c r="P1410" s="475">
        <v>44664</v>
      </c>
      <c r="Q1410" s="475">
        <v>44669</v>
      </c>
      <c r="R1410" s="475">
        <v>44670</v>
      </c>
      <c r="S1410" s="474" t="s">
        <v>2379</v>
      </c>
      <c r="T1410" s="474">
        <v>60</v>
      </c>
      <c r="U1410" s="474" t="s">
        <v>1760</v>
      </c>
      <c r="V1410" s="474" t="s">
        <v>973</v>
      </c>
      <c r="W1410" s="474">
        <v>400</v>
      </c>
      <c r="X1410" s="476">
        <v>832</v>
      </c>
      <c r="Y1410" s="491">
        <f>X1410*W1410</f>
        <v>332800</v>
      </c>
      <c r="Z1410" s="478">
        <v>0.54</v>
      </c>
      <c r="AA1410" s="492">
        <f>Z1410*Y1410</f>
        <v>179712</v>
      </c>
      <c r="AB1410" s="480"/>
      <c r="AC1410" s="481">
        <f>AB1410*Y1410</f>
        <v>0</v>
      </c>
      <c r="AD1410" s="490"/>
      <c r="AE1410" s="482">
        <v>6851.52</v>
      </c>
      <c r="AF1410" s="493">
        <f>AE1410+AD1410+AA1410</f>
        <v>186563.52</v>
      </c>
      <c r="AG1410" s="474" t="s">
        <v>47</v>
      </c>
      <c r="AH1410" s="474"/>
      <c r="AI1410" s="483">
        <v>60</v>
      </c>
      <c r="AJ1410" s="474" t="s">
        <v>1790</v>
      </c>
      <c r="AK1410" s="494" t="s">
        <v>50</v>
      </c>
      <c r="AL1410" s="474">
        <v>95826</v>
      </c>
      <c r="AM1410" s="474" t="s">
        <v>52</v>
      </c>
      <c r="AN1410" s="474" t="s">
        <v>50</v>
      </c>
      <c r="AO1410" s="474"/>
      <c r="AP1410" s="486"/>
      <c r="AQ1410" s="486" t="s">
        <v>37</v>
      </c>
      <c r="AR1410" s="486"/>
      <c r="AS1410" s="495"/>
      <c r="AT1410" s="495"/>
      <c r="AU1410" s="506">
        <f>182.4/380</f>
        <v>0.48000000000000004</v>
      </c>
      <c r="AV1410" s="471" t="str">
        <f t="shared" si="258"/>
        <v>30390156H</v>
      </c>
      <c r="AW1410" s="471" cm="1">
        <f t="array" ref="AW1410">SUM(MID(0&amp;AV1410,LARGE(INDEX(ISNUMBER(--MID(AV1410,ROW($1:$8),1))*ROW($1:$8),),ROW($1:$8))+1,1)*10^ROW($1:$8)/10)</f>
        <v>30390156</v>
      </c>
      <c r="AX1410" s="471" t="str">
        <f>VLOOKUP($AW1410,'Item Master Data'!$A:$F,3,FALSE)</f>
        <v>Q.PEAK DUO BLK ML G10+</v>
      </c>
      <c r="AY1410" s="471">
        <f>VLOOKUP($AW1410,'Item Master Data'!$A:$F,6,FALSE)</f>
        <v>400</v>
      </c>
      <c r="AZ1410" s="471">
        <f t="shared" si="259"/>
        <v>26</v>
      </c>
      <c r="BA1410" s="471">
        <f>VLOOKUP(AW1410,'Item Master Data'!$A:$G,7,FALSE)</f>
        <v>32</v>
      </c>
      <c r="BC1410" s="471">
        <f t="shared" si="260"/>
        <v>0</v>
      </c>
    </row>
    <row r="1411" spans="1:55" s="471" customFormat="1">
      <c r="A1411" s="472"/>
      <c r="B1411" s="515">
        <v>44649</v>
      </c>
      <c r="C1411" s="515">
        <v>44649</v>
      </c>
      <c r="D1411" s="485" t="s">
        <v>3186</v>
      </c>
      <c r="E1411" s="474"/>
      <c r="F1411" s="474"/>
      <c r="G1411" s="474">
        <v>2022</v>
      </c>
      <c r="H1411" s="474">
        <v>3</v>
      </c>
      <c r="I1411" s="474">
        <v>127671</v>
      </c>
      <c r="J1411" s="475">
        <v>44651</v>
      </c>
      <c r="K1411" s="475" t="s">
        <v>3298</v>
      </c>
      <c r="L1411" s="474" t="s">
        <v>3297</v>
      </c>
      <c r="M1411" s="487">
        <v>44601</v>
      </c>
      <c r="N1411" s="487">
        <v>44630</v>
      </c>
      <c r="O1411" s="487"/>
      <c r="P1411" s="475">
        <v>44648</v>
      </c>
      <c r="Q1411" s="475">
        <v>44651</v>
      </c>
      <c r="R1411" s="475">
        <v>44652</v>
      </c>
      <c r="S1411" s="474" t="s">
        <v>2379</v>
      </c>
      <c r="T1411" s="474">
        <v>60</v>
      </c>
      <c r="U1411" s="474" t="s">
        <v>1760</v>
      </c>
      <c r="V1411" s="474" t="s">
        <v>973</v>
      </c>
      <c r="W1411" s="474">
        <v>400</v>
      </c>
      <c r="X1411" s="476">
        <v>832</v>
      </c>
      <c r="Y1411" s="491">
        <f>X1411*W1411</f>
        <v>332800</v>
      </c>
      <c r="Z1411" s="478">
        <v>0.54</v>
      </c>
      <c r="AA1411" s="492">
        <f>Z1411*Y1411</f>
        <v>179712</v>
      </c>
      <c r="AB1411" s="480"/>
      <c r="AC1411" s="481">
        <f>AB1411*Y1411</f>
        <v>0</v>
      </c>
      <c r="AD1411" s="490"/>
      <c r="AE1411" s="482">
        <v>6851.52</v>
      </c>
      <c r="AF1411" s="493">
        <f>AE1411+AD1411+AA1411</f>
        <v>186563.52</v>
      </c>
      <c r="AG1411" s="474" t="s">
        <v>1071</v>
      </c>
      <c r="AH1411" s="474"/>
      <c r="AI1411" s="483">
        <v>60</v>
      </c>
      <c r="AJ1411" s="474" t="s">
        <v>1790</v>
      </c>
      <c r="AK1411" s="494" t="s">
        <v>50</v>
      </c>
      <c r="AL1411" s="474">
        <v>95826</v>
      </c>
      <c r="AM1411" s="474" t="s">
        <v>52</v>
      </c>
      <c r="AN1411" s="474" t="s">
        <v>50</v>
      </c>
      <c r="AO1411" s="474"/>
      <c r="AP1411" s="486" t="s">
        <v>38</v>
      </c>
      <c r="AQ1411" s="486" t="s">
        <v>37</v>
      </c>
      <c r="AR1411" s="486"/>
      <c r="AS1411" s="495"/>
      <c r="AT1411" s="495"/>
      <c r="AU1411" s="478">
        <f>182.4/380</f>
        <v>0.48000000000000004</v>
      </c>
      <c r="AV1411" s="471" t="str">
        <f t="shared" si="258"/>
        <v>30390156H</v>
      </c>
      <c r="AW1411" s="471" cm="1">
        <f t="array" ref="AW1411">SUM(MID(0&amp;AV1411,LARGE(INDEX(ISNUMBER(--MID(AV1411,ROW($1:$8),1))*ROW($1:$8),),ROW($1:$8))+1,1)*10^ROW($1:$8)/10)</f>
        <v>30390156</v>
      </c>
      <c r="AX1411" s="471" t="str">
        <f>VLOOKUP($AW1411,'Item Master Data'!$A:$F,3,FALSE)</f>
        <v>Q.PEAK DUO BLK ML G10+</v>
      </c>
      <c r="AY1411" s="471">
        <f>VLOOKUP($AW1411,'Item Master Data'!$A:$F,6,FALSE)</f>
        <v>400</v>
      </c>
      <c r="AZ1411" s="471">
        <f t="shared" si="259"/>
        <v>26</v>
      </c>
      <c r="BA1411" s="471">
        <f>VLOOKUP(AW1411,'Item Master Data'!$A:$G,7,FALSE)</f>
        <v>32</v>
      </c>
      <c r="BC1411" s="471">
        <f t="shared" si="260"/>
        <v>0</v>
      </c>
    </row>
    <row r="1412" spans="1:55" s="471" customFormat="1">
      <c r="A1412" s="472"/>
      <c r="B1412" s="515">
        <v>44594</v>
      </c>
      <c r="C1412" s="515">
        <v>44594</v>
      </c>
      <c r="D1412" s="485" t="s">
        <v>3186</v>
      </c>
      <c r="E1412" s="474"/>
      <c r="F1412" s="474"/>
      <c r="G1412" s="474">
        <v>2022</v>
      </c>
      <c r="H1412" s="474">
        <v>3</v>
      </c>
      <c r="I1412" s="474">
        <v>127606</v>
      </c>
      <c r="J1412" s="475">
        <v>44650</v>
      </c>
      <c r="K1412" s="483" t="s">
        <v>3296</v>
      </c>
      <c r="L1412" s="474" t="s">
        <v>3297</v>
      </c>
      <c r="M1412" s="487">
        <v>44510</v>
      </c>
      <c r="N1412" s="487">
        <v>44538</v>
      </c>
      <c r="O1412" s="487"/>
      <c r="P1412" s="475">
        <v>44648</v>
      </c>
      <c r="Q1412" s="475">
        <v>44650</v>
      </c>
      <c r="R1412" s="475">
        <v>44650</v>
      </c>
      <c r="S1412" s="474" t="s">
        <v>2379</v>
      </c>
      <c r="T1412" s="474">
        <v>60</v>
      </c>
      <c r="U1412" s="474" t="s">
        <v>1760</v>
      </c>
      <c r="V1412" s="474" t="s">
        <v>973</v>
      </c>
      <c r="W1412" s="474">
        <v>400</v>
      </c>
      <c r="X1412" s="476">
        <v>416</v>
      </c>
      <c r="Y1412" s="477">
        <f>X1412*W1412</f>
        <v>166400</v>
      </c>
      <c r="Z1412" s="478">
        <v>0.54</v>
      </c>
      <c r="AA1412" s="479">
        <f>Z1412*Y1412</f>
        <v>89856</v>
      </c>
      <c r="AB1412" s="480"/>
      <c r="AC1412" s="481">
        <f>AB1412*Y1412</f>
        <v>0</v>
      </c>
      <c r="AD1412" s="490"/>
      <c r="AE1412" s="482">
        <v>3425.76</v>
      </c>
      <c r="AF1412" s="493">
        <f>AE1412+AD1412+AA1412</f>
        <v>93281.76</v>
      </c>
      <c r="AG1412" s="474" t="s">
        <v>47</v>
      </c>
      <c r="AH1412" s="474"/>
      <c r="AI1412" s="483">
        <v>60</v>
      </c>
      <c r="AJ1412" s="474" t="s">
        <v>1950</v>
      </c>
      <c r="AK1412" s="494" t="s">
        <v>50</v>
      </c>
      <c r="AL1412" s="474">
        <v>91761</v>
      </c>
      <c r="AM1412" s="474" t="s">
        <v>52</v>
      </c>
      <c r="AN1412" s="474" t="s">
        <v>50</v>
      </c>
      <c r="AO1412" s="474"/>
      <c r="AP1412" s="486" t="s">
        <v>38</v>
      </c>
      <c r="AQ1412" s="486" t="s">
        <v>37</v>
      </c>
      <c r="AR1412" s="486"/>
      <c r="AS1412" s="495"/>
      <c r="AT1412" s="495"/>
      <c r="AU1412" s="478"/>
      <c r="AV1412" s="471" t="str">
        <f t="shared" si="258"/>
        <v>30390156H</v>
      </c>
      <c r="AW1412" s="471" cm="1">
        <f t="array" ref="AW1412">SUM(MID(0&amp;AV1412,LARGE(INDEX(ISNUMBER(--MID(AV1412,ROW($1:$8),1))*ROW($1:$8),),ROW($1:$8))+1,1)*10^ROW($1:$8)/10)</f>
        <v>30390156</v>
      </c>
      <c r="AX1412" s="471" t="str">
        <f>VLOOKUP($AW1412,'Item Master Data'!$A:$F,3,FALSE)</f>
        <v>Q.PEAK DUO BLK ML G10+</v>
      </c>
      <c r="AY1412" s="471">
        <f>VLOOKUP($AW1412,'Item Master Data'!$A:$F,6,FALSE)</f>
        <v>400</v>
      </c>
      <c r="AZ1412" s="471">
        <f t="shared" si="259"/>
        <v>13</v>
      </c>
      <c r="BA1412" s="471">
        <f>VLOOKUP(AW1412,'Item Master Data'!$A:$G,7,FALSE)</f>
        <v>32</v>
      </c>
      <c r="BC1412" s="471">
        <f t="shared" si="260"/>
        <v>0</v>
      </c>
    </row>
    <row r="1413" spans="1:55" s="471" customFormat="1">
      <c r="A1413" s="472"/>
      <c r="B1413" s="515">
        <v>44615</v>
      </c>
      <c r="C1413" s="515">
        <v>44615</v>
      </c>
      <c r="D1413" s="485" t="s">
        <v>3186</v>
      </c>
      <c r="E1413" s="474"/>
      <c r="F1413" s="474"/>
      <c r="G1413" s="474">
        <v>2022</v>
      </c>
      <c r="H1413" s="474">
        <v>3</v>
      </c>
      <c r="I1413" s="474">
        <v>127205</v>
      </c>
      <c r="J1413" s="475">
        <v>44627</v>
      </c>
      <c r="K1413" s="483" t="s">
        <v>3267</v>
      </c>
      <c r="L1413" s="474" t="s">
        <v>3268</v>
      </c>
      <c r="M1413" s="487">
        <v>44610</v>
      </c>
      <c r="N1413" s="487">
        <v>44621</v>
      </c>
      <c r="O1413" s="487"/>
      <c r="P1413" s="475">
        <v>44617</v>
      </c>
      <c r="Q1413" s="475">
        <v>44622</v>
      </c>
      <c r="R1413" s="475">
        <v>44627</v>
      </c>
      <c r="S1413" s="474" t="s">
        <v>2379</v>
      </c>
      <c r="T1413" s="474">
        <v>72</v>
      </c>
      <c r="U1413" s="474">
        <v>46109145</v>
      </c>
      <c r="V1413" s="474" t="s">
        <v>3269</v>
      </c>
      <c r="W1413" s="474">
        <v>425</v>
      </c>
      <c r="X1413" s="476">
        <v>18</v>
      </c>
      <c r="Y1413" s="491">
        <f>X1413*W1413</f>
        <v>7650</v>
      </c>
      <c r="Z1413" s="478">
        <v>0.52</v>
      </c>
      <c r="AA1413" s="479">
        <f>Z1413*Y1413</f>
        <v>3978</v>
      </c>
      <c r="AB1413" s="480"/>
      <c r="AC1413" s="481">
        <f>AB1413*Y1413</f>
        <v>0</v>
      </c>
      <c r="AD1413" s="490"/>
      <c r="AE1413" s="482"/>
      <c r="AF1413" s="493">
        <f>AE1413+AD1413+AA1413</f>
        <v>3978</v>
      </c>
      <c r="AG1413" s="474" t="s">
        <v>47</v>
      </c>
      <c r="AH1413" s="474"/>
      <c r="AI1413" s="483" t="s">
        <v>3270</v>
      </c>
      <c r="AJ1413" s="474" t="s">
        <v>3271</v>
      </c>
      <c r="AK1413" s="494" t="s">
        <v>1084</v>
      </c>
      <c r="AL1413" s="474">
        <v>32403</v>
      </c>
      <c r="AM1413" s="474" t="s">
        <v>52</v>
      </c>
      <c r="AN1413" s="474" t="s">
        <v>1074</v>
      </c>
      <c r="AO1413" s="474"/>
      <c r="AP1413" s="486"/>
      <c r="AQ1413" s="486" t="s">
        <v>37</v>
      </c>
      <c r="AR1413" s="486"/>
      <c r="AS1413" s="495"/>
      <c r="AT1413" s="495"/>
      <c r="AU1413" s="478"/>
      <c r="AV1413" s="471">
        <f t="shared" si="258"/>
        <v>46109145</v>
      </c>
      <c r="AW1413" s="471" cm="1">
        <f t="array" ref="AW1413">SUM(MID(0&amp;AV1413,LARGE(INDEX(ISNUMBER(--MID(AV1413,ROW($1:$8),1))*ROW($1:$8),),ROW($1:$8))+1,1)*10^ROW($1:$8)/10)</f>
        <v>46109145</v>
      </c>
      <c r="AX1413" s="471" t="str">
        <f>VLOOKUP($AW1413,'Item Master Data'!$A:$F,3,FALSE)</f>
        <v xml:space="preserve">Q.PEAK DUO L G6 </v>
      </c>
      <c r="AY1413" s="471">
        <f>VLOOKUP($AW1413,'Item Master Data'!$A:$F,6,FALSE)</f>
        <v>425</v>
      </c>
      <c r="AZ1413" s="471">
        <f t="shared" si="259"/>
        <v>0.62068965517241381</v>
      </c>
      <c r="BA1413" s="471">
        <f>VLOOKUP(AW1413,'Item Master Data'!$A:$G,7,FALSE)</f>
        <v>29</v>
      </c>
      <c r="BC1413" s="471">
        <f t="shared" si="260"/>
        <v>0</v>
      </c>
    </row>
    <row r="1414" spans="1:55" s="471" customFormat="1">
      <c r="A1414" s="472"/>
      <c r="B1414" s="515">
        <v>44635</v>
      </c>
      <c r="C1414" s="515">
        <v>44634</v>
      </c>
      <c r="D1414" s="485" t="s">
        <v>3186</v>
      </c>
      <c r="E1414" s="474" t="s">
        <v>2633</v>
      </c>
      <c r="F1414" s="474"/>
      <c r="G1414" s="474">
        <v>2022</v>
      </c>
      <c r="H1414" s="474">
        <v>12</v>
      </c>
      <c r="I1414" s="474" t="s">
        <v>1676</v>
      </c>
      <c r="J1414" s="475"/>
      <c r="K1414" s="483" t="s">
        <v>3658</v>
      </c>
      <c r="L1414" s="474" t="s">
        <v>3188</v>
      </c>
      <c r="M1414" s="487">
        <v>44568</v>
      </c>
      <c r="N1414" s="487">
        <v>44900</v>
      </c>
      <c r="O1414" s="487"/>
      <c r="P1414" s="475"/>
      <c r="Q1414" s="475"/>
      <c r="R1414" s="475"/>
      <c r="S1414" s="474" t="s">
        <v>2379</v>
      </c>
      <c r="T1414" s="474">
        <v>60</v>
      </c>
      <c r="U1414" s="474"/>
      <c r="V1414" s="474" t="s">
        <v>973</v>
      </c>
      <c r="W1414" s="474">
        <v>400</v>
      </c>
      <c r="X1414" s="476">
        <v>320</v>
      </c>
      <c r="Y1414" s="477">
        <f>X1414*W1414</f>
        <v>128000</v>
      </c>
      <c r="Z1414" s="478">
        <v>0.55000000000000004</v>
      </c>
      <c r="AA1414" s="479">
        <f>Z1414*Y1414</f>
        <v>70400</v>
      </c>
      <c r="AB1414" s="480"/>
      <c r="AC1414" s="481">
        <f>AB1414*Y1414</f>
        <v>0</v>
      </c>
      <c r="AD1414" s="490"/>
      <c r="AE1414" s="482"/>
      <c r="AF1414" s="493">
        <f>AE1414+AD1414+AA1414</f>
        <v>70400</v>
      </c>
      <c r="AG1414" s="474" t="s">
        <v>47</v>
      </c>
      <c r="AH1414" s="474"/>
      <c r="AI1414" s="483" t="s">
        <v>2374</v>
      </c>
      <c r="AJ1414" s="474" t="s">
        <v>3262</v>
      </c>
      <c r="AK1414" s="494" t="s">
        <v>3263</v>
      </c>
      <c r="AL1414" s="474">
        <v>84115</v>
      </c>
      <c r="AM1414" s="474" t="s">
        <v>52</v>
      </c>
      <c r="AN1414" s="474"/>
      <c r="AO1414" s="474"/>
      <c r="AP1414" s="486"/>
      <c r="AQ1414" s="486" t="s">
        <v>37</v>
      </c>
      <c r="AR1414" s="486"/>
      <c r="AS1414" s="495"/>
      <c r="AT1414" s="495"/>
      <c r="AU1414" s="478">
        <v>0.55000000000000004</v>
      </c>
    </row>
    <row r="1415" spans="1:55" s="471" customFormat="1">
      <c r="A1415" s="472"/>
      <c r="B1415" s="515">
        <v>44635</v>
      </c>
      <c r="C1415" s="515">
        <v>44634</v>
      </c>
      <c r="D1415" s="485" t="s">
        <v>3186</v>
      </c>
      <c r="E1415" s="474" t="s">
        <v>2633</v>
      </c>
      <c r="F1415" s="474"/>
      <c r="G1415" s="474">
        <v>2022</v>
      </c>
      <c r="H1415" s="474">
        <v>11</v>
      </c>
      <c r="I1415" s="474" t="s">
        <v>1676</v>
      </c>
      <c r="J1415" s="475"/>
      <c r="K1415" s="483" t="s">
        <v>3655</v>
      </c>
      <c r="L1415" s="474" t="s">
        <v>3188</v>
      </c>
      <c r="M1415" s="487">
        <v>44568</v>
      </c>
      <c r="N1415" s="487">
        <v>44866</v>
      </c>
      <c r="O1415" s="487"/>
      <c r="P1415" s="475"/>
      <c r="Q1415" s="475"/>
      <c r="R1415" s="475"/>
      <c r="S1415" s="474" t="s">
        <v>2379</v>
      </c>
      <c r="T1415" s="474">
        <v>60</v>
      </c>
      <c r="U1415" s="474"/>
      <c r="V1415" s="474" t="s">
        <v>973</v>
      </c>
      <c r="W1415" s="474">
        <v>400</v>
      </c>
      <c r="X1415" s="476">
        <v>320</v>
      </c>
      <c r="Y1415" s="477">
        <f>X1415*W1415</f>
        <v>128000</v>
      </c>
      <c r="Z1415" s="478">
        <v>0.55000000000000004</v>
      </c>
      <c r="AA1415" s="479">
        <f>Z1415*Y1415</f>
        <v>70400</v>
      </c>
      <c r="AB1415" s="480"/>
      <c r="AC1415" s="481">
        <f>AB1415*Y1415</f>
        <v>0</v>
      </c>
      <c r="AD1415" s="490"/>
      <c r="AE1415" s="482"/>
      <c r="AF1415" s="493">
        <f>AE1415+AD1415+AA1415</f>
        <v>70400</v>
      </c>
      <c r="AG1415" s="474" t="s">
        <v>47</v>
      </c>
      <c r="AH1415" s="474"/>
      <c r="AI1415" s="483" t="s">
        <v>2374</v>
      </c>
      <c r="AJ1415" s="474" t="s">
        <v>3262</v>
      </c>
      <c r="AK1415" s="494" t="s">
        <v>3263</v>
      </c>
      <c r="AL1415" s="474">
        <v>84115</v>
      </c>
      <c r="AM1415" s="474" t="s">
        <v>52</v>
      </c>
      <c r="AN1415" s="474"/>
      <c r="AO1415" s="474"/>
      <c r="AP1415" s="486"/>
      <c r="AQ1415" s="486" t="s">
        <v>37</v>
      </c>
      <c r="AR1415" s="486"/>
      <c r="AS1415" s="495"/>
      <c r="AT1415" s="495"/>
      <c r="AU1415" s="478">
        <v>0.55000000000000004</v>
      </c>
    </row>
    <row r="1416" spans="1:55" s="471" customFormat="1">
      <c r="A1416" s="472"/>
      <c r="B1416" s="515">
        <v>44635</v>
      </c>
      <c r="C1416" s="515">
        <v>44634</v>
      </c>
      <c r="D1416" s="485" t="s">
        <v>3186</v>
      </c>
      <c r="E1416" s="474" t="s">
        <v>2633</v>
      </c>
      <c r="F1416" s="474"/>
      <c r="G1416" s="474">
        <v>2022</v>
      </c>
      <c r="H1416" s="474">
        <v>10</v>
      </c>
      <c r="I1416" s="474" t="s">
        <v>1676</v>
      </c>
      <c r="J1416" s="475"/>
      <c r="K1416" s="483" t="s">
        <v>3651</v>
      </c>
      <c r="L1416" s="474" t="s">
        <v>3188</v>
      </c>
      <c r="M1416" s="487">
        <v>44568</v>
      </c>
      <c r="N1416" s="487">
        <v>44839</v>
      </c>
      <c r="O1416" s="487"/>
      <c r="P1416" s="475"/>
      <c r="Q1416" s="475"/>
      <c r="R1416" s="475"/>
      <c r="S1416" s="474" t="s">
        <v>2379</v>
      </c>
      <c r="T1416" s="474">
        <v>60</v>
      </c>
      <c r="U1416" s="474"/>
      <c r="V1416" s="474" t="s">
        <v>973</v>
      </c>
      <c r="W1416" s="474">
        <v>400</v>
      </c>
      <c r="X1416" s="476">
        <v>320</v>
      </c>
      <c r="Y1416" s="477">
        <f>X1416*W1416</f>
        <v>128000</v>
      </c>
      <c r="Z1416" s="478">
        <v>0.55000000000000004</v>
      </c>
      <c r="AA1416" s="479">
        <f>Z1416*Y1416</f>
        <v>70400</v>
      </c>
      <c r="AB1416" s="480"/>
      <c r="AC1416" s="481">
        <f>AB1416*Y1416</f>
        <v>0</v>
      </c>
      <c r="AD1416" s="490"/>
      <c r="AE1416" s="482"/>
      <c r="AF1416" s="493">
        <f>AE1416+AD1416+AA1416</f>
        <v>70400</v>
      </c>
      <c r="AG1416" s="474" t="s">
        <v>47</v>
      </c>
      <c r="AH1416" s="474"/>
      <c r="AI1416" s="483" t="s">
        <v>2374</v>
      </c>
      <c r="AJ1416" s="474" t="s">
        <v>3262</v>
      </c>
      <c r="AK1416" s="494" t="s">
        <v>3263</v>
      </c>
      <c r="AL1416" s="474">
        <v>84115</v>
      </c>
      <c r="AM1416" s="474" t="s">
        <v>52</v>
      </c>
      <c r="AN1416" s="474"/>
      <c r="AO1416" s="474"/>
      <c r="AP1416" s="486"/>
      <c r="AQ1416" s="486" t="s">
        <v>37</v>
      </c>
      <c r="AR1416" s="486"/>
      <c r="AS1416" s="495"/>
      <c r="AT1416" s="495"/>
      <c r="AU1416" s="478">
        <v>0.55000000000000004</v>
      </c>
      <c r="AV1416" s="471">
        <f t="shared" ref="AV1416:AV1441" si="261">U1416</f>
        <v>0</v>
      </c>
      <c r="AW1416" s="471" cm="1">
        <f t="array" ref="AW1416">SUM(MID(0&amp;AV1416,LARGE(INDEX(ISNUMBER(--MID(AV1416,ROW($1:$8),1))*ROW($1:$8),),ROW($1:$8))+1,1)*10^ROW($1:$8)/10)</f>
        <v>0</v>
      </c>
      <c r="AX1416" s="471" t="e">
        <f>VLOOKUP($AW1416,'Item Master Data'!$A:$F,3,FALSE)</f>
        <v>#N/A</v>
      </c>
      <c r="AY1416" s="471" t="e">
        <f>VLOOKUP($AW1416,'Item Master Data'!$A:$F,6,FALSE)</f>
        <v>#N/A</v>
      </c>
      <c r="AZ1416" s="471" t="e">
        <f t="shared" ref="AZ1416:AZ1441" si="262">X1416/BA1416</f>
        <v>#N/A</v>
      </c>
      <c r="BA1416" s="471" t="e">
        <f>VLOOKUP(AW1416,'Item Master Data'!$A:$G,7,FALSE)</f>
        <v>#N/A</v>
      </c>
      <c r="BC1416" s="471" t="e">
        <f t="shared" ref="BC1416:BC1441" si="263">W1416-AY1416</f>
        <v>#N/A</v>
      </c>
    </row>
    <row r="1417" spans="1:55" s="471" customFormat="1">
      <c r="A1417" s="472"/>
      <c r="B1417" s="515">
        <v>44635</v>
      </c>
      <c r="C1417" s="515">
        <v>44634</v>
      </c>
      <c r="D1417" s="485" t="s">
        <v>3186</v>
      </c>
      <c r="E1417" s="474" t="s">
        <v>2633</v>
      </c>
      <c r="F1417" s="474"/>
      <c r="G1417" s="474">
        <v>2022</v>
      </c>
      <c r="H1417" s="474">
        <v>9</v>
      </c>
      <c r="I1417" s="474" t="s">
        <v>1676</v>
      </c>
      <c r="J1417" s="475"/>
      <c r="K1417" s="483" t="s">
        <v>3646</v>
      </c>
      <c r="L1417" s="474" t="s">
        <v>3188</v>
      </c>
      <c r="M1417" s="487">
        <v>44568</v>
      </c>
      <c r="N1417" s="487">
        <v>44810</v>
      </c>
      <c r="O1417" s="487"/>
      <c r="P1417" s="475"/>
      <c r="Q1417" s="475"/>
      <c r="R1417" s="475"/>
      <c r="S1417" s="474" t="s">
        <v>2379</v>
      </c>
      <c r="T1417" s="474">
        <v>60</v>
      </c>
      <c r="U1417" s="474"/>
      <c r="V1417" s="474" t="s">
        <v>973</v>
      </c>
      <c r="W1417" s="474">
        <v>400</v>
      </c>
      <c r="X1417" s="476">
        <v>320</v>
      </c>
      <c r="Y1417" s="477">
        <f>X1417*W1417</f>
        <v>128000</v>
      </c>
      <c r="Z1417" s="478">
        <v>0.55000000000000004</v>
      </c>
      <c r="AA1417" s="479">
        <f>Z1417*Y1417</f>
        <v>70400</v>
      </c>
      <c r="AB1417" s="480"/>
      <c r="AC1417" s="481">
        <f>AB1417*Y1417</f>
        <v>0</v>
      </c>
      <c r="AD1417" s="490"/>
      <c r="AE1417" s="482"/>
      <c r="AF1417" s="493">
        <f>AE1417+AD1417+AA1417</f>
        <v>70400</v>
      </c>
      <c r="AG1417" s="474" t="s">
        <v>47</v>
      </c>
      <c r="AH1417" s="474"/>
      <c r="AI1417" s="483" t="s">
        <v>2374</v>
      </c>
      <c r="AJ1417" s="474" t="s">
        <v>3262</v>
      </c>
      <c r="AK1417" s="494" t="s">
        <v>3263</v>
      </c>
      <c r="AL1417" s="474">
        <v>84115</v>
      </c>
      <c r="AM1417" s="474" t="s">
        <v>52</v>
      </c>
      <c r="AN1417" s="474"/>
      <c r="AO1417" s="474"/>
      <c r="AP1417" s="486"/>
      <c r="AQ1417" s="486" t="s">
        <v>37</v>
      </c>
      <c r="AR1417" s="486"/>
      <c r="AS1417" s="495"/>
      <c r="AT1417" s="495"/>
      <c r="AU1417" s="478">
        <v>0.55000000000000004</v>
      </c>
      <c r="AV1417" s="471">
        <f t="shared" si="261"/>
        <v>0</v>
      </c>
      <c r="AW1417" s="471" cm="1">
        <f t="array" ref="AW1417">SUM(MID(0&amp;AV1417,LARGE(INDEX(ISNUMBER(--MID(AV1417,ROW($1:$8),1))*ROW($1:$8),),ROW($1:$8))+1,1)*10^ROW($1:$8)/10)</f>
        <v>0</v>
      </c>
      <c r="AX1417" s="471" t="e">
        <f>VLOOKUP($AW1417,'Item Master Data'!$A:$F,3,FALSE)</f>
        <v>#N/A</v>
      </c>
      <c r="AY1417" s="471" t="e">
        <f>VLOOKUP($AW1417,'Item Master Data'!$A:$F,6,FALSE)</f>
        <v>#N/A</v>
      </c>
      <c r="AZ1417" s="471" t="e">
        <f t="shared" si="262"/>
        <v>#N/A</v>
      </c>
      <c r="BA1417" s="471" t="e">
        <f>VLOOKUP(AW1417,'Item Master Data'!$A:$G,7,FALSE)</f>
        <v>#N/A</v>
      </c>
      <c r="BC1417" s="471" t="e">
        <f t="shared" si="263"/>
        <v>#N/A</v>
      </c>
    </row>
    <row r="1418" spans="1:55" s="471" customFormat="1">
      <c r="A1418" s="472"/>
      <c r="B1418" s="515">
        <v>44635</v>
      </c>
      <c r="C1418" s="515">
        <v>44634</v>
      </c>
      <c r="D1418" s="485" t="s">
        <v>3186</v>
      </c>
      <c r="E1418" s="474" t="s">
        <v>2633</v>
      </c>
      <c r="F1418" s="474"/>
      <c r="G1418" s="474">
        <v>2022</v>
      </c>
      <c r="H1418" s="474">
        <v>8</v>
      </c>
      <c r="I1418" s="474" t="s">
        <v>1676</v>
      </c>
      <c r="J1418" s="475"/>
      <c r="K1418" s="483" t="s">
        <v>3640</v>
      </c>
      <c r="L1418" s="474" t="s">
        <v>3188</v>
      </c>
      <c r="M1418" s="487">
        <v>44568</v>
      </c>
      <c r="N1418" s="487">
        <v>44775</v>
      </c>
      <c r="O1418" s="487"/>
      <c r="P1418" s="475"/>
      <c r="Q1418" s="475"/>
      <c r="R1418" s="475"/>
      <c r="S1418" s="474" t="s">
        <v>2379</v>
      </c>
      <c r="T1418" s="474">
        <v>60</v>
      </c>
      <c r="U1418" s="474"/>
      <c r="V1418" s="474" t="s">
        <v>973</v>
      </c>
      <c r="W1418" s="474">
        <v>400</v>
      </c>
      <c r="X1418" s="476">
        <v>384</v>
      </c>
      <c r="Y1418" s="477">
        <f>X1418*W1418</f>
        <v>153600</v>
      </c>
      <c r="Z1418" s="478">
        <v>0.55000000000000004</v>
      </c>
      <c r="AA1418" s="479">
        <f>Z1418*Y1418</f>
        <v>84480</v>
      </c>
      <c r="AB1418" s="480"/>
      <c r="AC1418" s="481">
        <f>AB1418*Y1418</f>
        <v>0</v>
      </c>
      <c r="AD1418" s="490"/>
      <c r="AE1418" s="482"/>
      <c r="AF1418" s="493">
        <f>AE1418+AD1418+AA1418</f>
        <v>84480</v>
      </c>
      <c r="AG1418" s="474" t="s">
        <v>47</v>
      </c>
      <c r="AH1418" s="474"/>
      <c r="AI1418" s="483" t="s">
        <v>2374</v>
      </c>
      <c r="AJ1418" s="474" t="s">
        <v>3262</v>
      </c>
      <c r="AK1418" s="494" t="s">
        <v>3263</v>
      </c>
      <c r="AL1418" s="474">
        <v>84115</v>
      </c>
      <c r="AM1418" s="474" t="s">
        <v>52</v>
      </c>
      <c r="AN1418" s="474"/>
      <c r="AO1418" s="474"/>
      <c r="AP1418" s="486"/>
      <c r="AQ1418" s="486" t="s">
        <v>37</v>
      </c>
      <c r="AR1418" s="486"/>
      <c r="AS1418" s="495"/>
      <c r="AT1418" s="495"/>
      <c r="AU1418" s="478">
        <v>0.55000000000000004</v>
      </c>
      <c r="AV1418" s="471">
        <f t="shared" si="261"/>
        <v>0</v>
      </c>
      <c r="AW1418" s="471" cm="1">
        <f t="array" ref="AW1418">SUM(MID(0&amp;AV1418,LARGE(INDEX(ISNUMBER(--MID(AV1418,ROW($1:$8),1))*ROW($1:$8),),ROW($1:$8))+1,1)*10^ROW($1:$8)/10)</f>
        <v>0</v>
      </c>
      <c r="AX1418" s="471" t="e">
        <f>VLOOKUP($AW1418,'Item Master Data'!$A:$F,3,FALSE)</f>
        <v>#N/A</v>
      </c>
      <c r="AY1418" s="471" t="e">
        <f>VLOOKUP($AW1418,'Item Master Data'!$A:$F,6,FALSE)</f>
        <v>#N/A</v>
      </c>
      <c r="AZ1418" s="471" t="e">
        <f t="shared" si="262"/>
        <v>#N/A</v>
      </c>
      <c r="BA1418" s="471" t="e">
        <f>VLOOKUP(AW1418,'Item Master Data'!$A:$G,7,FALSE)</f>
        <v>#N/A</v>
      </c>
      <c r="BC1418" s="471" t="e">
        <f t="shared" si="263"/>
        <v>#N/A</v>
      </c>
    </row>
    <row r="1419" spans="1:55" s="471" customFormat="1">
      <c r="A1419" s="472"/>
      <c r="B1419" s="515">
        <v>44635</v>
      </c>
      <c r="C1419" s="515">
        <v>44634</v>
      </c>
      <c r="D1419" s="485" t="s">
        <v>3186</v>
      </c>
      <c r="E1419" s="474" t="s">
        <v>2633</v>
      </c>
      <c r="F1419" s="474"/>
      <c r="G1419" s="474">
        <v>2022</v>
      </c>
      <c r="H1419" s="474">
        <v>6</v>
      </c>
      <c r="I1419" s="474" t="s">
        <v>1676</v>
      </c>
      <c r="J1419" s="475"/>
      <c r="K1419" s="483" t="s">
        <v>3613</v>
      </c>
      <c r="L1419" s="474" t="s">
        <v>3188</v>
      </c>
      <c r="M1419" s="487">
        <v>44568</v>
      </c>
      <c r="N1419" s="487">
        <v>44733</v>
      </c>
      <c r="O1419" s="487"/>
      <c r="P1419" s="475"/>
      <c r="Q1419" s="475"/>
      <c r="R1419" s="475"/>
      <c r="S1419" s="474" t="s">
        <v>2379</v>
      </c>
      <c r="T1419" s="474">
        <v>60</v>
      </c>
      <c r="U1419" s="474"/>
      <c r="V1419" s="474" t="s">
        <v>973</v>
      </c>
      <c r="W1419" s="474">
        <v>400</v>
      </c>
      <c r="X1419" s="476">
        <v>352</v>
      </c>
      <c r="Y1419" s="477">
        <f>X1419*W1419</f>
        <v>140800</v>
      </c>
      <c r="Z1419" s="478">
        <v>0.55000000000000004</v>
      </c>
      <c r="AA1419" s="479">
        <f>Z1419*Y1419</f>
        <v>77440</v>
      </c>
      <c r="AB1419" s="480"/>
      <c r="AC1419" s="481">
        <f>AB1419*Y1419</f>
        <v>0</v>
      </c>
      <c r="AD1419" s="490"/>
      <c r="AE1419" s="482"/>
      <c r="AF1419" s="493">
        <f>AE1419+AD1419+AA1419</f>
        <v>77440</v>
      </c>
      <c r="AG1419" s="474" t="s">
        <v>47</v>
      </c>
      <c r="AH1419" s="474"/>
      <c r="AI1419" s="483" t="s">
        <v>2374</v>
      </c>
      <c r="AJ1419" s="474" t="s">
        <v>3262</v>
      </c>
      <c r="AK1419" s="494" t="s">
        <v>3263</v>
      </c>
      <c r="AL1419" s="474">
        <v>84115</v>
      </c>
      <c r="AM1419" s="474" t="s">
        <v>52</v>
      </c>
      <c r="AN1419" s="474"/>
      <c r="AO1419" s="474"/>
      <c r="AP1419" s="486"/>
      <c r="AQ1419" s="486" t="s">
        <v>37</v>
      </c>
      <c r="AR1419" s="486"/>
      <c r="AS1419" s="495"/>
      <c r="AT1419" s="495"/>
      <c r="AU1419" s="478">
        <v>0.55000000000000004</v>
      </c>
      <c r="AV1419" s="471">
        <f t="shared" si="261"/>
        <v>0</v>
      </c>
      <c r="AW1419" s="471" cm="1">
        <f t="array" ref="AW1419">SUM(MID(0&amp;AV1419,LARGE(INDEX(ISNUMBER(--MID(AV1419,ROW($1:$8),1))*ROW($1:$8),),ROW($1:$8))+1,1)*10^ROW($1:$8)/10)</f>
        <v>0</v>
      </c>
      <c r="AX1419" s="471" t="e">
        <f>VLOOKUP($AW1419,'Item Master Data'!$A:$F,3,FALSE)</f>
        <v>#N/A</v>
      </c>
      <c r="AY1419" s="471" t="e">
        <f>VLOOKUP($AW1419,'Item Master Data'!$A:$F,6,FALSE)</f>
        <v>#N/A</v>
      </c>
      <c r="AZ1419" s="471" t="e">
        <f t="shared" si="262"/>
        <v>#N/A</v>
      </c>
      <c r="BA1419" s="471" t="e">
        <f>VLOOKUP(AW1419,'Item Master Data'!$A:$G,7,FALSE)</f>
        <v>#N/A</v>
      </c>
      <c r="BC1419" s="471" t="e">
        <f t="shared" si="263"/>
        <v>#N/A</v>
      </c>
    </row>
    <row r="1420" spans="1:55" s="471" customFormat="1">
      <c r="A1420" s="472"/>
      <c r="B1420" s="515">
        <v>44631</v>
      </c>
      <c r="C1420" s="515">
        <v>44631</v>
      </c>
      <c r="D1420" s="485" t="s">
        <v>3186</v>
      </c>
      <c r="E1420" s="474" t="s">
        <v>3260</v>
      </c>
      <c r="F1420" s="474"/>
      <c r="G1420" s="474">
        <v>2022</v>
      </c>
      <c r="H1420" s="474">
        <v>4</v>
      </c>
      <c r="I1420" s="474">
        <v>127990</v>
      </c>
      <c r="J1420" s="475">
        <v>44652</v>
      </c>
      <c r="K1420" s="483" t="s">
        <v>3261</v>
      </c>
      <c r="L1420" s="474" t="s">
        <v>3188</v>
      </c>
      <c r="M1420" s="487">
        <v>44543</v>
      </c>
      <c r="N1420" s="487">
        <v>44627</v>
      </c>
      <c r="O1420" s="487"/>
      <c r="P1420" s="475">
        <v>44636</v>
      </c>
      <c r="Q1420" s="475">
        <v>44644</v>
      </c>
      <c r="R1420" s="475">
        <v>44652</v>
      </c>
      <c r="S1420" s="474" t="s">
        <v>2379</v>
      </c>
      <c r="T1420" s="474">
        <v>72</v>
      </c>
      <c r="U1420" s="474">
        <v>49302155</v>
      </c>
      <c r="V1420" s="474" t="s">
        <v>1104</v>
      </c>
      <c r="W1420" s="474">
        <v>475</v>
      </c>
      <c r="X1420" s="476">
        <v>580</v>
      </c>
      <c r="Y1420" s="477">
        <f>X1420*W1420</f>
        <v>275500</v>
      </c>
      <c r="Z1420" s="478">
        <v>0.47499999999999998</v>
      </c>
      <c r="AA1420" s="479">
        <f>Z1420*Y1420</f>
        <v>130862.5</v>
      </c>
      <c r="AB1420" s="480"/>
      <c r="AC1420" s="481">
        <f>AB1420*Y1420</f>
        <v>0</v>
      </c>
      <c r="AD1420" s="490"/>
      <c r="AE1420" s="482">
        <v>10141.84</v>
      </c>
      <c r="AF1420" s="493">
        <f>AE1420+AD1420+AA1420</f>
        <v>141004.34</v>
      </c>
      <c r="AG1420" s="474" t="s">
        <v>47</v>
      </c>
      <c r="AH1420" s="474"/>
      <c r="AI1420" s="483" t="s">
        <v>2374</v>
      </c>
      <c r="AJ1420" s="474" t="s">
        <v>3262</v>
      </c>
      <c r="AK1420" s="494" t="s">
        <v>3263</v>
      </c>
      <c r="AL1420" s="474">
        <v>84115</v>
      </c>
      <c r="AM1420" s="474" t="s">
        <v>52</v>
      </c>
      <c r="AN1420" s="526" t="s">
        <v>1106</v>
      </c>
      <c r="AO1420" s="474"/>
      <c r="AP1420" s="486" t="s">
        <v>38</v>
      </c>
      <c r="AQ1420" s="486" t="s">
        <v>37</v>
      </c>
      <c r="AR1420" s="486"/>
      <c r="AS1420" s="495"/>
      <c r="AT1420" s="495"/>
      <c r="AU1420" s="478"/>
      <c r="AV1420" s="471">
        <f t="shared" si="261"/>
        <v>49302155</v>
      </c>
      <c r="AW1420" s="471" cm="1">
        <f t="array" ref="AW1420">SUM(MID(0&amp;AV1420,LARGE(INDEX(ISNUMBER(--MID(AV1420,ROW($1:$8),1))*ROW($1:$8),),ROW($1:$8))+1,1)*10^ROW($1:$8)/10)</f>
        <v>49302155</v>
      </c>
      <c r="AX1420" s="471" t="str">
        <f>VLOOKUP($AW1420,'Item Master Data'!$A:$F,3,FALSE)</f>
        <v>Q.PEAK DUO XL G10</v>
      </c>
      <c r="AY1420" s="471">
        <f>VLOOKUP($AW1420,'Item Master Data'!$A:$F,6,FALSE)</f>
        <v>475</v>
      </c>
      <c r="AZ1420" s="471">
        <f t="shared" si="262"/>
        <v>20</v>
      </c>
      <c r="BA1420" s="471">
        <f>VLOOKUP(AW1420,'Item Master Data'!$A:$G,7,FALSE)</f>
        <v>29</v>
      </c>
      <c r="BC1420" s="471">
        <f t="shared" si="263"/>
        <v>0</v>
      </c>
    </row>
    <row r="1421" spans="1:55" s="471" customFormat="1">
      <c r="A1421" s="472"/>
      <c r="B1421" s="514">
        <v>44545</v>
      </c>
      <c r="C1421" s="514">
        <v>44634</v>
      </c>
      <c r="D1421" s="485" t="s">
        <v>3186</v>
      </c>
      <c r="E1421" s="474" t="s">
        <v>1283</v>
      </c>
      <c r="F1421" s="474"/>
      <c r="G1421" s="474">
        <v>2022</v>
      </c>
      <c r="H1421" s="474">
        <v>5</v>
      </c>
      <c r="I1421" s="474" t="s">
        <v>1676</v>
      </c>
      <c r="J1421" s="475"/>
      <c r="K1421" s="483" t="s">
        <v>3578</v>
      </c>
      <c r="L1421" s="474" t="s">
        <v>3188</v>
      </c>
      <c r="M1421" s="487">
        <v>44545</v>
      </c>
      <c r="N1421" s="487">
        <v>44689</v>
      </c>
      <c r="O1421" s="487"/>
      <c r="P1421" s="475"/>
      <c r="Q1421" s="475"/>
      <c r="R1421" s="475"/>
      <c r="S1421" s="474" t="s">
        <v>2379</v>
      </c>
      <c r="T1421" s="474">
        <v>60</v>
      </c>
      <c r="U1421" s="474">
        <v>49401140</v>
      </c>
      <c r="V1421" s="474" t="s">
        <v>973</v>
      </c>
      <c r="W1421" s="474">
        <v>400</v>
      </c>
      <c r="X1421" s="476">
        <v>480</v>
      </c>
      <c r="Y1421" s="477">
        <f>X1421*W1421</f>
        <v>192000</v>
      </c>
      <c r="Z1421" s="478">
        <v>0.55000000000000004</v>
      </c>
      <c r="AA1421" s="479">
        <f>Z1421*Y1421</f>
        <v>105600.00000000001</v>
      </c>
      <c r="AB1421" s="480"/>
      <c r="AC1421" s="481">
        <f>AB1421*Y1421</f>
        <v>0</v>
      </c>
      <c r="AD1421" s="490"/>
      <c r="AE1421" s="482">
        <v>8184</v>
      </c>
      <c r="AF1421" s="493">
        <f>AE1421+AD1421+AA1421</f>
        <v>113784.00000000001</v>
      </c>
      <c r="AG1421" s="474" t="s">
        <v>47</v>
      </c>
      <c r="AH1421" s="474"/>
      <c r="AI1421" s="483" t="s">
        <v>2374</v>
      </c>
      <c r="AJ1421" s="474" t="s">
        <v>3262</v>
      </c>
      <c r="AK1421" s="494" t="s">
        <v>3263</v>
      </c>
      <c r="AL1421" s="474">
        <v>84115</v>
      </c>
      <c r="AM1421" s="474" t="s">
        <v>52</v>
      </c>
      <c r="AN1421" s="474"/>
      <c r="AO1421" s="474"/>
      <c r="AP1421" s="486"/>
      <c r="AQ1421" s="486" t="s">
        <v>37</v>
      </c>
      <c r="AR1421" s="486"/>
      <c r="AS1421" s="495"/>
      <c r="AT1421" s="495"/>
      <c r="AU1421" s="478">
        <v>0.55000000000000004</v>
      </c>
      <c r="AV1421" s="471">
        <f t="shared" si="261"/>
        <v>49401140</v>
      </c>
      <c r="AW1421" s="471" cm="1">
        <f t="array" ref="AW1421">SUM(MID(0&amp;AV1421,LARGE(INDEX(ISNUMBER(--MID(AV1421,ROW($1:$8),1))*ROW($1:$8),),ROW($1:$8))+1,1)*10^ROW($1:$8)/10)</f>
        <v>49401140</v>
      </c>
      <c r="AX1421" s="471" t="str">
        <f>VLOOKUP($AW1421,'Item Master Data'!$A:$F,3,FALSE)</f>
        <v>Q.PEAK DUO BLK ML G10.a+</v>
      </c>
      <c r="AY1421" s="471">
        <f>VLOOKUP($AW1421,'Item Master Data'!$A:$F,6,FALSE)</f>
        <v>400</v>
      </c>
      <c r="AZ1421" s="471">
        <f t="shared" si="262"/>
        <v>15</v>
      </c>
      <c r="BA1421" s="471">
        <f>VLOOKUP(AW1421,'Item Master Data'!$A:$G,7,FALSE)</f>
        <v>32</v>
      </c>
      <c r="BC1421" s="471">
        <f t="shared" si="263"/>
        <v>0</v>
      </c>
    </row>
    <row r="1422" spans="1:55" s="471" customFormat="1">
      <c r="A1422" s="472"/>
      <c r="B1422" s="515">
        <v>44629</v>
      </c>
      <c r="C1422" s="515">
        <v>44629</v>
      </c>
      <c r="D1422" s="485" t="s">
        <v>3186</v>
      </c>
      <c r="E1422" s="474" t="s">
        <v>1283</v>
      </c>
      <c r="F1422" s="474"/>
      <c r="G1422" s="474">
        <v>2022</v>
      </c>
      <c r="H1422" s="474"/>
      <c r="I1422" s="474">
        <v>2005163</v>
      </c>
      <c r="J1422" s="475"/>
      <c r="K1422" s="483" t="s">
        <v>3300</v>
      </c>
      <c r="L1422" s="474" t="s">
        <v>3188</v>
      </c>
      <c r="M1422" s="487">
        <v>44610</v>
      </c>
      <c r="N1422" s="487">
        <v>44652</v>
      </c>
      <c r="O1422" s="487">
        <v>44652</v>
      </c>
      <c r="P1422" s="475"/>
      <c r="Q1422" s="475"/>
      <c r="R1422" s="475"/>
      <c r="S1422" s="474" t="s">
        <v>2379</v>
      </c>
      <c r="T1422" s="474">
        <v>72</v>
      </c>
      <c r="U1422" s="474"/>
      <c r="V1422" s="474" t="s">
        <v>995</v>
      </c>
      <c r="W1422" s="474">
        <v>480</v>
      </c>
      <c r="X1422" s="476">
        <v>4176</v>
      </c>
      <c r="Y1422" s="477">
        <f>X1422*W1422</f>
        <v>2004480</v>
      </c>
      <c r="Z1422" s="478">
        <v>0.45</v>
      </c>
      <c r="AA1422" s="479">
        <f>Z1422*Y1422</f>
        <v>902016</v>
      </c>
      <c r="AB1422" s="480"/>
      <c r="AC1422" s="481">
        <f>AB1422*Y1422</f>
        <v>0</v>
      </c>
      <c r="AD1422" s="490"/>
      <c r="AE1422" s="482"/>
      <c r="AF1422" s="493">
        <f>AE1422+AD1422+AA1422</f>
        <v>902016</v>
      </c>
      <c r="AG1422" s="474" t="s">
        <v>47</v>
      </c>
      <c r="AH1422" s="474"/>
      <c r="AI1422" s="483" t="s">
        <v>3301</v>
      </c>
      <c r="AJ1422" s="474"/>
      <c r="AK1422" s="494"/>
      <c r="AL1422" s="474"/>
      <c r="AM1422" s="474" t="s">
        <v>52</v>
      </c>
      <c r="AN1422" s="474"/>
      <c r="AO1422" s="474"/>
      <c r="AP1422" s="486"/>
      <c r="AQ1422" s="486" t="s">
        <v>37</v>
      </c>
      <c r="AR1422" s="486"/>
      <c r="AS1422" s="495"/>
      <c r="AT1422" s="495"/>
      <c r="AU1422" s="478"/>
      <c r="AV1422" s="471">
        <f t="shared" si="261"/>
        <v>0</v>
      </c>
      <c r="AW1422" s="471" cm="1">
        <f t="array" ref="AW1422">SUM(MID(0&amp;AV1422,LARGE(INDEX(ISNUMBER(--MID(AV1422,ROW($1:$8),1))*ROW($1:$8),),ROW($1:$8))+1,1)*10^ROW($1:$8)/10)</f>
        <v>0</v>
      </c>
      <c r="AX1422" s="471" t="e">
        <f>VLOOKUP($AW1422,'Item Master Data'!$A:$F,3,FALSE)</f>
        <v>#N/A</v>
      </c>
      <c r="AY1422" s="471" t="e">
        <f>VLOOKUP($AW1422,'Item Master Data'!$A:$F,6,FALSE)</f>
        <v>#N/A</v>
      </c>
      <c r="AZ1422" s="471" t="e">
        <f t="shared" si="262"/>
        <v>#N/A</v>
      </c>
      <c r="BA1422" s="471" t="e">
        <f>VLOOKUP(AW1422,'Item Master Data'!$A:$G,7,FALSE)</f>
        <v>#N/A</v>
      </c>
      <c r="BC1422" s="471" t="e">
        <f t="shared" si="263"/>
        <v>#N/A</v>
      </c>
    </row>
    <row r="1423" spans="1:55" s="471" customFormat="1">
      <c r="A1423" s="472"/>
      <c r="B1423" s="515">
        <v>44629</v>
      </c>
      <c r="C1423" s="515">
        <v>44629</v>
      </c>
      <c r="D1423" s="485" t="s">
        <v>3186</v>
      </c>
      <c r="E1423" s="474" t="s">
        <v>1283</v>
      </c>
      <c r="F1423" s="474"/>
      <c r="G1423" s="474">
        <v>2022</v>
      </c>
      <c r="H1423" s="474"/>
      <c r="I1423" s="474">
        <v>2005163</v>
      </c>
      <c r="J1423" s="475"/>
      <c r="K1423" s="483" t="s">
        <v>3300</v>
      </c>
      <c r="L1423" s="474" t="s">
        <v>3188</v>
      </c>
      <c r="M1423" s="487">
        <v>44610</v>
      </c>
      <c r="N1423" s="487">
        <v>44652</v>
      </c>
      <c r="O1423" s="487">
        <v>44652</v>
      </c>
      <c r="P1423" s="475"/>
      <c r="Q1423" s="475"/>
      <c r="R1423" s="475"/>
      <c r="S1423" s="474" t="s">
        <v>2379</v>
      </c>
      <c r="T1423" s="474">
        <v>72</v>
      </c>
      <c r="U1423" s="474"/>
      <c r="V1423" s="474" t="s">
        <v>995</v>
      </c>
      <c r="W1423" s="474">
        <v>480</v>
      </c>
      <c r="X1423" s="476">
        <f>89581</f>
        <v>89581</v>
      </c>
      <c r="Y1423" s="477">
        <f>X1423*W1423</f>
        <v>42998880</v>
      </c>
      <c r="Z1423" s="478">
        <v>0.48</v>
      </c>
      <c r="AA1423" s="479">
        <f>Z1423*Y1423</f>
        <v>20639462.399999999</v>
      </c>
      <c r="AB1423" s="480"/>
      <c r="AC1423" s="481">
        <f>AB1423*Y1423</f>
        <v>0</v>
      </c>
      <c r="AD1423" s="490"/>
      <c r="AE1423" s="482"/>
      <c r="AF1423" s="493">
        <f>AE1423+AD1423+AA1423</f>
        <v>20639462.399999999</v>
      </c>
      <c r="AG1423" s="474" t="s">
        <v>47</v>
      </c>
      <c r="AH1423" s="474"/>
      <c r="AI1423" s="483" t="s">
        <v>3301</v>
      </c>
      <c r="AJ1423" s="474"/>
      <c r="AK1423" s="494"/>
      <c r="AL1423" s="474"/>
      <c r="AM1423" s="474" t="s">
        <v>52</v>
      </c>
      <c r="AN1423" s="474"/>
      <c r="AO1423" s="474"/>
      <c r="AP1423" s="486"/>
      <c r="AQ1423" s="486" t="s">
        <v>37</v>
      </c>
      <c r="AR1423" s="486"/>
      <c r="AS1423" s="495"/>
      <c r="AT1423" s="495"/>
      <c r="AU1423" s="478"/>
      <c r="AV1423" s="471">
        <f t="shared" si="261"/>
        <v>0</v>
      </c>
      <c r="AW1423" s="471" cm="1">
        <f t="array" ref="AW1423">SUM(MID(0&amp;AV1423,LARGE(INDEX(ISNUMBER(--MID(AV1423,ROW($1:$8),1))*ROW($1:$8),),ROW($1:$8))+1,1)*10^ROW($1:$8)/10)</f>
        <v>0</v>
      </c>
      <c r="AX1423" s="471" t="e">
        <f>VLOOKUP($AW1423,'Item Master Data'!$A:$F,3,FALSE)</f>
        <v>#N/A</v>
      </c>
      <c r="AY1423" s="471" t="e">
        <f>VLOOKUP($AW1423,'Item Master Data'!$A:$F,6,FALSE)</f>
        <v>#N/A</v>
      </c>
      <c r="AZ1423" s="471" t="e">
        <f t="shared" si="262"/>
        <v>#N/A</v>
      </c>
      <c r="BA1423" s="471" t="e">
        <f>VLOOKUP(AW1423,'Item Master Data'!$A:$G,7,FALSE)</f>
        <v>#N/A</v>
      </c>
      <c r="BC1423" s="471" t="e">
        <f t="shared" si="263"/>
        <v>#N/A</v>
      </c>
    </row>
    <row r="1424" spans="1:55" s="471" customFormat="1">
      <c r="A1424" s="472"/>
      <c r="B1424" s="515">
        <v>44629</v>
      </c>
      <c r="C1424" s="515">
        <v>44629</v>
      </c>
      <c r="D1424" s="485" t="s">
        <v>3186</v>
      </c>
      <c r="E1424" s="474" t="s">
        <v>1283</v>
      </c>
      <c r="F1424" s="474"/>
      <c r="G1424" s="474">
        <v>2022</v>
      </c>
      <c r="H1424" s="474"/>
      <c r="I1424" s="474">
        <v>2005163</v>
      </c>
      <c r="J1424" s="475"/>
      <c r="K1424" s="483" t="s">
        <v>3300</v>
      </c>
      <c r="L1424" s="474" t="s">
        <v>3188</v>
      </c>
      <c r="M1424" s="487">
        <v>44610</v>
      </c>
      <c r="N1424" s="487">
        <v>44652</v>
      </c>
      <c r="O1424" s="487">
        <v>44652</v>
      </c>
      <c r="P1424" s="475"/>
      <c r="Q1424" s="475"/>
      <c r="R1424" s="475"/>
      <c r="S1424" s="474" t="s">
        <v>2379</v>
      </c>
      <c r="T1424" s="474">
        <v>72</v>
      </c>
      <c r="U1424" s="474"/>
      <c r="V1424" s="474" t="s">
        <v>995</v>
      </c>
      <c r="W1424" s="474">
        <v>485</v>
      </c>
      <c r="X1424" s="476">
        <v>14442</v>
      </c>
      <c r="Y1424" s="477">
        <f>X1424*W1424</f>
        <v>7004370</v>
      </c>
      <c r="Z1424" s="478">
        <v>0.48</v>
      </c>
      <c r="AA1424" s="479">
        <f>Z1424*Y1424</f>
        <v>3362097.6</v>
      </c>
      <c r="AB1424" s="480"/>
      <c r="AC1424" s="481">
        <f>AB1424*Y1424</f>
        <v>0</v>
      </c>
      <c r="AD1424" s="490"/>
      <c r="AE1424" s="482"/>
      <c r="AF1424" s="493">
        <f>AE1424+AD1424+AA1424</f>
        <v>3362097.6</v>
      </c>
      <c r="AG1424" s="474" t="s">
        <v>47</v>
      </c>
      <c r="AH1424" s="474"/>
      <c r="AI1424" s="483" t="s">
        <v>3301</v>
      </c>
      <c r="AJ1424" s="474"/>
      <c r="AK1424" s="494"/>
      <c r="AL1424" s="474"/>
      <c r="AM1424" s="474" t="s">
        <v>52</v>
      </c>
      <c r="AN1424" s="474"/>
      <c r="AO1424" s="474"/>
      <c r="AP1424" s="486"/>
      <c r="AQ1424" s="486" t="s">
        <v>37</v>
      </c>
      <c r="AR1424" s="486"/>
      <c r="AS1424" s="495"/>
      <c r="AT1424" s="495"/>
      <c r="AU1424" s="478"/>
      <c r="AV1424" s="471">
        <f t="shared" si="261"/>
        <v>0</v>
      </c>
      <c r="AW1424" s="471" cm="1">
        <f t="array" ref="AW1424">SUM(MID(0&amp;AV1424,LARGE(INDEX(ISNUMBER(--MID(AV1424,ROW($1:$8),1))*ROW($1:$8),),ROW($1:$8))+1,1)*10^ROW($1:$8)/10)</f>
        <v>0</v>
      </c>
      <c r="AX1424" s="471" t="e">
        <f>VLOOKUP($AW1424,'Item Master Data'!$A:$F,3,FALSE)</f>
        <v>#N/A</v>
      </c>
      <c r="AY1424" s="471" t="e">
        <f>VLOOKUP($AW1424,'Item Master Data'!$A:$F,6,FALSE)</f>
        <v>#N/A</v>
      </c>
      <c r="AZ1424" s="471" t="e">
        <f t="shared" si="262"/>
        <v>#N/A</v>
      </c>
      <c r="BA1424" s="471" t="e">
        <f>VLOOKUP(AW1424,'Item Master Data'!$A:$G,7,FALSE)</f>
        <v>#N/A</v>
      </c>
      <c r="BC1424" s="471" t="e">
        <f t="shared" si="263"/>
        <v>#N/A</v>
      </c>
    </row>
    <row r="1425" spans="1:55" s="471" customFormat="1">
      <c r="A1425" s="472"/>
      <c r="B1425" s="515">
        <v>44629</v>
      </c>
      <c r="C1425" s="515">
        <v>44629</v>
      </c>
      <c r="D1425" s="485" t="s">
        <v>3186</v>
      </c>
      <c r="E1425" s="474" t="s">
        <v>1283</v>
      </c>
      <c r="F1425" s="474"/>
      <c r="G1425" s="474">
        <v>2022</v>
      </c>
      <c r="H1425" s="474"/>
      <c r="I1425" s="474">
        <v>2005163</v>
      </c>
      <c r="J1425" s="475"/>
      <c r="K1425" s="483" t="s">
        <v>3300</v>
      </c>
      <c r="L1425" s="474" t="s">
        <v>3188</v>
      </c>
      <c r="M1425" s="487">
        <v>44610</v>
      </c>
      <c r="N1425" s="487">
        <v>44652</v>
      </c>
      <c r="O1425" s="487">
        <v>44652</v>
      </c>
      <c r="P1425" s="475"/>
      <c r="Q1425" s="475"/>
      <c r="R1425" s="475"/>
      <c r="S1425" s="474" t="s">
        <v>2379</v>
      </c>
      <c r="T1425" s="474">
        <v>72</v>
      </c>
      <c r="U1425" s="474"/>
      <c r="V1425" s="474" t="s">
        <v>2300</v>
      </c>
      <c r="W1425" s="474">
        <v>575</v>
      </c>
      <c r="X1425" s="476">
        <v>40020</v>
      </c>
      <c r="Y1425" s="477">
        <f>X1425*W1425</f>
        <v>23011500</v>
      </c>
      <c r="Z1425" s="478">
        <v>0.5</v>
      </c>
      <c r="AA1425" s="479">
        <f>Z1425*Y1425</f>
        <v>11505750</v>
      </c>
      <c r="AB1425" s="480"/>
      <c r="AC1425" s="481">
        <f>AB1425*Y1425</f>
        <v>0</v>
      </c>
      <c r="AD1425" s="490"/>
      <c r="AE1425" s="482"/>
      <c r="AF1425" s="493">
        <f>AE1425+AD1425+AA1425</f>
        <v>11505750</v>
      </c>
      <c r="AG1425" s="474" t="s">
        <v>47</v>
      </c>
      <c r="AH1425" s="474"/>
      <c r="AI1425" s="483" t="s">
        <v>3301</v>
      </c>
      <c r="AJ1425" s="474"/>
      <c r="AK1425" s="494"/>
      <c r="AL1425" s="474"/>
      <c r="AM1425" s="474" t="s">
        <v>52</v>
      </c>
      <c r="AN1425" s="474"/>
      <c r="AO1425" s="474"/>
      <c r="AP1425" s="486"/>
      <c r="AQ1425" s="486" t="s">
        <v>37</v>
      </c>
      <c r="AR1425" s="486"/>
      <c r="AS1425" s="495"/>
      <c r="AT1425" s="495"/>
      <c r="AU1425" s="478"/>
      <c r="AV1425" s="471">
        <f t="shared" si="261"/>
        <v>0</v>
      </c>
      <c r="AW1425" s="471" cm="1">
        <f t="array" ref="AW1425">SUM(MID(0&amp;AV1425,LARGE(INDEX(ISNUMBER(--MID(AV1425,ROW($1:$8),1))*ROW($1:$8),),ROW($1:$8))+1,1)*10^ROW($1:$8)/10)</f>
        <v>0</v>
      </c>
      <c r="AX1425" s="471" t="e">
        <f>VLOOKUP($AW1425,'Item Master Data'!$A:$F,3,FALSE)</f>
        <v>#N/A</v>
      </c>
      <c r="AY1425" s="471" t="e">
        <f>VLOOKUP($AW1425,'Item Master Data'!$A:$F,6,FALSE)</f>
        <v>#N/A</v>
      </c>
      <c r="AZ1425" s="471" t="e">
        <f t="shared" si="262"/>
        <v>#N/A</v>
      </c>
      <c r="BA1425" s="471" t="e">
        <f>VLOOKUP(AW1425,'Item Master Data'!$A:$G,7,FALSE)</f>
        <v>#N/A</v>
      </c>
      <c r="BC1425" s="471" t="e">
        <f t="shared" si="263"/>
        <v>#N/A</v>
      </c>
    </row>
    <row r="1426" spans="1:55" s="471" customFormat="1">
      <c r="A1426" s="472"/>
      <c r="B1426" s="515">
        <v>44629</v>
      </c>
      <c r="C1426" s="515">
        <v>44629</v>
      </c>
      <c r="D1426" s="485" t="s">
        <v>3186</v>
      </c>
      <c r="E1426" s="474" t="s">
        <v>1283</v>
      </c>
      <c r="F1426" s="474"/>
      <c r="G1426" s="474">
        <v>2022</v>
      </c>
      <c r="H1426" s="474"/>
      <c r="I1426" s="474">
        <v>2005163</v>
      </c>
      <c r="J1426" s="475"/>
      <c r="K1426" s="483" t="s">
        <v>3300</v>
      </c>
      <c r="L1426" s="474" t="s">
        <v>3188</v>
      </c>
      <c r="M1426" s="487">
        <v>44610</v>
      </c>
      <c r="N1426" s="487">
        <v>44652</v>
      </c>
      <c r="O1426" s="487">
        <v>44652</v>
      </c>
      <c r="P1426" s="475"/>
      <c r="Q1426" s="475"/>
      <c r="R1426" s="475"/>
      <c r="S1426" s="474" t="s">
        <v>2379</v>
      </c>
      <c r="T1426" s="474">
        <v>72</v>
      </c>
      <c r="U1426" s="474"/>
      <c r="V1426" s="474" t="s">
        <v>2300</v>
      </c>
      <c r="W1426" s="474">
        <v>580</v>
      </c>
      <c r="X1426" s="476">
        <v>137953</v>
      </c>
      <c r="Y1426" s="477">
        <f>X1426*W1426</f>
        <v>80012740</v>
      </c>
      <c r="Z1426" s="478">
        <v>0.45</v>
      </c>
      <c r="AA1426" s="479">
        <f>Z1426*Y1426</f>
        <v>36005733</v>
      </c>
      <c r="AB1426" s="480"/>
      <c r="AC1426" s="481">
        <f>AB1426*Y1426</f>
        <v>0</v>
      </c>
      <c r="AD1426" s="490"/>
      <c r="AE1426" s="482"/>
      <c r="AF1426" s="493">
        <f>AE1426+AD1426+AA1426</f>
        <v>36005733</v>
      </c>
      <c r="AG1426" s="474" t="s">
        <v>47</v>
      </c>
      <c r="AH1426" s="474"/>
      <c r="AI1426" s="483" t="s">
        <v>3301</v>
      </c>
      <c r="AJ1426" s="474"/>
      <c r="AK1426" s="494"/>
      <c r="AL1426" s="474"/>
      <c r="AM1426" s="474" t="s">
        <v>52</v>
      </c>
      <c r="AN1426" s="474"/>
      <c r="AO1426" s="474"/>
      <c r="AP1426" s="486"/>
      <c r="AQ1426" s="486" t="s">
        <v>37</v>
      </c>
      <c r="AR1426" s="486"/>
      <c r="AS1426" s="495"/>
      <c r="AT1426" s="495"/>
      <c r="AU1426" s="478"/>
      <c r="AV1426" s="471">
        <f t="shared" si="261"/>
        <v>0</v>
      </c>
      <c r="AW1426" s="471" cm="1">
        <f t="array" ref="AW1426">SUM(MID(0&amp;AV1426,LARGE(INDEX(ISNUMBER(--MID(AV1426,ROW($1:$8),1))*ROW($1:$8),),ROW($1:$8))+1,1)*10^ROW($1:$8)/10)</f>
        <v>0</v>
      </c>
      <c r="AX1426" s="471" t="e">
        <f>VLOOKUP($AW1426,'Item Master Data'!$A:$F,3,FALSE)</f>
        <v>#N/A</v>
      </c>
      <c r="AY1426" s="471" t="e">
        <f>VLOOKUP($AW1426,'Item Master Data'!$A:$F,6,FALSE)</f>
        <v>#N/A</v>
      </c>
      <c r="AZ1426" s="471" t="e">
        <f t="shared" si="262"/>
        <v>#N/A</v>
      </c>
      <c r="BA1426" s="471" t="e">
        <f>VLOOKUP(AW1426,'Item Master Data'!$A:$G,7,FALSE)</f>
        <v>#N/A</v>
      </c>
      <c r="BC1426" s="471" t="e">
        <f t="shared" si="263"/>
        <v>#N/A</v>
      </c>
    </row>
    <row r="1427" spans="1:55" s="471" customFormat="1">
      <c r="A1427" s="472"/>
      <c r="B1427" s="515">
        <v>44629</v>
      </c>
      <c r="C1427" s="515">
        <v>44629</v>
      </c>
      <c r="D1427" s="485" t="s">
        <v>3186</v>
      </c>
      <c r="E1427" s="474" t="s">
        <v>1283</v>
      </c>
      <c r="F1427" s="474"/>
      <c r="G1427" s="474">
        <v>2022</v>
      </c>
      <c r="H1427" s="474"/>
      <c r="I1427" s="474">
        <v>2005163</v>
      </c>
      <c r="J1427" s="475"/>
      <c r="K1427" s="483" t="s">
        <v>3300</v>
      </c>
      <c r="L1427" s="474" t="s">
        <v>3188</v>
      </c>
      <c r="M1427" s="487">
        <v>44610</v>
      </c>
      <c r="N1427" s="487">
        <v>44652</v>
      </c>
      <c r="O1427" s="487">
        <v>44652</v>
      </c>
      <c r="P1427" s="475"/>
      <c r="Q1427" s="475"/>
      <c r="R1427" s="475"/>
      <c r="S1427" s="474" t="s">
        <v>2379</v>
      </c>
      <c r="T1427" s="474">
        <v>72</v>
      </c>
      <c r="U1427" s="474"/>
      <c r="V1427" s="474" t="s">
        <v>2300</v>
      </c>
      <c r="W1427" s="474">
        <v>580</v>
      </c>
      <c r="X1427" s="476">
        <v>36221</v>
      </c>
      <c r="Y1427" s="477">
        <f>X1427*W1427</f>
        <v>21008180</v>
      </c>
      <c r="Z1427" s="478">
        <v>0.53500000000000003</v>
      </c>
      <c r="AA1427" s="479">
        <f>Z1427*Y1427</f>
        <v>11239376.300000001</v>
      </c>
      <c r="AB1427" s="480"/>
      <c r="AC1427" s="481">
        <f>AB1427*Y1427</f>
        <v>0</v>
      </c>
      <c r="AD1427" s="490"/>
      <c r="AE1427" s="482"/>
      <c r="AF1427" s="493">
        <f>AE1427+AD1427+AA1427</f>
        <v>11239376.300000001</v>
      </c>
      <c r="AG1427" s="474" t="s">
        <v>47</v>
      </c>
      <c r="AH1427" s="474"/>
      <c r="AI1427" s="483" t="s">
        <v>3301</v>
      </c>
      <c r="AJ1427" s="474"/>
      <c r="AK1427" s="494"/>
      <c r="AL1427" s="474"/>
      <c r="AM1427" s="474" t="s">
        <v>52</v>
      </c>
      <c r="AN1427" s="474"/>
      <c r="AO1427" s="474"/>
      <c r="AP1427" s="486"/>
      <c r="AQ1427" s="486" t="s">
        <v>37</v>
      </c>
      <c r="AR1427" s="486"/>
      <c r="AS1427" s="495"/>
      <c r="AT1427" s="495"/>
      <c r="AU1427" s="478"/>
      <c r="AV1427" s="471">
        <f t="shared" si="261"/>
        <v>0</v>
      </c>
      <c r="AW1427" s="471" cm="1">
        <f t="array" ref="AW1427">SUM(MID(0&amp;AV1427,LARGE(INDEX(ISNUMBER(--MID(AV1427,ROW($1:$8),1))*ROW($1:$8),),ROW($1:$8))+1,1)*10^ROW($1:$8)/10)</f>
        <v>0</v>
      </c>
      <c r="AX1427" s="471" t="e">
        <f>VLOOKUP($AW1427,'Item Master Data'!$A:$F,3,FALSE)</f>
        <v>#N/A</v>
      </c>
      <c r="AY1427" s="471" t="e">
        <f>VLOOKUP($AW1427,'Item Master Data'!$A:$F,6,FALSE)</f>
        <v>#N/A</v>
      </c>
      <c r="AZ1427" s="471" t="e">
        <f t="shared" si="262"/>
        <v>#N/A</v>
      </c>
      <c r="BA1427" s="471" t="e">
        <f>VLOOKUP(AW1427,'Item Master Data'!$A:$G,7,FALSE)</f>
        <v>#N/A</v>
      </c>
      <c r="BC1427" s="471" t="e">
        <f t="shared" si="263"/>
        <v>#N/A</v>
      </c>
    </row>
    <row r="1428" spans="1:55" s="471" customFormat="1">
      <c r="A1428" s="472"/>
      <c r="B1428" s="515">
        <v>44629</v>
      </c>
      <c r="C1428" s="515">
        <v>44629</v>
      </c>
      <c r="D1428" s="485" t="s">
        <v>3186</v>
      </c>
      <c r="E1428" s="474" t="s">
        <v>1283</v>
      </c>
      <c r="F1428" s="474"/>
      <c r="G1428" s="474">
        <v>2022</v>
      </c>
      <c r="H1428" s="474"/>
      <c r="I1428" s="474">
        <v>2005163</v>
      </c>
      <c r="J1428" s="475"/>
      <c r="K1428" s="483" t="s">
        <v>3300</v>
      </c>
      <c r="L1428" s="474" t="s">
        <v>3188</v>
      </c>
      <c r="M1428" s="487">
        <v>44610</v>
      </c>
      <c r="N1428" s="487">
        <v>44652</v>
      </c>
      <c r="O1428" s="487">
        <v>44652</v>
      </c>
      <c r="P1428" s="475"/>
      <c r="Q1428" s="475"/>
      <c r="R1428" s="475"/>
      <c r="S1428" s="474" t="s">
        <v>2379</v>
      </c>
      <c r="T1428" s="474">
        <v>72</v>
      </c>
      <c r="U1428" s="474"/>
      <c r="V1428" s="474" t="s">
        <v>2300</v>
      </c>
      <c r="W1428" s="474">
        <v>580</v>
      </c>
      <c r="X1428" s="476">
        <v>86217</v>
      </c>
      <c r="Y1428" s="477">
        <f>X1428*W1428</f>
        <v>50005860</v>
      </c>
      <c r="Z1428" s="478">
        <v>0.54</v>
      </c>
      <c r="AA1428" s="479">
        <f>Z1428*Y1428</f>
        <v>27003164.400000002</v>
      </c>
      <c r="AB1428" s="480"/>
      <c r="AC1428" s="481">
        <f>AB1428*Y1428</f>
        <v>0</v>
      </c>
      <c r="AD1428" s="490"/>
      <c r="AE1428" s="482"/>
      <c r="AF1428" s="493">
        <f>AE1428+AD1428+AA1428</f>
        <v>27003164.400000002</v>
      </c>
      <c r="AG1428" s="474" t="s">
        <v>47</v>
      </c>
      <c r="AH1428" s="474"/>
      <c r="AI1428" s="483" t="s">
        <v>3301</v>
      </c>
      <c r="AJ1428" s="474"/>
      <c r="AK1428" s="494"/>
      <c r="AL1428" s="474"/>
      <c r="AM1428" s="474" t="s">
        <v>52</v>
      </c>
      <c r="AN1428" s="474"/>
      <c r="AO1428" s="474"/>
      <c r="AP1428" s="486"/>
      <c r="AQ1428" s="486" t="s">
        <v>37</v>
      </c>
      <c r="AR1428" s="486"/>
      <c r="AS1428" s="495"/>
      <c r="AT1428" s="495"/>
      <c r="AU1428" s="478"/>
      <c r="AV1428" s="471">
        <f t="shared" si="261"/>
        <v>0</v>
      </c>
      <c r="AW1428" s="471" cm="1">
        <f t="array" ref="AW1428">SUM(MID(0&amp;AV1428,LARGE(INDEX(ISNUMBER(--MID(AV1428,ROW($1:$8),1))*ROW($1:$8),),ROW($1:$8))+1,1)*10^ROW($1:$8)/10)</f>
        <v>0</v>
      </c>
      <c r="AX1428" s="471" t="e">
        <f>VLOOKUP($AW1428,'Item Master Data'!$A:$F,3,FALSE)</f>
        <v>#N/A</v>
      </c>
      <c r="AY1428" s="471" t="e">
        <f>VLOOKUP($AW1428,'Item Master Data'!$A:$F,6,FALSE)</f>
        <v>#N/A</v>
      </c>
      <c r="AZ1428" s="471" t="e">
        <f t="shared" si="262"/>
        <v>#N/A</v>
      </c>
      <c r="BA1428" s="471" t="e">
        <f>VLOOKUP(AW1428,'Item Master Data'!$A:$G,7,FALSE)</f>
        <v>#N/A</v>
      </c>
      <c r="BC1428" s="471" t="e">
        <f t="shared" si="263"/>
        <v>#N/A</v>
      </c>
    </row>
    <row r="1429" spans="1:55" s="471" customFormat="1">
      <c r="A1429" s="472"/>
      <c r="B1429" s="515">
        <v>44617</v>
      </c>
      <c r="C1429" s="515">
        <v>44617</v>
      </c>
      <c r="D1429" s="485" t="s">
        <v>3186</v>
      </c>
      <c r="E1429" s="474" t="s">
        <v>3215</v>
      </c>
      <c r="F1429" s="474"/>
      <c r="G1429" s="474">
        <v>2022</v>
      </c>
      <c r="H1429" s="474">
        <v>4</v>
      </c>
      <c r="I1429" s="474">
        <v>128136</v>
      </c>
      <c r="J1429" s="475">
        <v>44671</v>
      </c>
      <c r="K1429" s="483" t="s">
        <v>3410</v>
      </c>
      <c r="L1429" s="474" t="s">
        <v>3335</v>
      </c>
      <c r="M1429" s="487">
        <v>44501</v>
      </c>
      <c r="N1429" s="487">
        <v>44563</v>
      </c>
      <c r="O1429" s="487" t="s">
        <v>2365</v>
      </c>
      <c r="P1429" s="475">
        <v>44665</v>
      </c>
      <c r="Q1429" s="475">
        <v>44671</v>
      </c>
      <c r="R1429" s="475">
        <v>44672</v>
      </c>
      <c r="S1429" s="474" t="s">
        <v>2379</v>
      </c>
      <c r="T1429" s="474">
        <v>60</v>
      </c>
      <c r="U1429" s="474" t="s">
        <v>1760</v>
      </c>
      <c r="V1429" s="474" t="s">
        <v>973</v>
      </c>
      <c r="W1429" s="474">
        <v>400</v>
      </c>
      <c r="X1429" s="476">
        <f>7072-3136</f>
        <v>3936</v>
      </c>
      <c r="Y1429" s="491">
        <f>X1429*W1429</f>
        <v>1574400</v>
      </c>
      <c r="Z1429" s="478">
        <v>0.55000000000000004</v>
      </c>
      <c r="AA1429" s="479">
        <f>Z1429*Y1429</f>
        <v>865920.00000000012</v>
      </c>
      <c r="AB1429" s="480"/>
      <c r="AC1429" s="481">
        <f>AB1429*Y1429</f>
        <v>0</v>
      </c>
      <c r="AD1429" s="490"/>
      <c r="AE1429" s="482"/>
      <c r="AF1429" s="493">
        <f>AE1429+AD1429+AA1429</f>
        <v>865920.00000000012</v>
      </c>
      <c r="AG1429" s="474" t="s">
        <v>1071</v>
      </c>
      <c r="AH1429" s="474"/>
      <c r="AI1429" s="483" t="s">
        <v>2442</v>
      </c>
      <c r="AJ1429" s="474" t="s">
        <v>2472</v>
      </c>
      <c r="AK1429" s="494" t="s">
        <v>1133</v>
      </c>
      <c r="AL1429" s="474">
        <v>85040</v>
      </c>
      <c r="AM1429" s="474" t="s">
        <v>52</v>
      </c>
      <c r="AN1429" s="516" t="s">
        <v>50</v>
      </c>
      <c r="AO1429" s="474"/>
      <c r="AP1429" s="486" t="s">
        <v>38</v>
      </c>
      <c r="AQ1429" s="486" t="s">
        <v>37</v>
      </c>
      <c r="AR1429" s="486" t="s">
        <v>3236</v>
      </c>
      <c r="AS1429" s="495"/>
      <c r="AT1429" s="495"/>
      <c r="AU1429" s="478">
        <v>0.49</v>
      </c>
      <c r="AV1429" s="471" t="str">
        <f t="shared" si="261"/>
        <v>30390156H</v>
      </c>
      <c r="AW1429" s="471" cm="1">
        <f t="array" ref="AW1429">SUM(MID(0&amp;AV1429,LARGE(INDEX(ISNUMBER(--MID(AV1429,ROW($1:$8),1))*ROW($1:$8),),ROW($1:$8))+1,1)*10^ROW($1:$8)/10)</f>
        <v>30390156</v>
      </c>
      <c r="AX1429" s="471" t="str">
        <f>VLOOKUP($AW1429,'Item Master Data'!$A:$F,3,FALSE)</f>
        <v>Q.PEAK DUO BLK ML G10+</v>
      </c>
      <c r="AY1429" s="471">
        <f>VLOOKUP($AW1429,'Item Master Data'!$A:$F,6,FALSE)</f>
        <v>400</v>
      </c>
      <c r="AZ1429" s="471">
        <f t="shared" si="262"/>
        <v>123</v>
      </c>
      <c r="BA1429" s="471">
        <f>VLOOKUP(AW1429,'Item Master Data'!$A:$G,7,FALSE)</f>
        <v>32</v>
      </c>
      <c r="BC1429" s="471">
        <f t="shared" si="263"/>
        <v>0</v>
      </c>
    </row>
    <row r="1430" spans="1:55" s="471" customFormat="1">
      <c r="A1430" s="472">
        <v>10</v>
      </c>
      <c r="B1430" s="515">
        <v>44617</v>
      </c>
      <c r="C1430" s="515">
        <v>44617</v>
      </c>
      <c r="D1430" s="485" t="s">
        <v>3186</v>
      </c>
      <c r="E1430" s="474" t="s">
        <v>3215</v>
      </c>
      <c r="F1430" s="474"/>
      <c r="G1430" s="474">
        <v>2022</v>
      </c>
      <c r="H1430" s="474">
        <v>3</v>
      </c>
      <c r="I1430" s="474">
        <v>127604</v>
      </c>
      <c r="J1430" s="475">
        <v>44648</v>
      </c>
      <c r="K1430" s="483" t="s">
        <v>3344</v>
      </c>
      <c r="L1430" s="474" t="s">
        <v>3335</v>
      </c>
      <c r="M1430" s="487">
        <v>44501</v>
      </c>
      <c r="N1430" s="487">
        <v>44563</v>
      </c>
      <c r="O1430" s="487" t="s">
        <v>2365</v>
      </c>
      <c r="P1430" s="475">
        <v>44628</v>
      </c>
      <c r="Q1430" s="475">
        <v>44648</v>
      </c>
      <c r="R1430" s="475">
        <v>44649</v>
      </c>
      <c r="S1430" s="474" t="s">
        <v>2379</v>
      </c>
      <c r="T1430" s="474">
        <v>60</v>
      </c>
      <c r="U1430" s="474" t="s">
        <v>1760</v>
      </c>
      <c r="V1430" s="474" t="s">
        <v>973</v>
      </c>
      <c r="W1430" s="474">
        <v>400</v>
      </c>
      <c r="X1430" s="476">
        <f>2304+832-832</f>
        <v>2304</v>
      </c>
      <c r="Y1430" s="477">
        <f>X1430*W1430</f>
        <v>921600</v>
      </c>
      <c r="Z1430" s="478">
        <v>0.55000000000000004</v>
      </c>
      <c r="AA1430" s="479">
        <f>Z1430*Y1430</f>
        <v>506880.00000000006</v>
      </c>
      <c r="AB1430" s="480"/>
      <c r="AC1430" s="481">
        <f>AB1430*Y1430</f>
        <v>0</v>
      </c>
      <c r="AD1430" s="490"/>
      <c r="AE1430" s="482"/>
      <c r="AF1430" s="493">
        <f>AE1430+AD1430+AA1430</f>
        <v>506880.00000000006</v>
      </c>
      <c r="AG1430" s="474" t="s">
        <v>1071</v>
      </c>
      <c r="AH1430" s="474"/>
      <c r="AI1430" s="483" t="s">
        <v>2442</v>
      </c>
      <c r="AJ1430" s="474" t="s">
        <v>2472</v>
      </c>
      <c r="AK1430" s="494" t="s">
        <v>1133</v>
      </c>
      <c r="AL1430" s="474">
        <v>85040</v>
      </c>
      <c r="AM1430" s="474" t="s">
        <v>52</v>
      </c>
      <c r="AN1430" s="474" t="s">
        <v>50</v>
      </c>
      <c r="AO1430" s="474"/>
      <c r="AP1430" s="486" t="s">
        <v>38</v>
      </c>
      <c r="AQ1430" s="486" t="s">
        <v>37</v>
      </c>
      <c r="AR1430" s="486" t="s">
        <v>3236</v>
      </c>
      <c r="AS1430" s="495"/>
      <c r="AT1430" s="495"/>
      <c r="AU1430" s="478">
        <v>0.49</v>
      </c>
      <c r="AV1430" s="471" t="str">
        <f t="shared" si="261"/>
        <v>30390156H</v>
      </c>
      <c r="AW1430" s="471" cm="1">
        <f t="array" ref="AW1430">SUM(MID(0&amp;AV1430,LARGE(INDEX(ISNUMBER(--MID(AV1430,ROW($1:$8),1))*ROW($1:$8),),ROW($1:$8))+1,1)*10^ROW($1:$8)/10)</f>
        <v>30390156</v>
      </c>
      <c r="AX1430" s="471" t="str">
        <f>VLOOKUP($AW1430,'Item Master Data'!$A:$F,3,FALSE)</f>
        <v>Q.PEAK DUO BLK ML G10+</v>
      </c>
      <c r="AY1430" s="471">
        <f>VLOOKUP($AW1430,'Item Master Data'!$A:$F,6,FALSE)</f>
        <v>400</v>
      </c>
      <c r="AZ1430" s="471">
        <f t="shared" si="262"/>
        <v>72</v>
      </c>
      <c r="BA1430" s="471">
        <f>VLOOKUP(AW1430,'Item Master Data'!$A:$G,7,FALSE)</f>
        <v>32</v>
      </c>
      <c r="BC1430" s="471">
        <f t="shared" si="263"/>
        <v>0</v>
      </c>
    </row>
    <row r="1431" spans="1:55" s="471" customFormat="1">
      <c r="A1431" s="472">
        <v>10</v>
      </c>
      <c r="B1431" s="515">
        <v>44617</v>
      </c>
      <c r="C1431" s="515">
        <v>44617</v>
      </c>
      <c r="D1431" s="485" t="s">
        <v>3186</v>
      </c>
      <c r="E1431" s="474" t="s">
        <v>3215</v>
      </c>
      <c r="F1431" s="474"/>
      <c r="G1431" s="474">
        <v>2022</v>
      </c>
      <c r="H1431" s="474">
        <v>3</v>
      </c>
      <c r="I1431" s="474">
        <v>127580</v>
      </c>
      <c r="J1431" s="475">
        <v>44644</v>
      </c>
      <c r="K1431" s="483" t="s">
        <v>3344</v>
      </c>
      <c r="L1431" s="474" t="s">
        <v>3335</v>
      </c>
      <c r="M1431" s="487">
        <v>44501</v>
      </c>
      <c r="N1431" s="487">
        <v>44563</v>
      </c>
      <c r="O1431" s="487" t="s">
        <v>2365</v>
      </c>
      <c r="P1431" s="475">
        <v>44628</v>
      </c>
      <c r="Q1431" s="475">
        <v>44644</v>
      </c>
      <c r="R1431" s="475">
        <v>44645</v>
      </c>
      <c r="S1431" s="474" t="s">
        <v>2379</v>
      </c>
      <c r="T1431" s="474">
        <v>60</v>
      </c>
      <c r="U1431" s="474" t="s">
        <v>1281</v>
      </c>
      <c r="V1431" s="474" t="s">
        <v>973</v>
      </c>
      <c r="W1431" s="474">
        <v>400</v>
      </c>
      <c r="X1431" s="476">
        <v>832</v>
      </c>
      <c r="Y1431" s="477">
        <f>X1431*W1431</f>
        <v>332800</v>
      </c>
      <c r="Z1431" s="478">
        <v>0.55000000000000004</v>
      </c>
      <c r="AA1431" s="479">
        <f>Z1431*Y1431</f>
        <v>183040.00000000003</v>
      </c>
      <c r="AB1431" s="480"/>
      <c r="AC1431" s="481">
        <f>AB1431*Y1431</f>
        <v>0</v>
      </c>
      <c r="AD1431" s="490"/>
      <c r="AE1431" s="482"/>
      <c r="AF1431" s="493">
        <f>AE1431+AD1431+AA1431</f>
        <v>183040.00000000003</v>
      </c>
      <c r="AG1431" s="474" t="s">
        <v>1071</v>
      </c>
      <c r="AH1431" s="474"/>
      <c r="AI1431" s="483" t="s">
        <v>2442</v>
      </c>
      <c r="AJ1431" s="474" t="s">
        <v>2472</v>
      </c>
      <c r="AK1431" s="494" t="s">
        <v>1133</v>
      </c>
      <c r="AL1431" s="474">
        <v>85040</v>
      </c>
      <c r="AM1431" s="474" t="s">
        <v>52</v>
      </c>
      <c r="AN1431" s="474" t="s">
        <v>50</v>
      </c>
      <c r="AO1431" s="474"/>
      <c r="AP1431" s="486" t="s">
        <v>38</v>
      </c>
      <c r="AQ1431" s="486" t="s">
        <v>37</v>
      </c>
      <c r="AR1431" s="486" t="s">
        <v>3236</v>
      </c>
      <c r="AS1431" s="495"/>
      <c r="AT1431" s="495"/>
      <c r="AU1431" s="478">
        <v>0.49</v>
      </c>
      <c r="AV1431" s="471" t="str">
        <f t="shared" si="261"/>
        <v>30390456H</v>
      </c>
      <c r="AW1431" s="471" cm="1">
        <f t="array" ref="AW1431">SUM(MID(0&amp;AV1431,LARGE(INDEX(ISNUMBER(--MID(AV1431,ROW($1:$8),1))*ROW($1:$8),),ROW($1:$8))+1,1)*10^ROW($1:$8)/10)</f>
        <v>30390456</v>
      </c>
      <c r="AX1431" s="471" t="str">
        <f>VLOOKUP($AW1431,'Item Master Data'!$A:$F,3,FALSE)</f>
        <v>Q.PEAK DUO BLK ML G10+</v>
      </c>
      <c r="AY1431" s="471">
        <f>VLOOKUP($AW1431,'Item Master Data'!$A:$F,6,FALSE)</f>
        <v>400</v>
      </c>
      <c r="AZ1431" s="471">
        <f t="shared" si="262"/>
        <v>26</v>
      </c>
      <c r="BA1431" s="471">
        <f>VLOOKUP(AW1431,'Item Master Data'!$A:$G,7,FALSE)</f>
        <v>32</v>
      </c>
      <c r="BC1431" s="471">
        <f t="shared" si="263"/>
        <v>0</v>
      </c>
    </row>
    <row r="1432" spans="1:55" s="471" customFormat="1">
      <c r="A1432" s="472"/>
      <c r="B1432" s="514">
        <v>44644</v>
      </c>
      <c r="C1432" s="514">
        <v>44644</v>
      </c>
      <c r="D1432" s="485" t="s">
        <v>3186</v>
      </c>
      <c r="E1432" s="474" t="s">
        <v>5754</v>
      </c>
      <c r="F1432" s="474"/>
      <c r="G1432" s="474">
        <v>2022</v>
      </c>
      <c r="H1432" s="474">
        <v>5</v>
      </c>
      <c r="I1432" s="474" t="s">
        <v>1676</v>
      </c>
      <c r="J1432" s="475"/>
      <c r="K1432" s="483" t="s">
        <v>5755</v>
      </c>
      <c r="L1432" s="474" t="s">
        <v>3335</v>
      </c>
      <c r="M1432" s="487">
        <v>44644</v>
      </c>
      <c r="N1432" s="487">
        <v>44683</v>
      </c>
      <c r="O1432" s="487"/>
      <c r="P1432" s="475"/>
      <c r="Q1432" s="475"/>
      <c r="R1432" s="475"/>
      <c r="S1432" s="474" t="s">
        <v>2379</v>
      </c>
      <c r="T1432" s="474">
        <v>60</v>
      </c>
      <c r="U1432" s="474"/>
      <c r="V1432" s="474" t="s">
        <v>3439</v>
      </c>
      <c r="W1432" s="474">
        <v>395</v>
      </c>
      <c r="X1432" s="476">
        <f>13312-8320</f>
        <v>4992</v>
      </c>
      <c r="Y1432" s="491">
        <f>X1432*W1432</f>
        <v>1971840</v>
      </c>
      <c r="Z1432" s="478">
        <v>0.55000000000000004</v>
      </c>
      <c r="AA1432" s="492">
        <f>Z1432*Y1432</f>
        <v>1084512</v>
      </c>
      <c r="AB1432" s="480"/>
      <c r="AC1432" s="481">
        <f>AB1432*Y1432</f>
        <v>0</v>
      </c>
      <c r="AD1432" s="490"/>
      <c r="AE1432" s="482"/>
      <c r="AF1432" s="493">
        <f>AE1432+AD1432+AA1432</f>
        <v>1084512</v>
      </c>
      <c r="AG1432" s="474" t="s">
        <v>1071</v>
      </c>
      <c r="AH1432" s="474"/>
      <c r="AI1432" s="483" t="s">
        <v>2442</v>
      </c>
      <c r="AJ1432" s="474" t="s">
        <v>2472</v>
      </c>
      <c r="AK1432" s="494" t="s">
        <v>1133</v>
      </c>
      <c r="AL1432" s="474">
        <v>85040</v>
      </c>
      <c r="AM1432" s="474" t="s">
        <v>52</v>
      </c>
      <c r="AN1432" s="474"/>
      <c r="AO1432" s="474"/>
      <c r="AP1432" s="486"/>
      <c r="AQ1432" s="486" t="s">
        <v>37</v>
      </c>
      <c r="AR1432" s="486"/>
      <c r="AS1432" s="495"/>
      <c r="AT1432" s="495"/>
      <c r="AU1432" s="478">
        <v>0.51</v>
      </c>
      <c r="AV1432" s="471">
        <f t="shared" si="261"/>
        <v>0</v>
      </c>
      <c r="AW1432" s="471" cm="1">
        <f t="array" ref="AW1432">SUM(MID(0&amp;AV1432,LARGE(INDEX(ISNUMBER(--MID(AV1432,ROW($1:$8),1))*ROW($1:$8),),ROW($1:$8))+1,1)*10^ROW($1:$8)/10)</f>
        <v>0</v>
      </c>
      <c r="AX1432" s="471" t="e">
        <f>VLOOKUP($AW1432,'Item Master Data'!$A:$F,3,FALSE)</f>
        <v>#N/A</v>
      </c>
      <c r="AY1432" s="471" t="e">
        <f>VLOOKUP($AW1432,'Item Master Data'!$A:$F,6,FALSE)</f>
        <v>#N/A</v>
      </c>
      <c r="AZ1432" s="471" t="e">
        <f t="shared" si="262"/>
        <v>#N/A</v>
      </c>
      <c r="BA1432" s="471" t="e">
        <f>VLOOKUP(AW1432,'Item Master Data'!$A:$G,7,FALSE)</f>
        <v>#N/A</v>
      </c>
      <c r="BC1432" s="471" t="e">
        <f t="shared" si="263"/>
        <v>#N/A</v>
      </c>
    </row>
    <row r="1433" spans="1:55" s="471" customFormat="1">
      <c r="A1433" s="472"/>
      <c r="B1433" s="514">
        <v>44644</v>
      </c>
      <c r="C1433" s="514">
        <v>44644</v>
      </c>
      <c r="D1433" s="485" t="s">
        <v>3186</v>
      </c>
      <c r="E1433" s="474" t="s">
        <v>5756</v>
      </c>
      <c r="F1433" s="474"/>
      <c r="G1433" s="474">
        <v>2022</v>
      </c>
      <c r="H1433" s="474">
        <v>5</v>
      </c>
      <c r="I1433" s="474" t="s">
        <v>1676</v>
      </c>
      <c r="J1433" s="475"/>
      <c r="K1433" s="483" t="s">
        <v>5757</v>
      </c>
      <c r="L1433" s="474" t="s">
        <v>3335</v>
      </c>
      <c r="M1433" s="487">
        <v>44644</v>
      </c>
      <c r="N1433" s="487">
        <v>44683</v>
      </c>
      <c r="O1433" s="487"/>
      <c r="P1433" s="475"/>
      <c r="Q1433" s="475"/>
      <c r="R1433" s="475"/>
      <c r="S1433" s="474" t="s">
        <v>2379</v>
      </c>
      <c r="T1433" s="474">
        <v>60</v>
      </c>
      <c r="U1433" s="474"/>
      <c r="V1433" s="474" t="s">
        <v>3439</v>
      </c>
      <c r="W1433" s="474">
        <v>395</v>
      </c>
      <c r="X1433" s="476">
        <v>8320</v>
      </c>
      <c r="Y1433" s="477">
        <f>X1433*W1433</f>
        <v>3286400</v>
      </c>
      <c r="Z1433" s="478">
        <v>0.55000000000000004</v>
      </c>
      <c r="AA1433" s="479">
        <f>Z1433*Y1433</f>
        <v>1807520.0000000002</v>
      </c>
      <c r="AB1433" s="480"/>
      <c r="AC1433" s="481">
        <f>AB1433*Y1433</f>
        <v>0</v>
      </c>
      <c r="AD1433" s="490"/>
      <c r="AE1433" s="482"/>
      <c r="AF1433" s="493">
        <f>AE1433+AD1433+AA1433</f>
        <v>1807520.0000000002</v>
      </c>
      <c r="AG1433" s="474" t="s">
        <v>1071</v>
      </c>
      <c r="AH1433" s="474"/>
      <c r="AI1433" s="483" t="s">
        <v>2442</v>
      </c>
      <c r="AJ1433" s="474" t="s">
        <v>2472</v>
      </c>
      <c r="AK1433" s="494" t="s">
        <v>1133</v>
      </c>
      <c r="AL1433" s="474">
        <v>85040</v>
      </c>
      <c r="AM1433" s="474" t="s">
        <v>52</v>
      </c>
      <c r="AN1433" s="474"/>
      <c r="AO1433" s="474"/>
      <c r="AP1433" s="486"/>
      <c r="AQ1433" s="486" t="s">
        <v>37</v>
      </c>
      <c r="AR1433" s="486"/>
      <c r="AS1433" s="495"/>
      <c r="AT1433" s="495"/>
      <c r="AU1433" s="478">
        <v>0.51</v>
      </c>
      <c r="AV1433" s="471">
        <f t="shared" si="261"/>
        <v>0</v>
      </c>
      <c r="AW1433" s="471" cm="1">
        <f t="array" ref="AW1433">SUM(MID(0&amp;AV1433,LARGE(INDEX(ISNUMBER(--MID(AV1433,ROW($1:$8),1))*ROW($1:$8),),ROW($1:$8))+1,1)*10^ROW($1:$8)/10)</f>
        <v>0</v>
      </c>
      <c r="AX1433" s="471" t="e">
        <f>VLOOKUP($AW1433,'Item Master Data'!$A:$F,3,FALSE)</f>
        <v>#N/A</v>
      </c>
      <c r="AY1433" s="471" t="e">
        <f>VLOOKUP($AW1433,'Item Master Data'!$A:$F,6,FALSE)</f>
        <v>#N/A</v>
      </c>
      <c r="AZ1433" s="471" t="e">
        <f t="shared" si="262"/>
        <v>#N/A</v>
      </c>
      <c r="BA1433" s="471" t="e">
        <f>VLOOKUP(AW1433,'Item Master Data'!$A:$G,7,FALSE)</f>
        <v>#N/A</v>
      </c>
      <c r="BC1433" s="471" t="e">
        <f t="shared" si="263"/>
        <v>#N/A</v>
      </c>
    </row>
    <row r="1434" spans="1:55" s="471" customFormat="1">
      <c r="A1434" s="472"/>
      <c r="B1434" s="515"/>
      <c r="C1434" s="515"/>
      <c r="D1434" s="485" t="s">
        <v>3186</v>
      </c>
      <c r="E1434" s="474"/>
      <c r="F1434" s="474"/>
      <c r="G1434" s="474">
        <v>2022</v>
      </c>
      <c r="H1434" s="474">
        <v>5</v>
      </c>
      <c r="I1434" s="474"/>
      <c r="J1434" s="475"/>
      <c r="K1434" s="483" t="s">
        <v>3411</v>
      </c>
      <c r="L1434" s="474" t="s">
        <v>3335</v>
      </c>
      <c r="M1434" s="487">
        <v>44519</v>
      </c>
      <c r="N1434" s="487">
        <v>44564</v>
      </c>
      <c r="O1434" s="487"/>
      <c r="P1434" s="475"/>
      <c r="Q1434" s="475"/>
      <c r="R1434" s="475"/>
      <c r="S1434" s="474" t="s">
        <v>2379</v>
      </c>
      <c r="T1434" s="474">
        <v>60</v>
      </c>
      <c r="U1434" s="474">
        <v>49201132</v>
      </c>
      <c r="V1434" s="474" t="s">
        <v>986</v>
      </c>
      <c r="W1434" s="474">
        <v>360</v>
      </c>
      <c r="X1434" s="476">
        <f>4992-832-3328</f>
        <v>832</v>
      </c>
      <c r="Y1434" s="477">
        <f>X1434*W1434</f>
        <v>299520</v>
      </c>
      <c r="Z1434" s="478">
        <v>0.53</v>
      </c>
      <c r="AA1434" s="479">
        <f>Z1434*Y1434</f>
        <v>158745.60000000001</v>
      </c>
      <c r="AB1434" s="480"/>
      <c r="AC1434" s="481">
        <f>AB1434*Y1434</f>
        <v>0</v>
      </c>
      <c r="AD1434" s="490"/>
      <c r="AE1434" s="482"/>
      <c r="AF1434" s="493">
        <f>AE1434+AD1434+AA1434</f>
        <v>158745.60000000001</v>
      </c>
      <c r="AG1434" s="474" t="s">
        <v>1071</v>
      </c>
      <c r="AH1434" s="474"/>
      <c r="AI1434" s="483" t="s">
        <v>2442</v>
      </c>
      <c r="AJ1434" s="474" t="s">
        <v>2472</v>
      </c>
      <c r="AK1434" s="494" t="s">
        <v>1133</v>
      </c>
      <c r="AL1434" s="474">
        <v>85040</v>
      </c>
      <c r="AM1434" s="474" t="s">
        <v>52</v>
      </c>
      <c r="AN1434" s="474" t="s">
        <v>1074</v>
      </c>
      <c r="AO1434" s="474"/>
      <c r="AP1434" s="486"/>
      <c r="AQ1434" s="486" t="s">
        <v>37</v>
      </c>
      <c r="AR1434" s="486"/>
      <c r="AS1434" s="495"/>
      <c r="AT1434" s="495"/>
      <c r="AU1434" s="478"/>
      <c r="AV1434" s="471">
        <f t="shared" si="261"/>
        <v>49201132</v>
      </c>
      <c r="AW1434" s="471" cm="1">
        <f t="array" ref="AW1434">SUM(MID(0&amp;AV1434,LARGE(INDEX(ISNUMBER(--MID(AV1434,ROW($1:$8),1))*ROW($1:$8),),ROW($1:$8))+1,1)*10^ROW($1:$8)/10)</f>
        <v>49201132</v>
      </c>
      <c r="AX1434" s="471" t="str">
        <f>VLOOKUP($AW1434,'Item Master Data'!$A:$F,3,FALSE)</f>
        <v>Q.PEAK DUO BLK G10+</v>
      </c>
      <c r="AY1434" s="471">
        <f>VLOOKUP($AW1434,'Item Master Data'!$A:$F,6,FALSE)</f>
        <v>360</v>
      </c>
      <c r="AZ1434" s="471">
        <f t="shared" si="262"/>
        <v>26</v>
      </c>
      <c r="BA1434" s="471">
        <f>VLOOKUP(AW1434,'Item Master Data'!$A:$G,7,FALSE)</f>
        <v>32</v>
      </c>
      <c r="BC1434" s="471">
        <f t="shared" si="263"/>
        <v>0</v>
      </c>
    </row>
    <row r="1435" spans="1:55" s="471" customFormat="1">
      <c r="A1435" s="472"/>
      <c r="B1435" s="515"/>
      <c r="C1435" s="515"/>
      <c r="D1435" s="485" t="s">
        <v>3186</v>
      </c>
      <c r="E1435" s="474"/>
      <c r="F1435" s="474"/>
      <c r="G1435" s="474">
        <v>2022</v>
      </c>
      <c r="H1435" s="474">
        <v>4</v>
      </c>
      <c r="I1435" s="474">
        <v>128221</v>
      </c>
      <c r="J1435" s="475">
        <v>44670</v>
      </c>
      <c r="K1435" s="483" t="s">
        <v>3336</v>
      </c>
      <c r="L1435" s="474" t="s">
        <v>3335</v>
      </c>
      <c r="M1435" s="487">
        <v>44519</v>
      </c>
      <c r="N1435" s="487">
        <v>44564</v>
      </c>
      <c r="O1435" s="487"/>
      <c r="P1435" s="475">
        <v>44663</v>
      </c>
      <c r="Q1435" s="475">
        <v>44670</v>
      </c>
      <c r="R1435" s="475">
        <v>44676</v>
      </c>
      <c r="S1435" s="474" t="s">
        <v>2379</v>
      </c>
      <c r="T1435" s="474">
        <v>60</v>
      </c>
      <c r="U1435" s="474">
        <v>49201132</v>
      </c>
      <c r="V1435" s="474" t="s">
        <v>986</v>
      </c>
      <c r="W1435" s="474">
        <v>360</v>
      </c>
      <c r="X1435" s="476">
        <v>3328</v>
      </c>
      <c r="Y1435" s="491">
        <f>X1435*W1435</f>
        <v>1198080</v>
      </c>
      <c r="Z1435" s="478">
        <v>0.53</v>
      </c>
      <c r="AA1435" s="479">
        <f>Z1435*Y1435</f>
        <v>634982.40000000002</v>
      </c>
      <c r="AB1435" s="480"/>
      <c r="AC1435" s="481">
        <f>AB1435*Y1435</f>
        <v>0</v>
      </c>
      <c r="AD1435" s="490"/>
      <c r="AE1435" s="482"/>
      <c r="AF1435" s="493">
        <f>AE1435+AD1435+AA1435</f>
        <v>634982.40000000002</v>
      </c>
      <c r="AG1435" s="474" t="s">
        <v>1071</v>
      </c>
      <c r="AH1435" s="474"/>
      <c r="AI1435" s="483" t="s">
        <v>2442</v>
      </c>
      <c r="AJ1435" s="474" t="s">
        <v>2472</v>
      </c>
      <c r="AK1435" s="494" t="s">
        <v>1133</v>
      </c>
      <c r="AL1435" s="474">
        <v>85040</v>
      </c>
      <c r="AM1435" s="474" t="s">
        <v>52</v>
      </c>
      <c r="AN1435" s="526" t="s">
        <v>1106</v>
      </c>
      <c r="AO1435" s="474"/>
      <c r="AP1435" s="486"/>
      <c r="AQ1435" s="486" t="s">
        <v>37</v>
      </c>
      <c r="AR1435" s="486"/>
      <c r="AS1435" s="495"/>
      <c r="AT1435" s="495"/>
      <c r="AU1435" s="478"/>
      <c r="AV1435" s="471">
        <f t="shared" si="261"/>
        <v>49201132</v>
      </c>
      <c r="AW1435" s="471" cm="1">
        <f t="array" ref="AW1435">SUM(MID(0&amp;AV1435,LARGE(INDEX(ISNUMBER(--MID(AV1435,ROW($1:$8),1))*ROW($1:$8),),ROW($1:$8))+1,1)*10^ROW($1:$8)/10)</f>
        <v>49201132</v>
      </c>
      <c r="AX1435" s="471" t="str">
        <f>VLOOKUP($AW1435,'Item Master Data'!$A:$F,3,FALSE)</f>
        <v>Q.PEAK DUO BLK G10+</v>
      </c>
      <c r="AY1435" s="471">
        <f>VLOOKUP($AW1435,'Item Master Data'!$A:$F,6,FALSE)</f>
        <v>360</v>
      </c>
      <c r="AZ1435" s="471">
        <f t="shared" si="262"/>
        <v>104</v>
      </c>
      <c r="BA1435" s="471">
        <f>VLOOKUP(AW1435,'Item Master Data'!$A:$G,7,FALSE)</f>
        <v>32</v>
      </c>
      <c r="BC1435" s="471">
        <f t="shared" si="263"/>
        <v>0</v>
      </c>
    </row>
    <row r="1436" spans="1:55" s="471" customFormat="1">
      <c r="A1436" s="472"/>
      <c r="B1436" s="515">
        <v>44602</v>
      </c>
      <c r="C1436" s="515">
        <v>44602</v>
      </c>
      <c r="D1436" s="485" t="s">
        <v>3186</v>
      </c>
      <c r="E1436" s="474"/>
      <c r="F1436" s="474"/>
      <c r="G1436" s="474">
        <v>2022</v>
      </c>
      <c r="H1436" s="474">
        <v>4</v>
      </c>
      <c r="I1436" s="474">
        <v>128137</v>
      </c>
      <c r="J1436" s="475">
        <v>44671</v>
      </c>
      <c r="K1436" s="483" t="s">
        <v>3409</v>
      </c>
      <c r="L1436" s="474" t="s">
        <v>3335</v>
      </c>
      <c r="M1436" s="487">
        <v>44498</v>
      </c>
      <c r="N1436" s="487">
        <v>44564</v>
      </c>
      <c r="O1436" s="487"/>
      <c r="P1436" s="475">
        <v>44665</v>
      </c>
      <c r="Q1436" s="475">
        <v>44671</v>
      </c>
      <c r="R1436" s="475">
        <v>44672</v>
      </c>
      <c r="S1436" s="474" t="s">
        <v>2379</v>
      </c>
      <c r="T1436" s="474">
        <v>60</v>
      </c>
      <c r="U1436" s="474" t="s">
        <v>1760</v>
      </c>
      <c r="V1436" s="474" t="s">
        <v>973</v>
      </c>
      <c r="W1436" s="474">
        <v>400</v>
      </c>
      <c r="X1436" s="476">
        <v>768</v>
      </c>
      <c r="Y1436" s="491">
        <f>X1436*W1436</f>
        <v>307200</v>
      </c>
      <c r="Z1436" s="478">
        <v>0.55000000000000004</v>
      </c>
      <c r="AA1436" s="479">
        <f>Z1436*Y1436</f>
        <v>168960</v>
      </c>
      <c r="AB1436" s="480"/>
      <c r="AC1436" s="481">
        <f>AB1436*Y1436</f>
        <v>0</v>
      </c>
      <c r="AD1436" s="490"/>
      <c r="AE1436" s="482"/>
      <c r="AF1436" s="493">
        <f>AE1436+AD1436+AA1436</f>
        <v>168960</v>
      </c>
      <c r="AG1436" s="474" t="s">
        <v>1071</v>
      </c>
      <c r="AH1436" s="474"/>
      <c r="AI1436" s="483" t="s">
        <v>2442</v>
      </c>
      <c r="AJ1436" s="474" t="s">
        <v>2472</v>
      </c>
      <c r="AK1436" s="494" t="s">
        <v>1133</v>
      </c>
      <c r="AL1436" s="474">
        <v>85040</v>
      </c>
      <c r="AM1436" s="474" t="s">
        <v>52</v>
      </c>
      <c r="AN1436" s="516" t="s">
        <v>50</v>
      </c>
      <c r="AO1436" s="474"/>
      <c r="AP1436" s="486" t="s">
        <v>38</v>
      </c>
      <c r="AQ1436" s="486" t="s">
        <v>37</v>
      </c>
      <c r="AR1436" s="486"/>
      <c r="AS1436" s="495"/>
      <c r="AT1436" s="495"/>
      <c r="AU1436" s="478"/>
      <c r="AV1436" s="471" t="str">
        <f t="shared" si="261"/>
        <v>30390156H</v>
      </c>
      <c r="AW1436" s="471" cm="1">
        <f t="array" ref="AW1436">SUM(MID(0&amp;AV1436,LARGE(INDEX(ISNUMBER(--MID(AV1436,ROW($1:$8),1))*ROW($1:$8),),ROW($1:$8))+1,1)*10^ROW($1:$8)/10)</f>
        <v>30390156</v>
      </c>
      <c r="AX1436" s="471" t="str">
        <f>VLOOKUP($AW1436,'Item Master Data'!$A:$F,3,FALSE)</f>
        <v>Q.PEAK DUO BLK ML G10+</v>
      </c>
      <c r="AY1436" s="471">
        <f>VLOOKUP($AW1436,'Item Master Data'!$A:$F,6,FALSE)</f>
        <v>400</v>
      </c>
      <c r="AZ1436" s="471">
        <f t="shared" si="262"/>
        <v>24</v>
      </c>
      <c r="BA1436" s="471">
        <f>VLOOKUP(AW1436,'Item Master Data'!$A:$G,7,FALSE)</f>
        <v>32</v>
      </c>
      <c r="BC1436" s="471">
        <f t="shared" si="263"/>
        <v>0</v>
      </c>
    </row>
    <row r="1437" spans="1:55" s="471" customFormat="1">
      <c r="A1437" s="472"/>
      <c r="B1437" s="514">
        <v>44648</v>
      </c>
      <c r="C1437" s="514">
        <v>44648</v>
      </c>
      <c r="D1437" s="485" t="s">
        <v>3186</v>
      </c>
      <c r="E1437" s="474"/>
      <c r="F1437" s="474"/>
      <c r="G1437" s="474">
        <v>2022</v>
      </c>
      <c r="H1437" s="474">
        <v>3</v>
      </c>
      <c r="I1437" s="474">
        <v>127588</v>
      </c>
      <c r="J1437" s="475">
        <v>44648</v>
      </c>
      <c r="K1437" s="483" t="s">
        <v>3518</v>
      </c>
      <c r="L1437" s="474" t="s">
        <v>3335</v>
      </c>
      <c r="M1437" s="487">
        <v>44637</v>
      </c>
      <c r="N1437" s="487">
        <v>44637</v>
      </c>
      <c r="O1437" s="487"/>
      <c r="P1437" s="475">
        <v>44643</v>
      </c>
      <c r="Q1437" s="475">
        <v>44648</v>
      </c>
      <c r="R1437" s="475">
        <v>44649</v>
      </c>
      <c r="S1437" s="474" t="s">
        <v>2379</v>
      </c>
      <c r="T1437" s="474">
        <v>60</v>
      </c>
      <c r="U1437" s="474" t="s">
        <v>3168</v>
      </c>
      <c r="V1437" s="474" t="s">
        <v>3234</v>
      </c>
      <c r="W1437" s="474">
        <v>405</v>
      </c>
      <c r="X1437" s="476">
        <v>2304</v>
      </c>
      <c r="Y1437" s="491">
        <f>X1437*W1437</f>
        <v>933120</v>
      </c>
      <c r="Z1437" s="478">
        <v>0.51</v>
      </c>
      <c r="AA1437" s="492">
        <f>Z1437*Y1437</f>
        <v>475891.20000000001</v>
      </c>
      <c r="AB1437" s="480"/>
      <c r="AC1437" s="481">
        <f>AB1437*Y1437</f>
        <v>0</v>
      </c>
      <c r="AD1437" s="490"/>
      <c r="AE1437" s="482"/>
      <c r="AF1437" s="493">
        <f>AE1437+AD1437+AA1437</f>
        <v>475891.20000000001</v>
      </c>
      <c r="AG1437" s="474" t="s">
        <v>1071</v>
      </c>
      <c r="AH1437" s="474"/>
      <c r="AI1437" s="483" t="s">
        <v>2442</v>
      </c>
      <c r="AJ1437" s="474" t="s">
        <v>2472</v>
      </c>
      <c r="AK1437" s="494" t="s">
        <v>1133</v>
      </c>
      <c r="AL1437" s="474">
        <v>85040</v>
      </c>
      <c r="AM1437" s="474" t="s">
        <v>52</v>
      </c>
      <c r="AN1437" s="474" t="s">
        <v>50</v>
      </c>
      <c r="AO1437" s="474"/>
      <c r="AP1437" s="486" t="s">
        <v>38</v>
      </c>
      <c r="AQ1437" s="486" t="s">
        <v>37</v>
      </c>
      <c r="AR1437" s="486" t="s">
        <v>3236</v>
      </c>
      <c r="AS1437" s="495"/>
      <c r="AT1437" s="495"/>
      <c r="AU1437" s="478">
        <v>0.51</v>
      </c>
      <c r="AV1437" s="471" t="str">
        <f t="shared" si="261"/>
        <v>30372157C</v>
      </c>
      <c r="AW1437" s="471" cm="1">
        <f t="array" ref="AW1437">SUM(MID(0&amp;AV1437,LARGE(INDEX(ISNUMBER(--MID(AV1437,ROW($1:$8),1))*ROW($1:$8),),ROW($1:$8))+1,1)*10^ROW($1:$8)/10)</f>
        <v>30372157</v>
      </c>
      <c r="AX1437" s="471" t="str">
        <f>VLOOKUP($AW1437,'Item Master Data'!$A:$F,3,FALSE)</f>
        <v>Q.PEAK DUO ML G10.a+</v>
      </c>
      <c r="AY1437" s="471">
        <f>VLOOKUP($AW1437,'Item Master Data'!$A:$F,6,FALSE)</f>
        <v>405</v>
      </c>
      <c r="AZ1437" s="471">
        <f t="shared" si="262"/>
        <v>72</v>
      </c>
      <c r="BA1437" s="471">
        <f>VLOOKUP(AW1437,'Item Master Data'!$A:$G,7,FALSE)</f>
        <v>32</v>
      </c>
      <c r="BC1437" s="471">
        <f t="shared" si="263"/>
        <v>0</v>
      </c>
    </row>
    <row r="1438" spans="1:55" s="471" customFormat="1">
      <c r="A1438" s="472"/>
      <c r="B1438" s="515">
        <v>44623</v>
      </c>
      <c r="C1438" s="515">
        <v>44623</v>
      </c>
      <c r="D1438" s="485" t="s">
        <v>3186</v>
      </c>
      <c r="E1438" s="474"/>
      <c r="F1438" s="474"/>
      <c r="G1438" s="474">
        <v>2022</v>
      </c>
      <c r="H1438" s="474" t="s">
        <v>1593</v>
      </c>
      <c r="I1438" s="474" t="s">
        <v>1676</v>
      </c>
      <c r="J1438" s="475"/>
      <c r="K1438" s="483" t="s">
        <v>3507</v>
      </c>
      <c r="L1438" s="474" t="s">
        <v>3335</v>
      </c>
      <c r="M1438" s="487">
        <v>44609</v>
      </c>
      <c r="N1438" s="487">
        <v>44609</v>
      </c>
      <c r="O1438" s="487">
        <v>44652</v>
      </c>
      <c r="P1438" s="475"/>
      <c r="Q1438" s="475"/>
      <c r="R1438" s="475"/>
      <c r="S1438" s="474" t="s">
        <v>2379</v>
      </c>
      <c r="T1438" s="474">
        <v>60</v>
      </c>
      <c r="U1438" s="474"/>
      <c r="V1438" s="474" t="s">
        <v>986</v>
      </c>
      <c r="W1438" s="474">
        <v>360</v>
      </c>
      <c r="X1438" s="476">
        <f>19968-832</f>
        <v>19136</v>
      </c>
      <c r="Y1438" s="477">
        <f>X1438*W1438</f>
        <v>6888960</v>
      </c>
      <c r="Z1438" s="478">
        <v>0.53</v>
      </c>
      <c r="AA1438" s="479">
        <f>Z1438*Y1438</f>
        <v>3651148.8000000003</v>
      </c>
      <c r="AB1438" s="480"/>
      <c r="AC1438" s="481">
        <f>AB1438*Y1438</f>
        <v>0</v>
      </c>
      <c r="AD1438" s="490"/>
      <c r="AE1438" s="482"/>
      <c r="AF1438" s="493">
        <f>AE1438+AD1438+AA1438</f>
        <v>3651148.8000000003</v>
      </c>
      <c r="AG1438" s="474" t="s">
        <v>1071</v>
      </c>
      <c r="AH1438" s="474"/>
      <c r="AI1438" s="483" t="s">
        <v>2442</v>
      </c>
      <c r="AJ1438" s="474" t="s">
        <v>2472</v>
      </c>
      <c r="AK1438" s="494" t="s">
        <v>1133</v>
      </c>
      <c r="AL1438" s="474">
        <v>85040</v>
      </c>
      <c r="AM1438" s="474" t="s">
        <v>52</v>
      </c>
      <c r="AN1438" s="474"/>
      <c r="AO1438" s="474"/>
      <c r="AP1438" s="486"/>
      <c r="AQ1438" s="486" t="s">
        <v>37</v>
      </c>
      <c r="AR1438" s="486"/>
      <c r="AS1438" s="495"/>
      <c r="AT1438" s="495"/>
      <c r="AU1438" s="478">
        <v>0.51</v>
      </c>
      <c r="AV1438" s="471">
        <f t="shared" si="261"/>
        <v>0</v>
      </c>
      <c r="AW1438" s="471" cm="1">
        <f t="array" ref="AW1438">SUM(MID(0&amp;AV1438,LARGE(INDEX(ISNUMBER(--MID(AV1438,ROW($1:$8),1))*ROW($1:$8),),ROW($1:$8))+1,1)*10^ROW($1:$8)/10)</f>
        <v>0</v>
      </c>
      <c r="AX1438" s="471" t="e">
        <f>VLOOKUP($AW1438,'Item Master Data'!$A:$F,3,FALSE)</f>
        <v>#N/A</v>
      </c>
      <c r="AY1438" s="471" t="e">
        <f>VLOOKUP($AW1438,'Item Master Data'!$A:$F,6,FALSE)</f>
        <v>#N/A</v>
      </c>
      <c r="AZ1438" s="471" t="e">
        <f t="shared" si="262"/>
        <v>#N/A</v>
      </c>
      <c r="BA1438" s="471" t="e">
        <f>VLOOKUP(AW1438,'Item Master Data'!$A:$G,7,FALSE)</f>
        <v>#N/A</v>
      </c>
      <c r="BC1438" s="471" t="e">
        <f t="shared" si="263"/>
        <v>#N/A</v>
      </c>
    </row>
    <row r="1439" spans="1:55" s="471" customFormat="1">
      <c r="A1439" s="472"/>
      <c r="B1439" s="515">
        <v>44623</v>
      </c>
      <c r="C1439" s="515">
        <v>44623</v>
      </c>
      <c r="D1439" s="485" t="s">
        <v>3186</v>
      </c>
      <c r="E1439" s="474" t="s">
        <v>5229</v>
      </c>
      <c r="F1439" s="474"/>
      <c r="G1439" s="474">
        <v>2022</v>
      </c>
      <c r="H1439" s="474">
        <v>3</v>
      </c>
      <c r="I1439" s="524">
        <v>127786</v>
      </c>
      <c r="J1439" s="538">
        <v>44644</v>
      </c>
      <c r="K1439" s="523" t="s">
        <v>3521</v>
      </c>
      <c r="L1439" s="524" t="s">
        <v>3335</v>
      </c>
      <c r="M1439" s="487">
        <v>44609</v>
      </c>
      <c r="N1439" s="487">
        <v>44609</v>
      </c>
      <c r="O1439" s="487">
        <v>44652</v>
      </c>
      <c r="P1439" s="475">
        <v>44629</v>
      </c>
      <c r="Q1439" s="475">
        <v>44644</v>
      </c>
      <c r="R1439" s="475">
        <v>44648</v>
      </c>
      <c r="S1439" s="474" t="s">
        <v>2379</v>
      </c>
      <c r="T1439" s="474">
        <v>60</v>
      </c>
      <c r="U1439" s="474">
        <v>49201132</v>
      </c>
      <c r="V1439" s="474" t="s">
        <v>986</v>
      </c>
      <c r="W1439" s="474">
        <v>360</v>
      </c>
      <c r="X1439" s="476">
        <v>832</v>
      </c>
      <c r="Y1439" s="477">
        <f>X1439*W1439</f>
        <v>299520</v>
      </c>
      <c r="Z1439" s="478">
        <v>0.53</v>
      </c>
      <c r="AA1439" s="479">
        <f>Z1439*Y1439</f>
        <v>158745.60000000001</v>
      </c>
      <c r="AB1439" s="480"/>
      <c r="AC1439" s="481">
        <f>AB1439*Y1439</f>
        <v>0</v>
      </c>
      <c r="AD1439" s="490"/>
      <c r="AE1439" s="482"/>
      <c r="AF1439" s="493">
        <f>AE1439+AD1439+AA1439</f>
        <v>158745.60000000001</v>
      </c>
      <c r="AG1439" s="474" t="s">
        <v>1071</v>
      </c>
      <c r="AH1439" s="474"/>
      <c r="AI1439" s="483" t="s">
        <v>2442</v>
      </c>
      <c r="AJ1439" s="474" t="s">
        <v>2472</v>
      </c>
      <c r="AK1439" s="494" t="s">
        <v>1133</v>
      </c>
      <c r="AL1439" s="474">
        <v>85040</v>
      </c>
      <c r="AM1439" s="474" t="s">
        <v>52</v>
      </c>
      <c r="AN1439" s="526" t="s">
        <v>1106</v>
      </c>
      <c r="AO1439" s="474"/>
      <c r="AP1439" s="486"/>
      <c r="AQ1439" s="486" t="s">
        <v>37</v>
      </c>
      <c r="AR1439" s="486"/>
      <c r="AS1439" s="495"/>
      <c r="AT1439" s="495"/>
      <c r="AU1439" s="478">
        <v>0.51</v>
      </c>
      <c r="AV1439" s="471">
        <f t="shared" si="261"/>
        <v>49201132</v>
      </c>
      <c r="AW1439" s="471" cm="1">
        <f t="array" ref="AW1439">SUM(MID(0&amp;AV1439,LARGE(INDEX(ISNUMBER(--MID(AV1439,ROW($1:$8),1))*ROW($1:$8),),ROW($1:$8))+1,1)*10^ROW($1:$8)/10)</f>
        <v>49201132</v>
      </c>
      <c r="AX1439" s="471" t="str">
        <f>VLOOKUP($AW1439,'Item Master Data'!$A:$F,3,FALSE)</f>
        <v>Q.PEAK DUO BLK G10+</v>
      </c>
      <c r="AY1439" s="471">
        <f>VLOOKUP($AW1439,'Item Master Data'!$A:$F,6,FALSE)</f>
        <v>360</v>
      </c>
      <c r="AZ1439" s="471">
        <f t="shared" si="262"/>
        <v>26</v>
      </c>
      <c r="BA1439" s="471">
        <f>VLOOKUP(AW1439,'Item Master Data'!$A:$G,7,FALSE)</f>
        <v>32</v>
      </c>
      <c r="BC1439" s="471">
        <f t="shared" si="263"/>
        <v>0</v>
      </c>
    </row>
    <row r="1440" spans="1:55" s="471" customFormat="1">
      <c r="A1440" s="472"/>
      <c r="B1440" s="515"/>
      <c r="C1440" s="515"/>
      <c r="D1440" s="485" t="s">
        <v>3186</v>
      </c>
      <c r="E1440" s="474" t="s">
        <v>3215</v>
      </c>
      <c r="F1440" s="474"/>
      <c r="G1440" s="474">
        <v>2022</v>
      </c>
      <c r="H1440" s="474">
        <v>6</v>
      </c>
      <c r="I1440" s="474"/>
      <c r="J1440" s="475"/>
      <c r="K1440" s="483" t="s">
        <v>3453</v>
      </c>
      <c r="L1440" s="474" t="s">
        <v>3335</v>
      </c>
      <c r="M1440" s="487">
        <v>44533</v>
      </c>
      <c r="N1440" s="487">
        <v>44651</v>
      </c>
      <c r="O1440" s="487"/>
      <c r="P1440" s="475"/>
      <c r="Q1440" s="475"/>
      <c r="R1440" s="475"/>
      <c r="S1440" s="474" t="s">
        <v>2379</v>
      </c>
      <c r="T1440" s="474">
        <v>60</v>
      </c>
      <c r="U1440" s="474">
        <v>49401140</v>
      </c>
      <c r="V1440" s="474" t="s">
        <v>973</v>
      </c>
      <c r="W1440" s="474">
        <v>400</v>
      </c>
      <c r="X1440" s="476">
        <v>7488</v>
      </c>
      <c r="Y1440" s="477">
        <f>X1440*W1440</f>
        <v>2995200</v>
      </c>
      <c r="Z1440" s="478">
        <v>0.55000000000000004</v>
      </c>
      <c r="AA1440" s="479">
        <f>Z1440*Y1440</f>
        <v>1647360.0000000002</v>
      </c>
      <c r="AB1440" s="480"/>
      <c r="AC1440" s="481">
        <f>AB1440*Y1440</f>
        <v>0</v>
      </c>
      <c r="AD1440" s="490"/>
      <c r="AE1440" s="482"/>
      <c r="AF1440" s="493">
        <f>AE1440+AD1440+AA1440</f>
        <v>1647360.0000000002</v>
      </c>
      <c r="AG1440" s="474" t="s">
        <v>1071</v>
      </c>
      <c r="AH1440" s="474"/>
      <c r="AI1440" s="483" t="s">
        <v>2442</v>
      </c>
      <c r="AJ1440" s="474" t="s">
        <v>2472</v>
      </c>
      <c r="AK1440" s="494" t="s">
        <v>1133</v>
      </c>
      <c r="AL1440" s="474">
        <v>85040</v>
      </c>
      <c r="AM1440" s="474" t="s">
        <v>52</v>
      </c>
      <c r="AN1440" s="474"/>
      <c r="AO1440" s="474"/>
      <c r="AP1440" s="486"/>
      <c r="AQ1440" s="486" t="s">
        <v>37</v>
      </c>
      <c r="AR1440" s="486" t="s">
        <v>3343</v>
      </c>
      <c r="AS1440" s="495"/>
      <c r="AT1440" s="495"/>
      <c r="AU1440" s="478">
        <v>0.49</v>
      </c>
      <c r="AV1440" s="471">
        <f t="shared" si="261"/>
        <v>49401140</v>
      </c>
      <c r="AW1440" s="471" cm="1">
        <f t="array" ref="AW1440">SUM(MID(0&amp;AV1440,LARGE(INDEX(ISNUMBER(--MID(AV1440,ROW($1:$8),1))*ROW($1:$8),),ROW($1:$8))+1,1)*10^ROW($1:$8)/10)</f>
        <v>49401140</v>
      </c>
      <c r="AX1440" s="471" t="str">
        <f>VLOOKUP($AW1440,'Item Master Data'!$A:$F,3,FALSE)</f>
        <v>Q.PEAK DUO BLK ML G10.a+</v>
      </c>
      <c r="AY1440" s="471">
        <f>VLOOKUP($AW1440,'Item Master Data'!$A:$F,6,FALSE)</f>
        <v>400</v>
      </c>
      <c r="AZ1440" s="471">
        <f t="shared" si="262"/>
        <v>234</v>
      </c>
      <c r="BA1440" s="471">
        <f>VLOOKUP(AW1440,'Item Master Data'!$A:$G,7,FALSE)</f>
        <v>32</v>
      </c>
      <c r="BC1440" s="471">
        <f t="shared" si="263"/>
        <v>0</v>
      </c>
    </row>
    <row r="1441" spans="1:55" s="471" customFormat="1">
      <c r="A1441" s="472"/>
      <c r="B1441" s="515"/>
      <c r="C1441" s="515"/>
      <c r="D1441" s="485" t="s">
        <v>3186</v>
      </c>
      <c r="E1441" s="474" t="s">
        <v>3215</v>
      </c>
      <c r="F1441" s="474"/>
      <c r="G1441" s="474">
        <v>2022</v>
      </c>
      <c r="H1441" s="474">
        <v>5</v>
      </c>
      <c r="I1441" s="474"/>
      <c r="J1441" s="475"/>
      <c r="K1441" s="483" t="s">
        <v>3452</v>
      </c>
      <c r="L1441" s="474" t="s">
        <v>3335</v>
      </c>
      <c r="M1441" s="487">
        <v>44533</v>
      </c>
      <c r="N1441" s="487">
        <v>44651</v>
      </c>
      <c r="O1441" s="487"/>
      <c r="P1441" s="475"/>
      <c r="Q1441" s="475"/>
      <c r="R1441" s="475"/>
      <c r="S1441" s="474" t="s">
        <v>2379</v>
      </c>
      <c r="T1441" s="474">
        <v>60</v>
      </c>
      <c r="U1441" s="474">
        <v>49401140</v>
      </c>
      <c r="V1441" s="474" t="s">
        <v>973</v>
      </c>
      <c r="W1441" s="474">
        <v>400</v>
      </c>
      <c r="X1441" s="476">
        <f>7488+4448-768</f>
        <v>11168</v>
      </c>
      <c r="Y1441" s="477">
        <f>X1441*W1441</f>
        <v>4467200</v>
      </c>
      <c r="Z1441" s="478">
        <v>0.55000000000000004</v>
      </c>
      <c r="AA1441" s="479">
        <f>Z1441*Y1441</f>
        <v>2456960</v>
      </c>
      <c r="AB1441" s="480"/>
      <c r="AC1441" s="481">
        <f>AB1441*Y1441</f>
        <v>0</v>
      </c>
      <c r="AD1441" s="490"/>
      <c r="AE1441" s="482"/>
      <c r="AF1441" s="493">
        <f>AE1441+AD1441+AA1441</f>
        <v>2456960</v>
      </c>
      <c r="AG1441" s="474" t="s">
        <v>1071</v>
      </c>
      <c r="AH1441" s="474"/>
      <c r="AI1441" s="483" t="s">
        <v>2442</v>
      </c>
      <c r="AJ1441" s="474" t="s">
        <v>2472</v>
      </c>
      <c r="AK1441" s="494" t="s">
        <v>1133</v>
      </c>
      <c r="AL1441" s="474">
        <v>85040</v>
      </c>
      <c r="AM1441" s="474" t="s">
        <v>52</v>
      </c>
      <c r="AN1441" s="474"/>
      <c r="AO1441" s="474"/>
      <c r="AP1441" s="486"/>
      <c r="AQ1441" s="486" t="s">
        <v>37</v>
      </c>
      <c r="AR1441" s="486" t="s">
        <v>3343</v>
      </c>
      <c r="AS1441" s="495"/>
      <c r="AT1441" s="495"/>
      <c r="AU1441" s="478">
        <v>0.49</v>
      </c>
      <c r="AV1441" s="471">
        <f t="shared" si="261"/>
        <v>49401140</v>
      </c>
      <c r="AW1441" s="471" cm="1">
        <f t="array" ref="AW1441">SUM(MID(0&amp;AV1441,LARGE(INDEX(ISNUMBER(--MID(AV1441,ROW($1:$8),1))*ROW($1:$8),),ROW($1:$8))+1,1)*10^ROW($1:$8)/10)</f>
        <v>49401140</v>
      </c>
      <c r="AX1441" s="471" t="str">
        <f>VLOOKUP($AW1441,'Item Master Data'!$A:$F,3,FALSE)</f>
        <v>Q.PEAK DUO BLK ML G10.a+</v>
      </c>
      <c r="AY1441" s="471">
        <f>VLOOKUP($AW1441,'Item Master Data'!$A:$F,6,FALSE)</f>
        <v>400</v>
      </c>
      <c r="AZ1441" s="471">
        <f t="shared" si="262"/>
        <v>349</v>
      </c>
      <c r="BA1441" s="471">
        <f>VLOOKUP(AW1441,'Item Master Data'!$A:$G,7,FALSE)</f>
        <v>32</v>
      </c>
      <c r="BC1441" s="471">
        <f t="shared" si="263"/>
        <v>0</v>
      </c>
    </row>
    <row r="1442" spans="1:55" s="471" customFormat="1">
      <c r="A1442" s="472"/>
      <c r="B1442" s="515"/>
      <c r="C1442" s="515"/>
      <c r="D1442" s="485" t="s">
        <v>3186</v>
      </c>
      <c r="E1442" s="474" t="s">
        <v>3215</v>
      </c>
      <c r="F1442" s="474"/>
      <c r="G1442" s="474">
        <v>2022</v>
      </c>
      <c r="H1442" s="474">
        <v>4</v>
      </c>
      <c r="I1442" s="474">
        <v>128181</v>
      </c>
      <c r="J1442" s="475">
        <v>44677</v>
      </c>
      <c r="K1442" s="483" t="s">
        <v>3342</v>
      </c>
      <c r="L1442" s="474" t="s">
        <v>3335</v>
      </c>
      <c r="M1442" s="487">
        <v>44533</v>
      </c>
      <c r="N1442" s="487">
        <v>44651</v>
      </c>
      <c r="O1442" s="487"/>
      <c r="P1442" s="475">
        <v>44666</v>
      </c>
      <c r="Q1442" s="475">
        <v>44677</v>
      </c>
      <c r="R1442" s="475">
        <v>44678</v>
      </c>
      <c r="S1442" s="474" t="s">
        <v>2379</v>
      </c>
      <c r="T1442" s="474">
        <v>60</v>
      </c>
      <c r="U1442" s="474" t="s">
        <v>1760</v>
      </c>
      <c r="V1442" s="474" t="s">
        <v>973</v>
      </c>
      <c r="W1442" s="474">
        <v>400</v>
      </c>
      <c r="X1442" s="476">
        <f>3072+768</f>
        <v>3840</v>
      </c>
      <c r="Y1442" s="491">
        <f>X1442*W1442</f>
        <v>1536000</v>
      </c>
      <c r="Z1442" s="478">
        <v>0.55000000000000004</v>
      </c>
      <c r="AA1442" s="479">
        <f>Z1442*Y1442</f>
        <v>844800.00000000012</v>
      </c>
      <c r="AB1442" s="480"/>
      <c r="AC1442" s="481">
        <f>AB1442*Y1442</f>
        <v>0</v>
      </c>
      <c r="AD1442" s="490"/>
      <c r="AE1442" s="482"/>
      <c r="AF1442" s="493">
        <f>AE1442+AD1442+AA1442</f>
        <v>844800.00000000012</v>
      </c>
      <c r="AG1442" s="474" t="s">
        <v>1071</v>
      </c>
      <c r="AH1442" s="474"/>
      <c r="AI1442" s="483" t="s">
        <v>2442</v>
      </c>
      <c r="AJ1442" s="474" t="s">
        <v>2472</v>
      </c>
      <c r="AK1442" s="494" t="s">
        <v>1133</v>
      </c>
      <c r="AL1442" s="474">
        <v>85040</v>
      </c>
      <c r="AM1442" s="474" t="s">
        <v>52</v>
      </c>
      <c r="AN1442" s="474" t="s">
        <v>50</v>
      </c>
      <c r="AO1442" s="474"/>
      <c r="AP1442" s="486" t="s">
        <v>38</v>
      </c>
      <c r="AQ1442" s="486" t="s">
        <v>37</v>
      </c>
      <c r="AR1442" s="486" t="s">
        <v>3343</v>
      </c>
      <c r="AS1442" s="495"/>
      <c r="AT1442" s="495"/>
      <c r="AU1442" s="478">
        <v>0.49</v>
      </c>
    </row>
    <row r="1443" spans="1:55" s="471" customFormat="1">
      <c r="A1443" s="472"/>
      <c r="B1443" s="515">
        <v>44596</v>
      </c>
      <c r="C1443" s="515">
        <v>44599</v>
      </c>
      <c r="D1443" s="485" t="s">
        <v>3186</v>
      </c>
      <c r="E1443" s="474" t="s">
        <v>3215</v>
      </c>
      <c r="F1443" s="474"/>
      <c r="G1443" s="474">
        <v>2022</v>
      </c>
      <c r="H1443" s="474">
        <v>6</v>
      </c>
      <c r="I1443" s="474"/>
      <c r="J1443" s="475"/>
      <c r="K1443" s="483" t="s">
        <v>3416</v>
      </c>
      <c r="L1443" s="474" t="s">
        <v>3335</v>
      </c>
      <c r="M1443" s="487">
        <v>44530</v>
      </c>
      <c r="N1443" s="487">
        <v>44564</v>
      </c>
      <c r="O1443" s="487"/>
      <c r="P1443" s="475"/>
      <c r="Q1443" s="475"/>
      <c r="R1443" s="475"/>
      <c r="S1443" s="474" t="s">
        <v>2379</v>
      </c>
      <c r="T1443" s="474">
        <v>60</v>
      </c>
      <c r="U1443" s="474">
        <v>49201132</v>
      </c>
      <c r="V1443" s="474" t="s">
        <v>986</v>
      </c>
      <c r="W1443" s="474">
        <v>360</v>
      </c>
      <c r="X1443" s="476">
        <v>7488</v>
      </c>
      <c r="Y1443" s="477">
        <f>X1443*W1443</f>
        <v>2695680</v>
      </c>
      <c r="Z1443" s="478">
        <v>0.53</v>
      </c>
      <c r="AA1443" s="479">
        <f>Z1443*Y1443</f>
        <v>1428710.4000000001</v>
      </c>
      <c r="AB1443" s="480"/>
      <c r="AC1443" s="481">
        <f>AB1443*Y1443</f>
        <v>0</v>
      </c>
      <c r="AD1443" s="490"/>
      <c r="AE1443" s="482"/>
      <c r="AF1443" s="493">
        <f>AE1443+AD1443+AA1443</f>
        <v>1428710.4000000001</v>
      </c>
      <c r="AG1443" s="474" t="s">
        <v>1071</v>
      </c>
      <c r="AH1443" s="474"/>
      <c r="AI1443" s="483" t="s">
        <v>2442</v>
      </c>
      <c r="AJ1443" s="474" t="s">
        <v>2472</v>
      </c>
      <c r="AK1443" s="494" t="s">
        <v>1133</v>
      </c>
      <c r="AL1443" s="474">
        <v>85040</v>
      </c>
      <c r="AM1443" s="474" t="s">
        <v>52</v>
      </c>
      <c r="AN1443" s="474" t="s">
        <v>1074</v>
      </c>
      <c r="AO1443" s="474"/>
      <c r="AP1443" s="486"/>
      <c r="AQ1443" s="486" t="s">
        <v>37</v>
      </c>
      <c r="AR1443" s="486" t="s">
        <v>3415</v>
      </c>
      <c r="AS1443" s="495"/>
      <c r="AT1443" s="495"/>
      <c r="AU1443" s="478">
        <v>0.49</v>
      </c>
    </row>
    <row r="1444" spans="1:55" s="471" customFormat="1">
      <c r="A1444" s="472"/>
      <c r="B1444" s="515">
        <v>44596</v>
      </c>
      <c r="C1444" s="515">
        <v>44599</v>
      </c>
      <c r="D1444" s="485" t="s">
        <v>3186</v>
      </c>
      <c r="E1444" s="474" t="s">
        <v>3413</v>
      </c>
      <c r="F1444" s="474"/>
      <c r="G1444" s="474">
        <v>2022</v>
      </c>
      <c r="H1444" s="474">
        <v>5</v>
      </c>
      <c r="I1444" s="474"/>
      <c r="J1444" s="475"/>
      <c r="K1444" s="483" t="s">
        <v>3414</v>
      </c>
      <c r="L1444" s="474" t="s">
        <v>3335</v>
      </c>
      <c r="M1444" s="487">
        <v>44530</v>
      </c>
      <c r="N1444" s="487">
        <v>44564</v>
      </c>
      <c r="O1444" s="487"/>
      <c r="P1444" s="475"/>
      <c r="Q1444" s="475"/>
      <c r="R1444" s="475"/>
      <c r="S1444" s="474" t="s">
        <v>2379</v>
      </c>
      <c r="T1444" s="474">
        <v>60</v>
      </c>
      <c r="U1444" s="474">
        <v>49201132</v>
      </c>
      <c r="V1444" s="474" t="s">
        <v>986</v>
      </c>
      <c r="W1444" s="474">
        <v>360</v>
      </c>
      <c r="X1444" s="476">
        <f>7488-832</f>
        <v>6656</v>
      </c>
      <c r="Y1444" s="477">
        <f>X1444*W1444</f>
        <v>2396160</v>
      </c>
      <c r="Z1444" s="478">
        <v>0.53</v>
      </c>
      <c r="AA1444" s="479">
        <f>Z1444*Y1444</f>
        <v>1269964.8</v>
      </c>
      <c r="AB1444" s="480"/>
      <c r="AC1444" s="481">
        <f>AB1444*Y1444</f>
        <v>0</v>
      </c>
      <c r="AD1444" s="490"/>
      <c r="AE1444" s="482"/>
      <c r="AF1444" s="493">
        <f>AE1444+AD1444+AA1444</f>
        <v>1269964.8</v>
      </c>
      <c r="AG1444" s="474" t="s">
        <v>1071</v>
      </c>
      <c r="AH1444" s="474"/>
      <c r="AI1444" s="483" t="s">
        <v>2442</v>
      </c>
      <c r="AJ1444" s="474" t="s">
        <v>2472</v>
      </c>
      <c r="AK1444" s="494" t="s">
        <v>1133</v>
      </c>
      <c r="AL1444" s="474">
        <v>85040</v>
      </c>
      <c r="AM1444" s="474" t="s">
        <v>52</v>
      </c>
      <c r="AN1444" s="474" t="s">
        <v>1074</v>
      </c>
      <c r="AO1444" s="474"/>
      <c r="AP1444" s="486"/>
      <c r="AQ1444" s="486" t="s">
        <v>37</v>
      </c>
      <c r="AR1444" s="486" t="s">
        <v>3415</v>
      </c>
      <c r="AS1444" s="495"/>
      <c r="AT1444" s="495"/>
      <c r="AU1444" s="478">
        <v>0.49</v>
      </c>
    </row>
    <row r="1445" spans="1:55" s="471" customFormat="1">
      <c r="A1445" s="472"/>
      <c r="B1445" s="515">
        <v>44679</v>
      </c>
      <c r="C1445" s="515"/>
      <c r="D1445" s="485" t="s">
        <v>3186</v>
      </c>
      <c r="E1445" s="474"/>
      <c r="F1445" s="474"/>
      <c r="G1445" s="474">
        <v>2022</v>
      </c>
      <c r="H1445" s="519">
        <v>4</v>
      </c>
      <c r="I1445" s="519"/>
      <c r="J1445" s="521"/>
      <c r="K1445" s="518" t="s">
        <v>5689</v>
      </c>
      <c r="L1445" s="519" t="s">
        <v>3335</v>
      </c>
      <c r="M1445" s="520">
        <v>44673</v>
      </c>
      <c r="N1445" s="520">
        <v>44673</v>
      </c>
      <c r="O1445" s="520"/>
      <c r="P1445" s="521"/>
      <c r="Q1445" s="521"/>
      <c r="R1445" s="521"/>
      <c r="S1445" s="519" t="s">
        <v>2379</v>
      </c>
      <c r="T1445" s="519">
        <v>72</v>
      </c>
      <c r="U1445" s="519"/>
      <c r="V1445" s="519" t="s">
        <v>5690</v>
      </c>
      <c r="W1445" s="519">
        <v>480</v>
      </c>
      <c r="X1445" s="522">
        <v>638</v>
      </c>
      <c r="Y1445" s="470">
        <f>X1445*W1445</f>
        <v>306240</v>
      </c>
      <c r="Z1445" s="478">
        <v>0.59499999999999997</v>
      </c>
      <c r="AA1445" s="479">
        <f>Z1445*Y1445</f>
        <v>182212.8</v>
      </c>
      <c r="AB1445" s="480"/>
      <c r="AC1445" s="481">
        <v>0</v>
      </c>
      <c r="AD1445" s="490"/>
      <c r="AE1445" s="482"/>
      <c r="AF1445" s="493">
        <f>AA1445+AD1445+AE1445</f>
        <v>182212.8</v>
      </c>
      <c r="AG1445" s="474" t="s">
        <v>1071</v>
      </c>
      <c r="AH1445" s="474"/>
      <c r="AI1445" s="483">
        <v>60</v>
      </c>
      <c r="AJ1445" s="474" t="s">
        <v>2472</v>
      </c>
      <c r="AK1445" s="494" t="s">
        <v>1133</v>
      </c>
      <c r="AL1445" s="474">
        <v>85040</v>
      </c>
      <c r="AM1445" s="474" t="s">
        <v>52</v>
      </c>
      <c r="AN1445" s="474"/>
      <c r="AO1445" s="474"/>
      <c r="AP1445" s="486"/>
      <c r="AQ1445" s="486" t="s">
        <v>37</v>
      </c>
      <c r="AR1445" s="486"/>
      <c r="AS1445" s="495"/>
      <c r="AT1445" s="495"/>
      <c r="AU1445" s="478"/>
    </row>
    <row r="1446" spans="1:55" s="471" customFormat="1">
      <c r="A1446" s="472"/>
      <c r="B1446" s="472"/>
      <c r="C1446" s="472"/>
      <c r="D1446" s="485" t="s">
        <v>3186</v>
      </c>
      <c r="E1446" s="474"/>
      <c r="F1446" s="474"/>
      <c r="G1446" s="474">
        <v>2022</v>
      </c>
      <c r="H1446" s="474">
        <v>5</v>
      </c>
      <c r="I1446" s="474" t="s">
        <v>1676</v>
      </c>
      <c r="J1446" s="475"/>
      <c r="K1446" s="483" t="s">
        <v>3368</v>
      </c>
      <c r="L1446" s="474" t="s">
        <v>3335</v>
      </c>
      <c r="M1446" s="487">
        <v>44504</v>
      </c>
      <c r="N1446" s="487">
        <v>44683</v>
      </c>
      <c r="O1446" s="487"/>
      <c r="P1446" s="475"/>
      <c r="Q1446" s="475"/>
      <c r="R1446" s="475"/>
      <c r="S1446" s="474" t="s">
        <v>2379</v>
      </c>
      <c r="T1446" s="474">
        <v>60</v>
      </c>
      <c r="U1446" s="474">
        <v>49401140</v>
      </c>
      <c r="V1446" s="474" t="s">
        <v>973</v>
      </c>
      <c r="W1446" s="474">
        <v>400</v>
      </c>
      <c r="X1446" s="476">
        <f>6656+2560</f>
        <v>9216</v>
      </c>
      <c r="Y1446" s="491">
        <f>X1446*W1446</f>
        <v>3686400</v>
      </c>
      <c r="Z1446" s="478">
        <v>0.55000000000000004</v>
      </c>
      <c r="AA1446" s="492">
        <f>Z1446*Y1446</f>
        <v>2027520.0000000002</v>
      </c>
      <c r="AB1446" s="480"/>
      <c r="AC1446" s="481">
        <f>AB1446*Y1446</f>
        <v>0</v>
      </c>
      <c r="AD1446" s="490"/>
      <c r="AE1446" s="482"/>
      <c r="AF1446" s="493">
        <f>AE1446+AD1446+AA1446</f>
        <v>2027520.0000000002</v>
      </c>
      <c r="AG1446" s="474" t="s">
        <v>1071</v>
      </c>
      <c r="AH1446" s="474"/>
      <c r="AI1446" s="483" t="s">
        <v>2442</v>
      </c>
      <c r="AJ1446" s="474" t="s">
        <v>2472</v>
      </c>
      <c r="AK1446" s="494" t="s">
        <v>1133</v>
      </c>
      <c r="AL1446" s="474">
        <v>85040</v>
      </c>
      <c r="AM1446" s="474" t="s">
        <v>52</v>
      </c>
      <c r="AN1446" s="474"/>
      <c r="AO1446" s="474"/>
      <c r="AP1446" s="486"/>
      <c r="AQ1446" s="486" t="s">
        <v>37</v>
      </c>
      <c r="AR1446" s="486"/>
      <c r="AS1446" s="495"/>
      <c r="AT1446" s="495"/>
      <c r="AU1446" s="478">
        <v>0.51</v>
      </c>
    </row>
    <row r="1447" spans="1:55" s="471" customFormat="1">
      <c r="A1447" s="472"/>
      <c r="B1447" s="472"/>
      <c r="C1447" s="472"/>
      <c r="D1447" s="485" t="s">
        <v>3186</v>
      </c>
      <c r="E1447" s="474"/>
      <c r="F1447" s="474"/>
      <c r="G1447" s="474">
        <v>2022</v>
      </c>
      <c r="H1447" s="474">
        <v>5</v>
      </c>
      <c r="I1447" s="474" t="s">
        <v>1676</v>
      </c>
      <c r="J1447" s="475"/>
      <c r="K1447" s="483" t="s">
        <v>3367</v>
      </c>
      <c r="L1447" s="474" t="s">
        <v>3335</v>
      </c>
      <c r="M1447" s="487">
        <v>44504</v>
      </c>
      <c r="N1447" s="487">
        <v>44653</v>
      </c>
      <c r="O1447" s="487"/>
      <c r="P1447" s="475"/>
      <c r="Q1447" s="475"/>
      <c r="R1447" s="475"/>
      <c r="S1447" s="474" t="s">
        <v>2379</v>
      </c>
      <c r="T1447" s="474">
        <v>60</v>
      </c>
      <c r="U1447" s="474">
        <v>49401140</v>
      </c>
      <c r="V1447" s="474" t="s">
        <v>973</v>
      </c>
      <c r="W1447" s="474">
        <v>400</v>
      </c>
      <c r="X1447" s="476">
        <f>6656+2560</f>
        <v>9216</v>
      </c>
      <c r="Y1447" s="491">
        <f>X1447*W1447</f>
        <v>3686400</v>
      </c>
      <c r="Z1447" s="478">
        <v>0.55000000000000004</v>
      </c>
      <c r="AA1447" s="492">
        <f>Z1447*Y1447</f>
        <v>2027520.0000000002</v>
      </c>
      <c r="AB1447" s="480"/>
      <c r="AC1447" s="481">
        <f>AB1447*Y1447</f>
        <v>0</v>
      </c>
      <c r="AD1447" s="490"/>
      <c r="AE1447" s="482"/>
      <c r="AF1447" s="493">
        <f>AE1447+AD1447+AA1447</f>
        <v>2027520.0000000002</v>
      </c>
      <c r="AG1447" s="474" t="s">
        <v>1071</v>
      </c>
      <c r="AH1447" s="474"/>
      <c r="AI1447" s="483" t="s">
        <v>2442</v>
      </c>
      <c r="AJ1447" s="474" t="s">
        <v>2472</v>
      </c>
      <c r="AK1447" s="494" t="s">
        <v>1133</v>
      </c>
      <c r="AL1447" s="474">
        <v>85040</v>
      </c>
      <c r="AM1447" s="474" t="s">
        <v>52</v>
      </c>
      <c r="AN1447" s="474"/>
      <c r="AO1447" s="474"/>
      <c r="AP1447" s="486"/>
      <c r="AQ1447" s="486" t="s">
        <v>37</v>
      </c>
      <c r="AR1447" s="486"/>
      <c r="AS1447" s="495"/>
      <c r="AT1447" s="495"/>
      <c r="AU1447" s="478">
        <v>0.51</v>
      </c>
    </row>
    <row r="1448" spans="1:55" s="471" customFormat="1">
      <c r="A1448" s="472"/>
      <c r="B1448" s="472"/>
      <c r="C1448" s="472"/>
      <c r="D1448" s="485" t="s">
        <v>3186</v>
      </c>
      <c r="E1448" s="474" t="s">
        <v>3305</v>
      </c>
      <c r="F1448" s="474"/>
      <c r="G1448" s="474">
        <v>2022</v>
      </c>
      <c r="H1448" s="474">
        <v>4</v>
      </c>
      <c r="I1448" s="474">
        <v>128182</v>
      </c>
      <c r="J1448" s="475">
        <v>44676</v>
      </c>
      <c r="K1448" s="483" t="s">
        <v>3334</v>
      </c>
      <c r="L1448" s="474" t="s">
        <v>3335</v>
      </c>
      <c r="M1448" s="487">
        <v>44504</v>
      </c>
      <c r="N1448" s="487">
        <v>44622</v>
      </c>
      <c r="O1448" s="487"/>
      <c r="P1448" s="475">
        <v>44666</v>
      </c>
      <c r="Q1448" s="475">
        <v>44676</v>
      </c>
      <c r="R1448" s="475">
        <v>44677</v>
      </c>
      <c r="S1448" s="474" t="s">
        <v>2379</v>
      </c>
      <c r="T1448" s="474">
        <v>60</v>
      </c>
      <c r="U1448" s="474" t="s">
        <v>1760</v>
      </c>
      <c r="V1448" s="474" t="s">
        <v>973</v>
      </c>
      <c r="W1448" s="474">
        <v>400</v>
      </c>
      <c r="X1448" s="476">
        <v>1536</v>
      </c>
      <c r="Y1448" s="491">
        <f>X1448*W1448</f>
        <v>614400</v>
      </c>
      <c r="Z1448" s="478">
        <v>0.55000000000000004</v>
      </c>
      <c r="AA1448" s="492">
        <f>Z1448*Y1448</f>
        <v>337920</v>
      </c>
      <c r="AB1448" s="480"/>
      <c r="AC1448" s="481">
        <f>AB1448*Y1448</f>
        <v>0</v>
      </c>
      <c r="AD1448" s="490"/>
      <c r="AE1448" s="482"/>
      <c r="AF1448" s="493">
        <f>AE1448+AD1448+AA1448</f>
        <v>337920</v>
      </c>
      <c r="AG1448" s="474" t="s">
        <v>1071</v>
      </c>
      <c r="AH1448" s="474"/>
      <c r="AI1448" s="483" t="s">
        <v>2442</v>
      </c>
      <c r="AJ1448" s="474" t="s">
        <v>2472</v>
      </c>
      <c r="AK1448" s="494" t="s">
        <v>1133</v>
      </c>
      <c r="AL1448" s="474">
        <v>85282</v>
      </c>
      <c r="AM1448" s="474" t="s">
        <v>52</v>
      </c>
      <c r="AN1448" s="474" t="s">
        <v>50</v>
      </c>
      <c r="AO1448" s="474"/>
      <c r="AP1448" s="486" t="s">
        <v>38</v>
      </c>
      <c r="AQ1448" s="486" t="s">
        <v>37</v>
      </c>
      <c r="AR1448" s="486"/>
      <c r="AS1448" s="495"/>
      <c r="AT1448" s="495"/>
      <c r="AU1448" s="478">
        <v>0.51</v>
      </c>
    </row>
    <row r="1449" spans="1:55" s="471" customFormat="1">
      <c r="A1449" s="472"/>
      <c r="B1449" s="515"/>
      <c r="C1449" s="515"/>
      <c r="D1449" s="485" t="s">
        <v>3186</v>
      </c>
      <c r="E1449" s="474"/>
      <c r="F1449" s="474"/>
      <c r="G1449" s="474">
        <v>2022</v>
      </c>
      <c r="H1449" s="474">
        <v>8</v>
      </c>
      <c r="I1449" s="474"/>
      <c r="J1449" s="475"/>
      <c r="K1449" s="483" t="s">
        <v>3487</v>
      </c>
      <c r="L1449" s="474" t="s">
        <v>3447</v>
      </c>
      <c r="M1449" s="487">
        <v>44531</v>
      </c>
      <c r="N1449" s="487">
        <v>44835</v>
      </c>
      <c r="O1449" s="487"/>
      <c r="P1449" s="475"/>
      <c r="Q1449" s="475"/>
      <c r="R1449" s="475"/>
      <c r="S1449" s="474" t="s">
        <v>2379</v>
      </c>
      <c r="T1449" s="474">
        <v>60</v>
      </c>
      <c r="U1449" s="474" t="s">
        <v>1109</v>
      </c>
      <c r="V1449" s="474" t="s">
        <v>986</v>
      </c>
      <c r="W1449" s="474">
        <v>360</v>
      </c>
      <c r="X1449" s="476">
        <v>1664</v>
      </c>
      <c r="Y1449" s="477">
        <f>X1449*W1449</f>
        <v>599040</v>
      </c>
      <c r="Z1449" s="478">
        <v>0.5</v>
      </c>
      <c r="AA1449" s="479">
        <f>Z1449*Y1449</f>
        <v>299520</v>
      </c>
      <c r="AB1449" s="480"/>
      <c r="AC1449" s="481">
        <f>AB1449*Y1449</f>
        <v>0</v>
      </c>
      <c r="AD1449" s="490"/>
      <c r="AE1449" s="482"/>
      <c r="AF1449" s="493">
        <f>AE1449+AD1449+AA1449</f>
        <v>299520</v>
      </c>
      <c r="AG1449" s="474" t="s">
        <v>1071</v>
      </c>
      <c r="AH1449" s="474"/>
      <c r="AI1449" s="483" t="s">
        <v>2442</v>
      </c>
      <c r="AJ1449" s="474" t="s">
        <v>3448</v>
      </c>
      <c r="AK1449" s="494" t="s">
        <v>1395</v>
      </c>
      <c r="AL1449" s="474">
        <v>89502</v>
      </c>
      <c r="AM1449" s="474" t="s">
        <v>52</v>
      </c>
      <c r="AN1449" s="474"/>
      <c r="AO1449" s="474"/>
      <c r="AP1449" s="486"/>
      <c r="AQ1449" s="486" t="s">
        <v>37</v>
      </c>
      <c r="AR1449" s="486"/>
      <c r="AS1449" s="495"/>
      <c r="AT1449" s="495"/>
      <c r="AU1449" s="478"/>
    </row>
    <row r="1450" spans="1:55" s="471" customFormat="1">
      <c r="A1450" s="472"/>
      <c r="B1450" s="515"/>
      <c r="C1450" s="515"/>
      <c r="D1450" s="485" t="s">
        <v>3186</v>
      </c>
      <c r="E1450" s="474"/>
      <c r="F1450" s="474"/>
      <c r="G1450" s="474">
        <v>2022</v>
      </c>
      <c r="H1450" s="474">
        <v>7</v>
      </c>
      <c r="I1450" s="474"/>
      <c r="J1450" s="475"/>
      <c r="K1450" s="483" t="s">
        <v>3474</v>
      </c>
      <c r="L1450" s="474" t="s">
        <v>3447</v>
      </c>
      <c r="M1450" s="487">
        <v>44531</v>
      </c>
      <c r="N1450" s="487">
        <v>44743</v>
      </c>
      <c r="O1450" s="487"/>
      <c r="P1450" s="475"/>
      <c r="Q1450" s="475"/>
      <c r="R1450" s="475"/>
      <c r="S1450" s="474" t="s">
        <v>2379</v>
      </c>
      <c r="T1450" s="474">
        <v>60</v>
      </c>
      <c r="U1450" s="474" t="s">
        <v>1109</v>
      </c>
      <c r="V1450" s="474" t="s">
        <v>986</v>
      </c>
      <c r="W1450" s="474">
        <v>360</v>
      </c>
      <c r="X1450" s="476">
        <v>1664</v>
      </c>
      <c r="Y1450" s="477">
        <f>X1450*W1450</f>
        <v>599040</v>
      </c>
      <c r="Z1450" s="478">
        <v>0.5</v>
      </c>
      <c r="AA1450" s="479">
        <f>Z1450*Y1450</f>
        <v>299520</v>
      </c>
      <c r="AB1450" s="480"/>
      <c r="AC1450" s="481">
        <f>AB1450*Y1450</f>
        <v>0</v>
      </c>
      <c r="AD1450" s="490"/>
      <c r="AE1450" s="482"/>
      <c r="AF1450" s="493">
        <f>AE1450+AD1450+AA1450</f>
        <v>299520</v>
      </c>
      <c r="AG1450" s="474" t="s">
        <v>1071</v>
      </c>
      <c r="AH1450" s="474"/>
      <c r="AI1450" s="483" t="s">
        <v>2442</v>
      </c>
      <c r="AJ1450" s="474" t="s">
        <v>3448</v>
      </c>
      <c r="AK1450" s="494" t="s">
        <v>1395</v>
      </c>
      <c r="AL1450" s="474">
        <v>89502</v>
      </c>
      <c r="AM1450" s="474" t="s">
        <v>52</v>
      </c>
      <c r="AN1450" s="474"/>
      <c r="AO1450" s="474"/>
      <c r="AP1450" s="486"/>
      <c r="AQ1450" s="486" t="s">
        <v>37</v>
      </c>
      <c r="AR1450" s="486"/>
      <c r="AS1450" s="495"/>
      <c r="AT1450" s="495"/>
      <c r="AU1450" s="478"/>
    </row>
    <row r="1451" spans="1:55" s="471" customFormat="1">
      <c r="A1451" s="472"/>
      <c r="B1451" s="515"/>
      <c r="C1451" s="515"/>
      <c r="D1451" s="485" t="s">
        <v>3186</v>
      </c>
      <c r="E1451" s="474"/>
      <c r="F1451" s="474"/>
      <c r="G1451" s="474">
        <v>2022</v>
      </c>
      <c r="H1451" s="474">
        <v>6</v>
      </c>
      <c r="I1451" s="474"/>
      <c r="J1451" s="475"/>
      <c r="K1451" s="483" t="s">
        <v>3446</v>
      </c>
      <c r="L1451" s="474" t="s">
        <v>3447</v>
      </c>
      <c r="M1451" s="487">
        <v>44531</v>
      </c>
      <c r="N1451" s="487">
        <v>44653</v>
      </c>
      <c r="O1451" s="487"/>
      <c r="P1451" s="475"/>
      <c r="Q1451" s="475"/>
      <c r="R1451" s="475"/>
      <c r="S1451" s="474" t="s">
        <v>2379</v>
      </c>
      <c r="T1451" s="474">
        <v>60</v>
      </c>
      <c r="U1451" s="474" t="s">
        <v>1109</v>
      </c>
      <c r="V1451" s="474" t="s">
        <v>986</v>
      </c>
      <c r="W1451" s="474">
        <v>360</v>
      </c>
      <c r="X1451" s="476">
        <v>1664</v>
      </c>
      <c r="Y1451" s="477">
        <f>X1451*W1451</f>
        <v>599040</v>
      </c>
      <c r="Z1451" s="478">
        <v>0.5</v>
      </c>
      <c r="AA1451" s="479">
        <f>Z1451*Y1451</f>
        <v>299520</v>
      </c>
      <c r="AB1451" s="480"/>
      <c r="AC1451" s="481">
        <f>AB1451*Y1451</f>
        <v>0</v>
      </c>
      <c r="AD1451" s="490"/>
      <c r="AE1451" s="482"/>
      <c r="AF1451" s="493">
        <f>AE1451+AD1451+AA1451</f>
        <v>299520</v>
      </c>
      <c r="AG1451" s="474" t="s">
        <v>1071</v>
      </c>
      <c r="AH1451" s="474"/>
      <c r="AI1451" s="483" t="s">
        <v>2442</v>
      </c>
      <c r="AJ1451" s="474" t="s">
        <v>3448</v>
      </c>
      <c r="AK1451" s="494" t="s">
        <v>1395</v>
      </c>
      <c r="AL1451" s="474">
        <v>89502</v>
      </c>
      <c r="AM1451" s="474" t="s">
        <v>52</v>
      </c>
      <c r="AN1451" s="474"/>
      <c r="AO1451" s="474"/>
      <c r="AP1451" s="486"/>
      <c r="AQ1451" s="486" t="s">
        <v>37</v>
      </c>
      <c r="AR1451" s="486"/>
      <c r="AS1451" s="495"/>
      <c r="AT1451" s="495"/>
      <c r="AU1451" s="478"/>
    </row>
    <row r="1452" spans="1:55" s="471" customFormat="1">
      <c r="A1452" s="472"/>
      <c r="B1452" s="515">
        <v>44600</v>
      </c>
      <c r="C1452" s="515">
        <v>44600</v>
      </c>
      <c r="D1452" s="485" t="s">
        <v>3186</v>
      </c>
      <c r="E1452" s="474" t="s">
        <v>5228</v>
      </c>
      <c r="F1452" s="474"/>
      <c r="G1452" s="474">
        <v>2022</v>
      </c>
      <c r="H1452" s="474">
        <v>3</v>
      </c>
      <c r="I1452" s="524">
        <v>127897</v>
      </c>
      <c r="J1452" s="538">
        <v>44650</v>
      </c>
      <c r="K1452" s="523" t="s">
        <v>3520</v>
      </c>
      <c r="L1452" s="524" t="s">
        <v>3447</v>
      </c>
      <c r="M1452" s="487">
        <v>44502</v>
      </c>
      <c r="N1452" s="487">
        <v>44564</v>
      </c>
      <c r="O1452" s="487"/>
      <c r="P1452" s="475">
        <v>44629</v>
      </c>
      <c r="Q1452" s="475">
        <v>44650</v>
      </c>
      <c r="R1452" s="475">
        <v>44655</v>
      </c>
      <c r="S1452" s="474" t="s">
        <v>2379</v>
      </c>
      <c r="T1452" s="474">
        <v>60</v>
      </c>
      <c r="U1452" s="474">
        <v>49201132</v>
      </c>
      <c r="V1452" s="474" t="s">
        <v>986</v>
      </c>
      <c r="W1452" s="474">
        <v>360</v>
      </c>
      <c r="X1452" s="476">
        <v>832</v>
      </c>
      <c r="Y1452" s="491">
        <f>X1452*W1452</f>
        <v>299520</v>
      </c>
      <c r="Z1452" s="478">
        <v>0.53</v>
      </c>
      <c r="AA1452" s="492">
        <f>Z1452*Y1452</f>
        <v>158745.60000000001</v>
      </c>
      <c r="AB1452" s="480"/>
      <c r="AC1452" s="481">
        <f>AB1452*Y1452</f>
        <v>0</v>
      </c>
      <c r="AD1452" s="490"/>
      <c r="AE1452" s="482"/>
      <c r="AF1452" s="493">
        <f>AE1452+AD1452+AA1452</f>
        <v>158745.60000000001</v>
      </c>
      <c r="AG1452" s="474" t="s">
        <v>1071</v>
      </c>
      <c r="AH1452" s="474"/>
      <c r="AI1452" s="483" t="s">
        <v>2442</v>
      </c>
      <c r="AJ1452" s="474" t="s">
        <v>3448</v>
      </c>
      <c r="AK1452" s="494" t="s">
        <v>1395</v>
      </c>
      <c r="AL1452" s="474">
        <v>89502</v>
      </c>
      <c r="AM1452" s="474" t="s">
        <v>52</v>
      </c>
      <c r="AN1452" s="526" t="s">
        <v>1106</v>
      </c>
      <c r="AO1452" s="474"/>
      <c r="AP1452" s="486"/>
      <c r="AQ1452" s="486"/>
      <c r="AR1452" s="486"/>
      <c r="AS1452" s="495"/>
      <c r="AT1452" s="495"/>
      <c r="AU1452" s="478"/>
    </row>
    <row r="1453" spans="1:55" s="471" customFormat="1">
      <c r="A1453" s="472">
        <v>10</v>
      </c>
      <c r="B1453" s="515">
        <v>44628</v>
      </c>
      <c r="C1453" s="515">
        <v>44629</v>
      </c>
      <c r="D1453" s="485" t="s">
        <v>3186</v>
      </c>
      <c r="E1453" s="474" t="s">
        <v>3241</v>
      </c>
      <c r="F1453" s="474"/>
      <c r="G1453" s="474">
        <v>2022</v>
      </c>
      <c r="H1453" s="474">
        <v>3</v>
      </c>
      <c r="I1453" s="474">
        <v>127558</v>
      </c>
      <c r="J1453" s="475">
        <v>44645</v>
      </c>
      <c r="K1453" s="483" t="s">
        <v>3242</v>
      </c>
      <c r="L1453" s="474" t="s">
        <v>3243</v>
      </c>
      <c r="M1453" s="487">
        <v>44468</v>
      </c>
      <c r="N1453" s="487">
        <v>44622</v>
      </c>
      <c r="O1453" s="487"/>
      <c r="P1453" s="475">
        <v>44629</v>
      </c>
      <c r="Q1453" s="475">
        <v>44645</v>
      </c>
      <c r="R1453" s="475">
        <v>44648</v>
      </c>
      <c r="S1453" s="474" t="s">
        <v>2379</v>
      </c>
      <c r="T1453" s="474">
        <v>60</v>
      </c>
      <c r="U1453" s="474" t="s">
        <v>1760</v>
      </c>
      <c r="V1453" s="474" t="s">
        <v>973</v>
      </c>
      <c r="W1453" s="474">
        <v>400</v>
      </c>
      <c r="X1453" s="476">
        <v>768</v>
      </c>
      <c r="Y1453" s="477">
        <f>X1453*W1453</f>
        <v>307200</v>
      </c>
      <c r="Z1453" s="478">
        <v>0.55000000000000004</v>
      </c>
      <c r="AA1453" s="479">
        <f>Z1453*Y1453</f>
        <v>168960</v>
      </c>
      <c r="AB1453" s="480"/>
      <c r="AC1453" s="481">
        <f>AB1453*Y1453</f>
        <v>0</v>
      </c>
      <c r="AD1453" s="490"/>
      <c r="AE1453" s="482"/>
      <c r="AF1453" s="493">
        <f>AE1453+AD1453+AA1453</f>
        <v>168960</v>
      </c>
      <c r="AG1453" s="474" t="s">
        <v>1071</v>
      </c>
      <c r="AH1453" s="474"/>
      <c r="AI1453" s="483" t="s">
        <v>2442</v>
      </c>
      <c r="AJ1453" s="474" t="s">
        <v>3244</v>
      </c>
      <c r="AK1453" s="494" t="s">
        <v>2362</v>
      </c>
      <c r="AL1453" s="474">
        <v>81006</v>
      </c>
      <c r="AM1453" s="474" t="s">
        <v>52</v>
      </c>
      <c r="AN1453" s="474" t="s">
        <v>50</v>
      </c>
      <c r="AO1453" s="474"/>
      <c r="AP1453" s="486" t="s">
        <v>38</v>
      </c>
      <c r="AQ1453" s="486" t="s">
        <v>37</v>
      </c>
      <c r="AR1453" s="486" t="s">
        <v>3227</v>
      </c>
      <c r="AS1453" s="495"/>
      <c r="AT1453" s="495"/>
      <c r="AU1453" s="478">
        <v>0.49</v>
      </c>
    </row>
    <row r="1454" spans="1:55" s="471" customFormat="1">
      <c r="A1454" s="472">
        <v>10</v>
      </c>
      <c r="B1454" s="515">
        <v>44628</v>
      </c>
      <c r="C1454" s="515">
        <v>44629</v>
      </c>
      <c r="D1454" s="485" t="s">
        <v>3186</v>
      </c>
      <c r="E1454" s="474" t="s">
        <v>3241</v>
      </c>
      <c r="F1454" s="474"/>
      <c r="G1454" s="474">
        <v>2022</v>
      </c>
      <c r="H1454" s="474">
        <v>3</v>
      </c>
      <c r="I1454" s="474">
        <v>127575</v>
      </c>
      <c r="J1454" s="475">
        <v>44645</v>
      </c>
      <c r="K1454" s="483" t="s">
        <v>3242</v>
      </c>
      <c r="L1454" s="474" t="s">
        <v>3243</v>
      </c>
      <c r="M1454" s="487">
        <v>44468</v>
      </c>
      <c r="N1454" s="487">
        <v>44622</v>
      </c>
      <c r="O1454" s="487"/>
      <c r="P1454" s="475">
        <v>44629</v>
      </c>
      <c r="Q1454" s="475">
        <v>44645</v>
      </c>
      <c r="R1454" s="475">
        <v>44648</v>
      </c>
      <c r="S1454" s="474" t="s">
        <v>2379</v>
      </c>
      <c r="T1454" s="474">
        <v>60</v>
      </c>
      <c r="U1454" s="474" t="s">
        <v>1760</v>
      </c>
      <c r="V1454" s="474" t="s">
        <v>973</v>
      </c>
      <c r="W1454" s="474">
        <v>400</v>
      </c>
      <c r="X1454" s="476">
        <v>768</v>
      </c>
      <c r="Y1454" s="477">
        <f>X1454*W1454</f>
        <v>307200</v>
      </c>
      <c r="Z1454" s="478">
        <v>0.55000000000000004</v>
      </c>
      <c r="AA1454" s="479">
        <f>Z1454*Y1454</f>
        <v>168960</v>
      </c>
      <c r="AB1454" s="480"/>
      <c r="AC1454" s="481">
        <f>AB1454*Y1454</f>
        <v>0</v>
      </c>
      <c r="AD1454" s="490"/>
      <c r="AE1454" s="482"/>
      <c r="AF1454" s="493">
        <f>AE1454+AD1454+AA1454</f>
        <v>168960</v>
      </c>
      <c r="AG1454" s="474" t="s">
        <v>1071</v>
      </c>
      <c r="AH1454" s="474"/>
      <c r="AI1454" s="483" t="s">
        <v>2442</v>
      </c>
      <c r="AJ1454" s="474" t="s">
        <v>3245</v>
      </c>
      <c r="AK1454" s="494" t="s">
        <v>2362</v>
      </c>
      <c r="AL1454" s="474">
        <v>80915</v>
      </c>
      <c r="AM1454" s="474" t="s">
        <v>52</v>
      </c>
      <c r="AN1454" s="474" t="s">
        <v>50</v>
      </c>
      <c r="AO1454" s="474"/>
      <c r="AP1454" s="486" t="s">
        <v>38</v>
      </c>
      <c r="AQ1454" s="486" t="s">
        <v>37</v>
      </c>
      <c r="AR1454" s="486" t="s">
        <v>3227</v>
      </c>
      <c r="AS1454" s="495"/>
      <c r="AT1454" s="495"/>
      <c r="AU1454" s="478">
        <v>0.49</v>
      </c>
    </row>
    <row r="1455" spans="1:55" s="471" customFormat="1">
      <c r="A1455" s="472"/>
      <c r="B1455" s="515"/>
      <c r="C1455" s="515"/>
      <c r="D1455" s="485" t="s">
        <v>3186</v>
      </c>
      <c r="E1455" s="474"/>
      <c r="F1455" s="474"/>
      <c r="G1455" s="474">
        <v>2022</v>
      </c>
      <c r="H1455" s="474">
        <v>6</v>
      </c>
      <c r="I1455" s="474" t="s">
        <v>1676</v>
      </c>
      <c r="J1455" s="475"/>
      <c r="K1455" s="483" t="s">
        <v>3445</v>
      </c>
      <c r="L1455" s="474" t="s">
        <v>3442</v>
      </c>
      <c r="M1455" s="487">
        <v>44523</v>
      </c>
      <c r="N1455" s="487">
        <v>44523</v>
      </c>
      <c r="O1455" s="487"/>
      <c r="P1455" s="475"/>
      <c r="Q1455" s="475"/>
      <c r="R1455" s="475"/>
      <c r="S1455" s="474" t="s">
        <v>2379</v>
      </c>
      <c r="T1455" s="474">
        <v>60</v>
      </c>
      <c r="U1455" s="474">
        <v>49401140</v>
      </c>
      <c r="V1455" s="474" t="s">
        <v>985</v>
      </c>
      <c r="W1455" s="474">
        <v>400</v>
      </c>
      <c r="X1455" s="476">
        <v>768</v>
      </c>
      <c r="Y1455" s="477">
        <f>X1455*W1455</f>
        <v>307200</v>
      </c>
      <c r="Z1455" s="478">
        <v>0.51</v>
      </c>
      <c r="AA1455" s="479">
        <f>Z1455*Y1455</f>
        <v>156672</v>
      </c>
      <c r="AB1455" s="480"/>
      <c r="AC1455" s="481">
        <f>AB1455*Y1455</f>
        <v>0</v>
      </c>
      <c r="AD1455" s="490"/>
      <c r="AE1455" s="482"/>
      <c r="AF1455" s="493">
        <f>AE1455+AD1455+AA1455</f>
        <v>156672</v>
      </c>
      <c r="AG1455" s="474" t="s">
        <v>1071</v>
      </c>
      <c r="AH1455" s="474"/>
      <c r="AI1455" s="483" t="s">
        <v>2442</v>
      </c>
      <c r="AJ1455" s="474" t="s">
        <v>3443</v>
      </c>
      <c r="AK1455" s="494" t="s">
        <v>3444</v>
      </c>
      <c r="AL1455" s="474">
        <v>73108</v>
      </c>
      <c r="AM1455" s="474" t="s">
        <v>52</v>
      </c>
      <c r="AN1455" s="474" t="s">
        <v>50</v>
      </c>
      <c r="AO1455" s="474"/>
      <c r="AP1455" s="486"/>
      <c r="AQ1455" s="486" t="s">
        <v>37</v>
      </c>
      <c r="AR1455" s="486"/>
      <c r="AS1455" s="495"/>
      <c r="AT1455" s="495"/>
      <c r="AU1455" s="478">
        <v>0.51</v>
      </c>
    </row>
    <row r="1456" spans="1:55" s="471" customFormat="1">
      <c r="A1456" s="472"/>
      <c r="B1456" s="515"/>
      <c r="C1456" s="515"/>
      <c r="D1456" s="485" t="s">
        <v>3186</v>
      </c>
      <c r="E1456" s="474"/>
      <c r="F1456" s="474"/>
      <c r="G1456" s="474">
        <v>2022</v>
      </c>
      <c r="H1456" s="474">
        <v>6</v>
      </c>
      <c r="I1456" s="474"/>
      <c r="J1456" s="475"/>
      <c r="K1456" s="483" t="s">
        <v>3441</v>
      </c>
      <c r="L1456" s="474" t="s">
        <v>3442</v>
      </c>
      <c r="M1456" s="487">
        <v>44522</v>
      </c>
      <c r="N1456" s="487">
        <v>44522</v>
      </c>
      <c r="O1456" s="487"/>
      <c r="P1456" s="475"/>
      <c r="Q1456" s="475"/>
      <c r="R1456" s="475"/>
      <c r="S1456" s="474" t="s">
        <v>2379</v>
      </c>
      <c r="T1456" s="474">
        <v>60</v>
      </c>
      <c r="U1456" s="474" t="s">
        <v>1109</v>
      </c>
      <c r="V1456" s="474" t="s">
        <v>986</v>
      </c>
      <c r="W1456" s="474">
        <v>360</v>
      </c>
      <c r="X1456" s="476">
        <v>832</v>
      </c>
      <c r="Y1456" s="477">
        <f>X1456*W1456</f>
        <v>299520</v>
      </c>
      <c r="Z1456" s="478">
        <v>0.5</v>
      </c>
      <c r="AA1456" s="479">
        <f>Z1456*Y1456</f>
        <v>149760</v>
      </c>
      <c r="AB1456" s="480"/>
      <c r="AC1456" s="481">
        <f>AB1456*Y1456</f>
        <v>0</v>
      </c>
      <c r="AD1456" s="490"/>
      <c r="AE1456" s="482"/>
      <c r="AF1456" s="493">
        <f>AE1456+AD1456+AA1456</f>
        <v>149760</v>
      </c>
      <c r="AG1456" s="474" t="s">
        <v>1071</v>
      </c>
      <c r="AH1456" s="474"/>
      <c r="AI1456" s="483" t="s">
        <v>2442</v>
      </c>
      <c r="AJ1456" s="474" t="s">
        <v>3443</v>
      </c>
      <c r="AK1456" s="494" t="s">
        <v>3444</v>
      </c>
      <c r="AL1456" s="474">
        <v>73108</v>
      </c>
      <c r="AM1456" s="474" t="s">
        <v>52</v>
      </c>
      <c r="AN1456" s="474" t="s">
        <v>1109</v>
      </c>
      <c r="AO1456" s="474"/>
      <c r="AP1456" s="486"/>
      <c r="AQ1456" s="486" t="s">
        <v>37</v>
      </c>
      <c r="AR1456" s="486"/>
      <c r="AS1456" s="495"/>
      <c r="AT1456" s="495"/>
      <c r="AU1456" s="478"/>
    </row>
    <row r="1457" spans="1:55" s="471" customFormat="1">
      <c r="A1457" s="472"/>
      <c r="B1457" s="514">
        <v>44671</v>
      </c>
      <c r="C1457" s="514">
        <v>44650</v>
      </c>
      <c r="D1457" s="485" t="s">
        <v>3186</v>
      </c>
      <c r="E1457" s="474" t="s">
        <v>4845</v>
      </c>
      <c r="F1457" s="474"/>
      <c r="G1457" s="474">
        <v>2022</v>
      </c>
      <c r="H1457" s="474">
        <v>4</v>
      </c>
      <c r="I1457" s="474"/>
      <c r="J1457" s="475"/>
      <c r="K1457" s="483" t="s">
        <v>4846</v>
      </c>
      <c r="L1457" s="474" t="s">
        <v>3247</v>
      </c>
      <c r="M1457" s="487">
        <v>44650</v>
      </c>
      <c r="N1457" s="487">
        <v>44650</v>
      </c>
      <c r="O1457" s="487"/>
      <c r="P1457" s="475">
        <v>44671</v>
      </c>
      <c r="Q1457" s="475">
        <v>44680</v>
      </c>
      <c r="R1457" s="475">
        <v>44683</v>
      </c>
      <c r="S1457" s="474" t="s">
        <v>2379</v>
      </c>
      <c r="T1457" s="474">
        <v>60</v>
      </c>
      <c r="U1457" s="474" t="s">
        <v>1879</v>
      </c>
      <c r="V1457" s="474" t="s">
        <v>4847</v>
      </c>
      <c r="W1457" s="474">
        <v>405</v>
      </c>
      <c r="X1457" s="476">
        <v>4992</v>
      </c>
      <c r="Y1457" s="491">
        <f>X1457*W1457</f>
        <v>2021760</v>
      </c>
      <c r="Z1457" s="478">
        <v>0.51</v>
      </c>
      <c r="AA1457" s="492">
        <f>Z1457*Y1457</f>
        <v>1031097.6</v>
      </c>
      <c r="AB1457" s="480"/>
      <c r="AC1457" s="481">
        <f>AB1457*Y1457</f>
        <v>0</v>
      </c>
      <c r="AD1457" s="490"/>
      <c r="AE1457" s="482"/>
      <c r="AF1457" s="493">
        <f>AE1457+AD1457+AA1457</f>
        <v>1031097.6</v>
      </c>
      <c r="AG1457" s="474" t="s">
        <v>1071</v>
      </c>
      <c r="AH1457" s="474"/>
      <c r="AI1457" s="483" t="s">
        <v>2442</v>
      </c>
      <c r="AJ1457" s="474" t="s">
        <v>3248</v>
      </c>
      <c r="AK1457" s="494" t="s">
        <v>1144</v>
      </c>
      <c r="AL1457" s="474">
        <v>78503</v>
      </c>
      <c r="AM1457" s="474" t="s">
        <v>52</v>
      </c>
      <c r="AN1457" s="474" t="s">
        <v>50</v>
      </c>
      <c r="AO1457" s="474"/>
      <c r="AP1457" s="486"/>
      <c r="AQ1457" s="486" t="s">
        <v>37</v>
      </c>
      <c r="AR1457" s="486"/>
      <c r="AS1457" s="495"/>
      <c r="AT1457" s="495"/>
      <c r="AU1457" s="478">
        <v>0.52</v>
      </c>
    </row>
    <row r="1458" spans="1:55" s="471" customFormat="1">
      <c r="A1458" s="472"/>
      <c r="B1458" s="515">
        <v>44629</v>
      </c>
      <c r="C1458" s="515">
        <v>44629</v>
      </c>
      <c r="D1458" s="485" t="s">
        <v>3186</v>
      </c>
      <c r="E1458" s="474" t="s">
        <v>3215</v>
      </c>
      <c r="F1458" s="474"/>
      <c r="G1458" s="474">
        <v>2022</v>
      </c>
      <c r="H1458" s="474">
        <v>6</v>
      </c>
      <c r="I1458" s="474" t="s">
        <v>1676</v>
      </c>
      <c r="J1458" s="475"/>
      <c r="K1458" s="518" t="s">
        <v>3630</v>
      </c>
      <c r="L1458" s="519" t="s">
        <v>3247</v>
      </c>
      <c r="M1458" s="520">
        <v>44504</v>
      </c>
      <c r="N1458" s="520">
        <v>44564</v>
      </c>
      <c r="O1458" s="520"/>
      <c r="P1458" s="521"/>
      <c r="Q1458" s="521"/>
      <c r="R1458" s="521"/>
      <c r="S1458" s="519" t="s">
        <v>2379</v>
      </c>
      <c r="T1458" s="519">
        <v>60</v>
      </c>
      <c r="U1458" s="519">
        <v>49401140</v>
      </c>
      <c r="V1458" s="519" t="s">
        <v>973</v>
      </c>
      <c r="W1458" s="519">
        <v>400</v>
      </c>
      <c r="X1458" s="522">
        <v>5760</v>
      </c>
      <c r="Y1458" s="477">
        <f>X1458*W1458</f>
        <v>2304000</v>
      </c>
      <c r="Z1458" s="478">
        <v>0.55000000000000004</v>
      </c>
      <c r="AA1458" s="492">
        <f>Z1458*Y1458</f>
        <v>1267200</v>
      </c>
      <c r="AB1458" s="480"/>
      <c r="AC1458" s="481">
        <f>AB1458*Y1458</f>
        <v>0</v>
      </c>
      <c r="AD1458" s="490"/>
      <c r="AE1458" s="482"/>
      <c r="AF1458" s="493">
        <f>AE1458+AD1458+AA1458</f>
        <v>1267200</v>
      </c>
      <c r="AG1458" s="474" t="s">
        <v>1071</v>
      </c>
      <c r="AH1458" s="474"/>
      <c r="AI1458" s="483" t="s">
        <v>2442</v>
      </c>
      <c r="AJ1458" s="474" t="s">
        <v>3248</v>
      </c>
      <c r="AK1458" s="494" t="s">
        <v>1144</v>
      </c>
      <c r="AL1458" s="474">
        <v>78503</v>
      </c>
      <c r="AM1458" s="474" t="s">
        <v>52</v>
      </c>
      <c r="AN1458" s="474" t="s">
        <v>1074</v>
      </c>
      <c r="AO1458" s="474"/>
      <c r="AP1458" s="486"/>
      <c r="AQ1458" s="486"/>
      <c r="AR1458" s="486" t="s">
        <v>3236</v>
      </c>
      <c r="AS1458" s="495"/>
      <c r="AT1458" s="495"/>
      <c r="AU1458" s="478">
        <v>0.52</v>
      </c>
    </row>
    <row r="1459" spans="1:55" s="471" customFormat="1">
      <c r="A1459" s="472">
        <v>10</v>
      </c>
      <c r="B1459" s="515">
        <v>44629</v>
      </c>
      <c r="C1459" s="515">
        <v>44629</v>
      </c>
      <c r="D1459" s="485" t="s">
        <v>3186</v>
      </c>
      <c r="E1459" s="474" t="s">
        <v>3215</v>
      </c>
      <c r="F1459" s="474"/>
      <c r="G1459" s="474">
        <v>2022</v>
      </c>
      <c r="H1459" s="474">
        <v>3</v>
      </c>
      <c r="I1459" s="474">
        <v>127603</v>
      </c>
      <c r="J1459" s="475">
        <v>44648</v>
      </c>
      <c r="K1459" s="483" t="s">
        <v>3246</v>
      </c>
      <c r="L1459" s="474" t="s">
        <v>3247</v>
      </c>
      <c r="M1459" s="487">
        <v>44504</v>
      </c>
      <c r="N1459" s="487">
        <v>44564</v>
      </c>
      <c r="O1459" s="487"/>
      <c r="P1459" s="475">
        <v>44630</v>
      </c>
      <c r="Q1459" s="475">
        <v>44645</v>
      </c>
      <c r="R1459" s="475">
        <v>44648</v>
      </c>
      <c r="S1459" s="474" t="s">
        <v>2379</v>
      </c>
      <c r="T1459" s="474">
        <v>60</v>
      </c>
      <c r="U1459" s="474" t="s">
        <v>1760</v>
      </c>
      <c r="V1459" s="474" t="s">
        <v>973</v>
      </c>
      <c r="W1459" s="474">
        <v>400</v>
      </c>
      <c r="X1459" s="476">
        <v>640</v>
      </c>
      <c r="Y1459" s="477">
        <f>X1459*W1459</f>
        <v>256000</v>
      </c>
      <c r="Z1459" s="478">
        <v>0.55000000000000004</v>
      </c>
      <c r="AA1459" s="479">
        <f>Z1459*Y1459</f>
        <v>140800</v>
      </c>
      <c r="AB1459" s="480"/>
      <c r="AC1459" s="481">
        <f>AB1459*Y1459</f>
        <v>0</v>
      </c>
      <c r="AD1459" s="490"/>
      <c r="AE1459" s="482"/>
      <c r="AF1459" s="493">
        <f>AE1459+AD1459+AA1459</f>
        <v>140800</v>
      </c>
      <c r="AG1459" s="474" t="s">
        <v>1071</v>
      </c>
      <c r="AH1459" s="474"/>
      <c r="AI1459" s="483" t="s">
        <v>2442</v>
      </c>
      <c r="AJ1459" s="474" t="s">
        <v>3248</v>
      </c>
      <c r="AK1459" s="494" t="s">
        <v>1144</v>
      </c>
      <c r="AL1459" s="474">
        <v>78503</v>
      </c>
      <c r="AM1459" s="474" t="s">
        <v>52</v>
      </c>
      <c r="AN1459" s="474" t="s">
        <v>50</v>
      </c>
      <c r="AO1459" s="474"/>
      <c r="AP1459" s="486" t="s">
        <v>38</v>
      </c>
      <c r="AQ1459" s="486" t="s">
        <v>37</v>
      </c>
      <c r="AR1459" s="486" t="s">
        <v>3236</v>
      </c>
      <c r="AS1459" s="495"/>
      <c r="AT1459" s="495"/>
      <c r="AU1459" s="478">
        <v>0.52</v>
      </c>
    </row>
    <row r="1460" spans="1:55" s="471" customFormat="1">
      <c r="A1460" s="472">
        <v>10</v>
      </c>
      <c r="B1460" s="515">
        <v>44629</v>
      </c>
      <c r="C1460" s="515">
        <v>44629</v>
      </c>
      <c r="D1460" s="485" t="s">
        <v>3186</v>
      </c>
      <c r="E1460" s="474" t="s">
        <v>3215</v>
      </c>
      <c r="F1460" s="474"/>
      <c r="G1460" s="474">
        <v>2022</v>
      </c>
      <c r="H1460" s="474">
        <v>3</v>
      </c>
      <c r="I1460" s="474">
        <v>127603</v>
      </c>
      <c r="J1460" s="475">
        <v>44648</v>
      </c>
      <c r="K1460" s="483" t="s">
        <v>3246</v>
      </c>
      <c r="L1460" s="474" t="s">
        <v>3247</v>
      </c>
      <c r="M1460" s="487">
        <v>44504</v>
      </c>
      <c r="N1460" s="487">
        <v>44564</v>
      </c>
      <c r="O1460" s="487"/>
      <c r="P1460" s="475">
        <v>44630</v>
      </c>
      <c r="Q1460" s="475">
        <v>44648</v>
      </c>
      <c r="R1460" s="475">
        <v>44651</v>
      </c>
      <c r="S1460" s="474" t="s">
        <v>2379</v>
      </c>
      <c r="T1460" s="474">
        <v>60</v>
      </c>
      <c r="U1460" s="474" t="s">
        <v>1281</v>
      </c>
      <c r="V1460" s="474" t="s">
        <v>973</v>
      </c>
      <c r="W1460" s="474">
        <v>400</v>
      </c>
      <c r="X1460" s="476">
        <v>640</v>
      </c>
      <c r="Y1460" s="477">
        <f>X1460*W1460</f>
        <v>256000</v>
      </c>
      <c r="Z1460" s="478">
        <v>0.55000000000000004</v>
      </c>
      <c r="AA1460" s="479">
        <f>Z1460*Y1460</f>
        <v>140800</v>
      </c>
      <c r="AB1460" s="480"/>
      <c r="AC1460" s="481">
        <f>AB1460*Y1460</f>
        <v>0</v>
      </c>
      <c r="AD1460" s="490"/>
      <c r="AE1460" s="482"/>
      <c r="AF1460" s="493">
        <f>AE1460+AD1460+AA1460</f>
        <v>140800</v>
      </c>
      <c r="AG1460" s="474" t="s">
        <v>1071</v>
      </c>
      <c r="AH1460" s="474"/>
      <c r="AI1460" s="483" t="s">
        <v>2442</v>
      </c>
      <c r="AJ1460" s="474" t="s">
        <v>3248</v>
      </c>
      <c r="AK1460" s="494" t="s">
        <v>1144</v>
      </c>
      <c r="AL1460" s="474">
        <v>78503</v>
      </c>
      <c r="AM1460" s="474" t="s">
        <v>52</v>
      </c>
      <c r="AN1460" s="474" t="s">
        <v>50</v>
      </c>
      <c r="AO1460" s="474"/>
      <c r="AP1460" s="486" t="s">
        <v>38</v>
      </c>
      <c r="AQ1460" s="486" t="s">
        <v>37</v>
      </c>
      <c r="AR1460" s="486" t="s">
        <v>3236</v>
      </c>
      <c r="AS1460" s="495"/>
      <c r="AT1460" s="495"/>
      <c r="AU1460" s="478">
        <v>0.52</v>
      </c>
    </row>
    <row r="1461" spans="1:55" s="471" customFormat="1">
      <c r="A1461" s="472"/>
      <c r="B1461" s="515">
        <v>44620</v>
      </c>
      <c r="C1461" s="515">
        <v>44617</v>
      </c>
      <c r="D1461" s="485" t="s">
        <v>3186</v>
      </c>
      <c r="E1461" s="474" t="s">
        <v>3215</v>
      </c>
      <c r="F1461" s="474"/>
      <c r="G1461" s="474">
        <v>2022</v>
      </c>
      <c r="H1461" s="474">
        <v>5</v>
      </c>
      <c r="I1461" s="474"/>
      <c r="J1461" s="475"/>
      <c r="K1461" s="483" t="s">
        <v>3393</v>
      </c>
      <c r="L1461" s="474" t="s">
        <v>3332</v>
      </c>
      <c r="M1461" s="487">
        <v>44503</v>
      </c>
      <c r="N1461" s="487">
        <v>44595</v>
      </c>
      <c r="O1461" s="487" t="s">
        <v>1280</v>
      </c>
      <c r="P1461" s="475"/>
      <c r="Q1461" s="475"/>
      <c r="R1461" s="475"/>
      <c r="S1461" s="474" t="s">
        <v>2379</v>
      </c>
      <c r="T1461" s="474">
        <v>60</v>
      </c>
      <c r="U1461" s="474">
        <v>49403140</v>
      </c>
      <c r="V1461" s="474" t="s">
        <v>973</v>
      </c>
      <c r="W1461" s="474">
        <v>400</v>
      </c>
      <c r="X1461" s="476">
        <f>3840-768</f>
        <v>3072</v>
      </c>
      <c r="Y1461" s="544">
        <f>X1461*W1461</f>
        <v>1228800</v>
      </c>
      <c r="Z1461" s="478">
        <v>0.55000000000000004</v>
      </c>
      <c r="AA1461" s="479">
        <f>Z1461*Y1461</f>
        <v>675840</v>
      </c>
      <c r="AB1461" s="480"/>
      <c r="AC1461" s="481">
        <f>AB1461*Y1461</f>
        <v>0</v>
      </c>
      <c r="AD1461" s="490"/>
      <c r="AE1461" s="482"/>
      <c r="AF1461" s="493">
        <f>AE1461+AD1461+AA1461</f>
        <v>675840</v>
      </c>
      <c r="AG1461" s="474" t="s">
        <v>1071</v>
      </c>
      <c r="AH1461" s="474"/>
      <c r="AI1461" s="483" t="s">
        <v>2442</v>
      </c>
      <c r="AJ1461" s="474" t="s">
        <v>3333</v>
      </c>
      <c r="AK1461" s="494" t="s">
        <v>1144</v>
      </c>
      <c r="AL1461" s="474">
        <v>79423</v>
      </c>
      <c r="AM1461" s="474" t="s">
        <v>52</v>
      </c>
      <c r="AN1461" s="474" t="s">
        <v>1074</v>
      </c>
      <c r="AO1461" s="474"/>
      <c r="AP1461" s="486"/>
      <c r="AQ1461" s="486" t="s">
        <v>37</v>
      </c>
      <c r="AR1461" s="486" t="s">
        <v>1677</v>
      </c>
      <c r="AS1461" s="495"/>
      <c r="AT1461" s="495"/>
      <c r="AU1461" s="478">
        <v>0.45500000000000002</v>
      </c>
    </row>
    <row r="1462" spans="1:55" s="471" customFormat="1">
      <c r="A1462" s="472"/>
      <c r="B1462" s="515">
        <v>44620</v>
      </c>
      <c r="C1462" s="515">
        <v>44617</v>
      </c>
      <c r="D1462" s="485" t="s">
        <v>3186</v>
      </c>
      <c r="E1462" s="474" t="s">
        <v>3215</v>
      </c>
      <c r="F1462" s="474"/>
      <c r="G1462" s="474">
        <v>2022</v>
      </c>
      <c r="H1462" s="474">
        <v>4</v>
      </c>
      <c r="I1462" s="474"/>
      <c r="J1462" s="475" t="s">
        <v>5643</v>
      </c>
      <c r="K1462" s="611" t="s">
        <v>3331</v>
      </c>
      <c r="L1462" s="404" t="s">
        <v>3332</v>
      </c>
      <c r="M1462" s="612">
        <v>44503</v>
      </c>
      <c r="N1462" s="612">
        <v>44595</v>
      </c>
      <c r="O1462" s="612" t="s">
        <v>1280</v>
      </c>
      <c r="P1462" s="345">
        <v>44666</v>
      </c>
      <c r="Q1462" s="475"/>
      <c r="R1462" s="475"/>
      <c r="S1462" s="474" t="s">
        <v>2379</v>
      </c>
      <c r="T1462" s="474">
        <v>60</v>
      </c>
      <c r="U1462" s="474" t="s">
        <v>1281</v>
      </c>
      <c r="V1462" s="474" t="s">
        <v>973</v>
      </c>
      <c r="W1462" s="474">
        <v>400</v>
      </c>
      <c r="X1462" s="476">
        <v>768</v>
      </c>
      <c r="Y1462" s="491">
        <f>X1462*W1462</f>
        <v>307200</v>
      </c>
      <c r="Z1462" s="478">
        <v>0.55000000000000004</v>
      </c>
      <c r="AA1462" s="479">
        <f>Z1462*Y1462</f>
        <v>168960</v>
      </c>
      <c r="AB1462" s="480"/>
      <c r="AC1462" s="481">
        <f>AB1462*Y1462</f>
        <v>0</v>
      </c>
      <c r="AD1462" s="490"/>
      <c r="AE1462" s="482"/>
      <c r="AF1462" s="493">
        <f>AE1462+AD1462+AA1462</f>
        <v>168960</v>
      </c>
      <c r="AG1462" s="474" t="s">
        <v>1071</v>
      </c>
      <c r="AH1462" s="474"/>
      <c r="AI1462" s="483" t="s">
        <v>2442</v>
      </c>
      <c r="AJ1462" s="474" t="s">
        <v>3333</v>
      </c>
      <c r="AK1462" s="494" t="s">
        <v>1144</v>
      </c>
      <c r="AL1462" s="474">
        <v>79423</v>
      </c>
      <c r="AM1462" s="474" t="s">
        <v>52</v>
      </c>
      <c r="AN1462" s="474" t="s">
        <v>50</v>
      </c>
      <c r="AO1462" s="474"/>
      <c r="AP1462" s="486"/>
      <c r="AQ1462" s="486" t="s">
        <v>37</v>
      </c>
      <c r="AR1462" s="486" t="s">
        <v>1677</v>
      </c>
      <c r="AS1462" s="495"/>
      <c r="AT1462" s="495"/>
      <c r="AU1462" s="478">
        <v>0.45500000000000002</v>
      </c>
    </row>
    <row r="1463" spans="1:55" s="471" customFormat="1">
      <c r="A1463" s="472">
        <v>10</v>
      </c>
      <c r="B1463" s="515">
        <v>44601</v>
      </c>
      <c r="C1463" s="515">
        <v>44601</v>
      </c>
      <c r="D1463" s="485" t="s">
        <v>3186</v>
      </c>
      <c r="E1463" s="474"/>
      <c r="F1463" s="474"/>
      <c r="G1463" s="474">
        <v>2022</v>
      </c>
      <c r="H1463" s="474">
        <v>3</v>
      </c>
      <c r="I1463" s="474">
        <v>127607</v>
      </c>
      <c r="J1463" s="475">
        <v>44670</v>
      </c>
      <c r="K1463" s="483" t="s">
        <v>3319</v>
      </c>
      <c r="L1463" s="474" t="s">
        <v>3320</v>
      </c>
      <c r="M1463" s="487">
        <v>44502</v>
      </c>
      <c r="N1463" s="487">
        <v>44564</v>
      </c>
      <c r="O1463" s="487"/>
      <c r="P1463" s="475">
        <v>44629</v>
      </c>
      <c r="Q1463" s="475">
        <v>44650</v>
      </c>
      <c r="R1463" s="475">
        <v>44652</v>
      </c>
      <c r="S1463" s="474" t="s">
        <v>2379</v>
      </c>
      <c r="T1463" s="474">
        <v>60</v>
      </c>
      <c r="U1463" s="474" t="s">
        <v>1760</v>
      </c>
      <c r="V1463" s="474" t="s">
        <v>973</v>
      </c>
      <c r="W1463" s="474">
        <v>400</v>
      </c>
      <c r="X1463" s="476">
        <v>768</v>
      </c>
      <c r="Y1463" s="477">
        <f>X1463*W1463</f>
        <v>307200</v>
      </c>
      <c r="Z1463" s="478">
        <v>0.55000000000000004</v>
      </c>
      <c r="AA1463" s="479">
        <f>Z1463*Y1463</f>
        <v>168960</v>
      </c>
      <c r="AB1463" s="480"/>
      <c r="AC1463" s="481">
        <f>AB1463*Y1463</f>
        <v>0</v>
      </c>
      <c r="AD1463" s="490"/>
      <c r="AE1463" s="482"/>
      <c r="AF1463" s="493">
        <f>AE1463+AD1463+AA1463</f>
        <v>168960</v>
      </c>
      <c r="AG1463" s="474" t="s">
        <v>1071</v>
      </c>
      <c r="AH1463" s="474"/>
      <c r="AI1463" s="483" t="s">
        <v>2442</v>
      </c>
      <c r="AJ1463" s="474" t="s">
        <v>3321</v>
      </c>
      <c r="AK1463" s="494" t="s">
        <v>1144</v>
      </c>
      <c r="AL1463" s="474">
        <v>79423</v>
      </c>
      <c r="AM1463" s="474" t="s">
        <v>52</v>
      </c>
      <c r="AN1463" s="474" t="s">
        <v>50</v>
      </c>
      <c r="AO1463" s="474"/>
      <c r="AP1463" s="486" t="s">
        <v>38</v>
      </c>
      <c r="AQ1463" s="486"/>
      <c r="AR1463" s="486"/>
      <c r="AS1463" s="495"/>
      <c r="AT1463" s="495"/>
      <c r="AU1463" s="478"/>
    </row>
    <row r="1464" spans="1:55" s="471" customFormat="1">
      <c r="A1464" s="472"/>
      <c r="B1464" s="514">
        <v>44664</v>
      </c>
      <c r="C1464" s="514">
        <v>44664</v>
      </c>
      <c r="D1464" s="485" t="s">
        <v>3186</v>
      </c>
      <c r="E1464" s="474" t="s">
        <v>3356</v>
      </c>
      <c r="F1464" s="474"/>
      <c r="G1464" s="474">
        <v>2022</v>
      </c>
      <c r="H1464" s="474"/>
      <c r="I1464" s="474" t="s">
        <v>1676</v>
      </c>
      <c r="J1464" s="475"/>
      <c r="K1464" s="483" t="s">
        <v>3395</v>
      </c>
      <c r="L1464" s="474" t="s">
        <v>3332</v>
      </c>
      <c r="M1464" s="487">
        <v>44657</v>
      </c>
      <c r="N1464" s="487">
        <v>44682</v>
      </c>
      <c r="O1464" s="487"/>
      <c r="P1464" s="475"/>
      <c r="Q1464" s="475"/>
      <c r="R1464" s="475"/>
      <c r="S1464" s="474" t="s">
        <v>2379</v>
      </c>
      <c r="T1464" s="474">
        <v>60</v>
      </c>
      <c r="U1464" s="474"/>
      <c r="V1464" s="474" t="s">
        <v>973</v>
      </c>
      <c r="W1464" s="474">
        <v>400</v>
      </c>
      <c r="X1464" s="476">
        <v>5376</v>
      </c>
      <c r="Y1464" s="491">
        <f>X1464*W1464</f>
        <v>2150400</v>
      </c>
      <c r="Z1464" s="478">
        <v>0.55000000000000004</v>
      </c>
      <c r="AA1464" s="492">
        <f>Z1464*Y1464</f>
        <v>1182720</v>
      </c>
      <c r="AB1464" s="480"/>
      <c r="AC1464" s="481">
        <f>AB1464*Y1464</f>
        <v>0</v>
      </c>
      <c r="AD1464" s="490"/>
      <c r="AE1464" s="482"/>
      <c r="AF1464" s="493">
        <f>AE1464+AD1464+AA1464</f>
        <v>1182720</v>
      </c>
      <c r="AG1464" s="474" t="s">
        <v>1071</v>
      </c>
      <c r="AH1464" s="474"/>
      <c r="AI1464" s="483" t="s">
        <v>2442</v>
      </c>
      <c r="AJ1464" s="474" t="s">
        <v>3333</v>
      </c>
      <c r="AK1464" s="494" t="s">
        <v>1144</v>
      </c>
      <c r="AL1464" s="474">
        <v>79423</v>
      </c>
      <c r="AM1464" s="474" t="s">
        <v>52</v>
      </c>
      <c r="AN1464" s="474"/>
      <c r="AO1464" s="474"/>
      <c r="AP1464" s="486"/>
      <c r="AQ1464" s="486" t="s">
        <v>37</v>
      </c>
      <c r="AR1464" s="486"/>
      <c r="AS1464" s="495"/>
      <c r="AT1464" s="495"/>
      <c r="AU1464" s="506">
        <v>0.45500000000000002</v>
      </c>
      <c r="AV1464" s="471">
        <f t="shared" ref="AV1464:AV1495" si="264">U1464</f>
        <v>0</v>
      </c>
      <c r="AW1464" s="471" cm="1">
        <f t="array" ref="AW1464">SUM(MID(0&amp;AV1464,LARGE(INDEX(ISNUMBER(--MID(AV1464,ROW($1:$8),1))*ROW($1:$8),),ROW($1:$8))+1,1)*10^ROW($1:$8)/10)</f>
        <v>0</v>
      </c>
      <c r="AX1464" s="471" t="e">
        <f>VLOOKUP($AW1464,'Item Master Data'!$A:$F,3,FALSE)</f>
        <v>#N/A</v>
      </c>
      <c r="AY1464" s="471" t="e">
        <f>VLOOKUP($AW1464,'Item Master Data'!$A:$F,6,FALSE)</f>
        <v>#N/A</v>
      </c>
      <c r="AZ1464" s="471" t="e">
        <f t="shared" ref="AZ1464:AZ1495" si="265">X1464/BA1464</f>
        <v>#N/A</v>
      </c>
      <c r="BA1464" s="471" t="e">
        <f>VLOOKUP(AW1464,'Item Master Data'!$A:$G,7,FALSE)</f>
        <v>#N/A</v>
      </c>
      <c r="BC1464" s="471" t="e">
        <f t="shared" ref="BC1464:BC1495" si="266">W1464-AY1464</f>
        <v>#N/A</v>
      </c>
    </row>
    <row r="1465" spans="1:55" s="471" customFormat="1">
      <c r="A1465" s="472"/>
      <c r="B1465" s="514">
        <v>44664</v>
      </c>
      <c r="C1465" s="514">
        <v>44664</v>
      </c>
      <c r="D1465" s="485" t="s">
        <v>3186</v>
      </c>
      <c r="E1465" s="474" t="s">
        <v>3356</v>
      </c>
      <c r="F1465" s="474"/>
      <c r="G1465" s="474">
        <v>2022</v>
      </c>
      <c r="H1465" s="474"/>
      <c r="I1465" s="474" t="s">
        <v>1676</v>
      </c>
      <c r="J1465" s="475"/>
      <c r="K1465" s="483" t="s">
        <v>3394</v>
      </c>
      <c r="L1465" s="474" t="s">
        <v>3332</v>
      </c>
      <c r="M1465" s="487">
        <v>44657</v>
      </c>
      <c r="N1465" s="487">
        <v>44652</v>
      </c>
      <c r="O1465" s="487"/>
      <c r="P1465" s="475"/>
      <c r="Q1465" s="475"/>
      <c r="R1465" s="475"/>
      <c r="S1465" s="474" t="s">
        <v>2379</v>
      </c>
      <c r="T1465" s="474">
        <v>60</v>
      </c>
      <c r="U1465" s="474"/>
      <c r="V1465" s="474" t="s">
        <v>973</v>
      </c>
      <c r="W1465" s="474">
        <v>400</v>
      </c>
      <c r="X1465" s="476">
        <v>5376</v>
      </c>
      <c r="Y1465" s="491">
        <f>X1465*W1465</f>
        <v>2150400</v>
      </c>
      <c r="Z1465" s="478">
        <v>0.55000000000000004</v>
      </c>
      <c r="AA1465" s="492">
        <f>Z1465*Y1465</f>
        <v>1182720</v>
      </c>
      <c r="AB1465" s="480"/>
      <c r="AC1465" s="481">
        <f>AB1465*Y1465</f>
        <v>0</v>
      </c>
      <c r="AD1465" s="490"/>
      <c r="AE1465" s="482"/>
      <c r="AF1465" s="493">
        <f>AE1465+AD1465+AA1465</f>
        <v>1182720</v>
      </c>
      <c r="AG1465" s="474" t="s">
        <v>1071</v>
      </c>
      <c r="AH1465" s="474"/>
      <c r="AI1465" s="483" t="s">
        <v>2442</v>
      </c>
      <c r="AJ1465" s="474" t="s">
        <v>3333</v>
      </c>
      <c r="AK1465" s="494" t="s">
        <v>1144</v>
      </c>
      <c r="AL1465" s="474">
        <v>79423</v>
      </c>
      <c r="AM1465" s="474" t="s">
        <v>52</v>
      </c>
      <c r="AN1465" s="474"/>
      <c r="AO1465" s="474"/>
      <c r="AP1465" s="486"/>
      <c r="AQ1465" s="486" t="s">
        <v>37</v>
      </c>
      <c r="AR1465" s="486"/>
      <c r="AS1465" s="495"/>
      <c r="AT1465" s="495"/>
      <c r="AU1465" s="506">
        <v>0.45500000000000002</v>
      </c>
      <c r="AV1465" s="471">
        <f t="shared" si="264"/>
        <v>0</v>
      </c>
      <c r="AW1465" s="471" cm="1">
        <f t="array" ref="AW1465">SUM(MID(0&amp;AV1465,LARGE(INDEX(ISNUMBER(--MID(AV1465,ROW($1:$8),1))*ROW($1:$8),),ROW($1:$8))+1,1)*10^ROW($1:$8)/10)</f>
        <v>0</v>
      </c>
      <c r="AX1465" s="471" t="e">
        <f>VLOOKUP($AW1465,'Item Master Data'!$A:$F,3,FALSE)</f>
        <v>#N/A</v>
      </c>
      <c r="AY1465" s="471" t="e">
        <f>VLOOKUP($AW1465,'Item Master Data'!$A:$F,6,FALSE)</f>
        <v>#N/A</v>
      </c>
      <c r="AZ1465" s="471" t="e">
        <f t="shared" si="265"/>
        <v>#N/A</v>
      </c>
      <c r="BA1465" s="471" t="e">
        <f>VLOOKUP(AW1465,'Item Master Data'!$A:$G,7,FALSE)</f>
        <v>#N/A</v>
      </c>
      <c r="BC1465" s="471" t="e">
        <f t="shared" si="266"/>
        <v>#N/A</v>
      </c>
    </row>
    <row r="1466" spans="1:55" s="471" customFormat="1">
      <c r="A1466" s="472"/>
      <c r="B1466" s="515"/>
      <c r="C1466" s="515"/>
      <c r="D1466" s="485" t="s">
        <v>3186</v>
      </c>
      <c r="E1466" s="474" t="s">
        <v>3215</v>
      </c>
      <c r="F1466" s="474"/>
      <c r="G1466" s="539">
        <v>2022</v>
      </c>
      <c r="H1466" s="539">
        <v>5</v>
      </c>
      <c r="I1466" s="539"/>
      <c r="J1466" s="540"/>
      <c r="K1466" s="541" t="s">
        <v>3615</v>
      </c>
      <c r="L1466" s="539" t="s">
        <v>2364</v>
      </c>
      <c r="M1466" s="542">
        <v>44504</v>
      </c>
      <c r="N1466" s="542">
        <v>44627</v>
      </c>
      <c r="O1466" s="542"/>
      <c r="P1466" s="540"/>
      <c r="Q1466" s="540"/>
      <c r="R1466" s="540"/>
      <c r="S1466" s="539" t="s">
        <v>2379</v>
      </c>
      <c r="T1466" s="539">
        <v>60</v>
      </c>
      <c r="U1466" s="539">
        <v>49401140</v>
      </c>
      <c r="V1466" s="539" t="s">
        <v>973</v>
      </c>
      <c r="W1466" s="539">
        <v>400</v>
      </c>
      <c r="X1466" s="543">
        <v>832</v>
      </c>
      <c r="Y1466" s="477">
        <f>X1466*W1466</f>
        <v>332800</v>
      </c>
      <c r="Z1466" s="478">
        <v>0.55000000000000004</v>
      </c>
      <c r="AA1466" s="479">
        <f>Z1466*Y1466</f>
        <v>183040.00000000003</v>
      </c>
      <c r="AB1466" s="480"/>
      <c r="AC1466" s="481">
        <f>AB1466*Y1466</f>
        <v>0</v>
      </c>
      <c r="AD1466" s="490"/>
      <c r="AE1466" s="482"/>
      <c r="AF1466" s="493">
        <f>AE1466+AD1466+AA1466</f>
        <v>183040.00000000003</v>
      </c>
      <c r="AG1466" s="474" t="s">
        <v>1071</v>
      </c>
      <c r="AH1466" s="474"/>
      <c r="AI1466" s="483">
        <v>60</v>
      </c>
      <c r="AJ1466" s="474" t="s">
        <v>2366</v>
      </c>
      <c r="AK1466" s="494" t="s">
        <v>1395</v>
      </c>
      <c r="AL1466" s="474">
        <v>89118</v>
      </c>
      <c r="AM1466" s="474" t="s">
        <v>52</v>
      </c>
      <c r="AN1466" s="474"/>
      <c r="AO1466" s="474"/>
      <c r="AP1466" s="486"/>
      <c r="AQ1466" s="486"/>
      <c r="AR1466" s="486" t="s">
        <v>3330</v>
      </c>
      <c r="AS1466" s="495"/>
      <c r="AT1466" s="495"/>
      <c r="AU1466" s="478">
        <v>0.52</v>
      </c>
      <c r="AV1466" s="471">
        <f t="shared" si="264"/>
        <v>49401140</v>
      </c>
      <c r="AW1466" s="471" cm="1">
        <f t="array" ref="AW1466">SUM(MID(0&amp;AV1466,LARGE(INDEX(ISNUMBER(--MID(AV1466,ROW($1:$8),1))*ROW($1:$8),),ROW($1:$8))+1,1)*10^ROW($1:$8)/10)</f>
        <v>49401140</v>
      </c>
      <c r="AX1466" s="471" t="str">
        <f>VLOOKUP($AW1466,'Item Master Data'!$A:$F,3,FALSE)</f>
        <v>Q.PEAK DUO BLK ML G10.a+</v>
      </c>
      <c r="AY1466" s="471">
        <f>VLOOKUP($AW1466,'Item Master Data'!$A:$F,6,FALSE)</f>
        <v>400</v>
      </c>
      <c r="AZ1466" s="471">
        <f t="shared" si="265"/>
        <v>26</v>
      </c>
      <c r="BA1466" s="471">
        <f>VLOOKUP(AW1466,'Item Master Data'!$A:$G,7,FALSE)</f>
        <v>32</v>
      </c>
      <c r="BC1466" s="471">
        <f t="shared" si="266"/>
        <v>0</v>
      </c>
    </row>
    <row r="1467" spans="1:55" s="471" customFormat="1">
      <c r="A1467" s="472"/>
      <c r="B1467" s="515"/>
      <c r="C1467" s="515"/>
      <c r="D1467" s="485" t="s">
        <v>3186</v>
      </c>
      <c r="E1467" s="474" t="s">
        <v>3215</v>
      </c>
      <c r="F1467" s="474"/>
      <c r="G1467" s="539">
        <v>2022</v>
      </c>
      <c r="H1467" s="539">
        <v>5</v>
      </c>
      <c r="I1467" s="539"/>
      <c r="J1467" s="540"/>
      <c r="K1467" s="541" t="s">
        <v>3614</v>
      </c>
      <c r="L1467" s="539" t="s">
        <v>2364</v>
      </c>
      <c r="M1467" s="542">
        <v>44504</v>
      </c>
      <c r="N1467" s="542">
        <v>44599</v>
      </c>
      <c r="O1467" s="542"/>
      <c r="P1467" s="540"/>
      <c r="Q1467" s="540"/>
      <c r="R1467" s="540"/>
      <c r="S1467" s="539" t="s">
        <v>2379</v>
      </c>
      <c r="T1467" s="539">
        <v>60</v>
      </c>
      <c r="U1467" s="539">
        <v>49401140</v>
      </c>
      <c r="V1467" s="539" t="s">
        <v>973</v>
      </c>
      <c r="W1467" s="539">
        <v>400</v>
      </c>
      <c r="X1467" s="543">
        <v>832</v>
      </c>
      <c r="Y1467" s="477">
        <f>X1467*W1467</f>
        <v>332800</v>
      </c>
      <c r="Z1467" s="478">
        <v>0.55000000000000004</v>
      </c>
      <c r="AA1467" s="479">
        <f>Z1467*Y1467</f>
        <v>183040.00000000003</v>
      </c>
      <c r="AB1467" s="480"/>
      <c r="AC1467" s="481">
        <f>AB1467*Y1467</f>
        <v>0</v>
      </c>
      <c r="AD1467" s="490"/>
      <c r="AE1467" s="482"/>
      <c r="AF1467" s="493">
        <f>AE1467+AD1467+AA1467</f>
        <v>183040.00000000003</v>
      </c>
      <c r="AG1467" s="474" t="s">
        <v>1071</v>
      </c>
      <c r="AH1467" s="474"/>
      <c r="AI1467" s="483">
        <v>60</v>
      </c>
      <c r="AJ1467" s="474" t="s">
        <v>2366</v>
      </c>
      <c r="AK1467" s="494" t="s">
        <v>1395</v>
      </c>
      <c r="AL1467" s="474">
        <v>89118</v>
      </c>
      <c r="AM1467" s="474" t="s">
        <v>52</v>
      </c>
      <c r="AN1467" s="474"/>
      <c r="AO1467" s="474"/>
      <c r="AP1467" s="486"/>
      <c r="AQ1467" s="486"/>
      <c r="AR1467" s="486" t="s">
        <v>3330</v>
      </c>
      <c r="AS1467" s="495"/>
      <c r="AT1467" s="495"/>
      <c r="AU1467" s="478">
        <v>0.52</v>
      </c>
      <c r="AV1467" s="471">
        <f t="shared" si="264"/>
        <v>49401140</v>
      </c>
      <c r="AW1467" s="471" cm="1">
        <f t="array" ref="AW1467">SUM(MID(0&amp;AV1467,LARGE(INDEX(ISNUMBER(--MID(AV1467,ROW($1:$8),1))*ROW($1:$8),),ROW($1:$8))+1,1)*10^ROW($1:$8)/10)</f>
        <v>49401140</v>
      </c>
      <c r="AX1467" s="471" t="str">
        <f>VLOOKUP($AW1467,'Item Master Data'!$A:$F,3,FALSE)</f>
        <v>Q.PEAK DUO BLK ML G10.a+</v>
      </c>
      <c r="AY1467" s="471">
        <f>VLOOKUP($AW1467,'Item Master Data'!$A:$F,6,FALSE)</f>
        <v>400</v>
      </c>
      <c r="AZ1467" s="471">
        <f t="shared" si="265"/>
        <v>26</v>
      </c>
      <c r="BA1467" s="471">
        <f>VLOOKUP(AW1467,'Item Master Data'!$A:$G,7,FALSE)</f>
        <v>32</v>
      </c>
      <c r="BC1467" s="471">
        <f t="shared" si="266"/>
        <v>0</v>
      </c>
    </row>
    <row r="1468" spans="1:55" s="471" customFormat="1">
      <c r="A1468" s="472"/>
      <c r="B1468" s="515">
        <v>44665</v>
      </c>
      <c r="C1468" s="515">
        <v>44665</v>
      </c>
      <c r="D1468" s="485" t="s">
        <v>3186</v>
      </c>
      <c r="E1468" s="474" t="s">
        <v>3215</v>
      </c>
      <c r="F1468" s="474"/>
      <c r="G1468" s="474">
        <v>2022</v>
      </c>
      <c r="H1468" s="474">
        <v>4</v>
      </c>
      <c r="I1468" s="474">
        <v>128139</v>
      </c>
      <c r="J1468" s="475">
        <v>44671</v>
      </c>
      <c r="K1468" s="483" t="s">
        <v>3329</v>
      </c>
      <c r="L1468" s="474" t="s">
        <v>2364</v>
      </c>
      <c r="M1468" s="487">
        <v>44504</v>
      </c>
      <c r="N1468" s="487">
        <v>44566</v>
      </c>
      <c r="O1468" s="487"/>
      <c r="P1468" s="475">
        <v>44666</v>
      </c>
      <c r="Q1468" s="475">
        <v>44671</v>
      </c>
      <c r="R1468" s="475">
        <v>44672</v>
      </c>
      <c r="S1468" s="474" t="s">
        <v>2379</v>
      </c>
      <c r="T1468" s="474">
        <v>60</v>
      </c>
      <c r="U1468" s="474" t="s">
        <v>1760</v>
      </c>
      <c r="V1468" s="474" t="s">
        <v>973</v>
      </c>
      <c r="W1468" s="474">
        <v>400</v>
      </c>
      <c r="X1468" s="476">
        <v>832</v>
      </c>
      <c r="Y1468" s="491">
        <f>X1468*W1468</f>
        <v>332800</v>
      </c>
      <c r="Z1468" s="478">
        <v>0.55000000000000004</v>
      </c>
      <c r="AA1468" s="479">
        <f>Z1468*Y1468</f>
        <v>183040.00000000003</v>
      </c>
      <c r="AB1468" s="480"/>
      <c r="AC1468" s="481">
        <f>AB1468*Y1468</f>
        <v>0</v>
      </c>
      <c r="AD1468" s="490"/>
      <c r="AE1468" s="482"/>
      <c r="AF1468" s="493">
        <f>AE1468+AD1468+AA1468</f>
        <v>183040.00000000003</v>
      </c>
      <c r="AG1468" s="474" t="s">
        <v>1071</v>
      </c>
      <c r="AH1468" s="474"/>
      <c r="AI1468" s="483">
        <v>60</v>
      </c>
      <c r="AJ1468" s="474" t="s">
        <v>2366</v>
      </c>
      <c r="AK1468" s="494" t="s">
        <v>1395</v>
      </c>
      <c r="AL1468" s="474">
        <v>89118</v>
      </c>
      <c r="AM1468" s="474" t="s">
        <v>52</v>
      </c>
      <c r="AN1468" s="474" t="s">
        <v>50</v>
      </c>
      <c r="AO1468" s="474"/>
      <c r="AP1468" s="486" t="s">
        <v>38</v>
      </c>
      <c r="AQ1468" s="486"/>
      <c r="AR1468" s="486" t="s">
        <v>3330</v>
      </c>
      <c r="AS1468" s="495"/>
      <c r="AT1468" s="495"/>
      <c r="AU1468" s="478">
        <v>0.52</v>
      </c>
      <c r="AV1468" s="471" t="str">
        <f t="shared" si="264"/>
        <v>30390156H</v>
      </c>
      <c r="AW1468" s="471" cm="1">
        <f t="array" ref="AW1468">SUM(MID(0&amp;AV1468,LARGE(INDEX(ISNUMBER(--MID(AV1468,ROW($1:$8),1))*ROW($1:$8),),ROW($1:$8))+1,1)*10^ROW($1:$8)/10)</f>
        <v>30390156</v>
      </c>
      <c r="AX1468" s="471" t="str">
        <f>VLOOKUP($AW1468,'Item Master Data'!$A:$F,3,FALSE)</f>
        <v>Q.PEAK DUO BLK ML G10+</v>
      </c>
      <c r="AY1468" s="471">
        <f>VLOOKUP($AW1468,'Item Master Data'!$A:$F,6,FALSE)</f>
        <v>400</v>
      </c>
      <c r="AZ1468" s="471">
        <f t="shared" si="265"/>
        <v>26</v>
      </c>
      <c r="BA1468" s="471">
        <f>VLOOKUP(AW1468,'Item Master Data'!$A:$G,7,FALSE)</f>
        <v>32</v>
      </c>
      <c r="BC1468" s="471">
        <f t="shared" si="266"/>
        <v>0</v>
      </c>
    </row>
    <row r="1469" spans="1:55" s="471" customFormat="1">
      <c r="A1469" s="472"/>
      <c r="B1469" s="515">
        <v>44628</v>
      </c>
      <c r="C1469" s="515">
        <v>44628</v>
      </c>
      <c r="D1469" s="485" t="s">
        <v>3186</v>
      </c>
      <c r="E1469" s="474" t="s">
        <v>3314</v>
      </c>
      <c r="F1469" s="474"/>
      <c r="G1469" s="474">
        <v>2022</v>
      </c>
      <c r="H1469" s="474">
        <v>4</v>
      </c>
      <c r="I1469" s="474"/>
      <c r="J1469" s="475" t="s">
        <v>5643</v>
      </c>
      <c r="K1469" s="611" t="s">
        <v>3325</v>
      </c>
      <c r="L1469" s="404" t="s">
        <v>2364</v>
      </c>
      <c r="M1469" s="612">
        <v>44504</v>
      </c>
      <c r="N1469" s="612">
        <v>44627</v>
      </c>
      <c r="O1469" s="612" t="s">
        <v>1280</v>
      </c>
      <c r="P1469" s="345">
        <v>44665</v>
      </c>
      <c r="Q1469" s="475"/>
      <c r="R1469" s="475"/>
      <c r="S1469" s="474" t="s">
        <v>2379</v>
      </c>
      <c r="T1469" s="474">
        <v>60</v>
      </c>
      <c r="U1469" s="474" t="s">
        <v>1281</v>
      </c>
      <c r="V1469" s="474" t="s">
        <v>973</v>
      </c>
      <c r="W1469" s="474">
        <v>400</v>
      </c>
      <c r="X1469" s="476">
        <f>1664+832+1664</f>
        <v>4160</v>
      </c>
      <c r="Y1469" s="491">
        <f>X1469*W1469</f>
        <v>1664000</v>
      </c>
      <c r="Z1469" s="478">
        <v>0.55000000000000004</v>
      </c>
      <c r="AA1469" s="479">
        <f>Z1469*Y1469</f>
        <v>915200.00000000012</v>
      </c>
      <c r="AB1469" s="480"/>
      <c r="AC1469" s="481">
        <f>AB1469*Y1469</f>
        <v>0</v>
      </c>
      <c r="AD1469" s="490"/>
      <c r="AE1469" s="482"/>
      <c r="AF1469" s="493">
        <f>AE1469+AD1469+AA1469</f>
        <v>915200.00000000012</v>
      </c>
      <c r="AG1469" s="474" t="s">
        <v>1071</v>
      </c>
      <c r="AH1469" s="474"/>
      <c r="AI1469" s="483">
        <v>60</v>
      </c>
      <c r="AJ1469" s="474" t="s">
        <v>2366</v>
      </c>
      <c r="AK1469" s="494" t="s">
        <v>1395</v>
      </c>
      <c r="AL1469" s="474">
        <v>89118</v>
      </c>
      <c r="AM1469" s="474" t="s">
        <v>52</v>
      </c>
      <c r="AN1469" s="516" t="s">
        <v>50</v>
      </c>
      <c r="AO1469" s="474"/>
      <c r="AP1469" s="486"/>
      <c r="AQ1469" s="486" t="s">
        <v>37</v>
      </c>
      <c r="AR1469" s="486" t="s">
        <v>1248</v>
      </c>
      <c r="AS1469" s="495"/>
      <c r="AT1469" s="495"/>
      <c r="AU1469" s="478">
        <v>0.46500000000000002</v>
      </c>
      <c r="AV1469" s="471" t="str">
        <f t="shared" si="264"/>
        <v>30390456H</v>
      </c>
      <c r="AW1469" s="471" cm="1">
        <f t="array" ref="AW1469">SUM(MID(0&amp;AV1469,LARGE(INDEX(ISNUMBER(--MID(AV1469,ROW($1:$8),1))*ROW($1:$8),),ROW($1:$8))+1,1)*10^ROW($1:$8)/10)</f>
        <v>30390456</v>
      </c>
      <c r="AX1469" s="471" t="str">
        <f>VLOOKUP($AW1469,'Item Master Data'!$A:$F,3,FALSE)</f>
        <v>Q.PEAK DUO BLK ML G10+</v>
      </c>
      <c r="AY1469" s="471">
        <f>VLOOKUP($AW1469,'Item Master Data'!$A:$F,6,FALSE)</f>
        <v>400</v>
      </c>
      <c r="AZ1469" s="471">
        <f t="shared" si="265"/>
        <v>130</v>
      </c>
      <c r="BA1469" s="471">
        <f>VLOOKUP(AW1469,'Item Master Data'!$A:$G,7,FALSE)</f>
        <v>32</v>
      </c>
      <c r="BC1469" s="471">
        <f t="shared" si="266"/>
        <v>0</v>
      </c>
    </row>
    <row r="1470" spans="1:55" s="471" customFormat="1">
      <c r="A1470" s="472">
        <v>10</v>
      </c>
      <c r="B1470" s="515">
        <v>44628</v>
      </c>
      <c r="C1470" s="515">
        <v>44628</v>
      </c>
      <c r="D1470" s="485" t="s">
        <v>3186</v>
      </c>
      <c r="E1470" s="474" t="s">
        <v>3314</v>
      </c>
      <c r="F1470" s="474"/>
      <c r="G1470" s="474">
        <v>2022</v>
      </c>
      <c r="H1470" s="474">
        <v>3</v>
      </c>
      <c r="I1470" s="474">
        <v>127667</v>
      </c>
      <c r="J1470" s="475">
        <v>44650</v>
      </c>
      <c r="K1470" s="483" t="s">
        <v>3315</v>
      </c>
      <c r="L1470" s="474" t="s">
        <v>2364</v>
      </c>
      <c r="M1470" s="487">
        <v>44504</v>
      </c>
      <c r="N1470" s="487">
        <v>44599</v>
      </c>
      <c r="O1470" s="487" t="s">
        <v>1280</v>
      </c>
      <c r="P1470" s="475">
        <v>44630</v>
      </c>
      <c r="Q1470" s="475">
        <v>44650</v>
      </c>
      <c r="R1470" s="475">
        <v>44655</v>
      </c>
      <c r="S1470" s="474" t="s">
        <v>2379</v>
      </c>
      <c r="T1470" s="474">
        <v>60</v>
      </c>
      <c r="U1470" s="474">
        <v>49405140</v>
      </c>
      <c r="V1470" s="474" t="s">
        <v>973</v>
      </c>
      <c r="W1470" s="474">
        <v>400</v>
      </c>
      <c r="X1470" s="476">
        <f>832</f>
        <v>832</v>
      </c>
      <c r="Y1470" s="477">
        <f>X1470*W1470</f>
        <v>332800</v>
      </c>
      <c r="Z1470" s="478">
        <v>0.55000000000000004</v>
      </c>
      <c r="AA1470" s="479">
        <f>Z1470*Y1470</f>
        <v>183040.00000000003</v>
      </c>
      <c r="AB1470" s="480"/>
      <c r="AC1470" s="481">
        <f>AB1470*Y1470</f>
        <v>0</v>
      </c>
      <c r="AD1470" s="490"/>
      <c r="AE1470" s="482"/>
      <c r="AF1470" s="493">
        <f>AE1470+AD1470+AA1470</f>
        <v>183040.00000000003</v>
      </c>
      <c r="AG1470" s="474" t="s">
        <v>1071</v>
      </c>
      <c r="AH1470" s="474"/>
      <c r="AI1470" s="483">
        <v>60</v>
      </c>
      <c r="AJ1470" s="474" t="s">
        <v>2366</v>
      </c>
      <c r="AK1470" s="494" t="s">
        <v>1395</v>
      </c>
      <c r="AL1470" s="474">
        <v>89118</v>
      </c>
      <c r="AM1470" s="474" t="s">
        <v>52</v>
      </c>
      <c r="AN1470" s="474" t="s">
        <v>1074</v>
      </c>
      <c r="AO1470" s="474"/>
      <c r="AP1470" s="486"/>
      <c r="AQ1470" s="486" t="s">
        <v>37</v>
      </c>
      <c r="AR1470" s="486" t="s">
        <v>1248</v>
      </c>
      <c r="AS1470" s="495"/>
      <c r="AT1470" s="495"/>
      <c r="AU1470" s="478">
        <v>0.46500000000000002</v>
      </c>
      <c r="AV1470" s="471">
        <f t="shared" si="264"/>
        <v>49405140</v>
      </c>
      <c r="AW1470" s="471" cm="1">
        <f t="array" ref="AW1470">SUM(MID(0&amp;AV1470,LARGE(INDEX(ISNUMBER(--MID(AV1470,ROW($1:$8),1))*ROW($1:$8),),ROW($1:$8))+1,1)*10^ROW($1:$8)/10)</f>
        <v>49405140</v>
      </c>
      <c r="AX1470" s="471" t="str">
        <f>VLOOKUP($AW1470,'Item Master Data'!$A:$F,3,FALSE)</f>
        <v>Q.PEAK DUO BLK ML G10+</v>
      </c>
      <c r="AY1470" s="471">
        <f>VLOOKUP($AW1470,'Item Master Data'!$A:$F,6,FALSE)</f>
        <v>400</v>
      </c>
      <c r="AZ1470" s="471">
        <f t="shared" si="265"/>
        <v>26</v>
      </c>
      <c r="BA1470" s="471">
        <f>VLOOKUP(AW1470,'Item Master Data'!$A:$G,7,FALSE)</f>
        <v>32</v>
      </c>
      <c r="BC1470" s="471">
        <f t="shared" si="266"/>
        <v>0</v>
      </c>
    </row>
    <row r="1471" spans="1:55" s="471" customFormat="1">
      <c r="A1471" s="472"/>
      <c r="B1471" s="515">
        <v>44628</v>
      </c>
      <c r="C1471" s="515">
        <v>44628</v>
      </c>
      <c r="D1471" s="485" t="s">
        <v>3186</v>
      </c>
      <c r="E1471" s="474" t="s">
        <v>3215</v>
      </c>
      <c r="F1471" s="474"/>
      <c r="G1471" s="474">
        <v>2022</v>
      </c>
      <c r="H1471" s="474">
        <v>6</v>
      </c>
      <c r="I1471" s="474"/>
      <c r="J1471" s="475"/>
      <c r="K1471" s="483" t="s">
        <v>3437</v>
      </c>
      <c r="L1471" s="474" t="s">
        <v>2364</v>
      </c>
      <c r="M1471" s="487">
        <v>44491</v>
      </c>
      <c r="N1471" s="487">
        <v>44656</v>
      </c>
      <c r="O1471" s="487" t="s">
        <v>2365</v>
      </c>
      <c r="P1471" s="475"/>
      <c r="Q1471" s="475"/>
      <c r="R1471" s="475"/>
      <c r="S1471" s="474" t="s">
        <v>2379</v>
      </c>
      <c r="T1471" s="474">
        <v>60</v>
      </c>
      <c r="U1471" s="474">
        <v>49401140</v>
      </c>
      <c r="V1471" s="474" t="s">
        <v>973</v>
      </c>
      <c r="W1471" s="474">
        <v>400</v>
      </c>
      <c r="X1471" s="476">
        <v>832</v>
      </c>
      <c r="Y1471" s="477">
        <f>X1471*W1471</f>
        <v>332800</v>
      </c>
      <c r="Z1471" s="478">
        <v>0.55000000000000004</v>
      </c>
      <c r="AA1471" s="479">
        <f>Z1471*Y1471</f>
        <v>183040.00000000003</v>
      </c>
      <c r="AB1471" s="480"/>
      <c r="AC1471" s="481">
        <f>AB1471*Y1471</f>
        <v>0</v>
      </c>
      <c r="AD1471" s="490"/>
      <c r="AE1471" s="482"/>
      <c r="AF1471" s="493">
        <f>AE1471+AD1471+AA1471</f>
        <v>183040.00000000003</v>
      </c>
      <c r="AG1471" s="474" t="s">
        <v>1071</v>
      </c>
      <c r="AH1471" s="474"/>
      <c r="AI1471" s="483" t="s">
        <v>2442</v>
      </c>
      <c r="AJ1471" s="474" t="s">
        <v>2366</v>
      </c>
      <c r="AK1471" s="494" t="s">
        <v>1395</v>
      </c>
      <c r="AL1471" s="474">
        <v>89118</v>
      </c>
      <c r="AM1471" s="474" t="s">
        <v>52</v>
      </c>
      <c r="AN1471" s="474"/>
      <c r="AO1471" s="474"/>
      <c r="AP1471" s="486"/>
      <c r="AQ1471" s="486" t="s">
        <v>37</v>
      </c>
      <c r="AR1471" s="486" t="s">
        <v>1677</v>
      </c>
      <c r="AS1471" s="495"/>
      <c r="AT1471" s="495"/>
      <c r="AU1471" s="478">
        <v>0.45500000000000002</v>
      </c>
      <c r="AV1471" s="471">
        <f t="shared" si="264"/>
        <v>49401140</v>
      </c>
      <c r="AW1471" s="471" cm="1">
        <f t="array" ref="AW1471">SUM(MID(0&amp;AV1471,LARGE(INDEX(ISNUMBER(--MID(AV1471,ROW($1:$8),1))*ROW($1:$8),),ROW($1:$8))+1,1)*10^ROW($1:$8)/10)</f>
        <v>49401140</v>
      </c>
      <c r="AX1471" s="471" t="str">
        <f>VLOOKUP($AW1471,'Item Master Data'!$A:$F,3,FALSE)</f>
        <v>Q.PEAK DUO BLK ML G10.a+</v>
      </c>
      <c r="AY1471" s="471">
        <f>VLOOKUP($AW1471,'Item Master Data'!$A:$F,6,FALSE)</f>
        <v>400</v>
      </c>
      <c r="AZ1471" s="471">
        <f t="shared" si="265"/>
        <v>26</v>
      </c>
      <c r="BA1471" s="471">
        <f>VLOOKUP(AW1471,'Item Master Data'!$A:$G,7,FALSE)</f>
        <v>32</v>
      </c>
      <c r="BC1471" s="471">
        <f t="shared" si="266"/>
        <v>0</v>
      </c>
    </row>
    <row r="1472" spans="1:55" s="471" customFormat="1">
      <c r="A1472" s="472"/>
      <c r="B1472" s="515">
        <v>44628</v>
      </c>
      <c r="C1472" s="515">
        <v>44628</v>
      </c>
      <c r="D1472" s="485" t="s">
        <v>3186</v>
      </c>
      <c r="E1472" s="474" t="s">
        <v>3215</v>
      </c>
      <c r="F1472" s="474"/>
      <c r="G1472" s="474">
        <v>2022</v>
      </c>
      <c r="H1472" s="474">
        <v>5</v>
      </c>
      <c r="I1472" s="474"/>
      <c r="J1472" s="475"/>
      <c r="K1472" s="483" t="s">
        <v>3390</v>
      </c>
      <c r="L1472" s="474" t="s">
        <v>2364</v>
      </c>
      <c r="M1472" s="487">
        <v>44491</v>
      </c>
      <c r="N1472" s="487">
        <v>44624</v>
      </c>
      <c r="O1472" s="487" t="s">
        <v>2365</v>
      </c>
      <c r="P1472" s="475"/>
      <c r="Q1472" s="475"/>
      <c r="R1472" s="475"/>
      <c r="S1472" s="474" t="s">
        <v>2379</v>
      </c>
      <c r="T1472" s="474">
        <v>60</v>
      </c>
      <c r="U1472" s="474">
        <v>49401140</v>
      </c>
      <c r="V1472" s="474" t="s">
        <v>973</v>
      </c>
      <c r="W1472" s="474">
        <v>400</v>
      </c>
      <c r="X1472" s="476">
        <v>1664</v>
      </c>
      <c r="Y1472" s="477">
        <f>X1472*W1472</f>
        <v>665600</v>
      </c>
      <c r="Z1472" s="478">
        <v>0.55000000000000004</v>
      </c>
      <c r="AA1472" s="479">
        <f>Z1472*Y1472</f>
        <v>366080.00000000006</v>
      </c>
      <c r="AB1472" s="480"/>
      <c r="AC1472" s="481">
        <f>AB1472*Y1472</f>
        <v>0</v>
      </c>
      <c r="AD1472" s="490"/>
      <c r="AE1472" s="482"/>
      <c r="AF1472" s="493">
        <f>AE1472+AD1472+AA1472</f>
        <v>366080.00000000006</v>
      </c>
      <c r="AG1472" s="474" t="s">
        <v>1071</v>
      </c>
      <c r="AH1472" s="474"/>
      <c r="AI1472" s="483" t="s">
        <v>2442</v>
      </c>
      <c r="AJ1472" s="474" t="s">
        <v>2366</v>
      </c>
      <c r="AK1472" s="494" t="s">
        <v>1395</v>
      </c>
      <c r="AL1472" s="474">
        <v>89118</v>
      </c>
      <c r="AM1472" s="474" t="s">
        <v>52</v>
      </c>
      <c r="AN1472" s="474"/>
      <c r="AO1472" s="474"/>
      <c r="AP1472" s="486"/>
      <c r="AQ1472" s="486" t="s">
        <v>37</v>
      </c>
      <c r="AR1472" s="486" t="s">
        <v>1677</v>
      </c>
      <c r="AS1472" s="495"/>
      <c r="AT1472" s="495"/>
      <c r="AU1472" s="478">
        <v>0.45500000000000002</v>
      </c>
      <c r="AV1472" s="471">
        <f t="shared" si="264"/>
        <v>49401140</v>
      </c>
      <c r="AW1472" s="471" cm="1">
        <f t="array" ref="AW1472">SUM(MID(0&amp;AV1472,LARGE(INDEX(ISNUMBER(--MID(AV1472,ROW($1:$8),1))*ROW($1:$8),),ROW($1:$8))+1,1)*10^ROW($1:$8)/10)</f>
        <v>49401140</v>
      </c>
      <c r="AX1472" s="471" t="str">
        <f>VLOOKUP($AW1472,'Item Master Data'!$A:$F,3,FALSE)</f>
        <v>Q.PEAK DUO BLK ML G10.a+</v>
      </c>
      <c r="AY1472" s="471">
        <f>VLOOKUP($AW1472,'Item Master Data'!$A:$F,6,FALSE)</f>
        <v>400</v>
      </c>
      <c r="AZ1472" s="471">
        <f t="shared" si="265"/>
        <v>52</v>
      </c>
      <c r="BA1472" s="471">
        <f>VLOOKUP(AW1472,'Item Master Data'!$A:$G,7,FALSE)</f>
        <v>32</v>
      </c>
      <c r="BC1472" s="471">
        <f t="shared" si="266"/>
        <v>0</v>
      </c>
    </row>
    <row r="1473" spans="1:55" s="471" customFormat="1">
      <c r="A1473" s="472"/>
      <c r="B1473" s="515">
        <v>44628</v>
      </c>
      <c r="C1473" s="515">
        <v>44628</v>
      </c>
      <c r="D1473" s="485" t="s">
        <v>3186</v>
      </c>
      <c r="E1473" s="474" t="s">
        <v>3215</v>
      </c>
      <c r="F1473" s="474"/>
      <c r="G1473" s="474">
        <v>2022</v>
      </c>
      <c r="H1473" s="474">
        <v>5</v>
      </c>
      <c r="I1473" s="474"/>
      <c r="J1473" s="475"/>
      <c r="K1473" s="483" t="s">
        <v>3326</v>
      </c>
      <c r="L1473" s="474" t="s">
        <v>2364</v>
      </c>
      <c r="M1473" s="487">
        <v>44491</v>
      </c>
      <c r="N1473" s="487">
        <v>44596</v>
      </c>
      <c r="O1473" s="487" t="s">
        <v>2365</v>
      </c>
      <c r="P1473" s="475"/>
      <c r="Q1473" s="475"/>
      <c r="R1473" s="475"/>
      <c r="S1473" s="474" t="s">
        <v>2379</v>
      </c>
      <c r="T1473" s="474">
        <v>60</v>
      </c>
      <c r="U1473" s="474">
        <v>49401140</v>
      </c>
      <c r="V1473" s="474" t="s">
        <v>973</v>
      </c>
      <c r="W1473" s="474">
        <v>400</v>
      </c>
      <c r="X1473" s="476">
        <v>832</v>
      </c>
      <c r="Y1473" s="477">
        <f>X1473*W1473</f>
        <v>332800</v>
      </c>
      <c r="Z1473" s="478">
        <v>0.55000000000000004</v>
      </c>
      <c r="AA1473" s="479">
        <f>Z1473*Y1473</f>
        <v>183040.00000000003</v>
      </c>
      <c r="AB1473" s="480"/>
      <c r="AC1473" s="481">
        <f>AB1473*Y1473</f>
        <v>0</v>
      </c>
      <c r="AD1473" s="490"/>
      <c r="AE1473" s="482"/>
      <c r="AF1473" s="493">
        <f>AE1473+AD1473+AA1473</f>
        <v>183040.00000000003</v>
      </c>
      <c r="AG1473" s="474" t="s">
        <v>1071</v>
      </c>
      <c r="AH1473" s="474"/>
      <c r="AI1473" s="483" t="s">
        <v>2442</v>
      </c>
      <c r="AJ1473" s="474" t="s">
        <v>2366</v>
      </c>
      <c r="AK1473" s="494" t="s">
        <v>1395</v>
      </c>
      <c r="AL1473" s="474">
        <v>89118</v>
      </c>
      <c r="AM1473" s="474" t="s">
        <v>52</v>
      </c>
      <c r="AN1473" s="474"/>
      <c r="AO1473" s="474"/>
      <c r="AP1473" s="486"/>
      <c r="AQ1473" s="486" t="s">
        <v>37</v>
      </c>
      <c r="AR1473" s="486" t="s">
        <v>1677</v>
      </c>
      <c r="AS1473" s="495"/>
      <c r="AT1473" s="495"/>
      <c r="AU1473" s="478">
        <v>0.45500000000000002</v>
      </c>
      <c r="AV1473" s="471">
        <f t="shared" si="264"/>
        <v>49401140</v>
      </c>
      <c r="AW1473" s="471" cm="1">
        <f t="array" ref="AW1473">SUM(MID(0&amp;AV1473,LARGE(INDEX(ISNUMBER(--MID(AV1473,ROW($1:$8),1))*ROW($1:$8),),ROW($1:$8))+1,1)*10^ROW($1:$8)/10)</f>
        <v>49401140</v>
      </c>
      <c r="AX1473" s="471" t="str">
        <f>VLOOKUP($AW1473,'Item Master Data'!$A:$F,3,FALSE)</f>
        <v>Q.PEAK DUO BLK ML G10.a+</v>
      </c>
      <c r="AY1473" s="471">
        <f>VLOOKUP($AW1473,'Item Master Data'!$A:$F,6,FALSE)</f>
        <v>400</v>
      </c>
      <c r="AZ1473" s="471">
        <f t="shared" si="265"/>
        <v>26</v>
      </c>
      <c r="BA1473" s="471">
        <f>VLOOKUP(AW1473,'Item Master Data'!$A:$G,7,FALSE)</f>
        <v>32</v>
      </c>
      <c r="BC1473" s="471">
        <f t="shared" si="266"/>
        <v>0</v>
      </c>
    </row>
    <row r="1474" spans="1:55" s="471" customFormat="1">
      <c r="A1474" s="472"/>
      <c r="B1474" s="515">
        <v>44628</v>
      </c>
      <c r="C1474" s="515">
        <v>44628</v>
      </c>
      <c r="D1474" s="485" t="s">
        <v>3186</v>
      </c>
      <c r="E1474" s="474" t="s">
        <v>3215</v>
      </c>
      <c r="F1474" s="474"/>
      <c r="G1474" s="474">
        <v>2022</v>
      </c>
      <c r="H1474" s="474">
        <v>4</v>
      </c>
      <c r="I1474" s="474">
        <v>128140</v>
      </c>
      <c r="J1474" s="475">
        <v>44670</v>
      </c>
      <c r="K1474" s="483" t="s">
        <v>3322</v>
      </c>
      <c r="L1474" s="474" t="s">
        <v>2364</v>
      </c>
      <c r="M1474" s="487">
        <v>44491</v>
      </c>
      <c r="N1474" s="487">
        <v>44564</v>
      </c>
      <c r="O1474" s="487" t="s">
        <v>2365</v>
      </c>
      <c r="P1474" s="475">
        <v>44665</v>
      </c>
      <c r="Q1474" s="475">
        <v>44670</v>
      </c>
      <c r="R1474" s="475">
        <v>44671</v>
      </c>
      <c r="S1474" s="474" t="s">
        <v>2379</v>
      </c>
      <c r="T1474" s="474">
        <v>60</v>
      </c>
      <c r="U1474" s="474" t="s">
        <v>1760</v>
      </c>
      <c r="V1474" s="474" t="s">
        <v>973</v>
      </c>
      <c r="W1474" s="474">
        <v>400</v>
      </c>
      <c r="X1474" s="476">
        <f>1664</f>
        <v>1664</v>
      </c>
      <c r="Y1474" s="491">
        <f>X1474*W1474</f>
        <v>665600</v>
      </c>
      <c r="Z1474" s="478">
        <v>0.55000000000000004</v>
      </c>
      <c r="AA1474" s="479">
        <f>Z1474*Y1474</f>
        <v>366080.00000000006</v>
      </c>
      <c r="AB1474" s="480"/>
      <c r="AC1474" s="481">
        <f>AB1474*Y1474</f>
        <v>0</v>
      </c>
      <c r="AD1474" s="490"/>
      <c r="AE1474" s="482"/>
      <c r="AF1474" s="493">
        <f>AE1474+AD1474+AA1474</f>
        <v>366080.00000000006</v>
      </c>
      <c r="AG1474" s="474" t="s">
        <v>1071</v>
      </c>
      <c r="AH1474" s="474"/>
      <c r="AI1474" s="483" t="s">
        <v>2442</v>
      </c>
      <c r="AJ1474" s="474" t="s">
        <v>2366</v>
      </c>
      <c r="AK1474" s="494" t="s">
        <v>1395</v>
      </c>
      <c r="AL1474" s="474">
        <v>89118</v>
      </c>
      <c r="AM1474" s="474" t="s">
        <v>52</v>
      </c>
      <c r="AN1474" s="516" t="s">
        <v>50</v>
      </c>
      <c r="AO1474" s="474"/>
      <c r="AP1474" s="486" t="s">
        <v>38</v>
      </c>
      <c r="AQ1474" s="486" t="s">
        <v>37</v>
      </c>
      <c r="AR1474" s="486" t="s">
        <v>1677</v>
      </c>
      <c r="AS1474" s="495"/>
      <c r="AT1474" s="495"/>
      <c r="AU1474" s="478">
        <v>0.45500000000000002</v>
      </c>
      <c r="AV1474" s="471" t="str">
        <f t="shared" si="264"/>
        <v>30390156H</v>
      </c>
      <c r="AW1474" s="471" cm="1">
        <f t="array" ref="AW1474">SUM(MID(0&amp;AV1474,LARGE(INDEX(ISNUMBER(--MID(AV1474,ROW($1:$8),1))*ROW($1:$8),),ROW($1:$8))+1,1)*10^ROW($1:$8)/10)</f>
        <v>30390156</v>
      </c>
      <c r="AX1474" s="471" t="str">
        <f>VLOOKUP($AW1474,'Item Master Data'!$A:$F,3,FALSE)</f>
        <v>Q.PEAK DUO BLK ML G10+</v>
      </c>
      <c r="AY1474" s="471">
        <f>VLOOKUP($AW1474,'Item Master Data'!$A:$F,6,FALSE)</f>
        <v>400</v>
      </c>
      <c r="AZ1474" s="471">
        <f t="shared" si="265"/>
        <v>52</v>
      </c>
      <c r="BA1474" s="471">
        <f>VLOOKUP(AW1474,'Item Master Data'!$A:$G,7,FALSE)</f>
        <v>32</v>
      </c>
      <c r="BC1474" s="471">
        <f t="shared" si="266"/>
        <v>0</v>
      </c>
    </row>
    <row r="1475" spans="1:55" s="471" customFormat="1">
      <c r="A1475" s="472"/>
      <c r="B1475" s="515">
        <v>44628</v>
      </c>
      <c r="C1475" s="515">
        <v>44628</v>
      </c>
      <c r="D1475" s="485" t="s">
        <v>3186</v>
      </c>
      <c r="E1475" s="474" t="s">
        <v>3312</v>
      </c>
      <c r="F1475" s="474"/>
      <c r="G1475" s="474">
        <v>2022</v>
      </c>
      <c r="H1475" s="474">
        <v>3</v>
      </c>
      <c r="I1475" s="474">
        <v>127784</v>
      </c>
      <c r="J1475" s="475">
        <v>44650</v>
      </c>
      <c r="K1475" s="483" t="s">
        <v>3313</v>
      </c>
      <c r="L1475" s="474" t="s">
        <v>2364</v>
      </c>
      <c r="M1475" s="487">
        <v>44498</v>
      </c>
      <c r="N1475" s="487">
        <v>44564</v>
      </c>
      <c r="O1475" s="487"/>
      <c r="P1475" s="475">
        <v>44629</v>
      </c>
      <c r="Q1475" s="475">
        <v>44650</v>
      </c>
      <c r="R1475" s="475">
        <v>44658</v>
      </c>
      <c r="S1475" s="474" t="s">
        <v>2379</v>
      </c>
      <c r="T1475" s="474">
        <v>60</v>
      </c>
      <c r="U1475" s="474">
        <v>49201132</v>
      </c>
      <c r="V1475" s="474" t="s">
        <v>986</v>
      </c>
      <c r="W1475" s="474">
        <v>360</v>
      </c>
      <c r="X1475" s="476">
        <v>800</v>
      </c>
      <c r="Y1475" s="477">
        <f>X1475*W1475</f>
        <v>288000</v>
      </c>
      <c r="Z1475" s="478">
        <v>0.53</v>
      </c>
      <c r="AA1475" s="479">
        <f>Z1475*Y1475</f>
        <v>152640</v>
      </c>
      <c r="AB1475" s="480"/>
      <c r="AC1475" s="481">
        <f>AB1475*Y1475</f>
        <v>0</v>
      </c>
      <c r="AD1475" s="490"/>
      <c r="AE1475" s="482"/>
      <c r="AF1475" s="493">
        <f>AE1475+AD1475+AA1475</f>
        <v>152640</v>
      </c>
      <c r="AG1475" s="474" t="s">
        <v>1071</v>
      </c>
      <c r="AH1475" s="474"/>
      <c r="AI1475" s="483" t="s">
        <v>2442</v>
      </c>
      <c r="AJ1475" s="474" t="s">
        <v>2366</v>
      </c>
      <c r="AK1475" s="494" t="s">
        <v>1395</v>
      </c>
      <c r="AL1475" s="474">
        <v>89118</v>
      </c>
      <c r="AM1475" s="474" t="s">
        <v>52</v>
      </c>
      <c r="AN1475" s="526" t="s">
        <v>1106</v>
      </c>
      <c r="AO1475" s="474"/>
      <c r="AP1475" s="486"/>
      <c r="AQ1475" s="486"/>
      <c r="AR1475" s="486"/>
      <c r="AS1475" s="495"/>
      <c r="AT1475" s="495"/>
      <c r="AU1475" s="478"/>
      <c r="AV1475" s="471">
        <f t="shared" si="264"/>
        <v>49201132</v>
      </c>
      <c r="AW1475" s="471" cm="1">
        <f t="array" ref="AW1475">SUM(MID(0&amp;AV1475,LARGE(INDEX(ISNUMBER(--MID(AV1475,ROW($1:$8),1))*ROW($1:$8),),ROW($1:$8))+1,1)*10^ROW($1:$8)/10)</f>
        <v>49201132</v>
      </c>
      <c r="AX1475" s="471" t="str">
        <f>VLOOKUP($AW1475,'Item Master Data'!$A:$F,3,FALSE)</f>
        <v>Q.PEAK DUO BLK G10+</v>
      </c>
      <c r="AY1475" s="471">
        <f>VLOOKUP($AW1475,'Item Master Data'!$A:$F,6,FALSE)</f>
        <v>360</v>
      </c>
      <c r="AZ1475" s="471">
        <f t="shared" si="265"/>
        <v>25</v>
      </c>
      <c r="BA1475" s="471">
        <f>VLOOKUP(AW1475,'Item Master Data'!$A:$G,7,FALSE)</f>
        <v>32</v>
      </c>
      <c r="BC1475" s="471">
        <f t="shared" si="266"/>
        <v>0</v>
      </c>
    </row>
    <row r="1476" spans="1:55" s="471" customFormat="1">
      <c r="A1476" s="472"/>
      <c r="B1476" s="515">
        <v>44628</v>
      </c>
      <c r="C1476" s="515">
        <v>44628</v>
      </c>
      <c r="D1476" s="485" t="s">
        <v>3186</v>
      </c>
      <c r="E1476" s="474" t="s">
        <v>5227</v>
      </c>
      <c r="F1476" s="474"/>
      <c r="G1476" s="474">
        <v>2022</v>
      </c>
      <c r="H1476" s="474">
        <v>3</v>
      </c>
      <c r="I1476" s="524">
        <v>127860</v>
      </c>
      <c r="J1476" s="538">
        <v>44650</v>
      </c>
      <c r="K1476" s="523" t="s">
        <v>3313</v>
      </c>
      <c r="L1476" s="524" t="s">
        <v>2364</v>
      </c>
      <c r="M1476" s="487">
        <v>44498</v>
      </c>
      <c r="N1476" s="487">
        <v>44564</v>
      </c>
      <c r="O1476" s="487"/>
      <c r="P1476" s="475">
        <v>44629</v>
      </c>
      <c r="Q1476" s="475">
        <v>44650</v>
      </c>
      <c r="R1476" s="475">
        <v>44658</v>
      </c>
      <c r="S1476" s="474" t="s">
        <v>2379</v>
      </c>
      <c r="T1476" s="474">
        <v>60</v>
      </c>
      <c r="U1476" s="474">
        <v>49201132</v>
      </c>
      <c r="V1476" s="474" t="s">
        <v>986</v>
      </c>
      <c r="W1476" s="474">
        <v>360</v>
      </c>
      <c r="X1476" s="476">
        <v>32</v>
      </c>
      <c r="Y1476" s="477">
        <f>X1476*W1476</f>
        <v>11520</v>
      </c>
      <c r="Z1476" s="478">
        <v>0.53</v>
      </c>
      <c r="AA1476" s="479">
        <f>Z1476*Y1476</f>
        <v>6105.6</v>
      </c>
      <c r="AB1476" s="480"/>
      <c r="AC1476" s="481">
        <f>AB1476*Y1476</f>
        <v>0</v>
      </c>
      <c r="AD1476" s="490"/>
      <c r="AE1476" s="482"/>
      <c r="AF1476" s="493">
        <f>AE1476+AD1476+AA1476</f>
        <v>6105.6</v>
      </c>
      <c r="AG1476" s="474" t="s">
        <v>1071</v>
      </c>
      <c r="AH1476" s="474"/>
      <c r="AI1476" s="483" t="s">
        <v>2442</v>
      </c>
      <c r="AJ1476" s="474" t="s">
        <v>2366</v>
      </c>
      <c r="AK1476" s="494" t="s">
        <v>1395</v>
      </c>
      <c r="AL1476" s="474">
        <v>89118</v>
      </c>
      <c r="AM1476" s="474" t="s">
        <v>52</v>
      </c>
      <c r="AN1476" s="526" t="s">
        <v>1106</v>
      </c>
      <c r="AO1476" s="474"/>
      <c r="AP1476" s="486"/>
      <c r="AQ1476" s="486"/>
      <c r="AR1476" s="486"/>
      <c r="AS1476" s="495"/>
      <c r="AT1476" s="495"/>
      <c r="AU1476" s="478"/>
      <c r="AV1476" s="471">
        <f t="shared" si="264"/>
        <v>49201132</v>
      </c>
      <c r="AW1476" s="471" cm="1">
        <f t="array" ref="AW1476">SUM(MID(0&amp;AV1476,LARGE(INDEX(ISNUMBER(--MID(AV1476,ROW($1:$8),1))*ROW($1:$8),),ROW($1:$8))+1,1)*10^ROW($1:$8)/10)</f>
        <v>49201132</v>
      </c>
      <c r="AX1476" s="471" t="str">
        <f>VLOOKUP($AW1476,'Item Master Data'!$A:$F,3,FALSE)</f>
        <v>Q.PEAK DUO BLK G10+</v>
      </c>
      <c r="AY1476" s="471">
        <f>VLOOKUP($AW1476,'Item Master Data'!$A:$F,6,FALSE)</f>
        <v>360</v>
      </c>
      <c r="AZ1476" s="471">
        <f t="shared" si="265"/>
        <v>1</v>
      </c>
      <c r="BA1476" s="471">
        <f>VLOOKUP(AW1476,'Item Master Data'!$A:$G,7,FALSE)</f>
        <v>32</v>
      </c>
      <c r="BC1476" s="471">
        <f t="shared" si="266"/>
        <v>0</v>
      </c>
    </row>
    <row r="1477" spans="1:55" s="471" customFormat="1">
      <c r="A1477" s="472"/>
      <c r="B1477" s="515">
        <v>44658</v>
      </c>
      <c r="C1477" s="515">
        <v>44658</v>
      </c>
      <c r="D1477" s="485" t="s">
        <v>3186</v>
      </c>
      <c r="E1477" s="474" t="s">
        <v>1283</v>
      </c>
      <c r="F1477" s="474"/>
      <c r="G1477" s="474">
        <v>2022</v>
      </c>
      <c r="H1477" s="474">
        <v>10</v>
      </c>
      <c r="I1477" s="474" t="s">
        <v>1676</v>
      </c>
      <c r="J1477" s="475"/>
      <c r="K1477" s="483" t="s">
        <v>3606</v>
      </c>
      <c r="L1477" s="474" t="s">
        <v>3290</v>
      </c>
      <c r="M1477" s="487">
        <v>44658</v>
      </c>
      <c r="N1477" s="487">
        <v>44835</v>
      </c>
      <c r="O1477" s="487"/>
      <c r="P1477" s="475"/>
      <c r="Q1477" s="475"/>
      <c r="R1477" s="475"/>
      <c r="S1477" s="474" t="s">
        <v>1563</v>
      </c>
      <c r="T1477" s="474">
        <v>72</v>
      </c>
      <c r="U1477" s="474"/>
      <c r="V1477" s="474" t="s">
        <v>3294</v>
      </c>
      <c r="W1477" s="474">
        <v>480</v>
      </c>
      <c r="X1477" s="476">
        <v>696</v>
      </c>
      <c r="Y1477" s="477">
        <f>X1477*W1477</f>
        <v>334080</v>
      </c>
      <c r="Z1477" s="478">
        <v>0.495</v>
      </c>
      <c r="AA1477" s="479">
        <f>Z1477*Y1477</f>
        <v>165369.60000000001</v>
      </c>
      <c r="AB1477" s="480"/>
      <c r="AC1477" s="481">
        <v>0</v>
      </c>
      <c r="AD1477" s="490"/>
      <c r="AE1477" s="482"/>
      <c r="AF1477" s="493">
        <v>158688</v>
      </c>
      <c r="AG1477" s="474" t="s">
        <v>1071</v>
      </c>
      <c r="AH1477" s="474"/>
      <c r="AI1477" s="483">
        <v>60</v>
      </c>
      <c r="AJ1477" s="474" t="s">
        <v>3295</v>
      </c>
      <c r="AK1477" s="494" t="s">
        <v>50</v>
      </c>
      <c r="AL1477" s="474">
        <v>97005</v>
      </c>
      <c r="AM1477" s="474" t="s">
        <v>52</v>
      </c>
      <c r="AN1477" s="474"/>
      <c r="AO1477" s="474"/>
      <c r="AP1477" s="486"/>
      <c r="AQ1477" s="486" t="s">
        <v>37</v>
      </c>
      <c r="AR1477" s="486"/>
      <c r="AS1477" s="495"/>
      <c r="AT1477" s="495"/>
      <c r="AU1477" s="478"/>
      <c r="AV1477" s="471">
        <f t="shared" si="264"/>
        <v>0</v>
      </c>
      <c r="AW1477" s="471" cm="1">
        <f t="array" ref="AW1477">SUM(MID(0&amp;AV1477,LARGE(INDEX(ISNUMBER(--MID(AV1477,ROW($1:$8),1))*ROW($1:$8),),ROW($1:$8))+1,1)*10^ROW($1:$8)/10)</f>
        <v>0</v>
      </c>
      <c r="AX1477" s="471" t="e">
        <f>VLOOKUP($AW1477,'Item Master Data'!$A:$F,3,FALSE)</f>
        <v>#N/A</v>
      </c>
      <c r="AY1477" s="471" t="e">
        <f>VLOOKUP($AW1477,'Item Master Data'!$A:$F,6,FALSE)</f>
        <v>#N/A</v>
      </c>
      <c r="AZ1477" s="471" t="e">
        <f t="shared" si="265"/>
        <v>#N/A</v>
      </c>
      <c r="BA1477" s="471" t="e">
        <f>VLOOKUP(AW1477,'Item Master Data'!$A:$G,7,FALSE)</f>
        <v>#N/A</v>
      </c>
      <c r="BC1477" s="471" t="e">
        <f t="shared" si="266"/>
        <v>#N/A</v>
      </c>
    </row>
    <row r="1478" spans="1:55" s="471" customFormat="1">
      <c r="A1478" s="472"/>
      <c r="B1478" s="515">
        <v>44658</v>
      </c>
      <c r="C1478" s="515">
        <v>44658</v>
      </c>
      <c r="D1478" s="485" t="s">
        <v>3186</v>
      </c>
      <c r="E1478" s="474" t="s">
        <v>1283</v>
      </c>
      <c r="F1478" s="474"/>
      <c r="G1478" s="474">
        <v>2022</v>
      </c>
      <c r="H1478" s="474">
        <v>9</v>
      </c>
      <c r="I1478" s="474" t="s">
        <v>1676</v>
      </c>
      <c r="J1478" s="475"/>
      <c r="K1478" s="483" t="s">
        <v>3592</v>
      </c>
      <c r="L1478" s="474" t="s">
        <v>3290</v>
      </c>
      <c r="M1478" s="487">
        <v>44658</v>
      </c>
      <c r="N1478" s="487">
        <v>44805</v>
      </c>
      <c r="O1478" s="487"/>
      <c r="P1478" s="475"/>
      <c r="Q1478" s="475"/>
      <c r="R1478" s="475"/>
      <c r="S1478" s="474" t="s">
        <v>1563</v>
      </c>
      <c r="T1478" s="474">
        <v>72</v>
      </c>
      <c r="U1478" s="474"/>
      <c r="V1478" s="474" t="s">
        <v>3294</v>
      </c>
      <c r="W1478" s="474">
        <v>480</v>
      </c>
      <c r="X1478" s="476">
        <v>696</v>
      </c>
      <c r="Y1478" s="477">
        <f>X1478*W1478</f>
        <v>334080</v>
      </c>
      <c r="Z1478" s="478">
        <v>0.495</v>
      </c>
      <c r="AA1478" s="479">
        <f>Z1478*Y1478</f>
        <v>165369.60000000001</v>
      </c>
      <c r="AB1478" s="480"/>
      <c r="AC1478" s="481">
        <v>0</v>
      </c>
      <c r="AD1478" s="490"/>
      <c r="AE1478" s="482"/>
      <c r="AF1478" s="493">
        <v>158688</v>
      </c>
      <c r="AG1478" s="474" t="s">
        <v>1071</v>
      </c>
      <c r="AH1478" s="474"/>
      <c r="AI1478" s="483">
        <v>60</v>
      </c>
      <c r="AJ1478" s="474" t="s">
        <v>3295</v>
      </c>
      <c r="AK1478" s="494" t="s">
        <v>50</v>
      </c>
      <c r="AL1478" s="474">
        <v>97005</v>
      </c>
      <c r="AM1478" s="474" t="s">
        <v>52</v>
      </c>
      <c r="AN1478" s="474"/>
      <c r="AO1478" s="474"/>
      <c r="AP1478" s="486"/>
      <c r="AQ1478" s="486" t="s">
        <v>37</v>
      </c>
      <c r="AR1478" s="486"/>
      <c r="AS1478" s="495"/>
      <c r="AT1478" s="495"/>
      <c r="AU1478" s="478"/>
      <c r="AV1478" s="471">
        <f t="shared" si="264"/>
        <v>0</v>
      </c>
      <c r="AW1478" s="471" cm="1">
        <f t="array" ref="AW1478">SUM(MID(0&amp;AV1478,LARGE(INDEX(ISNUMBER(--MID(AV1478,ROW($1:$8),1))*ROW($1:$8),),ROW($1:$8))+1,1)*10^ROW($1:$8)/10)</f>
        <v>0</v>
      </c>
      <c r="AX1478" s="471" t="e">
        <f>VLOOKUP($AW1478,'Item Master Data'!$A:$F,3,FALSE)</f>
        <v>#N/A</v>
      </c>
      <c r="AY1478" s="471" t="e">
        <f>VLOOKUP($AW1478,'Item Master Data'!$A:$F,6,FALSE)</f>
        <v>#N/A</v>
      </c>
      <c r="AZ1478" s="471" t="e">
        <f t="shared" si="265"/>
        <v>#N/A</v>
      </c>
      <c r="BA1478" s="471" t="e">
        <f>VLOOKUP(AW1478,'Item Master Data'!$A:$G,7,FALSE)</f>
        <v>#N/A</v>
      </c>
      <c r="BC1478" s="471" t="e">
        <f t="shared" si="266"/>
        <v>#N/A</v>
      </c>
    </row>
    <row r="1479" spans="1:55" s="471" customFormat="1" ht="15" customHeight="1">
      <c r="A1479" s="472"/>
      <c r="B1479" s="515">
        <v>44658</v>
      </c>
      <c r="C1479" s="515">
        <v>44658</v>
      </c>
      <c r="D1479" s="485" t="s">
        <v>3186</v>
      </c>
      <c r="E1479" s="474" t="s">
        <v>1283</v>
      </c>
      <c r="F1479" s="474"/>
      <c r="G1479" s="474">
        <v>2022</v>
      </c>
      <c r="H1479" s="474">
        <v>8</v>
      </c>
      <c r="I1479" s="474" t="s">
        <v>1676</v>
      </c>
      <c r="J1479" s="475"/>
      <c r="K1479" s="483" t="s">
        <v>3500</v>
      </c>
      <c r="L1479" s="474" t="s">
        <v>3290</v>
      </c>
      <c r="M1479" s="487">
        <v>44658</v>
      </c>
      <c r="N1479" s="487">
        <v>44774</v>
      </c>
      <c r="O1479" s="487"/>
      <c r="P1479" s="475"/>
      <c r="Q1479" s="475"/>
      <c r="R1479" s="475"/>
      <c r="S1479" s="474" t="s">
        <v>1563</v>
      </c>
      <c r="T1479" s="474">
        <v>72</v>
      </c>
      <c r="U1479" s="474"/>
      <c r="V1479" s="474" t="s">
        <v>3294</v>
      </c>
      <c r="W1479" s="474">
        <v>480</v>
      </c>
      <c r="X1479" s="476">
        <v>696</v>
      </c>
      <c r="Y1479" s="477">
        <f>X1479*W1479</f>
        <v>334080</v>
      </c>
      <c r="Z1479" s="478">
        <v>0.495</v>
      </c>
      <c r="AA1479" s="479">
        <f>Z1479*Y1479</f>
        <v>165369.60000000001</v>
      </c>
      <c r="AB1479" s="480"/>
      <c r="AC1479" s="481">
        <v>0</v>
      </c>
      <c r="AD1479" s="490"/>
      <c r="AE1479" s="482"/>
      <c r="AF1479" s="493">
        <v>158688</v>
      </c>
      <c r="AG1479" s="474" t="s">
        <v>1071</v>
      </c>
      <c r="AH1479" s="474"/>
      <c r="AI1479" s="483">
        <v>60</v>
      </c>
      <c r="AJ1479" s="474" t="s">
        <v>3295</v>
      </c>
      <c r="AK1479" s="494" t="s">
        <v>50</v>
      </c>
      <c r="AL1479" s="474">
        <v>97005</v>
      </c>
      <c r="AM1479" s="474" t="s">
        <v>52</v>
      </c>
      <c r="AN1479" s="474"/>
      <c r="AO1479" s="474"/>
      <c r="AP1479" s="486"/>
      <c r="AQ1479" s="486" t="s">
        <v>37</v>
      </c>
      <c r="AR1479" s="486"/>
      <c r="AS1479" s="495"/>
      <c r="AT1479" s="495"/>
      <c r="AU1479" s="478"/>
      <c r="AV1479" s="471">
        <f t="shared" si="264"/>
        <v>0</v>
      </c>
      <c r="AW1479" s="471" cm="1">
        <f t="array" ref="AW1479">SUM(MID(0&amp;AV1479,LARGE(INDEX(ISNUMBER(--MID(AV1479,ROW($1:$8),1))*ROW($1:$8),),ROW($1:$8))+1,1)*10^ROW($1:$8)/10)</f>
        <v>0</v>
      </c>
      <c r="AX1479" s="471" t="e">
        <f>VLOOKUP($AW1479,'Item Master Data'!$A:$F,3,FALSE)</f>
        <v>#N/A</v>
      </c>
      <c r="AY1479" s="471" t="e">
        <f>VLOOKUP($AW1479,'Item Master Data'!$A:$F,6,FALSE)</f>
        <v>#N/A</v>
      </c>
      <c r="AZ1479" s="471" t="e">
        <f t="shared" si="265"/>
        <v>#N/A</v>
      </c>
      <c r="BA1479" s="471" t="e">
        <f>VLOOKUP(AW1479,'Item Master Data'!$A:$G,7,FALSE)</f>
        <v>#N/A</v>
      </c>
      <c r="BC1479" s="471" t="e">
        <f t="shared" si="266"/>
        <v>#N/A</v>
      </c>
    </row>
    <row r="1480" spans="1:55" s="471" customFormat="1" ht="15" customHeight="1">
      <c r="A1480" s="472"/>
      <c r="B1480" s="515">
        <v>44658</v>
      </c>
      <c r="C1480" s="472"/>
      <c r="D1480" s="557" t="s">
        <v>3186</v>
      </c>
      <c r="E1480" s="558" t="s">
        <v>3356</v>
      </c>
      <c r="F1480" s="558"/>
      <c r="G1480" s="558">
        <v>2022</v>
      </c>
      <c r="H1480" s="547">
        <v>6</v>
      </c>
      <c r="I1480" s="558" t="s">
        <v>1676</v>
      </c>
      <c r="J1480" s="568"/>
      <c r="K1480" s="564" t="s">
        <v>3494</v>
      </c>
      <c r="L1480" s="558" t="s">
        <v>3290</v>
      </c>
      <c r="M1480" s="560">
        <v>44657</v>
      </c>
      <c r="N1480" s="560">
        <v>44743</v>
      </c>
      <c r="O1480" s="560"/>
      <c r="P1480" s="559"/>
      <c r="Q1480" s="559"/>
      <c r="R1480" s="559"/>
      <c r="S1480" s="558" t="s">
        <v>1563</v>
      </c>
      <c r="T1480" s="558">
        <v>60</v>
      </c>
      <c r="U1480" s="558"/>
      <c r="V1480" s="558" t="s">
        <v>986</v>
      </c>
      <c r="W1480" s="558">
        <v>360</v>
      </c>
      <c r="X1480" s="561">
        <v>704</v>
      </c>
      <c r="Y1480" s="491">
        <f>X1480*W1480</f>
        <v>253440</v>
      </c>
      <c r="Z1480" s="562">
        <v>0.53500000000000003</v>
      </c>
      <c r="AA1480" s="492">
        <f>Z1480*Y1480</f>
        <v>135590.39999999999</v>
      </c>
      <c r="AB1480" s="480"/>
      <c r="AC1480" s="481">
        <f>AB1480*Y1480</f>
        <v>0</v>
      </c>
      <c r="AD1480" s="567"/>
      <c r="AE1480" s="563"/>
      <c r="AF1480" s="493">
        <f>AE1480+AD1480+AA1480</f>
        <v>135590.39999999999</v>
      </c>
      <c r="AG1480" s="558" t="s">
        <v>1071</v>
      </c>
      <c r="AH1480" s="558"/>
      <c r="AI1480" s="564">
        <v>60</v>
      </c>
      <c r="AJ1480" s="558" t="s">
        <v>3291</v>
      </c>
      <c r="AK1480" s="565" t="s">
        <v>50</v>
      </c>
      <c r="AL1480" s="558">
        <v>95363</v>
      </c>
      <c r="AM1480" s="558" t="s">
        <v>52</v>
      </c>
      <c r="AN1480" s="558"/>
      <c r="AO1480" s="558"/>
      <c r="AP1480" s="566"/>
      <c r="AQ1480" s="566" t="s">
        <v>37</v>
      </c>
      <c r="AR1480" s="566"/>
      <c r="AS1480" s="495"/>
      <c r="AT1480" s="495"/>
      <c r="AU1480" s="478">
        <v>0.80577777777000004</v>
      </c>
      <c r="AV1480" s="471">
        <f t="shared" si="264"/>
        <v>0</v>
      </c>
      <c r="AW1480" s="471" cm="1">
        <f t="array" ref="AW1480">SUM(MID(0&amp;AV1480,LARGE(INDEX(ISNUMBER(--MID(AV1480,ROW($1:$8),1))*ROW($1:$8),),ROW($1:$8))+1,1)*10^ROW($1:$8)/10)</f>
        <v>0</v>
      </c>
      <c r="AX1480" s="471" t="e">
        <f>VLOOKUP($AW1480,'Item Master Data'!$A:$F,3,FALSE)</f>
        <v>#N/A</v>
      </c>
      <c r="AY1480" s="471" t="e">
        <f>VLOOKUP($AW1480,'Item Master Data'!$A:$F,6,FALSE)</f>
        <v>#N/A</v>
      </c>
      <c r="AZ1480" s="471" t="e">
        <f t="shared" si="265"/>
        <v>#N/A</v>
      </c>
      <c r="BA1480" s="471" t="e">
        <f>VLOOKUP(AW1480,'Item Master Data'!$A:$G,7,FALSE)</f>
        <v>#N/A</v>
      </c>
      <c r="BC1480" s="471" t="e">
        <f t="shared" si="266"/>
        <v>#N/A</v>
      </c>
    </row>
    <row r="1481" spans="1:55" s="471" customFormat="1" ht="15" customHeight="1">
      <c r="A1481" s="472"/>
      <c r="B1481" s="515">
        <v>44637</v>
      </c>
      <c r="C1481" s="515">
        <v>44637</v>
      </c>
      <c r="D1481" s="485" t="s">
        <v>3186</v>
      </c>
      <c r="E1481" s="474" t="s">
        <v>1283</v>
      </c>
      <c r="F1481" s="474"/>
      <c r="G1481" s="474">
        <v>2022</v>
      </c>
      <c r="H1481" s="474">
        <v>8</v>
      </c>
      <c r="I1481" s="474" t="s">
        <v>1676</v>
      </c>
      <c r="J1481" s="475"/>
      <c r="K1481" s="483" t="s">
        <v>3496</v>
      </c>
      <c r="L1481" s="474" t="s">
        <v>3290</v>
      </c>
      <c r="M1481" s="487">
        <v>44635</v>
      </c>
      <c r="N1481" s="487">
        <v>44713</v>
      </c>
      <c r="O1481" s="487"/>
      <c r="P1481" s="475"/>
      <c r="Q1481" s="475"/>
      <c r="R1481" s="475"/>
      <c r="S1481" s="474" t="s">
        <v>1563</v>
      </c>
      <c r="T1481" s="474">
        <v>72</v>
      </c>
      <c r="U1481" s="474"/>
      <c r="V1481" s="474" t="s">
        <v>3294</v>
      </c>
      <c r="W1481" s="474">
        <v>480</v>
      </c>
      <c r="X1481" s="476">
        <v>696</v>
      </c>
      <c r="Y1481" s="477">
        <f>X1481*W1481</f>
        <v>334080</v>
      </c>
      <c r="Z1481" s="478">
        <v>0.495</v>
      </c>
      <c r="AA1481" s="479">
        <f>Z1481*Y1481</f>
        <v>165369.60000000001</v>
      </c>
      <c r="AB1481" s="480"/>
      <c r="AC1481" s="481">
        <v>0</v>
      </c>
      <c r="AD1481" s="490"/>
      <c r="AE1481" s="482"/>
      <c r="AF1481" s="493">
        <v>158688</v>
      </c>
      <c r="AG1481" s="474" t="s">
        <v>1071</v>
      </c>
      <c r="AH1481" s="474"/>
      <c r="AI1481" s="483">
        <v>60</v>
      </c>
      <c r="AJ1481" s="474" t="s">
        <v>3291</v>
      </c>
      <c r="AK1481" s="494" t="s">
        <v>50</v>
      </c>
      <c r="AL1481" s="474">
        <v>95363</v>
      </c>
      <c r="AM1481" s="474" t="s">
        <v>52</v>
      </c>
      <c r="AN1481" s="474"/>
      <c r="AO1481" s="474"/>
      <c r="AP1481" s="486"/>
      <c r="AQ1481" s="486" t="s">
        <v>37</v>
      </c>
      <c r="AR1481" s="486"/>
      <c r="AS1481" s="495"/>
      <c r="AT1481" s="495"/>
      <c r="AU1481" s="478"/>
      <c r="AV1481" s="471">
        <f t="shared" si="264"/>
        <v>0</v>
      </c>
      <c r="AW1481" s="471" cm="1">
        <f t="array" ref="AW1481">SUM(MID(0&amp;AV1481,LARGE(INDEX(ISNUMBER(--MID(AV1481,ROW($1:$8),1))*ROW($1:$8),),ROW($1:$8))+1,1)*10^ROW($1:$8)/10)</f>
        <v>0</v>
      </c>
      <c r="AX1481" s="471" t="e">
        <f>VLOOKUP($AW1481,'Item Master Data'!$A:$F,3,FALSE)</f>
        <v>#N/A</v>
      </c>
      <c r="AY1481" s="471" t="e">
        <f>VLOOKUP($AW1481,'Item Master Data'!$A:$F,6,FALSE)</f>
        <v>#N/A</v>
      </c>
      <c r="AZ1481" s="471" t="e">
        <f t="shared" si="265"/>
        <v>#N/A</v>
      </c>
      <c r="BA1481" s="471" t="e">
        <f>VLOOKUP(AW1481,'Item Master Data'!$A:$G,7,FALSE)</f>
        <v>#N/A</v>
      </c>
      <c r="BC1481" s="471" t="e">
        <f t="shared" si="266"/>
        <v>#N/A</v>
      </c>
    </row>
    <row r="1482" spans="1:55" s="471" customFormat="1" ht="15" customHeight="1">
      <c r="A1482" s="472"/>
      <c r="B1482" s="515">
        <v>44637</v>
      </c>
      <c r="C1482" s="515">
        <v>44637</v>
      </c>
      <c r="D1482" s="485" t="s">
        <v>3186</v>
      </c>
      <c r="E1482" s="474" t="s">
        <v>1283</v>
      </c>
      <c r="F1482" s="474"/>
      <c r="G1482" s="474">
        <v>2022</v>
      </c>
      <c r="H1482" s="474">
        <v>8</v>
      </c>
      <c r="I1482" s="474" t="s">
        <v>1676</v>
      </c>
      <c r="J1482" s="475"/>
      <c r="K1482" s="483" t="s">
        <v>3495</v>
      </c>
      <c r="L1482" s="474" t="s">
        <v>3290</v>
      </c>
      <c r="M1482" s="487">
        <v>44635</v>
      </c>
      <c r="N1482" s="487">
        <v>44713</v>
      </c>
      <c r="O1482" s="487"/>
      <c r="P1482" s="475"/>
      <c r="Q1482" s="475"/>
      <c r="R1482" s="475"/>
      <c r="S1482" s="474" t="s">
        <v>1563</v>
      </c>
      <c r="T1482" s="474">
        <v>72</v>
      </c>
      <c r="U1482" s="474"/>
      <c r="V1482" s="474" t="s">
        <v>3294</v>
      </c>
      <c r="W1482" s="474">
        <v>480</v>
      </c>
      <c r="X1482" s="476">
        <v>696</v>
      </c>
      <c r="Y1482" s="477">
        <f>X1482*W1482</f>
        <v>334080</v>
      </c>
      <c r="Z1482" s="478">
        <v>0.495</v>
      </c>
      <c r="AA1482" s="479">
        <f>Z1482*Y1482</f>
        <v>165369.60000000001</v>
      </c>
      <c r="AB1482" s="480"/>
      <c r="AC1482" s="481">
        <v>0</v>
      </c>
      <c r="AD1482" s="490"/>
      <c r="AE1482" s="482"/>
      <c r="AF1482" s="493">
        <v>158688</v>
      </c>
      <c r="AG1482" s="474" t="s">
        <v>1071</v>
      </c>
      <c r="AH1482" s="474"/>
      <c r="AI1482" s="483">
        <v>60</v>
      </c>
      <c r="AJ1482" s="474" t="s">
        <v>3295</v>
      </c>
      <c r="AK1482" s="494" t="s">
        <v>1823</v>
      </c>
      <c r="AL1482" s="474">
        <v>97005</v>
      </c>
      <c r="AM1482" s="474" t="s">
        <v>52</v>
      </c>
      <c r="AN1482" s="474"/>
      <c r="AO1482" s="474"/>
      <c r="AP1482" s="486"/>
      <c r="AQ1482" s="486" t="s">
        <v>37</v>
      </c>
      <c r="AR1482" s="486"/>
      <c r="AS1482" s="495"/>
      <c r="AT1482" s="495"/>
      <c r="AU1482" s="478"/>
      <c r="AV1482" s="471">
        <f t="shared" si="264"/>
        <v>0</v>
      </c>
      <c r="AW1482" s="471" cm="1">
        <f t="array" ref="AW1482">SUM(MID(0&amp;AV1482,LARGE(INDEX(ISNUMBER(--MID(AV1482,ROW($1:$8),1))*ROW($1:$8),),ROW($1:$8))+1,1)*10^ROW($1:$8)/10)</f>
        <v>0</v>
      </c>
      <c r="AX1482" s="471" t="e">
        <f>VLOOKUP($AW1482,'Item Master Data'!$A:$F,3,FALSE)</f>
        <v>#N/A</v>
      </c>
      <c r="AY1482" s="471" t="e">
        <f>VLOOKUP($AW1482,'Item Master Data'!$A:$F,6,FALSE)</f>
        <v>#N/A</v>
      </c>
      <c r="AZ1482" s="471" t="e">
        <f t="shared" si="265"/>
        <v>#N/A</v>
      </c>
      <c r="BA1482" s="471" t="e">
        <f>VLOOKUP(AW1482,'Item Master Data'!$A:$G,7,FALSE)</f>
        <v>#N/A</v>
      </c>
      <c r="BC1482" s="471" t="e">
        <f t="shared" si="266"/>
        <v>#N/A</v>
      </c>
    </row>
    <row r="1483" spans="1:55" s="471" customFormat="1" ht="15" customHeight="1">
      <c r="A1483" s="472"/>
      <c r="B1483" s="515">
        <v>44662</v>
      </c>
      <c r="C1483" s="515">
        <v>44662</v>
      </c>
      <c r="D1483" s="485" t="s">
        <v>3186</v>
      </c>
      <c r="E1483" s="474" t="s">
        <v>2984</v>
      </c>
      <c r="F1483" s="474"/>
      <c r="G1483" s="474">
        <v>2022</v>
      </c>
      <c r="H1483" s="474">
        <v>5</v>
      </c>
      <c r="I1483" s="474" t="s">
        <v>1676</v>
      </c>
      <c r="J1483" s="475"/>
      <c r="K1483" s="483" t="s">
        <v>3491</v>
      </c>
      <c r="L1483" s="474" t="s">
        <v>3290</v>
      </c>
      <c r="M1483" s="487">
        <v>44615</v>
      </c>
      <c r="N1483" s="487">
        <v>44691</v>
      </c>
      <c r="O1483" s="487"/>
      <c r="P1483" s="475"/>
      <c r="Q1483" s="475"/>
      <c r="R1483" s="475"/>
      <c r="S1483" s="474" t="s">
        <v>1563</v>
      </c>
      <c r="T1483" s="474">
        <v>72</v>
      </c>
      <c r="U1483" s="474"/>
      <c r="V1483" s="474" t="s">
        <v>3294</v>
      </c>
      <c r="W1483" s="474">
        <v>480</v>
      </c>
      <c r="X1483" s="476">
        <v>696</v>
      </c>
      <c r="Y1483" s="477">
        <f>X1483*W1483</f>
        <v>334080</v>
      </c>
      <c r="Z1483" s="478">
        <v>0.495</v>
      </c>
      <c r="AA1483" s="479">
        <f>Z1483*Y1483</f>
        <v>165369.60000000001</v>
      </c>
      <c r="AB1483" s="480"/>
      <c r="AC1483" s="481">
        <v>0</v>
      </c>
      <c r="AD1483" s="490"/>
      <c r="AE1483" s="482"/>
      <c r="AF1483" s="493">
        <v>158688</v>
      </c>
      <c r="AG1483" s="474" t="s">
        <v>1071</v>
      </c>
      <c r="AH1483" s="474"/>
      <c r="AI1483" s="483">
        <v>60</v>
      </c>
      <c r="AJ1483" s="474" t="s">
        <v>3492</v>
      </c>
      <c r="AK1483" s="494" t="s">
        <v>1706</v>
      </c>
      <c r="AL1483" s="474">
        <v>98134</v>
      </c>
      <c r="AM1483" s="474" t="s">
        <v>52</v>
      </c>
      <c r="AN1483" s="474"/>
      <c r="AO1483" s="474"/>
      <c r="AP1483" s="486"/>
      <c r="AQ1483" s="486" t="s">
        <v>3493</v>
      </c>
      <c r="AR1483" s="486"/>
      <c r="AS1483" s="495"/>
      <c r="AT1483" s="495"/>
      <c r="AU1483" s="478"/>
      <c r="AV1483" s="471">
        <f t="shared" si="264"/>
        <v>0</v>
      </c>
      <c r="AW1483" s="471" cm="1">
        <f t="array" ref="AW1483">SUM(MID(0&amp;AV1483,LARGE(INDEX(ISNUMBER(--MID(AV1483,ROW($1:$8),1))*ROW($1:$8),),ROW($1:$8))+1,1)*10^ROW($1:$8)/10)</f>
        <v>0</v>
      </c>
      <c r="AX1483" s="471" t="e">
        <f>VLOOKUP($AW1483,'Item Master Data'!$A:$F,3,FALSE)</f>
        <v>#N/A</v>
      </c>
      <c r="AY1483" s="471" t="e">
        <f>VLOOKUP($AW1483,'Item Master Data'!$A:$F,6,FALSE)</f>
        <v>#N/A</v>
      </c>
      <c r="AZ1483" s="471" t="e">
        <f t="shared" si="265"/>
        <v>#N/A</v>
      </c>
      <c r="BA1483" s="471" t="e">
        <f>VLOOKUP(AW1483,'Item Master Data'!$A:$G,7,FALSE)</f>
        <v>#N/A</v>
      </c>
      <c r="BC1483" s="471" t="e">
        <f t="shared" si="266"/>
        <v>#N/A</v>
      </c>
    </row>
    <row r="1484" spans="1:55" s="471" customFormat="1">
      <c r="A1484" s="472"/>
      <c r="B1484" s="515">
        <v>44670</v>
      </c>
      <c r="C1484" s="515">
        <v>44580</v>
      </c>
      <c r="D1484" s="485" t="s">
        <v>3186</v>
      </c>
      <c r="E1484" s="474" t="s">
        <v>2984</v>
      </c>
      <c r="F1484" s="474"/>
      <c r="G1484" s="474">
        <v>2022</v>
      </c>
      <c r="H1484" s="474">
        <v>5</v>
      </c>
      <c r="I1484" s="474" t="s">
        <v>1676</v>
      </c>
      <c r="J1484" s="475"/>
      <c r="K1484" s="483" t="s">
        <v>3490</v>
      </c>
      <c r="L1484" s="474" t="s">
        <v>3290</v>
      </c>
      <c r="M1484" s="487">
        <v>44579</v>
      </c>
      <c r="N1484" s="487">
        <v>44711</v>
      </c>
      <c r="O1484" s="487"/>
      <c r="P1484" s="475"/>
      <c r="Q1484" s="475"/>
      <c r="R1484" s="475"/>
      <c r="S1484" s="474" t="s">
        <v>1563</v>
      </c>
      <c r="T1484" s="474">
        <v>72</v>
      </c>
      <c r="U1484" s="474"/>
      <c r="V1484" s="474" t="s">
        <v>3294</v>
      </c>
      <c r="W1484" s="474">
        <v>480</v>
      </c>
      <c r="X1484" s="476">
        <v>696</v>
      </c>
      <c r="Y1484" s="477">
        <f>X1484*W1484</f>
        <v>334080</v>
      </c>
      <c r="Z1484" s="478">
        <v>0.47499999999999998</v>
      </c>
      <c r="AA1484" s="479">
        <f>Z1484*Y1484</f>
        <v>158688</v>
      </c>
      <c r="AB1484" s="480"/>
      <c r="AC1484" s="481">
        <v>0</v>
      </c>
      <c r="AD1484" s="490"/>
      <c r="AE1484" s="482"/>
      <c r="AF1484" s="493">
        <v>158688</v>
      </c>
      <c r="AG1484" s="474" t="s">
        <v>1071</v>
      </c>
      <c r="AH1484" s="474"/>
      <c r="AI1484" s="483">
        <v>60</v>
      </c>
      <c r="AJ1484" s="474" t="s">
        <v>3295</v>
      </c>
      <c r="AK1484" s="494" t="s">
        <v>1823</v>
      </c>
      <c r="AL1484" s="474">
        <v>97005</v>
      </c>
      <c r="AM1484" s="474" t="s">
        <v>52</v>
      </c>
      <c r="AN1484" s="474"/>
      <c r="AO1484" s="474"/>
      <c r="AP1484" s="486"/>
      <c r="AQ1484" s="486" t="s">
        <v>37</v>
      </c>
      <c r="AR1484" s="486"/>
      <c r="AS1484" s="495"/>
      <c r="AT1484" s="495"/>
      <c r="AU1484" s="478"/>
      <c r="AV1484" s="471">
        <f t="shared" si="264"/>
        <v>0</v>
      </c>
      <c r="AW1484" s="471" cm="1">
        <f t="array" ref="AW1484">SUM(MID(0&amp;AV1484,LARGE(INDEX(ISNUMBER(--MID(AV1484,ROW($1:$8),1))*ROW($1:$8),),ROW($1:$8))+1,1)*10^ROW($1:$8)/10)</f>
        <v>0</v>
      </c>
      <c r="AX1484" s="471" t="e">
        <f>VLOOKUP($AW1484,'Item Master Data'!$A:$F,3,FALSE)</f>
        <v>#N/A</v>
      </c>
      <c r="AY1484" s="471" t="e">
        <f>VLOOKUP($AW1484,'Item Master Data'!$A:$F,6,FALSE)</f>
        <v>#N/A</v>
      </c>
      <c r="AZ1484" s="471" t="e">
        <f t="shared" si="265"/>
        <v>#N/A</v>
      </c>
      <c r="BA1484" s="471" t="e">
        <f>VLOOKUP(AW1484,'Item Master Data'!$A:$G,7,FALSE)</f>
        <v>#N/A</v>
      </c>
      <c r="BC1484" s="471" t="e">
        <f t="shared" si="266"/>
        <v>#N/A</v>
      </c>
    </row>
    <row r="1485" spans="1:55" s="471" customFormat="1">
      <c r="A1485" s="472"/>
      <c r="B1485" s="515">
        <v>44634</v>
      </c>
      <c r="C1485" s="515">
        <v>44634</v>
      </c>
      <c r="D1485" s="485" t="s">
        <v>3186</v>
      </c>
      <c r="E1485" s="474" t="s">
        <v>3288</v>
      </c>
      <c r="F1485" s="474"/>
      <c r="G1485" s="474">
        <v>2022</v>
      </c>
      <c r="H1485" s="474">
        <v>3</v>
      </c>
      <c r="I1485" s="474">
        <v>127308</v>
      </c>
      <c r="J1485" s="475">
        <v>44635</v>
      </c>
      <c r="K1485" s="483" t="s">
        <v>3293</v>
      </c>
      <c r="L1485" s="474" t="s">
        <v>3290</v>
      </c>
      <c r="M1485" s="487">
        <v>44579</v>
      </c>
      <c r="N1485" s="487">
        <v>44651</v>
      </c>
      <c r="O1485" s="487"/>
      <c r="P1485" s="475">
        <v>44630</v>
      </c>
      <c r="Q1485" s="475">
        <v>44635</v>
      </c>
      <c r="R1485" s="475">
        <v>44643</v>
      </c>
      <c r="S1485" s="474" t="s">
        <v>1563</v>
      </c>
      <c r="T1485" s="474">
        <v>72</v>
      </c>
      <c r="U1485" s="474" t="s">
        <v>1103</v>
      </c>
      <c r="V1485" s="474" t="s">
        <v>3294</v>
      </c>
      <c r="W1485" s="474">
        <v>480</v>
      </c>
      <c r="X1485" s="476">
        <v>696</v>
      </c>
      <c r="Y1485" s="477">
        <v>334080</v>
      </c>
      <c r="Z1485" s="478">
        <v>0.495</v>
      </c>
      <c r="AA1485" s="479">
        <f>Z1485*Y1485</f>
        <v>165369.60000000001</v>
      </c>
      <c r="AB1485" s="480"/>
      <c r="AC1485" s="481">
        <v>0</v>
      </c>
      <c r="AD1485" s="490"/>
      <c r="AE1485" s="482"/>
      <c r="AF1485" s="493">
        <v>158688</v>
      </c>
      <c r="AG1485" s="474" t="s">
        <v>1071</v>
      </c>
      <c r="AH1485" s="474"/>
      <c r="AI1485" s="483">
        <v>60</v>
      </c>
      <c r="AJ1485" s="474" t="s">
        <v>3295</v>
      </c>
      <c r="AK1485" s="494" t="s">
        <v>1823</v>
      </c>
      <c r="AL1485" s="474">
        <v>97005</v>
      </c>
      <c r="AM1485" s="474" t="s">
        <v>52</v>
      </c>
      <c r="AN1485" s="474" t="s">
        <v>50</v>
      </c>
      <c r="AO1485" s="474"/>
      <c r="AP1485" s="486" t="s">
        <v>38</v>
      </c>
      <c r="AQ1485" s="486" t="s">
        <v>37</v>
      </c>
      <c r="AR1485" s="486"/>
      <c r="AS1485" s="495"/>
      <c r="AT1485" s="495"/>
      <c r="AU1485" s="478"/>
      <c r="AV1485" s="471" t="str">
        <f t="shared" si="264"/>
        <v>30397472F</v>
      </c>
      <c r="AW1485" s="471" cm="1">
        <f t="array" ref="AW1485">SUM(MID(0&amp;AV1485,LARGE(INDEX(ISNUMBER(--MID(AV1485,ROW($1:$8),1))*ROW($1:$8),),ROW($1:$8))+1,1)*10^ROW($1:$8)/10)</f>
        <v>30397472</v>
      </c>
      <c r="AX1485" s="471" t="str">
        <f>VLOOKUP($AW1485,'Item Master Data'!$A:$F,3,FALSE)</f>
        <v>Q.PEAK DUO XL G10</v>
      </c>
      <c r="AY1485" s="471">
        <f>VLOOKUP($AW1485,'Item Master Data'!$A:$F,6,FALSE)</f>
        <v>480</v>
      </c>
      <c r="AZ1485" s="471">
        <f t="shared" si="265"/>
        <v>24</v>
      </c>
      <c r="BA1485" s="471">
        <f>VLOOKUP(AW1485,'Item Master Data'!$A:$G,7,FALSE)</f>
        <v>29</v>
      </c>
      <c r="BC1485" s="471">
        <f t="shared" si="266"/>
        <v>0</v>
      </c>
    </row>
    <row r="1486" spans="1:55" s="471" customFormat="1">
      <c r="A1486" s="472"/>
      <c r="B1486" s="515">
        <v>44671</v>
      </c>
      <c r="C1486" s="515">
        <v>44671</v>
      </c>
      <c r="D1486" s="485" t="s">
        <v>3186</v>
      </c>
      <c r="E1486" s="474" t="s">
        <v>3356</v>
      </c>
      <c r="F1486" s="474"/>
      <c r="G1486" s="474">
        <v>2022</v>
      </c>
      <c r="H1486" s="547">
        <v>4</v>
      </c>
      <c r="I1486" s="474"/>
      <c r="J1486" s="475"/>
      <c r="K1486" s="483" t="s">
        <v>3357</v>
      </c>
      <c r="L1486" s="474" t="s">
        <v>3290</v>
      </c>
      <c r="M1486" s="487">
        <v>44550</v>
      </c>
      <c r="N1486" s="487">
        <v>44621</v>
      </c>
      <c r="O1486" s="487"/>
      <c r="P1486" s="475">
        <v>44676</v>
      </c>
      <c r="Q1486" s="475"/>
      <c r="R1486" s="475"/>
      <c r="S1486" s="474" t="s">
        <v>1563</v>
      </c>
      <c r="T1486" s="474">
        <v>60</v>
      </c>
      <c r="U1486" s="474" t="s">
        <v>1760</v>
      </c>
      <c r="V1486" s="474" t="s">
        <v>973</v>
      </c>
      <c r="W1486" s="474">
        <v>400</v>
      </c>
      <c r="X1486" s="476">
        <v>768</v>
      </c>
      <c r="Y1486" s="477">
        <f>X1486*W1486</f>
        <v>307200</v>
      </c>
      <c r="Z1486" s="478">
        <v>0.52500000000000002</v>
      </c>
      <c r="AA1486" s="479">
        <f>Z1486*Y1486</f>
        <v>161280</v>
      </c>
      <c r="AB1486" s="480"/>
      <c r="AC1486" s="481">
        <f>AB1486*Y1486</f>
        <v>0</v>
      </c>
      <c r="AD1486" s="490"/>
      <c r="AE1486" s="482"/>
      <c r="AF1486" s="493">
        <f>AE1486+AD1486+AA1486</f>
        <v>161280</v>
      </c>
      <c r="AG1486" s="474" t="s">
        <v>1071</v>
      </c>
      <c r="AH1486" s="474"/>
      <c r="AI1486" s="483">
        <v>60</v>
      </c>
      <c r="AJ1486" s="474" t="s">
        <v>3295</v>
      </c>
      <c r="AK1486" s="494" t="s">
        <v>1823</v>
      </c>
      <c r="AL1486" s="474">
        <v>97005</v>
      </c>
      <c r="AM1486" s="474" t="s">
        <v>52</v>
      </c>
      <c r="AN1486" s="474" t="s">
        <v>50</v>
      </c>
      <c r="AO1486" s="474"/>
      <c r="AP1486" s="486"/>
      <c r="AQ1486" s="486" t="s">
        <v>37</v>
      </c>
      <c r="AR1486" s="486"/>
      <c r="AS1486" s="495"/>
      <c r="AT1486" s="495"/>
      <c r="AU1486" s="478">
        <v>0.52500000000000002</v>
      </c>
      <c r="AV1486" s="471" t="str">
        <f t="shared" si="264"/>
        <v>30390156H</v>
      </c>
      <c r="AW1486" s="471" cm="1">
        <f t="array" ref="AW1486">SUM(MID(0&amp;AV1486,LARGE(INDEX(ISNUMBER(--MID(AV1486,ROW($1:$8),1))*ROW($1:$8),),ROW($1:$8))+1,1)*10^ROW($1:$8)/10)</f>
        <v>30390156</v>
      </c>
      <c r="AX1486" s="471" t="str">
        <f>VLOOKUP($AW1486,'Item Master Data'!$A:$F,3,FALSE)</f>
        <v>Q.PEAK DUO BLK ML G10+</v>
      </c>
      <c r="AY1486" s="471">
        <f>VLOOKUP($AW1486,'Item Master Data'!$A:$F,6,FALSE)</f>
        <v>400</v>
      </c>
      <c r="AZ1486" s="471">
        <f t="shared" si="265"/>
        <v>24</v>
      </c>
      <c r="BA1486" s="471">
        <f>VLOOKUP(AW1486,'Item Master Data'!$A:$G,7,FALSE)</f>
        <v>32</v>
      </c>
      <c r="BC1486" s="471">
        <f t="shared" si="266"/>
        <v>0</v>
      </c>
    </row>
    <row r="1487" spans="1:55" s="471" customFormat="1">
      <c r="A1487" s="472">
        <v>10</v>
      </c>
      <c r="B1487" s="515">
        <v>44616</v>
      </c>
      <c r="C1487" s="515">
        <v>44616</v>
      </c>
      <c r="D1487" s="485" t="s">
        <v>3186</v>
      </c>
      <c r="E1487" s="474"/>
      <c r="F1487" s="474"/>
      <c r="G1487" s="474">
        <v>2022</v>
      </c>
      <c r="H1487" s="474">
        <v>3</v>
      </c>
      <c r="I1487" s="474">
        <v>127311</v>
      </c>
      <c r="J1487" s="475">
        <v>44637</v>
      </c>
      <c r="K1487" s="483" t="s">
        <v>3292</v>
      </c>
      <c r="L1487" s="474" t="s">
        <v>3290</v>
      </c>
      <c r="M1487" s="487">
        <v>44550</v>
      </c>
      <c r="N1487" s="487">
        <v>44621</v>
      </c>
      <c r="O1487" s="487"/>
      <c r="P1487" s="475">
        <v>44630</v>
      </c>
      <c r="Q1487" s="475">
        <v>44637</v>
      </c>
      <c r="R1487" s="475">
        <v>44638</v>
      </c>
      <c r="S1487" s="474" t="s">
        <v>1563</v>
      </c>
      <c r="T1487" s="474">
        <v>60</v>
      </c>
      <c r="U1487" s="474" t="s">
        <v>1760</v>
      </c>
      <c r="V1487" s="474" t="s">
        <v>973</v>
      </c>
      <c r="W1487" s="474">
        <v>400</v>
      </c>
      <c r="X1487" s="476">
        <v>768</v>
      </c>
      <c r="Y1487" s="477">
        <f>X1487*W1487</f>
        <v>307200</v>
      </c>
      <c r="Z1487" s="478">
        <v>0.52500000000000002</v>
      </c>
      <c r="AA1487" s="479">
        <f>Z1487*Y1487</f>
        <v>161280</v>
      </c>
      <c r="AB1487" s="480"/>
      <c r="AC1487" s="481">
        <f>AB1487*Y1487</f>
        <v>0</v>
      </c>
      <c r="AD1487" s="490"/>
      <c r="AE1487" s="482"/>
      <c r="AF1487" s="493">
        <f>AE1487+AD1487+AA1487</f>
        <v>161280</v>
      </c>
      <c r="AG1487" s="474" t="s">
        <v>1071</v>
      </c>
      <c r="AH1487" s="474"/>
      <c r="AI1487" s="483">
        <v>60</v>
      </c>
      <c r="AJ1487" s="474" t="s">
        <v>3291</v>
      </c>
      <c r="AK1487" s="494" t="s">
        <v>50</v>
      </c>
      <c r="AL1487" s="474">
        <v>95363</v>
      </c>
      <c r="AM1487" s="474" t="s">
        <v>52</v>
      </c>
      <c r="AN1487" s="474" t="s">
        <v>50</v>
      </c>
      <c r="AO1487" s="474"/>
      <c r="AP1487" s="486" t="s">
        <v>38</v>
      </c>
      <c r="AQ1487" s="486" t="s">
        <v>37</v>
      </c>
      <c r="AR1487" s="486"/>
      <c r="AS1487" s="495"/>
      <c r="AT1487" s="495"/>
      <c r="AU1487" s="478">
        <v>0.52500000000000002</v>
      </c>
      <c r="AV1487" s="471" t="str">
        <f t="shared" si="264"/>
        <v>30390156H</v>
      </c>
      <c r="AW1487" s="471" cm="1">
        <f t="array" ref="AW1487">SUM(MID(0&amp;AV1487,LARGE(INDEX(ISNUMBER(--MID(AV1487,ROW($1:$8),1))*ROW($1:$8),),ROW($1:$8))+1,1)*10^ROW($1:$8)/10)</f>
        <v>30390156</v>
      </c>
      <c r="AX1487" s="471" t="str">
        <f>VLOOKUP($AW1487,'Item Master Data'!$A:$F,3,FALSE)</f>
        <v>Q.PEAK DUO BLK ML G10+</v>
      </c>
      <c r="AY1487" s="471">
        <f>VLOOKUP($AW1487,'Item Master Data'!$A:$F,6,FALSE)</f>
        <v>400</v>
      </c>
      <c r="AZ1487" s="471">
        <f t="shared" si="265"/>
        <v>24</v>
      </c>
      <c r="BA1487" s="471">
        <f>VLOOKUP(AW1487,'Item Master Data'!$A:$G,7,FALSE)</f>
        <v>32</v>
      </c>
      <c r="BC1487" s="471">
        <f t="shared" si="266"/>
        <v>0</v>
      </c>
    </row>
    <row r="1488" spans="1:55" s="471" customFormat="1">
      <c r="A1488" s="472"/>
      <c r="B1488" s="515"/>
      <c r="C1488" s="515"/>
      <c r="D1488" s="485" t="s">
        <v>3186</v>
      </c>
      <c r="E1488" s="474" t="s">
        <v>3354</v>
      </c>
      <c r="F1488" s="474"/>
      <c r="G1488" s="474">
        <v>2022</v>
      </c>
      <c r="H1488" s="547">
        <v>5</v>
      </c>
      <c r="I1488" s="474"/>
      <c r="J1488" s="475"/>
      <c r="K1488" s="483" t="s">
        <v>3489</v>
      </c>
      <c r="L1488" s="474" t="s">
        <v>3290</v>
      </c>
      <c r="M1488" s="487">
        <v>44509</v>
      </c>
      <c r="N1488" s="487">
        <v>44576</v>
      </c>
      <c r="O1488" s="487"/>
      <c r="P1488" s="475"/>
      <c r="Q1488" s="475"/>
      <c r="R1488" s="475"/>
      <c r="S1488" s="474" t="s">
        <v>1563</v>
      </c>
      <c r="T1488" s="474">
        <v>60</v>
      </c>
      <c r="U1488" s="474"/>
      <c r="V1488" s="474" t="s">
        <v>986</v>
      </c>
      <c r="W1488" s="474">
        <v>360</v>
      </c>
      <c r="X1488" s="476">
        <v>704</v>
      </c>
      <c r="Y1488" s="477">
        <f>X1488*W1488</f>
        <v>253440</v>
      </c>
      <c r="Z1488" s="478">
        <f>181.8/360</f>
        <v>0.505</v>
      </c>
      <c r="AA1488" s="479">
        <f>Z1488*Y1488</f>
        <v>127987.2</v>
      </c>
      <c r="AB1488" s="480"/>
      <c r="AC1488" s="481">
        <f>AB1488*Y1488</f>
        <v>0</v>
      </c>
      <c r="AD1488" s="490"/>
      <c r="AE1488" s="482"/>
      <c r="AF1488" s="493">
        <f>AE1488+AD1488+AA1488</f>
        <v>127987.2</v>
      </c>
      <c r="AG1488" s="474" t="s">
        <v>1071</v>
      </c>
      <c r="AH1488" s="474"/>
      <c r="AI1488" s="483">
        <v>60</v>
      </c>
      <c r="AJ1488" s="474" t="s">
        <v>3291</v>
      </c>
      <c r="AK1488" s="494" t="s">
        <v>50</v>
      </c>
      <c r="AL1488" s="474">
        <v>95363</v>
      </c>
      <c r="AM1488" s="474" t="s">
        <v>52</v>
      </c>
      <c r="AN1488" s="474"/>
      <c r="AO1488" s="474"/>
      <c r="AP1488" s="486"/>
      <c r="AQ1488" s="486" t="s">
        <v>37</v>
      </c>
      <c r="AR1488" s="486"/>
      <c r="AS1488" s="495"/>
      <c r="AT1488" s="495"/>
      <c r="AU1488" s="478"/>
      <c r="AV1488" s="471">
        <f t="shared" si="264"/>
        <v>0</v>
      </c>
      <c r="AW1488" s="471" cm="1">
        <f t="array" ref="AW1488">SUM(MID(0&amp;AV1488,LARGE(INDEX(ISNUMBER(--MID(AV1488,ROW($1:$8),1))*ROW($1:$8),),ROW($1:$8))+1,1)*10^ROW($1:$8)/10)</f>
        <v>0</v>
      </c>
      <c r="AX1488" s="471" t="e">
        <f>VLOOKUP($AW1488,'Item Master Data'!$A:$F,3,FALSE)</f>
        <v>#N/A</v>
      </c>
      <c r="AY1488" s="471" t="e">
        <f>VLOOKUP($AW1488,'Item Master Data'!$A:$F,6,FALSE)</f>
        <v>#N/A</v>
      </c>
      <c r="AZ1488" s="471" t="e">
        <f t="shared" si="265"/>
        <v>#N/A</v>
      </c>
      <c r="BA1488" s="471" t="e">
        <f>VLOOKUP(AW1488,'Item Master Data'!$A:$G,7,FALSE)</f>
        <v>#N/A</v>
      </c>
      <c r="BC1488" s="471" t="e">
        <f t="shared" si="266"/>
        <v>#N/A</v>
      </c>
    </row>
    <row r="1489" spans="1:55" s="471" customFormat="1">
      <c r="A1489" s="472"/>
      <c r="B1489" s="515"/>
      <c r="C1489" s="515"/>
      <c r="D1489" s="485" t="s">
        <v>3186</v>
      </c>
      <c r="E1489" s="474"/>
      <c r="F1489" s="474"/>
      <c r="G1489" s="474">
        <v>2022</v>
      </c>
      <c r="H1489" s="547">
        <v>4</v>
      </c>
      <c r="I1489" s="474"/>
      <c r="J1489" s="475"/>
      <c r="K1489" s="483" t="s">
        <v>3355</v>
      </c>
      <c r="L1489" s="474" t="s">
        <v>3290</v>
      </c>
      <c r="M1489" s="487">
        <v>44509</v>
      </c>
      <c r="N1489" s="487">
        <v>44576</v>
      </c>
      <c r="O1489" s="487"/>
      <c r="P1489" s="475">
        <v>44671</v>
      </c>
      <c r="Q1489" s="475"/>
      <c r="R1489" s="475"/>
      <c r="S1489" s="474" t="s">
        <v>1563</v>
      </c>
      <c r="T1489" s="474">
        <v>60</v>
      </c>
      <c r="U1489" s="474">
        <v>49204132</v>
      </c>
      <c r="V1489" s="474" t="s">
        <v>986</v>
      </c>
      <c r="W1489" s="474">
        <v>360</v>
      </c>
      <c r="X1489" s="476">
        <v>704</v>
      </c>
      <c r="Y1489" s="477">
        <f>X1489*W1489</f>
        <v>253440</v>
      </c>
      <c r="Z1489" s="478">
        <f>181.8/360</f>
        <v>0.505</v>
      </c>
      <c r="AA1489" s="479">
        <f>Z1489*Y1489</f>
        <v>127987.2</v>
      </c>
      <c r="AB1489" s="480"/>
      <c r="AC1489" s="481">
        <f>AB1489*Y1489</f>
        <v>0</v>
      </c>
      <c r="AD1489" s="490"/>
      <c r="AE1489" s="482"/>
      <c r="AF1489" s="493">
        <f>AE1489+AD1489+AA1489</f>
        <v>127987.2</v>
      </c>
      <c r="AG1489" s="474" t="s">
        <v>1071</v>
      </c>
      <c r="AH1489" s="474"/>
      <c r="AI1489" s="483">
        <v>60</v>
      </c>
      <c r="AJ1489" s="474" t="s">
        <v>3295</v>
      </c>
      <c r="AK1489" s="494" t="s">
        <v>1823</v>
      </c>
      <c r="AL1489" s="474">
        <v>97005</v>
      </c>
      <c r="AM1489" s="474" t="s">
        <v>52</v>
      </c>
      <c r="AN1489" s="474" t="s">
        <v>1106</v>
      </c>
      <c r="AO1489" s="474"/>
      <c r="AP1489" s="486"/>
      <c r="AQ1489" s="486" t="s">
        <v>37</v>
      </c>
      <c r="AR1489" s="486"/>
      <c r="AS1489" s="495"/>
      <c r="AT1489" s="495"/>
      <c r="AU1489" s="478"/>
      <c r="AV1489" s="471">
        <f t="shared" si="264"/>
        <v>49204132</v>
      </c>
      <c r="AW1489" s="471" cm="1">
        <f t="array" ref="AW1489">SUM(MID(0&amp;AV1489,LARGE(INDEX(ISNUMBER(--MID(AV1489,ROW($1:$8),1))*ROW($1:$8),),ROW($1:$8))+1,1)*10^ROW($1:$8)/10)</f>
        <v>49204132</v>
      </c>
      <c r="AX1489" s="471" t="str">
        <f>VLOOKUP($AW1489,'Item Master Data'!$A:$F,3,FALSE)</f>
        <v>Q.PEAK DUO BLK G10+/AC</v>
      </c>
      <c r="AY1489" s="471">
        <f>VLOOKUP($AW1489,'Item Master Data'!$A:$F,6,FALSE)</f>
        <v>360</v>
      </c>
      <c r="AZ1489" s="471">
        <f t="shared" si="265"/>
        <v>27.076923076923077</v>
      </c>
      <c r="BA1489" s="471">
        <f>VLOOKUP(AW1489,'Item Master Data'!$A:$G,7,FALSE)</f>
        <v>26</v>
      </c>
      <c r="BC1489" s="471">
        <f t="shared" si="266"/>
        <v>0</v>
      </c>
    </row>
    <row r="1490" spans="1:55" s="471" customFormat="1">
      <c r="A1490" s="472"/>
      <c r="B1490" s="515">
        <v>44642</v>
      </c>
      <c r="C1490" s="515">
        <v>44642</v>
      </c>
      <c r="D1490" s="485" t="s">
        <v>3186</v>
      </c>
      <c r="E1490" s="474" t="s">
        <v>3288</v>
      </c>
      <c r="F1490" s="474"/>
      <c r="G1490" s="474">
        <v>2022</v>
      </c>
      <c r="H1490" s="474">
        <v>3</v>
      </c>
      <c r="I1490" s="474">
        <v>127422</v>
      </c>
      <c r="J1490" s="475">
        <v>44636</v>
      </c>
      <c r="K1490" s="483" t="s">
        <v>3289</v>
      </c>
      <c r="L1490" s="474" t="s">
        <v>3290</v>
      </c>
      <c r="M1490" s="487">
        <v>44498</v>
      </c>
      <c r="N1490" s="487">
        <v>44625</v>
      </c>
      <c r="O1490" s="487"/>
      <c r="P1490" s="475">
        <v>44630</v>
      </c>
      <c r="Q1490" s="475">
        <v>44636</v>
      </c>
      <c r="R1490" s="475">
        <v>44641</v>
      </c>
      <c r="S1490" s="474" t="s">
        <v>1563</v>
      </c>
      <c r="T1490" s="474">
        <v>72</v>
      </c>
      <c r="U1490" s="474" t="s">
        <v>1103</v>
      </c>
      <c r="V1490" s="474" t="s">
        <v>1002</v>
      </c>
      <c r="W1490" s="474">
        <v>480</v>
      </c>
      <c r="X1490" s="476">
        <v>696</v>
      </c>
      <c r="Y1490" s="477">
        <f>X1490*W1490</f>
        <v>334080</v>
      </c>
      <c r="Z1490" s="478">
        <v>0.495</v>
      </c>
      <c r="AA1490" s="479">
        <f>Z1490*Y1490</f>
        <v>165369.60000000001</v>
      </c>
      <c r="AB1490" s="480"/>
      <c r="AC1490" s="481">
        <f>AB1490*Y1490</f>
        <v>0</v>
      </c>
      <c r="AD1490" s="490"/>
      <c r="AE1490" s="482"/>
      <c r="AF1490" s="493">
        <f>AE1490+AD1490+AA1490</f>
        <v>165369.60000000001</v>
      </c>
      <c r="AG1490" s="474" t="s">
        <v>1071</v>
      </c>
      <c r="AH1490" s="474"/>
      <c r="AI1490" s="483">
        <v>60</v>
      </c>
      <c r="AJ1490" s="474" t="s">
        <v>3291</v>
      </c>
      <c r="AK1490" s="494" t="s">
        <v>50</v>
      </c>
      <c r="AL1490" s="474">
        <v>95363</v>
      </c>
      <c r="AM1490" s="474" t="s">
        <v>52</v>
      </c>
      <c r="AN1490" s="474" t="s">
        <v>50</v>
      </c>
      <c r="AO1490" s="474"/>
      <c r="AP1490" s="486" t="s">
        <v>38</v>
      </c>
      <c r="AQ1490" s="486" t="s">
        <v>37</v>
      </c>
      <c r="AR1490" s="486"/>
      <c r="AS1490" s="495"/>
      <c r="AT1490" s="495"/>
      <c r="AU1490" s="478"/>
      <c r="AV1490" s="471" t="str">
        <f t="shared" si="264"/>
        <v>30397472F</v>
      </c>
      <c r="AW1490" s="471" cm="1">
        <f t="array" ref="AW1490">SUM(MID(0&amp;AV1490,LARGE(INDEX(ISNUMBER(--MID(AV1490,ROW($1:$8),1))*ROW($1:$8),),ROW($1:$8))+1,1)*10^ROW($1:$8)/10)</f>
        <v>30397472</v>
      </c>
      <c r="AX1490" s="471" t="str">
        <f>VLOOKUP($AW1490,'Item Master Data'!$A:$F,3,FALSE)</f>
        <v>Q.PEAK DUO XL G10</v>
      </c>
      <c r="AY1490" s="471">
        <f>VLOOKUP($AW1490,'Item Master Data'!$A:$F,6,FALSE)</f>
        <v>480</v>
      </c>
      <c r="AZ1490" s="471">
        <f t="shared" si="265"/>
        <v>24</v>
      </c>
      <c r="BA1490" s="471">
        <f>VLOOKUP(AW1490,'Item Master Data'!$A:$G,7,FALSE)</f>
        <v>29</v>
      </c>
      <c r="BC1490" s="471">
        <f t="shared" si="266"/>
        <v>0</v>
      </c>
    </row>
    <row r="1491" spans="1:55" s="471" customFormat="1">
      <c r="A1491" s="472"/>
      <c r="B1491" s="514">
        <v>44643</v>
      </c>
      <c r="C1491" s="514">
        <v>44643</v>
      </c>
      <c r="D1491" s="485" t="s">
        <v>3186</v>
      </c>
      <c r="E1491" s="474"/>
      <c r="F1491" s="474"/>
      <c r="G1491" s="474">
        <v>2022</v>
      </c>
      <c r="H1491" s="474">
        <v>3</v>
      </c>
      <c r="I1491" s="474">
        <v>127505</v>
      </c>
      <c r="J1491" s="475">
        <v>44645</v>
      </c>
      <c r="K1491" s="483" t="s">
        <v>3256</v>
      </c>
      <c r="L1491" s="474" t="s">
        <v>3257</v>
      </c>
      <c r="M1491" s="487">
        <v>44643</v>
      </c>
      <c r="N1491" s="487">
        <v>44643</v>
      </c>
      <c r="O1491" s="487"/>
      <c r="P1491" s="475">
        <v>44643</v>
      </c>
      <c r="Q1491" s="475">
        <v>44645</v>
      </c>
      <c r="R1491" s="475">
        <v>44648</v>
      </c>
      <c r="S1491" s="474" t="s">
        <v>2379</v>
      </c>
      <c r="T1491" s="474">
        <v>60</v>
      </c>
      <c r="U1491" s="474" t="s">
        <v>1879</v>
      </c>
      <c r="V1491" s="474" t="s">
        <v>3234</v>
      </c>
      <c r="W1491" s="474">
        <v>405</v>
      </c>
      <c r="X1491" s="476">
        <v>832</v>
      </c>
      <c r="Y1491" s="491">
        <f>X1491*W1491</f>
        <v>336960</v>
      </c>
      <c r="Z1491" s="478">
        <v>0.51</v>
      </c>
      <c r="AA1491" s="492">
        <f>Z1491*Y1491</f>
        <v>171849.60000000001</v>
      </c>
      <c r="AB1491" s="480"/>
      <c r="AC1491" s="481">
        <f>AB1491*Y1491</f>
        <v>0</v>
      </c>
      <c r="AD1491" s="490"/>
      <c r="AE1491" s="482"/>
      <c r="AF1491" s="493">
        <f>AE1491+AD1491+AA1491</f>
        <v>171849.60000000001</v>
      </c>
      <c r="AG1491" s="474" t="s">
        <v>1071</v>
      </c>
      <c r="AH1491" s="474"/>
      <c r="AI1491" s="483" t="s">
        <v>2442</v>
      </c>
      <c r="AJ1491" s="474" t="s">
        <v>3258</v>
      </c>
      <c r="AK1491" s="494" t="s">
        <v>3259</v>
      </c>
      <c r="AL1491" s="474">
        <v>77494</v>
      </c>
      <c r="AM1491" s="474" t="s">
        <v>52</v>
      </c>
      <c r="AN1491" s="474" t="s">
        <v>50</v>
      </c>
      <c r="AO1491" s="474"/>
      <c r="AP1491" s="486" t="s">
        <v>38</v>
      </c>
      <c r="AQ1491" s="486" t="s">
        <v>37</v>
      </c>
      <c r="AR1491" s="486" t="s">
        <v>3236</v>
      </c>
      <c r="AS1491" s="495"/>
      <c r="AT1491" s="495"/>
      <c r="AU1491" s="478">
        <v>0.51</v>
      </c>
      <c r="AV1491" s="471" t="str">
        <f t="shared" si="264"/>
        <v>30372157H</v>
      </c>
      <c r="AW1491" s="471" cm="1">
        <f t="array" ref="AW1491">SUM(MID(0&amp;AV1491,LARGE(INDEX(ISNUMBER(--MID(AV1491,ROW($1:$8),1))*ROW($1:$8),),ROW($1:$8))+1,1)*10^ROW($1:$8)/10)</f>
        <v>30372157</v>
      </c>
      <c r="AX1491" s="471" t="str">
        <f>VLOOKUP($AW1491,'Item Master Data'!$A:$F,3,FALSE)</f>
        <v>Q.PEAK DUO ML G10.a+</v>
      </c>
      <c r="AY1491" s="471">
        <f>VLOOKUP($AW1491,'Item Master Data'!$A:$F,6,FALSE)</f>
        <v>405</v>
      </c>
      <c r="AZ1491" s="471">
        <f t="shared" si="265"/>
        <v>26</v>
      </c>
      <c r="BA1491" s="471">
        <f>VLOOKUP(AW1491,'Item Master Data'!$A:$G,7,FALSE)</f>
        <v>32</v>
      </c>
      <c r="BC1491" s="471">
        <f t="shared" si="266"/>
        <v>0</v>
      </c>
    </row>
    <row r="1492" spans="1:55" s="471" customFormat="1">
      <c r="A1492" s="472"/>
      <c r="B1492" s="515"/>
      <c r="C1492" s="515"/>
      <c r="D1492" s="485" t="s">
        <v>3186</v>
      </c>
      <c r="E1492" s="474" t="s">
        <v>3215</v>
      </c>
      <c r="F1492" s="474"/>
      <c r="G1492" s="474">
        <v>2022</v>
      </c>
      <c r="H1492" s="474">
        <v>5</v>
      </c>
      <c r="I1492" s="474"/>
      <c r="J1492" s="475"/>
      <c r="K1492" s="483" t="s">
        <v>3388</v>
      </c>
      <c r="L1492" s="474" t="s">
        <v>3257</v>
      </c>
      <c r="M1492" s="487">
        <v>44497</v>
      </c>
      <c r="N1492" s="487">
        <v>44621</v>
      </c>
      <c r="O1492" s="487"/>
      <c r="P1492" s="475"/>
      <c r="Q1492" s="475"/>
      <c r="R1492" s="475"/>
      <c r="S1492" s="474" t="s">
        <v>2379</v>
      </c>
      <c r="T1492" s="474">
        <v>60</v>
      </c>
      <c r="U1492" s="474">
        <v>49401140</v>
      </c>
      <c r="V1492" s="474" t="s">
        <v>985</v>
      </c>
      <c r="W1492" s="474">
        <v>400</v>
      </c>
      <c r="X1492" s="476">
        <v>4608</v>
      </c>
      <c r="Y1492" s="477">
        <f>X1492*W1492</f>
        <v>1843200</v>
      </c>
      <c r="Z1492" s="478">
        <v>0.45500000000000002</v>
      </c>
      <c r="AA1492" s="479">
        <f>Z1492*Y1492</f>
        <v>838656</v>
      </c>
      <c r="AB1492" s="480"/>
      <c r="AC1492" s="481">
        <f>AB1492*Y1492</f>
        <v>0</v>
      </c>
      <c r="AD1492" s="490"/>
      <c r="AE1492" s="482"/>
      <c r="AF1492" s="493">
        <f>AE1492+AD1492+AA1492</f>
        <v>838656</v>
      </c>
      <c r="AG1492" s="474" t="s">
        <v>1071</v>
      </c>
      <c r="AH1492" s="474"/>
      <c r="AI1492" s="483" t="s">
        <v>2442</v>
      </c>
      <c r="AJ1492" s="474" t="s">
        <v>3258</v>
      </c>
      <c r="AK1492" s="494" t="s">
        <v>1144</v>
      </c>
      <c r="AL1492" s="474">
        <v>77494</v>
      </c>
      <c r="AM1492" s="474" t="s">
        <v>52</v>
      </c>
      <c r="AN1492" s="474" t="s">
        <v>1074</v>
      </c>
      <c r="AO1492" s="474"/>
      <c r="AP1492" s="486"/>
      <c r="AQ1492" s="486" t="s">
        <v>37</v>
      </c>
      <c r="AR1492" s="486" t="s">
        <v>3389</v>
      </c>
      <c r="AS1492" s="495"/>
      <c r="AT1492" s="495"/>
      <c r="AU1492" s="478">
        <v>0.45500000000000002</v>
      </c>
      <c r="AV1492" s="471">
        <f t="shared" si="264"/>
        <v>49401140</v>
      </c>
      <c r="AW1492" s="471" cm="1">
        <f t="array" ref="AW1492">SUM(MID(0&amp;AV1492,LARGE(INDEX(ISNUMBER(--MID(AV1492,ROW($1:$8),1))*ROW($1:$8),),ROW($1:$8))+1,1)*10^ROW($1:$8)/10)</f>
        <v>49401140</v>
      </c>
      <c r="AX1492" s="471" t="str">
        <f>VLOOKUP($AW1492,'Item Master Data'!$A:$F,3,FALSE)</f>
        <v>Q.PEAK DUO BLK ML G10.a+</v>
      </c>
      <c r="AY1492" s="471">
        <f>VLOOKUP($AW1492,'Item Master Data'!$A:$F,6,FALSE)</f>
        <v>400</v>
      </c>
      <c r="AZ1492" s="471">
        <f t="shared" si="265"/>
        <v>144</v>
      </c>
      <c r="BA1492" s="471">
        <f>VLOOKUP(AW1492,'Item Master Data'!$A:$G,7,FALSE)</f>
        <v>32</v>
      </c>
      <c r="BC1492" s="471">
        <f t="shared" si="266"/>
        <v>0</v>
      </c>
    </row>
    <row r="1493" spans="1:55" s="471" customFormat="1">
      <c r="A1493" s="472"/>
      <c r="B1493" s="515"/>
      <c r="C1493" s="515"/>
      <c r="D1493" s="485" t="s">
        <v>3186</v>
      </c>
      <c r="E1493" s="474" t="s">
        <v>3215</v>
      </c>
      <c r="F1493" s="474"/>
      <c r="G1493" s="474">
        <v>2022</v>
      </c>
      <c r="H1493" s="474">
        <v>5</v>
      </c>
      <c r="I1493" s="474"/>
      <c r="J1493" s="475"/>
      <c r="K1493" s="483" t="s">
        <v>3387</v>
      </c>
      <c r="L1493" s="474" t="s">
        <v>3257</v>
      </c>
      <c r="M1493" s="487">
        <v>44497</v>
      </c>
      <c r="N1493" s="487">
        <v>44621</v>
      </c>
      <c r="O1493" s="487"/>
      <c r="P1493" s="475"/>
      <c r="Q1493" s="475"/>
      <c r="R1493" s="475"/>
      <c r="S1493" s="474" t="s">
        <v>2379</v>
      </c>
      <c r="T1493" s="474">
        <v>60</v>
      </c>
      <c r="U1493" s="474">
        <v>49401140</v>
      </c>
      <c r="V1493" s="474" t="s">
        <v>985</v>
      </c>
      <c r="W1493" s="474">
        <v>400</v>
      </c>
      <c r="X1493" s="476">
        <v>1536</v>
      </c>
      <c r="Y1493" s="477">
        <f>X1493*W1493</f>
        <v>614400</v>
      </c>
      <c r="Z1493" s="478">
        <v>0.46500000000000002</v>
      </c>
      <c r="AA1493" s="479">
        <f>Z1493*Y1493</f>
        <v>285696</v>
      </c>
      <c r="AB1493" s="480"/>
      <c r="AC1493" s="481">
        <f>AB1493*Y1493</f>
        <v>0</v>
      </c>
      <c r="AD1493" s="490"/>
      <c r="AE1493" s="482"/>
      <c r="AF1493" s="493">
        <f>AE1493+AD1493+AA1493</f>
        <v>285696</v>
      </c>
      <c r="AG1493" s="474" t="s">
        <v>1071</v>
      </c>
      <c r="AH1493" s="474"/>
      <c r="AI1493" s="483" t="s">
        <v>2442</v>
      </c>
      <c r="AJ1493" s="474" t="s">
        <v>3258</v>
      </c>
      <c r="AK1493" s="494" t="s">
        <v>1144</v>
      </c>
      <c r="AL1493" s="474">
        <v>77494</v>
      </c>
      <c r="AM1493" s="474" t="s">
        <v>52</v>
      </c>
      <c r="AN1493" s="474" t="s">
        <v>1074</v>
      </c>
      <c r="AO1493" s="474"/>
      <c r="AP1493" s="486"/>
      <c r="AQ1493" s="486" t="s">
        <v>37</v>
      </c>
      <c r="AR1493" s="486" t="s">
        <v>2568</v>
      </c>
      <c r="AS1493" s="495"/>
      <c r="AT1493" s="495"/>
      <c r="AU1493" s="478">
        <v>0.46500000000000002</v>
      </c>
      <c r="AV1493" s="471">
        <f t="shared" si="264"/>
        <v>49401140</v>
      </c>
      <c r="AW1493" s="471" cm="1">
        <f t="array" ref="AW1493">SUM(MID(0&amp;AV1493,LARGE(INDEX(ISNUMBER(--MID(AV1493,ROW($1:$8),1))*ROW($1:$8),),ROW($1:$8))+1,1)*10^ROW($1:$8)/10)</f>
        <v>49401140</v>
      </c>
      <c r="AX1493" s="471" t="str">
        <f>VLOOKUP($AW1493,'Item Master Data'!$A:$F,3,FALSE)</f>
        <v>Q.PEAK DUO BLK ML G10.a+</v>
      </c>
      <c r="AY1493" s="471">
        <f>VLOOKUP($AW1493,'Item Master Data'!$A:$F,6,FALSE)</f>
        <v>400</v>
      </c>
      <c r="AZ1493" s="471">
        <f t="shared" si="265"/>
        <v>48</v>
      </c>
      <c r="BA1493" s="471">
        <f>VLOOKUP(AW1493,'Item Master Data'!$A:$G,7,FALSE)</f>
        <v>32</v>
      </c>
      <c r="BC1493" s="471">
        <f t="shared" si="266"/>
        <v>0</v>
      </c>
    </row>
    <row r="1494" spans="1:55" s="471" customFormat="1">
      <c r="A1494" s="472"/>
      <c r="B1494" s="515"/>
      <c r="C1494" s="515"/>
      <c r="D1494" s="485" t="s">
        <v>3186</v>
      </c>
      <c r="E1494" s="474" t="s">
        <v>3215</v>
      </c>
      <c r="F1494" s="474"/>
      <c r="G1494" s="474">
        <v>2022</v>
      </c>
      <c r="H1494" s="474">
        <v>5</v>
      </c>
      <c r="I1494" s="474"/>
      <c r="J1494" s="475"/>
      <c r="K1494" s="483" t="s">
        <v>3386</v>
      </c>
      <c r="L1494" s="474" t="s">
        <v>3257</v>
      </c>
      <c r="M1494" s="487">
        <v>44497</v>
      </c>
      <c r="N1494" s="487">
        <v>44593</v>
      </c>
      <c r="O1494" s="487"/>
      <c r="P1494" s="475"/>
      <c r="Q1494" s="475"/>
      <c r="R1494" s="475"/>
      <c r="S1494" s="474" t="s">
        <v>2379</v>
      </c>
      <c r="T1494" s="474">
        <v>60</v>
      </c>
      <c r="U1494" s="474">
        <v>49401140</v>
      </c>
      <c r="V1494" s="474" t="s">
        <v>985</v>
      </c>
      <c r="W1494" s="474">
        <v>400</v>
      </c>
      <c r="X1494" s="476">
        <v>1536</v>
      </c>
      <c r="Y1494" s="477">
        <f>X1494*W1494</f>
        <v>614400</v>
      </c>
      <c r="Z1494" s="478">
        <v>0.46500000000000002</v>
      </c>
      <c r="AA1494" s="479">
        <f>Z1494*Y1494</f>
        <v>285696</v>
      </c>
      <c r="AB1494" s="480"/>
      <c r="AC1494" s="481">
        <f>AB1494*Y1494</f>
        <v>0</v>
      </c>
      <c r="AD1494" s="490"/>
      <c r="AE1494" s="482"/>
      <c r="AF1494" s="493">
        <f>AE1494+AD1494+AA1494</f>
        <v>285696</v>
      </c>
      <c r="AG1494" s="474" t="s">
        <v>1071</v>
      </c>
      <c r="AH1494" s="474"/>
      <c r="AI1494" s="483" t="s">
        <v>2442</v>
      </c>
      <c r="AJ1494" s="474" t="s">
        <v>3258</v>
      </c>
      <c r="AK1494" s="494" t="s">
        <v>1144</v>
      </c>
      <c r="AL1494" s="474">
        <v>77494</v>
      </c>
      <c r="AM1494" s="474" t="s">
        <v>52</v>
      </c>
      <c r="AN1494" s="474" t="s">
        <v>1074</v>
      </c>
      <c r="AO1494" s="474"/>
      <c r="AP1494" s="486"/>
      <c r="AQ1494" s="486" t="s">
        <v>37</v>
      </c>
      <c r="AR1494" s="486" t="s">
        <v>2568</v>
      </c>
      <c r="AS1494" s="495"/>
      <c r="AT1494" s="495"/>
      <c r="AU1494" s="478">
        <v>0.46500000000000002</v>
      </c>
      <c r="AV1494" s="471">
        <f t="shared" si="264"/>
        <v>49401140</v>
      </c>
      <c r="AW1494" s="471" cm="1">
        <f t="array" ref="AW1494">SUM(MID(0&amp;AV1494,LARGE(INDEX(ISNUMBER(--MID(AV1494,ROW($1:$8),1))*ROW($1:$8),),ROW($1:$8))+1,1)*10^ROW($1:$8)/10)</f>
        <v>49401140</v>
      </c>
      <c r="AX1494" s="471" t="str">
        <f>VLOOKUP($AW1494,'Item Master Data'!$A:$F,3,FALSE)</f>
        <v>Q.PEAK DUO BLK ML G10.a+</v>
      </c>
      <c r="AY1494" s="471">
        <f>VLOOKUP($AW1494,'Item Master Data'!$A:$F,6,FALSE)</f>
        <v>400</v>
      </c>
      <c r="AZ1494" s="471">
        <f t="shared" si="265"/>
        <v>48</v>
      </c>
      <c r="BA1494" s="471">
        <f>VLOOKUP(AW1494,'Item Master Data'!$A:$G,7,FALSE)</f>
        <v>32</v>
      </c>
      <c r="BC1494" s="471">
        <f t="shared" si="266"/>
        <v>0</v>
      </c>
    </row>
    <row r="1495" spans="1:55" s="471" customFormat="1">
      <c r="A1495" s="472"/>
      <c r="B1495" s="515">
        <v>44620</v>
      </c>
      <c r="C1495" s="515">
        <v>44620</v>
      </c>
      <c r="D1495" s="485" t="s">
        <v>3186</v>
      </c>
      <c r="E1495" s="474" t="s">
        <v>3215</v>
      </c>
      <c r="F1495" s="474"/>
      <c r="G1495" s="474">
        <v>2022</v>
      </c>
      <c r="H1495" s="474">
        <v>4</v>
      </c>
      <c r="I1495" s="474">
        <v>128141</v>
      </c>
      <c r="J1495" s="475">
        <v>44671</v>
      </c>
      <c r="K1495" s="483" t="s">
        <v>3318</v>
      </c>
      <c r="L1495" s="474" t="s">
        <v>3257</v>
      </c>
      <c r="M1495" s="487">
        <v>44497</v>
      </c>
      <c r="N1495" s="487">
        <v>44564</v>
      </c>
      <c r="O1495" s="487"/>
      <c r="P1495" s="475">
        <v>44665</v>
      </c>
      <c r="Q1495" s="475">
        <v>44671</v>
      </c>
      <c r="R1495" s="475">
        <v>44673</v>
      </c>
      <c r="S1495" s="474" t="s">
        <v>2379</v>
      </c>
      <c r="T1495" s="474">
        <v>60</v>
      </c>
      <c r="U1495" s="474" t="s">
        <v>1281</v>
      </c>
      <c r="V1495" s="474" t="s">
        <v>973</v>
      </c>
      <c r="W1495" s="474">
        <v>400</v>
      </c>
      <c r="X1495" s="476">
        <v>1536</v>
      </c>
      <c r="Y1495" s="491">
        <f>X1495*W1495</f>
        <v>614400</v>
      </c>
      <c r="Z1495" s="478">
        <v>0.55000000000000004</v>
      </c>
      <c r="AA1495" s="479">
        <f>Z1495*Y1495</f>
        <v>337920</v>
      </c>
      <c r="AB1495" s="480"/>
      <c r="AC1495" s="481">
        <f>AB1495*Y1495</f>
        <v>0</v>
      </c>
      <c r="AD1495" s="490"/>
      <c r="AE1495" s="482"/>
      <c r="AF1495" s="493">
        <f>AE1495+AD1495+AA1495</f>
        <v>337920</v>
      </c>
      <c r="AG1495" s="474" t="s">
        <v>1071</v>
      </c>
      <c r="AH1495" s="474"/>
      <c r="AI1495" s="483" t="s">
        <v>2442</v>
      </c>
      <c r="AJ1495" s="474" t="s">
        <v>3258</v>
      </c>
      <c r="AK1495" s="494" t="s">
        <v>1144</v>
      </c>
      <c r="AL1495" s="474">
        <v>77494</v>
      </c>
      <c r="AM1495" s="474" t="s">
        <v>52</v>
      </c>
      <c r="AN1495" s="516" t="s">
        <v>50</v>
      </c>
      <c r="AO1495" s="474"/>
      <c r="AP1495" s="486" t="s">
        <v>38</v>
      </c>
      <c r="AQ1495" s="486" t="s">
        <v>37</v>
      </c>
      <c r="AR1495" s="486" t="s">
        <v>2568</v>
      </c>
      <c r="AS1495" s="495"/>
      <c r="AT1495" s="495"/>
      <c r="AU1495" s="478">
        <v>0.46500000000000002</v>
      </c>
      <c r="AV1495" s="471" t="str">
        <f t="shared" si="264"/>
        <v>30390456H</v>
      </c>
      <c r="AW1495" s="471" cm="1">
        <f t="array" ref="AW1495">SUM(MID(0&amp;AV1495,LARGE(INDEX(ISNUMBER(--MID(AV1495,ROW($1:$8),1))*ROW($1:$8),),ROW($1:$8))+1,1)*10^ROW($1:$8)/10)</f>
        <v>30390456</v>
      </c>
      <c r="AX1495" s="471" t="str">
        <f>VLOOKUP($AW1495,'Item Master Data'!$A:$F,3,FALSE)</f>
        <v>Q.PEAK DUO BLK ML G10+</v>
      </c>
      <c r="AY1495" s="471">
        <f>VLOOKUP($AW1495,'Item Master Data'!$A:$F,6,FALSE)</f>
        <v>400</v>
      </c>
      <c r="AZ1495" s="471">
        <f t="shared" si="265"/>
        <v>48</v>
      </c>
      <c r="BA1495" s="471">
        <f>VLOOKUP(AW1495,'Item Master Data'!$A:$G,7,FALSE)</f>
        <v>32</v>
      </c>
      <c r="BC1495" s="471">
        <f t="shared" si="266"/>
        <v>0</v>
      </c>
    </row>
    <row r="1496" spans="1:55" s="471" customFormat="1" ht="15" customHeight="1">
      <c r="A1496" s="472"/>
      <c r="B1496" s="515">
        <v>44627</v>
      </c>
      <c r="C1496" s="515">
        <v>44627</v>
      </c>
      <c r="D1496" s="485" t="s">
        <v>3186</v>
      </c>
      <c r="E1496" s="474" t="s">
        <v>3215</v>
      </c>
      <c r="F1496" s="474"/>
      <c r="G1496" s="474">
        <v>2022</v>
      </c>
      <c r="H1496" s="474">
        <v>4</v>
      </c>
      <c r="I1496" s="474">
        <v>128142</v>
      </c>
      <c r="J1496" s="475">
        <v>44670</v>
      </c>
      <c r="K1496" s="483" t="s">
        <v>3317</v>
      </c>
      <c r="L1496" s="474" t="s">
        <v>3257</v>
      </c>
      <c r="M1496" s="487">
        <v>44497</v>
      </c>
      <c r="N1496" s="487">
        <v>44543</v>
      </c>
      <c r="O1496" s="487"/>
      <c r="P1496" s="475">
        <v>44665</v>
      </c>
      <c r="Q1496" s="475">
        <v>44670</v>
      </c>
      <c r="R1496" s="475">
        <v>44673</v>
      </c>
      <c r="S1496" s="474" t="s">
        <v>2379</v>
      </c>
      <c r="T1496" s="474">
        <v>60</v>
      </c>
      <c r="U1496" s="474" t="s">
        <v>1281</v>
      </c>
      <c r="V1496" s="474" t="s">
        <v>973</v>
      </c>
      <c r="W1496" s="474">
        <v>400</v>
      </c>
      <c r="X1496" s="476">
        <v>768</v>
      </c>
      <c r="Y1496" s="477">
        <f>X1496*W1496</f>
        <v>307200</v>
      </c>
      <c r="Z1496" s="478">
        <v>0.55000000000000004</v>
      </c>
      <c r="AA1496" s="479">
        <f>Z1496*Y1496</f>
        <v>168960</v>
      </c>
      <c r="AB1496" s="480"/>
      <c r="AC1496" s="481">
        <f>AB1496*Y1496</f>
        <v>0</v>
      </c>
      <c r="AD1496" s="490"/>
      <c r="AE1496" s="482"/>
      <c r="AF1496" s="493">
        <f>AE1496+AD1496+AA1496</f>
        <v>168960</v>
      </c>
      <c r="AG1496" s="474" t="s">
        <v>1071</v>
      </c>
      <c r="AH1496" s="474"/>
      <c r="AI1496" s="483" t="s">
        <v>2442</v>
      </c>
      <c r="AJ1496" s="474" t="s">
        <v>3258</v>
      </c>
      <c r="AK1496" s="494" t="s">
        <v>1144</v>
      </c>
      <c r="AL1496" s="474">
        <v>77494</v>
      </c>
      <c r="AM1496" s="474" t="s">
        <v>52</v>
      </c>
      <c r="AN1496" s="516" t="s">
        <v>50</v>
      </c>
      <c r="AO1496" s="474"/>
      <c r="AP1496" s="486" t="s">
        <v>38</v>
      </c>
      <c r="AQ1496" s="486" t="s">
        <v>37</v>
      </c>
      <c r="AR1496" s="486" t="s">
        <v>2568</v>
      </c>
      <c r="AS1496" s="495"/>
      <c r="AT1496" s="495"/>
      <c r="AU1496" s="478">
        <v>0.46500000000000002</v>
      </c>
      <c r="AV1496" s="471" t="str">
        <f t="shared" ref="AV1496:AV1527" si="267">U1496</f>
        <v>30390456H</v>
      </c>
      <c r="AW1496" s="471" cm="1">
        <f t="array" ref="AW1496">SUM(MID(0&amp;AV1496,LARGE(INDEX(ISNUMBER(--MID(AV1496,ROW($1:$8),1))*ROW($1:$8),),ROW($1:$8))+1,1)*10^ROW($1:$8)/10)</f>
        <v>30390456</v>
      </c>
      <c r="AX1496" s="471" t="str">
        <f>VLOOKUP($AW1496,'Item Master Data'!$A:$F,3,FALSE)</f>
        <v>Q.PEAK DUO BLK ML G10+</v>
      </c>
      <c r="AY1496" s="471">
        <f>VLOOKUP($AW1496,'Item Master Data'!$A:$F,6,FALSE)</f>
        <v>400</v>
      </c>
      <c r="AZ1496" s="471">
        <f t="shared" ref="AZ1496:AZ1527" si="268">X1496/BA1496</f>
        <v>24</v>
      </c>
      <c r="BA1496" s="471">
        <f>VLOOKUP(AW1496,'Item Master Data'!$A:$G,7,FALSE)</f>
        <v>32</v>
      </c>
      <c r="BC1496" s="471">
        <f t="shared" ref="BC1496:BC1527" si="269">W1496-AY1496</f>
        <v>0</v>
      </c>
    </row>
    <row r="1497" spans="1:55" s="471" customFormat="1" ht="15" customHeight="1">
      <c r="A1497" s="472">
        <v>10</v>
      </c>
      <c r="B1497" s="515">
        <v>44629</v>
      </c>
      <c r="C1497" s="515">
        <v>44630</v>
      </c>
      <c r="D1497" s="485" t="s">
        <v>3186</v>
      </c>
      <c r="E1497" s="474" t="s">
        <v>3215</v>
      </c>
      <c r="F1497" s="474"/>
      <c r="G1497" s="474">
        <v>2022</v>
      </c>
      <c r="H1497" s="474">
        <v>3</v>
      </c>
      <c r="I1497" s="474">
        <v>127443</v>
      </c>
      <c r="J1497" s="475">
        <v>44643</v>
      </c>
      <c r="K1497" s="483" t="s">
        <v>3224</v>
      </c>
      <c r="L1497" s="474" t="s">
        <v>3225</v>
      </c>
      <c r="M1497" s="487">
        <v>44468</v>
      </c>
      <c r="N1497" s="487">
        <v>44636</v>
      </c>
      <c r="O1497" s="487" t="s">
        <v>2365</v>
      </c>
      <c r="P1497" s="475">
        <v>44630</v>
      </c>
      <c r="Q1497" s="475">
        <v>44643</v>
      </c>
      <c r="R1497" s="475">
        <v>44645</v>
      </c>
      <c r="S1497" s="474" t="s">
        <v>2379</v>
      </c>
      <c r="T1497" s="474">
        <v>60</v>
      </c>
      <c r="U1497" s="474" t="s">
        <v>1760</v>
      </c>
      <c r="V1497" s="474" t="s">
        <v>973</v>
      </c>
      <c r="W1497" s="474">
        <v>400</v>
      </c>
      <c r="X1497" s="476">
        <v>768</v>
      </c>
      <c r="Y1497" s="477">
        <f>X1497*W1497</f>
        <v>307200</v>
      </c>
      <c r="Z1497" s="478">
        <v>0.55000000000000004</v>
      </c>
      <c r="AA1497" s="479">
        <f>Z1497*Y1497</f>
        <v>168960</v>
      </c>
      <c r="AB1497" s="480"/>
      <c r="AC1497" s="481">
        <f>AB1497*Y1497</f>
        <v>0</v>
      </c>
      <c r="AD1497" s="490"/>
      <c r="AE1497" s="482"/>
      <c r="AF1497" s="493">
        <f>AE1497+AD1497+AA1497</f>
        <v>168960</v>
      </c>
      <c r="AG1497" s="474" t="s">
        <v>1071</v>
      </c>
      <c r="AH1497" s="474"/>
      <c r="AI1497" s="483" t="s">
        <v>2442</v>
      </c>
      <c r="AJ1497" s="474" t="s">
        <v>3226</v>
      </c>
      <c r="AK1497" s="494" t="s">
        <v>2362</v>
      </c>
      <c r="AL1497" s="474">
        <v>81501</v>
      </c>
      <c r="AM1497" s="474" t="s">
        <v>52</v>
      </c>
      <c r="AN1497" s="474" t="s">
        <v>50</v>
      </c>
      <c r="AO1497" s="474"/>
      <c r="AP1497" s="486" t="s">
        <v>38</v>
      </c>
      <c r="AQ1497" s="486" t="s">
        <v>37</v>
      </c>
      <c r="AR1497" s="486" t="s">
        <v>3227</v>
      </c>
      <c r="AS1497" s="495"/>
      <c r="AT1497" s="495"/>
      <c r="AU1497" s="478">
        <v>0.49</v>
      </c>
      <c r="AV1497" s="471" t="str">
        <f t="shared" si="267"/>
        <v>30390156H</v>
      </c>
      <c r="AW1497" s="471" cm="1">
        <f t="array" ref="AW1497">SUM(MID(0&amp;AV1497,LARGE(INDEX(ISNUMBER(--MID(AV1497,ROW($1:$8),1))*ROW($1:$8),),ROW($1:$8))+1,1)*10^ROW($1:$8)/10)</f>
        <v>30390156</v>
      </c>
      <c r="AX1497" s="471" t="str">
        <f>VLOOKUP($AW1497,'Item Master Data'!$A:$F,3,FALSE)</f>
        <v>Q.PEAK DUO BLK ML G10+</v>
      </c>
      <c r="AY1497" s="471">
        <f>VLOOKUP($AW1497,'Item Master Data'!$A:$F,6,FALSE)</f>
        <v>400</v>
      </c>
      <c r="AZ1497" s="471">
        <f t="shared" si="268"/>
        <v>24</v>
      </c>
      <c r="BA1497" s="471">
        <f>VLOOKUP(AW1497,'Item Master Data'!$A:$G,7,FALSE)</f>
        <v>32</v>
      </c>
      <c r="BC1497" s="471">
        <f t="shared" si="269"/>
        <v>0</v>
      </c>
    </row>
    <row r="1498" spans="1:55" s="471" customFormat="1" ht="15" customHeight="1">
      <c r="A1498" s="472"/>
      <c r="B1498" s="515">
        <v>44651</v>
      </c>
      <c r="C1498" s="515">
        <v>44651</v>
      </c>
      <c r="D1498" s="485" t="s">
        <v>3186</v>
      </c>
      <c r="E1498" s="474" t="s">
        <v>2984</v>
      </c>
      <c r="F1498" s="474"/>
      <c r="G1498" s="474">
        <v>2022</v>
      </c>
      <c r="H1498" s="474">
        <v>12</v>
      </c>
      <c r="I1498" s="474" t="s">
        <v>1676</v>
      </c>
      <c r="J1498" s="475"/>
      <c r="K1498" s="483" t="s">
        <v>3672</v>
      </c>
      <c r="L1498" s="474" t="s">
        <v>3233</v>
      </c>
      <c r="M1498" s="487">
        <v>44650</v>
      </c>
      <c r="N1498" s="487">
        <v>44896</v>
      </c>
      <c r="O1498" s="487"/>
      <c r="P1498" s="475"/>
      <c r="Q1498" s="475"/>
      <c r="R1498" s="475"/>
      <c r="S1498" s="474" t="s">
        <v>2379</v>
      </c>
      <c r="T1498" s="474">
        <v>60</v>
      </c>
      <c r="U1498" s="474"/>
      <c r="V1498" s="474" t="s">
        <v>973</v>
      </c>
      <c r="W1498" s="474">
        <v>400</v>
      </c>
      <c r="X1498" s="476">
        <v>832</v>
      </c>
      <c r="Y1498" s="477">
        <f>X1498*W1498</f>
        <v>332800</v>
      </c>
      <c r="Z1498" s="478">
        <v>0.55000000000000004</v>
      </c>
      <c r="AA1498" s="479">
        <f>Z1498*Y1498</f>
        <v>183040.00000000003</v>
      </c>
      <c r="AB1498" s="480"/>
      <c r="AC1498" s="481">
        <f>AB1498*Y1498</f>
        <v>0</v>
      </c>
      <c r="AD1498" s="490"/>
      <c r="AE1498" s="482"/>
      <c r="AF1498" s="493">
        <f>AE1498+AD1498+AA1498</f>
        <v>183040.00000000003</v>
      </c>
      <c r="AG1498" s="474" t="s">
        <v>1071</v>
      </c>
      <c r="AH1498" s="474">
        <v>60</v>
      </c>
      <c r="AI1498" s="483"/>
      <c r="AJ1498" s="474" t="s">
        <v>3235</v>
      </c>
      <c r="AK1498" s="494" t="s">
        <v>1144</v>
      </c>
      <c r="AL1498" s="474">
        <v>79936</v>
      </c>
      <c r="AM1498" s="474" t="s">
        <v>52</v>
      </c>
      <c r="AN1498" s="474"/>
      <c r="AO1498" s="474"/>
      <c r="AP1498" s="486"/>
      <c r="AQ1498" s="486" t="s">
        <v>37</v>
      </c>
      <c r="AR1498" s="486"/>
      <c r="AS1498" s="495"/>
      <c r="AT1498" s="495"/>
      <c r="AU1498" s="478">
        <v>0.5</v>
      </c>
      <c r="AV1498" s="471">
        <f t="shared" si="267"/>
        <v>0</v>
      </c>
      <c r="AW1498" s="471" cm="1">
        <f t="array" ref="AW1498">SUM(MID(0&amp;AV1498,LARGE(INDEX(ISNUMBER(--MID(AV1498,ROW($1:$8),1))*ROW($1:$8),),ROW($1:$8))+1,1)*10^ROW($1:$8)/10)</f>
        <v>0</v>
      </c>
      <c r="AX1498" s="471" t="e">
        <f>VLOOKUP($AW1498,'Item Master Data'!$A:$F,3,FALSE)</f>
        <v>#N/A</v>
      </c>
      <c r="AY1498" s="471" t="e">
        <f>VLOOKUP($AW1498,'Item Master Data'!$A:$F,6,FALSE)</f>
        <v>#N/A</v>
      </c>
      <c r="AZ1498" s="471" t="e">
        <f t="shared" si="268"/>
        <v>#N/A</v>
      </c>
      <c r="BA1498" s="471" t="e">
        <f>VLOOKUP(AW1498,'Item Master Data'!$A:$G,7,FALSE)</f>
        <v>#N/A</v>
      </c>
      <c r="BC1498" s="471" t="e">
        <f t="shared" si="269"/>
        <v>#N/A</v>
      </c>
    </row>
    <row r="1499" spans="1:55" s="471" customFormat="1" ht="15" customHeight="1">
      <c r="A1499" s="472"/>
      <c r="B1499" s="515">
        <v>44651</v>
      </c>
      <c r="C1499" s="515">
        <v>44651</v>
      </c>
      <c r="D1499" s="485" t="s">
        <v>3186</v>
      </c>
      <c r="E1499" s="474" t="s">
        <v>2984</v>
      </c>
      <c r="F1499" s="474"/>
      <c r="G1499" s="474">
        <v>2022</v>
      </c>
      <c r="H1499" s="474">
        <v>11</v>
      </c>
      <c r="I1499" s="474" t="s">
        <v>1676</v>
      </c>
      <c r="J1499" s="475"/>
      <c r="K1499" s="483" t="s">
        <v>3671</v>
      </c>
      <c r="L1499" s="474" t="s">
        <v>3233</v>
      </c>
      <c r="M1499" s="487">
        <v>44650</v>
      </c>
      <c r="N1499" s="487">
        <v>44866</v>
      </c>
      <c r="O1499" s="487"/>
      <c r="P1499" s="475"/>
      <c r="Q1499" s="475"/>
      <c r="R1499" s="475"/>
      <c r="S1499" s="474" t="s">
        <v>2379</v>
      </c>
      <c r="T1499" s="474">
        <v>60</v>
      </c>
      <c r="U1499" s="474"/>
      <c r="V1499" s="474" t="s">
        <v>973</v>
      </c>
      <c r="W1499" s="474">
        <v>400</v>
      </c>
      <c r="X1499" s="476">
        <v>832</v>
      </c>
      <c r="Y1499" s="477">
        <f>X1499*W1499</f>
        <v>332800</v>
      </c>
      <c r="Z1499" s="478">
        <v>0.55000000000000004</v>
      </c>
      <c r="AA1499" s="479">
        <f>Z1499*Y1499</f>
        <v>183040.00000000003</v>
      </c>
      <c r="AB1499" s="480"/>
      <c r="AC1499" s="481">
        <f>AB1499*Y1499</f>
        <v>0</v>
      </c>
      <c r="AD1499" s="490"/>
      <c r="AE1499" s="482"/>
      <c r="AF1499" s="493">
        <f>AE1499+AD1499+AA1499</f>
        <v>183040.00000000003</v>
      </c>
      <c r="AG1499" s="474" t="s">
        <v>1071</v>
      </c>
      <c r="AH1499" s="474">
        <v>60</v>
      </c>
      <c r="AI1499" s="483"/>
      <c r="AJ1499" s="474" t="s">
        <v>3235</v>
      </c>
      <c r="AK1499" s="494" t="s">
        <v>1144</v>
      </c>
      <c r="AL1499" s="474">
        <v>79936</v>
      </c>
      <c r="AM1499" s="474" t="s">
        <v>52</v>
      </c>
      <c r="AN1499" s="474"/>
      <c r="AO1499" s="474"/>
      <c r="AP1499" s="486"/>
      <c r="AQ1499" s="486" t="s">
        <v>37</v>
      </c>
      <c r="AR1499" s="486"/>
      <c r="AS1499" s="495"/>
      <c r="AT1499" s="495"/>
      <c r="AU1499" s="478">
        <v>0.5</v>
      </c>
      <c r="AV1499" s="471">
        <f t="shared" si="267"/>
        <v>0</v>
      </c>
      <c r="AW1499" s="471" cm="1">
        <f t="array" ref="AW1499">SUM(MID(0&amp;AV1499,LARGE(INDEX(ISNUMBER(--MID(AV1499,ROW($1:$8),1))*ROW($1:$8),),ROW($1:$8))+1,1)*10^ROW($1:$8)/10)</f>
        <v>0</v>
      </c>
      <c r="AX1499" s="471" t="e">
        <f>VLOOKUP($AW1499,'Item Master Data'!$A:$F,3,FALSE)</f>
        <v>#N/A</v>
      </c>
      <c r="AY1499" s="471" t="e">
        <f>VLOOKUP($AW1499,'Item Master Data'!$A:$F,6,FALSE)</f>
        <v>#N/A</v>
      </c>
      <c r="AZ1499" s="471" t="e">
        <f t="shared" si="268"/>
        <v>#N/A</v>
      </c>
      <c r="BA1499" s="471" t="e">
        <f>VLOOKUP(AW1499,'Item Master Data'!$A:$G,7,FALSE)</f>
        <v>#N/A</v>
      </c>
      <c r="BC1499" s="471" t="e">
        <f t="shared" si="269"/>
        <v>#N/A</v>
      </c>
    </row>
    <row r="1500" spans="1:55" s="471" customFormat="1" ht="15" customHeight="1">
      <c r="A1500" s="472"/>
      <c r="B1500" s="515">
        <v>44651</v>
      </c>
      <c r="C1500" s="515">
        <v>44651</v>
      </c>
      <c r="D1500" s="485" t="s">
        <v>3186</v>
      </c>
      <c r="E1500" s="474" t="s">
        <v>2984</v>
      </c>
      <c r="F1500" s="474"/>
      <c r="G1500" s="474">
        <v>2022</v>
      </c>
      <c r="H1500" s="474">
        <v>10</v>
      </c>
      <c r="I1500" s="474" t="s">
        <v>1676</v>
      </c>
      <c r="J1500" s="475"/>
      <c r="K1500" s="483" t="s">
        <v>3670</v>
      </c>
      <c r="L1500" s="474" t="s">
        <v>3233</v>
      </c>
      <c r="M1500" s="487">
        <v>44650</v>
      </c>
      <c r="N1500" s="487">
        <v>44835</v>
      </c>
      <c r="O1500" s="487"/>
      <c r="P1500" s="475"/>
      <c r="Q1500" s="475"/>
      <c r="R1500" s="475"/>
      <c r="S1500" s="474" t="s">
        <v>2379</v>
      </c>
      <c r="T1500" s="474">
        <v>60</v>
      </c>
      <c r="U1500" s="474"/>
      <c r="V1500" s="474" t="s">
        <v>973</v>
      </c>
      <c r="W1500" s="474">
        <v>400</v>
      </c>
      <c r="X1500" s="476">
        <v>832</v>
      </c>
      <c r="Y1500" s="477">
        <f>X1500*W1500</f>
        <v>332800</v>
      </c>
      <c r="Z1500" s="478">
        <v>0.55000000000000004</v>
      </c>
      <c r="AA1500" s="479">
        <f>Z1500*Y1500</f>
        <v>183040.00000000003</v>
      </c>
      <c r="AB1500" s="480"/>
      <c r="AC1500" s="481">
        <f>AB1500*Y1500</f>
        <v>0</v>
      </c>
      <c r="AD1500" s="490"/>
      <c r="AE1500" s="482"/>
      <c r="AF1500" s="493">
        <f>AE1500+AD1500+AA1500</f>
        <v>183040.00000000003</v>
      </c>
      <c r="AG1500" s="474" t="s">
        <v>1071</v>
      </c>
      <c r="AH1500" s="474">
        <v>60</v>
      </c>
      <c r="AI1500" s="483"/>
      <c r="AJ1500" s="474" t="s">
        <v>3235</v>
      </c>
      <c r="AK1500" s="494" t="s">
        <v>1144</v>
      </c>
      <c r="AL1500" s="474">
        <v>79936</v>
      </c>
      <c r="AM1500" s="474" t="s">
        <v>52</v>
      </c>
      <c r="AN1500" s="474"/>
      <c r="AO1500" s="474"/>
      <c r="AP1500" s="486"/>
      <c r="AQ1500" s="486" t="s">
        <v>37</v>
      </c>
      <c r="AR1500" s="486"/>
      <c r="AS1500" s="495"/>
      <c r="AT1500" s="495"/>
      <c r="AU1500" s="478">
        <v>0.5</v>
      </c>
      <c r="AV1500" s="471">
        <f t="shared" si="267"/>
        <v>0</v>
      </c>
      <c r="AW1500" s="471" cm="1">
        <f t="array" ref="AW1500">SUM(MID(0&amp;AV1500,LARGE(INDEX(ISNUMBER(--MID(AV1500,ROW($1:$8),1))*ROW($1:$8),),ROW($1:$8))+1,1)*10^ROW($1:$8)/10)</f>
        <v>0</v>
      </c>
      <c r="AX1500" s="471" t="e">
        <f>VLOOKUP($AW1500,'Item Master Data'!$A:$F,3,FALSE)</f>
        <v>#N/A</v>
      </c>
      <c r="AY1500" s="471" t="e">
        <f>VLOOKUP($AW1500,'Item Master Data'!$A:$F,6,FALSE)</f>
        <v>#N/A</v>
      </c>
      <c r="AZ1500" s="471" t="e">
        <f t="shared" si="268"/>
        <v>#N/A</v>
      </c>
      <c r="BA1500" s="471" t="e">
        <f>VLOOKUP(AW1500,'Item Master Data'!$A:$G,7,FALSE)</f>
        <v>#N/A</v>
      </c>
      <c r="BC1500" s="471" t="e">
        <f t="shared" si="269"/>
        <v>#N/A</v>
      </c>
    </row>
    <row r="1501" spans="1:55" s="471" customFormat="1" ht="15" customHeight="1">
      <c r="A1501" s="472"/>
      <c r="B1501" s="515">
        <v>44644</v>
      </c>
      <c r="C1501" s="515">
        <v>44644</v>
      </c>
      <c r="D1501" s="485" t="s">
        <v>3186</v>
      </c>
      <c r="E1501" s="474" t="s">
        <v>3356</v>
      </c>
      <c r="F1501" s="474"/>
      <c r="G1501" s="474">
        <v>2022</v>
      </c>
      <c r="H1501" s="474">
        <v>9</v>
      </c>
      <c r="I1501" s="474" t="s">
        <v>1676</v>
      </c>
      <c r="J1501" s="475"/>
      <c r="K1501" s="483" t="s">
        <v>3499</v>
      </c>
      <c r="L1501" s="474" t="s">
        <v>3233</v>
      </c>
      <c r="M1501" s="487">
        <v>44644</v>
      </c>
      <c r="N1501" s="487">
        <v>44805</v>
      </c>
      <c r="O1501" s="487"/>
      <c r="P1501" s="475"/>
      <c r="Q1501" s="475"/>
      <c r="R1501" s="475"/>
      <c r="S1501" s="474" t="s">
        <v>2379</v>
      </c>
      <c r="T1501" s="474">
        <v>60</v>
      </c>
      <c r="U1501" s="474"/>
      <c r="V1501" s="474" t="s">
        <v>973</v>
      </c>
      <c r="W1501" s="474">
        <v>400</v>
      </c>
      <c r="X1501" s="476">
        <v>3072</v>
      </c>
      <c r="Y1501" s="477">
        <f>X1501*W1501</f>
        <v>1228800</v>
      </c>
      <c r="Z1501" s="478">
        <v>0.55000000000000004</v>
      </c>
      <c r="AA1501" s="479">
        <f>Z1501*Y1501</f>
        <v>675840</v>
      </c>
      <c r="AB1501" s="480"/>
      <c r="AC1501" s="481">
        <f>AB1501*Y1501</f>
        <v>0</v>
      </c>
      <c r="AD1501" s="490"/>
      <c r="AE1501" s="482"/>
      <c r="AF1501" s="493">
        <f>AE1501+AD1501+AA1501</f>
        <v>675840</v>
      </c>
      <c r="AG1501" s="474" t="s">
        <v>1071</v>
      </c>
      <c r="AH1501" s="474">
        <v>60</v>
      </c>
      <c r="AI1501" s="483"/>
      <c r="AJ1501" s="474" t="s">
        <v>3471</v>
      </c>
      <c r="AK1501" s="494" t="s">
        <v>1144</v>
      </c>
      <c r="AL1501" s="474">
        <v>79936</v>
      </c>
      <c r="AM1501" s="474" t="s">
        <v>52</v>
      </c>
      <c r="AN1501" s="474"/>
      <c r="AO1501" s="474"/>
      <c r="AP1501" s="486"/>
      <c r="AQ1501" s="486" t="s">
        <v>37</v>
      </c>
      <c r="AR1501" s="486"/>
      <c r="AS1501" s="495"/>
      <c r="AT1501" s="495"/>
      <c r="AU1501" s="478">
        <v>0.5</v>
      </c>
      <c r="AV1501" s="471">
        <f t="shared" si="267"/>
        <v>0</v>
      </c>
      <c r="AW1501" s="471" cm="1">
        <f t="array" ref="AW1501">SUM(MID(0&amp;AV1501,LARGE(INDEX(ISNUMBER(--MID(AV1501,ROW($1:$8),1))*ROW($1:$8),),ROW($1:$8))+1,1)*10^ROW($1:$8)/10)</f>
        <v>0</v>
      </c>
      <c r="AX1501" s="471" t="e">
        <f>VLOOKUP($AW1501,'Item Master Data'!$A:$F,3,FALSE)</f>
        <v>#N/A</v>
      </c>
      <c r="AY1501" s="471" t="e">
        <f>VLOOKUP($AW1501,'Item Master Data'!$A:$F,6,FALSE)</f>
        <v>#N/A</v>
      </c>
      <c r="AZ1501" s="471" t="e">
        <f t="shared" si="268"/>
        <v>#N/A</v>
      </c>
      <c r="BA1501" s="471" t="e">
        <f>VLOOKUP(AW1501,'Item Master Data'!$A:$G,7,FALSE)</f>
        <v>#N/A</v>
      </c>
      <c r="BC1501" s="471" t="e">
        <f t="shared" si="269"/>
        <v>#N/A</v>
      </c>
    </row>
    <row r="1502" spans="1:55" s="471" customFormat="1" ht="15" customHeight="1">
      <c r="A1502" s="472"/>
      <c r="B1502" s="515">
        <v>44644</v>
      </c>
      <c r="C1502" s="515">
        <v>44644</v>
      </c>
      <c r="D1502" s="485" t="s">
        <v>3186</v>
      </c>
      <c r="E1502" s="474" t="s">
        <v>3356</v>
      </c>
      <c r="F1502" s="474"/>
      <c r="G1502" s="474">
        <v>2022</v>
      </c>
      <c r="H1502" s="474">
        <v>8</v>
      </c>
      <c r="I1502" s="474" t="s">
        <v>1676</v>
      </c>
      <c r="J1502" s="475"/>
      <c r="K1502" s="483" t="s">
        <v>3486</v>
      </c>
      <c r="L1502" s="474" t="s">
        <v>3233</v>
      </c>
      <c r="M1502" s="487">
        <v>44644</v>
      </c>
      <c r="N1502" s="487">
        <v>44774</v>
      </c>
      <c r="O1502" s="487"/>
      <c r="P1502" s="475"/>
      <c r="Q1502" s="475"/>
      <c r="R1502" s="475"/>
      <c r="S1502" s="474" t="s">
        <v>2379</v>
      </c>
      <c r="T1502" s="474">
        <v>60</v>
      </c>
      <c r="U1502" s="474"/>
      <c r="V1502" s="474" t="s">
        <v>973</v>
      </c>
      <c r="W1502" s="474">
        <v>400</v>
      </c>
      <c r="X1502" s="476">
        <v>2304</v>
      </c>
      <c r="Y1502" s="477">
        <f>X1502*W1502</f>
        <v>921600</v>
      </c>
      <c r="Z1502" s="478">
        <v>0.55000000000000004</v>
      </c>
      <c r="AA1502" s="479">
        <f>Z1502*Y1502</f>
        <v>506880.00000000006</v>
      </c>
      <c r="AB1502" s="480"/>
      <c r="AC1502" s="481">
        <f>AB1502*Y1502</f>
        <v>0</v>
      </c>
      <c r="AD1502" s="490"/>
      <c r="AE1502" s="482"/>
      <c r="AF1502" s="493">
        <f>AE1502+AD1502+AA1502</f>
        <v>506880.00000000006</v>
      </c>
      <c r="AG1502" s="474" t="s">
        <v>1071</v>
      </c>
      <c r="AH1502" s="474">
        <v>60</v>
      </c>
      <c r="AI1502" s="483"/>
      <c r="AJ1502" s="474" t="s">
        <v>3471</v>
      </c>
      <c r="AK1502" s="494" t="s">
        <v>1144</v>
      </c>
      <c r="AL1502" s="474">
        <v>79936</v>
      </c>
      <c r="AM1502" s="474" t="s">
        <v>52</v>
      </c>
      <c r="AN1502" s="474"/>
      <c r="AO1502" s="474"/>
      <c r="AP1502" s="486"/>
      <c r="AQ1502" s="486" t="s">
        <v>37</v>
      </c>
      <c r="AR1502" s="486"/>
      <c r="AS1502" s="495"/>
      <c r="AT1502" s="495"/>
      <c r="AU1502" s="478">
        <v>0.5</v>
      </c>
      <c r="AV1502" s="471">
        <f t="shared" si="267"/>
        <v>0</v>
      </c>
      <c r="AW1502" s="471" cm="1">
        <f t="array" ref="AW1502">SUM(MID(0&amp;AV1502,LARGE(INDEX(ISNUMBER(--MID(AV1502,ROW($1:$8),1))*ROW($1:$8),),ROW($1:$8))+1,1)*10^ROW($1:$8)/10)</f>
        <v>0</v>
      </c>
      <c r="AX1502" s="471" t="e">
        <f>VLOOKUP($AW1502,'Item Master Data'!$A:$F,3,FALSE)</f>
        <v>#N/A</v>
      </c>
      <c r="AY1502" s="471" t="e">
        <f>VLOOKUP($AW1502,'Item Master Data'!$A:$F,6,FALSE)</f>
        <v>#N/A</v>
      </c>
      <c r="AZ1502" s="471" t="e">
        <f t="shared" si="268"/>
        <v>#N/A</v>
      </c>
      <c r="BA1502" s="471" t="e">
        <f>VLOOKUP(AW1502,'Item Master Data'!$A:$G,7,FALSE)</f>
        <v>#N/A</v>
      </c>
      <c r="BC1502" s="471" t="e">
        <f t="shared" si="269"/>
        <v>#N/A</v>
      </c>
    </row>
    <row r="1503" spans="1:55" s="471" customFormat="1" ht="15" customHeight="1">
      <c r="A1503" s="472"/>
      <c r="B1503" s="514">
        <v>44644</v>
      </c>
      <c r="C1503" s="514">
        <v>44644</v>
      </c>
      <c r="D1503" s="485" t="s">
        <v>3186</v>
      </c>
      <c r="E1503" s="474" t="s">
        <v>3356</v>
      </c>
      <c r="F1503" s="474"/>
      <c r="G1503" s="474">
        <v>2022</v>
      </c>
      <c r="H1503" s="474">
        <v>7</v>
      </c>
      <c r="I1503" s="474"/>
      <c r="J1503" s="475"/>
      <c r="K1503" s="483" t="s">
        <v>3470</v>
      </c>
      <c r="L1503" s="474" t="s">
        <v>3233</v>
      </c>
      <c r="M1503" s="487">
        <v>44644</v>
      </c>
      <c r="N1503" s="487">
        <v>44743</v>
      </c>
      <c r="O1503" s="487"/>
      <c r="P1503" s="475"/>
      <c r="Q1503" s="475"/>
      <c r="R1503" s="475"/>
      <c r="S1503" s="474" t="s">
        <v>2379</v>
      </c>
      <c r="T1503" s="474">
        <v>60</v>
      </c>
      <c r="U1503" s="474"/>
      <c r="V1503" s="474" t="s">
        <v>973</v>
      </c>
      <c r="W1503" s="474">
        <v>400</v>
      </c>
      <c r="X1503" s="476">
        <v>2304</v>
      </c>
      <c r="Y1503" s="491">
        <f>X1503*W1503</f>
        <v>921600</v>
      </c>
      <c r="Z1503" s="478">
        <v>0.55000000000000004</v>
      </c>
      <c r="AA1503" s="492">
        <f>Z1503*Y1503</f>
        <v>506880.00000000006</v>
      </c>
      <c r="AB1503" s="480"/>
      <c r="AC1503" s="481">
        <f>AB1503*Y1503</f>
        <v>0</v>
      </c>
      <c r="AD1503" s="490"/>
      <c r="AE1503" s="482"/>
      <c r="AF1503" s="493">
        <f>AE1503+AD1503+AA1503</f>
        <v>506880.00000000006</v>
      </c>
      <c r="AG1503" s="474" t="s">
        <v>1071</v>
      </c>
      <c r="AH1503" s="474">
        <v>60</v>
      </c>
      <c r="AI1503" s="483"/>
      <c r="AJ1503" s="474" t="s">
        <v>3471</v>
      </c>
      <c r="AK1503" s="494" t="s">
        <v>1144</v>
      </c>
      <c r="AL1503" s="474">
        <v>79936</v>
      </c>
      <c r="AM1503" s="474" t="s">
        <v>52</v>
      </c>
      <c r="AN1503" s="474"/>
      <c r="AO1503" s="474"/>
      <c r="AP1503" s="486"/>
      <c r="AQ1503" s="486" t="s">
        <v>37</v>
      </c>
      <c r="AR1503" s="486"/>
      <c r="AS1503" s="495"/>
      <c r="AT1503" s="495"/>
      <c r="AU1503" s="506">
        <v>0.5</v>
      </c>
      <c r="AV1503" s="471">
        <f t="shared" si="267"/>
        <v>0</v>
      </c>
      <c r="AW1503" s="471" cm="1">
        <f t="array" ref="AW1503">SUM(MID(0&amp;AV1503,LARGE(INDEX(ISNUMBER(--MID(AV1503,ROW($1:$8),1))*ROW($1:$8),),ROW($1:$8))+1,1)*10^ROW($1:$8)/10)</f>
        <v>0</v>
      </c>
      <c r="AX1503" s="471" t="e">
        <f>VLOOKUP($AW1503,'Item Master Data'!$A:$F,3,FALSE)</f>
        <v>#N/A</v>
      </c>
      <c r="AY1503" s="471" t="e">
        <f>VLOOKUP($AW1503,'Item Master Data'!$A:$F,6,FALSE)</f>
        <v>#N/A</v>
      </c>
      <c r="AZ1503" s="471" t="e">
        <f t="shared" si="268"/>
        <v>#N/A</v>
      </c>
      <c r="BA1503" s="471" t="e">
        <f>VLOOKUP(AW1503,'Item Master Data'!$A:$G,7,FALSE)</f>
        <v>#N/A</v>
      </c>
      <c r="BC1503" s="471" t="e">
        <f t="shared" si="269"/>
        <v>#N/A</v>
      </c>
    </row>
    <row r="1504" spans="1:55" s="471" customFormat="1" ht="15" customHeight="1">
      <c r="A1504" s="472"/>
      <c r="B1504" s="515">
        <v>44659</v>
      </c>
      <c r="C1504" s="515">
        <v>44659</v>
      </c>
      <c r="D1504" s="485" t="s">
        <v>3186</v>
      </c>
      <c r="E1504" s="474" t="s">
        <v>3044</v>
      </c>
      <c r="F1504" s="474"/>
      <c r="G1504" s="474">
        <v>2022</v>
      </c>
      <c r="H1504" s="474">
        <v>7</v>
      </c>
      <c r="I1504" s="474" t="s">
        <v>1676</v>
      </c>
      <c r="J1504" s="475"/>
      <c r="K1504" s="483" t="s">
        <v>3673</v>
      </c>
      <c r="L1504" s="474" t="s">
        <v>3233</v>
      </c>
      <c r="M1504" s="487">
        <v>44635</v>
      </c>
      <c r="N1504" s="487">
        <v>44743</v>
      </c>
      <c r="O1504" s="487"/>
      <c r="P1504" s="475"/>
      <c r="Q1504" s="475"/>
      <c r="R1504" s="475"/>
      <c r="S1504" s="474" t="s">
        <v>2379</v>
      </c>
      <c r="T1504" s="474">
        <v>60</v>
      </c>
      <c r="U1504" s="474"/>
      <c r="V1504" s="474" t="s">
        <v>973</v>
      </c>
      <c r="W1504" s="474">
        <v>400</v>
      </c>
      <c r="X1504" s="476">
        <v>1536</v>
      </c>
      <c r="Y1504" s="477">
        <f>X1504*W1504</f>
        <v>614400</v>
      </c>
      <c r="Z1504" s="478">
        <v>0.55000000000000004</v>
      </c>
      <c r="AA1504" s="479">
        <f>Z1504*Y1504</f>
        <v>337920</v>
      </c>
      <c r="AB1504" s="480"/>
      <c r="AC1504" s="481">
        <f>AB1504*Y1504</f>
        <v>0</v>
      </c>
      <c r="AD1504" s="490"/>
      <c r="AE1504" s="482"/>
      <c r="AF1504" s="493">
        <f>AE1504+AD1504+AA1504</f>
        <v>337920</v>
      </c>
      <c r="AG1504" s="474" t="s">
        <v>1071</v>
      </c>
      <c r="AH1504" s="474">
        <v>60</v>
      </c>
      <c r="AI1504" s="483"/>
      <c r="AJ1504" s="474" t="s">
        <v>3235</v>
      </c>
      <c r="AK1504" s="494" t="s">
        <v>1144</v>
      </c>
      <c r="AL1504" s="474">
        <v>79936</v>
      </c>
      <c r="AM1504" s="474" t="s">
        <v>52</v>
      </c>
      <c r="AN1504" s="474"/>
      <c r="AO1504" s="474"/>
      <c r="AP1504" s="486"/>
      <c r="AQ1504" s="486" t="s">
        <v>37</v>
      </c>
      <c r="AR1504" s="486" t="s">
        <v>3674</v>
      </c>
      <c r="AS1504" s="495"/>
      <c r="AT1504" s="495"/>
      <c r="AU1504" s="478">
        <v>0.5</v>
      </c>
      <c r="AV1504" s="471">
        <f t="shared" si="267"/>
        <v>0</v>
      </c>
      <c r="AW1504" s="471" cm="1">
        <f t="array" ref="AW1504">SUM(MID(0&amp;AV1504,LARGE(INDEX(ISNUMBER(--MID(AV1504,ROW($1:$8),1))*ROW($1:$8),),ROW($1:$8))+1,1)*10^ROW($1:$8)/10)</f>
        <v>0</v>
      </c>
      <c r="AX1504" s="471" t="e">
        <f>VLOOKUP($AW1504,'Item Master Data'!$A:$F,3,FALSE)</f>
        <v>#N/A</v>
      </c>
      <c r="AY1504" s="471" t="e">
        <f>VLOOKUP($AW1504,'Item Master Data'!$A:$F,6,FALSE)</f>
        <v>#N/A</v>
      </c>
      <c r="AZ1504" s="471" t="e">
        <f t="shared" si="268"/>
        <v>#N/A</v>
      </c>
      <c r="BA1504" s="471" t="e">
        <f>VLOOKUP(AW1504,'Item Master Data'!$A:$G,7,FALSE)</f>
        <v>#N/A</v>
      </c>
      <c r="BC1504" s="471" t="e">
        <f t="shared" si="269"/>
        <v>#N/A</v>
      </c>
    </row>
    <row r="1505" spans="1:55" s="471" customFormat="1" ht="15" customHeight="1">
      <c r="A1505" s="472"/>
      <c r="B1505" s="515"/>
      <c r="C1505" s="515"/>
      <c r="D1505" s="485" t="s">
        <v>3186</v>
      </c>
      <c r="E1505" s="474"/>
      <c r="F1505" s="474"/>
      <c r="G1505" s="474">
        <v>2022</v>
      </c>
      <c r="H1505" s="474">
        <v>6</v>
      </c>
      <c r="I1505" s="474"/>
      <c r="J1505" s="475"/>
      <c r="K1505" s="483" t="s">
        <v>3436</v>
      </c>
      <c r="L1505" s="474" t="s">
        <v>3233</v>
      </c>
      <c r="M1505" s="487">
        <v>44522</v>
      </c>
      <c r="N1505" s="487">
        <v>44654</v>
      </c>
      <c r="O1505" s="487"/>
      <c r="P1505" s="475"/>
      <c r="Q1505" s="475"/>
      <c r="R1505" s="475"/>
      <c r="S1505" s="474" t="s">
        <v>2379</v>
      </c>
      <c r="T1505" s="474">
        <v>60</v>
      </c>
      <c r="U1505" s="474">
        <v>49401140</v>
      </c>
      <c r="V1505" s="474" t="s">
        <v>973</v>
      </c>
      <c r="W1505" s="474">
        <v>400</v>
      </c>
      <c r="X1505" s="476">
        <v>2304</v>
      </c>
      <c r="Y1505" s="477">
        <f>X1505*W1505</f>
        <v>921600</v>
      </c>
      <c r="Z1505" s="478">
        <v>0.52</v>
      </c>
      <c r="AA1505" s="479">
        <f>Z1505*Y1505</f>
        <v>479232</v>
      </c>
      <c r="AB1505" s="480"/>
      <c r="AC1505" s="481">
        <f>AB1505*Y1505</f>
        <v>0</v>
      </c>
      <c r="AD1505" s="490"/>
      <c r="AE1505" s="482"/>
      <c r="AF1505" s="493">
        <f>AE1505+AD1505+AA1505</f>
        <v>479232</v>
      </c>
      <c r="AG1505" s="474" t="s">
        <v>1071</v>
      </c>
      <c r="AH1505" s="474"/>
      <c r="AI1505" s="483" t="s">
        <v>2442</v>
      </c>
      <c r="AJ1505" s="474" t="s">
        <v>3235</v>
      </c>
      <c r="AK1505" s="494" t="s">
        <v>1144</v>
      </c>
      <c r="AL1505" s="474">
        <v>79936</v>
      </c>
      <c r="AM1505" s="474" t="s">
        <v>52</v>
      </c>
      <c r="AN1505" s="474"/>
      <c r="AO1505" s="474"/>
      <c r="AP1505" s="486"/>
      <c r="AQ1505" s="486" t="s">
        <v>37</v>
      </c>
      <c r="AR1505" s="486"/>
      <c r="AS1505" s="495"/>
      <c r="AT1505" s="495"/>
      <c r="AU1505" s="478"/>
      <c r="AV1505" s="471">
        <f t="shared" si="267"/>
        <v>49401140</v>
      </c>
      <c r="AW1505" s="471" cm="1">
        <f t="array" ref="AW1505">SUM(MID(0&amp;AV1505,LARGE(INDEX(ISNUMBER(--MID(AV1505,ROW($1:$8),1))*ROW($1:$8),),ROW($1:$8))+1,1)*10^ROW($1:$8)/10)</f>
        <v>49401140</v>
      </c>
      <c r="AX1505" s="471" t="str">
        <f>VLOOKUP($AW1505,'Item Master Data'!$A:$F,3,FALSE)</f>
        <v>Q.PEAK DUO BLK ML G10.a+</v>
      </c>
      <c r="AY1505" s="471">
        <f>VLOOKUP($AW1505,'Item Master Data'!$A:$F,6,FALSE)</f>
        <v>400</v>
      </c>
      <c r="AZ1505" s="471">
        <f t="shared" si="268"/>
        <v>72</v>
      </c>
      <c r="BA1505" s="471">
        <f>VLOOKUP(AW1505,'Item Master Data'!$A:$G,7,FALSE)</f>
        <v>32</v>
      </c>
      <c r="BC1505" s="471">
        <f t="shared" si="269"/>
        <v>0</v>
      </c>
    </row>
    <row r="1506" spans="1:55" s="471" customFormat="1" ht="15" customHeight="1">
      <c r="A1506" s="472"/>
      <c r="B1506" s="515">
        <v>44631</v>
      </c>
      <c r="C1506" s="515">
        <v>44631</v>
      </c>
      <c r="D1506" s="485" t="s">
        <v>3186</v>
      </c>
      <c r="E1506" s="474" t="s">
        <v>3215</v>
      </c>
      <c r="F1506" s="474"/>
      <c r="G1506" s="474">
        <v>2022</v>
      </c>
      <c r="H1506" s="474">
        <v>10</v>
      </c>
      <c r="I1506" s="474"/>
      <c r="J1506" s="475"/>
      <c r="K1506" s="483" t="s">
        <v>3498</v>
      </c>
      <c r="L1506" s="474" t="s">
        <v>3233</v>
      </c>
      <c r="M1506" s="487">
        <v>44504</v>
      </c>
      <c r="N1506" s="487">
        <v>44836</v>
      </c>
      <c r="O1506" s="487" t="s">
        <v>1280</v>
      </c>
      <c r="P1506" s="475"/>
      <c r="Q1506" s="475"/>
      <c r="R1506" s="475"/>
      <c r="S1506" s="474" t="s">
        <v>2379</v>
      </c>
      <c r="T1506" s="474">
        <v>60</v>
      </c>
      <c r="U1506" s="474">
        <v>49401140</v>
      </c>
      <c r="V1506" s="474" t="s">
        <v>973</v>
      </c>
      <c r="W1506" s="474">
        <v>400</v>
      </c>
      <c r="X1506" s="476">
        <v>768</v>
      </c>
      <c r="Y1506" s="477">
        <f>X1506*W1506</f>
        <v>307200</v>
      </c>
      <c r="Z1506" s="478">
        <v>0.55000000000000004</v>
      </c>
      <c r="AA1506" s="479">
        <f>Z1506*Y1506</f>
        <v>168960</v>
      </c>
      <c r="AB1506" s="480"/>
      <c r="AC1506" s="481">
        <f>AB1506*Y1506</f>
        <v>0</v>
      </c>
      <c r="AD1506" s="490"/>
      <c r="AE1506" s="482"/>
      <c r="AF1506" s="493">
        <f>AE1506+AD1506+AA1506</f>
        <v>168960</v>
      </c>
      <c r="AG1506" s="474" t="s">
        <v>1071</v>
      </c>
      <c r="AH1506" s="474"/>
      <c r="AI1506" s="483" t="s">
        <v>2442</v>
      </c>
      <c r="AJ1506" s="474" t="s">
        <v>3235</v>
      </c>
      <c r="AK1506" s="494" t="s">
        <v>1144</v>
      </c>
      <c r="AL1506" s="474">
        <v>79936</v>
      </c>
      <c r="AM1506" s="474" t="s">
        <v>52</v>
      </c>
      <c r="AN1506" s="474"/>
      <c r="AO1506" s="474"/>
      <c r="AP1506" s="486"/>
      <c r="AQ1506" s="486" t="s">
        <v>37</v>
      </c>
      <c r="AR1506" s="486" t="s">
        <v>3236</v>
      </c>
      <c r="AS1506" s="495"/>
      <c r="AT1506" s="495"/>
      <c r="AU1506" s="478">
        <v>0.49</v>
      </c>
      <c r="AV1506" s="471">
        <f t="shared" si="267"/>
        <v>49401140</v>
      </c>
      <c r="AW1506" s="471" cm="1">
        <f t="array" ref="AW1506">SUM(MID(0&amp;AV1506,LARGE(INDEX(ISNUMBER(--MID(AV1506,ROW($1:$8),1))*ROW($1:$8),),ROW($1:$8))+1,1)*10^ROW($1:$8)/10)</f>
        <v>49401140</v>
      </c>
      <c r="AX1506" s="471" t="str">
        <f>VLOOKUP($AW1506,'Item Master Data'!$A:$F,3,FALSE)</f>
        <v>Q.PEAK DUO BLK ML G10.a+</v>
      </c>
      <c r="AY1506" s="471">
        <f>VLOOKUP($AW1506,'Item Master Data'!$A:$F,6,FALSE)</f>
        <v>400</v>
      </c>
      <c r="AZ1506" s="471">
        <f t="shared" si="268"/>
        <v>24</v>
      </c>
      <c r="BA1506" s="471">
        <f>VLOOKUP(AW1506,'Item Master Data'!$A:$G,7,FALSE)</f>
        <v>32</v>
      </c>
      <c r="BC1506" s="471">
        <f t="shared" si="269"/>
        <v>0</v>
      </c>
    </row>
    <row r="1507" spans="1:55" s="471" customFormat="1" ht="15" customHeight="1">
      <c r="A1507" s="472"/>
      <c r="B1507" s="515">
        <v>44631</v>
      </c>
      <c r="C1507" s="515">
        <v>44631</v>
      </c>
      <c r="D1507" s="485" t="s">
        <v>3186</v>
      </c>
      <c r="E1507" s="474" t="s">
        <v>3215</v>
      </c>
      <c r="F1507" s="474"/>
      <c r="G1507" s="474">
        <v>2022</v>
      </c>
      <c r="H1507" s="474">
        <v>9</v>
      </c>
      <c r="I1507" s="474"/>
      <c r="J1507" s="475"/>
      <c r="K1507" s="483" t="s">
        <v>3485</v>
      </c>
      <c r="L1507" s="474" t="s">
        <v>3233</v>
      </c>
      <c r="M1507" s="487">
        <v>44504</v>
      </c>
      <c r="N1507" s="487">
        <v>44806</v>
      </c>
      <c r="O1507" s="487" t="s">
        <v>1280</v>
      </c>
      <c r="P1507" s="475"/>
      <c r="Q1507" s="475"/>
      <c r="R1507" s="475"/>
      <c r="S1507" s="474" t="s">
        <v>2379</v>
      </c>
      <c r="T1507" s="474">
        <v>60</v>
      </c>
      <c r="U1507" s="474">
        <v>49401140</v>
      </c>
      <c r="V1507" s="474" t="s">
        <v>973</v>
      </c>
      <c r="W1507" s="474">
        <v>400</v>
      </c>
      <c r="X1507" s="476">
        <v>768</v>
      </c>
      <c r="Y1507" s="477">
        <f>X1507*W1507</f>
        <v>307200</v>
      </c>
      <c r="Z1507" s="478">
        <v>0.55000000000000004</v>
      </c>
      <c r="AA1507" s="479">
        <f>Z1507*Y1507</f>
        <v>168960</v>
      </c>
      <c r="AB1507" s="480"/>
      <c r="AC1507" s="481">
        <f>AB1507*Y1507</f>
        <v>0</v>
      </c>
      <c r="AD1507" s="490"/>
      <c r="AE1507" s="482"/>
      <c r="AF1507" s="493">
        <f>AE1507+AD1507+AA1507</f>
        <v>168960</v>
      </c>
      <c r="AG1507" s="474" t="s">
        <v>1071</v>
      </c>
      <c r="AH1507" s="474"/>
      <c r="AI1507" s="483" t="s">
        <v>2442</v>
      </c>
      <c r="AJ1507" s="474" t="s">
        <v>3235</v>
      </c>
      <c r="AK1507" s="494" t="s">
        <v>1144</v>
      </c>
      <c r="AL1507" s="474">
        <v>79936</v>
      </c>
      <c r="AM1507" s="474" t="s">
        <v>52</v>
      </c>
      <c r="AN1507" s="474"/>
      <c r="AO1507" s="474"/>
      <c r="AP1507" s="486"/>
      <c r="AQ1507" s="486" t="s">
        <v>37</v>
      </c>
      <c r="AR1507" s="486" t="s">
        <v>3236</v>
      </c>
      <c r="AS1507" s="495"/>
      <c r="AT1507" s="495"/>
      <c r="AU1507" s="478">
        <v>0.49</v>
      </c>
      <c r="AV1507" s="471">
        <f t="shared" si="267"/>
        <v>49401140</v>
      </c>
      <c r="AW1507" s="471" cm="1">
        <f t="array" ref="AW1507">SUM(MID(0&amp;AV1507,LARGE(INDEX(ISNUMBER(--MID(AV1507,ROW($1:$8),1))*ROW($1:$8),),ROW($1:$8))+1,1)*10^ROW($1:$8)/10)</f>
        <v>49401140</v>
      </c>
      <c r="AX1507" s="471" t="str">
        <f>VLOOKUP($AW1507,'Item Master Data'!$A:$F,3,FALSE)</f>
        <v>Q.PEAK DUO BLK ML G10.a+</v>
      </c>
      <c r="AY1507" s="471">
        <f>VLOOKUP($AW1507,'Item Master Data'!$A:$F,6,FALSE)</f>
        <v>400</v>
      </c>
      <c r="AZ1507" s="471">
        <f t="shared" si="268"/>
        <v>24</v>
      </c>
      <c r="BA1507" s="471">
        <f>VLOOKUP(AW1507,'Item Master Data'!$A:$G,7,FALSE)</f>
        <v>32</v>
      </c>
      <c r="BC1507" s="471">
        <f t="shared" si="269"/>
        <v>0</v>
      </c>
    </row>
    <row r="1508" spans="1:55" s="471" customFormat="1" ht="15" customHeight="1">
      <c r="A1508" s="472"/>
      <c r="B1508" s="515">
        <v>44631</v>
      </c>
      <c r="C1508" s="515">
        <v>44631</v>
      </c>
      <c r="D1508" s="485" t="s">
        <v>3186</v>
      </c>
      <c r="E1508" s="474" t="s">
        <v>3215</v>
      </c>
      <c r="F1508" s="474"/>
      <c r="G1508" s="474">
        <v>2022</v>
      </c>
      <c r="H1508" s="474">
        <v>8</v>
      </c>
      <c r="I1508" s="474"/>
      <c r="J1508" s="475"/>
      <c r="K1508" s="483" t="s">
        <v>3469</v>
      </c>
      <c r="L1508" s="474" t="s">
        <v>3233</v>
      </c>
      <c r="M1508" s="487">
        <v>44504</v>
      </c>
      <c r="N1508" s="487">
        <v>44775</v>
      </c>
      <c r="O1508" s="487" t="s">
        <v>1280</v>
      </c>
      <c r="P1508" s="475"/>
      <c r="Q1508" s="475"/>
      <c r="R1508" s="475"/>
      <c r="S1508" s="474" t="s">
        <v>2379</v>
      </c>
      <c r="T1508" s="474">
        <v>60</v>
      </c>
      <c r="U1508" s="474">
        <v>49401140</v>
      </c>
      <c r="V1508" s="474" t="s">
        <v>973</v>
      </c>
      <c r="W1508" s="474">
        <v>400</v>
      </c>
      <c r="X1508" s="476">
        <v>768</v>
      </c>
      <c r="Y1508" s="477">
        <f>X1508*W1508</f>
        <v>307200</v>
      </c>
      <c r="Z1508" s="478">
        <v>0.55000000000000004</v>
      </c>
      <c r="AA1508" s="479">
        <f>Z1508*Y1508</f>
        <v>168960</v>
      </c>
      <c r="AB1508" s="480"/>
      <c r="AC1508" s="481">
        <f>AB1508*Y1508</f>
        <v>0</v>
      </c>
      <c r="AD1508" s="490"/>
      <c r="AE1508" s="482"/>
      <c r="AF1508" s="493">
        <f>AE1508+AD1508+AA1508</f>
        <v>168960</v>
      </c>
      <c r="AG1508" s="474" t="s">
        <v>1071</v>
      </c>
      <c r="AH1508" s="474"/>
      <c r="AI1508" s="483" t="s">
        <v>2442</v>
      </c>
      <c r="AJ1508" s="474" t="s">
        <v>3235</v>
      </c>
      <c r="AK1508" s="494" t="s">
        <v>1144</v>
      </c>
      <c r="AL1508" s="474">
        <v>79936</v>
      </c>
      <c r="AM1508" s="474" t="s">
        <v>52</v>
      </c>
      <c r="AN1508" s="474"/>
      <c r="AO1508" s="474"/>
      <c r="AP1508" s="486"/>
      <c r="AQ1508" s="486" t="s">
        <v>37</v>
      </c>
      <c r="AR1508" s="486" t="s">
        <v>3236</v>
      </c>
      <c r="AS1508" s="495"/>
      <c r="AT1508" s="495"/>
      <c r="AU1508" s="478">
        <v>0.49</v>
      </c>
      <c r="AV1508" s="471">
        <f t="shared" si="267"/>
        <v>49401140</v>
      </c>
      <c r="AW1508" s="471" cm="1">
        <f t="array" ref="AW1508">SUM(MID(0&amp;AV1508,LARGE(INDEX(ISNUMBER(--MID(AV1508,ROW($1:$8),1))*ROW($1:$8),),ROW($1:$8))+1,1)*10^ROW($1:$8)/10)</f>
        <v>49401140</v>
      </c>
      <c r="AX1508" s="471" t="str">
        <f>VLOOKUP($AW1508,'Item Master Data'!$A:$F,3,FALSE)</f>
        <v>Q.PEAK DUO BLK ML G10.a+</v>
      </c>
      <c r="AY1508" s="471">
        <f>VLOOKUP($AW1508,'Item Master Data'!$A:$F,6,FALSE)</f>
        <v>400</v>
      </c>
      <c r="AZ1508" s="471">
        <f t="shared" si="268"/>
        <v>24</v>
      </c>
      <c r="BA1508" s="471">
        <f>VLOOKUP(AW1508,'Item Master Data'!$A:$G,7,FALSE)</f>
        <v>32</v>
      </c>
      <c r="BC1508" s="471">
        <f t="shared" si="269"/>
        <v>0</v>
      </c>
    </row>
    <row r="1509" spans="1:55" s="471" customFormat="1" ht="15" customHeight="1">
      <c r="A1509" s="472"/>
      <c r="B1509" s="515">
        <v>44631</v>
      </c>
      <c r="C1509" s="515">
        <v>44631</v>
      </c>
      <c r="D1509" s="485" t="s">
        <v>3186</v>
      </c>
      <c r="E1509" s="474" t="s">
        <v>3215</v>
      </c>
      <c r="F1509" s="474"/>
      <c r="G1509" s="474">
        <v>2022</v>
      </c>
      <c r="H1509" s="474">
        <v>7</v>
      </c>
      <c r="I1509" s="474"/>
      <c r="J1509" s="475"/>
      <c r="K1509" s="483" t="s">
        <v>3435</v>
      </c>
      <c r="L1509" s="474" t="s">
        <v>3233</v>
      </c>
      <c r="M1509" s="487">
        <v>44504</v>
      </c>
      <c r="N1509" s="487">
        <v>44744</v>
      </c>
      <c r="O1509" s="487" t="s">
        <v>1280</v>
      </c>
      <c r="P1509" s="475"/>
      <c r="Q1509" s="475"/>
      <c r="R1509" s="475"/>
      <c r="S1509" s="474" t="s">
        <v>2379</v>
      </c>
      <c r="T1509" s="474">
        <v>60</v>
      </c>
      <c r="U1509" s="474">
        <v>49401140</v>
      </c>
      <c r="V1509" s="474" t="s">
        <v>973</v>
      </c>
      <c r="W1509" s="474">
        <v>400</v>
      </c>
      <c r="X1509" s="476">
        <v>768</v>
      </c>
      <c r="Y1509" s="477">
        <f>X1509*W1509</f>
        <v>307200</v>
      </c>
      <c r="Z1509" s="478">
        <v>0.55000000000000004</v>
      </c>
      <c r="AA1509" s="479">
        <f>Z1509*Y1509</f>
        <v>168960</v>
      </c>
      <c r="AB1509" s="480"/>
      <c r="AC1509" s="481">
        <f>AB1509*Y1509</f>
        <v>0</v>
      </c>
      <c r="AD1509" s="490"/>
      <c r="AE1509" s="482"/>
      <c r="AF1509" s="493">
        <f>AE1509+AD1509+AA1509</f>
        <v>168960</v>
      </c>
      <c r="AG1509" s="474" t="s">
        <v>1071</v>
      </c>
      <c r="AH1509" s="474"/>
      <c r="AI1509" s="483" t="s">
        <v>2442</v>
      </c>
      <c r="AJ1509" s="474" t="s">
        <v>3235</v>
      </c>
      <c r="AK1509" s="494" t="s">
        <v>1144</v>
      </c>
      <c r="AL1509" s="474">
        <v>79936</v>
      </c>
      <c r="AM1509" s="474" t="s">
        <v>52</v>
      </c>
      <c r="AN1509" s="474"/>
      <c r="AO1509" s="474"/>
      <c r="AP1509" s="486"/>
      <c r="AQ1509" s="486" t="s">
        <v>37</v>
      </c>
      <c r="AR1509" s="486" t="s">
        <v>3236</v>
      </c>
      <c r="AS1509" s="495"/>
      <c r="AT1509" s="495"/>
      <c r="AU1509" s="478">
        <v>0.49</v>
      </c>
      <c r="AV1509" s="471">
        <f t="shared" si="267"/>
        <v>49401140</v>
      </c>
      <c r="AW1509" s="471" cm="1">
        <f t="array" ref="AW1509">SUM(MID(0&amp;AV1509,LARGE(INDEX(ISNUMBER(--MID(AV1509,ROW($1:$8),1))*ROW($1:$8),),ROW($1:$8))+1,1)*10^ROW($1:$8)/10)</f>
        <v>49401140</v>
      </c>
      <c r="AX1509" s="471" t="str">
        <f>VLOOKUP($AW1509,'Item Master Data'!$A:$F,3,FALSE)</f>
        <v>Q.PEAK DUO BLK ML G10.a+</v>
      </c>
      <c r="AY1509" s="471">
        <f>VLOOKUP($AW1509,'Item Master Data'!$A:$F,6,FALSE)</f>
        <v>400</v>
      </c>
      <c r="AZ1509" s="471">
        <f t="shared" si="268"/>
        <v>24</v>
      </c>
      <c r="BA1509" s="471">
        <f>VLOOKUP(AW1509,'Item Master Data'!$A:$G,7,FALSE)</f>
        <v>32</v>
      </c>
      <c r="BC1509" s="471">
        <f t="shared" si="269"/>
        <v>0</v>
      </c>
    </row>
    <row r="1510" spans="1:55" s="471" customFormat="1" ht="15" customHeight="1">
      <c r="A1510" s="472"/>
      <c r="B1510" s="515">
        <v>44631</v>
      </c>
      <c r="C1510" s="515">
        <v>44631</v>
      </c>
      <c r="D1510" s="485" t="s">
        <v>3186</v>
      </c>
      <c r="E1510" s="474" t="s">
        <v>3215</v>
      </c>
      <c r="F1510" s="474"/>
      <c r="G1510" s="474">
        <v>2022</v>
      </c>
      <c r="H1510" s="474">
        <v>6</v>
      </c>
      <c r="I1510" s="474"/>
      <c r="J1510" s="475"/>
      <c r="K1510" s="483" t="s">
        <v>3385</v>
      </c>
      <c r="L1510" s="474" t="s">
        <v>3233</v>
      </c>
      <c r="M1510" s="487">
        <v>44504</v>
      </c>
      <c r="N1510" s="487">
        <v>44714</v>
      </c>
      <c r="O1510" s="487" t="s">
        <v>1280</v>
      </c>
      <c r="P1510" s="475"/>
      <c r="Q1510" s="475"/>
      <c r="R1510" s="475"/>
      <c r="S1510" s="474" t="s">
        <v>2379</v>
      </c>
      <c r="T1510" s="474">
        <v>60</v>
      </c>
      <c r="U1510" s="474">
        <v>49401140</v>
      </c>
      <c r="V1510" s="474" t="s">
        <v>973</v>
      </c>
      <c r="W1510" s="474">
        <v>400</v>
      </c>
      <c r="X1510" s="476">
        <v>768</v>
      </c>
      <c r="Y1510" s="477">
        <f>X1510*W1510</f>
        <v>307200</v>
      </c>
      <c r="Z1510" s="478">
        <v>0.55000000000000004</v>
      </c>
      <c r="AA1510" s="479">
        <f>Z1510*Y1510</f>
        <v>168960</v>
      </c>
      <c r="AB1510" s="480"/>
      <c r="AC1510" s="481">
        <f>AB1510*Y1510</f>
        <v>0</v>
      </c>
      <c r="AD1510" s="490"/>
      <c r="AE1510" s="482"/>
      <c r="AF1510" s="493">
        <f>AE1510+AD1510+AA1510</f>
        <v>168960</v>
      </c>
      <c r="AG1510" s="474" t="s">
        <v>1071</v>
      </c>
      <c r="AH1510" s="474"/>
      <c r="AI1510" s="483" t="s">
        <v>2442</v>
      </c>
      <c r="AJ1510" s="474" t="s">
        <v>3235</v>
      </c>
      <c r="AK1510" s="494" t="s">
        <v>1144</v>
      </c>
      <c r="AL1510" s="474">
        <v>79936</v>
      </c>
      <c r="AM1510" s="474" t="s">
        <v>52</v>
      </c>
      <c r="AN1510" s="474"/>
      <c r="AO1510" s="474"/>
      <c r="AP1510" s="486"/>
      <c r="AQ1510" s="486" t="s">
        <v>37</v>
      </c>
      <c r="AR1510" s="486" t="s">
        <v>3236</v>
      </c>
      <c r="AS1510" s="495"/>
      <c r="AT1510" s="495"/>
      <c r="AU1510" s="478">
        <v>0.49</v>
      </c>
      <c r="AV1510" s="471">
        <f t="shared" si="267"/>
        <v>49401140</v>
      </c>
      <c r="AW1510" s="471" cm="1">
        <f t="array" ref="AW1510">SUM(MID(0&amp;AV1510,LARGE(INDEX(ISNUMBER(--MID(AV1510,ROW($1:$8),1))*ROW($1:$8),),ROW($1:$8))+1,1)*10^ROW($1:$8)/10)</f>
        <v>49401140</v>
      </c>
      <c r="AX1510" s="471" t="str">
        <f>VLOOKUP($AW1510,'Item Master Data'!$A:$F,3,FALSE)</f>
        <v>Q.PEAK DUO BLK ML G10.a+</v>
      </c>
      <c r="AY1510" s="471">
        <f>VLOOKUP($AW1510,'Item Master Data'!$A:$F,6,FALSE)</f>
        <v>400</v>
      </c>
      <c r="AZ1510" s="471">
        <f t="shared" si="268"/>
        <v>24</v>
      </c>
      <c r="BA1510" s="471">
        <f>VLOOKUP(AW1510,'Item Master Data'!$A:$G,7,FALSE)</f>
        <v>32</v>
      </c>
      <c r="BC1510" s="471">
        <f t="shared" si="269"/>
        <v>0</v>
      </c>
    </row>
    <row r="1511" spans="1:55" s="471" customFormat="1" ht="15" customHeight="1">
      <c r="A1511" s="472"/>
      <c r="B1511" s="515">
        <v>44631</v>
      </c>
      <c r="C1511" s="515">
        <v>44631</v>
      </c>
      <c r="D1511" s="485" t="s">
        <v>3186</v>
      </c>
      <c r="E1511" s="474" t="s">
        <v>3215</v>
      </c>
      <c r="F1511" s="474"/>
      <c r="G1511" s="474">
        <v>2022</v>
      </c>
      <c r="H1511" s="474">
        <v>5</v>
      </c>
      <c r="I1511" s="474"/>
      <c r="J1511" s="475"/>
      <c r="K1511" s="483" t="s">
        <v>3311</v>
      </c>
      <c r="L1511" s="474" t="s">
        <v>3233</v>
      </c>
      <c r="M1511" s="487">
        <v>44504</v>
      </c>
      <c r="N1511" s="487">
        <v>44683</v>
      </c>
      <c r="O1511" s="487" t="s">
        <v>1280</v>
      </c>
      <c r="P1511" s="475"/>
      <c r="Q1511" s="475"/>
      <c r="R1511" s="475"/>
      <c r="S1511" s="474" t="s">
        <v>2379</v>
      </c>
      <c r="T1511" s="474">
        <v>60</v>
      </c>
      <c r="U1511" s="474">
        <v>49401140</v>
      </c>
      <c r="V1511" s="474" t="s">
        <v>973</v>
      </c>
      <c r="W1511" s="474">
        <v>400</v>
      </c>
      <c r="X1511" s="476">
        <v>768</v>
      </c>
      <c r="Y1511" s="491">
        <f>X1511*W1511</f>
        <v>307200</v>
      </c>
      <c r="Z1511" s="478">
        <v>0.55000000000000004</v>
      </c>
      <c r="AA1511" s="479">
        <f>Z1511*Y1511</f>
        <v>168960</v>
      </c>
      <c r="AB1511" s="480"/>
      <c r="AC1511" s="481">
        <f>AB1511*Y1511</f>
        <v>0</v>
      </c>
      <c r="AD1511" s="490"/>
      <c r="AE1511" s="482"/>
      <c r="AF1511" s="493">
        <f>AE1511+AD1511+AA1511</f>
        <v>168960</v>
      </c>
      <c r="AG1511" s="474" t="s">
        <v>1071</v>
      </c>
      <c r="AH1511" s="474"/>
      <c r="AI1511" s="483" t="s">
        <v>2442</v>
      </c>
      <c r="AJ1511" s="474" t="s">
        <v>3235</v>
      </c>
      <c r="AK1511" s="494" t="s">
        <v>1144</v>
      </c>
      <c r="AL1511" s="474">
        <v>79936</v>
      </c>
      <c r="AM1511" s="474" t="s">
        <v>52</v>
      </c>
      <c r="AN1511" s="474"/>
      <c r="AO1511" s="474"/>
      <c r="AP1511" s="486"/>
      <c r="AQ1511" s="486" t="s">
        <v>37</v>
      </c>
      <c r="AR1511" s="486" t="s">
        <v>3236</v>
      </c>
      <c r="AS1511" s="495"/>
      <c r="AT1511" s="495"/>
      <c r="AU1511" s="478">
        <v>0.49</v>
      </c>
      <c r="AV1511" s="471">
        <f t="shared" si="267"/>
        <v>49401140</v>
      </c>
      <c r="AW1511" s="471" cm="1">
        <f t="array" ref="AW1511">SUM(MID(0&amp;AV1511,LARGE(INDEX(ISNUMBER(--MID(AV1511,ROW($1:$8),1))*ROW($1:$8),),ROW($1:$8))+1,1)*10^ROW($1:$8)/10)</f>
        <v>49401140</v>
      </c>
      <c r="AX1511" s="471" t="str">
        <f>VLOOKUP($AW1511,'Item Master Data'!$A:$F,3,FALSE)</f>
        <v>Q.PEAK DUO BLK ML G10.a+</v>
      </c>
      <c r="AY1511" s="471">
        <f>VLOOKUP($AW1511,'Item Master Data'!$A:$F,6,FALSE)</f>
        <v>400</v>
      </c>
      <c r="AZ1511" s="471">
        <f t="shared" si="268"/>
        <v>24</v>
      </c>
      <c r="BA1511" s="471">
        <f>VLOOKUP(AW1511,'Item Master Data'!$A:$G,7,FALSE)</f>
        <v>32</v>
      </c>
      <c r="BC1511" s="471">
        <f t="shared" si="269"/>
        <v>0</v>
      </c>
    </row>
    <row r="1512" spans="1:55" s="471" customFormat="1" ht="15" customHeight="1">
      <c r="A1512" s="472"/>
      <c r="B1512" s="515">
        <v>44631</v>
      </c>
      <c r="C1512" s="515">
        <v>44631</v>
      </c>
      <c r="D1512" s="485" t="s">
        <v>3186</v>
      </c>
      <c r="E1512" s="474" t="s">
        <v>3215</v>
      </c>
      <c r="F1512" s="474"/>
      <c r="G1512" s="474">
        <v>2022</v>
      </c>
      <c r="H1512" s="474">
        <v>4</v>
      </c>
      <c r="I1512" s="474">
        <v>128219</v>
      </c>
      <c r="J1512" s="475">
        <v>44673</v>
      </c>
      <c r="K1512" s="483" t="s">
        <v>3316</v>
      </c>
      <c r="L1512" s="474" t="s">
        <v>3233</v>
      </c>
      <c r="M1512" s="487">
        <v>44504</v>
      </c>
      <c r="N1512" s="487">
        <v>44653</v>
      </c>
      <c r="O1512" s="487" t="s">
        <v>1280</v>
      </c>
      <c r="P1512" s="475">
        <v>44665</v>
      </c>
      <c r="Q1512" s="475">
        <v>44673</v>
      </c>
      <c r="R1512" s="475">
        <v>44676</v>
      </c>
      <c r="S1512" s="474" t="s">
        <v>2379</v>
      </c>
      <c r="T1512" s="474">
        <v>60</v>
      </c>
      <c r="U1512" s="474">
        <v>49403140</v>
      </c>
      <c r="V1512" s="474" t="s">
        <v>973</v>
      </c>
      <c r="W1512" s="474">
        <v>400</v>
      </c>
      <c r="X1512" s="476">
        <v>768</v>
      </c>
      <c r="Y1512" s="491">
        <f>X1512*W1512</f>
        <v>307200</v>
      </c>
      <c r="Z1512" s="478">
        <v>0.55000000000000004</v>
      </c>
      <c r="AA1512" s="479">
        <f>Z1512*Y1512</f>
        <v>168960</v>
      </c>
      <c r="AB1512" s="480"/>
      <c r="AC1512" s="481">
        <f>AB1512*Y1512</f>
        <v>0</v>
      </c>
      <c r="AD1512" s="490"/>
      <c r="AE1512" s="482"/>
      <c r="AF1512" s="493">
        <f>AE1512+AD1512+AA1512</f>
        <v>168960</v>
      </c>
      <c r="AG1512" s="474" t="s">
        <v>1071</v>
      </c>
      <c r="AH1512" s="474"/>
      <c r="AI1512" s="483" t="s">
        <v>2442</v>
      </c>
      <c r="AJ1512" s="474" t="s">
        <v>3235</v>
      </c>
      <c r="AK1512" s="494" t="s">
        <v>1144</v>
      </c>
      <c r="AL1512" s="474">
        <v>79936</v>
      </c>
      <c r="AM1512" s="474" t="s">
        <v>52</v>
      </c>
      <c r="AN1512" s="474" t="s">
        <v>1106</v>
      </c>
      <c r="AO1512" s="474"/>
      <c r="AP1512" s="486"/>
      <c r="AQ1512" s="486" t="s">
        <v>37</v>
      </c>
      <c r="AR1512" s="486" t="s">
        <v>3236</v>
      </c>
      <c r="AS1512" s="495"/>
      <c r="AT1512" s="495"/>
      <c r="AU1512" s="478">
        <v>0.49</v>
      </c>
      <c r="AV1512" s="471">
        <f t="shared" si="267"/>
        <v>49403140</v>
      </c>
      <c r="AW1512" s="471" cm="1">
        <f t="array" ref="AW1512">SUM(MID(0&amp;AV1512,LARGE(INDEX(ISNUMBER(--MID(AV1512,ROW($1:$8),1))*ROW($1:$8),),ROW($1:$8))+1,1)*10^ROW($1:$8)/10)</f>
        <v>49403140</v>
      </c>
      <c r="AX1512" s="471" t="str">
        <f>VLOOKUP($AW1512,'Item Master Data'!$A:$F,3,FALSE)</f>
        <v>Q.PEAK DUO BLK ML G10+</v>
      </c>
      <c r="AY1512" s="471">
        <f>VLOOKUP($AW1512,'Item Master Data'!$A:$F,6,FALSE)</f>
        <v>400</v>
      </c>
      <c r="AZ1512" s="471">
        <f t="shared" si="268"/>
        <v>24</v>
      </c>
      <c r="BA1512" s="471">
        <f>VLOOKUP(AW1512,'Item Master Data'!$A:$G,7,FALSE)</f>
        <v>32</v>
      </c>
      <c r="BC1512" s="471">
        <f t="shared" si="269"/>
        <v>0</v>
      </c>
    </row>
    <row r="1513" spans="1:55" s="471" customFormat="1" ht="15" customHeight="1">
      <c r="A1513" s="472"/>
      <c r="B1513" s="515">
        <v>44631</v>
      </c>
      <c r="C1513" s="515">
        <v>44631</v>
      </c>
      <c r="D1513" s="485" t="s">
        <v>3186</v>
      </c>
      <c r="E1513" s="474" t="s">
        <v>3215</v>
      </c>
      <c r="F1513" s="474"/>
      <c r="G1513" s="474">
        <v>2022</v>
      </c>
      <c r="H1513" s="474">
        <v>4</v>
      </c>
      <c r="I1513" s="404"/>
      <c r="J1513" s="475"/>
      <c r="K1513" s="483" t="s">
        <v>3316</v>
      </c>
      <c r="L1513" s="474" t="s">
        <v>3233</v>
      </c>
      <c r="M1513" s="487">
        <v>44504</v>
      </c>
      <c r="N1513" s="487">
        <v>44653</v>
      </c>
      <c r="O1513" s="487" t="s">
        <v>1280</v>
      </c>
      <c r="P1513" s="475">
        <v>44665</v>
      </c>
      <c r="Q1513" s="475">
        <v>44680</v>
      </c>
      <c r="R1513" s="475">
        <v>44683</v>
      </c>
      <c r="S1513" s="474" t="s">
        <v>2379</v>
      </c>
      <c r="T1513" s="474">
        <v>60</v>
      </c>
      <c r="U1513" s="474">
        <v>49403140</v>
      </c>
      <c r="V1513" s="474" t="s">
        <v>973</v>
      </c>
      <c r="W1513" s="474">
        <v>400</v>
      </c>
      <c r="X1513" s="476">
        <v>768</v>
      </c>
      <c r="Y1513" s="491">
        <f>X1513*W1513</f>
        <v>307200</v>
      </c>
      <c r="Z1513" s="478">
        <v>0.55000000000000004</v>
      </c>
      <c r="AA1513" s="479">
        <f>Z1513*Y1513</f>
        <v>168960</v>
      </c>
      <c r="AB1513" s="480"/>
      <c r="AC1513" s="481">
        <f>AB1513*Y1513</f>
        <v>0</v>
      </c>
      <c r="AD1513" s="490"/>
      <c r="AE1513" s="482"/>
      <c r="AF1513" s="493">
        <f>AE1513+AD1513+AA1513</f>
        <v>168960</v>
      </c>
      <c r="AG1513" s="474" t="s">
        <v>1071</v>
      </c>
      <c r="AH1513" s="474"/>
      <c r="AI1513" s="483" t="s">
        <v>2442</v>
      </c>
      <c r="AJ1513" s="474" t="s">
        <v>3235</v>
      </c>
      <c r="AK1513" s="494" t="s">
        <v>1144</v>
      </c>
      <c r="AL1513" s="474">
        <v>79936</v>
      </c>
      <c r="AM1513" s="474" t="s">
        <v>52</v>
      </c>
      <c r="AN1513" s="474" t="s">
        <v>1106</v>
      </c>
      <c r="AO1513" s="474"/>
      <c r="AP1513" s="486"/>
      <c r="AQ1513" s="486" t="s">
        <v>37</v>
      </c>
      <c r="AR1513" s="486" t="s">
        <v>3236</v>
      </c>
      <c r="AS1513" s="495"/>
      <c r="AT1513" s="495"/>
      <c r="AU1513" s="478">
        <v>0.49</v>
      </c>
      <c r="AV1513" s="471">
        <f t="shared" si="267"/>
        <v>49403140</v>
      </c>
      <c r="AW1513" s="471" cm="1">
        <f t="array" ref="AW1513">SUM(MID(0&amp;AV1513,LARGE(INDEX(ISNUMBER(--MID(AV1513,ROW($1:$8),1))*ROW($1:$8),),ROW($1:$8))+1,1)*10^ROW($1:$8)/10)</f>
        <v>49403140</v>
      </c>
      <c r="AX1513" s="471" t="str">
        <f>VLOOKUP($AW1513,'Item Master Data'!$A:$F,3,FALSE)</f>
        <v>Q.PEAK DUO BLK ML G10+</v>
      </c>
      <c r="AY1513" s="471">
        <f>VLOOKUP($AW1513,'Item Master Data'!$A:$F,6,FALSE)</f>
        <v>400</v>
      </c>
      <c r="AZ1513" s="471">
        <f t="shared" si="268"/>
        <v>24</v>
      </c>
      <c r="BA1513" s="471">
        <f>VLOOKUP(AW1513,'Item Master Data'!$A:$G,7,FALSE)</f>
        <v>32</v>
      </c>
      <c r="BC1513" s="471">
        <f t="shared" si="269"/>
        <v>0</v>
      </c>
    </row>
    <row r="1514" spans="1:55" s="471" customFormat="1" ht="15" customHeight="1">
      <c r="A1514" s="472">
        <v>10</v>
      </c>
      <c r="B1514" s="515">
        <v>44631</v>
      </c>
      <c r="C1514" s="515">
        <v>44631</v>
      </c>
      <c r="D1514" s="485" t="s">
        <v>3186</v>
      </c>
      <c r="E1514" s="474" t="s">
        <v>3237</v>
      </c>
      <c r="F1514" s="474"/>
      <c r="G1514" s="474">
        <v>2022</v>
      </c>
      <c r="H1514" s="474">
        <v>3</v>
      </c>
      <c r="I1514" s="474">
        <v>127441</v>
      </c>
      <c r="J1514" s="475">
        <v>44642</v>
      </c>
      <c r="K1514" s="483" t="s">
        <v>3238</v>
      </c>
      <c r="L1514" s="474" t="s">
        <v>3233</v>
      </c>
      <c r="M1514" s="487">
        <v>44504</v>
      </c>
      <c r="N1514" s="487">
        <v>44594</v>
      </c>
      <c r="O1514" s="487" t="s">
        <v>1280</v>
      </c>
      <c r="P1514" s="475">
        <v>44602</v>
      </c>
      <c r="Q1514" s="475">
        <v>44642</v>
      </c>
      <c r="R1514" s="475">
        <v>44644</v>
      </c>
      <c r="S1514" s="474" t="s">
        <v>2379</v>
      </c>
      <c r="T1514" s="474">
        <v>60</v>
      </c>
      <c r="U1514" s="474">
        <v>49403540</v>
      </c>
      <c r="V1514" s="474" t="s">
        <v>973</v>
      </c>
      <c r="W1514" s="474">
        <v>400</v>
      </c>
      <c r="X1514" s="476">
        <v>768</v>
      </c>
      <c r="Y1514" s="477">
        <f>X1514*W1514</f>
        <v>307200</v>
      </c>
      <c r="Z1514" s="478">
        <v>0.55000000000000004</v>
      </c>
      <c r="AA1514" s="479">
        <f>Z1514*Y1514</f>
        <v>168960</v>
      </c>
      <c r="AB1514" s="480"/>
      <c r="AC1514" s="481">
        <f>AB1514*Y1514</f>
        <v>0</v>
      </c>
      <c r="AD1514" s="490"/>
      <c r="AE1514" s="482"/>
      <c r="AF1514" s="493">
        <f>AE1514+AD1514+AA1514</f>
        <v>168960</v>
      </c>
      <c r="AG1514" s="474" t="s">
        <v>1071</v>
      </c>
      <c r="AH1514" s="474"/>
      <c r="AI1514" s="483" t="s">
        <v>2442</v>
      </c>
      <c r="AJ1514" s="474" t="s">
        <v>3235</v>
      </c>
      <c r="AK1514" s="494" t="s">
        <v>1144</v>
      </c>
      <c r="AL1514" s="474">
        <v>79936</v>
      </c>
      <c r="AM1514" s="474" t="s">
        <v>52</v>
      </c>
      <c r="AN1514" s="474" t="s">
        <v>1074</v>
      </c>
      <c r="AO1514" s="474"/>
      <c r="AP1514" s="486"/>
      <c r="AQ1514" s="486" t="s">
        <v>37</v>
      </c>
      <c r="AR1514" s="486" t="s">
        <v>3236</v>
      </c>
      <c r="AS1514" s="495"/>
      <c r="AT1514" s="495"/>
      <c r="AU1514" s="478">
        <v>0.49</v>
      </c>
      <c r="AV1514" s="471">
        <f t="shared" si="267"/>
        <v>49403540</v>
      </c>
      <c r="AW1514" s="471" cm="1">
        <f t="array" ref="AW1514">SUM(MID(0&amp;AV1514,LARGE(INDEX(ISNUMBER(--MID(AV1514,ROW($1:$8),1))*ROW($1:$8),),ROW($1:$8))+1,1)*10^ROW($1:$8)/10)</f>
        <v>49403540</v>
      </c>
      <c r="AX1514" s="471" t="str">
        <f>VLOOKUP($AW1514,'Item Master Data'!$A:$F,3,FALSE)</f>
        <v>Q.PEAK DUO BLK ML G10+</v>
      </c>
      <c r="AY1514" s="471">
        <f>VLOOKUP($AW1514,'Item Master Data'!$A:$F,6,FALSE)</f>
        <v>400</v>
      </c>
      <c r="AZ1514" s="471">
        <f t="shared" si="268"/>
        <v>24</v>
      </c>
      <c r="BA1514" s="471">
        <f>VLOOKUP(AW1514,'Item Master Data'!$A:$G,7,FALSE)</f>
        <v>32</v>
      </c>
      <c r="BC1514" s="471">
        <f t="shared" si="269"/>
        <v>0</v>
      </c>
    </row>
    <row r="1515" spans="1:55" s="471" customFormat="1" ht="15" customHeight="1">
      <c r="A1515" s="472"/>
      <c r="B1515" s="514">
        <v>44643</v>
      </c>
      <c r="C1515" s="514">
        <v>44643</v>
      </c>
      <c r="D1515" s="485" t="s">
        <v>3186</v>
      </c>
      <c r="E1515" s="474"/>
      <c r="F1515" s="474"/>
      <c r="G1515" s="474">
        <v>2022</v>
      </c>
      <c r="H1515" s="474">
        <v>4</v>
      </c>
      <c r="I1515" s="474">
        <v>128184</v>
      </c>
      <c r="J1515" s="475">
        <v>44676</v>
      </c>
      <c r="K1515" s="483" t="s">
        <v>3310</v>
      </c>
      <c r="L1515" s="474" t="s">
        <v>3233</v>
      </c>
      <c r="M1515" s="487">
        <v>44643</v>
      </c>
      <c r="N1515" s="487">
        <v>44652</v>
      </c>
      <c r="O1515" s="487"/>
      <c r="P1515" s="475">
        <v>44665</v>
      </c>
      <c r="Q1515" s="475">
        <v>44676</v>
      </c>
      <c r="R1515" s="475">
        <v>44679</v>
      </c>
      <c r="S1515" s="474" t="s">
        <v>2379</v>
      </c>
      <c r="T1515" s="474">
        <v>60</v>
      </c>
      <c r="U1515" s="474" t="s">
        <v>1879</v>
      </c>
      <c r="V1515" s="474" t="s">
        <v>3234</v>
      </c>
      <c r="W1515" s="474">
        <v>405</v>
      </c>
      <c r="X1515" s="476">
        <f>2496-832</f>
        <v>1664</v>
      </c>
      <c r="Y1515" s="491">
        <f>X1515*W1515</f>
        <v>673920</v>
      </c>
      <c r="Z1515" s="478">
        <v>0.51</v>
      </c>
      <c r="AA1515" s="492">
        <f>Z1515*Y1515</f>
        <v>343699.20000000001</v>
      </c>
      <c r="AB1515" s="480"/>
      <c r="AC1515" s="481">
        <f>AB1515*Y1515</f>
        <v>0</v>
      </c>
      <c r="AD1515" s="490"/>
      <c r="AE1515" s="482"/>
      <c r="AF1515" s="493">
        <f>AE1515+AD1515+AA1515</f>
        <v>343699.20000000001</v>
      </c>
      <c r="AG1515" s="474" t="s">
        <v>1071</v>
      </c>
      <c r="AH1515" s="474"/>
      <c r="AI1515" s="483" t="s">
        <v>2442</v>
      </c>
      <c r="AJ1515" s="474" t="s">
        <v>3235</v>
      </c>
      <c r="AK1515" s="494" t="s">
        <v>1144</v>
      </c>
      <c r="AL1515" s="474">
        <v>79936</v>
      </c>
      <c r="AM1515" s="474" t="s">
        <v>52</v>
      </c>
      <c r="AN1515" s="474" t="s">
        <v>50</v>
      </c>
      <c r="AO1515" s="474"/>
      <c r="AP1515" s="486" t="s">
        <v>38</v>
      </c>
      <c r="AQ1515" s="486" t="s">
        <v>37</v>
      </c>
      <c r="AR1515" s="486" t="s">
        <v>3236</v>
      </c>
      <c r="AS1515" s="495"/>
      <c r="AT1515" s="495"/>
      <c r="AU1515" s="478">
        <v>0.51</v>
      </c>
      <c r="AV1515" s="471" t="str">
        <f t="shared" si="267"/>
        <v>30372157H</v>
      </c>
      <c r="AW1515" s="471" cm="1">
        <f t="array" ref="AW1515">SUM(MID(0&amp;AV1515,LARGE(INDEX(ISNUMBER(--MID(AV1515,ROW($1:$8),1))*ROW($1:$8),),ROW($1:$8))+1,1)*10^ROW($1:$8)/10)</f>
        <v>30372157</v>
      </c>
      <c r="AX1515" s="471" t="str">
        <f>VLOOKUP($AW1515,'Item Master Data'!$A:$F,3,FALSE)</f>
        <v>Q.PEAK DUO ML G10.a+</v>
      </c>
      <c r="AY1515" s="471">
        <f>VLOOKUP($AW1515,'Item Master Data'!$A:$F,6,FALSE)</f>
        <v>405</v>
      </c>
      <c r="AZ1515" s="471">
        <f t="shared" si="268"/>
        <v>52</v>
      </c>
      <c r="BA1515" s="471">
        <f>VLOOKUP(AW1515,'Item Master Data'!$A:$G,7,FALSE)</f>
        <v>32</v>
      </c>
      <c r="BC1515" s="471">
        <f t="shared" si="269"/>
        <v>0</v>
      </c>
    </row>
    <row r="1516" spans="1:55" s="471" customFormat="1">
      <c r="A1516" s="472"/>
      <c r="B1516" s="514">
        <v>44643</v>
      </c>
      <c r="C1516" s="514">
        <v>44643</v>
      </c>
      <c r="D1516" s="485" t="s">
        <v>3186</v>
      </c>
      <c r="E1516" s="474"/>
      <c r="F1516" s="474"/>
      <c r="G1516" s="474">
        <v>2022</v>
      </c>
      <c r="H1516" s="474">
        <v>3</v>
      </c>
      <c r="I1516" s="474">
        <v>127506</v>
      </c>
      <c r="J1516" s="475">
        <v>44645</v>
      </c>
      <c r="K1516" s="483" t="s">
        <v>3232</v>
      </c>
      <c r="L1516" s="474" t="s">
        <v>3233</v>
      </c>
      <c r="M1516" s="487">
        <v>44643</v>
      </c>
      <c r="N1516" s="487">
        <v>44643</v>
      </c>
      <c r="O1516" s="487"/>
      <c r="P1516" s="475">
        <v>44643</v>
      </c>
      <c r="Q1516" s="475">
        <v>44645</v>
      </c>
      <c r="R1516" s="475">
        <v>44648</v>
      </c>
      <c r="S1516" s="474" t="s">
        <v>2379</v>
      </c>
      <c r="T1516" s="474">
        <v>60</v>
      </c>
      <c r="U1516" s="474" t="s">
        <v>1879</v>
      </c>
      <c r="V1516" s="474" t="s">
        <v>3234</v>
      </c>
      <c r="W1516" s="474">
        <v>405</v>
      </c>
      <c r="X1516" s="476">
        <v>832</v>
      </c>
      <c r="Y1516" s="491">
        <f>X1516*W1516</f>
        <v>336960</v>
      </c>
      <c r="Z1516" s="478">
        <v>0.51</v>
      </c>
      <c r="AA1516" s="492">
        <f>Z1516*Y1516</f>
        <v>171849.60000000001</v>
      </c>
      <c r="AB1516" s="480"/>
      <c r="AC1516" s="481">
        <f>AB1516*Y1516</f>
        <v>0</v>
      </c>
      <c r="AD1516" s="490"/>
      <c r="AE1516" s="482"/>
      <c r="AF1516" s="493">
        <f>AE1516+AD1516+AA1516</f>
        <v>171849.60000000001</v>
      </c>
      <c r="AG1516" s="474" t="s">
        <v>1071</v>
      </c>
      <c r="AH1516" s="474"/>
      <c r="AI1516" s="483" t="s">
        <v>2442</v>
      </c>
      <c r="AJ1516" s="474" t="s">
        <v>3235</v>
      </c>
      <c r="AK1516" s="494" t="s">
        <v>1144</v>
      </c>
      <c r="AL1516" s="474">
        <v>79936</v>
      </c>
      <c r="AM1516" s="474" t="s">
        <v>52</v>
      </c>
      <c r="AN1516" s="474" t="s">
        <v>50</v>
      </c>
      <c r="AO1516" s="474"/>
      <c r="AP1516" s="486" t="s">
        <v>38</v>
      </c>
      <c r="AQ1516" s="486" t="s">
        <v>37</v>
      </c>
      <c r="AR1516" s="486" t="s">
        <v>3236</v>
      </c>
      <c r="AS1516" s="495"/>
      <c r="AT1516" s="495"/>
      <c r="AU1516" s="478">
        <v>0.51</v>
      </c>
      <c r="AV1516" s="471" t="str">
        <f t="shared" si="267"/>
        <v>30372157H</v>
      </c>
      <c r="AW1516" s="471" cm="1">
        <f t="array" ref="AW1516">SUM(MID(0&amp;AV1516,LARGE(INDEX(ISNUMBER(--MID(AV1516,ROW($1:$8),1))*ROW($1:$8),),ROW($1:$8))+1,1)*10^ROW($1:$8)/10)</f>
        <v>30372157</v>
      </c>
      <c r="AX1516" s="471" t="str">
        <f>VLOOKUP($AW1516,'Item Master Data'!$A:$F,3,FALSE)</f>
        <v>Q.PEAK DUO ML G10.a+</v>
      </c>
      <c r="AY1516" s="471">
        <f>VLOOKUP($AW1516,'Item Master Data'!$A:$F,6,FALSE)</f>
        <v>405</v>
      </c>
      <c r="AZ1516" s="471">
        <f t="shared" si="268"/>
        <v>26</v>
      </c>
      <c r="BA1516" s="471">
        <f>VLOOKUP(AW1516,'Item Master Data'!$A:$G,7,FALSE)</f>
        <v>32</v>
      </c>
      <c r="BC1516" s="471">
        <f t="shared" si="269"/>
        <v>0</v>
      </c>
    </row>
    <row r="1517" spans="1:55" s="471" customFormat="1">
      <c r="A1517" s="472"/>
      <c r="B1517" s="515">
        <v>44623</v>
      </c>
      <c r="C1517" s="515">
        <v>44623</v>
      </c>
      <c r="D1517" s="485" t="s">
        <v>3186</v>
      </c>
      <c r="E1517" s="474" t="s">
        <v>3466</v>
      </c>
      <c r="F1517" s="474"/>
      <c r="G1517" s="474">
        <v>2022</v>
      </c>
      <c r="H1517" s="474">
        <v>7</v>
      </c>
      <c r="I1517" s="474"/>
      <c r="J1517" s="475"/>
      <c r="K1517" s="483" t="s">
        <v>3467</v>
      </c>
      <c r="L1517" s="474" t="s">
        <v>2359</v>
      </c>
      <c r="M1517" s="487">
        <v>44620</v>
      </c>
      <c r="N1517" s="487">
        <v>44743</v>
      </c>
      <c r="O1517" s="487"/>
      <c r="P1517" s="475"/>
      <c r="Q1517" s="475"/>
      <c r="R1517" s="475"/>
      <c r="S1517" s="474" t="s">
        <v>2379</v>
      </c>
      <c r="T1517" s="474">
        <v>72</v>
      </c>
      <c r="U1517" s="474" t="s">
        <v>2144</v>
      </c>
      <c r="V1517" s="474" t="s">
        <v>1070</v>
      </c>
      <c r="W1517" s="474">
        <v>480</v>
      </c>
      <c r="X1517" s="476">
        <v>2320</v>
      </c>
      <c r="Y1517" s="477">
        <f>X1517*W1517</f>
        <v>1113600</v>
      </c>
      <c r="Z1517" s="478">
        <v>0.49</v>
      </c>
      <c r="AA1517" s="479">
        <f>Z1517*Y1517</f>
        <v>545664</v>
      </c>
      <c r="AB1517" s="480"/>
      <c r="AC1517" s="481">
        <f>AB1517*Y1517</f>
        <v>0</v>
      </c>
      <c r="AD1517" s="490"/>
      <c r="AE1517" s="482"/>
      <c r="AF1517" s="493">
        <f>AE1517+AD1517+AA1517</f>
        <v>545664</v>
      </c>
      <c r="AG1517" s="474" t="s">
        <v>1071</v>
      </c>
      <c r="AH1517" s="474"/>
      <c r="AI1517" s="483" t="s">
        <v>2442</v>
      </c>
      <c r="AJ1517" s="474" t="s">
        <v>3468</v>
      </c>
      <c r="AK1517" s="494" t="s">
        <v>2362</v>
      </c>
      <c r="AL1517" s="474">
        <v>80016</v>
      </c>
      <c r="AM1517" s="474" t="s">
        <v>52</v>
      </c>
      <c r="AN1517" s="474"/>
      <c r="AO1517" s="474"/>
      <c r="AP1517" s="486"/>
      <c r="AQ1517" s="486" t="s">
        <v>37</v>
      </c>
      <c r="AR1517" s="486"/>
      <c r="AS1517" s="495"/>
      <c r="AT1517" s="495"/>
      <c r="AU1517" s="478"/>
      <c r="AV1517" s="471" t="str">
        <f t="shared" si="267"/>
        <v>CYB MODS</v>
      </c>
      <c r="AW1517" s="471" cm="1">
        <f t="array" ref="AW1517">SUM(MID(0&amp;AV1517,LARGE(INDEX(ISNUMBER(--MID(AV1517,ROW($1:$8),1))*ROW($1:$8),),ROW($1:$8))+1,1)*10^ROW($1:$8)/10)</f>
        <v>0</v>
      </c>
      <c r="AX1517" s="471" t="e">
        <f>VLOOKUP($AW1517,'Item Master Data'!$A:$F,3,FALSE)</f>
        <v>#N/A</v>
      </c>
      <c r="AY1517" s="471" t="e">
        <f>VLOOKUP($AW1517,'Item Master Data'!$A:$F,6,FALSE)</f>
        <v>#N/A</v>
      </c>
      <c r="AZ1517" s="471" t="e">
        <f t="shared" si="268"/>
        <v>#N/A</v>
      </c>
      <c r="BA1517" s="471" t="e">
        <f>VLOOKUP(AW1517,'Item Master Data'!$A:$G,7,FALSE)</f>
        <v>#N/A</v>
      </c>
      <c r="BC1517" s="471" t="e">
        <f t="shared" si="269"/>
        <v>#N/A</v>
      </c>
    </row>
    <row r="1518" spans="1:55" s="471" customFormat="1">
      <c r="A1518" s="472"/>
      <c r="B1518" s="515"/>
      <c r="C1518" s="515"/>
      <c r="D1518" s="485" t="s">
        <v>3186</v>
      </c>
      <c r="E1518" s="474" t="s">
        <v>2984</v>
      </c>
      <c r="F1518" s="474"/>
      <c r="G1518" s="474">
        <v>2022</v>
      </c>
      <c r="H1518" s="474">
        <v>11</v>
      </c>
      <c r="I1518" s="474"/>
      <c r="J1518" s="475"/>
      <c r="K1518" s="483" t="s">
        <v>3505</v>
      </c>
      <c r="L1518" s="474" t="s">
        <v>2359</v>
      </c>
      <c r="M1518" s="487">
        <v>44538</v>
      </c>
      <c r="N1518" s="487">
        <v>44866</v>
      </c>
      <c r="O1518" s="487"/>
      <c r="P1518" s="475"/>
      <c r="Q1518" s="475"/>
      <c r="R1518" s="475"/>
      <c r="S1518" s="474" t="s">
        <v>2379</v>
      </c>
      <c r="T1518" s="474">
        <v>60</v>
      </c>
      <c r="U1518" s="474"/>
      <c r="V1518" s="474" t="s">
        <v>985</v>
      </c>
      <c r="W1518" s="474">
        <v>400</v>
      </c>
      <c r="X1518" s="476">
        <v>3840</v>
      </c>
      <c r="Y1518" s="477">
        <f>X1518*W1518</f>
        <v>1536000</v>
      </c>
      <c r="Z1518" s="478">
        <v>0.52</v>
      </c>
      <c r="AA1518" s="479">
        <f>Z1518*Y1518</f>
        <v>798720</v>
      </c>
      <c r="AB1518" s="480"/>
      <c r="AC1518" s="481">
        <f>AB1518*Y1518</f>
        <v>0</v>
      </c>
      <c r="AD1518" s="490"/>
      <c r="AE1518" s="482"/>
      <c r="AF1518" s="493">
        <f>AE1518+AD1518+AA1518</f>
        <v>798720</v>
      </c>
      <c r="AG1518" s="474" t="s">
        <v>1071</v>
      </c>
      <c r="AH1518" s="474"/>
      <c r="AI1518" s="483" t="s">
        <v>2442</v>
      </c>
      <c r="AJ1518" s="474" t="s">
        <v>2390</v>
      </c>
      <c r="AK1518" s="494" t="s">
        <v>2362</v>
      </c>
      <c r="AL1518" s="474">
        <v>80223</v>
      </c>
      <c r="AM1518" s="474" t="s">
        <v>52</v>
      </c>
      <c r="AN1518" s="474"/>
      <c r="AO1518" s="474"/>
      <c r="AP1518" s="486"/>
      <c r="AQ1518" s="486" t="s">
        <v>37</v>
      </c>
      <c r="AR1518" s="486"/>
      <c r="AS1518" s="495"/>
      <c r="AT1518" s="495"/>
      <c r="AU1518" s="478"/>
      <c r="AV1518" s="471">
        <f t="shared" si="267"/>
        <v>0</v>
      </c>
      <c r="AW1518" s="471" cm="1">
        <f t="array" ref="AW1518">SUM(MID(0&amp;AV1518,LARGE(INDEX(ISNUMBER(--MID(AV1518,ROW($1:$8),1))*ROW($1:$8),),ROW($1:$8))+1,1)*10^ROW($1:$8)/10)</f>
        <v>0</v>
      </c>
      <c r="AX1518" s="471" t="e">
        <f>VLOOKUP($AW1518,'Item Master Data'!$A:$F,3,FALSE)</f>
        <v>#N/A</v>
      </c>
      <c r="AY1518" s="471" t="e">
        <f>VLOOKUP($AW1518,'Item Master Data'!$A:$F,6,FALSE)</f>
        <v>#N/A</v>
      </c>
      <c r="AZ1518" s="471" t="e">
        <f t="shared" si="268"/>
        <v>#N/A</v>
      </c>
      <c r="BA1518" s="471" t="e">
        <f>VLOOKUP(AW1518,'Item Master Data'!$A:$G,7,FALSE)</f>
        <v>#N/A</v>
      </c>
      <c r="BC1518" s="471" t="e">
        <f t="shared" si="269"/>
        <v>#N/A</v>
      </c>
    </row>
    <row r="1519" spans="1:55" s="471" customFormat="1" ht="15" customHeight="1">
      <c r="A1519" s="472"/>
      <c r="B1519" s="515"/>
      <c r="C1519" s="515"/>
      <c r="D1519" s="485" t="s">
        <v>3186</v>
      </c>
      <c r="E1519" s="474" t="s">
        <v>2984</v>
      </c>
      <c r="F1519" s="474"/>
      <c r="G1519" s="474">
        <v>2022</v>
      </c>
      <c r="H1519" s="474">
        <v>10</v>
      </c>
      <c r="I1519" s="474"/>
      <c r="J1519" s="475"/>
      <c r="K1519" s="483" t="s">
        <v>3504</v>
      </c>
      <c r="L1519" s="474" t="s">
        <v>2359</v>
      </c>
      <c r="M1519" s="487">
        <v>44538</v>
      </c>
      <c r="N1519" s="487">
        <v>44835</v>
      </c>
      <c r="O1519" s="487"/>
      <c r="P1519" s="475"/>
      <c r="Q1519" s="475"/>
      <c r="R1519" s="475"/>
      <c r="S1519" s="474" t="s">
        <v>2379</v>
      </c>
      <c r="T1519" s="474">
        <v>60</v>
      </c>
      <c r="U1519" s="474"/>
      <c r="V1519" s="474" t="s">
        <v>985</v>
      </c>
      <c r="W1519" s="474">
        <v>400</v>
      </c>
      <c r="X1519" s="476">
        <v>3840</v>
      </c>
      <c r="Y1519" s="477">
        <f>X1519*W1519</f>
        <v>1536000</v>
      </c>
      <c r="Z1519" s="478">
        <v>0.52</v>
      </c>
      <c r="AA1519" s="479">
        <f>Z1519*Y1519</f>
        <v>798720</v>
      </c>
      <c r="AB1519" s="480"/>
      <c r="AC1519" s="481">
        <f>AB1519*Y1519</f>
        <v>0</v>
      </c>
      <c r="AD1519" s="490"/>
      <c r="AE1519" s="482"/>
      <c r="AF1519" s="493">
        <f>AE1519+AD1519+AA1519</f>
        <v>798720</v>
      </c>
      <c r="AG1519" s="474" t="s">
        <v>1071</v>
      </c>
      <c r="AH1519" s="474"/>
      <c r="AI1519" s="483" t="s">
        <v>2442</v>
      </c>
      <c r="AJ1519" s="474" t="s">
        <v>2390</v>
      </c>
      <c r="AK1519" s="494" t="s">
        <v>2362</v>
      </c>
      <c r="AL1519" s="474">
        <v>80223</v>
      </c>
      <c r="AM1519" s="474" t="s">
        <v>52</v>
      </c>
      <c r="AN1519" s="474"/>
      <c r="AO1519" s="474"/>
      <c r="AP1519" s="486"/>
      <c r="AQ1519" s="486" t="s">
        <v>37</v>
      </c>
      <c r="AR1519" s="486"/>
      <c r="AS1519" s="495"/>
      <c r="AT1519" s="495"/>
      <c r="AU1519" s="478"/>
      <c r="AV1519" s="471">
        <f t="shared" si="267"/>
        <v>0</v>
      </c>
      <c r="AW1519" s="471" cm="1">
        <f t="array" ref="AW1519">SUM(MID(0&amp;AV1519,LARGE(INDEX(ISNUMBER(--MID(AV1519,ROW($1:$8),1))*ROW($1:$8),),ROW($1:$8))+1,1)*10^ROW($1:$8)/10)</f>
        <v>0</v>
      </c>
      <c r="AX1519" s="471" t="e">
        <f>VLOOKUP($AW1519,'Item Master Data'!$A:$F,3,FALSE)</f>
        <v>#N/A</v>
      </c>
      <c r="AY1519" s="471" t="e">
        <f>VLOOKUP($AW1519,'Item Master Data'!$A:$F,6,FALSE)</f>
        <v>#N/A</v>
      </c>
      <c r="AZ1519" s="471" t="e">
        <f t="shared" si="268"/>
        <v>#N/A</v>
      </c>
      <c r="BA1519" s="471" t="e">
        <f>VLOOKUP(AW1519,'Item Master Data'!$A:$G,7,FALSE)</f>
        <v>#N/A</v>
      </c>
      <c r="BC1519" s="471" t="e">
        <f t="shared" si="269"/>
        <v>#N/A</v>
      </c>
    </row>
    <row r="1520" spans="1:55" s="471" customFormat="1" ht="15" customHeight="1">
      <c r="A1520" s="472"/>
      <c r="B1520" s="515"/>
      <c r="C1520" s="515"/>
      <c r="D1520" s="485" t="s">
        <v>3186</v>
      </c>
      <c r="E1520" s="474" t="s">
        <v>2984</v>
      </c>
      <c r="F1520" s="474"/>
      <c r="G1520" s="474">
        <v>2022</v>
      </c>
      <c r="H1520" s="474">
        <v>12</v>
      </c>
      <c r="I1520" s="474"/>
      <c r="J1520" s="475"/>
      <c r="K1520" s="483" t="s">
        <v>3506</v>
      </c>
      <c r="L1520" s="474" t="s">
        <v>2359</v>
      </c>
      <c r="M1520" s="487">
        <v>44538</v>
      </c>
      <c r="N1520" s="487">
        <v>44896</v>
      </c>
      <c r="O1520" s="487"/>
      <c r="P1520" s="475"/>
      <c r="Q1520" s="475"/>
      <c r="R1520" s="475"/>
      <c r="S1520" s="474" t="s">
        <v>2379</v>
      </c>
      <c r="T1520" s="474">
        <v>60</v>
      </c>
      <c r="U1520" s="474"/>
      <c r="V1520" s="474" t="s">
        <v>985</v>
      </c>
      <c r="W1520" s="474">
        <v>400</v>
      </c>
      <c r="X1520" s="476">
        <v>3840</v>
      </c>
      <c r="Y1520" s="477">
        <f>X1520*W1520</f>
        <v>1536000</v>
      </c>
      <c r="Z1520" s="478">
        <v>0.52</v>
      </c>
      <c r="AA1520" s="479">
        <f>Z1520*Y1520</f>
        <v>798720</v>
      </c>
      <c r="AB1520" s="480"/>
      <c r="AC1520" s="481">
        <f>AB1520*Y1520</f>
        <v>0</v>
      </c>
      <c r="AD1520" s="490"/>
      <c r="AE1520" s="482"/>
      <c r="AF1520" s="493">
        <f>AE1520+AD1520+AA1520</f>
        <v>798720</v>
      </c>
      <c r="AG1520" s="474" t="s">
        <v>1071</v>
      </c>
      <c r="AH1520" s="474"/>
      <c r="AI1520" s="483" t="s">
        <v>2442</v>
      </c>
      <c r="AJ1520" s="474" t="s">
        <v>2390</v>
      </c>
      <c r="AK1520" s="494" t="s">
        <v>2362</v>
      </c>
      <c r="AL1520" s="474">
        <v>80223</v>
      </c>
      <c r="AM1520" s="474" t="s">
        <v>52</v>
      </c>
      <c r="AN1520" s="474"/>
      <c r="AO1520" s="474"/>
      <c r="AP1520" s="486"/>
      <c r="AQ1520" s="486" t="s">
        <v>37</v>
      </c>
      <c r="AR1520" s="486"/>
      <c r="AS1520" s="495"/>
      <c r="AT1520" s="495"/>
      <c r="AU1520" s="478"/>
      <c r="AV1520" s="471">
        <f t="shared" si="267"/>
        <v>0</v>
      </c>
      <c r="AW1520" s="471" cm="1">
        <f t="array" ref="AW1520">SUM(MID(0&amp;AV1520,LARGE(INDEX(ISNUMBER(--MID(AV1520,ROW($1:$8),1))*ROW($1:$8),),ROW($1:$8))+1,1)*10^ROW($1:$8)/10)</f>
        <v>0</v>
      </c>
      <c r="AX1520" s="471" t="e">
        <f>VLOOKUP($AW1520,'Item Master Data'!$A:$F,3,FALSE)</f>
        <v>#N/A</v>
      </c>
      <c r="AY1520" s="471" t="e">
        <f>VLOOKUP($AW1520,'Item Master Data'!$A:$F,6,FALSE)</f>
        <v>#N/A</v>
      </c>
      <c r="AZ1520" s="471" t="e">
        <f t="shared" si="268"/>
        <v>#N/A</v>
      </c>
      <c r="BA1520" s="471" t="e">
        <f>VLOOKUP(AW1520,'Item Master Data'!$A:$G,7,FALSE)</f>
        <v>#N/A</v>
      </c>
      <c r="BC1520" s="471" t="e">
        <f t="shared" si="269"/>
        <v>#N/A</v>
      </c>
    </row>
    <row r="1521" spans="1:55" s="471" customFormat="1" ht="15" customHeight="1">
      <c r="A1521" s="472"/>
      <c r="B1521" s="515"/>
      <c r="C1521" s="515"/>
      <c r="D1521" s="485" t="s">
        <v>3186</v>
      </c>
      <c r="E1521" s="474"/>
      <c r="F1521" s="474"/>
      <c r="G1521" s="474">
        <v>2022</v>
      </c>
      <c r="H1521" s="474">
        <v>7</v>
      </c>
      <c r="I1521" s="474"/>
      <c r="J1521" s="475"/>
      <c r="K1521" s="483" t="s">
        <v>3465</v>
      </c>
      <c r="L1521" s="474" t="s">
        <v>2359</v>
      </c>
      <c r="M1521" s="487">
        <v>44538</v>
      </c>
      <c r="N1521" s="487">
        <v>44743</v>
      </c>
      <c r="O1521" s="487"/>
      <c r="P1521" s="475"/>
      <c r="Q1521" s="475"/>
      <c r="R1521" s="475"/>
      <c r="S1521" s="474" t="s">
        <v>2379</v>
      </c>
      <c r="T1521" s="474">
        <v>60</v>
      </c>
      <c r="U1521" s="474">
        <v>49401140</v>
      </c>
      <c r="V1521" s="474" t="s">
        <v>985</v>
      </c>
      <c r="W1521" s="474">
        <v>400</v>
      </c>
      <c r="X1521" s="476">
        <v>3072</v>
      </c>
      <c r="Y1521" s="477">
        <f>X1521*W1521</f>
        <v>1228800</v>
      </c>
      <c r="Z1521" s="478">
        <v>0.52</v>
      </c>
      <c r="AA1521" s="479">
        <f>Z1521*Y1521</f>
        <v>638976</v>
      </c>
      <c r="AB1521" s="480"/>
      <c r="AC1521" s="481">
        <f>AB1521*Y1521</f>
        <v>0</v>
      </c>
      <c r="AD1521" s="490"/>
      <c r="AE1521" s="482"/>
      <c r="AF1521" s="493">
        <f>AE1521+AD1521+AA1521</f>
        <v>638976</v>
      </c>
      <c r="AG1521" s="474" t="s">
        <v>1071</v>
      </c>
      <c r="AH1521" s="474"/>
      <c r="AI1521" s="483" t="s">
        <v>2442</v>
      </c>
      <c r="AJ1521" s="474" t="s">
        <v>2390</v>
      </c>
      <c r="AK1521" s="494" t="s">
        <v>2362</v>
      </c>
      <c r="AL1521" s="474">
        <v>80223</v>
      </c>
      <c r="AM1521" s="474" t="s">
        <v>52</v>
      </c>
      <c r="AN1521" s="474" t="s">
        <v>1074</v>
      </c>
      <c r="AO1521" s="474"/>
      <c r="AP1521" s="486"/>
      <c r="AQ1521" s="486" t="s">
        <v>37</v>
      </c>
      <c r="AR1521" s="486"/>
      <c r="AS1521" s="495"/>
      <c r="AT1521" s="495"/>
      <c r="AU1521" s="478"/>
      <c r="AV1521" s="471">
        <f t="shared" si="267"/>
        <v>49401140</v>
      </c>
      <c r="AW1521" s="471" cm="1">
        <f t="array" ref="AW1521">SUM(MID(0&amp;AV1521,LARGE(INDEX(ISNUMBER(--MID(AV1521,ROW($1:$8),1))*ROW($1:$8),),ROW($1:$8))+1,1)*10^ROW($1:$8)/10)</f>
        <v>49401140</v>
      </c>
      <c r="AX1521" s="471" t="str">
        <f>VLOOKUP($AW1521,'Item Master Data'!$A:$F,3,FALSE)</f>
        <v>Q.PEAK DUO BLK ML G10.a+</v>
      </c>
      <c r="AY1521" s="471">
        <f>VLOOKUP($AW1521,'Item Master Data'!$A:$F,6,FALSE)</f>
        <v>400</v>
      </c>
      <c r="AZ1521" s="471">
        <f t="shared" si="268"/>
        <v>96</v>
      </c>
      <c r="BA1521" s="471">
        <f>VLOOKUP(AW1521,'Item Master Data'!$A:$G,7,FALSE)</f>
        <v>32</v>
      </c>
      <c r="BC1521" s="471">
        <f t="shared" si="269"/>
        <v>0</v>
      </c>
    </row>
    <row r="1522" spans="1:55" s="471" customFormat="1" ht="15" customHeight="1">
      <c r="A1522" s="472"/>
      <c r="B1522" s="515"/>
      <c r="C1522" s="515"/>
      <c r="D1522" s="485" t="s">
        <v>3186</v>
      </c>
      <c r="E1522" s="474"/>
      <c r="F1522" s="474"/>
      <c r="G1522" s="474">
        <v>2022</v>
      </c>
      <c r="H1522" s="474">
        <v>8</v>
      </c>
      <c r="I1522" s="474"/>
      <c r="J1522" s="475"/>
      <c r="K1522" s="483" t="s">
        <v>3465</v>
      </c>
      <c r="L1522" s="474" t="s">
        <v>2359</v>
      </c>
      <c r="M1522" s="487">
        <v>44538</v>
      </c>
      <c r="N1522" s="487">
        <v>44774</v>
      </c>
      <c r="O1522" s="487"/>
      <c r="P1522" s="475"/>
      <c r="Q1522" s="475"/>
      <c r="R1522" s="475"/>
      <c r="S1522" s="474" t="s">
        <v>2379</v>
      </c>
      <c r="T1522" s="474">
        <v>60</v>
      </c>
      <c r="U1522" s="474">
        <v>49401140</v>
      </c>
      <c r="V1522" s="474" t="s">
        <v>985</v>
      </c>
      <c r="W1522" s="474">
        <v>400</v>
      </c>
      <c r="X1522" s="476">
        <v>3840</v>
      </c>
      <c r="Y1522" s="477">
        <f>X1522*W1522</f>
        <v>1536000</v>
      </c>
      <c r="Z1522" s="478">
        <v>0.52</v>
      </c>
      <c r="AA1522" s="479">
        <f>Z1522*Y1522</f>
        <v>798720</v>
      </c>
      <c r="AB1522" s="480"/>
      <c r="AC1522" s="481">
        <f>AB1522*Y1522</f>
        <v>0</v>
      </c>
      <c r="AD1522" s="490"/>
      <c r="AE1522" s="482"/>
      <c r="AF1522" s="493">
        <f>AE1522+AD1522+AA1522</f>
        <v>798720</v>
      </c>
      <c r="AG1522" s="474" t="s">
        <v>1071</v>
      </c>
      <c r="AH1522" s="474"/>
      <c r="AI1522" s="483" t="s">
        <v>2442</v>
      </c>
      <c r="AJ1522" s="474" t="s">
        <v>2390</v>
      </c>
      <c r="AK1522" s="494" t="s">
        <v>2362</v>
      </c>
      <c r="AL1522" s="474">
        <v>80223</v>
      </c>
      <c r="AM1522" s="474" t="s">
        <v>52</v>
      </c>
      <c r="AN1522" s="474" t="s">
        <v>1074</v>
      </c>
      <c r="AO1522" s="474"/>
      <c r="AP1522" s="486"/>
      <c r="AQ1522" s="486" t="s">
        <v>37</v>
      </c>
      <c r="AR1522" s="486"/>
      <c r="AS1522" s="495"/>
      <c r="AT1522" s="495"/>
      <c r="AU1522" s="478"/>
      <c r="AV1522" s="471">
        <f t="shared" si="267"/>
        <v>49401140</v>
      </c>
      <c r="AW1522" s="471" cm="1">
        <f t="array" ref="AW1522">SUM(MID(0&amp;AV1522,LARGE(INDEX(ISNUMBER(--MID(AV1522,ROW($1:$8),1))*ROW($1:$8),),ROW($1:$8))+1,1)*10^ROW($1:$8)/10)</f>
        <v>49401140</v>
      </c>
      <c r="AX1522" s="471" t="str">
        <f>VLOOKUP($AW1522,'Item Master Data'!$A:$F,3,FALSE)</f>
        <v>Q.PEAK DUO BLK ML G10.a+</v>
      </c>
      <c r="AY1522" s="471">
        <f>VLOOKUP($AW1522,'Item Master Data'!$A:$F,6,FALSE)</f>
        <v>400</v>
      </c>
      <c r="AZ1522" s="471">
        <f t="shared" si="268"/>
        <v>120</v>
      </c>
      <c r="BA1522" s="471">
        <f>VLOOKUP(AW1522,'Item Master Data'!$A:$G,7,FALSE)</f>
        <v>32</v>
      </c>
      <c r="BC1522" s="471">
        <f t="shared" si="269"/>
        <v>0</v>
      </c>
    </row>
    <row r="1523" spans="1:55" s="471" customFormat="1" ht="15" customHeight="1">
      <c r="A1523" s="472"/>
      <c r="B1523" s="515"/>
      <c r="C1523" s="515"/>
      <c r="D1523" s="485" t="s">
        <v>3186</v>
      </c>
      <c r="E1523" s="474"/>
      <c r="F1523" s="474"/>
      <c r="G1523" s="474">
        <v>2022</v>
      </c>
      <c r="H1523" s="474">
        <v>9</v>
      </c>
      <c r="I1523" s="474"/>
      <c r="J1523" s="475"/>
      <c r="K1523" s="483" t="s">
        <v>3465</v>
      </c>
      <c r="L1523" s="474" t="s">
        <v>2359</v>
      </c>
      <c r="M1523" s="487">
        <v>44538</v>
      </c>
      <c r="N1523" s="487">
        <v>44805</v>
      </c>
      <c r="O1523" s="487"/>
      <c r="P1523" s="475"/>
      <c r="Q1523" s="475"/>
      <c r="R1523" s="475"/>
      <c r="S1523" s="474" t="s">
        <v>2379</v>
      </c>
      <c r="T1523" s="474">
        <v>60</v>
      </c>
      <c r="U1523" s="474">
        <v>49401140</v>
      </c>
      <c r="V1523" s="474" t="s">
        <v>985</v>
      </c>
      <c r="W1523" s="474">
        <v>400</v>
      </c>
      <c r="X1523" s="476">
        <v>3840</v>
      </c>
      <c r="Y1523" s="477">
        <f>X1523*W1523</f>
        <v>1536000</v>
      </c>
      <c r="Z1523" s="478">
        <v>0.52</v>
      </c>
      <c r="AA1523" s="479">
        <f>Z1523*Y1523</f>
        <v>798720</v>
      </c>
      <c r="AB1523" s="480"/>
      <c r="AC1523" s="481">
        <f>AB1523*Y1523</f>
        <v>0</v>
      </c>
      <c r="AD1523" s="490"/>
      <c r="AE1523" s="482"/>
      <c r="AF1523" s="493">
        <f>AE1523+AD1523+AA1523</f>
        <v>798720</v>
      </c>
      <c r="AG1523" s="474" t="s">
        <v>1071</v>
      </c>
      <c r="AH1523" s="474"/>
      <c r="AI1523" s="483" t="s">
        <v>2442</v>
      </c>
      <c r="AJ1523" s="474" t="s">
        <v>2390</v>
      </c>
      <c r="AK1523" s="494" t="s">
        <v>2362</v>
      </c>
      <c r="AL1523" s="474">
        <v>80223</v>
      </c>
      <c r="AM1523" s="474" t="s">
        <v>52</v>
      </c>
      <c r="AN1523" s="474" t="s">
        <v>1074</v>
      </c>
      <c r="AO1523" s="474"/>
      <c r="AP1523" s="486"/>
      <c r="AQ1523" s="486" t="s">
        <v>37</v>
      </c>
      <c r="AR1523" s="486"/>
      <c r="AS1523" s="495"/>
      <c r="AT1523" s="495"/>
      <c r="AU1523" s="478"/>
      <c r="AV1523" s="471">
        <f t="shared" si="267"/>
        <v>49401140</v>
      </c>
      <c r="AW1523" s="471" cm="1">
        <f t="array" ref="AW1523">SUM(MID(0&amp;AV1523,LARGE(INDEX(ISNUMBER(--MID(AV1523,ROW($1:$8),1))*ROW($1:$8),),ROW($1:$8))+1,1)*10^ROW($1:$8)/10)</f>
        <v>49401140</v>
      </c>
      <c r="AX1523" s="471" t="str">
        <f>VLOOKUP($AW1523,'Item Master Data'!$A:$F,3,FALSE)</f>
        <v>Q.PEAK DUO BLK ML G10.a+</v>
      </c>
      <c r="AY1523" s="471">
        <f>VLOOKUP($AW1523,'Item Master Data'!$A:$F,6,FALSE)</f>
        <v>400</v>
      </c>
      <c r="AZ1523" s="471">
        <f t="shared" si="268"/>
        <v>120</v>
      </c>
      <c r="BA1523" s="471">
        <f>VLOOKUP(AW1523,'Item Master Data'!$A:$G,7,FALSE)</f>
        <v>32</v>
      </c>
      <c r="BC1523" s="471">
        <f t="shared" si="269"/>
        <v>0</v>
      </c>
    </row>
    <row r="1524" spans="1:55" s="471" customFormat="1" ht="15" customHeight="1">
      <c r="A1524" s="472"/>
      <c r="B1524" s="515">
        <v>44659</v>
      </c>
      <c r="C1524" s="515">
        <v>44659</v>
      </c>
      <c r="D1524" s="485" t="s">
        <v>3186</v>
      </c>
      <c r="E1524" s="474"/>
      <c r="F1524" s="474"/>
      <c r="G1524" s="474">
        <v>2022</v>
      </c>
      <c r="H1524" s="474">
        <v>5</v>
      </c>
      <c r="I1524" s="474"/>
      <c r="J1524" s="475"/>
      <c r="K1524" s="483" t="s">
        <v>3384</v>
      </c>
      <c r="L1524" s="474" t="s">
        <v>2359</v>
      </c>
      <c r="M1524" s="487">
        <v>44532</v>
      </c>
      <c r="N1524" s="487">
        <v>44652</v>
      </c>
      <c r="O1524" s="487"/>
      <c r="P1524" s="475"/>
      <c r="Q1524" s="475"/>
      <c r="R1524" s="475"/>
      <c r="S1524" s="474" t="s">
        <v>2379</v>
      </c>
      <c r="T1524" s="474">
        <v>60</v>
      </c>
      <c r="U1524" s="474">
        <v>49401140</v>
      </c>
      <c r="V1524" s="474" t="s">
        <v>973</v>
      </c>
      <c r="W1524" s="474">
        <v>400</v>
      </c>
      <c r="X1524" s="476">
        <v>1536</v>
      </c>
      <c r="Y1524" s="477">
        <f>X1524*W1524</f>
        <v>614400</v>
      </c>
      <c r="Z1524" s="478">
        <v>0.55000000000000004</v>
      </c>
      <c r="AA1524" s="479">
        <f>Z1524*Y1524</f>
        <v>337920</v>
      </c>
      <c r="AB1524" s="480"/>
      <c r="AC1524" s="481">
        <f>AB1524*Y1524</f>
        <v>0</v>
      </c>
      <c r="AD1524" s="490"/>
      <c r="AE1524" s="482"/>
      <c r="AF1524" s="493">
        <f>AE1524+AD1524+AA1524</f>
        <v>337920</v>
      </c>
      <c r="AG1524" s="474" t="s">
        <v>1071</v>
      </c>
      <c r="AH1524" s="474"/>
      <c r="AI1524" s="483" t="s">
        <v>2442</v>
      </c>
      <c r="AJ1524" s="474" t="s">
        <v>2390</v>
      </c>
      <c r="AK1524" s="494" t="s">
        <v>2362</v>
      </c>
      <c r="AL1524" s="474">
        <v>80223</v>
      </c>
      <c r="AM1524" s="474" t="s">
        <v>52</v>
      </c>
      <c r="AN1524" s="474"/>
      <c r="AO1524" s="474"/>
      <c r="AP1524" s="486"/>
      <c r="AQ1524" s="486" t="s">
        <v>37</v>
      </c>
      <c r="AR1524" s="486"/>
      <c r="AS1524" s="495"/>
      <c r="AT1524" s="495"/>
      <c r="AU1524" s="478"/>
      <c r="AV1524" s="471">
        <f t="shared" si="267"/>
        <v>49401140</v>
      </c>
      <c r="AW1524" s="471" cm="1">
        <f t="array" ref="AW1524">SUM(MID(0&amp;AV1524,LARGE(INDEX(ISNUMBER(--MID(AV1524,ROW($1:$8),1))*ROW($1:$8),),ROW($1:$8))+1,1)*10^ROW($1:$8)/10)</f>
        <v>49401140</v>
      </c>
      <c r="AX1524" s="471" t="str">
        <f>VLOOKUP($AW1524,'Item Master Data'!$A:$F,3,FALSE)</f>
        <v>Q.PEAK DUO BLK ML G10.a+</v>
      </c>
      <c r="AY1524" s="471">
        <f>VLOOKUP($AW1524,'Item Master Data'!$A:$F,6,FALSE)</f>
        <v>400</v>
      </c>
      <c r="AZ1524" s="471">
        <f t="shared" si="268"/>
        <v>48</v>
      </c>
      <c r="BA1524" s="471">
        <f>VLOOKUP(AW1524,'Item Master Data'!$A:$G,7,FALSE)</f>
        <v>32</v>
      </c>
      <c r="BC1524" s="471">
        <f t="shared" si="269"/>
        <v>0</v>
      </c>
    </row>
    <row r="1525" spans="1:55" s="471" customFormat="1">
      <c r="A1525" s="472"/>
      <c r="B1525" s="515">
        <v>44659</v>
      </c>
      <c r="C1525" s="515">
        <v>44659</v>
      </c>
      <c r="D1525" s="485" t="s">
        <v>3186</v>
      </c>
      <c r="E1525" s="474"/>
      <c r="F1525" s="474"/>
      <c r="G1525" s="474">
        <v>2022</v>
      </c>
      <c r="H1525" s="474">
        <v>4</v>
      </c>
      <c r="I1525" s="474">
        <v>128143</v>
      </c>
      <c r="J1525" s="475">
        <v>44672</v>
      </c>
      <c r="K1525" s="483" t="s">
        <v>3308</v>
      </c>
      <c r="L1525" s="474" t="s">
        <v>2359</v>
      </c>
      <c r="M1525" s="487">
        <v>44532</v>
      </c>
      <c r="N1525" s="487">
        <v>44652</v>
      </c>
      <c r="O1525" s="487"/>
      <c r="P1525" s="475">
        <v>44665</v>
      </c>
      <c r="Q1525" s="475">
        <v>44672</v>
      </c>
      <c r="R1525" s="475">
        <v>44676</v>
      </c>
      <c r="S1525" s="474" t="s">
        <v>2379</v>
      </c>
      <c r="T1525" s="474">
        <v>60</v>
      </c>
      <c r="U1525" s="474" t="s">
        <v>1760</v>
      </c>
      <c r="V1525" s="474" t="s">
        <v>973</v>
      </c>
      <c r="W1525" s="474">
        <v>400</v>
      </c>
      <c r="X1525" s="476">
        <v>768</v>
      </c>
      <c r="Y1525" s="491">
        <f>X1525*W1525</f>
        <v>307200</v>
      </c>
      <c r="Z1525" s="478">
        <v>0.55000000000000004</v>
      </c>
      <c r="AA1525" s="479">
        <f>Z1525*Y1525</f>
        <v>168960</v>
      </c>
      <c r="AB1525" s="480"/>
      <c r="AC1525" s="481">
        <f>AB1525*Y1525</f>
        <v>0</v>
      </c>
      <c r="AD1525" s="490"/>
      <c r="AE1525" s="482"/>
      <c r="AF1525" s="493">
        <f>AE1525+AD1525+AA1525</f>
        <v>168960</v>
      </c>
      <c r="AG1525" s="474" t="s">
        <v>1071</v>
      </c>
      <c r="AH1525" s="474"/>
      <c r="AI1525" s="483" t="s">
        <v>2442</v>
      </c>
      <c r="AJ1525" s="474" t="s">
        <v>2390</v>
      </c>
      <c r="AK1525" s="494" t="s">
        <v>2362</v>
      </c>
      <c r="AL1525" s="474">
        <v>80223</v>
      </c>
      <c r="AM1525" s="474" t="s">
        <v>52</v>
      </c>
      <c r="AN1525" s="474" t="s">
        <v>50</v>
      </c>
      <c r="AO1525" s="474"/>
      <c r="AP1525" s="486" t="s">
        <v>38</v>
      </c>
      <c r="AQ1525" s="486" t="s">
        <v>37</v>
      </c>
      <c r="AR1525" s="486"/>
      <c r="AS1525" s="495"/>
      <c r="AT1525" s="495"/>
      <c r="AU1525" s="478"/>
      <c r="AV1525" s="471" t="str">
        <f t="shared" si="267"/>
        <v>30390156H</v>
      </c>
      <c r="AW1525" s="471" cm="1">
        <f t="array" ref="AW1525">SUM(MID(0&amp;AV1525,LARGE(INDEX(ISNUMBER(--MID(AV1525,ROW($1:$8),1))*ROW($1:$8),),ROW($1:$8))+1,1)*10^ROW($1:$8)/10)</f>
        <v>30390156</v>
      </c>
      <c r="AX1525" s="471" t="str">
        <f>VLOOKUP($AW1525,'Item Master Data'!$A:$F,3,FALSE)</f>
        <v>Q.PEAK DUO BLK ML G10+</v>
      </c>
      <c r="AY1525" s="471">
        <f>VLOOKUP($AW1525,'Item Master Data'!$A:$F,6,FALSE)</f>
        <v>400</v>
      </c>
      <c r="AZ1525" s="471">
        <f t="shared" si="268"/>
        <v>24</v>
      </c>
      <c r="BA1525" s="471">
        <f>VLOOKUP(AW1525,'Item Master Data'!$A:$G,7,FALSE)</f>
        <v>32</v>
      </c>
      <c r="BC1525" s="471">
        <f t="shared" si="269"/>
        <v>0</v>
      </c>
    </row>
    <row r="1526" spans="1:55" s="471" customFormat="1">
      <c r="A1526" s="472"/>
      <c r="B1526" s="515">
        <v>44628</v>
      </c>
      <c r="C1526" s="515">
        <v>44629</v>
      </c>
      <c r="D1526" s="485" t="s">
        <v>3186</v>
      </c>
      <c r="E1526" s="474" t="s">
        <v>3215</v>
      </c>
      <c r="F1526" s="474"/>
      <c r="G1526" s="474">
        <v>2022</v>
      </c>
      <c r="H1526" s="474">
        <v>3</v>
      </c>
      <c r="I1526" s="474">
        <v>127608</v>
      </c>
      <c r="J1526" s="475">
        <v>44650</v>
      </c>
      <c r="K1526" s="483" t="s">
        <v>3228</v>
      </c>
      <c r="L1526" s="474" t="s">
        <v>2359</v>
      </c>
      <c r="M1526" s="487">
        <v>44468</v>
      </c>
      <c r="N1526" s="487">
        <v>44256</v>
      </c>
      <c r="O1526" s="487"/>
      <c r="P1526" s="475">
        <v>44629</v>
      </c>
      <c r="Q1526" s="475">
        <v>44650</v>
      </c>
      <c r="R1526" s="475">
        <v>44652</v>
      </c>
      <c r="S1526" s="474" t="s">
        <v>2379</v>
      </c>
      <c r="T1526" s="474">
        <v>60</v>
      </c>
      <c r="U1526" s="474" t="s">
        <v>1760</v>
      </c>
      <c r="V1526" s="474" t="s">
        <v>973</v>
      </c>
      <c r="W1526" s="474">
        <v>400</v>
      </c>
      <c r="X1526" s="476">
        <v>2304</v>
      </c>
      <c r="Y1526" s="477">
        <f>X1526*W1526</f>
        <v>921600</v>
      </c>
      <c r="Z1526" s="478">
        <v>0.55000000000000004</v>
      </c>
      <c r="AA1526" s="479">
        <f>Z1526*Y1526</f>
        <v>506880.00000000006</v>
      </c>
      <c r="AB1526" s="480"/>
      <c r="AC1526" s="481">
        <f>AB1526*Y1526</f>
        <v>0</v>
      </c>
      <c r="AD1526" s="490"/>
      <c r="AE1526" s="482"/>
      <c r="AF1526" s="493">
        <f>AE1526+AD1526+AA1526</f>
        <v>506880.00000000006</v>
      </c>
      <c r="AG1526" s="474" t="s">
        <v>1071</v>
      </c>
      <c r="AH1526" s="474"/>
      <c r="AI1526" s="483" t="s">
        <v>2442</v>
      </c>
      <c r="AJ1526" s="474" t="s">
        <v>2390</v>
      </c>
      <c r="AK1526" s="494" t="s">
        <v>2362</v>
      </c>
      <c r="AL1526" s="474">
        <v>80223</v>
      </c>
      <c r="AM1526" s="474" t="s">
        <v>52</v>
      </c>
      <c r="AN1526" s="474" t="s">
        <v>50</v>
      </c>
      <c r="AO1526" s="474"/>
      <c r="AP1526" s="486" t="s">
        <v>38</v>
      </c>
      <c r="AQ1526" s="486" t="s">
        <v>37</v>
      </c>
      <c r="AR1526" s="486" t="s">
        <v>2568</v>
      </c>
      <c r="AS1526" s="495"/>
      <c r="AT1526" s="495"/>
      <c r="AU1526" s="478">
        <v>0.46500000000000002</v>
      </c>
      <c r="AV1526" s="471" t="str">
        <f t="shared" si="267"/>
        <v>30390156H</v>
      </c>
      <c r="AW1526" s="471" cm="1">
        <f t="array" ref="AW1526">SUM(MID(0&amp;AV1526,LARGE(INDEX(ISNUMBER(--MID(AV1526,ROW($1:$8),1))*ROW($1:$8),),ROW($1:$8))+1,1)*10^ROW($1:$8)/10)</f>
        <v>30390156</v>
      </c>
      <c r="AX1526" s="471" t="str">
        <f>VLOOKUP($AW1526,'Item Master Data'!$A:$F,3,FALSE)</f>
        <v>Q.PEAK DUO BLK ML G10+</v>
      </c>
      <c r="AY1526" s="471">
        <f>VLOOKUP($AW1526,'Item Master Data'!$A:$F,6,FALSE)</f>
        <v>400</v>
      </c>
      <c r="AZ1526" s="471">
        <f t="shared" si="268"/>
        <v>72</v>
      </c>
      <c r="BA1526" s="471">
        <f>VLOOKUP(AW1526,'Item Master Data'!$A:$G,7,FALSE)</f>
        <v>32</v>
      </c>
      <c r="BC1526" s="471">
        <f t="shared" si="269"/>
        <v>0</v>
      </c>
    </row>
    <row r="1527" spans="1:55" s="471" customFormat="1">
      <c r="A1527" s="472"/>
      <c r="B1527" s="515">
        <v>44609</v>
      </c>
      <c r="C1527" s="515">
        <v>44609</v>
      </c>
      <c r="D1527" s="485" t="s">
        <v>3186</v>
      </c>
      <c r="E1527" s="474" t="s">
        <v>3215</v>
      </c>
      <c r="F1527" s="474"/>
      <c r="G1527" s="474">
        <v>2022</v>
      </c>
      <c r="H1527" s="474">
        <v>4</v>
      </c>
      <c r="I1527" s="474">
        <v>127965</v>
      </c>
      <c r="J1527" s="475">
        <v>44652</v>
      </c>
      <c r="K1527" s="483" t="s">
        <v>3309</v>
      </c>
      <c r="L1527" s="474" t="s">
        <v>2359</v>
      </c>
      <c r="M1527" s="487">
        <v>44468</v>
      </c>
      <c r="N1527" s="487">
        <v>44608</v>
      </c>
      <c r="O1527" s="487" t="s">
        <v>1280</v>
      </c>
      <c r="P1527" s="475">
        <v>44650</v>
      </c>
      <c r="Q1527" s="475">
        <v>44652</v>
      </c>
      <c r="R1527" s="475">
        <v>44655</v>
      </c>
      <c r="S1527" s="474" t="s">
        <v>2379</v>
      </c>
      <c r="T1527" s="474">
        <v>60</v>
      </c>
      <c r="U1527" s="474" t="s">
        <v>1760</v>
      </c>
      <c r="V1527" s="474" t="s">
        <v>973</v>
      </c>
      <c r="W1527" s="474">
        <v>400</v>
      </c>
      <c r="X1527" s="476">
        <v>768</v>
      </c>
      <c r="Y1527" s="491">
        <f>X1527*W1527</f>
        <v>307200</v>
      </c>
      <c r="Z1527" s="478">
        <v>0.55000000000000004</v>
      </c>
      <c r="AA1527" s="479">
        <f>Z1527*Y1527</f>
        <v>168960</v>
      </c>
      <c r="AB1527" s="480"/>
      <c r="AC1527" s="481">
        <f>AB1527*Y1527</f>
        <v>0</v>
      </c>
      <c r="AD1527" s="490"/>
      <c r="AE1527" s="482"/>
      <c r="AF1527" s="493">
        <f>AE1527+AD1527+AA1527</f>
        <v>168960</v>
      </c>
      <c r="AG1527" s="474" t="s">
        <v>1071</v>
      </c>
      <c r="AH1527" s="474"/>
      <c r="AI1527" s="483" t="s">
        <v>2442</v>
      </c>
      <c r="AJ1527" s="474" t="s">
        <v>2390</v>
      </c>
      <c r="AK1527" s="494" t="s">
        <v>2362</v>
      </c>
      <c r="AL1527" s="474">
        <v>80223</v>
      </c>
      <c r="AM1527" s="474" t="s">
        <v>52</v>
      </c>
      <c r="AN1527" s="516" t="s">
        <v>50</v>
      </c>
      <c r="AO1527" s="474"/>
      <c r="AP1527" s="486" t="s">
        <v>38</v>
      </c>
      <c r="AQ1527" s="486" t="s">
        <v>37</v>
      </c>
      <c r="AR1527" s="486" t="s">
        <v>2568</v>
      </c>
      <c r="AS1527" s="495"/>
      <c r="AT1527" s="495"/>
      <c r="AU1527" s="478">
        <v>0.46500000000000002</v>
      </c>
      <c r="AV1527" s="471" t="str">
        <f t="shared" si="267"/>
        <v>30390156H</v>
      </c>
      <c r="AW1527" s="471" cm="1">
        <f t="array" ref="AW1527">SUM(MID(0&amp;AV1527,LARGE(INDEX(ISNUMBER(--MID(AV1527,ROW($1:$8),1))*ROW($1:$8),),ROW($1:$8))+1,1)*10^ROW($1:$8)/10)</f>
        <v>30390156</v>
      </c>
      <c r="AX1527" s="471" t="str">
        <f>VLOOKUP($AW1527,'Item Master Data'!$A:$F,3,FALSE)</f>
        <v>Q.PEAK DUO BLK ML G10+</v>
      </c>
      <c r="AY1527" s="471">
        <f>VLOOKUP($AW1527,'Item Master Data'!$A:$F,6,FALSE)</f>
        <v>400</v>
      </c>
      <c r="AZ1527" s="471">
        <f t="shared" si="268"/>
        <v>24</v>
      </c>
      <c r="BA1527" s="471">
        <f>VLOOKUP(AW1527,'Item Master Data'!$A:$G,7,FALSE)</f>
        <v>32</v>
      </c>
      <c r="BC1527" s="471">
        <f t="shared" si="269"/>
        <v>0</v>
      </c>
    </row>
    <row r="1528" spans="1:55" s="471" customFormat="1">
      <c r="A1528" s="472"/>
      <c r="B1528" s="515">
        <v>44616</v>
      </c>
      <c r="C1528" s="515">
        <v>44616</v>
      </c>
      <c r="D1528" s="485" t="s">
        <v>3186</v>
      </c>
      <c r="E1528" s="474" t="s">
        <v>3391</v>
      </c>
      <c r="F1528" s="474"/>
      <c r="G1528" s="474">
        <v>2022</v>
      </c>
      <c r="H1528" s="474">
        <v>6</v>
      </c>
      <c r="I1528" s="474"/>
      <c r="J1528" s="475"/>
      <c r="K1528" s="483" t="s">
        <v>3524</v>
      </c>
      <c r="L1528" s="474" t="s">
        <v>2378</v>
      </c>
      <c r="M1528" s="487">
        <v>44615</v>
      </c>
      <c r="N1528" s="487">
        <v>44615</v>
      </c>
      <c r="O1528" s="487"/>
      <c r="P1528" s="475"/>
      <c r="Q1528" s="475"/>
      <c r="R1528" s="475"/>
      <c r="S1528" s="474" t="s">
        <v>2379</v>
      </c>
      <c r="T1528" s="474">
        <v>60</v>
      </c>
      <c r="U1528" s="474">
        <v>49401140</v>
      </c>
      <c r="V1528" s="474" t="s">
        <v>973</v>
      </c>
      <c r="W1528" s="474">
        <v>400</v>
      </c>
      <c r="X1528" s="476">
        <v>62500</v>
      </c>
      <c r="Y1528" s="477">
        <f>X1528*W1528</f>
        <v>25000000</v>
      </c>
      <c r="Z1528" s="478">
        <f>188/400</f>
        <v>0.47</v>
      </c>
      <c r="AA1528" s="479">
        <f>Z1528*Y1528</f>
        <v>11750000</v>
      </c>
      <c r="AB1528" s="480"/>
      <c r="AC1528" s="481">
        <f>AB1528*Y1528</f>
        <v>0</v>
      </c>
      <c r="AD1528" s="490"/>
      <c r="AE1528" s="482"/>
      <c r="AF1528" s="493">
        <f>AA1528+AE1528</f>
        <v>11750000</v>
      </c>
      <c r="AG1528" s="474" t="s">
        <v>47</v>
      </c>
      <c r="AH1528" s="474"/>
      <c r="AI1528" s="483" t="s">
        <v>2374</v>
      </c>
      <c r="AJ1528" s="474" t="s">
        <v>1132</v>
      </c>
      <c r="AK1528" s="494" t="s">
        <v>1133</v>
      </c>
      <c r="AL1528" s="474">
        <v>85210</v>
      </c>
      <c r="AM1528" s="474" t="s">
        <v>52</v>
      </c>
      <c r="AN1528" s="474" t="s">
        <v>50</v>
      </c>
      <c r="AO1528" s="474"/>
      <c r="AP1528" s="486"/>
      <c r="AQ1528" s="486" t="s">
        <v>37</v>
      </c>
      <c r="AR1528" s="486"/>
      <c r="AS1528" s="495"/>
      <c r="AT1528" s="495"/>
      <c r="AU1528" s="478"/>
      <c r="AV1528" s="471">
        <f t="shared" ref="AV1528:AV1559" si="270">U1528</f>
        <v>49401140</v>
      </c>
      <c r="AW1528" s="471" cm="1">
        <f t="array" ref="AW1528">SUM(MID(0&amp;AV1528,LARGE(INDEX(ISNUMBER(--MID(AV1528,ROW($1:$8),1))*ROW($1:$8),),ROW($1:$8))+1,1)*10^ROW($1:$8)/10)</f>
        <v>49401140</v>
      </c>
      <c r="AX1528" s="471" t="str">
        <f>VLOOKUP($AW1528,'Item Master Data'!$A:$F,3,FALSE)</f>
        <v>Q.PEAK DUO BLK ML G10.a+</v>
      </c>
      <c r="AY1528" s="471">
        <f>VLOOKUP($AW1528,'Item Master Data'!$A:$F,6,FALSE)</f>
        <v>400</v>
      </c>
      <c r="AZ1528" s="471">
        <f t="shared" ref="AZ1528:AZ1559" si="271">X1528/BA1528</f>
        <v>1953.125</v>
      </c>
      <c r="BA1528" s="471">
        <f>VLOOKUP(AW1528,'Item Master Data'!$A:$G,7,FALSE)</f>
        <v>32</v>
      </c>
      <c r="BC1528" s="471">
        <f t="shared" ref="BC1528:BC1559" si="272">W1528-AY1528</f>
        <v>0</v>
      </c>
    </row>
    <row r="1529" spans="1:55" s="471" customFormat="1">
      <c r="A1529" s="472"/>
      <c r="B1529" s="514">
        <v>44616</v>
      </c>
      <c r="C1529" s="514">
        <v>44616</v>
      </c>
      <c r="D1529" s="485" t="s">
        <v>3186</v>
      </c>
      <c r="E1529" s="474"/>
      <c r="F1529" s="474"/>
      <c r="G1529" s="618">
        <v>2022</v>
      </c>
      <c r="H1529" s="618">
        <v>5</v>
      </c>
      <c r="I1529" s="619"/>
      <c r="J1529" s="620"/>
      <c r="K1529" s="621" t="s">
        <v>5344</v>
      </c>
      <c r="L1529" s="618" t="s">
        <v>2378</v>
      </c>
      <c r="M1529" s="622">
        <v>44615</v>
      </c>
      <c r="N1529" s="622">
        <v>44615</v>
      </c>
      <c r="O1529" s="622"/>
      <c r="P1529" s="620"/>
      <c r="Q1529" s="620"/>
      <c r="R1529" s="620"/>
      <c r="S1529" s="618" t="s">
        <v>2379</v>
      </c>
      <c r="T1529" s="618">
        <v>60</v>
      </c>
      <c r="U1529" s="618">
        <v>49405140</v>
      </c>
      <c r="V1529" s="618" t="s">
        <v>973</v>
      </c>
      <c r="W1529" s="618">
        <v>400</v>
      </c>
      <c r="X1529" s="623">
        <v>832</v>
      </c>
      <c r="Y1529" s="477">
        <f>X1529*W1529</f>
        <v>332800</v>
      </c>
      <c r="Z1529" s="478">
        <f>188/400</f>
        <v>0.47</v>
      </c>
      <c r="AA1529" s="479">
        <f>Z1529*Y1529</f>
        <v>156416</v>
      </c>
      <c r="AB1529" s="480"/>
      <c r="AC1529" s="481">
        <f>AB1529*Y1529</f>
        <v>0</v>
      </c>
      <c r="AD1529" s="490"/>
      <c r="AE1529" s="482"/>
      <c r="AF1529" s="493">
        <f>AA1529+AE1529</f>
        <v>156416</v>
      </c>
      <c r="AG1529" s="474" t="s">
        <v>47</v>
      </c>
      <c r="AH1529" s="474"/>
      <c r="AI1529" s="483" t="s">
        <v>2374</v>
      </c>
      <c r="AJ1529" s="474" t="s">
        <v>2397</v>
      </c>
      <c r="AK1529" s="494" t="s">
        <v>1133</v>
      </c>
      <c r="AL1529" s="474">
        <v>85365</v>
      </c>
      <c r="AM1529" s="474" t="s">
        <v>52</v>
      </c>
      <c r="AN1529" s="474" t="s">
        <v>1106</v>
      </c>
      <c r="AO1529" s="474"/>
      <c r="AP1529" s="486"/>
      <c r="AQ1529" s="486" t="s">
        <v>37</v>
      </c>
      <c r="AR1529" s="486"/>
      <c r="AS1529" s="495"/>
      <c r="AT1529" s="495"/>
      <c r="AU1529" s="478"/>
      <c r="AV1529" s="471">
        <f t="shared" si="270"/>
        <v>49405140</v>
      </c>
      <c r="AW1529" s="471" cm="1">
        <f t="array" ref="AW1529">SUM(MID(0&amp;AV1529,LARGE(INDEX(ISNUMBER(--MID(AV1529,ROW($1:$8),1))*ROW($1:$8),),ROW($1:$8))+1,1)*10^ROW($1:$8)/10)</f>
        <v>49405140</v>
      </c>
      <c r="AX1529" s="471" t="str">
        <f>VLOOKUP($AW1529,'Item Master Data'!$A:$F,3,FALSE)</f>
        <v>Q.PEAK DUO BLK ML G10+</v>
      </c>
      <c r="AY1529" s="471">
        <f>VLOOKUP($AW1529,'Item Master Data'!$A:$F,6,FALSE)</f>
        <v>400</v>
      </c>
      <c r="AZ1529" s="471">
        <f t="shared" si="271"/>
        <v>26</v>
      </c>
      <c r="BA1529" s="471">
        <f>VLOOKUP(AW1529,'Item Master Data'!$A:$G,7,FALSE)</f>
        <v>32</v>
      </c>
      <c r="BC1529" s="471">
        <f t="shared" si="272"/>
        <v>0</v>
      </c>
    </row>
    <row r="1530" spans="1:55" s="471" customFormat="1">
      <c r="A1530" s="472"/>
      <c r="B1530" s="514">
        <v>44616</v>
      </c>
      <c r="C1530" s="514">
        <v>44616</v>
      </c>
      <c r="D1530" s="485" t="s">
        <v>3186</v>
      </c>
      <c r="E1530" s="474"/>
      <c r="F1530" s="474"/>
      <c r="G1530" s="618">
        <v>2022</v>
      </c>
      <c r="H1530" s="618">
        <v>5</v>
      </c>
      <c r="I1530" s="619"/>
      <c r="J1530" s="620"/>
      <c r="K1530" s="621" t="s">
        <v>5348</v>
      </c>
      <c r="L1530" s="618" t="s">
        <v>2378</v>
      </c>
      <c r="M1530" s="622">
        <v>44615</v>
      </c>
      <c r="N1530" s="622">
        <v>44615</v>
      </c>
      <c r="O1530" s="622"/>
      <c r="P1530" s="620"/>
      <c r="Q1530" s="620"/>
      <c r="R1530" s="620"/>
      <c r="S1530" s="618" t="s">
        <v>2379</v>
      </c>
      <c r="T1530" s="618">
        <v>60</v>
      </c>
      <c r="U1530" s="618">
        <v>49405140</v>
      </c>
      <c r="V1530" s="618" t="s">
        <v>973</v>
      </c>
      <c r="W1530" s="618">
        <v>400</v>
      </c>
      <c r="X1530" s="623">
        <f>2496-256</f>
        <v>2240</v>
      </c>
      <c r="Y1530" s="477">
        <f>X1530*W1530</f>
        <v>896000</v>
      </c>
      <c r="Z1530" s="478">
        <f>188/400</f>
        <v>0.47</v>
      </c>
      <c r="AA1530" s="479">
        <f>Z1530*Y1530</f>
        <v>421120</v>
      </c>
      <c r="AB1530" s="480"/>
      <c r="AC1530" s="481">
        <f>AB1530*Y1530</f>
        <v>0</v>
      </c>
      <c r="AD1530" s="490"/>
      <c r="AE1530" s="482"/>
      <c r="AF1530" s="493">
        <f>AA1530+AE1530</f>
        <v>421120</v>
      </c>
      <c r="AG1530" s="474" t="s">
        <v>47</v>
      </c>
      <c r="AH1530" s="474"/>
      <c r="AI1530" s="483" t="s">
        <v>2374</v>
      </c>
      <c r="AJ1530" s="474" t="s">
        <v>2366</v>
      </c>
      <c r="AK1530" s="494" t="s">
        <v>1395</v>
      </c>
      <c r="AL1530" s="474">
        <v>89118</v>
      </c>
      <c r="AM1530" s="474" t="s">
        <v>52</v>
      </c>
      <c r="AN1530" s="474" t="s">
        <v>1106</v>
      </c>
      <c r="AO1530" s="474"/>
      <c r="AP1530" s="486"/>
      <c r="AQ1530" s="486" t="s">
        <v>37</v>
      </c>
      <c r="AR1530" s="486"/>
      <c r="AS1530" s="495"/>
      <c r="AT1530" s="495"/>
      <c r="AU1530" s="478"/>
      <c r="AV1530" s="471">
        <f t="shared" si="270"/>
        <v>49405140</v>
      </c>
      <c r="AW1530" s="471" cm="1">
        <f t="array" ref="AW1530">SUM(MID(0&amp;AV1530,LARGE(INDEX(ISNUMBER(--MID(AV1530,ROW($1:$8),1))*ROW($1:$8),),ROW($1:$8))+1,1)*10^ROW($1:$8)/10)</f>
        <v>49405140</v>
      </c>
      <c r="AX1530" s="471" t="str">
        <f>VLOOKUP($AW1530,'Item Master Data'!$A:$F,3,FALSE)</f>
        <v>Q.PEAK DUO BLK ML G10+</v>
      </c>
      <c r="AY1530" s="471">
        <f>VLOOKUP($AW1530,'Item Master Data'!$A:$F,6,FALSE)</f>
        <v>400</v>
      </c>
      <c r="AZ1530" s="471">
        <f t="shared" si="271"/>
        <v>70</v>
      </c>
      <c r="BA1530" s="471">
        <f>VLOOKUP(AW1530,'Item Master Data'!$A:$G,7,FALSE)</f>
        <v>32</v>
      </c>
      <c r="BC1530" s="471">
        <f t="shared" si="272"/>
        <v>0</v>
      </c>
    </row>
    <row r="1531" spans="1:55" s="471" customFormat="1">
      <c r="A1531" s="472"/>
      <c r="B1531" s="514">
        <v>44616</v>
      </c>
      <c r="C1531" s="514">
        <v>44616</v>
      </c>
      <c r="D1531" s="485" t="s">
        <v>3186</v>
      </c>
      <c r="E1531" s="474"/>
      <c r="F1531" s="474"/>
      <c r="G1531" s="474">
        <v>2022</v>
      </c>
      <c r="H1531" s="474">
        <v>5</v>
      </c>
      <c r="I1531" s="485"/>
      <c r="J1531" s="475"/>
      <c r="K1531" s="483" t="s">
        <v>5358</v>
      </c>
      <c r="L1531" s="474" t="s">
        <v>2378</v>
      </c>
      <c r="M1531" s="487">
        <v>44615</v>
      </c>
      <c r="N1531" s="487">
        <v>44615</v>
      </c>
      <c r="O1531" s="487"/>
      <c r="P1531" s="475"/>
      <c r="Q1531" s="475"/>
      <c r="R1531" s="475"/>
      <c r="S1531" s="474" t="s">
        <v>2379</v>
      </c>
      <c r="T1531" s="474">
        <v>60</v>
      </c>
      <c r="U1531" s="474">
        <v>49401140</v>
      </c>
      <c r="V1531" s="474" t="s">
        <v>973</v>
      </c>
      <c r="W1531" s="474">
        <v>400</v>
      </c>
      <c r="X1531" s="476">
        <v>416</v>
      </c>
      <c r="Y1531" s="477">
        <f>X1531*W1531</f>
        <v>166400</v>
      </c>
      <c r="Z1531" s="478">
        <f>188/400</f>
        <v>0.47</v>
      </c>
      <c r="AA1531" s="479">
        <f>Z1531*Y1531</f>
        <v>78208</v>
      </c>
      <c r="AB1531" s="480"/>
      <c r="AC1531" s="481">
        <f>AB1531*Y1531</f>
        <v>0</v>
      </c>
      <c r="AD1531" s="490"/>
      <c r="AE1531" s="482"/>
      <c r="AF1531" s="493">
        <f>AA1531+AE1531</f>
        <v>78208</v>
      </c>
      <c r="AG1531" s="474" t="s">
        <v>47</v>
      </c>
      <c r="AH1531" s="474"/>
      <c r="AI1531" s="483" t="s">
        <v>2374</v>
      </c>
      <c r="AJ1531" s="474" t="s">
        <v>3573</v>
      </c>
      <c r="AK1531" s="494" t="s">
        <v>50</v>
      </c>
      <c r="AL1531" s="474">
        <v>91355</v>
      </c>
      <c r="AM1531" s="474" t="s">
        <v>52</v>
      </c>
      <c r="AN1531" s="474" t="s">
        <v>1106</v>
      </c>
      <c r="AO1531" s="474"/>
      <c r="AP1531" s="486"/>
      <c r="AQ1531" s="486" t="s">
        <v>37</v>
      </c>
      <c r="AR1531" s="486"/>
      <c r="AS1531" s="495"/>
      <c r="AT1531" s="495"/>
      <c r="AU1531" s="478"/>
      <c r="AV1531" s="471">
        <f t="shared" si="270"/>
        <v>49401140</v>
      </c>
      <c r="AW1531" s="471" cm="1">
        <f t="array" ref="AW1531">SUM(MID(0&amp;AV1531,LARGE(INDEX(ISNUMBER(--MID(AV1531,ROW($1:$8),1))*ROW($1:$8),),ROW($1:$8))+1,1)*10^ROW($1:$8)/10)</f>
        <v>49401140</v>
      </c>
      <c r="AX1531" s="471" t="str">
        <f>VLOOKUP($AW1531,'Item Master Data'!$A:$F,3,FALSE)</f>
        <v>Q.PEAK DUO BLK ML G10.a+</v>
      </c>
      <c r="AY1531" s="471">
        <f>VLOOKUP($AW1531,'Item Master Data'!$A:$F,6,FALSE)</f>
        <v>400</v>
      </c>
      <c r="AZ1531" s="471">
        <f t="shared" si="271"/>
        <v>13</v>
      </c>
      <c r="BA1531" s="471">
        <f>VLOOKUP(AW1531,'Item Master Data'!$A:$G,7,FALSE)</f>
        <v>32</v>
      </c>
      <c r="BC1531" s="471">
        <f t="shared" si="272"/>
        <v>0</v>
      </c>
    </row>
    <row r="1532" spans="1:55" s="471" customFormat="1">
      <c r="A1532" s="472"/>
      <c r="B1532" s="514">
        <v>44616</v>
      </c>
      <c r="C1532" s="514">
        <v>44616</v>
      </c>
      <c r="D1532" s="485" t="s">
        <v>3186</v>
      </c>
      <c r="E1532" s="474"/>
      <c r="F1532" s="474"/>
      <c r="G1532" s="474">
        <v>2022</v>
      </c>
      <c r="H1532" s="474">
        <v>5</v>
      </c>
      <c r="I1532" s="485"/>
      <c r="J1532" s="475"/>
      <c r="K1532" s="483" t="s">
        <v>5361</v>
      </c>
      <c r="L1532" s="474" t="s">
        <v>2378</v>
      </c>
      <c r="M1532" s="487">
        <v>44615</v>
      </c>
      <c r="N1532" s="487">
        <v>44615</v>
      </c>
      <c r="O1532" s="487"/>
      <c r="P1532" s="475"/>
      <c r="Q1532" s="475"/>
      <c r="R1532" s="475"/>
      <c r="S1532" s="474" t="s">
        <v>2379</v>
      </c>
      <c r="T1532" s="474">
        <v>60</v>
      </c>
      <c r="U1532" s="474">
        <v>49401140</v>
      </c>
      <c r="V1532" s="474" t="s">
        <v>973</v>
      </c>
      <c r="W1532" s="474">
        <v>400</v>
      </c>
      <c r="X1532" s="476">
        <v>416</v>
      </c>
      <c r="Y1532" s="477">
        <f>X1532*W1532</f>
        <v>166400</v>
      </c>
      <c r="Z1532" s="478">
        <f>188/400</f>
        <v>0.47</v>
      </c>
      <c r="AA1532" s="479">
        <f>Z1532*Y1532</f>
        <v>78208</v>
      </c>
      <c r="AB1532" s="480"/>
      <c r="AC1532" s="481">
        <f>AB1532*Y1532</f>
        <v>0</v>
      </c>
      <c r="AD1532" s="490"/>
      <c r="AE1532" s="482"/>
      <c r="AF1532" s="493">
        <f>AA1532+AE1532</f>
        <v>78208</v>
      </c>
      <c r="AG1532" s="474" t="s">
        <v>47</v>
      </c>
      <c r="AH1532" s="474"/>
      <c r="AI1532" s="483" t="s">
        <v>2374</v>
      </c>
      <c r="AJ1532" s="474" t="s">
        <v>3262</v>
      </c>
      <c r="AK1532" s="494" t="s">
        <v>3263</v>
      </c>
      <c r="AL1532" s="474">
        <v>84104</v>
      </c>
      <c r="AM1532" s="474" t="s">
        <v>52</v>
      </c>
      <c r="AN1532" s="474" t="s">
        <v>1106</v>
      </c>
      <c r="AO1532" s="474"/>
      <c r="AP1532" s="486"/>
      <c r="AQ1532" s="486" t="s">
        <v>37</v>
      </c>
      <c r="AR1532" s="486"/>
      <c r="AS1532" s="495"/>
      <c r="AT1532" s="495"/>
      <c r="AU1532" s="478"/>
      <c r="AV1532" s="471">
        <f t="shared" si="270"/>
        <v>49401140</v>
      </c>
      <c r="AW1532" s="471" cm="1">
        <f t="array" ref="AW1532">SUM(MID(0&amp;AV1532,LARGE(INDEX(ISNUMBER(--MID(AV1532,ROW($1:$8),1))*ROW($1:$8),),ROW($1:$8))+1,1)*10^ROW($1:$8)/10)</f>
        <v>49401140</v>
      </c>
      <c r="AX1532" s="471" t="str">
        <f>VLOOKUP($AW1532,'Item Master Data'!$A:$F,3,FALSE)</f>
        <v>Q.PEAK DUO BLK ML G10.a+</v>
      </c>
      <c r="AY1532" s="471">
        <f>VLOOKUP($AW1532,'Item Master Data'!$A:$F,6,FALSE)</f>
        <v>400</v>
      </c>
      <c r="AZ1532" s="471">
        <f t="shared" si="271"/>
        <v>13</v>
      </c>
      <c r="BA1532" s="471">
        <f>VLOOKUP(AW1532,'Item Master Data'!$A:$G,7,FALSE)</f>
        <v>32</v>
      </c>
      <c r="BC1532" s="471">
        <f t="shared" si="272"/>
        <v>0</v>
      </c>
    </row>
    <row r="1533" spans="1:55" s="471" customFormat="1">
      <c r="A1533" s="472"/>
      <c r="B1533" s="514">
        <v>44616</v>
      </c>
      <c r="C1533" s="514">
        <v>44616</v>
      </c>
      <c r="D1533" s="485" t="s">
        <v>3186</v>
      </c>
      <c r="E1533" s="474"/>
      <c r="F1533" s="474"/>
      <c r="G1533" s="618">
        <v>2022</v>
      </c>
      <c r="H1533" s="618">
        <v>5</v>
      </c>
      <c r="I1533" s="619"/>
      <c r="J1533" s="620"/>
      <c r="K1533" s="621" t="s">
        <v>5346</v>
      </c>
      <c r="L1533" s="618" t="s">
        <v>2378</v>
      </c>
      <c r="M1533" s="622">
        <v>44615</v>
      </c>
      <c r="N1533" s="622">
        <v>44615</v>
      </c>
      <c r="O1533" s="622"/>
      <c r="P1533" s="620"/>
      <c r="Q1533" s="620"/>
      <c r="R1533" s="620"/>
      <c r="S1533" s="618" t="s">
        <v>2379</v>
      </c>
      <c r="T1533" s="618">
        <v>60</v>
      </c>
      <c r="U1533" s="618">
        <v>49405140</v>
      </c>
      <c r="V1533" s="618" t="s">
        <v>973</v>
      </c>
      <c r="W1533" s="618">
        <v>400</v>
      </c>
      <c r="X1533" s="623">
        <f>1408-128</f>
        <v>1280</v>
      </c>
      <c r="Y1533" s="477">
        <f>X1533*W1533</f>
        <v>512000</v>
      </c>
      <c r="Z1533" s="478">
        <f>188/400</f>
        <v>0.47</v>
      </c>
      <c r="AA1533" s="479">
        <f>Z1533*Y1533</f>
        <v>240640</v>
      </c>
      <c r="AB1533" s="480"/>
      <c r="AC1533" s="481">
        <f>AB1533*Y1533</f>
        <v>0</v>
      </c>
      <c r="AD1533" s="490"/>
      <c r="AE1533" s="482"/>
      <c r="AF1533" s="493">
        <f>AA1533+AE1533</f>
        <v>240640</v>
      </c>
      <c r="AG1533" s="474" t="s">
        <v>47</v>
      </c>
      <c r="AH1533" s="474"/>
      <c r="AI1533" s="483" t="s">
        <v>2374</v>
      </c>
      <c r="AJ1533" s="474" t="s">
        <v>2394</v>
      </c>
      <c r="AK1533" s="494" t="s">
        <v>1133</v>
      </c>
      <c r="AL1533" s="474">
        <v>85714</v>
      </c>
      <c r="AM1533" s="474" t="s">
        <v>52</v>
      </c>
      <c r="AN1533" s="474" t="s">
        <v>1106</v>
      </c>
      <c r="AO1533" s="474"/>
      <c r="AP1533" s="486"/>
      <c r="AQ1533" s="486" t="s">
        <v>37</v>
      </c>
      <c r="AR1533" s="486"/>
      <c r="AS1533" s="495"/>
      <c r="AT1533" s="495"/>
      <c r="AU1533" s="478"/>
      <c r="AV1533" s="471">
        <f t="shared" si="270"/>
        <v>49405140</v>
      </c>
      <c r="AW1533" s="471" cm="1">
        <f t="array" ref="AW1533">SUM(MID(0&amp;AV1533,LARGE(INDEX(ISNUMBER(--MID(AV1533,ROW($1:$8),1))*ROW($1:$8),),ROW($1:$8))+1,1)*10^ROW($1:$8)/10)</f>
        <v>49405140</v>
      </c>
      <c r="AX1533" s="471" t="str">
        <f>VLOOKUP($AW1533,'Item Master Data'!$A:$F,3,FALSE)</f>
        <v>Q.PEAK DUO BLK ML G10+</v>
      </c>
      <c r="AY1533" s="471">
        <f>VLOOKUP($AW1533,'Item Master Data'!$A:$F,6,FALSE)</f>
        <v>400</v>
      </c>
      <c r="AZ1533" s="471">
        <f t="shared" si="271"/>
        <v>40</v>
      </c>
      <c r="BA1533" s="471">
        <f>VLOOKUP(AW1533,'Item Master Data'!$A:$G,7,FALSE)</f>
        <v>32</v>
      </c>
      <c r="BC1533" s="471">
        <f t="shared" si="272"/>
        <v>0</v>
      </c>
    </row>
    <row r="1534" spans="1:55" s="471" customFormat="1">
      <c r="A1534" s="472"/>
      <c r="B1534" s="514">
        <v>44616</v>
      </c>
      <c r="C1534" s="514">
        <v>44616</v>
      </c>
      <c r="D1534" s="485" t="s">
        <v>3186</v>
      </c>
      <c r="E1534" s="474"/>
      <c r="F1534" s="474"/>
      <c r="G1534" s="618">
        <v>2022</v>
      </c>
      <c r="H1534" s="618">
        <v>5</v>
      </c>
      <c r="I1534" s="619"/>
      <c r="J1534" s="620"/>
      <c r="K1534" s="621" t="s">
        <v>5314</v>
      </c>
      <c r="L1534" s="618" t="s">
        <v>2378</v>
      </c>
      <c r="M1534" s="622">
        <v>44615</v>
      </c>
      <c r="N1534" s="622">
        <v>44615</v>
      </c>
      <c r="O1534" s="622"/>
      <c r="P1534" s="620"/>
      <c r="Q1534" s="620"/>
      <c r="R1534" s="620"/>
      <c r="S1534" s="618" t="s">
        <v>2379</v>
      </c>
      <c r="T1534" s="618">
        <v>60</v>
      </c>
      <c r="U1534" s="618">
        <v>49405140</v>
      </c>
      <c r="V1534" s="618" t="s">
        <v>973</v>
      </c>
      <c r="W1534" s="618">
        <v>400</v>
      </c>
      <c r="X1534" s="623">
        <v>832</v>
      </c>
      <c r="Y1534" s="477">
        <f>X1534*W1534</f>
        <v>332800</v>
      </c>
      <c r="Z1534" s="478">
        <f>188/400</f>
        <v>0.47</v>
      </c>
      <c r="AA1534" s="479">
        <f>Z1534*Y1534</f>
        <v>156416</v>
      </c>
      <c r="AB1534" s="480"/>
      <c r="AC1534" s="481">
        <f>AB1534*Y1534</f>
        <v>0</v>
      </c>
      <c r="AD1534" s="490"/>
      <c r="AE1534" s="482"/>
      <c r="AF1534" s="493">
        <f>AA1534+AE1534</f>
        <v>156416</v>
      </c>
      <c r="AG1534" s="474" t="s">
        <v>47</v>
      </c>
      <c r="AH1534" s="474"/>
      <c r="AI1534" s="483" t="s">
        <v>2374</v>
      </c>
      <c r="AJ1534" s="474" t="s">
        <v>2392</v>
      </c>
      <c r="AK1534" s="494" t="s">
        <v>1084</v>
      </c>
      <c r="AL1534" s="474">
        <v>33762</v>
      </c>
      <c r="AM1534" s="474" t="s">
        <v>52</v>
      </c>
      <c r="AN1534" s="474" t="s">
        <v>1106</v>
      </c>
      <c r="AO1534" s="474"/>
      <c r="AP1534" s="486"/>
      <c r="AQ1534" s="486" t="s">
        <v>37</v>
      </c>
      <c r="AR1534" s="486"/>
      <c r="AS1534" s="495"/>
      <c r="AT1534" s="495"/>
      <c r="AU1534" s="478"/>
      <c r="AV1534" s="471">
        <f t="shared" si="270"/>
        <v>49405140</v>
      </c>
      <c r="AW1534" s="471" cm="1">
        <f t="array" ref="AW1534">SUM(MID(0&amp;AV1534,LARGE(INDEX(ISNUMBER(--MID(AV1534,ROW($1:$8),1))*ROW($1:$8),),ROW($1:$8))+1,1)*10^ROW($1:$8)/10)</f>
        <v>49405140</v>
      </c>
      <c r="AX1534" s="471" t="str">
        <f>VLOOKUP($AW1534,'Item Master Data'!$A:$F,3,FALSE)</f>
        <v>Q.PEAK DUO BLK ML G10+</v>
      </c>
      <c r="AY1534" s="471">
        <f>VLOOKUP($AW1534,'Item Master Data'!$A:$F,6,FALSE)</f>
        <v>400</v>
      </c>
      <c r="AZ1534" s="471">
        <f t="shared" si="271"/>
        <v>26</v>
      </c>
      <c r="BA1534" s="471">
        <f>VLOOKUP(AW1534,'Item Master Data'!$A:$G,7,FALSE)</f>
        <v>32</v>
      </c>
      <c r="BC1534" s="471">
        <f t="shared" si="272"/>
        <v>0</v>
      </c>
    </row>
    <row r="1535" spans="1:55" s="471" customFormat="1">
      <c r="A1535" s="472"/>
      <c r="B1535" s="514">
        <v>44616</v>
      </c>
      <c r="C1535" s="514">
        <v>44616</v>
      </c>
      <c r="D1535" s="485" t="s">
        <v>3186</v>
      </c>
      <c r="E1535" s="474"/>
      <c r="F1535" s="474"/>
      <c r="G1535" s="618">
        <v>2022</v>
      </c>
      <c r="H1535" s="618">
        <v>5</v>
      </c>
      <c r="I1535" s="619"/>
      <c r="J1535" s="620"/>
      <c r="K1535" s="621" t="s">
        <v>5356</v>
      </c>
      <c r="L1535" s="618" t="s">
        <v>2378</v>
      </c>
      <c r="M1535" s="622">
        <v>44615</v>
      </c>
      <c r="N1535" s="622">
        <v>44615</v>
      </c>
      <c r="O1535" s="622"/>
      <c r="P1535" s="620"/>
      <c r="Q1535" s="620"/>
      <c r="R1535" s="620"/>
      <c r="S1535" s="618" t="s">
        <v>2379</v>
      </c>
      <c r="T1535" s="618">
        <v>60</v>
      </c>
      <c r="U1535" s="618">
        <v>49405140</v>
      </c>
      <c r="V1535" s="618" t="s">
        <v>973</v>
      </c>
      <c r="W1535" s="618">
        <v>400</v>
      </c>
      <c r="X1535" s="623">
        <v>832</v>
      </c>
      <c r="Y1535" s="477">
        <f>X1535*W1535</f>
        <v>332800</v>
      </c>
      <c r="Z1535" s="478">
        <f>188/400</f>
        <v>0.47</v>
      </c>
      <c r="AA1535" s="479">
        <f>Z1535*Y1535</f>
        <v>156416</v>
      </c>
      <c r="AB1535" s="480"/>
      <c r="AC1535" s="481">
        <f>AB1535*Y1535</f>
        <v>0</v>
      </c>
      <c r="AD1535" s="490"/>
      <c r="AE1535" s="482"/>
      <c r="AF1535" s="493">
        <f>AA1535+AE1535</f>
        <v>156416</v>
      </c>
      <c r="AG1535" s="474" t="s">
        <v>47</v>
      </c>
      <c r="AH1535" s="474"/>
      <c r="AI1535" s="483" t="s">
        <v>2374</v>
      </c>
      <c r="AJ1535" s="474" t="s">
        <v>2077</v>
      </c>
      <c r="AK1535" s="494" t="s">
        <v>50</v>
      </c>
      <c r="AL1535" s="474">
        <v>95206</v>
      </c>
      <c r="AM1535" s="474" t="s">
        <v>52</v>
      </c>
      <c r="AN1535" s="474" t="s">
        <v>1106</v>
      </c>
      <c r="AO1535" s="474"/>
      <c r="AP1535" s="486"/>
      <c r="AQ1535" s="486" t="s">
        <v>37</v>
      </c>
      <c r="AR1535" s="486"/>
      <c r="AS1535" s="495"/>
      <c r="AT1535" s="495"/>
      <c r="AU1535" s="478"/>
      <c r="AV1535" s="471">
        <f t="shared" si="270"/>
        <v>49405140</v>
      </c>
      <c r="AW1535" s="471" cm="1">
        <f t="array" ref="AW1535">SUM(MID(0&amp;AV1535,LARGE(INDEX(ISNUMBER(--MID(AV1535,ROW($1:$8),1))*ROW($1:$8),),ROW($1:$8))+1,1)*10^ROW($1:$8)/10)</f>
        <v>49405140</v>
      </c>
      <c r="AX1535" s="471" t="str">
        <f>VLOOKUP($AW1535,'Item Master Data'!$A:$F,3,FALSE)</f>
        <v>Q.PEAK DUO BLK ML G10+</v>
      </c>
      <c r="AY1535" s="471">
        <f>VLOOKUP($AW1535,'Item Master Data'!$A:$F,6,FALSE)</f>
        <v>400</v>
      </c>
      <c r="AZ1535" s="471">
        <f t="shared" si="271"/>
        <v>26</v>
      </c>
      <c r="BA1535" s="471">
        <f>VLOOKUP(AW1535,'Item Master Data'!$A:$G,7,FALSE)</f>
        <v>32</v>
      </c>
      <c r="BC1535" s="471">
        <f t="shared" si="272"/>
        <v>0</v>
      </c>
    </row>
    <row r="1536" spans="1:55" s="471" customFormat="1">
      <c r="A1536" s="472"/>
      <c r="B1536" s="514">
        <v>44616</v>
      </c>
      <c r="C1536" s="514">
        <v>44616</v>
      </c>
      <c r="D1536" s="485" t="s">
        <v>3186</v>
      </c>
      <c r="E1536" s="474"/>
      <c r="F1536" s="474"/>
      <c r="G1536" s="618">
        <v>2022</v>
      </c>
      <c r="H1536" s="618">
        <v>5</v>
      </c>
      <c r="I1536" s="619"/>
      <c r="J1536" s="620"/>
      <c r="K1536" s="621" t="s">
        <v>5335</v>
      </c>
      <c r="L1536" s="618" t="s">
        <v>2378</v>
      </c>
      <c r="M1536" s="622">
        <v>44615</v>
      </c>
      <c r="N1536" s="622">
        <v>44615</v>
      </c>
      <c r="O1536" s="622"/>
      <c r="P1536" s="620"/>
      <c r="Q1536" s="620"/>
      <c r="R1536" s="620"/>
      <c r="S1536" s="618" t="s">
        <v>2379</v>
      </c>
      <c r="T1536" s="618">
        <v>60</v>
      </c>
      <c r="U1536" s="618">
        <v>49405140</v>
      </c>
      <c r="V1536" s="618" t="s">
        <v>973</v>
      </c>
      <c r="W1536" s="618">
        <v>400</v>
      </c>
      <c r="X1536" s="623">
        <v>832</v>
      </c>
      <c r="Y1536" s="477">
        <f>X1536*W1536</f>
        <v>332800</v>
      </c>
      <c r="Z1536" s="478">
        <f>188/400</f>
        <v>0.47</v>
      </c>
      <c r="AA1536" s="479">
        <f>Z1536*Y1536</f>
        <v>156416</v>
      </c>
      <c r="AB1536" s="480"/>
      <c r="AC1536" s="481">
        <f>AB1536*Y1536</f>
        <v>0</v>
      </c>
      <c r="AD1536" s="490"/>
      <c r="AE1536" s="482"/>
      <c r="AF1536" s="493">
        <f>AA1536+AE1536</f>
        <v>156416</v>
      </c>
      <c r="AG1536" s="474" t="s">
        <v>47</v>
      </c>
      <c r="AH1536" s="474"/>
      <c r="AI1536" s="483" t="s">
        <v>2374</v>
      </c>
      <c r="AJ1536" s="474" t="s">
        <v>2426</v>
      </c>
      <c r="AK1536" s="494" t="s">
        <v>1144</v>
      </c>
      <c r="AL1536" s="474">
        <v>78219</v>
      </c>
      <c r="AM1536" s="474" t="s">
        <v>52</v>
      </c>
      <c r="AN1536" s="474" t="s">
        <v>1106</v>
      </c>
      <c r="AO1536" s="474"/>
      <c r="AP1536" s="486"/>
      <c r="AQ1536" s="486" t="s">
        <v>37</v>
      </c>
      <c r="AR1536" s="486"/>
      <c r="AS1536" s="495"/>
      <c r="AT1536" s="495"/>
      <c r="AU1536" s="478"/>
      <c r="AV1536" s="471">
        <f t="shared" si="270"/>
        <v>49405140</v>
      </c>
      <c r="AW1536" s="471" cm="1">
        <f t="array" ref="AW1536">SUM(MID(0&amp;AV1536,LARGE(INDEX(ISNUMBER(--MID(AV1536,ROW($1:$8),1))*ROW($1:$8),),ROW($1:$8))+1,1)*10^ROW($1:$8)/10)</f>
        <v>49405140</v>
      </c>
      <c r="AX1536" s="471" t="str">
        <f>VLOOKUP($AW1536,'Item Master Data'!$A:$F,3,FALSE)</f>
        <v>Q.PEAK DUO BLK ML G10+</v>
      </c>
      <c r="AY1536" s="471">
        <f>VLOOKUP($AW1536,'Item Master Data'!$A:$F,6,FALSE)</f>
        <v>400</v>
      </c>
      <c r="AZ1536" s="471">
        <f t="shared" si="271"/>
        <v>26</v>
      </c>
      <c r="BA1536" s="471">
        <f>VLOOKUP(AW1536,'Item Master Data'!$A:$G,7,FALSE)</f>
        <v>32</v>
      </c>
      <c r="BC1536" s="471">
        <f t="shared" si="272"/>
        <v>0</v>
      </c>
    </row>
    <row r="1537" spans="1:55" s="471" customFormat="1">
      <c r="A1537" s="472"/>
      <c r="B1537" s="514">
        <v>44616</v>
      </c>
      <c r="C1537" s="514">
        <v>44616</v>
      </c>
      <c r="D1537" s="485" t="s">
        <v>3186</v>
      </c>
      <c r="E1537" s="474"/>
      <c r="F1537" s="474"/>
      <c r="G1537" s="618">
        <v>2022</v>
      </c>
      <c r="H1537" s="618">
        <v>5</v>
      </c>
      <c r="I1537" s="619"/>
      <c r="J1537" s="620"/>
      <c r="K1537" s="621" t="s">
        <v>5329</v>
      </c>
      <c r="L1537" s="618" t="s">
        <v>2378</v>
      </c>
      <c r="M1537" s="622">
        <v>44615</v>
      </c>
      <c r="N1537" s="622">
        <v>44615</v>
      </c>
      <c r="O1537" s="622"/>
      <c r="P1537" s="620"/>
      <c r="Q1537" s="620"/>
      <c r="R1537" s="620"/>
      <c r="S1537" s="618" t="s">
        <v>2379</v>
      </c>
      <c r="T1537" s="618">
        <v>60</v>
      </c>
      <c r="U1537" s="618">
        <v>49405140</v>
      </c>
      <c r="V1537" s="618" t="s">
        <v>973</v>
      </c>
      <c r="W1537" s="618">
        <v>400</v>
      </c>
      <c r="X1537" s="623">
        <v>640</v>
      </c>
      <c r="Y1537" s="477">
        <f>X1537*W1537</f>
        <v>256000</v>
      </c>
      <c r="Z1537" s="478">
        <f>188/400</f>
        <v>0.47</v>
      </c>
      <c r="AA1537" s="479">
        <f>Z1537*Y1537</f>
        <v>120320</v>
      </c>
      <c r="AB1537" s="480"/>
      <c r="AC1537" s="481">
        <f>AB1537*Y1537</f>
        <v>0</v>
      </c>
      <c r="AD1537" s="490"/>
      <c r="AE1537" s="482"/>
      <c r="AF1537" s="493">
        <f>AA1537+AE1537</f>
        <v>120320</v>
      </c>
      <c r="AG1537" s="474" t="s">
        <v>47</v>
      </c>
      <c r="AH1537" s="474"/>
      <c r="AI1537" s="483" t="s">
        <v>2374</v>
      </c>
      <c r="AJ1537" s="474" t="s">
        <v>2421</v>
      </c>
      <c r="AK1537" s="494" t="s">
        <v>1158</v>
      </c>
      <c r="AL1537" s="474">
        <v>27560</v>
      </c>
      <c r="AM1537" s="474" t="s">
        <v>52</v>
      </c>
      <c r="AN1537" s="474" t="s">
        <v>1106</v>
      </c>
      <c r="AO1537" s="474"/>
      <c r="AP1537" s="486"/>
      <c r="AQ1537" s="486" t="s">
        <v>37</v>
      </c>
      <c r="AR1537" s="486"/>
      <c r="AS1537" s="495"/>
      <c r="AT1537" s="495"/>
      <c r="AU1537" s="478"/>
      <c r="AV1537" s="471">
        <f t="shared" si="270"/>
        <v>49405140</v>
      </c>
      <c r="AW1537" s="471" cm="1">
        <f t="array" ref="AW1537">SUM(MID(0&amp;AV1537,LARGE(INDEX(ISNUMBER(--MID(AV1537,ROW($1:$8),1))*ROW($1:$8),),ROW($1:$8))+1,1)*10^ROW($1:$8)/10)</f>
        <v>49405140</v>
      </c>
      <c r="AX1537" s="471" t="str">
        <f>VLOOKUP($AW1537,'Item Master Data'!$A:$F,3,FALSE)</f>
        <v>Q.PEAK DUO BLK ML G10+</v>
      </c>
      <c r="AY1537" s="471">
        <f>VLOOKUP($AW1537,'Item Master Data'!$A:$F,6,FALSE)</f>
        <v>400</v>
      </c>
      <c r="AZ1537" s="471">
        <f t="shared" si="271"/>
        <v>20</v>
      </c>
      <c r="BA1537" s="471">
        <f>VLOOKUP(AW1537,'Item Master Data'!$A:$G,7,FALSE)</f>
        <v>32</v>
      </c>
      <c r="BC1537" s="471">
        <f t="shared" si="272"/>
        <v>0</v>
      </c>
    </row>
    <row r="1538" spans="1:55" s="471" customFormat="1">
      <c r="A1538" s="472"/>
      <c r="B1538" s="514">
        <v>44616</v>
      </c>
      <c r="C1538" s="514">
        <v>44616</v>
      </c>
      <c r="D1538" s="485" t="s">
        <v>3186</v>
      </c>
      <c r="E1538" s="474"/>
      <c r="F1538" s="474"/>
      <c r="G1538" s="474">
        <v>2022</v>
      </c>
      <c r="H1538" s="474">
        <v>5</v>
      </c>
      <c r="I1538" s="485"/>
      <c r="J1538" s="475"/>
      <c r="K1538" s="483" t="s">
        <v>5324</v>
      </c>
      <c r="L1538" s="474" t="s">
        <v>2378</v>
      </c>
      <c r="M1538" s="487">
        <v>44615</v>
      </c>
      <c r="N1538" s="487">
        <v>44615</v>
      </c>
      <c r="O1538" s="487"/>
      <c r="P1538" s="475"/>
      <c r="Q1538" s="475"/>
      <c r="R1538" s="475"/>
      <c r="S1538" s="474" t="s">
        <v>2379</v>
      </c>
      <c r="T1538" s="474">
        <v>60</v>
      </c>
      <c r="U1538" s="474">
        <v>49401140</v>
      </c>
      <c r="V1538" s="474" t="s">
        <v>973</v>
      </c>
      <c r="W1538" s="474">
        <v>400</v>
      </c>
      <c r="X1538" s="476">
        <v>416</v>
      </c>
      <c r="Y1538" s="477">
        <f>X1538*W1538</f>
        <v>166400</v>
      </c>
      <c r="Z1538" s="478">
        <f>188/400</f>
        <v>0.47</v>
      </c>
      <c r="AA1538" s="479">
        <f>Z1538*Y1538</f>
        <v>78208</v>
      </c>
      <c r="AB1538" s="480"/>
      <c r="AC1538" s="481">
        <f>AB1538*Y1538</f>
        <v>0</v>
      </c>
      <c r="AD1538" s="490"/>
      <c r="AE1538" s="482"/>
      <c r="AF1538" s="493">
        <f>AA1538+AE1538</f>
        <v>78208</v>
      </c>
      <c r="AG1538" s="474" t="s">
        <v>47</v>
      </c>
      <c r="AH1538" s="474"/>
      <c r="AI1538" s="483" t="s">
        <v>2374</v>
      </c>
      <c r="AJ1538" s="474" t="s">
        <v>2419</v>
      </c>
      <c r="AK1538" s="494" t="s">
        <v>1084</v>
      </c>
      <c r="AL1538" s="474">
        <v>32583</v>
      </c>
      <c r="AM1538" s="474" t="s">
        <v>52</v>
      </c>
      <c r="AN1538" s="474" t="s">
        <v>1106</v>
      </c>
      <c r="AO1538" s="474"/>
      <c r="AP1538" s="486"/>
      <c r="AQ1538" s="486" t="s">
        <v>37</v>
      </c>
      <c r="AR1538" s="486"/>
      <c r="AS1538" s="495"/>
      <c r="AT1538" s="495"/>
      <c r="AU1538" s="478"/>
      <c r="AV1538" s="471">
        <f t="shared" si="270"/>
        <v>49401140</v>
      </c>
      <c r="AW1538" s="471" cm="1">
        <f t="array" ref="AW1538">SUM(MID(0&amp;AV1538,LARGE(INDEX(ISNUMBER(--MID(AV1538,ROW($1:$8),1))*ROW($1:$8),),ROW($1:$8))+1,1)*10^ROW($1:$8)/10)</f>
        <v>49401140</v>
      </c>
      <c r="AX1538" s="471" t="str">
        <f>VLOOKUP($AW1538,'Item Master Data'!$A:$F,3,FALSE)</f>
        <v>Q.PEAK DUO BLK ML G10.a+</v>
      </c>
      <c r="AY1538" s="471">
        <f>VLOOKUP($AW1538,'Item Master Data'!$A:$F,6,FALSE)</f>
        <v>400</v>
      </c>
      <c r="AZ1538" s="471">
        <f t="shared" si="271"/>
        <v>13</v>
      </c>
      <c r="BA1538" s="471">
        <f>VLOOKUP(AW1538,'Item Master Data'!$A:$G,7,FALSE)</f>
        <v>32</v>
      </c>
      <c r="BC1538" s="471">
        <f t="shared" si="272"/>
        <v>0</v>
      </c>
    </row>
    <row r="1539" spans="1:55" s="471" customFormat="1">
      <c r="A1539" s="472"/>
      <c r="B1539" s="514">
        <v>44616</v>
      </c>
      <c r="C1539" s="514">
        <v>44616</v>
      </c>
      <c r="D1539" s="485" t="s">
        <v>3186</v>
      </c>
      <c r="E1539" s="474"/>
      <c r="F1539" s="474"/>
      <c r="G1539" s="618">
        <v>2022</v>
      </c>
      <c r="H1539" s="618">
        <v>5</v>
      </c>
      <c r="I1539" s="619"/>
      <c r="J1539" s="620"/>
      <c r="K1539" s="621" t="s">
        <v>5310</v>
      </c>
      <c r="L1539" s="618" t="s">
        <v>2378</v>
      </c>
      <c r="M1539" s="622">
        <v>44615</v>
      </c>
      <c r="N1539" s="622">
        <v>44615</v>
      </c>
      <c r="O1539" s="622"/>
      <c r="P1539" s="620"/>
      <c r="Q1539" s="620"/>
      <c r="R1539" s="620"/>
      <c r="S1539" s="618" t="s">
        <v>2379</v>
      </c>
      <c r="T1539" s="618">
        <v>60</v>
      </c>
      <c r="U1539" s="618">
        <v>49405140</v>
      </c>
      <c r="V1539" s="618" t="s">
        <v>973</v>
      </c>
      <c r="W1539" s="618">
        <v>400</v>
      </c>
      <c r="X1539" s="623">
        <f>2496-672</f>
        <v>1824</v>
      </c>
      <c r="Y1539" s="477">
        <f>X1539*W1539</f>
        <v>729600</v>
      </c>
      <c r="Z1539" s="478">
        <f>188/400</f>
        <v>0.47</v>
      </c>
      <c r="AA1539" s="479">
        <f>Z1539*Y1539</f>
        <v>342912</v>
      </c>
      <c r="AB1539" s="480"/>
      <c r="AC1539" s="481">
        <f>AB1539*Y1539</f>
        <v>0</v>
      </c>
      <c r="AD1539" s="490"/>
      <c r="AE1539" s="482"/>
      <c r="AF1539" s="493">
        <f>AA1539+AE1539</f>
        <v>342912</v>
      </c>
      <c r="AG1539" s="474" t="s">
        <v>47</v>
      </c>
      <c r="AH1539" s="474"/>
      <c r="AI1539" s="483" t="s">
        <v>2374</v>
      </c>
      <c r="AJ1539" s="474" t="s">
        <v>2437</v>
      </c>
      <c r="AK1539" s="494" t="s">
        <v>1084</v>
      </c>
      <c r="AL1539" s="474">
        <v>34741</v>
      </c>
      <c r="AM1539" s="474" t="s">
        <v>52</v>
      </c>
      <c r="AN1539" s="474" t="s">
        <v>1106</v>
      </c>
      <c r="AO1539" s="474"/>
      <c r="AP1539" s="486"/>
      <c r="AQ1539" s="486" t="s">
        <v>37</v>
      </c>
      <c r="AR1539" s="486"/>
      <c r="AS1539" s="495"/>
      <c r="AT1539" s="495"/>
      <c r="AU1539" s="478"/>
      <c r="AV1539" s="471">
        <f t="shared" si="270"/>
        <v>49405140</v>
      </c>
      <c r="AW1539" s="471" cm="1">
        <f t="array" ref="AW1539">SUM(MID(0&amp;AV1539,LARGE(INDEX(ISNUMBER(--MID(AV1539,ROW($1:$8),1))*ROW($1:$8),),ROW($1:$8))+1,1)*10^ROW($1:$8)/10)</f>
        <v>49405140</v>
      </c>
      <c r="AX1539" s="471" t="str">
        <f>VLOOKUP($AW1539,'Item Master Data'!$A:$F,3,FALSE)</f>
        <v>Q.PEAK DUO BLK ML G10+</v>
      </c>
      <c r="AY1539" s="471">
        <f>VLOOKUP($AW1539,'Item Master Data'!$A:$F,6,FALSE)</f>
        <v>400</v>
      </c>
      <c r="AZ1539" s="471">
        <f t="shared" si="271"/>
        <v>57</v>
      </c>
      <c r="BA1539" s="471">
        <f>VLOOKUP(AW1539,'Item Master Data'!$A:$G,7,FALSE)</f>
        <v>32</v>
      </c>
      <c r="BC1539" s="471">
        <f t="shared" si="272"/>
        <v>0</v>
      </c>
    </row>
    <row r="1540" spans="1:55" s="471" customFormat="1">
      <c r="A1540" s="472"/>
      <c r="B1540" s="514">
        <v>44616</v>
      </c>
      <c r="C1540" s="514">
        <v>44616</v>
      </c>
      <c r="D1540" s="485" t="s">
        <v>3186</v>
      </c>
      <c r="E1540" s="474"/>
      <c r="F1540" s="474"/>
      <c r="G1540" s="618">
        <v>2022</v>
      </c>
      <c r="H1540" s="618">
        <v>5</v>
      </c>
      <c r="I1540" s="619"/>
      <c r="J1540" s="620"/>
      <c r="K1540" s="621" t="s">
        <v>5354</v>
      </c>
      <c r="L1540" s="618" t="s">
        <v>2378</v>
      </c>
      <c r="M1540" s="622">
        <v>44615</v>
      </c>
      <c r="N1540" s="622">
        <v>44615</v>
      </c>
      <c r="O1540" s="622"/>
      <c r="P1540" s="620"/>
      <c r="Q1540" s="620"/>
      <c r="R1540" s="620"/>
      <c r="S1540" s="618" t="s">
        <v>2379</v>
      </c>
      <c r="T1540" s="618">
        <v>60</v>
      </c>
      <c r="U1540" s="618">
        <v>49405140</v>
      </c>
      <c r="V1540" s="618" t="s">
        <v>973</v>
      </c>
      <c r="W1540" s="618">
        <v>400</v>
      </c>
      <c r="X1540" s="623">
        <v>832</v>
      </c>
      <c r="Y1540" s="477">
        <f>X1540*W1540</f>
        <v>332800</v>
      </c>
      <c r="Z1540" s="478">
        <f>188/400</f>
        <v>0.47</v>
      </c>
      <c r="AA1540" s="479">
        <f>Z1540*Y1540</f>
        <v>156416</v>
      </c>
      <c r="AB1540" s="480"/>
      <c r="AC1540" s="481">
        <f>AB1540*Y1540</f>
        <v>0</v>
      </c>
      <c r="AD1540" s="490"/>
      <c r="AE1540" s="482"/>
      <c r="AF1540" s="493">
        <f>AA1540+AE1540</f>
        <v>156416</v>
      </c>
      <c r="AG1540" s="474" t="s">
        <v>47</v>
      </c>
      <c r="AH1540" s="474"/>
      <c r="AI1540" s="483" t="s">
        <v>2374</v>
      </c>
      <c r="AJ1540" s="474" t="s">
        <v>1950</v>
      </c>
      <c r="AK1540" s="494" t="s">
        <v>50</v>
      </c>
      <c r="AL1540" s="474">
        <v>91764</v>
      </c>
      <c r="AM1540" s="474" t="s">
        <v>52</v>
      </c>
      <c r="AN1540" s="474" t="s">
        <v>1106</v>
      </c>
      <c r="AO1540" s="474"/>
      <c r="AP1540" s="486"/>
      <c r="AQ1540" s="486" t="s">
        <v>37</v>
      </c>
      <c r="AR1540" s="486"/>
      <c r="AS1540" s="495"/>
      <c r="AT1540" s="495"/>
      <c r="AU1540" s="478"/>
      <c r="AV1540" s="471">
        <f t="shared" si="270"/>
        <v>49405140</v>
      </c>
      <c r="AW1540" s="471" cm="1">
        <f t="array" ref="AW1540">SUM(MID(0&amp;AV1540,LARGE(INDEX(ISNUMBER(--MID(AV1540,ROW($1:$8),1))*ROW($1:$8),),ROW($1:$8))+1,1)*10^ROW($1:$8)/10)</f>
        <v>49405140</v>
      </c>
      <c r="AX1540" s="471" t="str">
        <f>VLOOKUP($AW1540,'Item Master Data'!$A:$F,3,FALSE)</f>
        <v>Q.PEAK DUO BLK ML G10+</v>
      </c>
      <c r="AY1540" s="471">
        <f>VLOOKUP($AW1540,'Item Master Data'!$A:$F,6,FALSE)</f>
        <v>400</v>
      </c>
      <c r="AZ1540" s="471">
        <f t="shared" si="271"/>
        <v>26</v>
      </c>
      <c r="BA1540" s="471">
        <f>VLOOKUP(AW1540,'Item Master Data'!$A:$G,7,FALSE)</f>
        <v>32</v>
      </c>
      <c r="BC1540" s="471">
        <f t="shared" si="272"/>
        <v>0</v>
      </c>
    </row>
    <row r="1541" spans="1:55" s="471" customFormat="1">
      <c r="A1541" s="472"/>
      <c r="B1541" s="514">
        <v>44616</v>
      </c>
      <c r="C1541" s="514">
        <v>44616</v>
      </c>
      <c r="D1541" s="485" t="s">
        <v>3186</v>
      </c>
      <c r="E1541" s="474"/>
      <c r="F1541" s="474"/>
      <c r="G1541" s="618">
        <v>2022</v>
      </c>
      <c r="H1541" s="618">
        <v>5</v>
      </c>
      <c r="I1541" s="619"/>
      <c r="J1541" s="620"/>
      <c r="K1541" s="621" t="s">
        <v>5318</v>
      </c>
      <c r="L1541" s="618" t="s">
        <v>2378</v>
      </c>
      <c r="M1541" s="622">
        <v>44615</v>
      </c>
      <c r="N1541" s="622">
        <v>44615</v>
      </c>
      <c r="O1541" s="622"/>
      <c r="P1541" s="620"/>
      <c r="Q1541" s="620"/>
      <c r="R1541" s="620"/>
      <c r="S1541" s="618" t="s">
        <v>2379</v>
      </c>
      <c r="T1541" s="618">
        <v>60</v>
      </c>
      <c r="U1541" s="618">
        <v>49405140</v>
      </c>
      <c r="V1541" s="618" t="s">
        <v>973</v>
      </c>
      <c r="W1541" s="618">
        <v>400</v>
      </c>
      <c r="X1541" s="623">
        <f>1280-256</f>
        <v>1024</v>
      </c>
      <c r="Y1541" s="477">
        <f>X1541*W1541</f>
        <v>409600</v>
      </c>
      <c r="Z1541" s="478">
        <f>188/400</f>
        <v>0.47</v>
      </c>
      <c r="AA1541" s="479">
        <f>Z1541*Y1541</f>
        <v>192512</v>
      </c>
      <c r="AB1541" s="480"/>
      <c r="AC1541" s="481">
        <f>AB1541*Y1541</f>
        <v>0</v>
      </c>
      <c r="AD1541" s="490"/>
      <c r="AE1541" s="482"/>
      <c r="AF1541" s="493">
        <f>AA1541+AE1541</f>
        <v>192512</v>
      </c>
      <c r="AG1541" s="474" t="s">
        <v>47</v>
      </c>
      <c r="AH1541" s="474"/>
      <c r="AI1541" s="483" t="s">
        <v>2374</v>
      </c>
      <c r="AJ1541" s="474" t="s">
        <v>2388</v>
      </c>
      <c r="AK1541" s="494" t="s">
        <v>1375</v>
      </c>
      <c r="AL1541" s="474">
        <v>23502</v>
      </c>
      <c r="AM1541" s="474" t="s">
        <v>52</v>
      </c>
      <c r="AN1541" s="474" t="s">
        <v>1106</v>
      </c>
      <c r="AO1541" s="474"/>
      <c r="AP1541" s="486"/>
      <c r="AQ1541" s="486" t="s">
        <v>37</v>
      </c>
      <c r="AR1541" s="486"/>
      <c r="AS1541" s="495"/>
      <c r="AT1541" s="495"/>
      <c r="AU1541" s="478"/>
      <c r="AV1541" s="471">
        <f t="shared" si="270"/>
        <v>49405140</v>
      </c>
      <c r="AW1541" s="471" cm="1">
        <f t="array" ref="AW1541">SUM(MID(0&amp;AV1541,LARGE(INDEX(ISNUMBER(--MID(AV1541,ROW($1:$8),1))*ROW($1:$8),),ROW($1:$8))+1,1)*10^ROW($1:$8)/10)</f>
        <v>49405140</v>
      </c>
      <c r="AX1541" s="471" t="str">
        <f>VLOOKUP($AW1541,'Item Master Data'!$A:$F,3,FALSE)</f>
        <v>Q.PEAK DUO BLK ML G10+</v>
      </c>
      <c r="AY1541" s="471">
        <f>VLOOKUP($AW1541,'Item Master Data'!$A:$F,6,FALSE)</f>
        <v>400</v>
      </c>
      <c r="AZ1541" s="471">
        <f t="shared" si="271"/>
        <v>32</v>
      </c>
      <c r="BA1541" s="471">
        <f>VLOOKUP(AW1541,'Item Master Data'!$A:$G,7,FALSE)</f>
        <v>32</v>
      </c>
      <c r="BC1541" s="471">
        <f t="shared" si="272"/>
        <v>0</v>
      </c>
    </row>
    <row r="1542" spans="1:55" s="471" customFormat="1">
      <c r="A1542" s="472"/>
      <c r="B1542" s="514">
        <v>44616</v>
      </c>
      <c r="C1542" s="514">
        <v>44616</v>
      </c>
      <c r="D1542" s="485" t="s">
        <v>3186</v>
      </c>
      <c r="E1542" s="474"/>
      <c r="F1542" s="474"/>
      <c r="G1542" s="618">
        <v>2022</v>
      </c>
      <c r="H1542" s="618">
        <v>5</v>
      </c>
      <c r="I1542" s="619"/>
      <c r="J1542" s="620"/>
      <c r="K1542" s="621" t="s">
        <v>5342</v>
      </c>
      <c r="L1542" s="618" t="s">
        <v>2378</v>
      </c>
      <c r="M1542" s="622">
        <v>44615</v>
      </c>
      <c r="N1542" s="622">
        <v>44615</v>
      </c>
      <c r="O1542" s="622"/>
      <c r="P1542" s="620"/>
      <c r="Q1542" s="620"/>
      <c r="R1542" s="620"/>
      <c r="S1542" s="618" t="s">
        <v>2379</v>
      </c>
      <c r="T1542" s="618">
        <v>60</v>
      </c>
      <c r="U1542" s="618">
        <v>49405140</v>
      </c>
      <c r="V1542" s="618" t="s">
        <v>973</v>
      </c>
      <c r="W1542" s="618">
        <v>400</v>
      </c>
      <c r="X1542" s="623">
        <f>4992-1888</f>
        <v>3104</v>
      </c>
      <c r="Y1542" s="477">
        <f>X1542*W1542</f>
        <v>1241600</v>
      </c>
      <c r="Z1542" s="478">
        <f>188/400</f>
        <v>0.47</v>
      </c>
      <c r="AA1542" s="479">
        <f>Z1542*Y1542</f>
        <v>583552</v>
      </c>
      <c r="AB1542" s="480"/>
      <c r="AC1542" s="481">
        <f>AB1542*Y1542</f>
        <v>0</v>
      </c>
      <c r="AD1542" s="490"/>
      <c r="AE1542" s="482"/>
      <c r="AF1542" s="493">
        <f>AA1542+AE1542</f>
        <v>583552</v>
      </c>
      <c r="AG1542" s="474" t="s">
        <v>47</v>
      </c>
      <c r="AH1542" s="474"/>
      <c r="AI1542" s="483" t="s">
        <v>2374</v>
      </c>
      <c r="AJ1542" s="474" t="s">
        <v>1132</v>
      </c>
      <c r="AK1542" s="494" t="s">
        <v>1133</v>
      </c>
      <c r="AL1542" s="474">
        <v>85210</v>
      </c>
      <c r="AM1542" s="474" t="s">
        <v>52</v>
      </c>
      <c r="AN1542" s="474" t="s">
        <v>1106</v>
      </c>
      <c r="AO1542" s="474"/>
      <c r="AP1542" s="486"/>
      <c r="AQ1542" s="486" t="s">
        <v>37</v>
      </c>
      <c r="AR1542" s="486"/>
      <c r="AS1542" s="495"/>
      <c r="AT1542" s="495"/>
      <c r="AU1542" s="478"/>
      <c r="AV1542" s="471">
        <f t="shared" si="270"/>
        <v>49405140</v>
      </c>
      <c r="AW1542" s="471" cm="1">
        <f t="array" ref="AW1542">SUM(MID(0&amp;AV1542,LARGE(INDEX(ISNUMBER(--MID(AV1542,ROW($1:$8),1))*ROW($1:$8),),ROW($1:$8))+1,1)*10^ROW($1:$8)/10)</f>
        <v>49405140</v>
      </c>
      <c r="AX1542" s="471" t="str">
        <f>VLOOKUP($AW1542,'Item Master Data'!$A:$F,3,FALSE)</f>
        <v>Q.PEAK DUO BLK ML G10+</v>
      </c>
      <c r="AY1542" s="471">
        <f>VLOOKUP($AW1542,'Item Master Data'!$A:$F,6,FALSE)</f>
        <v>400</v>
      </c>
      <c r="AZ1542" s="471">
        <f t="shared" si="271"/>
        <v>97</v>
      </c>
      <c r="BA1542" s="471">
        <f>VLOOKUP(AW1542,'Item Master Data'!$A:$G,7,FALSE)</f>
        <v>32</v>
      </c>
      <c r="BC1542" s="471">
        <f t="shared" si="272"/>
        <v>0</v>
      </c>
    </row>
    <row r="1543" spans="1:55" s="471" customFormat="1">
      <c r="A1543" s="472"/>
      <c r="B1543" s="514">
        <v>44616</v>
      </c>
      <c r="C1543" s="514">
        <v>44616</v>
      </c>
      <c r="D1543" s="485" t="s">
        <v>3186</v>
      </c>
      <c r="E1543" s="474"/>
      <c r="F1543" s="474"/>
      <c r="G1543" s="474">
        <v>2022</v>
      </c>
      <c r="H1543" s="474">
        <v>5</v>
      </c>
      <c r="I1543" s="485"/>
      <c r="J1543" s="475"/>
      <c r="K1543" s="483" t="s">
        <v>5327</v>
      </c>
      <c r="L1543" s="474" t="s">
        <v>2378</v>
      </c>
      <c r="M1543" s="487">
        <v>44615</v>
      </c>
      <c r="N1543" s="487">
        <v>44615</v>
      </c>
      <c r="O1543" s="487"/>
      <c r="P1543" s="475"/>
      <c r="Q1543" s="475"/>
      <c r="R1543" s="475"/>
      <c r="S1543" s="474" t="s">
        <v>2379</v>
      </c>
      <c r="T1543" s="474">
        <v>60</v>
      </c>
      <c r="U1543" s="474">
        <v>49401140</v>
      </c>
      <c r="V1543" s="474" t="s">
        <v>973</v>
      </c>
      <c r="W1543" s="474">
        <v>400</v>
      </c>
      <c r="X1543" s="476">
        <v>320</v>
      </c>
      <c r="Y1543" s="477">
        <f>X1543*W1543</f>
        <v>128000</v>
      </c>
      <c r="Z1543" s="478">
        <f>188/400</f>
        <v>0.47</v>
      </c>
      <c r="AA1543" s="479">
        <f>Z1543*Y1543</f>
        <v>60160</v>
      </c>
      <c r="AB1543" s="480"/>
      <c r="AC1543" s="481">
        <f>AB1543*Y1543</f>
        <v>0</v>
      </c>
      <c r="AD1543" s="490"/>
      <c r="AE1543" s="482"/>
      <c r="AF1543" s="493">
        <f>AA1543+AE1543</f>
        <v>60160</v>
      </c>
      <c r="AG1543" s="474" t="s">
        <v>47</v>
      </c>
      <c r="AH1543" s="474"/>
      <c r="AI1543" s="483" t="s">
        <v>2374</v>
      </c>
      <c r="AJ1543" s="474" t="s">
        <v>1083</v>
      </c>
      <c r="AK1543" s="494" t="s">
        <v>1084</v>
      </c>
      <c r="AL1543" s="474">
        <v>32205</v>
      </c>
      <c r="AM1543" s="474" t="s">
        <v>52</v>
      </c>
      <c r="AN1543" s="474" t="s">
        <v>1106</v>
      </c>
      <c r="AO1543" s="474"/>
      <c r="AP1543" s="486"/>
      <c r="AQ1543" s="486" t="s">
        <v>37</v>
      </c>
      <c r="AR1543" s="486"/>
      <c r="AS1543" s="495"/>
      <c r="AT1543" s="495"/>
      <c r="AU1543" s="478"/>
      <c r="AV1543" s="471">
        <f t="shared" si="270"/>
        <v>49401140</v>
      </c>
      <c r="AW1543" s="471" cm="1">
        <f t="array" ref="AW1543">SUM(MID(0&amp;AV1543,LARGE(INDEX(ISNUMBER(--MID(AV1543,ROW($1:$8),1))*ROW($1:$8),),ROW($1:$8))+1,1)*10^ROW($1:$8)/10)</f>
        <v>49401140</v>
      </c>
      <c r="AX1543" s="471" t="str">
        <f>VLOOKUP($AW1543,'Item Master Data'!$A:$F,3,FALSE)</f>
        <v>Q.PEAK DUO BLK ML G10.a+</v>
      </c>
      <c r="AY1543" s="471">
        <f>VLOOKUP($AW1543,'Item Master Data'!$A:$F,6,FALSE)</f>
        <v>400</v>
      </c>
      <c r="AZ1543" s="471">
        <f t="shared" si="271"/>
        <v>10</v>
      </c>
      <c r="BA1543" s="471">
        <f>VLOOKUP(AW1543,'Item Master Data'!$A:$G,7,FALSE)</f>
        <v>32</v>
      </c>
      <c r="BC1543" s="471">
        <f t="shared" si="272"/>
        <v>0</v>
      </c>
    </row>
    <row r="1544" spans="1:55" s="471" customFormat="1">
      <c r="A1544" s="472"/>
      <c r="B1544" s="514">
        <v>44616</v>
      </c>
      <c r="C1544" s="514">
        <v>44616</v>
      </c>
      <c r="D1544" s="485" t="s">
        <v>3186</v>
      </c>
      <c r="E1544" s="474"/>
      <c r="F1544" s="474"/>
      <c r="G1544" s="618">
        <v>2022</v>
      </c>
      <c r="H1544" s="618">
        <v>5</v>
      </c>
      <c r="I1544" s="619"/>
      <c r="J1544" s="620"/>
      <c r="K1544" s="621" t="s">
        <v>5333</v>
      </c>
      <c r="L1544" s="618" t="s">
        <v>2378</v>
      </c>
      <c r="M1544" s="622">
        <v>44615</v>
      </c>
      <c r="N1544" s="622">
        <v>44615</v>
      </c>
      <c r="O1544" s="622"/>
      <c r="P1544" s="620"/>
      <c r="Q1544" s="620"/>
      <c r="R1544" s="620"/>
      <c r="S1544" s="618" t="s">
        <v>2379</v>
      </c>
      <c r="T1544" s="618">
        <v>60</v>
      </c>
      <c r="U1544" s="618">
        <v>49405140</v>
      </c>
      <c r="V1544" s="618" t="s">
        <v>973</v>
      </c>
      <c r="W1544" s="618">
        <v>400</v>
      </c>
      <c r="X1544" s="623">
        <v>1280</v>
      </c>
      <c r="Y1544" s="477">
        <f>X1544*W1544</f>
        <v>512000</v>
      </c>
      <c r="Z1544" s="478">
        <f>188/400</f>
        <v>0.47</v>
      </c>
      <c r="AA1544" s="479">
        <f>Z1544*Y1544</f>
        <v>240640</v>
      </c>
      <c r="AB1544" s="480"/>
      <c r="AC1544" s="481">
        <f>AB1544*Y1544</f>
        <v>0</v>
      </c>
      <c r="AD1544" s="490"/>
      <c r="AE1544" s="482"/>
      <c r="AF1544" s="493">
        <f>AA1544+AE1544</f>
        <v>240640</v>
      </c>
      <c r="AG1544" s="474" t="s">
        <v>47</v>
      </c>
      <c r="AH1544" s="474"/>
      <c r="AI1544" s="483" t="s">
        <v>2374</v>
      </c>
      <c r="AJ1544" s="474" t="s">
        <v>1384</v>
      </c>
      <c r="AK1544" s="494" t="s">
        <v>1144</v>
      </c>
      <c r="AL1544" s="474">
        <v>77041</v>
      </c>
      <c r="AM1544" s="474" t="s">
        <v>52</v>
      </c>
      <c r="AN1544" s="474" t="s">
        <v>1106</v>
      </c>
      <c r="AO1544" s="474"/>
      <c r="AP1544" s="486"/>
      <c r="AQ1544" s="486" t="s">
        <v>37</v>
      </c>
      <c r="AR1544" s="486"/>
      <c r="AS1544" s="495"/>
      <c r="AT1544" s="495"/>
      <c r="AU1544" s="478"/>
      <c r="AV1544" s="471">
        <f t="shared" si="270"/>
        <v>49405140</v>
      </c>
      <c r="AW1544" s="471" cm="1">
        <f t="array" ref="AW1544">SUM(MID(0&amp;AV1544,LARGE(INDEX(ISNUMBER(--MID(AV1544,ROW($1:$8),1))*ROW($1:$8),),ROW($1:$8))+1,1)*10^ROW($1:$8)/10)</f>
        <v>49405140</v>
      </c>
      <c r="AX1544" s="471" t="str">
        <f>VLOOKUP($AW1544,'Item Master Data'!$A:$F,3,FALSE)</f>
        <v>Q.PEAK DUO BLK ML G10+</v>
      </c>
      <c r="AY1544" s="471">
        <f>VLOOKUP($AW1544,'Item Master Data'!$A:$F,6,FALSE)</f>
        <v>400</v>
      </c>
      <c r="AZ1544" s="471">
        <f t="shared" si="271"/>
        <v>40</v>
      </c>
      <c r="BA1544" s="471">
        <f>VLOOKUP(AW1544,'Item Master Data'!$A:$G,7,FALSE)</f>
        <v>32</v>
      </c>
      <c r="BC1544" s="471">
        <f t="shared" si="272"/>
        <v>0</v>
      </c>
    </row>
    <row r="1545" spans="1:55" s="471" customFormat="1">
      <c r="A1545" s="472"/>
      <c r="B1545" s="514">
        <v>44616</v>
      </c>
      <c r="C1545" s="514">
        <v>44616</v>
      </c>
      <c r="D1545" s="485" t="s">
        <v>3186</v>
      </c>
      <c r="E1545" s="474"/>
      <c r="F1545" s="474"/>
      <c r="G1545" s="618">
        <v>2022</v>
      </c>
      <c r="H1545" s="618">
        <v>5</v>
      </c>
      <c r="I1545" s="619"/>
      <c r="J1545" s="620"/>
      <c r="K1545" s="621" t="s">
        <v>5320</v>
      </c>
      <c r="L1545" s="618" t="s">
        <v>2378</v>
      </c>
      <c r="M1545" s="622">
        <v>44615</v>
      </c>
      <c r="N1545" s="622">
        <v>44615</v>
      </c>
      <c r="O1545" s="622"/>
      <c r="P1545" s="620"/>
      <c r="Q1545" s="620"/>
      <c r="R1545" s="620"/>
      <c r="S1545" s="618" t="s">
        <v>2379</v>
      </c>
      <c r="T1545" s="618">
        <v>60</v>
      </c>
      <c r="U1545" s="618">
        <v>49405140</v>
      </c>
      <c r="V1545" s="618" t="s">
        <v>973</v>
      </c>
      <c r="W1545" s="618">
        <v>400</v>
      </c>
      <c r="X1545" s="623">
        <v>640</v>
      </c>
      <c r="Y1545" s="477">
        <f>X1545*W1545</f>
        <v>256000</v>
      </c>
      <c r="Z1545" s="478">
        <f>188/400</f>
        <v>0.47</v>
      </c>
      <c r="AA1545" s="479">
        <f>Z1545*Y1545</f>
        <v>120320</v>
      </c>
      <c r="AB1545" s="480"/>
      <c r="AC1545" s="481">
        <f>AB1545*Y1545</f>
        <v>0</v>
      </c>
      <c r="AD1545" s="490"/>
      <c r="AE1545" s="482"/>
      <c r="AF1545" s="493">
        <f>AA1545+AE1545</f>
        <v>120320</v>
      </c>
      <c r="AG1545" s="474" t="s">
        <v>47</v>
      </c>
      <c r="AH1545" s="474"/>
      <c r="AI1545" s="483" t="s">
        <v>2374</v>
      </c>
      <c r="AJ1545" s="474" t="s">
        <v>2405</v>
      </c>
      <c r="AK1545" s="494" t="s">
        <v>2406</v>
      </c>
      <c r="AL1545" s="474">
        <v>29673</v>
      </c>
      <c r="AM1545" s="474" t="s">
        <v>52</v>
      </c>
      <c r="AN1545" s="474" t="s">
        <v>1106</v>
      </c>
      <c r="AO1545" s="474"/>
      <c r="AP1545" s="486"/>
      <c r="AQ1545" s="486" t="s">
        <v>37</v>
      </c>
      <c r="AR1545" s="486"/>
      <c r="AS1545" s="495"/>
      <c r="AT1545" s="495"/>
      <c r="AU1545" s="478"/>
      <c r="AV1545" s="471">
        <f t="shared" si="270"/>
        <v>49405140</v>
      </c>
      <c r="AW1545" s="471" cm="1">
        <f t="array" ref="AW1545">SUM(MID(0&amp;AV1545,LARGE(INDEX(ISNUMBER(--MID(AV1545,ROW($1:$8),1))*ROW($1:$8),),ROW($1:$8))+1,1)*10^ROW($1:$8)/10)</f>
        <v>49405140</v>
      </c>
      <c r="AX1545" s="471" t="str">
        <f>VLOOKUP($AW1545,'Item Master Data'!$A:$F,3,FALSE)</f>
        <v>Q.PEAK DUO BLK ML G10+</v>
      </c>
      <c r="AY1545" s="471">
        <f>VLOOKUP($AW1545,'Item Master Data'!$A:$F,6,FALSE)</f>
        <v>400</v>
      </c>
      <c r="AZ1545" s="471">
        <f t="shared" si="271"/>
        <v>20</v>
      </c>
      <c r="BA1545" s="471">
        <f>VLOOKUP(AW1545,'Item Master Data'!$A:$G,7,FALSE)</f>
        <v>32</v>
      </c>
      <c r="BC1545" s="471">
        <f t="shared" si="272"/>
        <v>0</v>
      </c>
    </row>
    <row r="1546" spans="1:55" s="471" customFormat="1">
      <c r="A1546" s="472"/>
      <c r="B1546" s="514">
        <v>44616</v>
      </c>
      <c r="C1546" s="514">
        <v>44616</v>
      </c>
      <c r="D1546" s="485" t="s">
        <v>3186</v>
      </c>
      <c r="E1546" s="474"/>
      <c r="F1546" s="474"/>
      <c r="G1546" s="618">
        <v>2022</v>
      </c>
      <c r="H1546" s="618">
        <v>5</v>
      </c>
      <c r="I1546" s="619"/>
      <c r="J1546" s="620"/>
      <c r="K1546" s="621" t="s">
        <v>5350</v>
      </c>
      <c r="L1546" s="618" t="s">
        <v>2378</v>
      </c>
      <c r="M1546" s="622">
        <v>44615</v>
      </c>
      <c r="N1546" s="622">
        <v>44615</v>
      </c>
      <c r="O1546" s="622"/>
      <c r="P1546" s="620"/>
      <c r="Q1546" s="620"/>
      <c r="R1546" s="620"/>
      <c r="S1546" s="618" t="s">
        <v>2379</v>
      </c>
      <c r="T1546" s="618">
        <v>60</v>
      </c>
      <c r="U1546" s="618">
        <v>49405140</v>
      </c>
      <c r="V1546" s="618" t="s">
        <v>973</v>
      </c>
      <c r="W1546" s="618">
        <v>400</v>
      </c>
      <c r="X1546" s="623">
        <f>3328-576</f>
        <v>2752</v>
      </c>
      <c r="Y1546" s="477">
        <f>X1546*W1546</f>
        <v>1100800</v>
      </c>
      <c r="Z1546" s="478">
        <f>188/400</f>
        <v>0.47</v>
      </c>
      <c r="AA1546" s="479">
        <f>Z1546*Y1546</f>
        <v>517375.99999999994</v>
      </c>
      <c r="AB1546" s="480"/>
      <c r="AC1546" s="481">
        <f>AB1546*Y1546</f>
        <v>0</v>
      </c>
      <c r="AD1546" s="490"/>
      <c r="AE1546" s="482"/>
      <c r="AF1546" s="493">
        <f>AA1546+AE1546</f>
        <v>517375.99999999994</v>
      </c>
      <c r="AG1546" s="474" t="s">
        <v>47</v>
      </c>
      <c r="AH1546" s="474"/>
      <c r="AI1546" s="483" t="s">
        <v>2374</v>
      </c>
      <c r="AJ1546" s="474" t="s">
        <v>2390</v>
      </c>
      <c r="AK1546" s="494" t="s">
        <v>2362</v>
      </c>
      <c r="AL1546" s="474">
        <v>80239</v>
      </c>
      <c r="AM1546" s="474" t="s">
        <v>52</v>
      </c>
      <c r="AN1546" s="474" t="s">
        <v>1106</v>
      </c>
      <c r="AO1546" s="474"/>
      <c r="AP1546" s="486"/>
      <c r="AQ1546" s="486" t="s">
        <v>37</v>
      </c>
      <c r="AR1546" s="486"/>
      <c r="AS1546" s="495"/>
      <c r="AT1546" s="495"/>
      <c r="AU1546" s="478"/>
      <c r="AV1546" s="471">
        <f t="shared" si="270"/>
        <v>49405140</v>
      </c>
      <c r="AW1546" s="471" cm="1">
        <f t="array" ref="AW1546">SUM(MID(0&amp;AV1546,LARGE(INDEX(ISNUMBER(--MID(AV1546,ROW($1:$8),1))*ROW($1:$8),),ROW($1:$8))+1,1)*10^ROW($1:$8)/10)</f>
        <v>49405140</v>
      </c>
      <c r="AX1546" s="471" t="str">
        <f>VLOOKUP($AW1546,'Item Master Data'!$A:$F,3,FALSE)</f>
        <v>Q.PEAK DUO BLK ML G10+</v>
      </c>
      <c r="AY1546" s="471">
        <f>VLOOKUP($AW1546,'Item Master Data'!$A:$F,6,FALSE)</f>
        <v>400</v>
      </c>
      <c r="AZ1546" s="471">
        <f t="shared" si="271"/>
        <v>86</v>
      </c>
      <c r="BA1546" s="471">
        <f>VLOOKUP(AW1546,'Item Master Data'!$A:$G,7,FALSE)</f>
        <v>32</v>
      </c>
      <c r="BC1546" s="471">
        <f t="shared" si="272"/>
        <v>0</v>
      </c>
    </row>
    <row r="1547" spans="1:55" s="471" customFormat="1">
      <c r="A1547" s="472"/>
      <c r="B1547" s="514">
        <v>44616</v>
      </c>
      <c r="C1547" s="514">
        <v>44616</v>
      </c>
      <c r="D1547" s="485" t="s">
        <v>3186</v>
      </c>
      <c r="E1547" s="474"/>
      <c r="F1547" s="474"/>
      <c r="G1547" s="618">
        <v>2022</v>
      </c>
      <c r="H1547" s="618">
        <v>5</v>
      </c>
      <c r="I1547" s="619"/>
      <c r="J1547" s="620"/>
      <c r="K1547" s="621" t="s">
        <v>5331</v>
      </c>
      <c r="L1547" s="618" t="s">
        <v>2378</v>
      </c>
      <c r="M1547" s="622">
        <v>44615</v>
      </c>
      <c r="N1547" s="622">
        <v>44615</v>
      </c>
      <c r="O1547" s="622"/>
      <c r="P1547" s="620"/>
      <c r="Q1547" s="620"/>
      <c r="R1547" s="620"/>
      <c r="S1547" s="618" t="s">
        <v>2379</v>
      </c>
      <c r="T1547" s="618">
        <v>60</v>
      </c>
      <c r="U1547" s="618">
        <v>49405140</v>
      </c>
      <c r="V1547" s="618" t="s">
        <v>973</v>
      </c>
      <c r="W1547" s="618">
        <v>400</v>
      </c>
      <c r="X1547" s="623">
        <f>1664-608</f>
        <v>1056</v>
      </c>
      <c r="Y1547" s="477">
        <f>X1547*W1547</f>
        <v>422400</v>
      </c>
      <c r="Z1547" s="478">
        <f>188/400</f>
        <v>0.47</v>
      </c>
      <c r="AA1547" s="479">
        <f>Z1547*Y1547</f>
        <v>198528</v>
      </c>
      <c r="AB1547" s="480"/>
      <c r="AC1547" s="481">
        <f>AB1547*Y1547</f>
        <v>0</v>
      </c>
      <c r="AD1547" s="490"/>
      <c r="AE1547" s="482"/>
      <c r="AF1547" s="493">
        <f>AA1547+AE1547</f>
        <v>198528</v>
      </c>
      <c r="AG1547" s="474" t="s">
        <v>47</v>
      </c>
      <c r="AH1547" s="474"/>
      <c r="AI1547" s="483" t="s">
        <v>2374</v>
      </c>
      <c r="AJ1547" s="474" t="s">
        <v>2384</v>
      </c>
      <c r="AK1547" s="494" t="s">
        <v>1144</v>
      </c>
      <c r="AL1547" s="474">
        <v>75061</v>
      </c>
      <c r="AM1547" s="474" t="s">
        <v>52</v>
      </c>
      <c r="AN1547" s="474" t="s">
        <v>1106</v>
      </c>
      <c r="AO1547" s="474"/>
      <c r="AP1547" s="486"/>
      <c r="AQ1547" s="486" t="s">
        <v>37</v>
      </c>
      <c r="AR1547" s="486"/>
      <c r="AS1547" s="495"/>
      <c r="AT1547" s="495"/>
      <c r="AU1547" s="478"/>
      <c r="AV1547" s="471">
        <f t="shared" si="270"/>
        <v>49405140</v>
      </c>
      <c r="AW1547" s="471" cm="1">
        <f t="array" ref="AW1547">SUM(MID(0&amp;AV1547,LARGE(INDEX(ISNUMBER(--MID(AV1547,ROW($1:$8),1))*ROW($1:$8),),ROW($1:$8))+1,1)*10^ROW($1:$8)/10)</f>
        <v>49405140</v>
      </c>
      <c r="AX1547" s="471" t="str">
        <f>VLOOKUP($AW1547,'Item Master Data'!$A:$F,3,FALSE)</f>
        <v>Q.PEAK DUO BLK ML G10+</v>
      </c>
      <c r="AY1547" s="471">
        <f>VLOOKUP($AW1547,'Item Master Data'!$A:$F,6,FALSE)</f>
        <v>400</v>
      </c>
      <c r="AZ1547" s="471">
        <f t="shared" si="271"/>
        <v>33</v>
      </c>
      <c r="BA1547" s="471">
        <f>VLOOKUP(AW1547,'Item Master Data'!$A:$G,7,FALSE)</f>
        <v>32</v>
      </c>
      <c r="BC1547" s="471">
        <f t="shared" si="272"/>
        <v>0</v>
      </c>
    </row>
    <row r="1548" spans="1:55" s="471" customFormat="1">
      <c r="A1548" s="472"/>
      <c r="B1548" s="514">
        <v>44616</v>
      </c>
      <c r="C1548" s="514">
        <v>44616</v>
      </c>
      <c r="D1548" s="485" t="s">
        <v>3186</v>
      </c>
      <c r="E1548" s="474"/>
      <c r="F1548" s="474"/>
      <c r="G1548" s="618">
        <v>2022</v>
      </c>
      <c r="H1548" s="618">
        <v>5</v>
      </c>
      <c r="I1548" s="619"/>
      <c r="J1548" s="620"/>
      <c r="K1548" s="621" t="s">
        <v>5312</v>
      </c>
      <c r="L1548" s="618" t="s">
        <v>2378</v>
      </c>
      <c r="M1548" s="622">
        <v>44615</v>
      </c>
      <c r="N1548" s="622">
        <v>44615</v>
      </c>
      <c r="O1548" s="622"/>
      <c r="P1548" s="620"/>
      <c r="Q1548" s="620"/>
      <c r="R1548" s="620"/>
      <c r="S1548" s="618" t="s">
        <v>2379</v>
      </c>
      <c r="T1548" s="618">
        <v>60</v>
      </c>
      <c r="U1548" s="618">
        <v>49405140</v>
      </c>
      <c r="V1548" s="618" t="s">
        <v>973</v>
      </c>
      <c r="W1548" s="618">
        <v>400</v>
      </c>
      <c r="X1548" s="623">
        <f>1664-352</f>
        <v>1312</v>
      </c>
      <c r="Y1548" s="477">
        <f>X1548*W1548</f>
        <v>524800</v>
      </c>
      <c r="Z1548" s="478">
        <f>188/400</f>
        <v>0.47</v>
      </c>
      <c r="AA1548" s="479">
        <f>Z1548*Y1548</f>
        <v>246656</v>
      </c>
      <c r="AB1548" s="480"/>
      <c r="AC1548" s="481">
        <f>AB1548*Y1548</f>
        <v>0</v>
      </c>
      <c r="AD1548" s="490"/>
      <c r="AE1548" s="482"/>
      <c r="AF1548" s="493">
        <f>AA1548+AE1548</f>
        <v>246656</v>
      </c>
      <c r="AG1548" s="474" t="s">
        <v>47</v>
      </c>
      <c r="AH1548" s="474"/>
      <c r="AI1548" s="483" t="s">
        <v>2374</v>
      </c>
      <c r="AJ1548" s="474" t="s">
        <v>1162</v>
      </c>
      <c r="AK1548" s="494" t="s">
        <v>1158</v>
      </c>
      <c r="AL1548" s="474">
        <v>28216</v>
      </c>
      <c r="AM1548" s="474" t="s">
        <v>52</v>
      </c>
      <c r="AN1548" s="474" t="s">
        <v>1106</v>
      </c>
      <c r="AO1548" s="474"/>
      <c r="AP1548" s="486"/>
      <c r="AQ1548" s="486" t="s">
        <v>37</v>
      </c>
      <c r="AR1548" s="486"/>
      <c r="AS1548" s="495"/>
      <c r="AT1548" s="495"/>
      <c r="AU1548" s="478"/>
      <c r="AV1548" s="471">
        <f t="shared" si="270"/>
        <v>49405140</v>
      </c>
      <c r="AW1548" s="471" cm="1">
        <f t="array" ref="AW1548">SUM(MID(0&amp;AV1548,LARGE(INDEX(ISNUMBER(--MID(AV1548,ROW($1:$8),1))*ROW($1:$8),),ROW($1:$8))+1,1)*10^ROW($1:$8)/10)</f>
        <v>49405140</v>
      </c>
      <c r="AX1548" s="471" t="str">
        <f>VLOOKUP($AW1548,'Item Master Data'!$A:$F,3,FALSE)</f>
        <v>Q.PEAK DUO BLK ML G10+</v>
      </c>
      <c r="AY1548" s="471">
        <f>VLOOKUP($AW1548,'Item Master Data'!$A:$F,6,FALSE)</f>
        <v>400</v>
      </c>
      <c r="AZ1548" s="471">
        <f t="shared" si="271"/>
        <v>41</v>
      </c>
      <c r="BA1548" s="471">
        <f>VLOOKUP(AW1548,'Item Master Data'!$A:$G,7,FALSE)</f>
        <v>32</v>
      </c>
      <c r="BC1548" s="471">
        <f t="shared" si="272"/>
        <v>0</v>
      </c>
    </row>
    <row r="1549" spans="1:55" s="471" customFormat="1">
      <c r="A1549" s="472"/>
      <c r="B1549" s="514">
        <v>44616</v>
      </c>
      <c r="C1549" s="514">
        <v>44616</v>
      </c>
      <c r="D1549" s="485" t="s">
        <v>3186</v>
      </c>
      <c r="E1549" s="474"/>
      <c r="F1549" s="474"/>
      <c r="G1549" s="474">
        <v>2022</v>
      </c>
      <c r="H1549" s="474">
        <v>5</v>
      </c>
      <c r="I1549" s="485"/>
      <c r="J1549" s="475"/>
      <c r="K1549" s="483" t="s">
        <v>5322</v>
      </c>
      <c r="L1549" s="474" t="s">
        <v>2378</v>
      </c>
      <c r="M1549" s="487">
        <v>44615</v>
      </c>
      <c r="N1549" s="487">
        <v>44615</v>
      </c>
      <c r="O1549" s="487"/>
      <c r="P1549" s="475"/>
      <c r="Q1549" s="475"/>
      <c r="R1549" s="475"/>
      <c r="S1549" s="474" t="s">
        <v>2379</v>
      </c>
      <c r="T1549" s="474">
        <v>60</v>
      </c>
      <c r="U1549" s="474">
        <v>49401140</v>
      </c>
      <c r="V1549" s="474" t="s">
        <v>973</v>
      </c>
      <c r="W1549" s="474">
        <v>400</v>
      </c>
      <c r="X1549" s="476">
        <v>640</v>
      </c>
      <c r="Y1549" s="477">
        <f>X1549*W1549</f>
        <v>256000</v>
      </c>
      <c r="Z1549" s="478">
        <f>188/400</f>
        <v>0.47</v>
      </c>
      <c r="AA1549" s="479">
        <f>Z1549*Y1549</f>
        <v>120320</v>
      </c>
      <c r="AB1549" s="480"/>
      <c r="AC1549" s="481">
        <f>AB1549*Y1549</f>
        <v>0</v>
      </c>
      <c r="AD1549" s="490"/>
      <c r="AE1549" s="482"/>
      <c r="AF1549" s="493">
        <f>AA1549+AE1549</f>
        <v>120320</v>
      </c>
      <c r="AG1549" s="474" t="s">
        <v>47</v>
      </c>
      <c r="AH1549" s="474"/>
      <c r="AI1549" s="483" t="s">
        <v>2374</v>
      </c>
      <c r="AJ1549" s="474" t="s">
        <v>3459</v>
      </c>
      <c r="AK1549" s="494" t="s">
        <v>2406</v>
      </c>
      <c r="AL1549" s="474">
        <v>29420</v>
      </c>
      <c r="AM1549" s="474" t="s">
        <v>52</v>
      </c>
      <c r="AN1549" s="474" t="s">
        <v>1106</v>
      </c>
      <c r="AO1549" s="474"/>
      <c r="AP1549" s="486"/>
      <c r="AQ1549" s="486" t="s">
        <v>37</v>
      </c>
      <c r="AR1549" s="486"/>
      <c r="AS1549" s="495"/>
      <c r="AT1549" s="495"/>
      <c r="AU1549" s="478"/>
      <c r="AV1549" s="471">
        <f t="shared" si="270"/>
        <v>49401140</v>
      </c>
      <c r="AW1549" s="471" cm="1">
        <f t="array" ref="AW1549">SUM(MID(0&amp;AV1549,LARGE(INDEX(ISNUMBER(--MID(AV1549,ROW($1:$8),1))*ROW($1:$8),),ROW($1:$8))+1,1)*10^ROW($1:$8)/10)</f>
        <v>49401140</v>
      </c>
      <c r="AX1549" s="471" t="str">
        <f>VLOOKUP($AW1549,'Item Master Data'!$A:$F,3,FALSE)</f>
        <v>Q.PEAK DUO BLK ML G10.a+</v>
      </c>
      <c r="AY1549" s="471">
        <f>VLOOKUP($AW1549,'Item Master Data'!$A:$F,6,FALSE)</f>
        <v>400</v>
      </c>
      <c r="AZ1549" s="471">
        <f t="shared" si="271"/>
        <v>20</v>
      </c>
      <c r="BA1549" s="471">
        <f>VLOOKUP(AW1549,'Item Master Data'!$A:$G,7,FALSE)</f>
        <v>32</v>
      </c>
      <c r="BC1549" s="471">
        <f t="shared" si="272"/>
        <v>0</v>
      </c>
    </row>
    <row r="1550" spans="1:55" s="471" customFormat="1">
      <c r="A1550" s="472"/>
      <c r="B1550" s="514">
        <v>44616</v>
      </c>
      <c r="C1550" s="514">
        <v>44616</v>
      </c>
      <c r="D1550" s="485" t="s">
        <v>3186</v>
      </c>
      <c r="E1550" s="474"/>
      <c r="F1550" s="474"/>
      <c r="G1550" s="618">
        <v>2022</v>
      </c>
      <c r="H1550" s="618">
        <v>5</v>
      </c>
      <c r="I1550" s="619"/>
      <c r="J1550" s="620"/>
      <c r="K1550" s="621" t="s">
        <v>5337</v>
      </c>
      <c r="L1550" s="618" t="s">
        <v>2378</v>
      </c>
      <c r="M1550" s="622">
        <v>44615</v>
      </c>
      <c r="N1550" s="622">
        <v>44615</v>
      </c>
      <c r="O1550" s="622"/>
      <c r="P1550" s="620"/>
      <c r="Q1550" s="620"/>
      <c r="R1550" s="620"/>
      <c r="S1550" s="618" t="s">
        <v>2379</v>
      </c>
      <c r="T1550" s="618">
        <v>60</v>
      </c>
      <c r="U1550" s="618">
        <v>49405140</v>
      </c>
      <c r="V1550" s="618" t="s">
        <v>973</v>
      </c>
      <c r="W1550" s="618">
        <v>400</v>
      </c>
      <c r="X1550" s="623">
        <v>832</v>
      </c>
      <c r="Y1550" s="477">
        <f>X1550*W1550</f>
        <v>332800</v>
      </c>
      <c r="Z1550" s="478">
        <f>188/400</f>
        <v>0.47</v>
      </c>
      <c r="AA1550" s="479">
        <f>Z1550*Y1550</f>
        <v>156416</v>
      </c>
      <c r="AB1550" s="480"/>
      <c r="AC1550" s="481">
        <f>AB1550*Y1550</f>
        <v>0</v>
      </c>
      <c r="AD1550" s="490"/>
      <c r="AE1550" s="482"/>
      <c r="AF1550" s="493">
        <f>AA1550+AE1550</f>
        <v>156416</v>
      </c>
      <c r="AG1550" s="474" t="s">
        <v>47</v>
      </c>
      <c r="AH1550" s="474"/>
      <c r="AI1550" s="483" t="s">
        <v>2374</v>
      </c>
      <c r="AJ1550" s="474" t="s">
        <v>2402</v>
      </c>
      <c r="AK1550" s="494" t="s">
        <v>1144</v>
      </c>
      <c r="AL1550" s="474">
        <v>78610</v>
      </c>
      <c r="AM1550" s="474" t="s">
        <v>52</v>
      </c>
      <c r="AN1550" s="474" t="s">
        <v>1106</v>
      </c>
      <c r="AO1550" s="474"/>
      <c r="AP1550" s="486"/>
      <c r="AQ1550" s="486" t="s">
        <v>37</v>
      </c>
      <c r="AR1550" s="486"/>
      <c r="AS1550" s="495"/>
      <c r="AT1550" s="495"/>
      <c r="AU1550" s="478"/>
      <c r="AV1550" s="471">
        <f t="shared" si="270"/>
        <v>49405140</v>
      </c>
      <c r="AW1550" s="471" cm="1">
        <f t="array" ref="AW1550">SUM(MID(0&amp;AV1550,LARGE(INDEX(ISNUMBER(--MID(AV1550,ROW($1:$8),1))*ROW($1:$8),),ROW($1:$8))+1,1)*10^ROW($1:$8)/10)</f>
        <v>49405140</v>
      </c>
      <c r="AX1550" s="471" t="str">
        <f>VLOOKUP($AW1550,'Item Master Data'!$A:$F,3,FALSE)</f>
        <v>Q.PEAK DUO BLK ML G10+</v>
      </c>
      <c r="AY1550" s="471">
        <f>VLOOKUP($AW1550,'Item Master Data'!$A:$F,6,FALSE)</f>
        <v>400</v>
      </c>
      <c r="AZ1550" s="471">
        <f t="shared" si="271"/>
        <v>26</v>
      </c>
      <c r="BA1550" s="471">
        <f>VLOOKUP(AW1550,'Item Master Data'!$A:$G,7,FALSE)</f>
        <v>32</v>
      </c>
      <c r="BC1550" s="471">
        <f t="shared" si="272"/>
        <v>0</v>
      </c>
    </row>
    <row r="1551" spans="1:55" s="471" customFormat="1">
      <c r="A1551" s="472"/>
      <c r="B1551" s="514">
        <v>44616</v>
      </c>
      <c r="C1551" s="514">
        <v>44616</v>
      </c>
      <c r="D1551" s="485" t="s">
        <v>3186</v>
      </c>
      <c r="E1551" s="474"/>
      <c r="F1551" s="474"/>
      <c r="G1551" s="618">
        <v>2022</v>
      </c>
      <c r="H1551" s="618">
        <v>5</v>
      </c>
      <c r="I1551" s="619"/>
      <c r="J1551" s="620"/>
      <c r="K1551" s="621" t="s">
        <v>5316</v>
      </c>
      <c r="L1551" s="618" t="s">
        <v>2378</v>
      </c>
      <c r="M1551" s="622">
        <v>44615</v>
      </c>
      <c r="N1551" s="622">
        <v>44615</v>
      </c>
      <c r="O1551" s="622"/>
      <c r="P1551" s="620"/>
      <c r="Q1551" s="620"/>
      <c r="R1551" s="620"/>
      <c r="S1551" s="618" t="s">
        <v>2379</v>
      </c>
      <c r="T1551" s="618">
        <v>60</v>
      </c>
      <c r="U1551" s="618">
        <v>49405140</v>
      </c>
      <c r="V1551" s="618" t="s">
        <v>973</v>
      </c>
      <c r="W1551" s="618">
        <v>400</v>
      </c>
      <c r="X1551" s="623">
        <v>832</v>
      </c>
      <c r="Y1551" s="477">
        <f>X1551*W1551</f>
        <v>332800</v>
      </c>
      <c r="Z1551" s="478">
        <f>188/400</f>
        <v>0.47</v>
      </c>
      <c r="AA1551" s="479">
        <f>Z1551*Y1551</f>
        <v>156416</v>
      </c>
      <c r="AB1551" s="480"/>
      <c r="AC1551" s="481">
        <f>AB1551*Y1551</f>
        <v>0</v>
      </c>
      <c r="AD1551" s="490"/>
      <c r="AE1551" s="482"/>
      <c r="AF1551" s="493">
        <f>AA1551+AE1551</f>
        <v>156416</v>
      </c>
      <c r="AG1551" s="474" t="s">
        <v>47</v>
      </c>
      <c r="AH1551" s="474"/>
      <c r="AI1551" s="483" t="s">
        <v>2374</v>
      </c>
      <c r="AJ1551" s="474" t="s">
        <v>2400</v>
      </c>
      <c r="AK1551" s="494" t="s">
        <v>1074</v>
      </c>
      <c r="AL1551" s="474">
        <v>30360</v>
      </c>
      <c r="AM1551" s="474" t="s">
        <v>52</v>
      </c>
      <c r="AN1551" s="474" t="s">
        <v>1106</v>
      </c>
      <c r="AO1551" s="474"/>
      <c r="AP1551" s="486"/>
      <c r="AQ1551" s="486" t="s">
        <v>37</v>
      </c>
      <c r="AR1551" s="486"/>
      <c r="AS1551" s="495"/>
      <c r="AT1551" s="495"/>
      <c r="AU1551" s="478"/>
      <c r="AV1551" s="471">
        <f t="shared" si="270"/>
        <v>49405140</v>
      </c>
      <c r="AW1551" s="471" cm="1">
        <f t="array" ref="AW1551">SUM(MID(0&amp;AV1551,LARGE(INDEX(ISNUMBER(--MID(AV1551,ROW($1:$8),1))*ROW($1:$8),),ROW($1:$8))+1,1)*10^ROW($1:$8)/10)</f>
        <v>49405140</v>
      </c>
      <c r="AX1551" s="471" t="str">
        <f>VLOOKUP($AW1551,'Item Master Data'!$A:$F,3,FALSE)</f>
        <v>Q.PEAK DUO BLK ML G10+</v>
      </c>
      <c r="AY1551" s="471">
        <f>VLOOKUP($AW1551,'Item Master Data'!$A:$F,6,FALSE)</f>
        <v>400</v>
      </c>
      <c r="AZ1551" s="471">
        <f t="shared" si="271"/>
        <v>26</v>
      </c>
      <c r="BA1551" s="471">
        <f>VLOOKUP(AW1551,'Item Master Data'!$A:$G,7,FALSE)</f>
        <v>32</v>
      </c>
      <c r="BC1551" s="471">
        <f t="shared" si="272"/>
        <v>0</v>
      </c>
    </row>
    <row r="1552" spans="1:55" s="471" customFormat="1">
      <c r="A1552" s="472"/>
      <c r="B1552" s="514">
        <v>44616</v>
      </c>
      <c r="C1552" s="514">
        <v>44616</v>
      </c>
      <c r="D1552" s="485" t="s">
        <v>3186</v>
      </c>
      <c r="E1552" s="474"/>
      <c r="F1552" s="474"/>
      <c r="G1552" s="618">
        <v>2022</v>
      </c>
      <c r="H1552" s="618">
        <v>5</v>
      </c>
      <c r="I1552" s="619"/>
      <c r="J1552" s="620"/>
      <c r="K1552" s="621" t="s">
        <v>5352</v>
      </c>
      <c r="L1552" s="618" t="s">
        <v>2378</v>
      </c>
      <c r="M1552" s="622">
        <v>44615</v>
      </c>
      <c r="N1552" s="622">
        <v>44615</v>
      </c>
      <c r="O1552" s="622"/>
      <c r="P1552" s="620"/>
      <c r="Q1552" s="620"/>
      <c r="R1552" s="620"/>
      <c r="S1552" s="618" t="s">
        <v>2379</v>
      </c>
      <c r="T1552" s="618">
        <v>60</v>
      </c>
      <c r="U1552" s="618">
        <v>49405140</v>
      </c>
      <c r="V1552" s="618" t="s">
        <v>973</v>
      </c>
      <c r="W1552" s="618">
        <v>400</v>
      </c>
      <c r="X1552" s="623">
        <v>832</v>
      </c>
      <c r="Y1552" s="477">
        <f>X1552*W1552</f>
        <v>332800</v>
      </c>
      <c r="Z1552" s="478">
        <f>188/400</f>
        <v>0.47</v>
      </c>
      <c r="AA1552" s="479">
        <f>Z1552*Y1552</f>
        <v>156416</v>
      </c>
      <c r="AB1552" s="480"/>
      <c r="AC1552" s="481">
        <f>AB1552*Y1552</f>
        <v>0</v>
      </c>
      <c r="AD1552" s="490"/>
      <c r="AE1552" s="482"/>
      <c r="AF1552" s="493">
        <f>AA1552+AE1552</f>
        <v>156416</v>
      </c>
      <c r="AG1552" s="474" t="s">
        <v>47</v>
      </c>
      <c r="AH1552" s="474"/>
      <c r="AI1552" s="483" t="s">
        <v>2374</v>
      </c>
      <c r="AJ1552" s="474" t="s">
        <v>2380</v>
      </c>
      <c r="AK1552" s="494" t="s">
        <v>2381</v>
      </c>
      <c r="AL1552" s="474">
        <v>87107</v>
      </c>
      <c r="AM1552" s="474" t="s">
        <v>52</v>
      </c>
      <c r="AN1552" s="474" t="s">
        <v>1106</v>
      </c>
      <c r="AO1552" s="474"/>
      <c r="AP1552" s="486"/>
      <c r="AQ1552" s="486" t="s">
        <v>37</v>
      </c>
      <c r="AR1552" s="486"/>
      <c r="AS1552" s="495"/>
      <c r="AT1552" s="495"/>
      <c r="AU1552" s="478"/>
      <c r="AV1552" s="471">
        <f t="shared" si="270"/>
        <v>49405140</v>
      </c>
      <c r="AW1552" s="471" cm="1">
        <f t="array" ref="AW1552">SUM(MID(0&amp;AV1552,LARGE(INDEX(ISNUMBER(--MID(AV1552,ROW($1:$8),1))*ROW($1:$8),),ROW($1:$8))+1,1)*10^ROW($1:$8)/10)</f>
        <v>49405140</v>
      </c>
      <c r="AX1552" s="471" t="str">
        <f>VLOOKUP($AW1552,'Item Master Data'!$A:$F,3,FALSE)</f>
        <v>Q.PEAK DUO BLK ML G10+</v>
      </c>
      <c r="AY1552" s="471">
        <f>VLOOKUP($AW1552,'Item Master Data'!$A:$F,6,FALSE)</f>
        <v>400</v>
      </c>
      <c r="AZ1552" s="471">
        <f t="shared" si="271"/>
        <v>26</v>
      </c>
      <c r="BA1552" s="471">
        <f>VLOOKUP(AW1552,'Item Master Data'!$A:$G,7,FALSE)</f>
        <v>32</v>
      </c>
      <c r="BC1552" s="471">
        <f t="shared" si="272"/>
        <v>0</v>
      </c>
    </row>
    <row r="1553" spans="1:55" s="471" customFormat="1">
      <c r="A1553" s="472" t="s">
        <v>5648</v>
      </c>
      <c r="B1553" s="514">
        <v>44616</v>
      </c>
      <c r="C1553" s="514">
        <v>44616</v>
      </c>
      <c r="D1553" s="485" t="s">
        <v>3186</v>
      </c>
      <c r="E1553" s="474"/>
      <c r="F1553" s="474"/>
      <c r="G1553" s="590">
        <v>2022</v>
      </c>
      <c r="H1553" s="590">
        <v>5</v>
      </c>
      <c r="I1553" s="591"/>
      <c r="J1553" s="592"/>
      <c r="K1553" s="593" t="s">
        <v>5343</v>
      </c>
      <c r="L1553" s="590" t="s">
        <v>2378</v>
      </c>
      <c r="M1553" s="594">
        <v>44615</v>
      </c>
      <c r="N1553" s="594">
        <v>44615</v>
      </c>
      <c r="O1553" s="594"/>
      <c r="P1553" s="502">
        <v>44679</v>
      </c>
      <c r="Q1553" s="592"/>
      <c r="R1553" s="592"/>
      <c r="S1553" s="590" t="s">
        <v>2379</v>
      </c>
      <c r="T1553" s="590">
        <v>60</v>
      </c>
      <c r="U1553" s="590" t="s">
        <v>1281</v>
      </c>
      <c r="V1553" s="590" t="s">
        <v>973</v>
      </c>
      <c r="W1553" s="590">
        <v>400</v>
      </c>
      <c r="X1553" s="595">
        <v>832</v>
      </c>
      <c r="Y1553" s="477">
        <f>X1553*W1553</f>
        <v>332800</v>
      </c>
      <c r="Z1553" s="478">
        <f>188/400</f>
        <v>0.47</v>
      </c>
      <c r="AA1553" s="479">
        <f>Z1553*Y1553</f>
        <v>156416</v>
      </c>
      <c r="AB1553" s="480"/>
      <c r="AC1553" s="481">
        <f>AB1553*Y1553</f>
        <v>0</v>
      </c>
      <c r="AD1553" s="490"/>
      <c r="AE1553" s="482"/>
      <c r="AF1553" s="493">
        <f>AA1553+AE1553</f>
        <v>156416</v>
      </c>
      <c r="AG1553" s="474" t="s">
        <v>47</v>
      </c>
      <c r="AH1553" s="474"/>
      <c r="AI1553" s="483" t="s">
        <v>2374</v>
      </c>
      <c r="AJ1553" s="474" t="s">
        <v>2397</v>
      </c>
      <c r="AK1553" s="494" t="s">
        <v>1133</v>
      </c>
      <c r="AL1553" s="474">
        <v>85365</v>
      </c>
      <c r="AM1553" s="474" t="s">
        <v>52</v>
      </c>
      <c r="AN1553" s="474" t="s">
        <v>50</v>
      </c>
      <c r="AO1553" s="474"/>
      <c r="AP1553" s="486"/>
      <c r="AQ1553" s="486" t="s">
        <v>37</v>
      </c>
      <c r="AR1553" s="486"/>
      <c r="AS1553" s="495"/>
      <c r="AT1553" s="495"/>
      <c r="AU1553" s="478"/>
      <c r="AV1553" s="471" t="str">
        <f t="shared" si="270"/>
        <v>30390456H</v>
      </c>
      <c r="AW1553" s="471" cm="1">
        <f t="array" ref="AW1553">SUM(MID(0&amp;AV1553,LARGE(INDEX(ISNUMBER(--MID(AV1553,ROW($1:$8),1))*ROW($1:$8),),ROW($1:$8))+1,1)*10^ROW($1:$8)/10)</f>
        <v>30390456</v>
      </c>
      <c r="AX1553" s="471" t="str">
        <f>VLOOKUP($AW1553,'Item Master Data'!$A:$F,3,FALSE)</f>
        <v>Q.PEAK DUO BLK ML G10+</v>
      </c>
      <c r="AY1553" s="471">
        <f>VLOOKUP($AW1553,'Item Master Data'!$A:$F,6,FALSE)</f>
        <v>400</v>
      </c>
      <c r="AZ1553" s="471">
        <f t="shared" si="271"/>
        <v>26</v>
      </c>
      <c r="BA1553" s="471">
        <f>VLOOKUP(AW1553,'Item Master Data'!$A:$G,7,FALSE)</f>
        <v>32</v>
      </c>
      <c r="BC1553" s="471">
        <f t="shared" si="272"/>
        <v>0</v>
      </c>
    </row>
    <row r="1554" spans="1:55" s="471" customFormat="1">
      <c r="A1554" s="472">
        <v>1</v>
      </c>
      <c r="B1554" s="514">
        <v>44616</v>
      </c>
      <c r="C1554" s="514">
        <v>44616</v>
      </c>
      <c r="D1554" s="485" t="s">
        <v>3186</v>
      </c>
      <c r="E1554" s="474"/>
      <c r="F1554" s="474"/>
      <c r="G1554" s="590">
        <v>2022</v>
      </c>
      <c r="H1554" s="590">
        <v>5</v>
      </c>
      <c r="I1554" s="591"/>
      <c r="J1554" s="592"/>
      <c r="K1554" s="593" t="s">
        <v>5347</v>
      </c>
      <c r="L1554" s="590" t="s">
        <v>2378</v>
      </c>
      <c r="M1554" s="594">
        <v>44615</v>
      </c>
      <c r="N1554" s="594">
        <v>44615</v>
      </c>
      <c r="O1554" s="594"/>
      <c r="P1554" s="502">
        <v>44679</v>
      </c>
      <c r="Q1554" s="592"/>
      <c r="R1554" s="592"/>
      <c r="S1554" s="590" t="s">
        <v>2379</v>
      </c>
      <c r="T1554" s="590">
        <v>60</v>
      </c>
      <c r="U1554" s="590" t="s">
        <v>1281</v>
      </c>
      <c r="V1554" s="590" t="s">
        <v>973</v>
      </c>
      <c r="W1554" s="590">
        <v>400</v>
      </c>
      <c r="X1554" s="653">
        <v>768</v>
      </c>
      <c r="Y1554" s="477">
        <f>X1554*W1554</f>
        <v>307200</v>
      </c>
      <c r="Z1554" s="478">
        <f>188/400</f>
        <v>0.47</v>
      </c>
      <c r="AA1554" s="479">
        <f>Z1554*Y1554</f>
        <v>144384</v>
      </c>
      <c r="AB1554" s="480"/>
      <c r="AC1554" s="481">
        <f>AB1554*Y1554</f>
        <v>0</v>
      </c>
      <c r="AD1554" s="490"/>
      <c r="AE1554" s="482"/>
      <c r="AF1554" s="493">
        <f>AA1554+AE1554</f>
        <v>144384</v>
      </c>
      <c r="AG1554" s="474" t="s">
        <v>47</v>
      </c>
      <c r="AH1554" s="474"/>
      <c r="AI1554" s="483" t="s">
        <v>2374</v>
      </c>
      <c r="AJ1554" s="474" t="s">
        <v>2366</v>
      </c>
      <c r="AK1554" s="494" t="s">
        <v>1395</v>
      </c>
      <c r="AL1554" s="474">
        <v>89118</v>
      </c>
      <c r="AM1554" s="474" t="s">
        <v>52</v>
      </c>
      <c r="AN1554" s="474" t="s">
        <v>50</v>
      </c>
      <c r="AO1554" s="474"/>
      <c r="AP1554" s="486"/>
      <c r="AQ1554" s="486" t="s">
        <v>37</v>
      </c>
      <c r="AR1554" s="486"/>
      <c r="AS1554" s="495"/>
      <c r="AT1554" s="495"/>
      <c r="AU1554" s="478"/>
      <c r="AV1554" s="471" t="str">
        <f t="shared" si="270"/>
        <v>30390456H</v>
      </c>
      <c r="AW1554" s="471" cm="1">
        <f t="array" ref="AW1554">SUM(MID(0&amp;AV1554,LARGE(INDEX(ISNUMBER(--MID(AV1554,ROW($1:$8),1))*ROW($1:$8),),ROW($1:$8))+1,1)*10^ROW($1:$8)/10)</f>
        <v>30390456</v>
      </c>
      <c r="AX1554" s="471" t="str">
        <f>VLOOKUP($AW1554,'Item Master Data'!$A:$F,3,FALSE)</f>
        <v>Q.PEAK DUO BLK ML G10+</v>
      </c>
      <c r="AY1554" s="471">
        <f>VLOOKUP($AW1554,'Item Master Data'!$A:$F,6,FALSE)</f>
        <v>400</v>
      </c>
      <c r="AZ1554" s="471">
        <f t="shared" si="271"/>
        <v>24</v>
      </c>
      <c r="BA1554" s="471">
        <f>VLOOKUP(AW1554,'Item Master Data'!$A:$G,7,FALSE)</f>
        <v>32</v>
      </c>
      <c r="BC1554" s="471">
        <f t="shared" si="272"/>
        <v>0</v>
      </c>
    </row>
    <row r="1555" spans="1:55" s="471" customFormat="1">
      <c r="A1555" s="472">
        <v>2</v>
      </c>
      <c r="B1555" s="514">
        <v>44616</v>
      </c>
      <c r="C1555" s="514">
        <v>44616</v>
      </c>
      <c r="D1555" s="485" t="s">
        <v>3186</v>
      </c>
      <c r="E1555" s="474"/>
      <c r="F1555" s="474"/>
      <c r="G1555" s="590">
        <v>2022</v>
      </c>
      <c r="H1555" s="590">
        <v>5</v>
      </c>
      <c r="I1555" s="591"/>
      <c r="J1555" s="592"/>
      <c r="K1555" s="593" t="s">
        <v>5347</v>
      </c>
      <c r="L1555" s="590" t="s">
        <v>2378</v>
      </c>
      <c r="M1555" s="594">
        <v>44615</v>
      </c>
      <c r="N1555" s="594">
        <v>44615</v>
      </c>
      <c r="O1555" s="594"/>
      <c r="P1555" s="502">
        <v>44679</v>
      </c>
      <c r="Q1555" s="592"/>
      <c r="R1555" s="592"/>
      <c r="S1555" s="590" t="s">
        <v>2379</v>
      </c>
      <c r="T1555" s="590">
        <v>60</v>
      </c>
      <c r="U1555" s="590" t="s">
        <v>1281</v>
      </c>
      <c r="V1555" s="590" t="s">
        <v>973</v>
      </c>
      <c r="W1555" s="590">
        <v>400</v>
      </c>
      <c r="X1555" s="653">
        <v>576</v>
      </c>
      <c r="Y1555" s="477">
        <f>X1555*W1555</f>
        <v>230400</v>
      </c>
      <c r="Z1555" s="478">
        <f>188/400</f>
        <v>0.47</v>
      </c>
      <c r="AA1555" s="479">
        <f>Z1555*Y1555</f>
        <v>108288</v>
      </c>
      <c r="AB1555" s="480"/>
      <c r="AC1555" s="481">
        <f>AB1555*Y1555</f>
        <v>0</v>
      </c>
      <c r="AD1555" s="490"/>
      <c r="AE1555" s="482"/>
      <c r="AF1555" s="493">
        <f>AA1555+AE1555</f>
        <v>108288</v>
      </c>
      <c r="AG1555" s="474" t="s">
        <v>47</v>
      </c>
      <c r="AH1555" s="474"/>
      <c r="AI1555" s="483" t="s">
        <v>2374</v>
      </c>
      <c r="AJ1555" s="474" t="s">
        <v>2366</v>
      </c>
      <c r="AK1555" s="494" t="s">
        <v>1395</v>
      </c>
      <c r="AL1555" s="474">
        <v>89118</v>
      </c>
      <c r="AM1555" s="474" t="s">
        <v>52</v>
      </c>
      <c r="AN1555" s="474" t="s">
        <v>50</v>
      </c>
      <c r="AO1555" s="474"/>
      <c r="AP1555" s="486"/>
      <c r="AQ1555" s="486" t="s">
        <v>37</v>
      </c>
      <c r="AR1555" s="486"/>
      <c r="AS1555" s="495"/>
      <c r="AT1555" s="495"/>
      <c r="AU1555" s="478"/>
      <c r="AV1555" s="471" t="str">
        <f t="shared" si="270"/>
        <v>30390456H</v>
      </c>
      <c r="AW1555" s="471" cm="1">
        <f t="array" ref="AW1555">SUM(MID(0&amp;AV1555,LARGE(INDEX(ISNUMBER(--MID(AV1555,ROW($1:$8),1))*ROW($1:$8),),ROW($1:$8))+1,1)*10^ROW($1:$8)/10)</f>
        <v>30390456</v>
      </c>
      <c r="AX1555" s="471" t="str">
        <f>VLOOKUP($AW1555,'Item Master Data'!$A:$F,3,FALSE)</f>
        <v>Q.PEAK DUO BLK ML G10+</v>
      </c>
      <c r="AY1555" s="471">
        <f>VLOOKUP($AW1555,'Item Master Data'!$A:$F,6,FALSE)</f>
        <v>400</v>
      </c>
      <c r="AZ1555" s="471">
        <f t="shared" si="271"/>
        <v>18</v>
      </c>
      <c r="BA1555" s="471">
        <f>VLOOKUP(AW1555,'Item Master Data'!$A:$G,7,FALSE)</f>
        <v>32</v>
      </c>
      <c r="BC1555" s="471">
        <f t="shared" si="272"/>
        <v>0</v>
      </c>
    </row>
    <row r="1556" spans="1:55" s="471" customFormat="1">
      <c r="A1556" s="472"/>
      <c r="B1556" s="514">
        <v>44616</v>
      </c>
      <c r="C1556" s="514">
        <v>44616</v>
      </c>
      <c r="D1556" s="485" t="s">
        <v>3186</v>
      </c>
      <c r="E1556" s="474"/>
      <c r="F1556" s="474"/>
      <c r="G1556" s="618">
        <v>2022</v>
      </c>
      <c r="H1556" s="618">
        <v>5</v>
      </c>
      <c r="I1556" s="619"/>
      <c r="J1556" s="620"/>
      <c r="K1556" s="621" t="s">
        <v>5357</v>
      </c>
      <c r="L1556" s="618" t="s">
        <v>2378</v>
      </c>
      <c r="M1556" s="622">
        <v>44615</v>
      </c>
      <c r="N1556" s="622">
        <v>44615</v>
      </c>
      <c r="O1556" s="622"/>
      <c r="P1556" s="620"/>
      <c r="Q1556" s="620"/>
      <c r="R1556" s="620"/>
      <c r="S1556" s="618" t="s">
        <v>2379</v>
      </c>
      <c r="T1556" s="618">
        <v>60</v>
      </c>
      <c r="U1556" s="618">
        <v>49405140</v>
      </c>
      <c r="V1556" s="618" t="s">
        <v>973</v>
      </c>
      <c r="W1556" s="618">
        <v>400</v>
      </c>
      <c r="X1556" s="623">
        <v>416</v>
      </c>
      <c r="Y1556" s="477">
        <f>X1556*W1556</f>
        <v>166400</v>
      </c>
      <c r="Z1556" s="478">
        <f>188/400</f>
        <v>0.47</v>
      </c>
      <c r="AA1556" s="479">
        <f>Z1556*Y1556</f>
        <v>78208</v>
      </c>
      <c r="AB1556" s="480"/>
      <c r="AC1556" s="481">
        <f>AB1556*Y1556</f>
        <v>0</v>
      </c>
      <c r="AD1556" s="490"/>
      <c r="AE1556" s="482"/>
      <c r="AF1556" s="493">
        <f>AA1556+AE1556</f>
        <v>78208</v>
      </c>
      <c r="AG1556" s="474" t="s">
        <v>47</v>
      </c>
      <c r="AH1556" s="474"/>
      <c r="AI1556" s="483" t="s">
        <v>2374</v>
      </c>
      <c r="AJ1556" s="474" t="s">
        <v>3573</v>
      </c>
      <c r="AK1556" s="494" t="s">
        <v>50</v>
      </c>
      <c r="AL1556" s="474">
        <v>91355</v>
      </c>
      <c r="AM1556" s="474" t="s">
        <v>52</v>
      </c>
      <c r="AN1556" s="474" t="s">
        <v>1106</v>
      </c>
      <c r="AO1556" s="474"/>
      <c r="AP1556" s="486"/>
      <c r="AQ1556" s="486" t="s">
        <v>37</v>
      </c>
      <c r="AR1556" s="486"/>
      <c r="AS1556" s="495"/>
      <c r="AT1556" s="495"/>
      <c r="AU1556" s="478"/>
      <c r="AV1556" s="471">
        <f t="shared" si="270"/>
        <v>49405140</v>
      </c>
      <c r="AW1556" s="471" cm="1">
        <f t="array" ref="AW1556">SUM(MID(0&amp;AV1556,LARGE(INDEX(ISNUMBER(--MID(AV1556,ROW($1:$8),1))*ROW($1:$8),),ROW($1:$8))+1,1)*10^ROW($1:$8)/10)</f>
        <v>49405140</v>
      </c>
      <c r="AX1556" s="471" t="str">
        <f>VLOOKUP($AW1556,'Item Master Data'!$A:$F,3,FALSE)</f>
        <v>Q.PEAK DUO BLK ML G10+</v>
      </c>
      <c r="AY1556" s="471">
        <f>VLOOKUP($AW1556,'Item Master Data'!$A:$F,6,FALSE)</f>
        <v>400</v>
      </c>
      <c r="AZ1556" s="471">
        <f t="shared" si="271"/>
        <v>13</v>
      </c>
      <c r="BA1556" s="471">
        <f>VLOOKUP(AW1556,'Item Master Data'!$A:$G,7,FALSE)</f>
        <v>32</v>
      </c>
      <c r="BC1556" s="471">
        <f t="shared" si="272"/>
        <v>0</v>
      </c>
    </row>
    <row r="1557" spans="1:55" s="471" customFormat="1">
      <c r="A1557" s="472">
        <v>2</v>
      </c>
      <c r="B1557" s="514">
        <v>44616</v>
      </c>
      <c r="C1557" s="514">
        <v>44616</v>
      </c>
      <c r="D1557" s="485" t="s">
        <v>3186</v>
      </c>
      <c r="E1557" s="474"/>
      <c r="F1557" s="474"/>
      <c r="G1557" s="590">
        <v>2022</v>
      </c>
      <c r="H1557" s="590">
        <v>5</v>
      </c>
      <c r="I1557" s="591"/>
      <c r="J1557" s="592"/>
      <c r="K1557" s="593" t="s">
        <v>5360</v>
      </c>
      <c r="L1557" s="590" t="s">
        <v>2378</v>
      </c>
      <c r="M1557" s="594">
        <v>44615</v>
      </c>
      <c r="N1557" s="594">
        <v>44615</v>
      </c>
      <c r="O1557" s="594"/>
      <c r="P1557" s="502">
        <v>44679</v>
      </c>
      <c r="Q1557" s="592"/>
      <c r="R1557" s="592"/>
      <c r="S1557" s="590" t="s">
        <v>2379</v>
      </c>
      <c r="T1557" s="590">
        <v>60</v>
      </c>
      <c r="U1557" s="590" t="s">
        <v>1281</v>
      </c>
      <c r="V1557" s="590" t="s">
        <v>973</v>
      </c>
      <c r="W1557" s="590">
        <v>400</v>
      </c>
      <c r="X1557" s="595">
        <v>416</v>
      </c>
      <c r="Y1557" s="477">
        <f>X1557*W1557</f>
        <v>166400</v>
      </c>
      <c r="Z1557" s="478">
        <f>188/400</f>
        <v>0.47</v>
      </c>
      <c r="AA1557" s="479">
        <f>Z1557*Y1557</f>
        <v>78208</v>
      </c>
      <c r="AB1557" s="480"/>
      <c r="AC1557" s="481">
        <f>AB1557*Y1557</f>
        <v>0</v>
      </c>
      <c r="AD1557" s="490"/>
      <c r="AE1557" s="482"/>
      <c r="AF1557" s="493">
        <f>AA1557+AE1557</f>
        <v>78208</v>
      </c>
      <c r="AG1557" s="474" t="s">
        <v>47</v>
      </c>
      <c r="AH1557" s="474"/>
      <c r="AI1557" s="483" t="s">
        <v>2374</v>
      </c>
      <c r="AJ1557" s="474" t="s">
        <v>3262</v>
      </c>
      <c r="AK1557" s="494" t="s">
        <v>3263</v>
      </c>
      <c r="AL1557" s="474">
        <v>84104</v>
      </c>
      <c r="AM1557" s="474" t="s">
        <v>52</v>
      </c>
      <c r="AN1557" s="474" t="s">
        <v>50</v>
      </c>
      <c r="AO1557" s="474"/>
      <c r="AP1557" s="486"/>
      <c r="AQ1557" s="486" t="s">
        <v>37</v>
      </c>
      <c r="AR1557" s="486"/>
      <c r="AS1557" s="495"/>
      <c r="AT1557" s="495"/>
      <c r="AU1557" s="478"/>
      <c r="AV1557" s="471" t="str">
        <f t="shared" si="270"/>
        <v>30390456H</v>
      </c>
      <c r="AW1557" s="471" cm="1">
        <f t="array" ref="AW1557">SUM(MID(0&amp;AV1557,LARGE(INDEX(ISNUMBER(--MID(AV1557,ROW($1:$8),1))*ROW($1:$8),),ROW($1:$8))+1,1)*10^ROW($1:$8)/10)</f>
        <v>30390456</v>
      </c>
      <c r="AX1557" s="471" t="str">
        <f>VLOOKUP($AW1557,'Item Master Data'!$A:$F,3,FALSE)</f>
        <v>Q.PEAK DUO BLK ML G10+</v>
      </c>
      <c r="AY1557" s="471">
        <f>VLOOKUP($AW1557,'Item Master Data'!$A:$F,6,FALSE)</f>
        <v>400</v>
      </c>
      <c r="AZ1557" s="471">
        <f t="shared" si="271"/>
        <v>13</v>
      </c>
      <c r="BA1557" s="471">
        <f>VLOOKUP(AW1557,'Item Master Data'!$A:$G,7,FALSE)</f>
        <v>32</v>
      </c>
      <c r="BC1557" s="471">
        <f t="shared" si="272"/>
        <v>0</v>
      </c>
    </row>
    <row r="1558" spans="1:55" s="471" customFormat="1">
      <c r="A1558" s="472">
        <v>2</v>
      </c>
      <c r="B1558" s="514">
        <v>44616</v>
      </c>
      <c r="C1558" s="514">
        <v>44616</v>
      </c>
      <c r="D1558" s="485" t="s">
        <v>3186</v>
      </c>
      <c r="E1558" s="474"/>
      <c r="F1558" s="474"/>
      <c r="G1558" s="590">
        <v>2022</v>
      </c>
      <c r="H1558" s="590">
        <v>5</v>
      </c>
      <c r="I1558" s="591"/>
      <c r="J1558" s="592"/>
      <c r="K1558" s="593" t="s">
        <v>5345</v>
      </c>
      <c r="L1558" s="590" t="s">
        <v>2378</v>
      </c>
      <c r="M1558" s="594">
        <v>44615</v>
      </c>
      <c r="N1558" s="594">
        <v>44615</v>
      </c>
      <c r="O1558" s="594"/>
      <c r="P1558" s="502">
        <v>44679</v>
      </c>
      <c r="Q1558" s="592"/>
      <c r="R1558" s="592"/>
      <c r="S1558" s="590" t="s">
        <v>2379</v>
      </c>
      <c r="T1558" s="590">
        <v>60</v>
      </c>
      <c r="U1558" s="590" t="s">
        <v>1281</v>
      </c>
      <c r="V1558" s="590" t="s">
        <v>973</v>
      </c>
      <c r="W1558" s="590">
        <v>400</v>
      </c>
      <c r="X1558" s="595">
        <v>384</v>
      </c>
      <c r="Y1558" s="477">
        <f>X1558*W1558</f>
        <v>153600</v>
      </c>
      <c r="Z1558" s="478">
        <f>188/400</f>
        <v>0.47</v>
      </c>
      <c r="AA1558" s="479">
        <f>Z1558*Y1558</f>
        <v>72192</v>
      </c>
      <c r="AB1558" s="480"/>
      <c r="AC1558" s="481">
        <f>AB1558*Y1558</f>
        <v>0</v>
      </c>
      <c r="AD1558" s="490"/>
      <c r="AE1558" s="482"/>
      <c r="AF1558" s="493">
        <f>AA1558+AE1558</f>
        <v>72192</v>
      </c>
      <c r="AG1558" s="474" t="s">
        <v>47</v>
      </c>
      <c r="AH1558" s="474"/>
      <c r="AI1558" s="483" t="s">
        <v>2374</v>
      </c>
      <c r="AJ1558" s="474" t="s">
        <v>2394</v>
      </c>
      <c r="AK1558" s="494" t="s">
        <v>1133</v>
      </c>
      <c r="AL1558" s="474">
        <v>85714</v>
      </c>
      <c r="AM1558" s="474" t="s">
        <v>52</v>
      </c>
      <c r="AN1558" s="474" t="s">
        <v>50</v>
      </c>
      <c r="AO1558" s="474"/>
      <c r="AP1558" s="486"/>
      <c r="AQ1558" s="486" t="s">
        <v>37</v>
      </c>
      <c r="AR1558" s="486"/>
      <c r="AS1558" s="495"/>
      <c r="AT1558" s="495"/>
      <c r="AU1558" s="478"/>
      <c r="AV1558" s="471" t="str">
        <f t="shared" si="270"/>
        <v>30390456H</v>
      </c>
      <c r="AW1558" s="471" cm="1">
        <f t="array" ref="AW1558">SUM(MID(0&amp;AV1558,LARGE(INDEX(ISNUMBER(--MID(AV1558,ROW($1:$8),1))*ROW($1:$8),),ROW($1:$8))+1,1)*10^ROW($1:$8)/10)</f>
        <v>30390456</v>
      </c>
      <c r="AX1558" s="471" t="str">
        <f>VLOOKUP($AW1558,'Item Master Data'!$A:$F,3,FALSE)</f>
        <v>Q.PEAK DUO BLK ML G10+</v>
      </c>
      <c r="AY1558" s="471">
        <f>VLOOKUP($AW1558,'Item Master Data'!$A:$F,6,FALSE)</f>
        <v>400</v>
      </c>
      <c r="AZ1558" s="471">
        <f t="shared" si="271"/>
        <v>12</v>
      </c>
      <c r="BA1558" s="471">
        <f>VLOOKUP(AW1558,'Item Master Data'!$A:$G,7,FALSE)</f>
        <v>32</v>
      </c>
      <c r="BC1558" s="471">
        <f t="shared" si="272"/>
        <v>0</v>
      </c>
    </row>
    <row r="1559" spans="1:55" s="471" customFormat="1">
      <c r="A1559" s="472" t="s">
        <v>5648</v>
      </c>
      <c r="B1559" s="514">
        <v>44616</v>
      </c>
      <c r="C1559" s="514">
        <v>44616</v>
      </c>
      <c r="D1559" s="485" t="s">
        <v>3186</v>
      </c>
      <c r="E1559" s="474"/>
      <c r="F1559" s="474"/>
      <c r="G1559" s="590">
        <v>2022</v>
      </c>
      <c r="H1559" s="590">
        <v>5</v>
      </c>
      <c r="I1559" s="591"/>
      <c r="J1559" s="592"/>
      <c r="K1559" s="593" t="s">
        <v>5313</v>
      </c>
      <c r="L1559" s="590" t="s">
        <v>2378</v>
      </c>
      <c r="M1559" s="594">
        <v>44615</v>
      </c>
      <c r="N1559" s="594">
        <v>44615</v>
      </c>
      <c r="O1559" s="594"/>
      <c r="P1559" s="502">
        <v>44679</v>
      </c>
      <c r="Q1559" s="592"/>
      <c r="R1559" s="592"/>
      <c r="S1559" s="590" t="s">
        <v>2379</v>
      </c>
      <c r="T1559" s="590">
        <v>60</v>
      </c>
      <c r="U1559" s="590" t="s">
        <v>1281</v>
      </c>
      <c r="V1559" s="590" t="s">
        <v>973</v>
      </c>
      <c r="W1559" s="590">
        <v>400</v>
      </c>
      <c r="X1559" s="595">
        <v>832</v>
      </c>
      <c r="Y1559" s="477">
        <f>X1559*W1559</f>
        <v>332800</v>
      </c>
      <c r="Z1559" s="478">
        <f>188/400</f>
        <v>0.47</v>
      </c>
      <c r="AA1559" s="479">
        <f>Z1559*Y1559</f>
        <v>156416</v>
      </c>
      <c r="AB1559" s="480"/>
      <c r="AC1559" s="481">
        <f>AB1559*Y1559</f>
        <v>0</v>
      </c>
      <c r="AD1559" s="490"/>
      <c r="AE1559" s="482"/>
      <c r="AF1559" s="493">
        <f>AA1559+AE1559</f>
        <v>156416</v>
      </c>
      <c r="AG1559" s="474" t="s">
        <v>47</v>
      </c>
      <c r="AH1559" s="474"/>
      <c r="AI1559" s="483" t="s">
        <v>2374</v>
      </c>
      <c r="AJ1559" s="474" t="s">
        <v>2392</v>
      </c>
      <c r="AK1559" s="494" t="s">
        <v>1084</v>
      </c>
      <c r="AL1559" s="474">
        <v>33762</v>
      </c>
      <c r="AM1559" s="474" t="s">
        <v>52</v>
      </c>
      <c r="AN1559" s="474" t="s">
        <v>1085</v>
      </c>
      <c r="AO1559" s="474"/>
      <c r="AP1559" s="486"/>
      <c r="AQ1559" s="486" t="s">
        <v>37</v>
      </c>
      <c r="AR1559" s="486"/>
      <c r="AS1559" s="495"/>
      <c r="AT1559" s="495"/>
      <c r="AU1559" s="478"/>
      <c r="AV1559" s="471" t="str">
        <f t="shared" si="270"/>
        <v>30390456H</v>
      </c>
      <c r="AW1559" s="471" cm="1">
        <f t="array" ref="AW1559">SUM(MID(0&amp;AV1559,LARGE(INDEX(ISNUMBER(--MID(AV1559,ROW($1:$8),1))*ROW($1:$8),),ROW($1:$8))+1,1)*10^ROW($1:$8)/10)</f>
        <v>30390456</v>
      </c>
      <c r="AX1559" s="471" t="str">
        <f>VLOOKUP($AW1559,'Item Master Data'!$A:$F,3,FALSE)</f>
        <v>Q.PEAK DUO BLK ML G10+</v>
      </c>
      <c r="AY1559" s="471">
        <f>VLOOKUP($AW1559,'Item Master Data'!$A:$F,6,FALSE)</f>
        <v>400</v>
      </c>
      <c r="AZ1559" s="471">
        <f t="shared" si="271"/>
        <v>26</v>
      </c>
      <c r="BA1559" s="471">
        <f>VLOOKUP(AW1559,'Item Master Data'!$A:$G,7,FALSE)</f>
        <v>32</v>
      </c>
      <c r="BC1559" s="471">
        <f t="shared" si="272"/>
        <v>0</v>
      </c>
    </row>
    <row r="1560" spans="1:55" s="471" customFormat="1">
      <c r="A1560" s="472" t="s">
        <v>5648</v>
      </c>
      <c r="B1560" s="514">
        <v>44616</v>
      </c>
      <c r="C1560" s="514">
        <v>44616</v>
      </c>
      <c r="D1560" s="485" t="s">
        <v>3186</v>
      </c>
      <c r="E1560" s="474"/>
      <c r="F1560" s="474"/>
      <c r="G1560" s="590">
        <v>2022</v>
      </c>
      <c r="H1560" s="590">
        <v>5</v>
      </c>
      <c r="I1560" s="591"/>
      <c r="J1560" s="592"/>
      <c r="K1560" s="593" t="s">
        <v>5355</v>
      </c>
      <c r="L1560" s="590" t="s">
        <v>2378</v>
      </c>
      <c r="M1560" s="594">
        <v>44615</v>
      </c>
      <c r="N1560" s="594">
        <v>44615</v>
      </c>
      <c r="O1560" s="594"/>
      <c r="P1560" s="502">
        <v>44679</v>
      </c>
      <c r="Q1560" s="592"/>
      <c r="R1560" s="592"/>
      <c r="S1560" s="590" t="s">
        <v>2379</v>
      </c>
      <c r="T1560" s="590">
        <v>60</v>
      </c>
      <c r="U1560" s="590" t="s">
        <v>1281</v>
      </c>
      <c r="V1560" s="590" t="s">
        <v>973</v>
      </c>
      <c r="W1560" s="590">
        <v>400</v>
      </c>
      <c r="X1560" s="595">
        <v>832</v>
      </c>
      <c r="Y1560" s="477">
        <f>X1560*W1560</f>
        <v>332800</v>
      </c>
      <c r="Z1560" s="478">
        <f>188/400</f>
        <v>0.47</v>
      </c>
      <c r="AA1560" s="479">
        <f>Z1560*Y1560</f>
        <v>156416</v>
      </c>
      <c r="AB1560" s="480"/>
      <c r="AC1560" s="481">
        <f>AB1560*Y1560</f>
        <v>0</v>
      </c>
      <c r="AD1560" s="490"/>
      <c r="AE1560" s="482"/>
      <c r="AF1560" s="493">
        <f>AA1560+AE1560</f>
        <v>156416</v>
      </c>
      <c r="AG1560" s="474" t="s">
        <v>47</v>
      </c>
      <c r="AH1560" s="474"/>
      <c r="AI1560" s="483" t="s">
        <v>2374</v>
      </c>
      <c r="AJ1560" s="474" t="s">
        <v>2077</v>
      </c>
      <c r="AK1560" s="494" t="s">
        <v>50</v>
      </c>
      <c r="AL1560" s="474">
        <v>95206</v>
      </c>
      <c r="AM1560" s="474" t="s">
        <v>52</v>
      </c>
      <c r="AN1560" s="474" t="s">
        <v>50</v>
      </c>
      <c r="AO1560" s="474"/>
      <c r="AP1560" s="486"/>
      <c r="AQ1560" s="486" t="s">
        <v>37</v>
      </c>
      <c r="AR1560" s="486"/>
      <c r="AS1560" s="495"/>
      <c r="AT1560" s="495"/>
      <c r="AU1560" s="478"/>
      <c r="AV1560" s="471" t="str">
        <f t="shared" ref="AV1560:AV1591" si="273">U1560</f>
        <v>30390456H</v>
      </c>
      <c r="AW1560" s="471" cm="1">
        <f t="array" ref="AW1560">SUM(MID(0&amp;AV1560,LARGE(INDEX(ISNUMBER(--MID(AV1560,ROW($1:$8),1))*ROW($1:$8),),ROW($1:$8))+1,1)*10^ROW($1:$8)/10)</f>
        <v>30390456</v>
      </c>
      <c r="AX1560" s="471" t="str">
        <f>VLOOKUP($AW1560,'Item Master Data'!$A:$F,3,FALSE)</f>
        <v>Q.PEAK DUO BLK ML G10+</v>
      </c>
      <c r="AY1560" s="471">
        <f>VLOOKUP($AW1560,'Item Master Data'!$A:$F,6,FALSE)</f>
        <v>400</v>
      </c>
      <c r="AZ1560" s="471">
        <f t="shared" ref="AZ1560:AZ1591" si="274">X1560/BA1560</f>
        <v>26</v>
      </c>
      <c r="BA1560" s="471">
        <f>VLOOKUP(AW1560,'Item Master Data'!$A:$G,7,FALSE)</f>
        <v>32</v>
      </c>
      <c r="BC1560" s="471">
        <f t="shared" ref="BC1560:BC1591" si="275">W1560-AY1560</f>
        <v>0</v>
      </c>
    </row>
    <row r="1561" spans="1:55" s="471" customFormat="1">
      <c r="A1561" s="472">
        <v>1</v>
      </c>
      <c r="B1561" s="514">
        <v>44616</v>
      </c>
      <c r="C1561" s="514">
        <v>44616</v>
      </c>
      <c r="D1561" s="485" t="s">
        <v>3186</v>
      </c>
      <c r="E1561" s="474"/>
      <c r="F1561" s="474"/>
      <c r="G1561" s="590">
        <v>2022</v>
      </c>
      <c r="H1561" s="590">
        <v>5</v>
      </c>
      <c r="I1561" s="591"/>
      <c r="J1561" s="592"/>
      <c r="K1561" s="593" t="s">
        <v>5334</v>
      </c>
      <c r="L1561" s="590" t="s">
        <v>2378</v>
      </c>
      <c r="M1561" s="594">
        <v>44615</v>
      </c>
      <c r="N1561" s="594">
        <v>44615</v>
      </c>
      <c r="O1561" s="594"/>
      <c r="P1561" s="502">
        <v>44679</v>
      </c>
      <c r="Q1561" s="592"/>
      <c r="R1561" s="592"/>
      <c r="S1561" s="590" t="s">
        <v>2379</v>
      </c>
      <c r="T1561" s="590">
        <v>60</v>
      </c>
      <c r="U1561" s="590" t="s">
        <v>1281</v>
      </c>
      <c r="V1561" s="590" t="s">
        <v>973</v>
      </c>
      <c r="W1561" s="590">
        <v>400</v>
      </c>
      <c r="X1561" s="595">
        <v>416</v>
      </c>
      <c r="Y1561" s="477">
        <f>X1561*W1561</f>
        <v>166400</v>
      </c>
      <c r="Z1561" s="478">
        <f>188/400</f>
        <v>0.47</v>
      </c>
      <c r="AA1561" s="479">
        <f>Z1561*Y1561</f>
        <v>78208</v>
      </c>
      <c r="AB1561" s="480"/>
      <c r="AC1561" s="481">
        <f>AB1561*Y1561</f>
        <v>0</v>
      </c>
      <c r="AD1561" s="490"/>
      <c r="AE1561" s="482"/>
      <c r="AF1561" s="493">
        <f>AA1561+AE1561</f>
        <v>78208</v>
      </c>
      <c r="AG1561" s="474" t="s">
        <v>47</v>
      </c>
      <c r="AH1561" s="474"/>
      <c r="AI1561" s="483" t="s">
        <v>2374</v>
      </c>
      <c r="AJ1561" s="474" t="s">
        <v>2426</v>
      </c>
      <c r="AK1561" s="494" t="s">
        <v>1144</v>
      </c>
      <c r="AL1561" s="474">
        <v>78219</v>
      </c>
      <c r="AM1561" s="474" t="s">
        <v>52</v>
      </c>
      <c r="AN1561" s="474" t="s">
        <v>50</v>
      </c>
      <c r="AO1561" s="474"/>
      <c r="AP1561" s="486"/>
      <c r="AQ1561" s="486" t="s">
        <v>37</v>
      </c>
      <c r="AR1561" s="486"/>
      <c r="AS1561" s="495"/>
      <c r="AT1561" s="495"/>
      <c r="AU1561" s="478"/>
      <c r="AV1561" s="471" t="str">
        <f t="shared" si="273"/>
        <v>30390456H</v>
      </c>
      <c r="AW1561" s="471" cm="1">
        <f t="array" ref="AW1561">SUM(MID(0&amp;AV1561,LARGE(INDEX(ISNUMBER(--MID(AV1561,ROW($1:$8),1))*ROW($1:$8),),ROW($1:$8))+1,1)*10^ROW($1:$8)/10)</f>
        <v>30390456</v>
      </c>
      <c r="AX1561" s="471" t="str">
        <f>VLOOKUP($AW1561,'Item Master Data'!$A:$F,3,FALSE)</f>
        <v>Q.PEAK DUO BLK ML G10+</v>
      </c>
      <c r="AY1561" s="471">
        <f>VLOOKUP($AW1561,'Item Master Data'!$A:$F,6,FALSE)</f>
        <v>400</v>
      </c>
      <c r="AZ1561" s="471">
        <f t="shared" si="274"/>
        <v>13</v>
      </c>
      <c r="BA1561" s="471">
        <f>VLOOKUP(AW1561,'Item Master Data'!$A:$G,7,FALSE)</f>
        <v>32</v>
      </c>
      <c r="BC1561" s="471">
        <f t="shared" si="275"/>
        <v>0</v>
      </c>
    </row>
    <row r="1562" spans="1:55" s="471" customFormat="1">
      <c r="A1562" s="472">
        <v>1</v>
      </c>
      <c r="B1562" s="514">
        <v>44616</v>
      </c>
      <c r="C1562" s="514">
        <v>44616</v>
      </c>
      <c r="D1562" s="485" t="s">
        <v>3186</v>
      </c>
      <c r="E1562" s="474"/>
      <c r="F1562" s="474"/>
      <c r="G1562" s="590">
        <v>2022</v>
      </c>
      <c r="H1562" s="590">
        <v>5</v>
      </c>
      <c r="I1562" s="591"/>
      <c r="J1562" s="592"/>
      <c r="K1562" s="593" t="s">
        <v>5328</v>
      </c>
      <c r="L1562" s="590" t="s">
        <v>2378</v>
      </c>
      <c r="M1562" s="594">
        <v>44615</v>
      </c>
      <c r="N1562" s="594">
        <v>44615</v>
      </c>
      <c r="O1562" s="594"/>
      <c r="P1562" s="502">
        <v>44679</v>
      </c>
      <c r="Q1562" s="592"/>
      <c r="R1562" s="592"/>
      <c r="S1562" s="590" t="s">
        <v>2379</v>
      </c>
      <c r="T1562" s="590">
        <v>60</v>
      </c>
      <c r="U1562" s="590" t="s">
        <v>1281</v>
      </c>
      <c r="V1562" s="590" t="s">
        <v>973</v>
      </c>
      <c r="W1562" s="590">
        <v>400</v>
      </c>
      <c r="X1562" s="595">
        <v>640</v>
      </c>
      <c r="Y1562" s="477">
        <f>X1562*W1562</f>
        <v>256000</v>
      </c>
      <c r="Z1562" s="478">
        <f>188/400</f>
        <v>0.47</v>
      </c>
      <c r="AA1562" s="479">
        <f>Z1562*Y1562</f>
        <v>120320</v>
      </c>
      <c r="AB1562" s="480"/>
      <c r="AC1562" s="481">
        <f>AB1562*Y1562</f>
        <v>0</v>
      </c>
      <c r="AD1562" s="490"/>
      <c r="AE1562" s="482"/>
      <c r="AF1562" s="493">
        <f>AA1562+AE1562</f>
        <v>120320</v>
      </c>
      <c r="AG1562" s="474" t="s">
        <v>47</v>
      </c>
      <c r="AH1562" s="474"/>
      <c r="AI1562" s="483" t="s">
        <v>2374</v>
      </c>
      <c r="AJ1562" s="474" t="s">
        <v>2421</v>
      </c>
      <c r="AK1562" s="494" t="s">
        <v>1158</v>
      </c>
      <c r="AL1562" s="474">
        <v>27560</v>
      </c>
      <c r="AM1562" s="474" t="s">
        <v>52</v>
      </c>
      <c r="AN1562" s="474" t="s">
        <v>1085</v>
      </c>
      <c r="AO1562" s="474"/>
      <c r="AP1562" s="486"/>
      <c r="AQ1562" s="486" t="s">
        <v>37</v>
      </c>
      <c r="AR1562" s="486"/>
      <c r="AS1562" s="495"/>
      <c r="AT1562" s="495"/>
      <c r="AU1562" s="478"/>
      <c r="AV1562" s="471" t="str">
        <f t="shared" si="273"/>
        <v>30390456H</v>
      </c>
      <c r="AW1562" s="471" cm="1">
        <f t="array" ref="AW1562">SUM(MID(0&amp;AV1562,LARGE(INDEX(ISNUMBER(--MID(AV1562,ROW($1:$8),1))*ROW($1:$8),),ROW($1:$8))+1,1)*10^ROW($1:$8)/10)</f>
        <v>30390456</v>
      </c>
      <c r="AX1562" s="471" t="str">
        <f>VLOOKUP($AW1562,'Item Master Data'!$A:$F,3,FALSE)</f>
        <v>Q.PEAK DUO BLK ML G10+</v>
      </c>
      <c r="AY1562" s="471">
        <f>VLOOKUP($AW1562,'Item Master Data'!$A:$F,6,FALSE)</f>
        <v>400</v>
      </c>
      <c r="AZ1562" s="471">
        <f t="shared" si="274"/>
        <v>20</v>
      </c>
      <c r="BA1562" s="471">
        <f>VLOOKUP(AW1562,'Item Master Data'!$A:$G,7,FALSE)</f>
        <v>32</v>
      </c>
      <c r="BC1562" s="471">
        <f t="shared" si="275"/>
        <v>0</v>
      </c>
    </row>
    <row r="1563" spans="1:55" s="471" customFormat="1">
      <c r="A1563" s="472"/>
      <c r="B1563" s="514">
        <v>44616</v>
      </c>
      <c r="C1563" s="514">
        <v>44616</v>
      </c>
      <c r="D1563" s="485" t="s">
        <v>3186</v>
      </c>
      <c r="E1563" s="474"/>
      <c r="F1563" s="474"/>
      <c r="G1563" s="618">
        <v>2022</v>
      </c>
      <c r="H1563" s="618">
        <v>5</v>
      </c>
      <c r="I1563" s="619"/>
      <c r="J1563" s="620"/>
      <c r="K1563" s="621" t="s">
        <v>5323</v>
      </c>
      <c r="L1563" s="618" t="s">
        <v>2378</v>
      </c>
      <c r="M1563" s="622">
        <v>44615</v>
      </c>
      <c r="N1563" s="622">
        <v>44615</v>
      </c>
      <c r="O1563" s="622"/>
      <c r="P1563" s="620"/>
      <c r="Q1563" s="620"/>
      <c r="R1563" s="620"/>
      <c r="S1563" s="618" t="s">
        <v>2379</v>
      </c>
      <c r="T1563" s="618">
        <v>60</v>
      </c>
      <c r="U1563" s="618">
        <v>49405140</v>
      </c>
      <c r="V1563" s="618" t="s">
        <v>973</v>
      </c>
      <c r="W1563" s="618">
        <v>400</v>
      </c>
      <c r="X1563" s="623">
        <v>416</v>
      </c>
      <c r="Y1563" s="477">
        <f>X1563*W1563</f>
        <v>166400</v>
      </c>
      <c r="Z1563" s="478">
        <f>188/400</f>
        <v>0.47</v>
      </c>
      <c r="AA1563" s="479">
        <f>Z1563*Y1563</f>
        <v>78208</v>
      </c>
      <c r="AB1563" s="480"/>
      <c r="AC1563" s="481">
        <f>AB1563*Y1563</f>
        <v>0</v>
      </c>
      <c r="AD1563" s="490"/>
      <c r="AE1563" s="482"/>
      <c r="AF1563" s="493">
        <f>AA1563+AE1563</f>
        <v>78208</v>
      </c>
      <c r="AG1563" s="474" t="s">
        <v>47</v>
      </c>
      <c r="AH1563" s="474"/>
      <c r="AI1563" s="483" t="s">
        <v>2374</v>
      </c>
      <c r="AJ1563" s="474" t="s">
        <v>2419</v>
      </c>
      <c r="AK1563" s="494" t="s">
        <v>1084</v>
      </c>
      <c r="AL1563" s="474">
        <v>32583</v>
      </c>
      <c r="AM1563" s="474" t="s">
        <v>52</v>
      </c>
      <c r="AN1563" s="474" t="s">
        <v>1106</v>
      </c>
      <c r="AO1563" s="474"/>
      <c r="AP1563" s="486"/>
      <c r="AQ1563" s="486" t="s">
        <v>37</v>
      </c>
      <c r="AR1563" s="486"/>
      <c r="AS1563" s="495"/>
      <c r="AT1563" s="495"/>
      <c r="AU1563" s="478"/>
      <c r="AV1563" s="471">
        <f t="shared" si="273"/>
        <v>49405140</v>
      </c>
      <c r="AW1563" s="471" cm="1">
        <f t="array" ref="AW1563">SUM(MID(0&amp;AV1563,LARGE(INDEX(ISNUMBER(--MID(AV1563,ROW($1:$8),1))*ROW($1:$8),),ROW($1:$8))+1,1)*10^ROW($1:$8)/10)</f>
        <v>49405140</v>
      </c>
      <c r="AX1563" s="471" t="str">
        <f>VLOOKUP($AW1563,'Item Master Data'!$A:$F,3,FALSE)</f>
        <v>Q.PEAK DUO BLK ML G10+</v>
      </c>
      <c r="AY1563" s="471">
        <f>VLOOKUP($AW1563,'Item Master Data'!$A:$F,6,FALSE)</f>
        <v>400</v>
      </c>
      <c r="AZ1563" s="471">
        <f t="shared" si="274"/>
        <v>13</v>
      </c>
      <c r="BA1563" s="471">
        <f>VLOOKUP(AW1563,'Item Master Data'!$A:$G,7,FALSE)</f>
        <v>32</v>
      </c>
      <c r="BC1563" s="471">
        <f t="shared" si="275"/>
        <v>0</v>
      </c>
    </row>
    <row r="1564" spans="1:55" s="471" customFormat="1">
      <c r="A1564" s="472">
        <v>1</v>
      </c>
      <c r="B1564" s="514">
        <v>44616</v>
      </c>
      <c r="C1564" s="514">
        <v>44616</v>
      </c>
      <c r="D1564" s="485" t="s">
        <v>3186</v>
      </c>
      <c r="E1564" s="474"/>
      <c r="F1564" s="474"/>
      <c r="G1564" s="590">
        <v>2022</v>
      </c>
      <c r="H1564" s="590">
        <v>5</v>
      </c>
      <c r="I1564" s="591"/>
      <c r="J1564" s="592"/>
      <c r="K1564" s="593" t="s">
        <v>5309</v>
      </c>
      <c r="L1564" s="590" t="s">
        <v>2378</v>
      </c>
      <c r="M1564" s="594">
        <v>44615</v>
      </c>
      <c r="N1564" s="594">
        <v>44615</v>
      </c>
      <c r="O1564" s="594"/>
      <c r="P1564" s="502">
        <v>44679</v>
      </c>
      <c r="Q1564" s="592"/>
      <c r="R1564" s="592"/>
      <c r="S1564" s="590" t="s">
        <v>2379</v>
      </c>
      <c r="T1564" s="590">
        <v>60</v>
      </c>
      <c r="U1564" s="590" t="s">
        <v>1281</v>
      </c>
      <c r="V1564" s="590" t="s">
        <v>973</v>
      </c>
      <c r="W1564" s="590">
        <v>400</v>
      </c>
      <c r="X1564" s="595">
        <v>608</v>
      </c>
      <c r="Y1564" s="477">
        <f>X1564*W1564</f>
        <v>243200</v>
      </c>
      <c r="Z1564" s="478">
        <f>188/400</f>
        <v>0.47</v>
      </c>
      <c r="AA1564" s="479">
        <f>Z1564*Y1564</f>
        <v>114304</v>
      </c>
      <c r="AB1564" s="480"/>
      <c r="AC1564" s="481">
        <f>AB1564*Y1564</f>
        <v>0</v>
      </c>
      <c r="AD1564" s="490"/>
      <c r="AE1564" s="482"/>
      <c r="AF1564" s="493">
        <f>AA1564+AE1564</f>
        <v>114304</v>
      </c>
      <c r="AG1564" s="474" t="s">
        <v>47</v>
      </c>
      <c r="AH1564" s="474"/>
      <c r="AI1564" s="483" t="s">
        <v>2374</v>
      </c>
      <c r="AJ1564" s="474" t="s">
        <v>2437</v>
      </c>
      <c r="AK1564" s="494" t="s">
        <v>1084</v>
      </c>
      <c r="AL1564" s="474">
        <v>34741</v>
      </c>
      <c r="AM1564" s="474" t="s">
        <v>52</v>
      </c>
      <c r="AN1564" s="474" t="s">
        <v>1085</v>
      </c>
      <c r="AO1564" s="474"/>
      <c r="AP1564" s="486"/>
      <c r="AQ1564" s="486" t="s">
        <v>37</v>
      </c>
      <c r="AR1564" s="486"/>
      <c r="AS1564" s="495"/>
      <c r="AT1564" s="495"/>
      <c r="AU1564" s="478"/>
      <c r="AV1564" s="471" t="str">
        <f t="shared" si="273"/>
        <v>30390456H</v>
      </c>
      <c r="AW1564" s="471" cm="1">
        <f t="array" ref="AW1564">SUM(MID(0&amp;AV1564,LARGE(INDEX(ISNUMBER(--MID(AV1564,ROW($1:$8),1))*ROW($1:$8),),ROW($1:$8))+1,1)*10^ROW($1:$8)/10)</f>
        <v>30390456</v>
      </c>
      <c r="AX1564" s="471" t="str">
        <f>VLOOKUP($AW1564,'Item Master Data'!$A:$F,3,FALSE)</f>
        <v>Q.PEAK DUO BLK ML G10+</v>
      </c>
      <c r="AY1564" s="471">
        <f>VLOOKUP($AW1564,'Item Master Data'!$A:$F,6,FALSE)</f>
        <v>400</v>
      </c>
      <c r="AZ1564" s="471">
        <f t="shared" si="274"/>
        <v>19</v>
      </c>
      <c r="BA1564" s="471">
        <f>VLOOKUP(AW1564,'Item Master Data'!$A:$G,7,FALSE)</f>
        <v>32</v>
      </c>
      <c r="BC1564" s="471">
        <f t="shared" si="275"/>
        <v>0</v>
      </c>
    </row>
    <row r="1565" spans="1:55" s="471" customFormat="1">
      <c r="A1565" s="472">
        <v>2</v>
      </c>
      <c r="B1565" s="514">
        <v>44616</v>
      </c>
      <c r="C1565" s="514">
        <v>44616</v>
      </c>
      <c r="D1565" s="485" t="s">
        <v>3186</v>
      </c>
      <c r="E1565" s="474"/>
      <c r="F1565" s="474"/>
      <c r="G1565" s="590">
        <v>2022</v>
      </c>
      <c r="H1565" s="590">
        <v>5</v>
      </c>
      <c r="I1565" s="591"/>
      <c r="J1565" s="592"/>
      <c r="K1565" s="593" t="s">
        <v>5309</v>
      </c>
      <c r="L1565" s="590" t="s">
        <v>2378</v>
      </c>
      <c r="M1565" s="594">
        <v>44615</v>
      </c>
      <c r="N1565" s="594">
        <v>44615</v>
      </c>
      <c r="O1565" s="594"/>
      <c r="P1565" s="502">
        <v>44679</v>
      </c>
      <c r="Q1565" s="592"/>
      <c r="R1565" s="592"/>
      <c r="S1565" s="590" t="s">
        <v>2379</v>
      </c>
      <c r="T1565" s="590">
        <v>60</v>
      </c>
      <c r="U1565" s="590" t="s">
        <v>1281</v>
      </c>
      <c r="V1565" s="590" t="s">
        <v>973</v>
      </c>
      <c r="W1565" s="590">
        <v>400</v>
      </c>
      <c r="X1565" s="595">
        <v>416</v>
      </c>
      <c r="Y1565" s="477">
        <f>X1565*W1565</f>
        <v>166400</v>
      </c>
      <c r="Z1565" s="478">
        <f>188/400</f>
        <v>0.47</v>
      </c>
      <c r="AA1565" s="479">
        <f>Z1565*Y1565</f>
        <v>78208</v>
      </c>
      <c r="AB1565" s="480"/>
      <c r="AC1565" s="481">
        <f>AB1565*Y1565</f>
        <v>0</v>
      </c>
      <c r="AD1565" s="490"/>
      <c r="AE1565" s="482"/>
      <c r="AF1565" s="493">
        <f>AA1565+AE1565</f>
        <v>78208</v>
      </c>
      <c r="AG1565" s="474" t="s">
        <v>47</v>
      </c>
      <c r="AH1565" s="474"/>
      <c r="AI1565" s="483" t="s">
        <v>2374</v>
      </c>
      <c r="AJ1565" s="474" t="s">
        <v>2437</v>
      </c>
      <c r="AK1565" s="494" t="s">
        <v>1084</v>
      </c>
      <c r="AL1565" s="474">
        <v>34741</v>
      </c>
      <c r="AM1565" s="474" t="s">
        <v>52</v>
      </c>
      <c r="AN1565" s="474" t="s">
        <v>1085</v>
      </c>
      <c r="AO1565" s="474"/>
      <c r="AP1565" s="486"/>
      <c r="AQ1565" s="486" t="s">
        <v>37</v>
      </c>
      <c r="AR1565" s="486"/>
      <c r="AS1565" s="495"/>
      <c r="AT1565" s="495"/>
      <c r="AU1565" s="478"/>
      <c r="AV1565" s="471" t="str">
        <f t="shared" si="273"/>
        <v>30390456H</v>
      </c>
      <c r="AW1565" s="471" cm="1">
        <f t="array" ref="AW1565">SUM(MID(0&amp;AV1565,LARGE(INDEX(ISNUMBER(--MID(AV1565,ROW($1:$8),1))*ROW($1:$8),),ROW($1:$8))+1,1)*10^ROW($1:$8)/10)</f>
        <v>30390456</v>
      </c>
      <c r="AX1565" s="471" t="str">
        <f>VLOOKUP($AW1565,'Item Master Data'!$A:$F,3,FALSE)</f>
        <v>Q.PEAK DUO BLK ML G10+</v>
      </c>
      <c r="AY1565" s="471">
        <f>VLOOKUP($AW1565,'Item Master Data'!$A:$F,6,FALSE)</f>
        <v>400</v>
      </c>
      <c r="AZ1565" s="471">
        <f t="shared" si="274"/>
        <v>13</v>
      </c>
      <c r="BA1565" s="471">
        <f>VLOOKUP(AW1565,'Item Master Data'!$A:$G,7,FALSE)</f>
        <v>32</v>
      </c>
      <c r="BC1565" s="471">
        <f t="shared" si="275"/>
        <v>0</v>
      </c>
    </row>
    <row r="1566" spans="1:55" s="471" customFormat="1">
      <c r="A1566" s="472" t="s">
        <v>5648</v>
      </c>
      <c r="B1566" s="514">
        <v>44616</v>
      </c>
      <c r="C1566" s="514">
        <v>44616</v>
      </c>
      <c r="D1566" s="485" t="s">
        <v>3186</v>
      </c>
      <c r="E1566" s="474"/>
      <c r="F1566" s="474"/>
      <c r="G1566" s="590">
        <v>2022</v>
      </c>
      <c r="H1566" s="590">
        <v>5</v>
      </c>
      <c r="I1566" s="591"/>
      <c r="J1566" s="592"/>
      <c r="K1566" s="593" t="s">
        <v>5353</v>
      </c>
      <c r="L1566" s="590" t="s">
        <v>2378</v>
      </c>
      <c r="M1566" s="594">
        <v>44615</v>
      </c>
      <c r="N1566" s="594">
        <v>44615</v>
      </c>
      <c r="O1566" s="594"/>
      <c r="P1566" s="502">
        <v>44679</v>
      </c>
      <c r="Q1566" s="592"/>
      <c r="R1566" s="592"/>
      <c r="S1566" s="590" t="s">
        <v>2379</v>
      </c>
      <c r="T1566" s="590">
        <v>60</v>
      </c>
      <c r="U1566" s="590" t="s">
        <v>1281</v>
      </c>
      <c r="V1566" s="590" t="s">
        <v>973</v>
      </c>
      <c r="W1566" s="590">
        <v>400</v>
      </c>
      <c r="X1566" s="595">
        <v>832</v>
      </c>
      <c r="Y1566" s="477">
        <f>X1566*W1566</f>
        <v>332800</v>
      </c>
      <c r="Z1566" s="478">
        <f>188/400</f>
        <v>0.47</v>
      </c>
      <c r="AA1566" s="479">
        <f>Z1566*Y1566</f>
        <v>156416</v>
      </c>
      <c r="AB1566" s="480"/>
      <c r="AC1566" s="481">
        <f>AB1566*Y1566</f>
        <v>0</v>
      </c>
      <c r="AD1566" s="490"/>
      <c r="AE1566" s="482"/>
      <c r="AF1566" s="493">
        <f>AA1566+AE1566</f>
        <v>156416</v>
      </c>
      <c r="AG1566" s="474" t="s">
        <v>47</v>
      </c>
      <c r="AH1566" s="474"/>
      <c r="AI1566" s="483" t="s">
        <v>2374</v>
      </c>
      <c r="AJ1566" s="474" t="s">
        <v>1950</v>
      </c>
      <c r="AK1566" s="494" t="s">
        <v>50</v>
      </c>
      <c r="AL1566" s="474">
        <v>91764</v>
      </c>
      <c r="AM1566" s="474" t="s">
        <v>52</v>
      </c>
      <c r="AN1566" s="474" t="s">
        <v>50</v>
      </c>
      <c r="AO1566" s="474"/>
      <c r="AP1566" s="486"/>
      <c r="AQ1566" s="486" t="s">
        <v>37</v>
      </c>
      <c r="AR1566" s="486"/>
      <c r="AS1566" s="495"/>
      <c r="AT1566" s="495"/>
      <c r="AU1566" s="478"/>
      <c r="AV1566" s="471" t="str">
        <f t="shared" si="273"/>
        <v>30390456H</v>
      </c>
      <c r="AW1566" s="471" cm="1">
        <f t="array" ref="AW1566">SUM(MID(0&amp;AV1566,LARGE(INDEX(ISNUMBER(--MID(AV1566,ROW($1:$8),1))*ROW($1:$8),),ROW($1:$8))+1,1)*10^ROW($1:$8)/10)</f>
        <v>30390456</v>
      </c>
      <c r="AX1566" s="471" t="str">
        <f>VLOOKUP($AW1566,'Item Master Data'!$A:$F,3,FALSE)</f>
        <v>Q.PEAK DUO BLK ML G10+</v>
      </c>
      <c r="AY1566" s="471">
        <f>VLOOKUP($AW1566,'Item Master Data'!$A:$F,6,FALSE)</f>
        <v>400</v>
      </c>
      <c r="AZ1566" s="471">
        <f t="shared" si="274"/>
        <v>26</v>
      </c>
      <c r="BA1566" s="471">
        <f>VLOOKUP(AW1566,'Item Master Data'!$A:$G,7,FALSE)</f>
        <v>32</v>
      </c>
      <c r="BC1566" s="471">
        <f t="shared" si="275"/>
        <v>0</v>
      </c>
    </row>
    <row r="1567" spans="1:55" s="471" customFormat="1">
      <c r="A1567" s="472">
        <v>1</v>
      </c>
      <c r="B1567" s="514">
        <v>44616</v>
      </c>
      <c r="C1567" s="514">
        <v>44616</v>
      </c>
      <c r="D1567" s="485" t="s">
        <v>3186</v>
      </c>
      <c r="E1567" s="474"/>
      <c r="F1567" s="474"/>
      <c r="G1567" s="590">
        <v>2022</v>
      </c>
      <c r="H1567" s="590">
        <v>5</v>
      </c>
      <c r="I1567" s="591"/>
      <c r="J1567" s="592"/>
      <c r="K1567" s="593" t="s">
        <v>5317</v>
      </c>
      <c r="L1567" s="590" t="s">
        <v>2378</v>
      </c>
      <c r="M1567" s="594">
        <v>44615</v>
      </c>
      <c r="N1567" s="594">
        <v>44615</v>
      </c>
      <c r="O1567" s="594"/>
      <c r="P1567" s="502">
        <v>44679</v>
      </c>
      <c r="Q1567" s="592"/>
      <c r="R1567" s="592"/>
      <c r="S1567" s="590" t="s">
        <v>2379</v>
      </c>
      <c r="T1567" s="590">
        <v>60</v>
      </c>
      <c r="U1567" s="590" t="s">
        <v>1281</v>
      </c>
      <c r="V1567" s="590" t="s">
        <v>973</v>
      </c>
      <c r="W1567" s="590">
        <v>400</v>
      </c>
      <c r="X1567" s="595">
        <v>512</v>
      </c>
      <c r="Y1567" s="477">
        <f>X1567*W1567</f>
        <v>204800</v>
      </c>
      <c r="Z1567" s="478">
        <f>188/400</f>
        <v>0.47</v>
      </c>
      <c r="AA1567" s="479">
        <f>Z1567*Y1567</f>
        <v>96256</v>
      </c>
      <c r="AB1567" s="480"/>
      <c r="AC1567" s="481">
        <f>AB1567*Y1567</f>
        <v>0</v>
      </c>
      <c r="AD1567" s="490"/>
      <c r="AE1567" s="482"/>
      <c r="AF1567" s="493">
        <f>AA1567+AE1567</f>
        <v>96256</v>
      </c>
      <c r="AG1567" s="474" t="s">
        <v>47</v>
      </c>
      <c r="AH1567" s="474"/>
      <c r="AI1567" s="483" t="s">
        <v>2374</v>
      </c>
      <c r="AJ1567" s="474" t="s">
        <v>2388</v>
      </c>
      <c r="AK1567" s="494" t="s">
        <v>1375</v>
      </c>
      <c r="AL1567" s="474">
        <v>23502</v>
      </c>
      <c r="AM1567" s="474" t="s">
        <v>52</v>
      </c>
      <c r="AN1567" s="474" t="s">
        <v>1085</v>
      </c>
      <c r="AO1567" s="474"/>
      <c r="AP1567" s="486"/>
      <c r="AQ1567" s="486" t="s">
        <v>37</v>
      </c>
      <c r="AR1567" s="486"/>
      <c r="AS1567" s="495"/>
      <c r="AT1567" s="495"/>
      <c r="AU1567" s="478"/>
      <c r="AV1567" s="471" t="str">
        <f t="shared" si="273"/>
        <v>30390456H</v>
      </c>
      <c r="AW1567" s="471" cm="1">
        <f t="array" ref="AW1567">SUM(MID(0&amp;AV1567,LARGE(INDEX(ISNUMBER(--MID(AV1567,ROW($1:$8),1))*ROW($1:$8),),ROW($1:$8))+1,1)*10^ROW($1:$8)/10)</f>
        <v>30390456</v>
      </c>
      <c r="AX1567" s="471" t="str">
        <f>VLOOKUP($AW1567,'Item Master Data'!$A:$F,3,FALSE)</f>
        <v>Q.PEAK DUO BLK ML G10+</v>
      </c>
      <c r="AY1567" s="471">
        <f>VLOOKUP($AW1567,'Item Master Data'!$A:$F,6,FALSE)</f>
        <v>400</v>
      </c>
      <c r="AZ1567" s="471">
        <f t="shared" si="274"/>
        <v>16</v>
      </c>
      <c r="BA1567" s="471">
        <f>VLOOKUP(AW1567,'Item Master Data'!$A:$G,7,FALSE)</f>
        <v>32</v>
      </c>
      <c r="BC1567" s="471">
        <f t="shared" si="275"/>
        <v>0</v>
      </c>
    </row>
    <row r="1568" spans="1:55" s="471" customFormat="1">
      <c r="A1568" s="472">
        <v>2</v>
      </c>
      <c r="B1568" s="514">
        <v>44616</v>
      </c>
      <c r="C1568" s="514">
        <v>44616</v>
      </c>
      <c r="D1568" s="485" t="s">
        <v>3186</v>
      </c>
      <c r="E1568" s="474"/>
      <c r="F1568" s="474"/>
      <c r="G1568" s="590">
        <v>2022</v>
      </c>
      <c r="H1568" s="590">
        <v>5</v>
      </c>
      <c r="I1568" s="591"/>
      <c r="J1568" s="592"/>
      <c r="K1568" s="593" t="s">
        <v>5317</v>
      </c>
      <c r="L1568" s="590" t="s">
        <v>2378</v>
      </c>
      <c r="M1568" s="594">
        <v>44615</v>
      </c>
      <c r="N1568" s="594">
        <v>44615</v>
      </c>
      <c r="O1568" s="594"/>
      <c r="P1568" s="502">
        <v>44679</v>
      </c>
      <c r="Q1568" s="592"/>
      <c r="R1568" s="592"/>
      <c r="S1568" s="590" t="s">
        <v>2379</v>
      </c>
      <c r="T1568" s="590">
        <v>60</v>
      </c>
      <c r="U1568" s="590" t="s">
        <v>1281</v>
      </c>
      <c r="V1568" s="590" t="s">
        <v>973</v>
      </c>
      <c r="W1568" s="590">
        <v>400</v>
      </c>
      <c r="X1568" s="595">
        <v>672</v>
      </c>
      <c r="Y1568" s="477">
        <f>X1568*W1568</f>
        <v>268800</v>
      </c>
      <c r="Z1568" s="478">
        <f>188/400</f>
        <v>0.47</v>
      </c>
      <c r="AA1568" s="479">
        <f>Z1568*Y1568</f>
        <v>126336</v>
      </c>
      <c r="AB1568" s="480"/>
      <c r="AC1568" s="481">
        <f>AB1568*Y1568</f>
        <v>0</v>
      </c>
      <c r="AD1568" s="490"/>
      <c r="AE1568" s="482"/>
      <c r="AF1568" s="493">
        <f>AA1568+AE1568</f>
        <v>126336</v>
      </c>
      <c r="AG1568" s="474" t="s">
        <v>47</v>
      </c>
      <c r="AH1568" s="474"/>
      <c r="AI1568" s="483" t="s">
        <v>2374</v>
      </c>
      <c r="AJ1568" s="474" t="s">
        <v>2388</v>
      </c>
      <c r="AK1568" s="494" t="s">
        <v>1375</v>
      </c>
      <c r="AL1568" s="474">
        <v>23502</v>
      </c>
      <c r="AM1568" s="474" t="s">
        <v>52</v>
      </c>
      <c r="AN1568" s="474" t="s">
        <v>1085</v>
      </c>
      <c r="AO1568" s="474"/>
      <c r="AP1568" s="486"/>
      <c r="AQ1568" s="486" t="s">
        <v>37</v>
      </c>
      <c r="AR1568" s="486"/>
      <c r="AS1568" s="495"/>
      <c r="AT1568" s="495"/>
      <c r="AU1568" s="478"/>
      <c r="AV1568" s="471" t="str">
        <f t="shared" si="273"/>
        <v>30390456H</v>
      </c>
      <c r="AW1568" s="471" cm="1">
        <f t="array" ref="AW1568">SUM(MID(0&amp;AV1568,LARGE(INDEX(ISNUMBER(--MID(AV1568,ROW($1:$8),1))*ROW($1:$8),),ROW($1:$8))+1,1)*10^ROW($1:$8)/10)</f>
        <v>30390456</v>
      </c>
      <c r="AX1568" s="471" t="str">
        <f>VLOOKUP($AW1568,'Item Master Data'!$A:$F,3,FALSE)</f>
        <v>Q.PEAK DUO BLK ML G10+</v>
      </c>
      <c r="AY1568" s="471">
        <f>VLOOKUP($AW1568,'Item Master Data'!$A:$F,6,FALSE)</f>
        <v>400</v>
      </c>
      <c r="AZ1568" s="471">
        <f t="shared" si="274"/>
        <v>21</v>
      </c>
      <c r="BA1568" s="471">
        <f>VLOOKUP(AW1568,'Item Master Data'!$A:$G,7,FALSE)</f>
        <v>32</v>
      </c>
      <c r="BC1568" s="471">
        <f t="shared" si="275"/>
        <v>0</v>
      </c>
    </row>
    <row r="1569" spans="1:55" s="471" customFormat="1">
      <c r="A1569" s="472">
        <v>1</v>
      </c>
      <c r="B1569" s="514">
        <v>44616</v>
      </c>
      <c r="C1569" s="514">
        <v>44616</v>
      </c>
      <c r="D1569" s="485" t="s">
        <v>3186</v>
      </c>
      <c r="E1569" s="474"/>
      <c r="F1569" s="474"/>
      <c r="G1569" s="590">
        <v>2022</v>
      </c>
      <c r="H1569" s="590">
        <v>5</v>
      </c>
      <c r="I1569" s="591"/>
      <c r="J1569" s="592"/>
      <c r="K1569" s="593" t="s">
        <v>5341</v>
      </c>
      <c r="L1569" s="590" t="s">
        <v>2378</v>
      </c>
      <c r="M1569" s="594">
        <v>44615</v>
      </c>
      <c r="N1569" s="594">
        <v>44615</v>
      </c>
      <c r="O1569" s="594"/>
      <c r="P1569" s="502">
        <v>44679</v>
      </c>
      <c r="Q1569" s="592"/>
      <c r="R1569" s="592"/>
      <c r="S1569" s="590" t="s">
        <v>2379</v>
      </c>
      <c r="T1569" s="590">
        <v>60</v>
      </c>
      <c r="U1569" s="590" t="s">
        <v>1281</v>
      </c>
      <c r="V1569" s="590" t="s">
        <v>973</v>
      </c>
      <c r="W1569" s="590">
        <v>400</v>
      </c>
      <c r="X1569" s="595">
        <v>736</v>
      </c>
      <c r="Y1569" s="477">
        <f>X1569*W1569</f>
        <v>294400</v>
      </c>
      <c r="Z1569" s="478">
        <f>188/400</f>
        <v>0.47</v>
      </c>
      <c r="AA1569" s="479">
        <f>Z1569*Y1569</f>
        <v>138368</v>
      </c>
      <c r="AB1569" s="480"/>
      <c r="AC1569" s="481">
        <f>AB1569*Y1569</f>
        <v>0</v>
      </c>
      <c r="AD1569" s="490"/>
      <c r="AE1569" s="482"/>
      <c r="AF1569" s="493">
        <f>AA1569+AE1569</f>
        <v>138368</v>
      </c>
      <c r="AG1569" s="474" t="s">
        <v>47</v>
      </c>
      <c r="AH1569" s="474"/>
      <c r="AI1569" s="483" t="s">
        <v>2374</v>
      </c>
      <c r="AJ1569" s="474" t="s">
        <v>1132</v>
      </c>
      <c r="AK1569" s="494" t="s">
        <v>1133</v>
      </c>
      <c r="AL1569" s="474">
        <v>85210</v>
      </c>
      <c r="AM1569" s="474" t="s">
        <v>52</v>
      </c>
      <c r="AN1569" s="474" t="s">
        <v>50</v>
      </c>
      <c r="AO1569" s="474"/>
      <c r="AP1569" s="486"/>
      <c r="AQ1569" s="486" t="s">
        <v>37</v>
      </c>
      <c r="AR1569" s="486"/>
      <c r="AS1569" s="495"/>
      <c r="AT1569" s="495"/>
      <c r="AU1569" s="478"/>
      <c r="AV1569" s="471" t="str">
        <f t="shared" si="273"/>
        <v>30390456H</v>
      </c>
      <c r="AW1569" s="471" cm="1">
        <f t="array" ref="AW1569">SUM(MID(0&amp;AV1569,LARGE(INDEX(ISNUMBER(--MID(AV1569,ROW($1:$8),1))*ROW($1:$8),),ROW($1:$8))+1,1)*10^ROW($1:$8)/10)</f>
        <v>30390456</v>
      </c>
      <c r="AX1569" s="471" t="str">
        <f>VLOOKUP($AW1569,'Item Master Data'!$A:$F,3,FALSE)</f>
        <v>Q.PEAK DUO BLK ML G10+</v>
      </c>
      <c r="AY1569" s="471">
        <f>VLOOKUP($AW1569,'Item Master Data'!$A:$F,6,FALSE)</f>
        <v>400</v>
      </c>
      <c r="AZ1569" s="471">
        <f t="shared" si="274"/>
        <v>23</v>
      </c>
      <c r="BA1569" s="471">
        <f>VLOOKUP(AW1569,'Item Master Data'!$A:$G,7,FALSE)</f>
        <v>32</v>
      </c>
      <c r="BC1569" s="471">
        <f t="shared" si="275"/>
        <v>0</v>
      </c>
    </row>
    <row r="1570" spans="1:55" s="471" customFormat="1">
      <c r="A1570" s="472">
        <v>2</v>
      </c>
      <c r="B1570" s="514">
        <v>44616</v>
      </c>
      <c r="C1570" s="514">
        <v>44616</v>
      </c>
      <c r="D1570" s="485" t="s">
        <v>3186</v>
      </c>
      <c r="E1570" s="474"/>
      <c r="F1570" s="474"/>
      <c r="G1570" s="590">
        <v>2022</v>
      </c>
      <c r="H1570" s="590">
        <v>5</v>
      </c>
      <c r="I1570" s="591"/>
      <c r="J1570" s="592"/>
      <c r="K1570" s="593" t="s">
        <v>5341</v>
      </c>
      <c r="L1570" s="590" t="s">
        <v>2378</v>
      </c>
      <c r="M1570" s="594">
        <v>44615</v>
      </c>
      <c r="N1570" s="594">
        <v>44615</v>
      </c>
      <c r="O1570" s="594"/>
      <c r="P1570" s="502">
        <v>44679</v>
      </c>
      <c r="Q1570" s="592"/>
      <c r="R1570" s="592"/>
      <c r="S1570" s="590" t="s">
        <v>2379</v>
      </c>
      <c r="T1570" s="590">
        <v>60</v>
      </c>
      <c r="U1570" s="590" t="s">
        <v>1281</v>
      </c>
      <c r="V1570" s="590" t="s">
        <v>973</v>
      </c>
      <c r="W1570" s="590">
        <v>400</v>
      </c>
      <c r="X1570" s="595">
        <v>640</v>
      </c>
      <c r="Y1570" s="477">
        <f>X1570*W1570</f>
        <v>256000</v>
      </c>
      <c r="Z1570" s="478">
        <f>188/400</f>
        <v>0.47</v>
      </c>
      <c r="AA1570" s="479">
        <f>Z1570*Y1570</f>
        <v>120320</v>
      </c>
      <c r="AB1570" s="480"/>
      <c r="AC1570" s="481">
        <f>AB1570*Y1570</f>
        <v>0</v>
      </c>
      <c r="AD1570" s="490"/>
      <c r="AE1570" s="482"/>
      <c r="AF1570" s="493">
        <f>AA1570+AE1570</f>
        <v>120320</v>
      </c>
      <c r="AG1570" s="474" t="s">
        <v>47</v>
      </c>
      <c r="AH1570" s="474"/>
      <c r="AI1570" s="483" t="s">
        <v>2374</v>
      </c>
      <c r="AJ1570" s="474" t="s">
        <v>1132</v>
      </c>
      <c r="AK1570" s="494" t="s">
        <v>1133</v>
      </c>
      <c r="AL1570" s="474">
        <v>85210</v>
      </c>
      <c r="AM1570" s="474" t="s">
        <v>52</v>
      </c>
      <c r="AN1570" s="474" t="s">
        <v>50</v>
      </c>
      <c r="AO1570" s="474"/>
      <c r="AP1570" s="486"/>
      <c r="AQ1570" s="486" t="s">
        <v>37</v>
      </c>
      <c r="AR1570" s="486"/>
      <c r="AS1570" s="495"/>
      <c r="AT1570" s="495"/>
      <c r="AU1570" s="478"/>
      <c r="AV1570" s="471" t="str">
        <f t="shared" si="273"/>
        <v>30390456H</v>
      </c>
      <c r="AW1570" s="471" cm="1">
        <f t="array" ref="AW1570">SUM(MID(0&amp;AV1570,LARGE(INDEX(ISNUMBER(--MID(AV1570,ROW($1:$8),1))*ROW($1:$8),),ROW($1:$8))+1,1)*10^ROW($1:$8)/10)</f>
        <v>30390456</v>
      </c>
      <c r="AX1570" s="471" t="str">
        <f>VLOOKUP($AW1570,'Item Master Data'!$A:$F,3,FALSE)</f>
        <v>Q.PEAK DUO BLK ML G10+</v>
      </c>
      <c r="AY1570" s="471">
        <f>VLOOKUP($AW1570,'Item Master Data'!$A:$F,6,FALSE)</f>
        <v>400</v>
      </c>
      <c r="AZ1570" s="471">
        <f t="shared" si="274"/>
        <v>20</v>
      </c>
      <c r="BA1570" s="471">
        <f>VLOOKUP(AW1570,'Item Master Data'!$A:$G,7,FALSE)</f>
        <v>32</v>
      </c>
      <c r="BC1570" s="471">
        <f t="shared" si="275"/>
        <v>0</v>
      </c>
    </row>
    <row r="1571" spans="1:55" s="471" customFormat="1">
      <c r="A1571" s="472"/>
      <c r="B1571" s="514">
        <v>44616</v>
      </c>
      <c r="C1571" s="514">
        <v>44616</v>
      </c>
      <c r="D1571" s="485" t="s">
        <v>3186</v>
      </c>
      <c r="E1571" s="474"/>
      <c r="F1571" s="474"/>
      <c r="G1571" s="618">
        <v>2022</v>
      </c>
      <c r="H1571" s="618">
        <v>5</v>
      </c>
      <c r="I1571" s="619"/>
      <c r="J1571" s="620"/>
      <c r="K1571" s="621" t="s">
        <v>5326</v>
      </c>
      <c r="L1571" s="618" t="s">
        <v>2378</v>
      </c>
      <c r="M1571" s="622">
        <v>44615</v>
      </c>
      <c r="N1571" s="622">
        <v>44615</v>
      </c>
      <c r="O1571" s="622"/>
      <c r="P1571" s="620"/>
      <c r="Q1571" s="620"/>
      <c r="R1571" s="620"/>
      <c r="S1571" s="618" t="s">
        <v>2379</v>
      </c>
      <c r="T1571" s="618">
        <v>60</v>
      </c>
      <c r="U1571" s="618">
        <v>49405140</v>
      </c>
      <c r="V1571" s="618" t="s">
        <v>973</v>
      </c>
      <c r="W1571" s="618">
        <v>400</v>
      </c>
      <c r="X1571" s="623">
        <v>320</v>
      </c>
      <c r="Y1571" s="477">
        <f>X1571*W1571</f>
        <v>128000</v>
      </c>
      <c r="Z1571" s="478">
        <f>188/400</f>
        <v>0.47</v>
      </c>
      <c r="AA1571" s="479">
        <f>Z1571*Y1571</f>
        <v>60160</v>
      </c>
      <c r="AB1571" s="480"/>
      <c r="AC1571" s="481">
        <f>AB1571*Y1571</f>
        <v>0</v>
      </c>
      <c r="AD1571" s="490"/>
      <c r="AE1571" s="482"/>
      <c r="AF1571" s="493">
        <f>AA1571+AE1571</f>
        <v>60160</v>
      </c>
      <c r="AG1571" s="474" t="s">
        <v>47</v>
      </c>
      <c r="AH1571" s="474"/>
      <c r="AI1571" s="483" t="s">
        <v>2374</v>
      </c>
      <c r="AJ1571" s="474" t="s">
        <v>1083</v>
      </c>
      <c r="AK1571" s="494" t="s">
        <v>1084</v>
      </c>
      <c r="AL1571" s="474">
        <v>32205</v>
      </c>
      <c r="AM1571" s="474" t="s">
        <v>52</v>
      </c>
      <c r="AN1571" s="474" t="s">
        <v>1106</v>
      </c>
      <c r="AO1571" s="474"/>
      <c r="AP1571" s="486"/>
      <c r="AQ1571" s="486" t="s">
        <v>37</v>
      </c>
      <c r="AR1571" s="486"/>
      <c r="AS1571" s="495"/>
      <c r="AT1571" s="495"/>
      <c r="AU1571" s="478"/>
      <c r="AV1571" s="471">
        <f t="shared" si="273"/>
        <v>49405140</v>
      </c>
      <c r="AW1571" s="471" cm="1">
        <f t="array" ref="AW1571">SUM(MID(0&amp;AV1571,LARGE(INDEX(ISNUMBER(--MID(AV1571,ROW($1:$8),1))*ROW($1:$8),),ROW($1:$8))+1,1)*10^ROW($1:$8)/10)</f>
        <v>49405140</v>
      </c>
      <c r="AX1571" s="471" t="str">
        <f>VLOOKUP($AW1571,'Item Master Data'!$A:$F,3,FALSE)</f>
        <v>Q.PEAK DUO BLK ML G10+</v>
      </c>
      <c r="AY1571" s="471">
        <f>VLOOKUP($AW1571,'Item Master Data'!$A:$F,6,FALSE)</f>
        <v>400</v>
      </c>
      <c r="AZ1571" s="471">
        <f t="shared" si="274"/>
        <v>10</v>
      </c>
      <c r="BA1571" s="471">
        <f>VLOOKUP(AW1571,'Item Master Data'!$A:$G,7,FALSE)</f>
        <v>32</v>
      </c>
      <c r="BC1571" s="471">
        <f t="shared" si="275"/>
        <v>0</v>
      </c>
    </row>
    <row r="1572" spans="1:55" s="471" customFormat="1">
      <c r="A1572" s="472">
        <v>1</v>
      </c>
      <c r="B1572" s="514">
        <v>44616</v>
      </c>
      <c r="C1572" s="514">
        <v>44616</v>
      </c>
      <c r="D1572" s="485" t="s">
        <v>3186</v>
      </c>
      <c r="E1572" s="474"/>
      <c r="F1572" s="474"/>
      <c r="G1572" s="590">
        <v>2022</v>
      </c>
      <c r="H1572" s="590">
        <v>5</v>
      </c>
      <c r="I1572" s="591"/>
      <c r="J1572" s="592"/>
      <c r="K1572" s="624" t="s">
        <v>5332</v>
      </c>
      <c r="L1572" s="625" t="s">
        <v>2378</v>
      </c>
      <c r="M1572" s="626">
        <v>44615</v>
      </c>
      <c r="N1572" s="626">
        <v>44615</v>
      </c>
      <c r="O1572" s="626"/>
      <c r="P1572" s="502">
        <v>44679</v>
      </c>
      <c r="Q1572" s="627"/>
      <c r="R1572" s="627"/>
      <c r="S1572" s="625" t="s">
        <v>2379</v>
      </c>
      <c r="T1572" s="625">
        <v>60</v>
      </c>
      <c r="U1572" s="625" t="s">
        <v>1281</v>
      </c>
      <c r="V1572" s="625" t="s">
        <v>973</v>
      </c>
      <c r="W1572" s="625">
        <v>400</v>
      </c>
      <c r="X1572" s="628">
        <v>704</v>
      </c>
      <c r="Y1572" s="477">
        <f>X1572*W1572</f>
        <v>281600</v>
      </c>
      <c r="Z1572" s="478">
        <f>188/400</f>
        <v>0.47</v>
      </c>
      <c r="AA1572" s="479">
        <f>Z1572*Y1572</f>
        <v>132352</v>
      </c>
      <c r="AB1572" s="480"/>
      <c r="AC1572" s="481">
        <f>AB1572*Y1572</f>
        <v>0</v>
      </c>
      <c r="AD1572" s="490"/>
      <c r="AE1572" s="482"/>
      <c r="AF1572" s="493">
        <f>AA1572+AE1572</f>
        <v>132352</v>
      </c>
      <c r="AG1572" s="474" t="s">
        <v>47</v>
      </c>
      <c r="AH1572" s="474"/>
      <c r="AI1572" s="483" t="s">
        <v>2374</v>
      </c>
      <c r="AJ1572" s="474" t="s">
        <v>1384</v>
      </c>
      <c r="AK1572" s="494" t="s">
        <v>1144</v>
      </c>
      <c r="AL1572" s="474">
        <v>77041</v>
      </c>
      <c r="AM1572" s="474" t="s">
        <v>52</v>
      </c>
      <c r="AN1572" s="474" t="s">
        <v>50</v>
      </c>
      <c r="AO1572" s="474"/>
      <c r="AP1572" s="486"/>
      <c r="AQ1572" s="486" t="s">
        <v>37</v>
      </c>
      <c r="AR1572" s="486"/>
      <c r="AS1572" s="495"/>
      <c r="AT1572" s="495"/>
      <c r="AU1572" s="478"/>
      <c r="AV1572" s="471" t="str">
        <f t="shared" si="273"/>
        <v>30390456H</v>
      </c>
      <c r="AW1572" s="471" cm="1">
        <f t="array" ref="AW1572">SUM(MID(0&amp;AV1572,LARGE(INDEX(ISNUMBER(--MID(AV1572,ROW($1:$8),1))*ROW($1:$8),),ROW($1:$8))+1,1)*10^ROW($1:$8)/10)</f>
        <v>30390456</v>
      </c>
      <c r="AX1572" s="471" t="str">
        <f>VLOOKUP($AW1572,'Item Master Data'!$A:$F,3,FALSE)</f>
        <v>Q.PEAK DUO BLK ML G10+</v>
      </c>
      <c r="AY1572" s="471">
        <f>VLOOKUP($AW1572,'Item Master Data'!$A:$F,6,FALSE)</f>
        <v>400</v>
      </c>
      <c r="AZ1572" s="471">
        <f t="shared" si="274"/>
        <v>22</v>
      </c>
      <c r="BA1572" s="471">
        <f>VLOOKUP(AW1572,'Item Master Data'!$A:$G,7,FALSE)</f>
        <v>32</v>
      </c>
      <c r="BC1572" s="471">
        <f t="shared" si="275"/>
        <v>0</v>
      </c>
    </row>
    <row r="1573" spans="1:55" s="471" customFormat="1">
      <c r="A1573" s="472">
        <v>2</v>
      </c>
      <c r="B1573" s="514">
        <v>44616</v>
      </c>
      <c r="C1573" s="514">
        <v>44616</v>
      </c>
      <c r="D1573" s="485" t="s">
        <v>3186</v>
      </c>
      <c r="E1573" s="474"/>
      <c r="F1573" s="474"/>
      <c r="G1573" s="590">
        <v>2022</v>
      </c>
      <c r="H1573" s="590">
        <v>5</v>
      </c>
      <c r="I1573" s="591"/>
      <c r="J1573" s="592"/>
      <c r="K1573" s="624" t="s">
        <v>5332</v>
      </c>
      <c r="L1573" s="625" t="s">
        <v>2378</v>
      </c>
      <c r="M1573" s="626">
        <v>44615</v>
      </c>
      <c r="N1573" s="626">
        <v>44615</v>
      </c>
      <c r="O1573" s="626"/>
      <c r="P1573" s="502">
        <v>44679</v>
      </c>
      <c r="Q1573" s="627"/>
      <c r="R1573" s="627"/>
      <c r="S1573" s="625" t="s">
        <v>2379</v>
      </c>
      <c r="T1573" s="625">
        <v>60</v>
      </c>
      <c r="U1573" s="625" t="s">
        <v>1281</v>
      </c>
      <c r="V1573" s="625" t="s">
        <v>973</v>
      </c>
      <c r="W1573" s="625">
        <v>400</v>
      </c>
      <c r="X1573" s="628">
        <v>512</v>
      </c>
      <c r="Y1573" s="477">
        <f>X1573*W1573</f>
        <v>204800</v>
      </c>
      <c r="Z1573" s="478">
        <f>188/400</f>
        <v>0.47</v>
      </c>
      <c r="AA1573" s="479">
        <f>Z1573*Y1573</f>
        <v>96256</v>
      </c>
      <c r="AB1573" s="480"/>
      <c r="AC1573" s="481">
        <f>AB1573*Y1573</f>
        <v>0</v>
      </c>
      <c r="AD1573" s="490"/>
      <c r="AE1573" s="482"/>
      <c r="AF1573" s="493">
        <f>AA1573+AE1573</f>
        <v>96256</v>
      </c>
      <c r="AG1573" s="474" t="s">
        <v>47</v>
      </c>
      <c r="AH1573" s="474"/>
      <c r="AI1573" s="483" t="s">
        <v>2374</v>
      </c>
      <c r="AJ1573" s="474" t="s">
        <v>1384</v>
      </c>
      <c r="AK1573" s="494" t="s">
        <v>1144</v>
      </c>
      <c r="AL1573" s="474">
        <v>77041</v>
      </c>
      <c r="AM1573" s="474" t="s">
        <v>52</v>
      </c>
      <c r="AN1573" s="474" t="s">
        <v>50</v>
      </c>
      <c r="AO1573" s="474"/>
      <c r="AP1573" s="486"/>
      <c r="AQ1573" s="486" t="s">
        <v>37</v>
      </c>
      <c r="AR1573" s="486"/>
      <c r="AS1573" s="495"/>
      <c r="AT1573" s="495"/>
      <c r="AU1573" s="478"/>
      <c r="AV1573" s="471" t="str">
        <f t="shared" si="273"/>
        <v>30390456H</v>
      </c>
      <c r="AW1573" s="471" cm="1">
        <f t="array" ref="AW1573">SUM(MID(0&amp;AV1573,LARGE(INDEX(ISNUMBER(--MID(AV1573,ROW($1:$8),1))*ROW($1:$8),),ROW($1:$8))+1,1)*10^ROW($1:$8)/10)</f>
        <v>30390456</v>
      </c>
      <c r="AX1573" s="471" t="str">
        <f>VLOOKUP($AW1573,'Item Master Data'!$A:$F,3,FALSE)</f>
        <v>Q.PEAK DUO BLK ML G10+</v>
      </c>
      <c r="AY1573" s="471">
        <f>VLOOKUP($AW1573,'Item Master Data'!$A:$F,6,FALSE)</f>
        <v>400</v>
      </c>
      <c r="AZ1573" s="471">
        <f t="shared" si="274"/>
        <v>16</v>
      </c>
      <c r="BA1573" s="471">
        <f>VLOOKUP(AW1573,'Item Master Data'!$A:$G,7,FALSE)</f>
        <v>32</v>
      </c>
      <c r="BC1573" s="471">
        <f t="shared" si="275"/>
        <v>0</v>
      </c>
    </row>
    <row r="1574" spans="1:55" s="471" customFormat="1">
      <c r="A1574" s="472" t="s">
        <v>5648</v>
      </c>
      <c r="B1574" s="514">
        <v>44616</v>
      </c>
      <c r="C1574" s="514">
        <v>44616</v>
      </c>
      <c r="D1574" s="485" t="s">
        <v>3186</v>
      </c>
      <c r="E1574" s="474" t="s">
        <v>3546</v>
      </c>
      <c r="F1574" s="474"/>
      <c r="G1574" s="590">
        <v>2022</v>
      </c>
      <c r="H1574" s="590">
        <v>5</v>
      </c>
      <c r="I1574" s="591"/>
      <c r="J1574" s="592"/>
      <c r="K1574" s="624" t="s">
        <v>5319</v>
      </c>
      <c r="L1574" s="625" t="s">
        <v>2378</v>
      </c>
      <c r="M1574" s="626">
        <v>44615</v>
      </c>
      <c r="N1574" s="626">
        <v>44615</v>
      </c>
      <c r="O1574" s="626"/>
      <c r="P1574" s="502">
        <v>44679</v>
      </c>
      <c r="Q1574" s="627"/>
      <c r="R1574" s="627"/>
      <c r="S1574" s="625" t="s">
        <v>2379</v>
      </c>
      <c r="T1574" s="625">
        <v>60</v>
      </c>
      <c r="U1574" s="625" t="s">
        <v>1281</v>
      </c>
      <c r="V1574" s="625" t="s">
        <v>973</v>
      </c>
      <c r="W1574" s="625">
        <v>400</v>
      </c>
      <c r="X1574" s="628">
        <f>640+224</f>
        <v>864</v>
      </c>
      <c r="Y1574" s="477">
        <f>X1574*W1574</f>
        <v>345600</v>
      </c>
      <c r="Z1574" s="478">
        <f>188/400</f>
        <v>0.47</v>
      </c>
      <c r="AA1574" s="479">
        <f>Z1574*Y1574</f>
        <v>162432</v>
      </c>
      <c r="AB1574" s="480"/>
      <c r="AC1574" s="481">
        <f>AB1574*Y1574</f>
        <v>0</v>
      </c>
      <c r="AD1574" s="490"/>
      <c r="AE1574" s="482"/>
      <c r="AF1574" s="493">
        <f>AA1574+AE1574</f>
        <v>162432</v>
      </c>
      <c r="AG1574" s="474" t="s">
        <v>47</v>
      </c>
      <c r="AH1574" s="474"/>
      <c r="AI1574" s="483" t="s">
        <v>2374</v>
      </c>
      <c r="AJ1574" s="474" t="s">
        <v>2405</v>
      </c>
      <c r="AK1574" s="494" t="s">
        <v>2406</v>
      </c>
      <c r="AL1574" s="474">
        <v>29673</v>
      </c>
      <c r="AM1574" s="474" t="s">
        <v>52</v>
      </c>
      <c r="AN1574" s="474" t="s">
        <v>1085</v>
      </c>
      <c r="AO1574" s="474"/>
      <c r="AP1574" s="486"/>
      <c r="AQ1574" s="486" t="s">
        <v>37</v>
      </c>
      <c r="AR1574" s="486"/>
      <c r="AS1574" s="495"/>
      <c r="AT1574" s="495"/>
      <c r="AU1574" s="478"/>
      <c r="AV1574" s="471" t="str">
        <f t="shared" si="273"/>
        <v>30390456H</v>
      </c>
      <c r="AW1574" s="471" cm="1">
        <f t="array" ref="AW1574">SUM(MID(0&amp;AV1574,LARGE(INDEX(ISNUMBER(--MID(AV1574,ROW($1:$8),1))*ROW($1:$8),),ROW($1:$8))+1,1)*10^ROW($1:$8)/10)</f>
        <v>30390456</v>
      </c>
      <c r="AX1574" s="471" t="str">
        <f>VLOOKUP($AW1574,'Item Master Data'!$A:$F,3,FALSE)</f>
        <v>Q.PEAK DUO BLK ML G10+</v>
      </c>
      <c r="AY1574" s="471">
        <f>VLOOKUP($AW1574,'Item Master Data'!$A:$F,6,FALSE)</f>
        <v>400</v>
      </c>
      <c r="AZ1574" s="471">
        <f t="shared" si="274"/>
        <v>27</v>
      </c>
      <c r="BA1574" s="471">
        <f>VLOOKUP(AW1574,'Item Master Data'!$A:$G,7,FALSE)</f>
        <v>32</v>
      </c>
      <c r="BC1574" s="471">
        <f t="shared" si="275"/>
        <v>0</v>
      </c>
    </row>
    <row r="1575" spans="1:55" s="471" customFormat="1">
      <c r="A1575" s="472" t="s">
        <v>5648</v>
      </c>
      <c r="B1575" s="514">
        <v>44616</v>
      </c>
      <c r="C1575" s="514">
        <v>44616</v>
      </c>
      <c r="D1575" s="485" t="s">
        <v>3186</v>
      </c>
      <c r="E1575" s="474"/>
      <c r="F1575" s="474"/>
      <c r="G1575" s="590">
        <v>2022</v>
      </c>
      <c r="H1575" s="590">
        <v>5</v>
      </c>
      <c r="I1575" s="591"/>
      <c r="J1575" s="592"/>
      <c r="K1575" s="593" t="s">
        <v>5349</v>
      </c>
      <c r="L1575" s="590" t="s">
        <v>2378</v>
      </c>
      <c r="M1575" s="594">
        <v>44615</v>
      </c>
      <c r="N1575" s="594">
        <v>44615</v>
      </c>
      <c r="O1575" s="594"/>
      <c r="P1575" s="502">
        <v>44679</v>
      </c>
      <c r="Q1575" s="592"/>
      <c r="R1575" s="592"/>
      <c r="S1575" s="590" t="s">
        <v>2379</v>
      </c>
      <c r="T1575" s="590">
        <v>60</v>
      </c>
      <c r="U1575" s="590" t="s">
        <v>1281</v>
      </c>
      <c r="V1575" s="590" t="s">
        <v>973</v>
      </c>
      <c r="W1575" s="590">
        <v>400</v>
      </c>
      <c r="X1575" s="595">
        <f>3328-1792</f>
        <v>1536</v>
      </c>
      <c r="Y1575" s="477">
        <f>X1575*W1575</f>
        <v>614400</v>
      </c>
      <c r="Z1575" s="478">
        <f>188/400</f>
        <v>0.47</v>
      </c>
      <c r="AA1575" s="479">
        <f>Z1575*Y1575</f>
        <v>288768</v>
      </c>
      <c r="AB1575" s="480"/>
      <c r="AC1575" s="481">
        <f>AB1575*Y1575</f>
        <v>0</v>
      </c>
      <c r="AD1575" s="490"/>
      <c r="AE1575" s="482"/>
      <c r="AF1575" s="493">
        <f>AA1575+AE1575</f>
        <v>288768</v>
      </c>
      <c r="AG1575" s="474" t="s">
        <v>47</v>
      </c>
      <c r="AH1575" s="474"/>
      <c r="AI1575" s="483" t="s">
        <v>2374</v>
      </c>
      <c r="AJ1575" s="474" t="s">
        <v>2390</v>
      </c>
      <c r="AK1575" s="494" t="s">
        <v>2362</v>
      </c>
      <c r="AL1575" s="474">
        <v>80239</v>
      </c>
      <c r="AM1575" s="474" t="s">
        <v>52</v>
      </c>
      <c r="AN1575" s="474" t="s">
        <v>50</v>
      </c>
      <c r="AO1575" s="474"/>
      <c r="AP1575" s="486"/>
      <c r="AQ1575" s="486" t="s">
        <v>37</v>
      </c>
      <c r="AR1575" s="486"/>
      <c r="AS1575" s="495"/>
      <c r="AT1575" s="495"/>
      <c r="AU1575" s="478"/>
      <c r="AV1575" s="471" t="str">
        <f t="shared" si="273"/>
        <v>30390456H</v>
      </c>
      <c r="AW1575" s="471" cm="1">
        <f t="array" ref="AW1575">SUM(MID(0&amp;AV1575,LARGE(INDEX(ISNUMBER(--MID(AV1575,ROW($1:$8),1))*ROW($1:$8),),ROW($1:$8))+1,1)*10^ROW($1:$8)/10)</f>
        <v>30390456</v>
      </c>
      <c r="AX1575" s="471" t="str">
        <f>VLOOKUP($AW1575,'Item Master Data'!$A:$F,3,FALSE)</f>
        <v>Q.PEAK DUO BLK ML G10+</v>
      </c>
      <c r="AY1575" s="471">
        <f>VLOOKUP($AW1575,'Item Master Data'!$A:$F,6,FALSE)</f>
        <v>400</v>
      </c>
      <c r="AZ1575" s="471">
        <f t="shared" si="274"/>
        <v>48</v>
      </c>
      <c r="BA1575" s="471">
        <f>VLOOKUP(AW1575,'Item Master Data'!$A:$G,7,FALSE)</f>
        <v>32</v>
      </c>
      <c r="BC1575" s="471">
        <f t="shared" si="275"/>
        <v>0</v>
      </c>
    </row>
    <row r="1576" spans="1:55" s="471" customFormat="1">
      <c r="A1576" s="472" t="s">
        <v>5648</v>
      </c>
      <c r="B1576" s="514">
        <v>44616</v>
      </c>
      <c r="C1576" s="514">
        <v>44616</v>
      </c>
      <c r="D1576" s="485" t="s">
        <v>3186</v>
      </c>
      <c r="E1576" s="474"/>
      <c r="F1576" s="474"/>
      <c r="G1576" s="590">
        <v>2022</v>
      </c>
      <c r="H1576" s="590">
        <v>5</v>
      </c>
      <c r="I1576" s="591"/>
      <c r="J1576" s="592"/>
      <c r="K1576" s="593" t="s">
        <v>5330</v>
      </c>
      <c r="L1576" s="590" t="s">
        <v>2378</v>
      </c>
      <c r="M1576" s="594">
        <v>44615</v>
      </c>
      <c r="N1576" s="594">
        <v>44615</v>
      </c>
      <c r="O1576" s="594"/>
      <c r="P1576" s="502">
        <v>44679</v>
      </c>
      <c r="Q1576" s="592"/>
      <c r="R1576" s="592"/>
      <c r="S1576" s="590" t="s">
        <v>2379</v>
      </c>
      <c r="T1576" s="590">
        <v>60</v>
      </c>
      <c r="U1576" s="590" t="s">
        <v>1281</v>
      </c>
      <c r="V1576" s="590" t="s">
        <v>973</v>
      </c>
      <c r="W1576" s="590">
        <v>400</v>
      </c>
      <c r="X1576" s="595">
        <f>1664-576</f>
        <v>1088</v>
      </c>
      <c r="Y1576" s="477">
        <f>X1576*W1576</f>
        <v>435200</v>
      </c>
      <c r="Z1576" s="478">
        <f>188/400</f>
        <v>0.47</v>
      </c>
      <c r="AA1576" s="479">
        <f>Z1576*Y1576</f>
        <v>204544</v>
      </c>
      <c r="AB1576" s="480"/>
      <c r="AC1576" s="481">
        <f>AB1576*Y1576</f>
        <v>0</v>
      </c>
      <c r="AD1576" s="490"/>
      <c r="AE1576" s="482"/>
      <c r="AF1576" s="493">
        <f>AA1576+AE1576</f>
        <v>204544</v>
      </c>
      <c r="AG1576" s="474" t="s">
        <v>47</v>
      </c>
      <c r="AH1576" s="474"/>
      <c r="AI1576" s="483" t="s">
        <v>2374</v>
      </c>
      <c r="AJ1576" s="474" t="s">
        <v>2384</v>
      </c>
      <c r="AK1576" s="494" t="s">
        <v>1144</v>
      </c>
      <c r="AL1576" s="474">
        <v>75061</v>
      </c>
      <c r="AM1576" s="474" t="s">
        <v>52</v>
      </c>
      <c r="AN1576" s="474" t="s">
        <v>50</v>
      </c>
      <c r="AO1576" s="474"/>
      <c r="AP1576" s="486"/>
      <c r="AQ1576" s="486" t="s">
        <v>37</v>
      </c>
      <c r="AR1576" s="486"/>
      <c r="AS1576" s="495"/>
      <c r="AT1576" s="495"/>
      <c r="AU1576" s="478"/>
      <c r="AV1576" s="471" t="str">
        <f t="shared" si="273"/>
        <v>30390456H</v>
      </c>
      <c r="AW1576" s="471" cm="1">
        <f t="array" ref="AW1576">SUM(MID(0&amp;AV1576,LARGE(INDEX(ISNUMBER(--MID(AV1576,ROW($1:$8),1))*ROW($1:$8),),ROW($1:$8))+1,1)*10^ROW($1:$8)/10)</f>
        <v>30390456</v>
      </c>
      <c r="AX1576" s="471" t="str">
        <f>VLOOKUP($AW1576,'Item Master Data'!$A:$F,3,FALSE)</f>
        <v>Q.PEAK DUO BLK ML G10+</v>
      </c>
      <c r="AY1576" s="471">
        <f>VLOOKUP($AW1576,'Item Master Data'!$A:$F,6,FALSE)</f>
        <v>400</v>
      </c>
      <c r="AZ1576" s="471">
        <f t="shared" si="274"/>
        <v>34</v>
      </c>
      <c r="BA1576" s="471">
        <f>VLOOKUP(AW1576,'Item Master Data'!$A:$G,7,FALSE)</f>
        <v>32</v>
      </c>
      <c r="BC1576" s="471">
        <f t="shared" si="275"/>
        <v>0</v>
      </c>
    </row>
    <row r="1577" spans="1:55" s="471" customFormat="1">
      <c r="A1577" s="472" t="s">
        <v>5648</v>
      </c>
      <c r="B1577" s="514">
        <v>44616</v>
      </c>
      <c r="C1577" s="514">
        <v>44616</v>
      </c>
      <c r="D1577" s="485" t="s">
        <v>3186</v>
      </c>
      <c r="E1577" s="474"/>
      <c r="F1577" s="474"/>
      <c r="G1577" s="590">
        <v>2022</v>
      </c>
      <c r="H1577" s="590">
        <v>5</v>
      </c>
      <c r="I1577" s="591"/>
      <c r="J1577" s="592"/>
      <c r="K1577" s="624" t="s">
        <v>5311</v>
      </c>
      <c r="L1577" s="625" t="s">
        <v>2378</v>
      </c>
      <c r="M1577" s="626">
        <v>44615</v>
      </c>
      <c r="N1577" s="626">
        <v>44615</v>
      </c>
      <c r="O1577" s="626"/>
      <c r="P1577" s="502">
        <v>44679</v>
      </c>
      <c r="Q1577" s="627"/>
      <c r="R1577" s="627"/>
      <c r="S1577" s="625" t="s">
        <v>2379</v>
      </c>
      <c r="T1577" s="625">
        <v>60</v>
      </c>
      <c r="U1577" s="625" t="s">
        <v>1281</v>
      </c>
      <c r="V1577" s="625" t="s">
        <v>973</v>
      </c>
      <c r="W1577" s="625">
        <v>400</v>
      </c>
      <c r="X1577" s="628">
        <v>1728</v>
      </c>
      <c r="Y1577" s="477">
        <f>X1577*W1577</f>
        <v>691200</v>
      </c>
      <c r="Z1577" s="478">
        <f>188/400</f>
        <v>0.47</v>
      </c>
      <c r="AA1577" s="479">
        <f>Z1577*Y1577</f>
        <v>324864</v>
      </c>
      <c r="AB1577" s="480"/>
      <c r="AC1577" s="481">
        <f>AB1577*Y1577</f>
        <v>0</v>
      </c>
      <c r="AD1577" s="490"/>
      <c r="AE1577" s="482"/>
      <c r="AF1577" s="493">
        <f>AA1577+AE1577</f>
        <v>324864</v>
      </c>
      <c r="AG1577" s="474" t="s">
        <v>47</v>
      </c>
      <c r="AH1577" s="474"/>
      <c r="AI1577" s="483" t="s">
        <v>2374</v>
      </c>
      <c r="AJ1577" s="474" t="s">
        <v>1162</v>
      </c>
      <c r="AK1577" s="494" t="s">
        <v>1158</v>
      </c>
      <c r="AL1577" s="474">
        <v>28216</v>
      </c>
      <c r="AM1577" s="474" t="s">
        <v>52</v>
      </c>
      <c r="AN1577" s="474" t="s">
        <v>1085</v>
      </c>
      <c r="AO1577" s="474"/>
      <c r="AP1577" s="486"/>
      <c r="AQ1577" s="486" t="s">
        <v>37</v>
      </c>
      <c r="AR1577" s="486"/>
      <c r="AS1577" s="495"/>
      <c r="AT1577" s="495"/>
      <c r="AU1577" s="478"/>
      <c r="AV1577" s="471" t="str">
        <f t="shared" si="273"/>
        <v>30390456H</v>
      </c>
      <c r="AW1577" s="471" cm="1">
        <f t="array" ref="AW1577">SUM(MID(0&amp;AV1577,LARGE(INDEX(ISNUMBER(--MID(AV1577,ROW($1:$8),1))*ROW($1:$8),),ROW($1:$8))+1,1)*10^ROW($1:$8)/10)</f>
        <v>30390456</v>
      </c>
      <c r="AX1577" s="471" t="str">
        <f>VLOOKUP($AW1577,'Item Master Data'!$A:$F,3,FALSE)</f>
        <v>Q.PEAK DUO BLK ML G10+</v>
      </c>
      <c r="AY1577" s="471">
        <f>VLOOKUP($AW1577,'Item Master Data'!$A:$F,6,FALSE)</f>
        <v>400</v>
      </c>
      <c r="AZ1577" s="471">
        <f t="shared" si="274"/>
        <v>54</v>
      </c>
      <c r="BA1577" s="471">
        <f>VLOOKUP(AW1577,'Item Master Data'!$A:$G,7,FALSE)</f>
        <v>32</v>
      </c>
      <c r="BC1577" s="471">
        <f t="shared" si="275"/>
        <v>0</v>
      </c>
    </row>
    <row r="1578" spans="1:55" s="471" customFormat="1">
      <c r="A1578" s="472">
        <v>1</v>
      </c>
      <c r="B1578" s="514">
        <v>44616</v>
      </c>
      <c r="C1578" s="514">
        <v>44616</v>
      </c>
      <c r="D1578" s="485" t="s">
        <v>3186</v>
      </c>
      <c r="E1578" s="474"/>
      <c r="F1578" s="474"/>
      <c r="G1578" s="590">
        <v>2022</v>
      </c>
      <c r="H1578" s="590">
        <v>5</v>
      </c>
      <c r="I1578" s="591"/>
      <c r="J1578" s="592"/>
      <c r="K1578" s="593" t="s">
        <v>5321</v>
      </c>
      <c r="L1578" s="590" t="s">
        <v>2378</v>
      </c>
      <c r="M1578" s="594">
        <v>44615</v>
      </c>
      <c r="N1578" s="594">
        <v>44615</v>
      </c>
      <c r="O1578" s="594"/>
      <c r="P1578" s="502">
        <v>44679</v>
      </c>
      <c r="Q1578" s="592"/>
      <c r="R1578" s="592"/>
      <c r="S1578" s="590" t="s">
        <v>2379</v>
      </c>
      <c r="T1578" s="590">
        <v>60</v>
      </c>
      <c r="U1578" s="590" t="s">
        <v>1281</v>
      </c>
      <c r="V1578" s="590" t="s">
        <v>973</v>
      </c>
      <c r="W1578" s="590">
        <v>400</v>
      </c>
      <c r="X1578" s="595">
        <v>640</v>
      </c>
      <c r="Y1578" s="477">
        <f>X1578*W1578</f>
        <v>256000</v>
      </c>
      <c r="Z1578" s="478">
        <f>188/400</f>
        <v>0.47</v>
      </c>
      <c r="AA1578" s="479">
        <f>Z1578*Y1578</f>
        <v>120320</v>
      </c>
      <c r="AB1578" s="480"/>
      <c r="AC1578" s="481">
        <f>AB1578*Y1578</f>
        <v>0</v>
      </c>
      <c r="AD1578" s="490"/>
      <c r="AE1578" s="482"/>
      <c r="AF1578" s="493">
        <f>AA1578+AE1578</f>
        <v>120320</v>
      </c>
      <c r="AG1578" s="474" t="s">
        <v>47</v>
      </c>
      <c r="AH1578" s="474"/>
      <c r="AI1578" s="483" t="s">
        <v>2374</v>
      </c>
      <c r="AJ1578" s="474" t="s">
        <v>3459</v>
      </c>
      <c r="AK1578" s="494" t="s">
        <v>2406</v>
      </c>
      <c r="AL1578" s="474">
        <v>29420</v>
      </c>
      <c r="AM1578" s="474" t="s">
        <v>52</v>
      </c>
      <c r="AN1578" s="474" t="s">
        <v>1085</v>
      </c>
      <c r="AO1578" s="474"/>
      <c r="AP1578" s="486"/>
      <c r="AQ1578" s="486" t="s">
        <v>37</v>
      </c>
      <c r="AR1578" s="486"/>
      <c r="AS1578" s="495"/>
      <c r="AT1578" s="495"/>
      <c r="AU1578" s="478"/>
      <c r="AV1578" s="471" t="str">
        <f t="shared" si="273"/>
        <v>30390456H</v>
      </c>
      <c r="AW1578" s="471" cm="1">
        <f t="array" ref="AW1578">SUM(MID(0&amp;AV1578,LARGE(INDEX(ISNUMBER(--MID(AV1578,ROW($1:$8),1))*ROW($1:$8),),ROW($1:$8))+1,1)*10^ROW($1:$8)/10)</f>
        <v>30390456</v>
      </c>
      <c r="AX1578" s="471" t="str">
        <f>VLOOKUP($AW1578,'Item Master Data'!$A:$F,3,FALSE)</f>
        <v>Q.PEAK DUO BLK ML G10+</v>
      </c>
      <c r="AY1578" s="471">
        <f>VLOOKUP($AW1578,'Item Master Data'!$A:$F,6,FALSE)</f>
        <v>400</v>
      </c>
      <c r="AZ1578" s="471">
        <f t="shared" si="274"/>
        <v>20</v>
      </c>
      <c r="BA1578" s="471">
        <f>VLOOKUP(AW1578,'Item Master Data'!$A:$G,7,FALSE)</f>
        <v>32</v>
      </c>
      <c r="BC1578" s="471">
        <f t="shared" si="275"/>
        <v>0</v>
      </c>
    </row>
    <row r="1579" spans="1:55" s="471" customFormat="1">
      <c r="A1579" s="472">
        <v>2</v>
      </c>
      <c r="B1579" s="514">
        <v>44616</v>
      </c>
      <c r="C1579" s="514">
        <v>44616</v>
      </c>
      <c r="D1579" s="485" t="s">
        <v>3186</v>
      </c>
      <c r="E1579" s="474"/>
      <c r="F1579" s="474"/>
      <c r="G1579" s="590">
        <v>2022</v>
      </c>
      <c r="H1579" s="590">
        <v>5</v>
      </c>
      <c r="I1579" s="591"/>
      <c r="J1579" s="592"/>
      <c r="K1579" s="593" t="s">
        <v>5321</v>
      </c>
      <c r="L1579" s="590" t="s">
        <v>2378</v>
      </c>
      <c r="M1579" s="594">
        <v>44615</v>
      </c>
      <c r="N1579" s="594">
        <v>44615</v>
      </c>
      <c r="O1579" s="594"/>
      <c r="P1579" s="502">
        <v>44679</v>
      </c>
      <c r="Q1579" s="592"/>
      <c r="R1579" s="592"/>
      <c r="S1579" s="590" t="s">
        <v>2379</v>
      </c>
      <c r="T1579" s="590">
        <v>60</v>
      </c>
      <c r="U1579" s="590" t="s">
        <v>1281</v>
      </c>
      <c r="V1579" s="590" t="s">
        <v>973</v>
      </c>
      <c r="W1579" s="590">
        <v>400</v>
      </c>
      <c r="X1579" s="595">
        <v>416</v>
      </c>
      <c r="Y1579" s="477">
        <f>X1579*W1579</f>
        <v>166400</v>
      </c>
      <c r="Z1579" s="478">
        <f>188/400</f>
        <v>0.47</v>
      </c>
      <c r="AA1579" s="479">
        <f>Z1579*Y1579</f>
        <v>78208</v>
      </c>
      <c r="AB1579" s="480"/>
      <c r="AC1579" s="481">
        <f>AB1579*Y1579</f>
        <v>0</v>
      </c>
      <c r="AD1579" s="490"/>
      <c r="AE1579" s="482"/>
      <c r="AF1579" s="493">
        <f>AA1579+AE1579</f>
        <v>78208</v>
      </c>
      <c r="AG1579" s="474" t="s">
        <v>47</v>
      </c>
      <c r="AH1579" s="474"/>
      <c r="AI1579" s="483" t="s">
        <v>2374</v>
      </c>
      <c r="AJ1579" s="474" t="s">
        <v>3459</v>
      </c>
      <c r="AK1579" s="494" t="s">
        <v>2406</v>
      </c>
      <c r="AL1579" s="474">
        <v>29420</v>
      </c>
      <c r="AM1579" s="474" t="s">
        <v>52</v>
      </c>
      <c r="AN1579" s="474" t="s">
        <v>1085</v>
      </c>
      <c r="AO1579" s="474"/>
      <c r="AP1579" s="486"/>
      <c r="AQ1579" s="486" t="s">
        <v>37</v>
      </c>
      <c r="AR1579" s="486"/>
      <c r="AS1579" s="495"/>
      <c r="AT1579" s="495"/>
      <c r="AU1579" s="478"/>
      <c r="AV1579" s="471" t="str">
        <f t="shared" si="273"/>
        <v>30390456H</v>
      </c>
      <c r="AW1579" s="471" cm="1">
        <f t="array" ref="AW1579">SUM(MID(0&amp;AV1579,LARGE(INDEX(ISNUMBER(--MID(AV1579,ROW($1:$8),1))*ROW($1:$8),),ROW($1:$8))+1,1)*10^ROW($1:$8)/10)</f>
        <v>30390456</v>
      </c>
      <c r="AX1579" s="471" t="str">
        <f>VLOOKUP($AW1579,'Item Master Data'!$A:$F,3,FALSE)</f>
        <v>Q.PEAK DUO BLK ML G10+</v>
      </c>
      <c r="AY1579" s="471">
        <f>VLOOKUP($AW1579,'Item Master Data'!$A:$F,6,FALSE)</f>
        <v>400</v>
      </c>
      <c r="AZ1579" s="471">
        <f t="shared" si="274"/>
        <v>13</v>
      </c>
      <c r="BA1579" s="471">
        <f>VLOOKUP(AW1579,'Item Master Data'!$A:$G,7,FALSE)</f>
        <v>32</v>
      </c>
      <c r="BC1579" s="471">
        <f t="shared" si="275"/>
        <v>0</v>
      </c>
    </row>
    <row r="1580" spans="1:55" s="471" customFormat="1">
      <c r="A1580" s="472"/>
      <c r="B1580" s="514">
        <v>44616</v>
      </c>
      <c r="C1580" s="514">
        <v>44616</v>
      </c>
      <c r="D1580" s="485" t="s">
        <v>3186</v>
      </c>
      <c r="E1580" s="474"/>
      <c r="F1580" s="474"/>
      <c r="G1580" s="474">
        <v>2022</v>
      </c>
      <c r="H1580" s="474">
        <v>5</v>
      </c>
      <c r="I1580" s="485"/>
      <c r="J1580" s="475"/>
      <c r="K1580" s="483" t="s">
        <v>5336</v>
      </c>
      <c r="L1580" s="474" t="s">
        <v>2378</v>
      </c>
      <c r="M1580" s="487">
        <v>44615</v>
      </c>
      <c r="N1580" s="487">
        <v>44615</v>
      </c>
      <c r="O1580" s="487"/>
      <c r="P1580" s="475"/>
      <c r="Q1580" s="475"/>
      <c r="R1580" s="475"/>
      <c r="S1580" s="474" t="s">
        <v>2379</v>
      </c>
      <c r="T1580" s="474">
        <v>60</v>
      </c>
      <c r="U1580" s="474">
        <v>49401140</v>
      </c>
      <c r="V1580" s="474" t="s">
        <v>973</v>
      </c>
      <c r="W1580" s="474">
        <v>400</v>
      </c>
      <c r="X1580" s="476">
        <v>832</v>
      </c>
      <c r="Y1580" s="477">
        <f>X1580*W1580</f>
        <v>332800</v>
      </c>
      <c r="Z1580" s="478">
        <f>188/400</f>
        <v>0.47</v>
      </c>
      <c r="AA1580" s="479">
        <f>Z1580*Y1580</f>
        <v>156416</v>
      </c>
      <c r="AB1580" s="480"/>
      <c r="AC1580" s="481">
        <f>AB1580*Y1580</f>
        <v>0</v>
      </c>
      <c r="AD1580" s="490"/>
      <c r="AE1580" s="482"/>
      <c r="AF1580" s="493">
        <f>AA1580+AE1580</f>
        <v>156416</v>
      </c>
      <c r="AG1580" s="474" t="s">
        <v>47</v>
      </c>
      <c r="AH1580" s="474"/>
      <c r="AI1580" s="483" t="s">
        <v>2374</v>
      </c>
      <c r="AJ1580" s="474" t="s">
        <v>2402</v>
      </c>
      <c r="AK1580" s="494" t="s">
        <v>1144</v>
      </c>
      <c r="AL1580" s="474">
        <v>78610</v>
      </c>
      <c r="AM1580" s="474" t="s">
        <v>52</v>
      </c>
      <c r="AN1580" s="474" t="s">
        <v>1106</v>
      </c>
      <c r="AO1580" s="474"/>
      <c r="AP1580" s="486"/>
      <c r="AQ1580" s="486" t="s">
        <v>37</v>
      </c>
      <c r="AR1580" s="486"/>
      <c r="AS1580" s="495"/>
      <c r="AT1580" s="495"/>
      <c r="AU1580" s="478"/>
      <c r="AV1580" s="471">
        <f t="shared" si="273"/>
        <v>49401140</v>
      </c>
      <c r="AW1580" s="471" cm="1">
        <f t="array" ref="AW1580">SUM(MID(0&amp;AV1580,LARGE(INDEX(ISNUMBER(--MID(AV1580,ROW($1:$8),1))*ROW($1:$8),),ROW($1:$8))+1,1)*10^ROW($1:$8)/10)</f>
        <v>49401140</v>
      </c>
      <c r="AX1580" s="471" t="str">
        <f>VLOOKUP($AW1580,'Item Master Data'!$A:$F,3,FALSE)</f>
        <v>Q.PEAK DUO BLK ML G10.a+</v>
      </c>
      <c r="AY1580" s="471">
        <f>VLOOKUP($AW1580,'Item Master Data'!$A:$F,6,FALSE)</f>
        <v>400</v>
      </c>
      <c r="AZ1580" s="471">
        <f t="shared" si="274"/>
        <v>26</v>
      </c>
      <c r="BA1580" s="471">
        <f>VLOOKUP(AW1580,'Item Master Data'!$A:$G,7,FALSE)</f>
        <v>32</v>
      </c>
      <c r="BC1580" s="471">
        <f t="shared" si="275"/>
        <v>0</v>
      </c>
    </row>
    <row r="1581" spans="1:55" s="471" customFormat="1">
      <c r="A1581" s="472" t="s">
        <v>5648</v>
      </c>
      <c r="B1581" s="514">
        <v>44616</v>
      </c>
      <c r="C1581" s="514">
        <v>44616</v>
      </c>
      <c r="D1581" s="485" t="s">
        <v>3186</v>
      </c>
      <c r="E1581" s="474"/>
      <c r="F1581" s="474"/>
      <c r="G1581" s="590">
        <v>2022</v>
      </c>
      <c r="H1581" s="590">
        <v>5</v>
      </c>
      <c r="I1581" s="591"/>
      <c r="J1581" s="592"/>
      <c r="K1581" s="593" t="s">
        <v>5315</v>
      </c>
      <c r="L1581" s="590" t="s">
        <v>2378</v>
      </c>
      <c r="M1581" s="594">
        <v>44615</v>
      </c>
      <c r="N1581" s="594">
        <v>44615</v>
      </c>
      <c r="O1581" s="594"/>
      <c r="P1581" s="502">
        <v>44679</v>
      </c>
      <c r="Q1581" s="592"/>
      <c r="R1581" s="592"/>
      <c r="S1581" s="590" t="s">
        <v>2379</v>
      </c>
      <c r="T1581" s="590">
        <v>60</v>
      </c>
      <c r="U1581" s="590" t="s">
        <v>1281</v>
      </c>
      <c r="V1581" s="590" t="s">
        <v>973</v>
      </c>
      <c r="W1581" s="590">
        <v>400</v>
      </c>
      <c r="X1581" s="595">
        <v>832</v>
      </c>
      <c r="Y1581" s="477">
        <f>X1581*W1581</f>
        <v>332800</v>
      </c>
      <c r="Z1581" s="478">
        <f>188/400</f>
        <v>0.47</v>
      </c>
      <c r="AA1581" s="479">
        <f>Z1581*Y1581</f>
        <v>156416</v>
      </c>
      <c r="AB1581" s="480"/>
      <c r="AC1581" s="481">
        <f>AB1581*Y1581</f>
        <v>0</v>
      </c>
      <c r="AD1581" s="490"/>
      <c r="AE1581" s="482"/>
      <c r="AF1581" s="493">
        <f>AA1581+AE1581</f>
        <v>156416</v>
      </c>
      <c r="AG1581" s="474" t="s">
        <v>47</v>
      </c>
      <c r="AH1581" s="474"/>
      <c r="AI1581" s="483" t="s">
        <v>2374</v>
      </c>
      <c r="AJ1581" s="474" t="s">
        <v>2400</v>
      </c>
      <c r="AK1581" s="494" t="s">
        <v>1074</v>
      </c>
      <c r="AL1581" s="474">
        <v>30360</v>
      </c>
      <c r="AM1581" s="474" t="s">
        <v>52</v>
      </c>
      <c r="AN1581" s="474" t="s">
        <v>50</v>
      </c>
      <c r="AO1581" s="474"/>
      <c r="AP1581" s="486"/>
      <c r="AQ1581" s="486" t="s">
        <v>37</v>
      </c>
      <c r="AR1581" s="486"/>
      <c r="AS1581" s="495"/>
      <c r="AT1581" s="495"/>
      <c r="AU1581" s="478"/>
      <c r="AV1581" s="471" t="str">
        <f t="shared" si="273"/>
        <v>30390456H</v>
      </c>
      <c r="AW1581" s="471" cm="1">
        <f t="array" ref="AW1581">SUM(MID(0&amp;AV1581,LARGE(INDEX(ISNUMBER(--MID(AV1581,ROW($1:$8),1))*ROW($1:$8),),ROW($1:$8))+1,1)*10^ROW($1:$8)/10)</f>
        <v>30390456</v>
      </c>
      <c r="AX1581" s="471" t="str">
        <f>VLOOKUP($AW1581,'Item Master Data'!$A:$F,3,FALSE)</f>
        <v>Q.PEAK DUO BLK ML G10+</v>
      </c>
      <c r="AY1581" s="471">
        <f>VLOOKUP($AW1581,'Item Master Data'!$A:$F,6,FALSE)</f>
        <v>400</v>
      </c>
      <c r="AZ1581" s="471">
        <f t="shared" si="274"/>
        <v>26</v>
      </c>
      <c r="BA1581" s="471">
        <f>VLOOKUP(AW1581,'Item Master Data'!$A:$G,7,FALSE)</f>
        <v>32</v>
      </c>
      <c r="BC1581" s="471">
        <f t="shared" si="275"/>
        <v>0</v>
      </c>
    </row>
    <row r="1582" spans="1:55" s="471" customFormat="1">
      <c r="A1582" s="472">
        <v>1</v>
      </c>
      <c r="B1582" s="514">
        <v>44616</v>
      </c>
      <c r="C1582" s="514">
        <v>44616</v>
      </c>
      <c r="D1582" s="485" t="s">
        <v>3186</v>
      </c>
      <c r="E1582" s="474"/>
      <c r="F1582" s="474"/>
      <c r="G1582" s="590">
        <v>2022</v>
      </c>
      <c r="H1582" s="590">
        <v>5</v>
      </c>
      <c r="I1582" s="591"/>
      <c r="J1582" s="592"/>
      <c r="K1582" s="593" t="s">
        <v>5351</v>
      </c>
      <c r="L1582" s="590" t="s">
        <v>2378</v>
      </c>
      <c r="M1582" s="594">
        <v>44615</v>
      </c>
      <c r="N1582" s="594">
        <v>44615</v>
      </c>
      <c r="O1582" s="594"/>
      <c r="P1582" s="502">
        <v>44679</v>
      </c>
      <c r="Q1582" s="592"/>
      <c r="R1582" s="592"/>
      <c r="S1582" s="590" t="s">
        <v>2379</v>
      </c>
      <c r="T1582" s="590">
        <v>60</v>
      </c>
      <c r="U1582" s="590" t="s">
        <v>1281</v>
      </c>
      <c r="V1582" s="590" t="s">
        <v>973</v>
      </c>
      <c r="W1582" s="590">
        <v>400</v>
      </c>
      <c r="X1582" s="595">
        <v>416</v>
      </c>
      <c r="Y1582" s="477">
        <f>X1582*W1582</f>
        <v>166400</v>
      </c>
      <c r="Z1582" s="478">
        <f>188/400</f>
        <v>0.47</v>
      </c>
      <c r="AA1582" s="479">
        <f>Z1582*Y1582</f>
        <v>78208</v>
      </c>
      <c r="AB1582" s="480"/>
      <c r="AC1582" s="481">
        <f>AB1582*Y1582</f>
        <v>0</v>
      </c>
      <c r="AD1582" s="490"/>
      <c r="AE1582" s="482"/>
      <c r="AF1582" s="493">
        <f>AA1582+AE1582</f>
        <v>78208</v>
      </c>
      <c r="AG1582" s="474" t="s">
        <v>47</v>
      </c>
      <c r="AH1582" s="474"/>
      <c r="AI1582" s="483" t="s">
        <v>2374</v>
      </c>
      <c r="AJ1582" s="474" t="s">
        <v>2380</v>
      </c>
      <c r="AK1582" s="494" t="s">
        <v>2381</v>
      </c>
      <c r="AL1582" s="474">
        <v>87107</v>
      </c>
      <c r="AM1582" s="474" t="s">
        <v>52</v>
      </c>
      <c r="AN1582" s="474" t="s">
        <v>50</v>
      </c>
      <c r="AO1582" s="474"/>
      <c r="AP1582" s="486"/>
      <c r="AQ1582" s="486" t="s">
        <v>37</v>
      </c>
      <c r="AR1582" s="486"/>
      <c r="AS1582" s="495"/>
      <c r="AT1582" s="495"/>
      <c r="AU1582" s="478"/>
      <c r="AV1582" s="471" t="str">
        <f t="shared" si="273"/>
        <v>30390456H</v>
      </c>
      <c r="AW1582" s="471" cm="1">
        <f t="array" ref="AW1582">SUM(MID(0&amp;AV1582,LARGE(INDEX(ISNUMBER(--MID(AV1582,ROW($1:$8),1))*ROW($1:$8),),ROW($1:$8))+1,1)*10^ROW($1:$8)/10)</f>
        <v>30390456</v>
      </c>
      <c r="AX1582" s="471" t="str">
        <f>VLOOKUP($AW1582,'Item Master Data'!$A:$F,3,FALSE)</f>
        <v>Q.PEAK DUO BLK ML G10+</v>
      </c>
      <c r="AY1582" s="471">
        <f>VLOOKUP($AW1582,'Item Master Data'!$A:$F,6,FALSE)</f>
        <v>400</v>
      </c>
      <c r="AZ1582" s="471">
        <f t="shared" si="274"/>
        <v>13</v>
      </c>
      <c r="BA1582" s="471">
        <f>VLOOKUP(AW1582,'Item Master Data'!$A:$G,7,FALSE)</f>
        <v>32</v>
      </c>
      <c r="BC1582" s="471">
        <f t="shared" si="275"/>
        <v>0</v>
      </c>
    </row>
    <row r="1583" spans="1:55" s="471" customFormat="1">
      <c r="A1583" s="472"/>
      <c r="B1583" s="514">
        <v>44616</v>
      </c>
      <c r="C1583" s="514">
        <v>44616</v>
      </c>
      <c r="D1583" s="485" t="s">
        <v>3186</v>
      </c>
      <c r="E1583" s="474"/>
      <c r="F1583" s="474"/>
      <c r="G1583" s="474">
        <v>2022</v>
      </c>
      <c r="H1583" s="474">
        <v>5</v>
      </c>
      <c r="I1583" s="485"/>
      <c r="J1583" s="475"/>
      <c r="K1583" s="483" t="s">
        <v>5351</v>
      </c>
      <c r="L1583" s="474" t="s">
        <v>2378</v>
      </c>
      <c r="M1583" s="487">
        <v>44615</v>
      </c>
      <c r="N1583" s="487">
        <v>44615</v>
      </c>
      <c r="O1583" s="487"/>
      <c r="P1583" s="475"/>
      <c r="Q1583" s="475"/>
      <c r="R1583" s="475"/>
      <c r="S1583" s="474" t="s">
        <v>2379</v>
      </c>
      <c r="T1583" s="474">
        <v>60</v>
      </c>
      <c r="U1583" s="474">
        <v>49401140</v>
      </c>
      <c r="V1583" s="474" t="s">
        <v>973</v>
      </c>
      <c r="W1583" s="474">
        <v>400</v>
      </c>
      <c r="X1583" s="476">
        <v>416</v>
      </c>
      <c r="Y1583" s="477">
        <f>X1583*W1583</f>
        <v>166400</v>
      </c>
      <c r="Z1583" s="478">
        <f>188/400</f>
        <v>0.47</v>
      </c>
      <c r="AA1583" s="479">
        <f>Z1583*Y1583</f>
        <v>78208</v>
      </c>
      <c r="AB1583" s="480"/>
      <c r="AC1583" s="481">
        <f>AB1583*Y1583</f>
        <v>0</v>
      </c>
      <c r="AD1583" s="490"/>
      <c r="AE1583" s="482"/>
      <c r="AF1583" s="493">
        <f>AA1583+AE1583</f>
        <v>78208</v>
      </c>
      <c r="AG1583" s="474" t="s">
        <v>47</v>
      </c>
      <c r="AH1583" s="474"/>
      <c r="AI1583" s="483" t="s">
        <v>2374</v>
      </c>
      <c r="AJ1583" s="474" t="s">
        <v>2380</v>
      </c>
      <c r="AK1583" s="494" t="s">
        <v>2381</v>
      </c>
      <c r="AL1583" s="474">
        <v>87107</v>
      </c>
      <c r="AM1583" s="474" t="s">
        <v>52</v>
      </c>
      <c r="AN1583" s="474" t="s">
        <v>1106</v>
      </c>
      <c r="AO1583" s="474"/>
      <c r="AP1583" s="486"/>
      <c r="AQ1583" s="486" t="s">
        <v>37</v>
      </c>
      <c r="AR1583" s="486"/>
      <c r="AS1583" s="495"/>
      <c r="AT1583" s="495"/>
      <c r="AU1583" s="478"/>
      <c r="AV1583" s="471">
        <f t="shared" si="273"/>
        <v>49401140</v>
      </c>
      <c r="AW1583" s="471" cm="1">
        <f t="array" ref="AW1583">SUM(MID(0&amp;AV1583,LARGE(INDEX(ISNUMBER(--MID(AV1583,ROW($1:$8),1))*ROW($1:$8),),ROW($1:$8))+1,1)*10^ROW($1:$8)/10)</f>
        <v>49401140</v>
      </c>
      <c r="AX1583" s="471" t="str">
        <f>VLOOKUP($AW1583,'Item Master Data'!$A:$F,3,FALSE)</f>
        <v>Q.PEAK DUO BLK ML G10.a+</v>
      </c>
      <c r="AY1583" s="471">
        <f>VLOOKUP($AW1583,'Item Master Data'!$A:$F,6,FALSE)</f>
        <v>400</v>
      </c>
      <c r="AZ1583" s="471">
        <f t="shared" si="274"/>
        <v>13</v>
      </c>
      <c r="BA1583" s="471">
        <f>VLOOKUP(AW1583,'Item Master Data'!$A:$G,7,FALSE)</f>
        <v>32</v>
      </c>
      <c r="BC1583" s="471">
        <f t="shared" si="275"/>
        <v>0</v>
      </c>
    </row>
    <row r="1584" spans="1:55" s="471" customFormat="1">
      <c r="A1584" s="472">
        <v>2</v>
      </c>
      <c r="B1584" s="514">
        <v>44616</v>
      </c>
      <c r="C1584" s="514">
        <v>44616</v>
      </c>
      <c r="D1584" s="485" t="s">
        <v>3186</v>
      </c>
      <c r="E1584" s="474"/>
      <c r="F1584" s="474"/>
      <c r="G1584" s="590">
        <v>2022</v>
      </c>
      <c r="H1584" s="590">
        <v>5</v>
      </c>
      <c r="I1584" s="591"/>
      <c r="J1584" s="592"/>
      <c r="K1584" s="593" t="s">
        <v>5363</v>
      </c>
      <c r="L1584" s="590" t="s">
        <v>2378</v>
      </c>
      <c r="M1584" s="594">
        <v>44615</v>
      </c>
      <c r="N1584" s="594">
        <v>44615</v>
      </c>
      <c r="O1584" s="594"/>
      <c r="P1584" s="502">
        <v>44679</v>
      </c>
      <c r="Q1584" s="592"/>
      <c r="R1584" s="592"/>
      <c r="S1584" s="590" t="s">
        <v>2379</v>
      </c>
      <c r="T1584" s="590">
        <v>60</v>
      </c>
      <c r="U1584" s="590" t="s">
        <v>1281</v>
      </c>
      <c r="V1584" s="590" t="s">
        <v>973</v>
      </c>
      <c r="W1584" s="590">
        <v>400</v>
      </c>
      <c r="X1584" s="595">
        <v>320</v>
      </c>
      <c r="Y1584" s="477">
        <f>X1584*W1584</f>
        <v>128000</v>
      </c>
      <c r="Z1584" s="478">
        <f>188/400</f>
        <v>0.47</v>
      </c>
      <c r="AA1584" s="479">
        <f>Z1584*Y1584</f>
        <v>60160</v>
      </c>
      <c r="AB1584" s="480"/>
      <c r="AC1584" s="481">
        <f>AB1584*Y1584</f>
        <v>0</v>
      </c>
      <c r="AD1584" s="490"/>
      <c r="AE1584" s="482"/>
      <c r="AF1584" s="493">
        <f>AA1584+AE1584</f>
        <v>60160</v>
      </c>
      <c r="AG1584" s="474" t="s">
        <v>47</v>
      </c>
      <c r="AH1584" s="474"/>
      <c r="AI1584" s="483" t="s">
        <v>2374</v>
      </c>
      <c r="AJ1584" s="474" t="s">
        <v>1394</v>
      </c>
      <c r="AK1584" s="494" t="s">
        <v>1395</v>
      </c>
      <c r="AL1584" s="474">
        <v>89431</v>
      </c>
      <c r="AM1584" s="474" t="s">
        <v>52</v>
      </c>
      <c r="AN1584" s="474" t="s">
        <v>50</v>
      </c>
      <c r="AO1584" s="474"/>
      <c r="AP1584" s="486"/>
      <c r="AQ1584" s="486" t="s">
        <v>37</v>
      </c>
      <c r="AR1584" s="486"/>
      <c r="AS1584" s="495"/>
      <c r="AT1584" s="495"/>
      <c r="AU1584" s="478"/>
      <c r="AV1584" s="471" t="str">
        <f t="shared" si="273"/>
        <v>30390456H</v>
      </c>
      <c r="AW1584" s="471" cm="1">
        <f t="array" ref="AW1584">SUM(MID(0&amp;AV1584,LARGE(INDEX(ISNUMBER(--MID(AV1584,ROW($1:$8),1))*ROW($1:$8),),ROW($1:$8))+1,1)*10^ROW($1:$8)/10)</f>
        <v>30390456</v>
      </c>
      <c r="AX1584" s="471" t="str">
        <f>VLOOKUP($AW1584,'Item Master Data'!$A:$F,3,FALSE)</f>
        <v>Q.PEAK DUO BLK ML G10+</v>
      </c>
      <c r="AY1584" s="471">
        <f>VLOOKUP($AW1584,'Item Master Data'!$A:$F,6,FALSE)</f>
        <v>400</v>
      </c>
      <c r="AZ1584" s="471">
        <f t="shared" si="274"/>
        <v>10</v>
      </c>
      <c r="BA1584" s="471">
        <f>VLOOKUP(AW1584,'Item Master Data'!$A:$G,7,FALSE)</f>
        <v>32</v>
      </c>
      <c r="BC1584" s="471">
        <f t="shared" si="275"/>
        <v>0</v>
      </c>
    </row>
    <row r="1585" spans="1:55" s="471" customFormat="1">
      <c r="A1585" s="472"/>
      <c r="B1585" s="514">
        <v>44616</v>
      </c>
      <c r="C1585" s="514">
        <v>44616</v>
      </c>
      <c r="D1585" s="485" t="s">
        <v>3186</v>
      </c>
      <c r="E1585" s="474"/>
      <c r="F1585" s="474"/>
      <c r="G1585" s="618">
        <v>2022</v>
      </c>
      <c r="H1585" s="618">
        <v>5</v>
      </c>
      <c r="I1585" s="619"/>
      <c r="J1585" s="620"/>
      <c r="K1585" s="621" t="s">
        <v>5325</v>
      </c>
      <c r="L1585" s="618" t="s">
        <v>2378</v>
      </c>
      <c r="M1585" s="622">
        <v>44615</v>
      </c>
      <c r="N1585" s="622">
        <v>44615</v>
      </c>
      <c r="O1585" s="622"/>
      <c r="P1585" s="620"/>
      <c r="Q1585" s="620"/>
      <c r="R1585" s="620"/>
      <c r="S1585" s="618" t="s">
        <v>2379</v>
      </c>
      <c r="T1585" s="618">
        <v>60</v>
      </c>
      <c r="U1585" s="618">
        <v>49405140</v>
      </c>
      <c r="V1585" s="618" t="s">
        <v>973</v>
      </c>
      <c r="W1585" s="618">
        <v>400</v>
      </c>
      <c r="X1585" s="623">
        <v>640</v>
      </c>
      <c r="Y1585" s="477">
        <f>X1585*W1585</f>
        <v>256000</v>
      </c>
      <c r="Z1585" s="478">
        <f>188/400</f>
        <v>0.47</v>
      </c>
      <c r="AA1585" s="479">
        <f>Z1585*Y1585</f>
        <v>120320</v>
      </c>
      <c r="AB1585" s="480"/>
      <c r="AC1585" s="481">
        <f>AB1585*Y1585</f>
        <v>0</v>
      </c>
      <c r="AD1585" s="490"/>
      <c r="AE1585" s="482"/>
      <c r="AF1585" s="493">
        <f>AA1585+AE1585</f>
        <v>120320</v>
      </c>
      <c r="AG1585" s="474" t="s">
        <v>47</v>
      </c>
      <c r="AH1585" s="474"/>
      <c r="AI1585" s="483" t="s">
        <v>2374</v>
      </c>
      <c r="AJ1585" s="474" t="s">
        <v>3553</v>
      </c>
      <c r="AK1585" s="494" t="s">
        <v>1084</v>
      </c>
      <c r="AL1585" s="474">
        <v>33166</v>
      </c>
      <c r="AM1585" s="474" t="s">
        <v>52</v>
      </c>
      <c r="AN1585" s="474" t="s">
        <v>1106</v>
      </c>
      <c r="AO1585" s="474"/>
      <c r="AP1585" s="486"/>
      <c r="AQ1585" s="486" t="s">
        <v>37</v>
      </c>
      <c r="AR1585" s="486"/>
      <c r="AS1585" s="495"/>
      <c r="AT1585" s="495"/>
      <c r="AU1585" s="478"/>
      <c r="AV1585" s="471">
        <f t="shared" si="273"/>
        <v>49405140</v>
      </c>
      <c r="AW1585" s="471" cm="1">
        <f t="array" ref="AW1585">SUM(MID(0&amp;AV1585,LARGE(INDEX(ISNUMBER(--MID(AV1585,ROW($1:$8),1))*ROW($1:$8),),ROW($1:$8))+1,1)*10^ROW($1:$8)/10)</f>
        <v>49405140</v>
      </c>
      <c r="AX1585" s="471" t="str">
        <f>VLOOKUP($AW1585,'Item Master Data'!$A:$F,3,FALSE)</f>
        <v>Q.PEAK DUO BLK ML G10+</v>
      </c>
      <c r="AY1585" s="471">
        <f>VLOOKUP($AW1585,'Item Master Data'!$A:$F,6,FALSE)</f>
        <v>400</v>
      </c>
      <c r="AZ1585" s="471">
        <f t="shared" si="274"/>
        <v>20</v>
      </c>
      <c r="BA1585" s="471">
        <f>VLOOKUP(AW1585,'Item Master Data'!$A:$G,7,FALSE)</f>
        <v>32</v>
      </c>
      <c r="BC1585" s="471">
        <f t="shared" si="275"/>
        <v>0</v>
      </c>
    </row>
    <row r="1586" spans="1:55" s="471" customFormat="1">
      <c r="A1586" s="472"/>
      <c r="B1586" s="514">
        <v>44616</v>
      </c>
      <c r="C1586" s="514">
        <v>44616</v>
      </c>
      <c r="D1586" s="485" t="s">
        <v>3186</v>
      </c>
      <c r="E1586" s="474"/>
      <c r="F1586" s="474"/>
      <c r="G1586" s="618">
        <v>2022</v>
      </c>
      <c r="H1586" s="618">
        <v>5</v>
      </c>
      <c r="I1586" s="619"/>
      <c r="J1586" s="620"/>
      <c r="K1586" s="621" t="s">
        <v>5339</v>
      </c>
      <c r="L1586" s="618" t="s">
        <v>2378</v>
      </c>
      <c r="M1586" s="622">
        <v>44615</v>
      </c>
      <c r="N1586" s="622">
        <v>44615</v>
      </c>
      <c r="O1586" s="622"/>
      <c r="P1586" s="620"/>
      <c r="Q1586" s="620"/>
      <c r="R1586" s="620"/>
      <c r="S1586" s="618" t="s">
        <v>2379</v>
      </c>
      <c r="T1586" s="618">
        <v>60</v>
      </c>
      <c r="U1586" s="618">
        <v>49405140</v>
      </c>
      <c r="V1586" s="618" t="s">
        <v>973</v>
      </c>
      <c r="W1586" s="618">
        <v>400</v>
      </c>
      <c r="X1586" s="623">
        <v>416</v>
      </c>
      <c r="Y1586" s="477">
        <f>X1586*W1586</f>
        <v>166400</v>
      </c>
      <c r="Z1586" s="478">
        <f>188/400</f>
        <v>0.47</v>
      </c>
      <c r="AA1586" s="479">
        <f>Z1586*Y1586</f>
        <v>78208</v>
      </c>
      <c r="AB1586" s="480"/>
      <c r="AC1586" s="481">
        <f>AB1586*Y1586</f>
        <v>0</v>
      </c>
      <c r="AD1586" s="490"/>
      <c r="AE1586" s="482"/>
      <c r="AF1586" s="493">
        <f>AA1586+AE1586</f>
        <v>78208</v>
      </c>
      <c r="AG1586" s="474" t="s">
        <v>47</v>
      </c>
      <c r="AH1586" s="474"/>
      <c r="AI1586" s="483" t="s">
        <v>2374</v>
      </c>
      <c r="AJ1586" s="474" t="s">
        <v>5340</v>
      </c>
      <c r="AK1586" s="494" t="s">
        <v>1144</v>
      </c>
      <c r="AL1586" s="474">
        <v>78501</v>
      </c>
      <c r="AM1586" s="474" t="s">
        <v>52</v>
      </c>
      <c r="AN1586" s="474" t="s">
        <v>1106</v>
      </c>
      <c r="AO1586" s="474"/>
      <c r="AP1586" s="486"/>
      <c r="AQ1586" s="486" t="s">
        <v>37</v>
      </c>
      <c r="AR1586" s="486"/>
      <c r="AS1586" s="495"/>
      <c r="AT1586" s="495"/>
      <c r="AU1586" s="478"/>
      <c r="AV1586" s="471">
        <f t="shared" si="273"/>
        <v>49405140</v>
      </c>
      <c r="AW1586" s="471" cm="1">
        <f t="array" ref="AW1586">SUM(MID(0&amp;AV1586,LARGE(INDEX(ISNUMBER(--MID(AV1586,ROW($1:$8),1))*ROW($1:$8),),ROW($1:$8))+1,1)*10^ROW($1:$8)/10)</f>
        <v>49405140</v>
      </c>
      <c r="AX1586" s="471" t="str">
        <f>VLOOKUP($AW1586,'Item Master Data'!$A:$F,3,FALSE)</f>
        <v>Q.PEAK DUO BLK ML G10+</v>
      </c>
      <c r="AY1586" s="471">
        <f>VLOOKUP($AW1586,'Item Master Data'!$A:$F,6,FALSE)</f>
        <v>400</v>
      </c>
      <c r="AZ1586" s="471">
        <f t="shared" si="274"/>
        <v>13</v>
      </c>
      <c r="BA1586" s="471">
        <f>VLOOKUP(AW1586,'Item Master Data'!$A:$G,7,FALSE)</f>
        <v>32</v>
      </c>
      <c r="BC1586" s="471">
        <f t="shared" si="275"/>
        <v>0</v>
      </c>
    </row>
    <row r="1587" spans="1:55" s="471" customFormat="1">
      <c r="A1587" s="472">
        <v>1</v>
      </c>
      <c r="B1587" s="514">
        <v>44616</v>
      </c>
      <c r="C1587" s="514">
        <v>44616</v>
      </c>
      <c r="D1587" s="485" t="s">
        <v>3186</v>
      </c>
      <c r="E1587" s="474"/>
      <c r="F1587" s="474"/>
      <c r="G1587" s="590">
        <v>2022</v>
      </c>
      <c r="H1587" s="590">
        <v>5</v>
      </c>
      <c r="I1587" s="591"/>
      <c r="J1587" s="592"/>
      <c r="K1587" s="593" t="s">
        <v>5362</v>
      </c>
      <c r="L1587" s="590" t="s">
        <v>2378</v>
      </c>
      <c r="M1587" s="594">
        <v>44615</v>
      </c>
      <c r="N1587" s="594">
        <v>44615</v>
      </c>
      <c r="O1587" s="594"/>
      <c r="P1587" s="502">
        <v>44679</v>
      </c>
      <c r="Q1587" s="592"/>
      <c r="R1587" s="592"/>
      <c r="S1587" s="590" t="s">
        <v>2379</v>
      </c>
      <c r="T1587" s="590">
        <v>60</v>
      </c>
      <c r="U1587" s="590" t="s">
        <v>1281</v>
      </c>
      <c r="V1587" s="590" t="s">
        <v>973</v>
      </c>
      <c r="W1587" s="590">
        <v>400</v>
      </c>
      <c r="X1587" s="595">
        <v>416</v>
      </c>
      <c r="Y1587" s="477">
        <f>X1587*W1587</f>
        <v>166400</v>
      </c>
      <c r="Z1587" s="478">
        <f>188/400</f>
        <v>0.47</v>
      </c>
      <c r="AA1587" s="479">
        <f>Z1587*Y1587</f>
        <v>78208</v>
      </c>
      <c r="AB1587" s="480"/>
      <c r="AC1587" s="481">
        <f>AB1587*Y1587</f>
        <v>0</v>
      </c>
      <c r="AD1587" s="490"/>
      <c r="AE1587" s="482"/>
      <c r="AF1587" s="493">
        <f>AA1587+AE1587</f>
        <v>78208</v>
      </c>
      <c r="AG1587" s="474" t="s">
        <v>47</v>
      </c>
      <c r="AH1587" s="474"/>
      <c r="AI1587" s="483" t="s">
        <v>2374</v>
      </c>
      <c r="AJ1587" s="474" t="s">
        <v>2410</v>
      </c>
      <c r="AK1587" s="494" t="s">
        <v>2411</v>
      </c>
      <c r="AL1587" s="474">
        <v>66214</v>
      </c>
      <c r="AM1587" s="474" t="s">
        <v>52</v>
      </c>
      <c r="AN1587" s="474" t="s">
        <v>50</v>
      </c>
      <c r="AO1587" s="474"/>
      <c r="AP1587" s="486"/>
      <c r="AQ1587" s="486" t="s">
        <v>37</v>
      </c>
      <c r="AR1587" s="486"/>
      <c r="AS1587" s="495"/>
      <c r="AT1587" s="495"/>
      <c r="AU1587" s="478"/>
      <c r="AV1587" s="471" t="str">
        <f t="shared" si="273"/>
        <v>30390456H</v>
      </c>
      <c r="AW1587" s="471" cm="1">
        <f t="array" ref="AW1587">SUM(MID(0&amp;AV1587,LARGE(INDEX(ISNUMBER(--MID(AV1587,ROW($1:$8),1))*ROW($1:$8),),ROW($1:$8))+1,1)*10^ROW($1:$8)/10)</f>
        <v>30390456</v>
      </c>
      <c r="AX1587" s="471" t="str">
        <f>VLOOKUP($AW1587,'Item Master Data'!$A:$F,3,FALSE)</f>
        <v>Q.PEAK DUO BLK ML G10+</v>
      </c>
      <c r="AY1587" s="471">
        <f>VLOOKUP($AW1587,'Item Master Data'!$A:$F,6,FALSE)</f>
        <v>400</v>
      </c>
      <c r="AZ1587" s="471">
        <f t="shared" si="274"/>
        <v>13</v>
      </c>
      <c r="BA1587" s="471">
        <f>VLOOKUP(AW1587,'Item Master Data'!$A:$G,7,FALSE)</f>
        <v>32</v>
      </c>
      <c r="BC1587" s="471">
        <f t="shared" si="275"/>
        <v>0</v>
      </c>
    </row>
    <row r="1588" spans="1:55" s="471" customFormat="1">
      <c r="A1588" s="472">
        <v>1</v>
      </c>
      <c r="B1588" s="514">
        <v>44616</v>
      </c>
      <c r="C1588" s="514">
        <v>44616</v>
      </c>
      <c r="D1588" s="485" t="s">
        <v>3186</v>
      </c>
      <c r="E1588" s="474"/>
      <c r="F1588" s="474"/>
      <c r="G1588" s="590">
        <v>2022</v>
      </c>
      <c r="H1588" s="590">
        <v>5</v>
      </c>
      <c r="I1588" s="591"/>
      <c r="J1588" s="592"/>
      <c r="K1588" s="593" t="s">
        <v>5359</v>
      </c>
      <c r="L1588" s="590" t="s">
        <v>2378</v>
      </c>
      <c r="M1588" s="594">
        <v>44615</v>
      </c>
      <c r="N1588" s="594">
        <v>44615</v>
      </c>
      <c r="O1588" s="594"/>
      <c r="P1588" s="502">
        <v>44679</v>
      </c>
      <c r="Q1588" s="592"/>
      <c r="R1588" s="592"/>
      <c r="S1588" s="590" t="s">
        <v>2379</v>
      </c>
      <c r="T1588" s="590">
        <v>60</v>
      </c>
      <c r="U1588" s="590" t="s">
        <v>1281</v>
      </c>
      <c r="V1588" s="590" t="s">
        <v>973</v>
      </c>
      <c r="W1588" s="590">
        <v>400</v>
      </c>
      <c r="X1588" s="595">
        <v>416</v>
      </c>
      <c r="Y1588" s="477">
        <f>X1588*W1588</f>
        <v>166400</v>
      </c>
      <c r="Z1588" s="478">
        <f>188/400</f>
        <v>0.47</v>
      </c>
      <c r="AA1588" s="479">
        <f>Z1588*Y1588</f>
        <v>78208</v>
      </c>
      <c r="AB1588" s="480"/>
      <c r="AC1588" s="481">
        <f>AB1588*Y1588</f>
        <v>0</v>
      </c>
      <c r="AD1588" s="490"/>
      <c r="AE1588" s="482"/>
      <c r="AF1588" s="493">
        <f>AA1588+AE1588</f>
        <v>78208</v>
      </c>
      <c r="AG1588" s="474" t="s">
        <v>47</v>
      </c>
      <c r="AH1588" s="474"/>
      <c r="AI1588" s="483" t="s">
        <v>2374</v>
      </c>
      <c r="AJ1588" s="474" t="s">
        <v>1121</v>
      </c>
      <c r="AK1588" s="494" t="s">
        <v>1117</v>
      </c>
      <c r="AL1588" s="474">
        <v>60436</v>
      </c>
      <c r="AM1588" s="474" t="s">
        <v>52</v>
      </c>
      <c r="AN1588" s="474" t="s">
        <v>50</v>
      </c>
      <c r="AO1588" s="474"/>
      <c r="AP1588" s="486"/>
      <c r="AQ1588" s="486" t="s">
        <v>37</v>
      </c>
      <c r="AR1588" s="486"/>
      <c r="AS1588" s="495"/>
      <c r="AT1588" s="495"/>
      <c r="AU1588" s="478"/>
      <c r="AV1588" s="471" t="str">
        <f t="shared" si="273"/>
        <v>30390456H</v>
      </c>
      <c r="AW1588" s="471" cm="1">
        <f t="array" ref="AW1588">SUM(MID(0&amp;AV1588,LARGE(INDEX(ISNUMBER(--MID(AV1588,ROW($1:$8),1))*ROW($1:$8),),ROW($1:$8))+1,1)*10^ROW($1:$8)/10)</f>
        <v>30390456</v>
      </c>
      <c r="AX1588" s="471" t="str">
        <f>VLOOKUP($AW1588,'Item Master Data'!$A:$F,3,FALSE)</f>
        <v>Q.PEAK DUO BLK ML G10+</v>
      </c>
      <c r="AY1588" s="471">
        <f>VLOOKUP($AW1588,'Item Master Data'!$A:$F,6,FALSE)</f>
        <v>400</v>
      </c>
      <c r="AZ1588" s="471">
        <f t="shared" si="274"/>
        <v>13</v>
      </c>
      <c r="BA1588" s="471">
        <f>VLOOKUP(AW1588,'Item Master Data'!$A:$G,7,FALSE)</f>
        <v>32</v>
      </c>
      <c r="BC1588" s="471">
        <f t="shared" si="275"/>
        <v>0</v>
      </c>
    </row>
    <row r="1589" spans="1:55" s="471" customFormat="1">
      <c r="A1589" s="472"/>
      <c r="B1589" s="514">
        <v>44616</v>
      </c>
      <c r="C1589" s="514">
        <v>44616</v>
      </c>
      <c r="D1589" s="485" t="s">
        <v>3186</v>
      </c>
      <c r="E1589" s="474"/>
      <c r="F1589" s="474"/>
      <c r="G1589" s="618">
        <v>2022</v>
      </c>
      <c r="H1589" s="618">
        <v>5</v>
      </c>
      <c r="I1589" s="619"/>
      <c r="J1589" s="620"/>
      <c r="K1589" s="621" t="s">
        <v>5338</v>
      </c>
      <c r="L1589" s="618" t="s">
        <v>2378</v>
      </c>
      <c r="M1589" s="622">
        <v>44615</v>
      </c>
      <c r="N1589" s="622">
        <v>44615</v>
      </c>
      <c r="O1589" s="622"/>
      <c r="P1589" s="620"/>
      <c r="Q1589" s="620"/>
      <c r="R1589" s="620"/>
      <c r="S1589" s="618" t="s">
        <v>2379</v>
      </c>
      <c r="T1589" s="618">
        <v>60</v>
      </c>
      <c r="U1589" s="618">
        <v>49405140</v>
      </c>
      <c r="V1589" s="618" t="s">
        <v>973</v>
      </c>
      <c r="W1589" s="618">
        <v>400</v>
      </c>
      <c r="X1589" s="623">
        <v>832</v>
      </c>
      <c r="Y1589" s="477">
        <f>X1589*W1589</f>
        <v>332800</v>
      </c>
      <c r="Z1589" s="478">
        <f>188/400</f>
        <v>0.47</v>
      </c>
      <c r="AA1589" s="479">
        <f>Z1589*Y1589</f>
        <v>156416</v>
      </c>
      <c r="AB1589" s="480"/>
      <c r="AC1589" s="481">
        <f>AB1589*Y1589</f>
        <v>0</v>
      </c>
      <c r="AD1589" s="490"/>
      <c r="AE1589" s="482"/>
      <c r="AF1589" s="493">
        <f>AA1589+AE1589</f>
        <v>156416</v>
      </c>
      <c r="AG1589" s="474" t="s">
        <v>47</v>
      </c>
      <c r="AH1589" s="474"/>
      <c r="AI1589" s="483" t="s">
        <v>2374</v>
      </c>
      <c r="AJ1589" s="474" t="s">
        <v>3235</v>
      </c>
      <c r="AK1589" s="494" t="s">
        <v>1144</v>
      </c>
      <c r="AL1589" s="474">
        <v>79935</v>
      </c>
      <c r="AM1589" s="474" t="s">
        <v>52</v>
      </c>
      <c r="AN1589" s="474" t="s">
        <v>1106</v>
      </c>
      <c r="AO1589" s="474"/>
      <c r="AP1589" s="486"/>
      <c r="AQ1589" s="486" t="s">
        <v>37</v>
      </c>
      <c r="AR1589" s="486"/>
      <c r="AS1589" s="495"/>
      <c r="AT1589" s="495"/>
      <c r="AU1589" s="478"/>
      <c r="AV1589" s="471">
        <f t="shared" si="273"/>
        <v>49405140</v>
      </c>
      <c r="AW1589" s="471" cm="1">
        <f t="array" ref="AW1589">SUM(MID(0&amp;AV1589,LARGE(INDEX(ISNUMBER(--MID(AV1589,ROW($1:$8),1))*ROW($1:$8),),ROW($1:$8))+1,1)*10^ROW($1:$8)/10)</f>
        <v>49405140</v>
      </c>
      <c r="AX1589" s="471" t="str">
        <f>VLOOKUP($AW1589,'Item Master Data'!$A:$F,3,FALSE)</f>
        <v>Q.PEAK DUO BLK ML G10+</v>
      </c>
      <c r="AY1589" s="471">
        <f>VLOOKUP($AW1589,'Item Master Data'!$A:$F,6,FALSE)</f>
        <v>400</v>
      </c>
      <c r="AZ1589" s="471">
        <f t="shared" si="274"/>
        <v>26</v>
      </c>
      <c r="BA1589" s="471">
        <f>VLOOKUP(AW1589,'Item Master Data'!$A:$G,7,FALSE)</f>
        <v>32</v>
      </c>
      <c r="BC1589" s="471">
        <f t="shared" si="275"/>
        <v>0</v>
      </c>
    </row>
    <row r="1590" spans="1:55" s="471" customFormat="1">
      <c r="A1590" s="472"/>
      <c r="B1590" s="514">
        <v>44616</v>
      </c>
      <c r="C1590" s="514">
        <v>44616</v>
      </c>
      <c r="D1590" s="485" t="s">
        <v>3186</v>
      </c>
      <c r="E1590" s="474"/>
      <c r="F1590" s="474"/>
      <c r="G1590" s="618">
        <v>2022</v>
      </c>
      <c r="H1590" s="618">
        <v>5</v>
      </c>
      <c r="I1590" s="619"/>
      <c r="J1590" s="620"/>
      <c r="K1590" s="621" t="s">
        <v>5364</v>
      </c>
      <c r="L1590" s="618" t="s">
        <v>2378</v>
      </c>
      <c r="M1590" s="622">
        <v>44615</v>
      </c>
      <c r="N1590" s="622">
        <v>44615</v>
      </c>
      <c r="O1590" s="622"/>
      <c r="P1590" s="620"/>
      <c r="Q1590" s="620"/>
      <c r="R1590" s="620"/>
      <c r="S1590" s="618" t="s">
        <v>2379</v>
      </c>
      <c r="T1590" s="618">
        <v>60</v>
      </c>
      <c r="U1590" s="618">
        <v>49405140</v>
      </c>
      <c r="V1590" s="618" t="s">
        <v>973</v>
      </c>
      <c r="W1590" s="618">
        <v>400</v>
      </c>
      <c r="X1590" s="623">
        <v>640</v>
      </c>
      <c r="Y1590" s="477">
        <f>X1590*W1590</f>
        <v>256000</v>
      </c>
      <c r="Z1590" s="478">
        <f>188/400</f>
        <v>0.47</v>
      </c>
      <c r="AA1590" s="479">
        <f>Z1590*Y1590</f>
        <v>120320</v>
      </c>
      <c r="AB1590" s="480"/>
      <c r="AC1590" s="481">
        <f>AB1590*Y1590</f>
        <v>0</v>
      </c>
      <c r="AD1590" s="490"/>
      <c r="AE1590" s="482"/>
      <c r="AF1590" s="493">
        <f>AA1590+AE1590</f>
        <v>120320</v>
      </c>
      <c r="AG1590" s="474" t="s">
        <v>47</v>
      </c>
      <c r="AH1590" s="474"/>
      <c r="AI1590" s="483" t="s">
        <v>2374</v>
      </c>
      <c r="AJ1590" s="474" t="s">
        <v>3541</v>
      </c>
      <c r="AK1590" s="494" t="s">
        <v>1074</v>
      </c>
      <c r="AL1590" s="474">
        <v>30909</v>
      </c>
      <c r="AM1590" s="474" t="s">
        <v>52</v>
      </c>
      <c r="AN1590" s="474" t="s">
        <v>1106</v>
      </c>
      <c r="AO1590" s="474"/>
      <c r="AP1590" s="486"/>
      <c r="AQ1590" s="486" t="s">
        <v>37</v>
      </c>
      <c r="AR1590" s="486"/>
      <c r="AS1590" s="495"/>
      <c r="AT1590" s="495"/>
      <c r="AU1590" s="478"/>
      <c r="AV1590" s="471">
        <f t="shared" si="273"/>
        <v>49405140</v>
      </c>
      <c r="AW1590" s="471" cm="1">
        <f t="array" ref="AW1590">SUM(MID(0&amp;AV1590,LARGE(INDEX(ISNUMBER(--MID(AV1590,ROW($1:$8),1))*ROW($1:$8),),ROW($1:$8))+1,1)*10^ROW($1:$8)/10)</f>
        <v>49405140</v>
      </c>
      <c r="AX1590" s="471" t="str">
        <f>VLOOKUP($AW1590,'Item Master Data'!$A:$F,3,FALSE)</f>
        <v>Q.PEAK DUO BLK ML G10+</v>
      </c>
      <c r="AY1590" s="471">
        <f>VLOOKUP($AW1590,'Item Master Data'!$A:$F,6,FALSE)</f>
        <v>400</v>
      </c>
      <c r="AZ1590" s="471">
        <f t="shared" si="274"/>
        <v>20</v>
      </c>
      <c r="BA1590" s="471">
        <f>VLOOKUP(AW1590,'Item Master Data'!$A:$G,7,FALSE)</f>
        <v>32</v>
      </c>
      <c r="BC1590" s="471">
        <f t="shared" si="275"/>
        <v>0</v>
      </c>
    </row>
    <row r="1591" spans="1:55" s="471" customFormat="1">
      <c r="A1591" s="472"/>
      <c r="B1591" s="514">
        <v>44616</v>
      </c>
      <c r="C1591" s="514">
        <v>44616</v>
      </c>
      <c r="D1591" s="485" t="s">
        <v>3186</v>
      </c>
      <c r="E1591" s="474" t="s">
        <v>3391</v>
      </c>
      <c r="F1591" s="474"/>
      <c r="G1591" s="474">
        <v>2022</v>
      </c>
      <c r="H1591" s="474">
        <v>5</v>
      </c>
      <c r="I1591" s="485"/>
      <c r="J1591" s="475"/>
      <c r="K1591" s="483" t="s">
        <v>3523</v>
      </c>
      <c r="L1591" s="474" t="s">
        <v>2378</v>
      </c>
      <c r="M1591" s="487">
        <v>44615</v>
      </c>
      <c r="N1591" s="487">
        <v>44615</v>
      </c>
      <c r="O1591" s="487"/>
      <c r="P1591" s="475"/>
      <c r="Q1591" s="475"/>
      <c r="R1591" s="475"/>
      <c r="S1591" s="474" t="s">
        <v>2379</v>
      </c>
      <c r="T1591" s="474">
        <v>60</v>
      </c>
      <c r="U1591" s="474">
        <v>49401140</v>
      </c>
      <c r="V1591" s="474" t="s">
        <v>973</v>
      </c>
      <c r="W1591" s="474">
        <v>400</v>
      </c>
      <c r="X1591" s="476">
        <f>62500-4992-3328-1664-1664-2560-1280-1280-832-640-640-1280-3328-2560-1664-1664-832-416-9984-1664-2816-4992-3328-1664-1664-1664-832-416-832-640-832-640+512</f>
        <v>420</v>
      </c>
      <c r="Y1591" s="477">
        <f>X1591*W1591</f>
        <v>168000</v>
      </c>
      <c r="Z1591" s="478">
        <f>188/400</f>
        <v>0.47</v>
      </c>
      <c r="AA1591" s="479">
        <f>Z1591*Y1591</f>
        <v>78960</v>
      </c>
      <c r="AB1591" s="480"/>
      <c r="AC1591" s="481">
        <f>AB1591*Y1591</f>
        <v>0</v>
      </c>
      <c r="AD1591" s="490"/>
      <c r="AE1591" s="482"/>
      <c r="AF1591" s="493">
        <f>AA1591+AE1591</f>
        <v>78960</v>
      </c>
      <c r="AG1591" s="474" t="s">
        <v>47</v>
      </c>
      <c r="AH1591" s="474"/>
      <c r="AI1591" s="483" t="s">
        <v>2374</v>
      </c>
      <c r="AJ1591" s="474" t="s">
        <v>1132</v>
      </c>
      <c r="AK1591" s="494" t="s">
        <v>1133</v>
      </c>
      <c r="AL1591" s="474">
        <v>85210</v>
      </c>
      <c r="AM1591" s="474" t="s">
        <v>52</v>
      </c>
      <c r="AN1591" s="474" t="s">
        <v>1106</v>
      </c>
      <c r="AO1591" s="474"/>
      <c r="AP1591" s="486"/>
      <c r="AQ1591" s="486" t="s">
        <v>37</v>
      </c>
      <c r="AR1591" s="486"/>
      <c r="AS1591" s="495"/>
      <c r="AT1591" s="495"/>
      <c r="AU1591" s="478"/>
      <c r="AV1591" s="471">
        <f t="shared" si="273"/>
        <v>49401140</v>
      </c>
      <c r="AW1591" s="471" cm="1">
        <f t="array" ref="AW1591">SUM(MID(0&amp;AV1591,LARGE(INDEX(ISNUMBER(--MID(AV1591,ROW($1:$8),1))*ROW($1:$8),),ROW($1:$8))+1,1)*10^ROW($1:$8)/10)</f>
        <v>49401140</v>
      </c>
      <c r="AX1591" s="471" t="str">
        <f>VLOOKUP($AW1591,'Item Master Data'!$A:$F,3,FALSE)</f>
        <v>Q.PEAK DUO BLK ML G10.a+</v>
      </c>
      <c r="AY1591" s="471">
        <f>VLOOKUP($AW1591,'Item Master Data'!$A:$F,6,FALSE)</f>
        <v>400</v>
      </c>
      <c r="AZ1591" s="471">
        <f t="shared" si="274"/>
        <v>13.125</v>
      </c>
      <c r="BA1591" s="471">
        <f>VLOOKUP(AW1591,'Item Master Data'!$A:$G,7,FALSE)</f>
        <v>32</v>
      </c>
      <c r="BC1591" s="471">
        <f t="shared" si="275"/>
        <v>0</v>
      </c>
    </row>
    <row r="1592" spans="1:55" s="471" customFormat="1">
      <c r="A1592" s="472"/>
      <c r="B1592" s="514">
        <v>44616</v>
      </c>
      <c r="C1592" s="514">
        <v>44616</v>
      </c>
      <c r="D1592" s="485" t="s">
        <v>3186</v>
      </c>
      <c r="E1592" s="474"/>
      <c r="F1592" s="474"/>
      <c r="G1592" s="474">
        <v>2022</v>
      </c>
      <c r="H1592" s="474">
        <v>4</v>
      </c>
      <c r="I1592" s="485"/>
      <c r="J1592" s="475"/>
      <c r="K1592" s="518" t="s">
        <v>3517</v>
      </c>
      <c r="L1592" s="519" t="s">
        <v>2378</v>
      </c>
      <c r="M1592" s="520">
        <v>44615</v>
      </c>
      <c r="N1592" s="520">
        <v>44615</v>
      </c>
      <c r="O1592" s="520"/>
      <c r="P1592" s="521"/>
      <c r="Q1592" s="521"/>
      <c r="R1592" s="521"/>
      <c r="S1592" s="519" t="s">
        <v>2379</v>
      </c>
      <c r="T1592" s="519">
        <v>60</v>
      </c>
      <c r="U1592" s="519">
        <v>49405140</v>
      </c>
      <c r="V1592" s="519" t="s">
        <v>973</v>
      </c>
      <c r="W1592" s="519">
        <v>400</v>
      </c>
      <c r="X1592" s="522">
        <v>832</v>
      </c>
      <c r="Y1592" s="470">
        <f>X1592*W1592</f>
        <v>332800</v>
      </c>
      <c r="Z1592" s="478">
        <f>188/400</f>
        <v>0.47</v>
      </c>
      <c r="AA1592" s="479">
        <f>Z1592*Y1592</f>
        <v>156416</v>
      </c>
      <c r="AB1592" s="480"/>
      <c r="AC1592" s="481">
        <f>AB1592*Y1592</f>
        <v>0</v>
      </c>
      <c r="AD1592" s="490"/>
      <c r="AE1592" s="482"/>
      <c r="AF1592" s="493">
        <f>AA1592+AE1592</f>
        <v>156416</v>
      </c>
      <c r="AG1592" s="474" t="s">
        <v>47</v>
      </c>
      <c r="AH1592" s="474"/>
      <c r="AI1592" s="483" t="s">
        <v>2374</v>
      </c>
      <c r="AJ1592" s="474" t="s">
        <v>2397</v>
      </c>
      <c r="AK1592" s="494" t="s">
        <v>1133</v>
      </c>
      <c r="AL1592" s="474">
        <v>85365</v>
      </c>
      <c r="AM1592" s="474" t="s">
        <v>52</v>
      </c>
      <c r="AN1592" s="474" t="s">
        <v>1106</v>
      </c>
      <c r="AO1592" s="474"/>
      <c r="AP1592" s="486"/>
      <c r="AQ1592" s="486" t="s">
        <v>37</v>
      </c>
      <c r="AR1592" s="486"/>
      <c r="AS1592" s="495"/>
      <c r="AT1592" s="495"/>
      <c r="AU1592" s="478"/>
      <c r="AV1592" s="471">
        <f t="shared" ref="AV1592:AV1623" si="276">U1592</f>
        <v>49405140</v>
      </c>
      <c r="AW1592" s="471" cm="1">
        <f t="array" ref="AW1592">SUM(MID(0&amp;AV1592,LARGE(INDEX(ISNUMBER(--MID(AV1592,ROW($1:$8),1))*ROW($1:$8),),ROW($1:$8))+1,1)*10^ROW($1:$8)/10)</f>
        <v>49405140</v>
      </c>
      <c r="AX1592" s="471" t="str">
        <f>VLOOKUP($AW1592,'Item Master Data'!$A:$F,3,FALSE)</f>
        <v>Q.PEAK DUO BLK ML G10+</v>
      </c>
      <c r="AY1592" s="471">
        <f>VLOOKUP($AW1592,'Item Master Data'!$A:$F,6,FALSE)</f>
        <v>400</v>
      </c>
      <c r="AZ1592" s="471">
        <f t="shared" ref="AZ1592:AZ1623" si="277">X1592/BA1592</f>
        <v>26</v>
      </c>
      <c r="BA1592" s="471">
        <f>VLOOKUP(AW1592,'Item Master Data'!$A:$G,7,FALSE)</f>
        <v>32</v>
      </c>
      <c r="BC1592" s="471">
        <f t="shared" ref="BC1592:BC1623" si="278">W1592-AY1592</f>
        <v>0</v>
      </c>
    </row>
    <row r="1593" spans="1:55" s="471" customFormat="1">
      <c r="A1593" s="472"/>
      <c r="B1593" s="514">
        <v>44616</v>
      </c>
      <c r="C1593" s="514">
        <v>44616</v>
      </c>
      <c r="D1593" s="485" t="s">
        <v>3186</v>
      </c>
      <c r="E1593" s="474" t="s">
        <v>3525</v>
      </c>
      <c r="F1593" s="474"/>
      <c r="G1593" s="526">
        <v>2022</v>
      </c>
      <c r="H1593" s="526">
        <v>4</v>
      </c>
      <c r="I1593" s="546">
        <v>128226</v>
      </c>
      <c r="J1593" s="531">
        <v>44673</v>
      </c>
      <c r="K1593" s="532" t="s">
        <v>3545</v>
      </c>
      <c r="L1593" s="526" t="s">
        <v>2378</v>
      </c>
      <c r="M1593" s="533">
        <v>44615</v>
      </c>
      <c r="N1593" s="533">
        <v>44615</v>
      </c>
      <c r="O1593" s="533"/>
      <c r="P1593" s="531">
        <v>44664</v>
      </c>
      <c r="Q1593" s="531">
        <v>44670</v>
      </c>
      <c r="R1593" s="531">
        <v>44673</v>
      </c>
      <c r="S1593" s="526" t="s">
        <v>2379</v>
      </c>
      <c r="T1593" s="526">
        <v>60</v>
      </c>
      <c r="U1593" s="526">
        <v>49405140</v>
      </c>
      <c r="V1593" s="526" t="s">
        <v>973</v>
      </c>
      <c r="W1593" s="526">
        <v>400</v>
      </c>
      <c r="X1593" s="534">
        <v>832</v>
      </c>
      <c r="Y1593" s="477">
        <f>X1593*W1593</f>
        <v>332800</v>
      </c>
      <c r="Z1593" s="478">
        <f>188/400</f>
        <v>0.47</v>
      </c>
      <c r="AA1593" s="479">
        <f>Z1593*Y1593</f>
        <v>156416</v>
      </c>
      <c r="AB1593" s="480"/>
      <c r="AC1593" s="481">
        <f>AB1593*Y1593</f>
        <v>0</v>
      </c>
      <c r="AD1593" s="490"/>
      <c r="AE1593" s="482"/>
      <c r="AF1593" s="493">
        <f>AA1593+AE1593</f>
        <v>156416</v>
      </c>
      <c r="AG1593" s="474" t="s">
        <v>47</v>
      </c>
      <c r="AH1593" s="474"/>
      <c r="AI1593" s="483" t="s">
        <v>2374</v>
      </c>
      <c r="AJ1593" s="474" t="s">
        <v>2366</v>
      </c>
      <c r="AK1593" s="494" t="s">
        <v>1395</v>
      </c>
      <c r="AL1593" s="474">
        <v>89118</v>
      </c>
      <c r="AM1593" s="474" t="s">
        <v>52</v>
      </c>
      <c r="AN1593" s="474" t="s">
        <v>1106</v>
      </c>
      <c r="AO1593" s="474"/>
      <c r="AP1593" s="486"/>
      <c r="AQ1593" s="486" t="s">
        <v>37</v>
      </c>
      <c r="AR1593" s="486"/>
      <c r="AS1593" s="495"/>
      <c r="AT1593" s="495"/>
      <c r="AU1593" s="478"/>
      <c r="AV1593" s="471">
        <f t="shared" si="276"/>
        <v>49405140</v>
      </c>
      <c r="AW1593" s="471" cm="1">
        <f t="array" ref="AW1593">SUM(MID(0&amp;AV1593,LARGE(INDEX(ISNUMBER(--MID(AV1593,ROW($1:$8),1))*ROW($1:$8),),ROW($1:$8))+1,1)*10^ROW($1:$8)/10)</f>
        <v>49405140</v>
      </c>
      <c r="AX1593" s="471" t="str">
        <f>VLOOKUP($AW1593,'Item Master Data'!$A:$F,3,FALSE)</f>
        <v>Q.PEAK DUO BLK ML G10+</v>
      </c>
      <c r="AY1593" s="471">
        <f>VLOOKUP($AW1593,'Item Master Data'!$A:$F,6,FALSE)</f>
        <v>400</v>
      </c>
      <c r="AZ1593" s="471">
        <f t="shared" si="277"/>
        <v>26</v>
      </c>
      <c r="BA1593" s="471">
        <f>VLOOKUP(AW1593,'Item Master Data'!$A:$G,7,FALSE)</f>
        <v>32</v>
      </c>
      <c r="BC1593" s="471">
        <f t="shared" si="278"/>
        <v>0</v>
      </c>
    </row>
    <row r="1594" spans="1:55" s="471" customFormat="1">
      <c r="A1594" s="472"/>
      <c r="B1594" s="514">
        <v>44616</v>
      </c>
      <c r="C1594" s="514">
        <v>44616</v>
      </c>
      <c r="D1594" s="485" t="s">
        <v>3186</v>
      </c>
      <c r="E1594" s="474"/>
      <c r="F1594" s="474"/>
      <c r="G1594" s="526">
        <v>2022</v>
      </c>
      <c r="H1594" s="526">
        <v>4</v>
      </c>
      <c r="I1594" s="546"/>
      <c r="J1594" s="531" t="s">
        <v>5647</v>
      </c>
      <c r="K1594" s="532" t="s">
        <v>3545</v>
      </c>
      <c r="L1594" s="526" t="s">
        <v>2378</v>
      </c>
      <c r="M1594" s="533">
        <v>44615</v>
      </c>
      <c r="N1594" s="533">
        <v>44615</v>
      </c>
      <c r="O1594" s="533"/>
      <c r="P1594" s="531">
        <v>44666</v>
      </c>
      <c r="Q1594" s="531">
        <v>44680</v>
      </c>
      <c r="R1594" s="531">
        <v>44683</v>
      </c>
      <c r="S1594" s="526" t="s">
        <v>2379</v>
      </c>
      <c r="T1594" s="526">
        <v>60</v>
      </c>
      <c r="U1594" s="526" t="s">
        <v>1281</v>
      </c>
      <c r="V1594" s="526" t="s">
        <v>973</v>
      </c>
      <c r="W1594" s="526">
        <v>400</v>
      </c>
      <c r="X1594" s="569">
        <v>640</v>
      </c>
      <c r="Y1594" s="477">
        <f>X1594*W1594</f>
        <v>256000</v>
      </c>
      <c r="Z1594" s="478">
        <f>188/400</f>
        <v>0.47</v>
      </c>
      <c r="AA1594" s="479">
        <f>Z1594*Y1594</f>
        <v>120320</v>
      </c>
      <c r="AB1594" s="480"/>
      <c r="AC1594" s="481">
        <f>AB1594*Y1594</f>
        <v>0</v>
      </c>
      <c r="AD1594" s="490"/>
      <c r="AE1594" s="482"/>
      <c r="AF1594" s="493">
        <f>AA1594+AE1594</f>
        <v>120320</v>
      </c>
      <c r="AG1594" s="474" t="s">
        <v>47</v>
      </c>
      <c r="AH1594" s="474"/>
      <c r="AI1594" s="483" t="s">
        <v>2374</v>
      </c>
      <c r="AJ1594" s="474" t="s">
        <v>2366</v>
      </c>
      <c r="AK1594" s="494" t="s">
        <v>1395</v>
      </c>
      <c r="AL1594" s="474">
        <v>89118</v>
      </c>
      <c r="AM1594" s="474" t="s">
        <v>52</v>
      </c>
      <c r="AN1594" s="474" t="s">
        <v>50</v>
      </c>
      <c r="AO1594" s="474"/>
      <c r="AP1594" s="486"/>
      <c r="AQ1594" s="486" t="s">
        <v>37</v>
      </c>
      <c r="AR1594" s="486"/>
      <c r="AS1594" s="495"/>
      <c r="AT1594" s="495"/>
      <c r="AU1594" s="478"/>
      <c r="AV1594" s="471" t="str">
        <f t="shared" si="276"/>
        <v>30390456H</v>
      </c>
      <c r="AW1594" s="471" cm="1">
        <f t="array" ref="AW1594">SUM(MID(0&amp;AV1594,LARGE(INDEX(ISNUMBER(--MID(AV1594,ROW($1:$8),1))*ROW($1:$8),),ROW($1:$8))+1,1)*10^ROW($1:$8)/10)</f>
        <v>30390456</v>
      </c>
      <c r="AX1594" s="471" t="str">
        <f>VLOOKUP($AW1594,'Item Master Data'!$A:$F,3,FALSE)</f>
        <v>Q.PEAK DUO BLK ML G10+</v>
      </c>
      <c r="AY1594" s="471">
        <f>VLOOKUP($AW1594,'Item Master Data'!$A:$F,6,FALSE)</f>
        <v>400</v>
      </c>
      <c r="AZ1594" s="471">
        <f t="shared" si="277"/>
        <v>20</v>
      </c>
      <c r="BA1594" s="471">
        <f>VLOOKUP(AW1594,'Item Master Data'!$A:$G,7,FALSE)</f>
        <v>32</v>
      </c>
      <c r="BC1594" s="471">
        <f t="shared" si="278"/>
        <v>0</v>
      </c>
    </row>
    <row r="1595" spans="1:55" s="471" customFormat="1">
      <c r="A1595" s="472"/>
      <c r="B1595" s="514">
        <v>44616</v>
      </c>
      <c r="C1595" s="514">
        <v>44616</v>
      </c>
      <c r="D1595" s="485" t="s">
        <v>3186</v>
      </c>
      <c r="E1595" s="474"/>
      <c r="F1595" s="474"/>
      <c r="G1595" s="474">
        <v>2022</v>
      </c>
      <c r="H1595" s="474">
        <v>4</v>
      </c>
      <c r="I1595" s="485"/>
      <c r="J1595" s="475"/>
      <c r="K1595" s="518" t="s">
        <v>3516</v>
      </c>
      <c r="L1595" s="519" t="s">
        <v>2378</v>
      </c>
      <c r="M1595" s="520">
        <v>44615</v>
      </c>
      <c r="N1595" s="520">
        <v>44615</v>
      </c>
      <c r="O1595" s="520"/>
      <c r="P1595" s="521"/>
      <c r="Q1595" s="521"/>
      <c r="R1595" s="521"/>
      <c r="S1595" s="519" t="s">
        <v>2379</v>
      </c>
      <c r="T1595" s="519">
        <v>60</v>
      </c>
      <c r="U1595" s="519">
        <v>49405140</v>
      </c>
      <c r="V1595" s="519" t="s">
        <v>973</v>
      </c>
      <c r="W1595" s="519">
        <v>400</v>
      </c>
      <c r="X1595" s="522">
        <v>1408</v>
      </c>
      <c r="Y1595" s="470">
        <f>X1595*W1595</f>
        <v>563200</v>
      </c>
      <c r="Z1595" s="478">
        <f>188/400</f>
        <v>0.47</v>
      </c>
      <c r="AA1595" s="479">
        <f>Z1595*Y1595</f>
        <v>264704</v>
      </c>
      <c r="AB1595" s="480"/>
      <c r="AC1595" s="481">
        <f>AB1595*Y1595</f>
        <v>0</v>
      </c>
      <c r="AD1595" s="490"/>
      <c r="AE1595" s="482"/>
      <c r="AF1595" s="493">
        <f>AA1595+AE1595</f>
        <v>264704</v>
      </c>
      <c r="AG1595" s="474" t="s">
        <v>47</v>
      </c>
      <c r="AH1595" s="474"/>
      <c r="AI1595" s="483" t="s">
        <v>2374</v>
      </c>
      <c r="AJ1595" s="474" t="s">
        <v>2394</v>
      </c>
      <c r="AK1595" s="494" t="s">
        <v>1133</v>
      </c>
      <c r="AL1595" s="474">
        <v>85714</v>
      </c>
      <c r="AM1595" s="474" t="s">
        <v>52</v>
      </c>
      <c r="AN1595" s="474" t="s">
        <v>1106</v>
      </c>
      <c r="AO1595" s="474"/>
      <c r="AP1595" s="486"/>
      <c r="AQ1595" s="486" t="s">
        <v>37</v>
      </c>
      <c r="AR1595" s="486"/>
      <c r="AS1595" s="495"/>
      <c r="AT1595" s="495"/>
      <c r="AU1595" s="478"/>
      <c r="AV1595" s="471">
        <f t="shared" si="276"/>
        <v>49405140</v>
      </c>
      <c r="AW1595" s="471" cm="1">
        <f t="array" ref="AW1595">SUM(MID(0&amp;AV1595,LARGE(INDEX(ISNUMBER(--MID(AV1595,ROW($1:$8),1))*ROW($1:$8),),ROW($1:$8))+1,1)*10^ROW($1:$8)/10)</f>
        <v>49405140</v>
      </c>
      <c r="AX1595" s="471" t="str">
        <f>VLOOKUP($AW1595,'Item Master Data'!$A:$F,3,FALSE)</f>
        <v>Q.PEAK DUO BLK ML G10+</v>
      </c>
      <c r="AY1595" s="471">
        <f>VLOOKUP($AW1595,'Item Master Data'!$A:$F,6,FALSE)</f>
        <v>400</v>
      </c>
      <c r="AZ1595" s="471">
        <f t="shared" si="277"/>
        <v>44</v>
      </c>
      <c r="BA1595" s="471">
        <f>VLOOKUP(AW1595,'Item Master Data'!$A:$G,7,FALSE)</f>
        <v>32</v>
      </c>
      <c r="BC1595" s="471">
        <f t="shared" si="278"/>
        <v>0</v>
      </c>
    </row>
    <row r="1596" spans="1:55" s="471" customFormat="1">
      <c r="A1596" s="472"/>
      <c r="B1596" s="514">
        <v>44616</v>
      </c>
      <c r="C1596" s="514">
        <v>44616</v>
      </c>
      <c r="D1596" s="485" t="s">
        <v>3186</v>
      </c>
      <c r="E1596" s="474"/>
      <c r="F1596" s="474"/>
      <c r="G1596" s="474">
        <v>2022</v>
      </c>
      <c r="H1596" s="474">
        <v>4</v>
      </c>
      <c r="I1596" s="485"/>
      <c r="J1596" s="475"/>
      <c r="K1596" s="518" t="s">
        <v>3515</v>
      </c>
      <c r="L1596" s="519" t="s">
        <v>2378</v>
      </c>
      <c r="M1596" s="520">
        <v>44615</v>
      </c>
      <c r="N1596" s="520">
        <v>44615</v>
      </c>
      <c r="O1596" s="520"/>
      <c r="P1596" s="521"/>
      <c r="Q1596" s="521"/>
      <c r="R1596" s="521"/>
      <c r="S1596" s="519" t="s">
        <v>2379</v>
      </c>
      <c r="T1596" s="519">
        <v>60</v>
      </c>
      <c r="U1596" s="519">
        <v>49405140</v>
      </c>
      <c r="V1596" s="519" t="s">
        <v>973</v>
      </c>
      <c r="W1596" s="519">
        <v>400</v>
      </c>
      <c r="X1596" s="522">
        <v>800</v>
      </c>
      <c r="Y1596" s="470">
        <f>X1596*W1596</f>
        <v>320000</v>
      </c>
      <c r="Z1596" s="478">
        <f>188/400</f>
        <v>0.47</v>
      </c>
      <c r="AA1596" s="479">
        <f>Z1596*Y1596</f>
        <v>150400</v>
      </c>
      <c r="AB1596" s="480"/>
      <c r="AC1596" s="481">
        <f>AB1596*Y1596</f>
        <v>0</v>
      </c>
      <c r="AD1596" s="490"/>
      <c r="AE1596" s="482"/>
      <c r="AF1596" s="493">
        <f>AA1596+AE1596</f>
        <v>150400</v>
      </c>
      <c r="AG1596" s="474" t="s">
        <v>47</v>
      </c>
      <c r="AH1596" s="474"/>
      <c r="AI1596" s="483" t="s">
        <v>2374</v>
      </c>
      <c r="AJ1596" s="474" t="s">
        <v>2392</v>
      </c>
      <c r="AK1596" s="494" t="s">
        <v>1084</v>
      </c>
      <c r="AL1596" s="474">
        <v>33762</v>
      </c>
      <c r="AM1596" s="474" t="s">
        <v>52</v>
      </c>
      <c r="AN1596" s="474" t="s">
        <v>1106</v>
      </c>
      <c r="AO1596" s="474"/>
      <c r="AP1596" s="486"/>
      <c r="AQ1596" s="486" t="s">
        <v>37</v>
      </c>
      <c r="AR1596" s="486"/>
      <c r="AS1596" s="495"/>
      <c r="AT1596" s="495"/>
      <c r="AU1596" s="478"/>
      <c r="AV1596" s="471">
        <f t="shared" si="276"/>
        <v>49405140</v>
      </c>
      <c r="AW1596" s="471" cm="1">
        <f t="array" ref="AW1596">SUM(MID(0&amp;AV1596,LARGE(INDEX(ISNUMBER(--MID(AV1596,ROW($1:$8),1))*ROW($1:$8),),ROW($1:$8))+1,1)*10^ROW($1:$8)/10)</f>
        <v>49405140</v>
      </c>
      <c r="AX1596" s="471" t="str">
        <f>VLOOKUP($AW1596,'Item Master Data'!$A:$F,3,FALSE)</f>
        <v>Q.PEAK DUO BLK ML G10+</v>
      </c>
      <c r="AY1596" s="471">
        <f>VLOOKUP($AW1596,'Item Master Data'!$A:$F,6,FALSE)</f>
        <v>400</v>
      </c>
      <c r="AZ1596" s="471">
        <f t="shared" si="277"/>
        <v>25</v>
      </c>
      <c r="BA1596" s="471">
        <f>VLOOKUP(AW1596,'Item Master Data'!$A:$G,7,FALSE)</f>
        <v>32</v>
      </c>
      <c r="BC1596" s="471">
        <f t="shared" si="278"/>
        <v>0</v>
      </c>
    </row>
    <row r="1597" spans="1:55" s="471" customFormat="1">
      <c r="A1597" s="472"/>
      <c r="B1597" s="514">
        <v>44616</v>
      </c>
      <c r="C1597" s="514">
        <v>44616</v>
      </c>
      <c r="D1597" s="485" t="s">
        <v>3186</v>
      </c>
      <c r="E1597" s="474"/>
      <c r="F1597" s="474"/>
      <c r="G1597" s="474">
        <v>2022</v>
      </c>
      <c r="H1597" s="474">
        <v>4</v>
      </c>
      <c r="I1597" s="485"/>
      <c r="J1597" s="475"/>
      <c r="K1597" s="518" t="s">
        <v>3514</v>
      </c>
      <c r="L1597" s="519" t="s">
        <v>2378</v>
      </c>
      <c r="M1597" s="520">
        <v>44615</v>
      </c>
      <c r="N1597" s="520">
        <v>44615</v>
      </c>
      <c r="O1597" s="520"/>
      <c r="P1597" s="521"/>
      <c r="Q1597" s="521"/>
      <c r="R1597" s="521"/>
      <c r="S1597" s="519" t="s">
        <v>2379</v>
      </c>
      <c r="T1597" s="519">
        <v>60</v>
      </c>
      <c r="U1597" s="519">
        <v>49405140</v>
      </c>
      <c r="V1597" s="519" t="s">
        <v>973</v>
      </c>
      <c r="W1597" s="519">
        <v>400</v>
      </c>
      <c r="X1597" s="522">
        <v>832</v>
      </c>
      <c r="Y1597" s="470">
        <f>X1597*W1597</f>
        <v>332800</v>
      </c>
      <c r="Z1597" s="478">
        <f>188/400</f>
        <v>0.47</v>
      </c>
      <c r="AA1597" s="479">
        <f>Z1597*Y1597</f>
        <v>156416</v>
      </c>
      <c r="AB1597" s="480"/>
      <c r="AC1597" s="481">
        <f>AB1597*Y1597</f>
        <v>0</v>
      </c>
      <c r="AD1597" s="490"/>
      <c r="AE1597" s="482"/>
      <c r="AF1597" s="493">
        <f>AA1597+AE1597</f>
        <v>156416</v>
      </c>
      <c r="AG1597" s="474" t="s">
        <v>47</v>
      </c>
      <c r="AH1597" s="474"/>
      <c r="AI1597" s="483" t="s">
        <v>2374</v>
      </c>
      <c r="AJ1597" s="474" t="s">
        <v>2077</v>
      </c>
      <c r="AK1597" s="494" t="s">
        <v>50</v>
      </c>
      <c r="AL1597" s="474">
        <v>95206</v>
      </c>
      <c r="AM1597" s="474" t="s">
        <v>52</v>
      </c>
      <c r="AN1597" s="474" t="s">
        <v>1106</v>
      </c>
      <c r="AO1597" s="474"/>
      <c r="AP1597" s="486"/>
      <c r="AQ1597" s="486" t="s">
        <v>37</v>
      </c>
      <c r="AR1597" s="486"/>
      <c r="AS1597" s="495"/>
      <c r="AT1597" s="495"/>
      <c r="AU1597" s="478"/>
      <c r="AV1597" s="471">
        <f t="shared" si="276"/>
        <v>49405140</v>
      </c>
      <c r="AW1597" s="471" cm="1">
        <f t="array" ref="AW1597">SUM(MID(0&amp;AV1597,LARGE(INDEX(ISNUMBER(--MID(AV1597,ROW($1:$8),1))*ROW($1:$8),),ROW($1:$8))+1,1)*10^ROW($1:$8)/10)</f>
        <v>49405140</v>
      </c>
      <c r="AX1597" s="471" t="str">
        <f>VLOOKUP($AW1597,'Item Master Data'!$A:$F,3,FALSE)</f>
        <v>Q.PEAK DUO BLK ML G10+</v>
      </c>
      <c r="AY1597" s="471">
        <f>VLOOKUP($AW1597,'Item Master Data'!$A:$F,6,FALSE)</f>
        <v>400</v>
      </c>
      <c r="AZ1597" s="471">
        <f t="shared" si="277"/>
        <v>26</v>
      </c>
      <c r="BA1597" s="471">
        <f>VLOOKUP(AW1597,'Item Master Data'!$A:$G,7,FALSE)</f>
        <v>32</v>
      </c>
      <c r="BC1597" s="471">
        <f t="shared" si="278"/>
        <v>0</v>
      </c>
    </row>
    <row r="1598" spans="1:55" s="471" customFormat="1">
      <c r="A1598" s="472"/>
      <c r="B1598" s="514">
        <v>44616</v>
      </c>
      <c r="C1598" s="514">
        <v>44616</v>
      </c>
      <c r="D1598" s="485" t="s">
        <v>3186</v>
      </c>
      <c r="E1598" s="474"/>
      <c r="F1598" s="474"/>
      <c r="G1598" s="474">
        <v>2022</v>
      </c>
      <c r="H1598" s="474">
        <v>4</v>
      </c>
      <c r="I1598" s="485"/>
      <c r="J1598" s="475"/>
      <c r="K1598" s="518" t="s">
        <v>3513</v>
      </c>
      <c r="L1598" s="519" t="s">
        <v>2378</v>
      </c>
      <c r="M1598" s="520">
        <v>44615</v>
      </c>
      <c r="N1598" s="520">
        <v>44615</v>
      </c>
      <c r="O1598" s="520"/>
      <c r="P1598" s="521"/>
      <c r="Q1598" s="521"/>
      <c r="R1598" s="521"/>
      <c r="S1598" s="519" t="s">
        <v>2379</v>
      </c>
      <c r="T1598" s="519">
        <v>60</v>
      </c>
      <c r="U1598" s="519">
        <v>49405140</v>
      </c>
      <c r="V1598" s="519" t="s">
        <v>973</v>
      </c>
      <c r="W1598" s="519">
        <v>400</v>
      </c>
      <c r="X1598" s="522">
        <v>832</v>
      </c>
      <c r="Y1598" s="470">
        <f>X1598*W1598</f>
        <v>332800</v>
      </c>
      <c r="Z1598" s="478">
        <f>188/400</f>
        <v>0.47</v>
      </c>
      <c r="AA1598" s="479">
        <f>Z1598*Y1598</f>
        <v>156416</v>
      </c>
      <c r="AB1598" s="480"/>
      <c r="AC1598" s="481">
        <f>AB1598*Y1598</f>
        <v>0</v>
      </c>
      <c r="AD1598" s="490"/>
      <c r="AE1598" s="482"/>
      <c r="AF1598" s="493">
        <f>AA1598+AE1598</f>
        <v>156416</v>
      </c>
      <c r="AG1598" s="474" t="s">
        <v>47</v>
      </c>
      <c r="AH1598" s="474"/>
      <c r="AI1598" s="483" t="s">
        <v>2374</v>
      </c>
      <c r="AJ1598" s="474" t="s">
        <v>2426</v>
      </c>
      <c r="AK1598" s="494" t="s">
        <v>1144</v>
      </c>
      <c r="AL1598" s="474">
        <v>78219</v>
      </c>
      <c r="AM1598" s="474" t="s">
        <v>52</v>
      </c>
      <c r="AN1598" s="474" t="s">
        <v>1106</v>
      </c>
      <c r="AO1598" s="474"/>
      <c r="AP1598" s="486"/>
      <c r="AQ1598" s="486" t="s">
        <v>37</v>
      </c>
      <c r="AR1598" s="486"/>
      <c r="AS1598" s="495"/>
      <c r="AT1598" s="495"/>
      <c r="AU1598" s="478"/>
      <c r="AV1598" s="471">
        <f t="shared" si="276"/>
        <v>49405140</v>
      </c>
      <c r="AW1598" s="471" cm="1">
        <f t="array" ref="AW1598">SUM(MID(0&amp;AV1598,LARGE(INDEX(ISNUMBER(--MID(AV1598,ROW($1:$8),1))*ROW($1:$8),),ROW($1:$8))+1,1)*10^ROW($1:$8)/10)</f>
        <v>49405140</v>
      </c>
      <c r="AX1598" s="471" t="str">
        <f>VLOOKUP($AW1598,'Item Master Data'!$A:$F,3,FALSE)</f>
        <v>Q.PEAK DUO BLK ML G10+</v>
      </c>
      <c r="AY1598" s="471">
        <f>VLOOKUP($AW1598,'Item Master Data'!$A:$F,6,FALSE)</f>
        <v>400</v>
      </c>
      <c r="AZ1598" s="471">
        <f t="shared" si="277"/>
        <v>26</v>
      </c>
      <c r="BA1598" s="471">
        <f>VLOOKUP(AW1598,'Item Master Data'!$A:$G,7,FALSE)</f>
        <v>32</v>
      </c>
      <c r="BC1598" s="471">
        <f t="shared" si="278"/>
        <v>0</v>
      </c>
    </row>
    <row r="1599" spans="1:55" s="471" customFormat="1">
      <c r="A1599" s="472"/>
      <c r="B1599" s="514">
        <v>44616</v>
      </c>
      <c r="C1599" s="514">
        <v>44616</v>
      </c>
      <c r="D1599" s="485" t="s">
        <v>3186</v>
      </c>
      <c r="E1599" s="474"/>
      <c r="F1599" s="474"/>
      <c r="G1599" s="474">
        <v>2022</v>
      </c>
      <c r="H1599" s="474">
        <v>4</v>
      </c>
      <c r="I1599" s="485"/>
      <c r="J1599" s="475"/>
      <c r="K1599" s="518" t="s">
        <v>3512</v>
      </c>
      <c r="L1599" s="519" t="s">
        <v>2378</v>
      </c>
      <c r="M1599" s="520">
        <v>44615</v>
      </c>
      <c r="N1599" s="520">
        <v>44615</v>
      </c>
      <c r="O1599" s="520"/>
      <c r="P1599" s="521"/>
      <c r="Q1599" s="521"/>
      <c r="R1599" s="521"/>
      <c r="S1599" s="519" t="s">
        <v>2379</v>
      </c>
      <c r="T1599" s="519">
        <v>60</v>
      </c>
      <c r="U1599" s="519">
        <v>49405140</v>
      </c>
      <c r="V1599" s="519" t="s">
        <v>973</v>
      </c>
      <c r="W1599" s="519">
        <v>400</v>
      </c>
      <c r="X1599" s="522">
        <v>640</v>
      </c>
      <c r="Y1599" s="470">
        <f>X1599*W1599</f>
        <v>256000</v>
      </c>
      <c r="Z1599" s="478">
        <f>188/400</f>
        <v>0.47</v>
      </c>
      <c r="AA1599" s="479">
        <f>Z1599*Y1599</f>
        <v>120320</v>
      </c>
      <c r="AB1599" s="480"/>
      <c r="AC1599" s="481">
        <f>AB1599*Y1599</f>
        <v>0</v>
      </c>
      <c r="AD1599" s="490"/>
      <c r="AE1599" s="482"/>
      <c r="AF1599" s="493">
        <f>AA1599+AE1599</f>
        <v>120320</v>
      </c>
      <c r="AG1599" s="474" t="s">
        <v>47</v>
      </c>
      <c r="AH1599" s="474"/>
      <c r="AI1599" s="483" t="s">
        <v>2374</v>
      </c>
      <c r="AJ1599" s="474" t="s">
        <v>2421</v>
      </c>
      <c r="AK1599" s="494" t="s">
        <v>1158</v>
      </c>
      <c r="AL1599" s="474">
        <v>27560</v>
      </c>
      <c r="AM1599" s="474" t="s">
        <v>52</v>
      </c>
      <c r="AN1599" s="474" t="s">
        <v>1106</v>
      </c>
      <c r="AO1599" s="474"/>
      <c r="AP1599" s="486"/>
      <c r="AQ1599" s="486" t="s">
        <v>37</v>
      </c>
      <c r="AR1599" s="486"/>
      <c r="AS1599" s="495"/>
      <c r="AT1599" s="495"/>
      <c r="AU1599" s="478"/>
      <c r="AV1599" s="471">
        <f t="shared" si="276"/>
        <v>49405140</v>
      </c>
      <c r="AW1599" s="471" cm="1">
        <f t="array" ref="AW1599">SUM(MID(0&amp;AV1599,LARGE(INDEX(ISNUMBER(--MID(AV1599,ROW($1:$8),1))*ROW($1:$8),),ROW($1:$8))+1,1)*10^ROW($1:$8)/10)</f>
        <v>49405140</v>
      </c>
      <c r="AX1599" s="471" t="str">
        <f>VLOOKUP($AW1599,'Item Master Data'!$A:$F,3,FALSE)</f>
        <v>Q.PEAK DUO BLK ML G10+</v>
      </c>
      <c r="AY1599" s="471">
        <f>VLOOKUP($AW1599,'Item Master Data'!$A:$F,6,FALSE)</f>
        <v>400</v>
      </c>
      <c r="AZ1599" s="471">
        <f t="shared" si="277"/>
        <v>20</v>
      </c>
      <c r="BA1599" s="471">
        <f>VLOOKUP(AW1599,'Item Master Data'!$A:$G,7,FALSE)</f>
        <v>32</v>
      </c>
      <c r="BC1599" s="471">
        <f t="shared" si="278"/>
        <v>0</v>
      </c>
    </row>
    <row r="1600" spans="1:55" s="471" customFormat="1">
      <c r="A1600" s="472"/>
      <c r="B1600" s="514">
        <v>44616</v>
      </c>
      <c r="C1600" s="514">
        <v>44616</v>
      </c>
      <c r="D1600" s="485" t="s">
        <v>3186</v>
      </c>
      <c r="E1600" s="474"/>
      <c r="F1600" s="474"/>
      <c r="G1600" s="474">
        <v>2022</v>
      </c>
      <c r="H1600" s="474">
        <v>4</v>
      </c>
      <c r="I1600" s="485"/>
      <c r="J1600" s="475"/>
      <c r="K1600" s="518" t="s">
        <v>3511</v>
      </c>
      <c r="L1600" s="519" t="s">
        <v>2378</v>
      </c>
      <c r="M1600" s="520">
        <v>44615</v>
      </c>
      <c r="N1600" s="520">
        <v>44615</v>
      </c>
      <c r="O1600" s="520"/>
      <c r="P1600" s="521"/>
      <c r="Q1600" s="521"/>
      <c r="R1600" s="521"/>
      <c r="S1600" s="519" t="s">
        <v>2379</v>
      </c>
      <c r="T1600" s="519">
        <v>60</v>
      </c>
      <c r="U1600" s="519">
        <v>49405140</v>
      </c>
      <c r="V1600" s="519" t="s">
        <v>973</v>
      </c>
      <c r="W1600" s="519">
        <v>400</v>
      </c>
      <c r="X1600" s="522">
        <f>2496-1248</f>
        <v>1248</v>
      </c>
      <c r="Y1600" s="470">
        <f>X1600*W1600</f>
        <v>499200</v>
      </c>
      <c r="Z1600" s="478">
        <f>188/400</f>
        <v>0.47</v>
      </c>
      <c r="AA1600" s="479">
        <f>Z1600*Y1600</f>
        <v>234624</v>
      </c>
      <c r="AB1600" s="480"/>
      <c r="AC1600" s="481">
        <f>AB1600*Y1600</f>
        <v>0</v>
      </c>
      <c r="AD1600" s="490"/>
      <c r="AE1600" s="482"/>
      <c r="AF1600" s="493">
        <f>AA1600+AE1600</f>
        <v>234624</v>
      </c>
      <c r="AG1600" s="474" t="s">
        <v>47</v>
      </c>
      <c r="AH1600" s="474"/>
      <c r="AI1600" s="483" t="s">
        <v>2374</v>
      </c>
      <c r="AJ1600" s="474" t="s">
        <v>2437</v>
      </c>
      <c r="AK1600" s="494" t="s">
        <v>1084</v>
      </c>
      <c r="AL1600" s="474">
        <v>34741</v>
      </c>
      <c r="AM1600" s="474" t="s">
        <v>52</v>
      </c>
      <c r="AN1600" s="474" t="s">
        <v>1106</v>
      </c>
      <c r="AO1600" s="474"/>
      <c r="AP1600" s="486"/>
      <c r="AQ1600" s="486" t="s">
        <v>37</v>
      </c>
      <c r="AR1600" s="486"/>
      <c r="AS1600" s="495"/>
      <c r="AT1600" s="495"/>
      <c r="AU1600" s="478"/>
      <c r="AV1600" s="471">
        <f t="shared" si="276"/>
        <v>49405140</v>
      </c>
      <c r="AW1600" s="471" cm="1">
        <f t="array" ref="AW1600">SUM(MID(0&amp;AV1600,LARGE(INDEX(ISNUMBER(--MID(AV1600,ROW($1:$8),1))*ROW($1:$8),),ROW($1:$8))+1,1)*10^ROW($1:$8)/10)</f>
        <v>49405140</v>
      </c>
      <c r="AX1600" s="471" t="str">
        <f>VLOOKUP($AW1600,'Item Master Data'!$A:$F,3,FALSE)</f>
        <v>Q.PEAK DUO BLK ML G10+</v>
      </c>
      <c r="AY1600" s="471">
        <f>VLOOKUP($AW1600,'Item Master Data'!$A:$F,6,FALSE)</f>
        <v>400</v>
      </c>
      <c r="AZ1600" s="471">
        <f t="shared" si="277"/>
        <v>39</v>
      </c>
      <c r="BA1600" s="471">
        <f>VLOOKUP(AW1600,'Item Master Data'!$A:$G,7,FALSE)</f>
        <v>32</v>
      </c>
      <c r="BC1600" s="471">
        <f t="shared" si="278"/>
        <v>0</v>
      </c>
    </row>
    <row r="1601" spans="1:55" s="471" customFormat="1">
      <c r="A1601" s="472"/>
      <c r="B1601" s="514">
        <v>44616</v>
      </c>
      <c r="C1601" s="514">
        <v>44616</v>
      </c>
      <c r="D1601" s="485" t="s">
        <v>3186</v>
      </c>
      <c r="E1601" s="474"/>
      <c r="F1601" s="474"/>
      <c r="G1601" s="474">
        <v>2022</v>
      </c>
      <c r="H1601" s="474">
        <v>4</v>
      </c>
      <c r="I1601" s="485"/>
      <c r="J1601" s="475"/>
      <c r="K1601" s="518" t="s">
        <v>3510</v>
      </c>
      <c r="L1601" s="519" t="s">
        <v>2378</v>
      </c>
      <c r="M1601" s="520">
        <v>44615</v>
      </c>
      <c r="N1601" s="520">
        <v>44615</v>
      </c>
      <c r="O1601" s="520"/>
      <c r="P1601" s="521"/>
      <c r="Q1601" s="521"/>
      <c r="R1601" s="521"/>
      <c r="S1601" s="519" t="s">
        <v>2379</v>
      </c>
      <c r="T1601" s="519">
        <v>60</v>
      </c>
      <c r="U1601" s="519">
        <v>49405140</v>
      </c>
      <c r="V1601" s="519" t="s">
        <v>973</v>
      </c>
      <c r="W1601" s="519">
        <v>400</v>
      </c>
      <c r="X1601" s="522">
        <v>832</v>
      </c>
      <c r="Y1601" s="470">
        <f>X1601*W1601</f>
        <v>332800</v>
      </c>
      <c r="Z1601" s="478">
        <f>188/400</f>
        <v>0.47</v>
      </c>
      <c r="AA1601" s="479">
        <f>Z1601*Y1601</f>
        <v>156416</v>
      </c>
      <c r="AB1601" s="480"/>
      <c r="AC1601" s="481">
        <f>AB1601*Y1601</f>
        <v>0</v>
      </c>
      <c r="AD1601" s="490"/>
      <c r="AE1601" s="482"/>
      <c r="AF1601" s="493">
        <f>AA1601+AE1601</f>
        <v>156416</v>
      </c>
      <c r="AG1601" s="474" t="s">
        <v>47</v>
      </c>
      <c r="AH1601" s="474"/>
      <c r="AI1601" s="483" t="s">
        <v>2374</v>
      </c>
      <c r="AJ1601" s="474" t="s">
        <v>1950</v>
      </c>
      <c r="AK1601" s="494" t="s">
        <v>50</v>
      </c>
      <c r="AL1601" s="474">
        <v>91764</v>
      </c>
      <c r="AM1601" s="474" t="s">
        <v>52</v>
      </c>
      <c r="AN1601" s="474" t="s">
        <v>1106</v>
      </c>
      <c r="AO1601" s="474"/>
      <c r="AP1601" s="486"/>
      <c r="AQ1601" s="486" t="s">
        <v>37</v>
      </c>
      <c r="AR1601" s="486"/>
      <c r="AS1601" s="495"/>
      <c r="AT1601" s="495"/>
      <c r="AU1601" s="478"/>
      <c r="AV1601" s="471">
        <f t="shared" si="276"/>
        <v>49405140</v>
      </c>
      <c r="AW1601" s="471" cm="1">
        <f t="array" ref="AW1601">SUM(MID(0&amp;AV1601,LARGE(INDEX(ISNUMBER(--MID(AV1601,ROW($1:$8),1))*ROW($1:$8),),ROW($1:$8))+1,1)*10^ROW($1:$8)/10)</f>
        <v>49405140</v>
      </c>
      <c r="AX1601" s="471" t="str">
        <f>VLOOKUP($AW1601,'Item Master Data'!$A:$F,3,FALSE)</f>
        <v>Q.PEAK DUO BLK ML G10+</v>
      </c>
      <c r="AY1601" s="471">
        <f>VLOOKUP($AW1601,'Item Master Data'!$A:$F,6,FALSE)</f>
        <v>400</v>
      </c>
      <c r="AZ1601" s="471">
        <f t="shared" si="277"/>
        <v>26</v>
      </c>
      <c r="BA1601" s="471">
        <f>VLOOKUP(AW1601,'Item Master Data'!$A:$G,7,FALSE)</f>
        <v>32</v>
      </c>
      <c r="BC1601" s="471">
        <f t="shared" si="278"/>
        <v>0</v>
      </c>
    </row>
    <row r="1602" spans="1:55" s="471" customFormat="1">
      <c r="A1602" s="472"/>
      <c r="B1602" s="514">
        <v>44616</v>
      </c>
      <c r="C1602" s="514">
        <v>44616</v>
      </c>
      <c r="D1602" s="485" t="s">
        <v>3186</v>
      </c>
      <c r="E1602" s="474" t="s">
        <v>5421</v>
      </c>
      <c r="F1602" s="474"/>
      <c r="G1602" s="526">
        <v>2022</v>
      </c>
      <c r="H1602" s="526">
        <v>4</v>
      </c>
      <c r="I1602" s="546" t="s">
        <v>5389</v>
      </c>
      <c r="J1602" s="531"/>
      <c r="K1602" s="532" t="s">
        <v>3544</v>
      </c>
      <c r="L1602" s="526" t="s">
        <v>2378</v>
      </c>
      <c r="M1602" s="533">
        <v>44615</v>
      </c>
      <c r="N1602" s="533">
        <v>44615</v>
      </c>
      <c r="O1602" s="533"/>
      <c r="P1602" s="531">
        <v>44664</v>
      </c>
      <c r="Q1602" s="531">
        <v>44670</v>
      </c>
      <c r="R1602" s="531">
        <v>44678</v>
      </c>
      <c r="S1602" s="526" t="s">
        <v>2379</v>
      </c>
      <c r="T1602" s="526">
        <v>60</v>
      </c>
      <c r="U1602" s="526">
        <v>49405140</v>
      </c>
      <c r="V1602" s="526" t="s">
        <v>973</v>
      </c>
      <c r="W1602" s="526">
        <v>400</v>
      </c>
      <c r="X1602" s="534">
        <v>416</v>
      </c>
      <c r="Y1602" s="477">
        <f>X1602*W1602</f>
        <v>166400</v>
      </c>
      <c r="Z1602" s="478">
        <f>188/400</f>
        <v>0.47</v>
      </c>
      <c r="AA1602" s="479">
        <f>Z1602*Y1602</f>
        <v>78208</v>
      </c>
      <c r="AB1602" s="480"/>
      <c r="AC1602" s="481">
        <f>AB1602*Y1602</f>
        <v>0</v>
      </c>
      <c r="AD1602" s="490"/>
      <c r="AE1602" s="482"/>
      <c r="AF1602" s="493">
        <f>AA1602+AE1602</f>
        <v>78208</v>
      </c>
      <c r="AG1602" s="474" t="s">
        <v>47</v>
      </c>
      <c r="AH1602" s="474"/>
      <c r="AI1602" s="483" t="s">
        <v>2374</v>
      </c>
      <c r="AJ1602" s="474" t="s">
        <v>2394</v>
      </c>
      <c r="AK1602" s="494" t="s">
        <v>1133</v>
      </c>
      <c r="AL1602" s="474">
        <v>85714</v>
      </c>
      <c r="AM1602" s="474" t="s">
        <v>52</v>
      </c>
      <c r="AN1602" s="474" t="s">
        <v>1106</v>
      </c>
      <c r="AO1602" s="474"/>
      <c r="AP1602" s="486"/>
      <c r="AQ1602" s="486" t="s">
        <v>37</v>
      </c>
      <c r="AR1602" s="486"/>
      <c r="AS1602" s="495"/>
      <c r="AT1602" s="495"/>
      <c r="AU1602" s="478"/>
      <c r="AV1602" s="471">
        <f t="shared" si="276"/>
        <v>49405140</v>
      </c>
      <c r="AW1602" s="471" cm="1">
        <f t="array" ref="AW1602">SUM(MID(0&amp;AV1602,LARGE(INDEX(ISNUMBER(--MID(AV1602,ROW($1:$8),1))*ROW($1:$8),),ROW($1:$8))+1,1)*10^ROW($1:$8)/10)</f>
        <v>49405140</v>
      </c>
      <c r="AX1602" s="471" t="str">
        <f>VLOOKUP($AW1602,'Item Master Data'!$A:$F,3,FALSE)</f>
        <v>Q.PEAK DUO BLK ML G10+</v>
      </c>
      <c r="AY1602" s="471">
        <f>VLOOKUP($AW1602,'Item Master Data'!$A:$F,6,FALSE)</f>
        <v>400</v>
      </c>
      <c r="AZ1602" s="471">
        <f t="shared" si="277"/>
        <v>13</v>
      </c>
      <c r="BA1602" s="471">
        <f>VLOOKUP(AW1602,'Item Master Data'!$A:$G,7,FALSE)</f>
        <v>32</v>
      </c>
      <c r="BC1602" s="471">
        <f t="shared" si="278"/>
        <v>0</v>
      </c>
    </row>
    <row r="1603" spans="1:55" s="471" customFormat="1">
      <c r="A1603" s="472"/>
      <c r="B1603" s="514">
        <v>44616</v>
      </c>
      <c r="C1603" s="514">
        <v>44616</v>
      </c>
      <c r="D1603" s="485" t="s">
        <v>3186</v>
      </c>
      <c r="E1603" s="474" t="s">
        <v>3527</v>
      </c>
      <c r="F1603" s="474"/>
      <c r="G1603" s="526">
        <v>2022</v>
      </c>
      <c r="H1603" s="526">
        <v>4</v>
      </c>
      <c r="I1603" s="546" t="s">
        <v>1544</v>
      </c>
      <c r="J1603" s="531">
        <v>44677</v>
      </c>
      <c r="K1603" s="532" t="s">
        <v>3544</v>
      </c>
      <c r="L1603" s="526" t="s">
        <v>2378</v>
      </c>
      <c r="M1603" s="533">
        <v>44615</v>
      </c>
      <c r="N1603" s="533">
        <v>44615</v>
      </c>
      <c r="O1603" s="533"/>
      <c r="P1603" s="531">
        <v>44664</v>
      </c>
      <c r="Q1603" s="531">
        <v>44676</v>
      </c>
      <c r="R1603" s="531">
        <v>44677</v>
      </c>
      <c r="S1603" s="526" t="s">
        <v>2379</v>
      </c>
      <c r="T1603" s="526">
        <v>60</v>
      </c>
      <c r="U1603" s="526">
        <v>49405140</v>
      </c>
      <c r="V1603" s="526" t="s">
        <v>973</v>
      </c>
      <c r="W1603" s="526">
        <v>400</v>
      </c>
      <c r="X1603" s="534">
        <v>416</v>
      </c>
      <c r="Y1603" s="477">
        <f>X1603*W1603</f>
        <v>166400</v>
      </c>
      <c r="Z1603" s="478">
        <f>188/400</f>
        <v>0.47</v>
      </c>
      <c r="AA1603" s="479">
        <f>Z1603*Y1603</f>
        <v>78208</v>
      </c>
      <c r="AB1603" s="480"/>
      <c r="AC1603" s="481">
        <f>AB1603*Y1603</f>
        <v>0</v>
      </c>
      <c r="AD1603" s="490"/>
      <c r="AE1603" s="482"/>
      <c r="AF1603" s="493">
        <f>AA1603+AE1603</f>
        <v>78208</v>
      </c>
      <c r="AG1603" s="474" t="s">
        <v>47</v>
      </c>
      <c r="AH1603" s="474"/>
      <c r="AI1603" s="483" t="s">
        <v>2374</v>
      </c>
      <c r="AJ1603" s="474" t="s">
        <v>2388</v>
      </c>
      <c r="AK1603" s="494" t="s">
        <v>1375</v>
      </c>
      <c r="AL1603" s="474">
        <v>23502</v>
      </c>
      <c r="AM1603" s="474" t="s">
        <v>52</v>
      </c>
      <c r="AN1603" s="474" t="s">
        <v>1106</v>
      </c>
      <c r="AO1603" s="474"/>
      <c r="AP1603" s="486"/>
      <c r="AQ1603" s="486" t="s">
        <v>37</v>
      </c>
      <c r="AR1603" s="486"/>
      <c r="AS1603" s="495"/>
      <c r="AT1603" s="495"/>
      <c r="AU1603" s="478"/>
      <c r="AV1603" s="471">
        <f t="shared" si="276"/>
        <v>49405140</v>
      </c>
      <c r="AW1603" s="471" cm="1">
        <f t="array" ref="AW1603">SUM(MID(0&amp;AV1603,LARGE(INDEX(ISNUMBER(--MID(AV1603,ROW($1:$8),1))*ROW($1:$8),),ROW($1:$8))+1,1)*10^ROW($1:$8)/10)</f>
        <v>49405140</v>
      </c>
      <c r="AX1603" s="471" t="str">
        <f>VLOOKUP($AW1603,'Item Master Data'!$A:$F,3,FALSE)</f>
        <v>Q.PEAK DUO BLK ML G10+</v>
      </c>
      <c r="AY1603" s="471">
        <f>VLOOKUP($AW1603,'Item Master Data'!$A:$F,6,FALSE)</f>
        <v>400</v>
      </c>
      <c r="AZ1603" s="471">
        <f t="shared" si="277"/>
        <v>13</v>
      </c>
      <c r="BA1603" s="471">
        <f>VLOOKUP(AW1603,'Item Master Data'!$A:$G,7,FALSE)</f>
        <v>32</v>
      </c>
      <c r="BC1603" s="471">
        <f t="shared" si="278"/>
        <v>0</v>
      </c>
    </row>
    <row r="1604" spans="1:55" s="471" customFormat="1">
      <c r="A1604" s="472"/>
      <c r="B1604" s="514">
        <v>44616</v>
      </c>
      <c r="C1604" s="514">
        <v>44616</v>
      </c>
      <c r="D1604" s="485" t="s">
        <v>3186</v>
      </c>
      <c r="E1604" s="474" t="s">
        <v>3525</v>
      </c>
      <c r="F1604" s="474"/>
      <c r="G1604" s="526">
        <v>2022</v>
      </c>
      <c r="H1604" s="526">
        <v>4</v>
      </c>
      <c r="I1604" s="546">
        <v>128238</v>
      </c>
      <c r="J1604" s="531">
        <v>44673</v>
      </c>
      <c r="K1604" s="532" t="s">
        <v>3543</v>
      </c>
      <c r="L1604" s="526" t="s">
        <v>2378</v>
      </c>
      <c r="M1604" s="533">
        <v>44615</v>
      </c>
      <c r="N1604" s="533">
        <v>44615</v>
      </c>
      <c r="O1604" s="533"/>
      <c r="P1604" s="531">
        <v>44664</v>
      </c>
      <c r="Q1604" s="531">
        <v>44670</v>
      </c>
      <c r="R1604" s="531">
        <v>44673</v>
      </c>
      <c r="S1604" s="526" t="s">
        <v>2379</v>
      </c>
      <c r="T1604" s="526">
        <v>60</v>
      </c>
      <c r="U1604" s="526">
        <v>49405140</v>
      </c>
      <c r="V1604" s="526" t="s">
        <v>973</v>
      </c>
      <c r="W1604" s="526">
        <v>400</v>
      </c>
      <c r="X1604" s="534">
        <v>1664</v>
      </c>
      <c r="Y1604" s="477">
        <f>X1604*W1604</f>
        <v>665600</v>
      </c>
      <c r="Z1604" s="478">
        <f>188/400</f>
        <v>0.47</v>
      </c>
      <c r="AA1604" s="479">
        <f>Z1604*Y1604</f>
        <v>312832</v>
      </c>
      <c r="AB1604" s="480"/>
      <c r="AC1604" s="481">
        <f>AB1604*Y1604</f>
        <v>0</v>
      </c>
      <c r="AD1604" s="490"/>
      <c r="AE1604" s="482"/>
      <c r="AF1604" s="493">
        <f>AA1604+AE1604</f>
        <v>312832</v>
      </c>
      <c r="AG1604" s="474" t="s">
        <v>47</v>
      </c>
      <c r="AH1604" s="474"/>
      <c r="AI1604" s="483" t="s">
        <v>2374</v>
      </c>
      <c r="AJ1604" s="474" t="s">
        <v>1132</v>
      </c>
      <c r="AK1604" s="494" t="s">
        <v>1133</v>
      </c>
      <c r="AL1604" s="474">
        <v>85210</v>
      </c>
      <c r="AM1604" s="474" t="s">
        <v>52</v>
      </c>
      <c r="AN1604" s="474" t="s">
        <v>1106</v>
      </c>
      <c r="AO1604" s="474"/>
      <c r="AP1604" s="486"/>
      <c r="AQ1604" s="486" t="s">
        <v>37</v>
      </c>
      <c r="AR1604" s="486"/>
      <c r="AS1604" s="495"/>
      <c r="AT1604" s="495"/>
      <c r="AU1604" s="478"/>
      <c r="AV1604" s="471">
        <f t="shared" si="276"/>
        <v>49405140</v>
      </c>
      <c r="AW1604" s="471" cm="1">
        <f t="array" ref="AW1604">SUM(MID(0&amp;AV1604,LARGE(INDEX(ISNUMBER(--MID(AV1604,ROW($1:$8),1))*ROW($1:$8),),ROW($1:$8))+1,1)*10^ROW($1:$8)/10)</f>
        <v>49405140</v>
      </c>
      <c r="AX1604" s="471" t="str">
        <f>VLOOKUP($AW1604,'Item Master Data'!$A:$F,3,FALSE)</f>
        <v>Q.PEAK DUO BLK ML G10+</v>
      </c>
      <c r="AY1604" s="471">
        <f>VLOOKUP($AW1604,'Item Master Data'!$A:$F,6,FALSE)</f>
        <v>400</v>
      </c>
      <c r="AZ1604" s="471">
        <f t="shared" si="277"/>
        <v>52</v>
      </c>
      <c r="BA1604" s="471">
        <f>VLOOKUP(AW1604,'Item Master Data'!$A:$G,7,FALSE)</f>
        <v>32</v>
      </c>
      <c r="BC1604" s="471">
        <f t="shared" si="278"/>
        <v>0</v>
      </c>
    </row>
    <row r="1605" spans="1:55" s="471" customFormat="1">
      <c r="A1605" s="472"/>
      <c r="B1605" s="514">
        <v>44616</v>
      </c>
      <c r="C1605" s="514">
        <v>44616</v>
      </c>
      <c r="D1605" s="485" t="s">
        <v>3186</v>
      </c>
      <c r="E1605" s="474" t="s">
        <v>3527</v>
      </c>
      <c r="F1605" s="474"/>
      <c r="G1605" s="526">
        <v>2022</v>
      </c>
      <c r="H1605" s="526">
        <v>4</v>
      </c>
      <c r="I1605" s="546">
        <v>128227</v>
      </c>
      <c r="J1605" s="531">
        <v>44676</v>
      </c>
      <c r="K1605" s="532" t="s">
        <v>3543</v>
      </c>
      <c r="L1605" s="526" t="s">
        <v>2378</v>
      </c>
      <c r="M1605" s="533">
        <v>44615</v>
      </c>
      <c r="N1605" s="533">
        <v>44615</v>
      </c>
      <c r="O1605" s="533"/>
      <c r="P1605" s="531">
        <v>44664</v>
      </c>
      <c r="Q1605" s="531">
        <v>44672</v>
      </c>
      <c r="R1605" s="531">
        <v>44676</v>
      </c>
      <c r="S1605" s="526" t="s">
        <v>2379</v>
      </c>
      <c r="T1605" s="526">
        <v>60</v>
      </c>
      <c r="U1605" s="526">
        <v>49405140</v>
      </c>
      <c r="V1605" s="526" t="s">
        <v>973</v>
      </c>
      <c r="W1605" s="526">
        <v>400</v>
      </c>
      <c r="X1605" s="534">
        <v>800</v>
      </c>
      <c r="Y1605" s="477">
        <f>X1605*W1605</f>
        <v>320000</v>
      </c>
      <c r="Z1605" s="478">
        <f>188/400</f>
        <v>0.47</v>
      </c>
      <c r="AA1605" s="479">
        <f>Z1605*Y1605</f>
        <v>150400</v>
      </c>
      <c r="AB1605" s="480"/>
      <c r="AC1605" s="481">
        <f>AB1605*Y1605</f>
        <v>0</v>
      </c>
      <c r="AD1605" s="490"/>
      <c r="AE1605" s="482"/>
      <c r="AF1605" s="493">
        <f>AA1605+AE1605</f>
        <v>150400</v>
      </c>
      <c r="AG1605" s="474" t="s">
        <v>47</v>
      </c>
      <c r="AH1605" s="474"/>
      <c r="AI1605" s="483" t="s">
        <v>2374</v>
      </c>
      <c r="AJ1605" s="474" t="s">
        <v>1132</v>
      </c>
      <c r="AK1605" s="494" t="s">
        <v>1133</v>
      </c>
      <c r="AL1605" s="474">
        <v>85210</v>
      </c>
      <c r="AM1605" s="474" t="s">
        <v>52</v>
      </c>
      <c r="AN1605" s="474" t="s">
        <v>1106</v>
      </c>
      <c r="AO1605" s="474"/>
      <c r="AP1605" s="486"/>
      <c r="AQ1605" s="486" t="s">
        <v>37</v>
      </c>
      <c r="AR1605" s="486"/>
      <c r="AS1605" s="495"/>
      <c r="AT1605" s="495"/>
      <c r="AU1605" s="478"/>
      <c r="AV1605" s="471">
        <f t="shared" si="276"/>
        <v>49405140</v>
      </c>
      <c r="AW1605" s="471" cm="1">
        <f t="array" ref="AW1605">SUM(MID(0&amp;AV1605,LARGE(INDEX(ISNUMBER(--MID(AV1605,ROW($1:$8),1))*ROW($1:$8),),ROW($1:$8))+1,1)*10^ROW($1:$8)/10)</f>
        <v>49405140</v>
      </c>
      <c r="AX1605" s="471" t="str">
        <f>VLOOKUP($AW1605,'Item Master Data'!$A:$F,3,FALSE)</f>
        <v>Q.PEAK DUO BLK ML G10+</v>
      </c>
      <c r="AY1605" s="471">
        <f>VLOOKUP($AW1605,'Item Master Data'!$A:$F,6,FALSE)</f>
        <v>400</v>
      </c>
      <c r="AZ1605" s="471">
        <f t="shared" si="277"/>
        <v>25</v>
      </c>
      <c r="BA1605" s="471">
        <f>VLOOKUP(AW1605,'Item Master Data'!$A:$G,7,FALSE)</f>
        <v>32</v>
      </c>
      <c r="BC1605" s="471">
        <f t="shared" si="278"/>
        <v>0</v>
      </c>
    </row>
    <row r="1606" spans="1:55" s="471" customFormat="1">
      <c r="A1606" s="472"/>
      <c r="B1606" s="514">
        <v>44616</v>
      </c>
      <c r="C1606" s="514">
        <v>44616</v>
      </c>
      <c r="D1606" s="485" t="s">
        <v>3186</v>
      </c>
      <c r="E1606" s="474" t="s">
        <v>3527</v>
      </c>
      <c r="F1606" s="474"/>
      <c r="G1606" s="526">
        <v>2022</v>
      </c>
      <c r="H1606" s="526">
        <v>4</v>
      </c>
      <c r="I1606" s="546"/>
      <c r="J1606" s="531" t="s">
        <v>5647</v>
      </c>
      <c r="K1606" s="532" t="s">
        <v>3543</v>
      </c>
      <c r="L1606" s="526" t="s">
        <v>2378</v>
      </c>
      <c r="M1606" s="533">
        <v>44615</v>
      </c>
      <c r="N1606" s="533">
        <v>44615</v>
      </c>
      <c r="O1606" s="533"/>
      <c r="P1606" s="531">
        <v>44664</v>
      </c>
      <c r="Q1606" s="531">
        <v>44679</v>
      </c>
      <c r="R1606" s="531">
        <v>44680</v>
      </c>
      <c r="S1606" s="526" t="s">
        <v>2379</v>
      </c>
      <c r="T1606" s="526">
        <v>60</v>
      </c>
      <c r="U1606" s="526" t="s">
        <v>1281</v>
      </c>
      <c r="V1606" s="526" t="s">
        <v>973</v>
      </c>
      <c r="W1606" s="526">
        <v>400</v>
      </c>
      <c r="X1606" s="534">
        <v>800</v>
      </c>
      <c r="Y1606" s="477">
        <f>X1606*W1606</f>
        <v>320000</v>
      </c>
      <c r="Z1606" s="478">
        <f>188/400</f>
        <v>0.47</v>
      </c>
      <c r="AA1606" s="479">
        <f>Z1606*Y1606</f>
        <v>150400</v>
      </c>
      <c r="AB1606" s="480"/>
      <c r="AC1606" s="481">
        <f>AB1606*Y1606</f>
        <v>0</v>
      </c>
      <c r="AD1606" s="490"/>
      <c r="AE1606" s="482"/>
      <c r="AF1606" s="493">
        <f>AA1606+AE1606</f>
        <v>150400</v>
      </c>
      <c r="AG1606" s="474" t="s">
        <v>47</v>
      </c>
      <c r="AH1606" s="474"/>
      <c r="AI1606" s="483" t="s">
        <v>2374</v>
      </c>
      <c r="AJ1606" s="474" t="s">
        <v>1132</v>
      </c>
      <c r="AK1606" s="494" t="s">
        <v>1133</v>
      </c>
      <c r="AL1606" s="474">
        <v>85210</v>
      </c>
      <c r="AM1606" s="474" t="s">
        <v>52</v>
      </c>
      <c r="AN1606" s="474" t="s">
        <v>50</v>
      </c>
      <c r="AO1606" s="474"/>
      <c r="AP1606" s="486"/>
      <c r="AQ1606" s="486" t="s">
        <v>37</v>
      </c>
      <c r="AR1606" s="486"/>
      <c r="AS1606" s="495"/>
      <c r="AT1606" s="495"/>
      <c r="AU1606" s="478"/>
      <c r="AV1606" s="471" t="str">
        <f t="shared" si="276"/>
        <v>30390456H</v>
      </c>
      <c r="AW1606" s="471" cm="1">
        <f t="array" ref="AW1606">SUM(MID(0&amp;AV1606,LARGE(INDEX(ISNUMBER(--MID(AV1606,ROW($1:$8),1))*ROW($1:$8),),ROW($1:$8))+1,1)*10^ROW($1:$8)/10)</f>
        <v>30390456</v>
      </c>
      <c r="AX1606" s="471" t="str">
        <f>VLOOKUP($AW1606,'Item Master Data'!$A:$F,3,FALSE)</f>
        <v>Q.PEAK DUO BLK ML G10+</v>
      </c>
      <c r="AY1606" s="471">
        <f>VLOOKUP($AW1606,'Item Master Data'!$A:$F,6,FALSE)</f>
        <v>400</v>
      </c>
      <c r="AZ1606" s="471">
        <f t="shared" si="277"/>
        <v>25</v>
      </c>
      <c r="BA1606" s="471">
        <f>VLOOKUP(AW1606,'Item Master Data'!$A:$G,7,FALSE)</f>
        <v>32</v>
      </c>
      <c r="BC1606" s="471">
        <f t="shared" si="278"/>
        <v>0</v>
      </c>
    </row>
    <row r="1607" spans="1:55" s="471" customFormat="1">
      <c r="A1607" s="472"/>
      <c r="B1607" s="514">
        <v>44616</v>
      </c>
      <c r="C1607" s="514">
        <v>44616</v>
      </c>
      <c r="D1607" s="485" t="s">
        <v>3186</v>
      </c>
      <c r="E1607" s="474"/>
      <c r="F1607" s="474"/>
      <c r="G1607" s="474">
        <v>2022</v>
      </c>
      <c r="H1607" s="474">
        <v>4</v>
      </c>
      <c r="I1607" s="485"/>
      <c r="J1607" s="475"/>
      <c r="K1607" s="518" t="s">
        <v>3509</v>
      </c>
      <c r="L1607" s="519" t="s">
        <v>2378</v>
      </c>
      <c r="M1607" s="520">
        <v>44615</v>
      </c>
      <c r="N1607" s="520">
        <v>44615</v>
      </c>
      <c r="O1607" s="520"/>
      <c r="P1607" s="521"/>
      <c r="Q1607" s="521"/>
      <c r="R1607" s="521"/>
      <c r="S1607" s="519" t="s">
        <v>2379</v>
      </c>
      <c r="T1607" s="519">
        <v>60</v>
      </c>
      <c r="U1607" s="519">
        <v>49405140</v>
      </c>
      <c r="V1607" s="519" t="s">
        <v>973</v>
      </c>
      <c r="W1607" s="519">
        <v>400</v>
      </c>
      <c r="X1607" s="522">
        <v>1280</v>
      </c>
      <c r="Y1607" s="470">
        <f>X1607*W1607</f>
        <v>512000</v>
      </c>
      <c r="Z1607" s="478">
        <f>188/400</f>
        <v>0.47</v>
      </c>
      <c r="AA1607" s="479">
        <f>Z1607*Y1607</f>
        <v>240640</v>
      </c>
      <c r="AB1607" s="480"/>
      <c r="AC1607" s="481">
        <f>AB1607*Y1607</f>
        <v>0</v>
      </c>
      <c r="AD1607" s="490"/>
      <c r="AE1607" s="482"/>
      <c r="AF1607" s="493">
        <f>AA1607+AE1607</f>
        <v>240640</v>
      </c>
      <c r="AG1607" s="474" t="s">
        <v>47</v>
      </c>
      <c r="AH1607" s="474"/>
      <c r="AI1607" s="483" t="s">
        <v>2374</v>
      </c>
      <c r="AJ1607" s="474" t="s">
        <v>1384</v>
      </c>
      <c r="AK1607" s="494" t="s">
        <v>1144</v>
      </c>
      <c r="AL1607" s="474">
        <v>77041</v>
      </c>
      <c r="AM1607" s="474" t="s">
        <v>52</v>
      </c>
      <c r="AN1607" s="474" t="s">
        <v>1106</v>
      </c>
      <c r="AO1607" s="474"/>
      <c r="AP1607" s="486"/>
      <c r="AQ1607" s="486" t="s">
        <v>37</v>
      </c>
      <c r="AR1607" s="486"/>
      <c r="AS1607" s="495"/>
      <c r="AT1607" s="495"/>
      <c r="AU1607" s="478"/>
      <c r="AV1607" s="471">
        <f t="shared" si="276"/>
        <v>49405140</v>
      </c>
      <c r="AW1607" s="471" cm="1">
        <f t="array" ref="AW1607">SUM(MID(0&amp;AV1607,LARGE(INDEX(ISNUMBER(--MID(AV1607,ROW($1:$8),1))*ROW($1:$8),),ROW($1:$8))+1,1)*10^ROW($1:$8)/10)</f>
        <v>49405140</v>
      </c>
      <c r="AX1607" s="471" t="str">
        <f>VLOOKUP($AW1607,'Item Master Data'!$A:$F,3,FALSE)</f>
        <v>Q.PEAK DUO BLK ML G10+</v>
      </c>
      <c r="AY1607" s="471">
        <f>VLOOKUP($AW1607,'Item Master Data'!$A:$F,6,FALSE)</f>
        <v>400</v>
      </c>
      <c r="AZ1607" s="471">
        <f t="shared" si="277"/>
        <v>40</v>
      </c>
      <c r="BA1607" s="471">
        <f>VLOOKUP(AW1607,'Item Master Data'!$A:$G,7,FALSE)</f>
        <v>32</v>
      </c>
      <c r="BC1607" s="471">
        <f t="shared" si="278"/>
        <v>0</v>
      </c>
    </row>
    <row r="1608" spans="1:55" s="471" customFormat="1">
      <c r="A1608" s="472"/>
      <c r="B1608" s="514">
        <v>44616</v>
      </c>
      <c r="C1608" s="514">
        <v>44616</v>
      </c>
      <c r="D1608" s="485" t="s">
        <v>3186</v>
      </c>
      <c r="E1608" s="474" t="s">
        <v>5422</v>
      </c>
      <c r="F1608" s="474"/>
      <c r="G1608" s="647">
        <v>2022</v>
      </c>
      <c r="H1608" s="647">
        <v>5</v>
      </c>
      <c r="I1608" s="546"/>
      <c r="J1608" s="546" t="s">
        <v>5646</v>
      </c>
      <c r="K1608" s="532" t="s">
        <v>3547</v>
      </c>
      <c r="L1608" s="526" t="s">
        <v>2378</v>
      </c>
      <c r="M1608" s="533">
        <v>44615</v>
      </c>
      <c r="N1608" s="533">
        <v>44615</v>
      </c>
      <c r="O1608" s="533"/>
      <c r="P1608" s="531">
        <v>44678</v>
      </c>
      <c r="Q1608" s="531"/>
      <c r="R1608" s="531"/>
      <c r="S1608" s="526" t="s">
        <v>2379</v>
      </c>
      <c r="T1608" s="526">
        <v>60</v>
      </c>
      <c r="U1608" s="526" t="s">
        <v>1281</v>
      </c>
      <c r="V1608" s="526" t="s">
        <v>973</v>
      </c>
      <c r="W1608" s="526">
        <v>400</v>
      </c>
      <c r="X1608" s="534">
        <v>320</v>
      </c>
      <c r="Y1608" s="477">
        <f>X1608*W1608</f>
        <v>128000</v>
      </c>
      <c r="Z1608" s="478">
        <f>188/400</f>
        <v>0.47</v>
      </c>
      <c r="AA1608" s="479">
        <f>Z1608*Y1608</f>
        <v>60160</v>
      </c>
      <c r="AB1608" s="480"/>
      <c r="AC1608" s="481">
        <f>AB1608*Y1608</f>
        <v>0</v>
      </c>
      <c r="AD1608" s="490"/>
      <c r="AE1608" s="482"/>
      <c r="AF1608" s="493">
        <f>AA1608+AE1608</f>
        <v>60160</v>
      </c>
      <c r="AG1608" s="474" t="s">
        <v>47</v>
      </c>
      <c r="AH1608" s="474"/>
      <c r="AI1608" s="483" t="s">
        <v>2374</v>
      </c>
      <c r="AJ1608" s="474" t="s">
        <v>2405</v>
      </c>
      <c r="AK1608" s="494" t="s">
        <v>2406</v>
      </c>
      <c r="AL1608" s="474">
        <v>29673</v>
      </c>
      <c r="AM1608" s="474" t="s">
        <v>52</v>
      </c>
      <c r="AN1608" s="474" t="s">
        <v>1085</v>
      </c>
      <c r="AO1608" s="474"/>
      <c r="AP1608" s="486"/>
      <c r="AQ1608" s="486" t="s">
        <v>37</v>
      </c>
      <c r="AR1608" s="486"/>
      <c r="AS1608" s="495"/>
      <c r="AT1608" s="495"/>
      <c r="AU1608" s="478"/>
      <c r="AV1608" s="471" t="str">
        <f t="shared" si="276"/>
        <v>30390456H</v>
      </c>
      <c r="AW1608" s="471" cm="1">
        <f t="array" ref="AW1608">SUM(MID(0&amp;AV1608,LARGE(INDEX(ISNUMBER(--MID(AV1608,ROW($1:$8),1))*ROW($1:$8),),ROW($1:$8))+1,1)*10^ROW($1:$8)/10)</f>
        <v>30390456</v>
      </c>
      <c r="AX1608" s="471" t="str">
        <f>VLOOKUP($AW1608,'Item Master Data'!$A:$F,3,FALSE)</f>
        <v>Q.PEAK DUO BLK ML G10+</v>
      </c>
      <c r="AY1608" s="471">
        <f>VLOOKUP($AW1608,'Item Master Data'!$A:$F,6,FALSE)</f>
        <v>400</v>
      </c>
      <c r="AZ1608" s="471">
        <f t="shared" si="277"/>
        <v>10</v>
      </c>
      <c r="BA1608" s="471">
        <f>VLOOKUP(AW1608,'Item Master Data'!$A:$G,7,FALSE)</f>
        <v>32</v>
      </c>
      <c r="BC1608" s="471">
        <f t="shared" si="278"/>
        <v>0</v>
      </c>
    </row>
    <row r="1609" spans="1:55" s="471" customFormat="1">
      <c r="A1609" s="472"/>
      <c r="B1609" s="514">
        <v>44616</v>
      </c>
      <c r="C1609" s="514">
        <v>44616</v>
      </c>
      <c r="D1609" s="485" t="s">
        <v>3186</v>
      </c>
      <c r="E1609" s="474" t="s">
        <v>3546</v>
      </c>
      <c r="F1609" s="474"/>
      <c r="G1609" s="647">
        <v>2022</v>
      </c>
      <c r="H1609" s="647">
        <v>4</v>
      </c>
      <c r="I1609" s="546" t="s">
        <v>5389</v>
      </c>
      <c r="J1609" s="538">
        <v>44673</v>
      </c>
      <c r="K1609" s="532" t="s">
        <v>3547</v>
      </c>
      <c r="L1609" s="526" t="s">
        <v>2378</v>
      </c>
      <c r="M1609" s="533">
        <v>44615</v>
      </c>
      <c r="N1609" s="533">
        <v>44615</v>
      </c>
      <c r="O1609" s="533"/>
      <c r="P1609" s="531">
        <v>44666</v>
      </c>
      <c r="Q1609" s="531">
        <v>44672</v>
      </c>
      <c r="R1609" s="531">
        <v>44673</v>
      </c>
      <c r="S1609" s="526" t="s">
        <v>2379</v>
      </c>
      <c r="T1609" s="526">
        <v>60</v>
      </c>
      <c r="U1609" s="526">
        <v>49405140</v>
      </c>
      <c r="V1609" s="526" t="s">
        <v>973</v>
      </c>
      <c r="W1609" s="526">
        <v>400</v>
      </c>
      <c r="X1609" s="569">
        <v>416</v>
      </c>
      <c r="Y1609" s="477">
        <f>X1609*W1609</f>
        <v>166400</v>
      </c>
      <c r="Z1609" s="478">
        <f>188/400</f>
        <v>0.47</v>
      </c>
      <c r="AA1609" s="479">
        <f>Z1609*Y1609</f>
        <v>78208</v>
      </c>
      <c r="AB1609" s="480"/>
      <c r="AC1609" s="481">
        <f>AB1609*Y1609</f>
        <v>0</v>
      </c>
      <c r="AD1609" s="490"/>
      <c r="AE1609" s="482"/>
      <c r="AF1609" s="493">
        <f>AA1609+AE1609</f>
        <v>78208</v>
      </c>
      <c r="AG1609" s="474" t="s">
        <v>47</v>
      </c>
      <c r="AH1609" s="474"/>
      <c r="AI1609" s="483" t="s">
        <v>2374</v>
      </c>
      <c r="AJ1609" s="474" t="s">
        <v>2405</v>
      </c>
      <c r="AK1609" s="494" t="s">
        <v>2406</v>
      </c>
      <c r="AL1609" s="474">
        <v>29673</v>
      </c>
      <c r="AM1609" s="474" t="s">
        <v>52</v>
      </c>
      <c r="AN1609" s="474" t="s">
        <v>1106</v>
      </c>
      <c r="AO1609" s="474"/>
      <c r="AP1609" s="486"/>
      <c r="AQ1609" s="486" t="s">
        <v>37</v>
      </c>
      <c r="AR1609" s="486"/>
      <c r="AS1609" s="495"/>
      <c r="AT1609" s="495"/>
      <c r="AU1609" s="478"/>
      <c r="AV1609" s="471">
        <f t="shared" si="276"/>
        <v>49405140</v>
      </c>
      <c r="AW1609" s="471" cm="1">
        <f t="array" ref="AW1609">SUM(MID(0&amp;AV1609,LARGE(INDEX(ISNUMBER(--MID(AV1609,ROW($1:$8),1))*ROW($1:$8),),ROW($1:$8))+1,1)*10^ROW($1:$8)/10)</f>
        <v>49405140</v>
      </c>
      <c r="AX1609" s="471" t="str">
        <f>VLOOKUP($AW1609,'Item Master Data'!$A:$F,3,FALSE)</f>
        <v>Q.PEAK DUO BLK ML G10+</v>
      </c>
      <c r="AY1609" s="471">
        <f>VLOOKUP($AW1609,'Item Master Data'!$A:$F,6,FALSE)</f>
        <v>400</v>
      </c>
      <c r="AZ1609" s="471">
        <f t="shared" si="277"/>
        <v>13</v>
      </c>
      <c r="BA1609" s="471">
        <f>VLOOKUP(AW1609,'Item Master Data'!$A:$G,7,FALSE)</f>
        <v>32</v>
      </c>
      <c r="BC1609" s="471">
        <f t="shared" si="278"/>
        <v>0</v>
      </c>
    </row>
    <row r="1610" spans="1:55" s="471" customFormat="1">
      <c r="A1610" s="472"/>
      <c r="B1610" s="514">
        <v>44616</v>
      </c>
      <c r="C1610" s="514">
        <v>44616</v>
      </c>
      <c r="D1610" s="485" t="s">
        <v>3186</v>
      </c>
      <c r="E1610" s="474" t="s">
        <v>3527</v>
      </c>
      <c r="F1610" s="474"/>
      <c r="G1610" s="647">
        <v>2022</v>
      </c>
      <c r="H1610" s="647">
        <v>4</v>
      </c>
      <c r="I1610" s="546" t="s">
        <v>5389</v>
      </c>
      <c r="J1610" s="531"/>
      <c r="K1610" s="532" t="s">
        <v>3547</v>
      </c>
      <c r="L1610" s="526" t="s">
        <v>2378</v>
      </c>
      <c r="M1610" s="533">
        <v>44615</v>
      </c>
      <c r="N1610" s="533">
        <v>44615</v>
      </c>
      <c r="O1610" s="533"/>
      <c r="P1610" s="531">
        <v>44664</v>
      </c>
      <c r="Q1610" s="531">
        <v>44671</v>
      </c>
      <c r="R1610" s="531">
        <v>44678</v>
      </c>
      <c r="S1610" s="526" t="s">
        <v>2379</v>
      </c>
      <c r="T1610" s="526">
        <v>60</v>
      </c>
      <c r="U1610" s="526">
        <v>49405140</v>
      </c>
      <c r="V1610" s="526" t="s">
        <v>973</v>
      </c>
      <c r="W1610" s="526">
        <v>400</v>
      </c>
      <c r="X1610" s="534">
        <v>320</v>
      </c>
      <c r="Y1610" s="477">
        <f>X1610*W1610</f>
        <v>128000</v>
      </c>
      <c r="Z1610" s="478">
        <f>188/400</f>
        <v>0.47</v>
      </c>
      <c r="AA1610" s="479">
        <f>Z1610*Y1610</f>
        <v>60160</v>
      </c>
      <c r="AB1610" s="480"/>
      <c r="AC1610" s="481">
        <f>AB1610*Y1610</f>
        <v>0</v>
      </c>
      <c r="AD1610" s="490"/>
      <c r="AE1610" s="482"/>
      <c r="AF1610" s="493">
        <f>AA1610+AE1610</f>
        <v>60160</v>
      </c>
      <c r="AG1610" s="474" t="s">
        <v>47</v>
      </c>
      <c r="AH1610" s="474"/>
      <c r="AI1610" s="483" t="s">
        <v>2374</v>
      </c>
      <c r="AJ1610" s="474" t="s">
        <v>2397</v>
      </c>
      <c r="AK1610" s="494" t="s">
        <v>1133</v>
      </c>
      <c r="AL1610" s="474">
        <v>85365</v>
      </c>
      <c r="AM1610" s="474" t="s">
        <v>52</v>
      </c>
      <c r="AN1610" s="474" t="s">
        <v>1106</v>
      </c>
      <c r="AO1610" s="474"/>
      <c r="AP1610" s="486"/>
      <c r="AQ1610" s="486" t="s">
        <v>37</v>
      </c>
      <c r="AR1610" s="486"/>
      <c r="AS1610" s="495"/>
      <c r="AT1610" s="495"/>
      <c r="AU1610" s="478"/>
      <c r="AV1610" s="471">
        <f t="shared" si="276"/>
        <v>49405140</v>
      </c>
      <c r="AW1610" s="471" cm="1">
        <f t="array" ref="AW1610">SUM(MID(0&amp;AV1610,LARGE(INDEX(ISNUMBER(--MID(AV1610,ROW($1:$8),1))*ROW($1:$8),),ROW($1:$8))+1,1)*10^ROW($1:$8)/10)</f>
        <v>49405140</v>
      </c>
      <c r="AX1610" s="471" t="str">
        <f>VLOOKUP($AW1610,'Item Master Data'!$A:$F,3,FALSE)</f>
        <v>Q.PEAK DUO BLK ML G10+</v>
      </c>
      <c r="AY1610" s="471">
        <f>VLOOKUP($AW1610,'Item Master Data'!$A:$F,6,FALSE)</f>
        <v>400</v>
      </c>
      <c r="AZ1610" s="471">
        <f t="shared" si="277"/>
        <v>10</v>
      </c>
      <c r="BA1610" s="471">
        <f>VLOOKUP(AW1610,'Item Master Data'!$A:$G,7,FALSE)</f>
        <v>32</v>
      </c>
      <c r="BC1610" s="471">
        <f t="shared" si="278"/>
        <v>0</v>
      </c>
    </row>
    <row r="1611" spans="1:55" s="471" customFormat="1">
      <c r="A1611" s="472"/>
      <c r="B1611" s="514">
        <v>44616</v>
      </c>
      <c r="C1611" s="514">
        <v>44616</v>
      </c>
      <c r="D1611" s="485" t="s">
        <v>3186</v>
      </c>
      <c r="E1611" s="474"/>
      <c r="F1611" s="526"/>
      <c r="G1611" s="572">
        <v>2022</v>
      </c>
      <c r="H1611" s="572">
        <v>4</v>
      </c>
      <c r="I1611" s="573" t="s">
        <v>5389</v>
      </c>
      <c r="J1611" s="574"/>
      <c r="K1611" s="575" t="s">
        <v>3547</v>
      </c>
      <c r="L1611" s="571" t="s">
        <v>2378</v>
      </c>
      <c r="M1611" s="576">
        <v>44615</v>
      </c>
      <c r="N1611" s="576">
        <v>44615</v>
      </c>
      <c r="O1611" s="576"/>
      <c r="P1611" s="574">
        <v>44666</v>
      </c>
      <c r="Q1611" s="574">
        <v>44671</v>
      </c>
      <c r="R1611" s="574">
        <v>44678</v>
      </c>
      <c r="S1611" s="571" t="s">
        <v>2379</v>
      </c>
      <c r="T1611" s="571">
        <v>60</v>
      </c>
      <c r="U1611" s="577">
        <v>49405140</v>
      </c>
      <c r="V1611" s="571" t="s">
        <v>973</v>
      </c>
      <c r="W1611" s="571">
        <v>400</v>
      </c>
      <c r="X1611" s="569">
        <v>320</v>
      </c>
      <c r="Y1611" s="477">
        <f>X1611*W1611</f>
        <v>128000</v>
      </c>
      <c r="Z1611" s="478">
        <f>188/400</f>
        <v>0.47</v>
      </c>
      <c r="AA1611" s="479">
        <f>Z1611*Y1611</f>
        <v>60160</v>
      </c>
      <c r="AB1611" s="480"/>
      <c r="AC1611" s="481">
        <f>AB1611*Y1611</f>
        <v>0</v>
      </c>
      <c r="AD1611" s="490"/>
      <c r="AE1611" s="482"/>
      <c r="AF1611" s="493">
        <f>AA1611+AE1611</f>
        <v>60160</v>
      </c>
      <c r="AG1611" s="474" t="s">
        <v>47</v>
      </c>
      <c r="AH1611" s="474"/>
      <c r="AI1611" s="483" t="s">
        <v>2374</v>
      </c>
      <c r="AJ1611" s="474" t="s">
        <v>2410</v>
      </c>
      <c r="AK1611" s="494" t="s">
        <v>2411</v>
      </c>
      <c r="AL1611" s="474">
        <v>66214</v>
      </c>
      <c r="AM1611" s="474" t="s">
        <v>52</v>
      </c>
      <c r="AN1611" s="474" t="s">
        <v>1106</v>
      </c>
      <c r="AO1611" s="474"/>
      <c r="AP1611" s="486"/>
      <c r="AQ1611" s="486" t="s">
        <v>37</v>
      </c>
      <c r="AR1611" s="486"/>
      <c r="AS1611" s="495"/>
      <c r="AT1611" s="495"/>
      <c r="AU1611" s="478"/>
      <c r="AV1611" s="471">
        <f t="shared" si="276"/>
        <v>49405140</v>
      </c>
      <c r="AW1611" s="471" cm="1">
        <f t="array" ref="AW1611">SUM(MID(0&amp;AV1611,LARGE(INDEX(ISNUMBER(--MID(AV1611,ROW($1:$8),1))*ROW($1:$8),),ROW($1:$8))+1,1)*10^ROW($1:$8)/10)</f>
        <v>49405140</v>
      </c>
      <c r="AX1611" s="471" t="str">
        <f>VLOOKUP($AW1611,'Item Master Data'!$A:$F,3,FALSE)</f>
        <v>Q.PEAK DUO BLK ML G10+</v>
      </c>
      <c r="AY1611" s="471">
        <f>VLOOKUP($AW1611,'Item Master Data'!$A:$F,6,FALSE)</f>
        <v>400</v>
      </c>
      <c r="AZ1611" s="471">
        <f t="shared" si="277"/>
        <v>10</v>
      </c>
      <c r="BA1611" s="471">
        <f>VLOOKUP(AW1611,'Item Master Data'!$A:$G,7,FALSE)</f>
        <v>32</v>
      </c>
      <c r="BC1611" s="471">
        <f t="shared" si="278"/>
        <v>0</v>
      </c>
    </row>
    <row r="1612" spans="1:55" s="471" customFormat="1">
      <c r="A1612" s="472"/>
      <c r="B1612" s="514">
        <v>44616</v>
      </c>
      <c r="C1612" s="514">
        <v>44616</v>
      </c>
      <c r="D1612" s="485" t="s">
        <v>3186</v>
      </c>
      <c r="E1612" s="474"/>
      <c r="F1612" s="474"/>
      <c r="G1612" s="474">
        <v>2022</v>
      </c>
      <c r="H1612" s="474">
        <v>4</v>
      </c>
      <c r="I1612" s="485"/>
      <c r="J1612" s="475"/>
      <c r="K1612" s="518" t="s">
        <v>3508</v>
      </c>
      <c r="L1612" s="519" t="s">
        <v>2378</v>
      </c>
      <c r="M1612" s="520">
        <v>44615</v>
      </c>
      <c r="N1612" s="520">
        <v>44615</v>
      </c>
      <c r="O1612" s="520"/>
      <c r="P1612" s="521"/>
      <c r="Q1612" s="521"/>
      <c r="R1612" s="521"/>
      <c r="S1612" s="519" t="s">
        <v>2379</v>
      </c>
      <c r="T1612" s="519">
        <v>60</v>
      </c>
      <c r="U1612" s="519">
        <v>49405140</v>
      </c>
      <c r="V1612" s="519" t="s">
        <v>973</v>
      </c>
      <c r="W1612" s="519">
        <v>400</v>
      </c>
      <c r="X1612" s="522">
        <v>256</v>
      </c>
      <c r="Y1612" s="470">
        <f>X1612*W1612</f>
        <v>102400</v>
      </c>
      <c r="Z1612" s="478">
        <f>188/400</f>
        <v>0.47</v>
      </c>
      <c r="AA1612" s="479">
        <f>Z1612*Y1612</f>
        <v>48128</v>
      </c>
      <c r="AB1612" s="480"/>
      <c r="AC1612" s="481">
        <f>AB1612*Y1612</f>
        <v>0</v>
      </c>
      <c r="AD1612" s="490"/>
      <c r="AE1612" s="482"/>
      <c r="AF1612" s="493">
        <f>AA1612+AE1612</f>
        <v>48128</v>
      </c>
      <c r="AG1612" s="474" t="s">
        <v>47</v>
      </c>
      <c r="AH1612" s="474"/>
      <c r="AI1612" s="483" t="s">
        <v>2374</v>
      </c>
      <c r="AJ1612" s="474" t="s">
        <v>2390</v>
      </c>
      <c r="AK1612" s="494" t="s">
        <v>2362</v>
      </c>
      <c r="AL1612" s="474">
        <v>80239</v>
      </c>
      <c r="AM1612" s="474" t="s">
        <v>52</v>
      </c>
      <c r="AN1612" s="474" t="s">
        <v>1106</v>
      </c>
      <c r="AO1612" s="474"/>
      <c r="AP1612" s="486"/>
      <c r="AQ1612" s="486" t="s">
        <v>37</v>
      </c>
      <c r="AR1612" s="486"/>
      <c r="AS1612" s="495"/>
      <c r="AT1612" s="495"/>
      <c r="AU1612" s="478"/>
      <c r="AV1612" s="471">
        <f t="shared" si="276"/>
        <v>49405140</v>
      </c>
      <c r="AW1612" s="471" cm="1">
        <f t="array" ref="AW1612">SUM(MID(0&amp;AV1612,LARGE(INDEX(ISNUMBER(--MID(AV1612,ROW($1:$8),1))*ROW($1:$8),),ROW($1:$8))+1,1)*10^ROW($1:$8)/10)</f>
        <v>49405140</v>
      </c>
      <c r="AX1612" s="471" t="str">
        <f>VLOOKUP($AW1612,'Item Master Data'!$A:$F,3,FALSE)</f>
        <v>Q.PEAK DUO BLK ML G10+</v>
      </c>
      <c r="AY1612" s="471">
        <f>VLOOKUP($AW1612,'Item Master Data'!$A:$F,6,FALSE)</f>
        <v>400</v>
      </c>
      <c r="AZ1612" s="471">
        <f t="shared" si="277"/>
        <v>8</v>
      </c>
      <c r="BA1612" s="471">
        <f>VLOOKUP(AW1612,'Item Master Data'!$A:$G,7,FALSE)</f>
        <v>32</v>
      </c>
      <c r="BC1612" s="471">
        <f t="shared" si="278"/>
        <v>0</v>
      </c>
    </row>
    <row r="1613" spans="1:55" s="471" customFormat="1">
      <c r="A1613" s="472"/>
      <c r="B1613" s="514">
        <v>44616</v>
      </c>
      <c r="C1613" s="514">
        <v>44616</v>
      </c>
      <c r="D1613" s="485" t="s">
        <v>3186</v>
      </c>
      <c r="E1613" s="474"/>
      <c r="F1613" s="474"/>
      <c r="G1613" s="474">
        <v>2022</v>
      </c>
      <c r="H1613" s="474">
        <v>4</v>
      </c>
      <c r="I1613" s="485"/>
      <c r="J1613" s="475"/>
      <c r="K1613" s="518" t="s">
        <v>3502</v>
      </c>
      <c r="L1613" s="519" t="s">
        <v>2378</v>
      </c>
      <c r="M1613" s="520">
        <v>44615</v>
      </c>
      <c r="N1613" s="520">
        <v>44615</v>
      </c>
      <c r="O1613" s="520"/>
      <c r="P1613" s="521"/>
      <c r="Q1613" s="521"/>
      <c r="R1613" s="521"/>
      <c r="S1613" s="519" t="s">
        <v>2379</v>
      </c>
      <c r="T1613" s="519">
        <v>60</v>
      </c>
      <c r="U1613" s="519">
        <v>49405140</v>
      </c>
      <c r="V1613" s="519" t="s">
        <v>973</v>
      </c>
      <c r="W1613" s="519">
        <v>400</v>
      </c>
      <c r="X1613" s="522">
        <f>3328-1280</f>
        <v>2048</v>
      </c>
      <c r="Y1613" s="470">
        <f>X1613*W1613</f>
        <v>819200</v>
      </c>
      <c r="Z1613" s="478">
        <f>188/400</f>
        <v>0.47</v>
      </c>
      <c r="AA1613" s="479">
        <f>Z1613*Y1613</f>
        <v>385024</v>
      </c>
      <c r="AB1613" s="480"/>
      <c r="AC1613" s="481">
        <f>AB1613*Y1613</f>
        <v>0</v>
      </c>
      <c r="AD1613" s="490"/>
      <c r="AE1613" s="482"/>
      <c r="AF1613" s="493">
        <f>AA1613+AE1613</f>
        <v>385024</v>
      </c>
      <c r="AG1613" s="474" t="s">
        <v>47</v>
      </c>
      <c r="AH1613" s="474"/>
      <c r="AI1613" s="483" t="s">
        <v>2374</v>
      </c>
      <c r="AJ1613" s="474" t="s">
        <v>2384</v>
      </c>
      <c r="AK1613" s="494" t="s">
        <v>1144</v>
      </c>
      <c r="AL1613" s="474">
        <v>75061</v>
      </c>
      <c r="AM1613" s="474" t="s">
        <v>52</v>
      </c>
      <c r="AN1613" s="474" t="s">
        <v>1106</v>
      </c>
      <c r="AO1613" s="474"/>
      <c r="AP1613" s="486"/>
      <c r="AQ1613" s="486" t="s">
        <v>37</v>
      </c>
      <c r="AR1613" s="486"/>
      <c r="AS1613" s="495"/>
      <c r="AT1613" s="495"/>
      <c r="AU1613" s="478"/>
      <c r="AV1613" s="471">
        <f t="shared" si="276"/>
        <v>49405140</v>
      </c>
      <c r="AW1613" s="471" cm="1">
        <f t="array" ref="AW1613">SUM(MID(0&amp;AV1613,LARGE(INDEX(ISNUMBER(--MID(AV1613,ROW($1:$8),1))*ROW($1:$8),),ROW($1:$8))+1,1)*10^ROW($1:$8)/10)</f>
        <v>49405140</v>
      </c>
      <c r="AX1613" s="471" t="str">
        <f>VLOOKUP($AW1613,'Item Master Data'!$A:$F,3,FALSE)</f>
        <v>Q.PEAK DUO BLK ML G10+</v>
      </c>
      <c r="AY1613" s="471">
        <f>VLOOKUP($AW1613,'Item Master Data'!$A:$F,6,FALSE)</f>
        <v>400</v>
      </c>
      <c r="AZ1613" s="471">
        <f t="shared" si="277"/>
        <v>64</v>
      </c>
      <c r="BA1613" s="471">
        <f>VLOOKUP(AW1613,'Item Master Data'!$A:$G,7,FALSE)</f>
        <v>32</v>
      </c>
      <c r="BC1613" s="471">
        <f t="shared" si="278"/>
        <v>0</v>
      </c>
    </row>
    <row r="1614" spans="1:55" s="471" customFormat="1">
      <c r="A1614" s="472"/>
      <c r="B1614" s="514">
        <v>44616</v>
      </c>
      <c r="C1614" s="514">
        <v>44616</v>
      </c>
      <c r="D1614" s="485" t="s">
        <v>3186</v>
      </c>
      <c r="E1614" s="474"/>
      <c r="F1614" s="474"/>
      <c r="G1614" s="474">
        <v>2022</v>
      </c>
      <c r="H1614" s="474">
        <v>4</v>
      </c>
      <c r="I1614" s="485"/>
      <c r="J1614" s="475"/>
      <c r="K1614" s="518" t="s">
        <v>3501</v>
      </c>
      <c r="L1614" s="519" t="s">
        <v>2378</v>
      </c>
      <c r="M1614" s="520">
        <v>44615</v>
      </c>
      <c r="N1614" s="520">
        <v>44615</v>
      </c>
      <c r="O1614" s="520"/>
      <c r="P1614" s="521"/>
      <c r="Q1614" s="521"/>
      <c r="R1614" s="521"/>
      <c r="S1614" s="519" t="s">
        <v>2379</v>
      </c>
      <c r="T1614" s="519">
        <v>60</v>
      </c>
      <c r="U1614" s="519">
        <v>49405140</v>
      </c>
      <c r="V1614" s="519" t="s">
        <v>973</v>
      </c>
      <c r="W1614" s="519">
        <v>400</v>
      </c>
      <c r="X1614" s="522">
        <v>1664</v>
      </c>
      <c r="Y1614" s="470">
        <f>X1614*W1614</f>
        <v>665600</v>
      </c>
      <c r="Z1614" s="478">
        <f>188/400</f>
        <v>0.47</v>
      </c>
      <c r="AA1614" s="479">
        <f>Z1614*Y1614</f>
        <v>312832</v>
      </c>
      <c r="AB1614" s="480"/>
      <c r="AC1614" s="481">
        <f>AB1614*Y1614</f>
        <v>0</v>
      </c>
      <c r="AD1614" s="490"/>
      <c r="AE1614" s="482"/>
      <c r="AF1614" s="493">
        <f>AA1614+AE1614</f>
        <v>312832</v>
      </c>
      <c r="AG1614" s="474" t="s">
        <v>47</v>
      </c>
      <c r="AH1614" s="474"/>
      <c r="AI1614" s="483" t="s">
        <v>2374</v>
      </c>
      <c r="AJ1614" s="474" t="s">
        <v>1162</v>
      </c>
      <c r="AK1614" s="494" t="s">
        <v>1158</v>
      </c>
      <c r="AL1614" s="474">
        <v>28216</v>
      </c>
      <c r="AM1614" s="474" t="s">
        <v>52</v>
      </c>
      <c r="AN1614" s="474" t="s">
        <v>1106</v>
      </c>
      <c r="AO1614" s="474"/>
      <c r="AP1614" s="486"/>
      <c r="AQ1614" s="486" t="s">
        <v>37</v>
      </c>
      <c r="AR1614" s="486"/>
      <c r="AS1614" s="495"/>
      <c r="AT1614" s="495"/>
      <c r="AU1614" s="478"/>
      <c r="AV1614" s="471">
        <f t="shared" si="276"/>
        <v>49405140</v>
      </c>
      <c r="AW1614" s="471" cm="1">
        <f t="array" ref="AW1614">SUM(MID(0&amp;AV1614,LARGE(INDEX(ISNUMBER(--MID(AV1614,ROW($1:$8),1))*ROW($1:$8),),ROW($1:$8))+1,1)*10^ROW($1:$8)/10)</f>
        <v>49405140</v>
      </c>
      <c r="AX1614" s="471" t="str">
        <f>VLOOKUP($AW1614,'Item Master Data'!$A:$F,3,FALSE)</f>
        <v>Q.PEAK DUO BLK ML G10+</v>
      </c>
      <c r="AY1614" s="471">
        <f>VLOOKUP($AW1614,'Item Master Data'!$A:$F,6,FALSE)</f>
        <v>400</v>
      </c>
      <c r="AZ1614" s="471">
        <f t="shared" si="277"/>
        <v>52</v>
      </c>
      <c r="BA1614" s="471">
        <f>VLOOKUP(AW1614,'Item Master Data'!$A:$G,7,FALSE)</f>
        <v>32</v>
      </c>
      <c r="BC1614" s="471">
        <f t="shared" si="278"/>
        <v>0</v>
      </c>
    </row>
    <row r="1615" spans="1:55" s="471" customFormat="1">
      <c r="A1615" s="472"/>
      <c r="B1615" s="514">
        <v>44616</v>
      </c>
      <c r="C1615" s="514">
        <v>44616</v>
      </c>
      <c r="D1615" s="485" t="s">
        <v>3186</v>
      </c>
      <c r="E1615" s="474"/>
      <c r="F1615" s="474"/>
      <c r="G1615" s="474">
        <v>2022</v>
      </c>
      <c r="H1615" s="474">
        <v>4</v>
      </c>
      <c r="I1615" s="485"/>
      <c r="J1615" s="475"/>
      <c r="K1615" s="518" t="s">
        <v>3458</v>
      </c>
      <c r="L1615" s="519" t="s">
        <v>2378</v>
      </c>
      <c r="M1615" s="520">
        <v>44615</v>
      </c>
      <c r="N1615" s="520">
        <v>44615</v>
      </c>
      <c r="O1615" s="520"/>
      <c r="P1615" s="521"/>
      <c r="Q1615" s="521"/>
      <c r="R1615" s="521"/>
      <c r="S1615" s="519" t="s">
        <v>2379</v>
      </c>
      <c r="T1615" s="519">
        <v>60</v>
      </c>
      <c r="U1615" s="519">
        <v>49405140</v>
      </c>
      <c r="V1615" s="519" t="s">
        <v>973</v>
      </c>
      <c r="W1615" s="519">
        <v>400</v>
      </c>
      <c r="X1615" s="522">
        <v>640</v>
      </c>
      <c r="Y1615" s="470">
        <f>X1615*W1615</f>
        <v>256000</v>
      </c>
      <c r="Z1615" s="478">
        <f>188/400</f>
        <v>0.47</v>
      </c>
      <c r="AA1615" s="479">
        <f>Z1615*Y1615</f>
        <v>120320</v>
      </c>
      <c r="AB1615" s="480"/>
      <c r="AC1615" s="481">
        <f>AB1615*Y1615</f>
        <v>0</v>
      </c>
      <c r="AD1615" s="490"/>
      <c r="AE1615" s="482"/>
      <c r="AF1615" s="493">
        <f>AA1615+AE1615</f>
        <v>120320</v>
      </c>
      <c r="AG1615" s="474" t="s">
        <v>47</v>
      </c>
      <c r="AH1615" s="474"/>
      <c r="AI1615" s="483" t="s">
        <v>2374</v>
      </c>
      <c r="AJ1615" s="474" t="s">
        <v>3459</v>
      </c>
      <c r="AK1615" s="494" t="s">
        <v>2406</v>
      </c>
      <c r="AL1615" s="474">
        <v>29420</v>
      </c>
      <c r="AM1615" s="474" t="s">
        <v>52</v>
      </c>
      <c r="AN1615" s="474" t="s">
        <v>1106</v>
      </c>
      <c r="AO1615" s="474"/>
      <c r="AP1615" s="486"/>
      <c r="AQ1615" s="486" t="s">
        <v>37</v>
      </c>
      <c r="AR1615" s="486"/>
      <c r="AS1615" s="495"/>
      <c r="AT1615" s="495"/>
      <c r="AU1615" s="478"/>
      <c r="AV1615" s="471">
        <f t="shared" si="276"/>
        <v>49405140</v>
      </c>
      <c r="AW1615" s="471" cm="1">
        <f t="array" ref="AW1615">SUM(MID(0&amp;AV1615,LARGE(INDEX(ISNUMBER(--MID(AV1615,ROW($1:$8),1))*ROW($1:$8),),ROW($1:$8))+1,1)*10^ROW($1:$8)/10)</f>
        <v>49405140</v>
      </c>
      <c r="AX1615" s="471" t="str">
        <f>VLOOKUP($AW1615,'Item Master Data'!$A:$F,3,FALSE)</f>
        <v>Q.PEAK DUO BLK ML G10+</v>
      </c>
      <c r="AY1615" s="471">
        <f>VLOOKUP($AW1615,'Item Master Data'!$A:$F,6,FALSE)</f>
        <v>400</v>
      </c>
      <c r="AZ1615" s="471">
        <f t="shared" si="277"/>
        <v>20</v>
      </c>
      <c r="BA1615" s="471">
        <f>VLOOKUP(AW1615,'Item Master Data'!$A:$G,7,FALSE)</f>
        <v>32</v>
      </c>
      <c r="BC1615" s="471">
        <f t="shared" si="278"/>
        <v>0</v>
      </c>
    </row>
    <row r="1616" spans="1:55" s="471" customFormat="1">
      <c r="A1616" s="472"/>
      <c r="B1616" s="514">
        <v>44616</v>
      </c>
      <c r="C1616" s="514">
        <v>44616</v>
      </c>
      <c r="D1616" s="485" t="s">
        <v>3186</v>
      </c>
      <c r="E1616" s="474"/>
      <c r="F1616" s="474"/>
      <c r="G1616" s="474">
        <v>2022</v>
      </c>
      <c r="H1616" s="474">
        <v>4</v>
      </c>
      <c r="I1616" s="485"/>
      <c r="J1616" s="475"/>
      <c r="K1616" s="518" t="s">
        <v>3457</v>
      </c>
      <c r="L1616" s="519" t="s">
        <v>2378</v>
      </c>
      <c r="M1616" s="520">
        <v>44615</v>
      </c>
      <c r="N1616" s="520">
        <v>44615</v>
      </c>
      <c r="O1616" s="520"/>
      <c r="P1616" s="521"/>
      <c r="Q1616" s="521"/>
      <c r="R1616" s="521"/>
      <c r="S1616" s="519" t="s">
        <v>2379</v>
      </c>
      <c r="T1616" s="519">
        <v>60</v>
      </c>
      <c r="U1616" s="519">
        <v>49405140</v>
      </c>
      <c r="V1616" s="519" t="s">
        <v>973</v>
      </c>
      <c r="W1616" s="519">
        <v>400</v>
      </c>
      <c r="X1616" s="522">
        <v>832</v>
      </c>
      <c r="Y1616" s="470">
        <f>X1616*W1616</f>
        <v>332800</v>
      </c>
      <c r="Z1616" s="478">
        <f>188/400</f>
        <v>0.47</v>
      </c>
      <c r="AA1616" s="479">
        <f>Z1616*Y1616</f>
        <v>156416</v>
      </c>
      <c r="AB1616" s="480"/>
      <c r="AC1616" s="481">
        <f>AB1616*Y1616</f>
        <v>0</v>
      </c>
      <c r="AD1616" s="490"/>
      <c r="AE1616" s="482"/>
      <c r="AF1616" s="493">
        <f>AA1616+AE1616</f>
        <v>156416</v>
      </c>
      <c r="AG1616" s="474" t="s">
        <v>47</v>
      </c>
      <c r="AH1616" s="474"/>
      <c r="AI1616" s="483" t="s">
        <v>2374</v>
      </c>
      <c r="AJ1616" s="474" t="s">
        <v>2402</v>
      </c>
      <c r="AK1616" s="494" t="s">
        <v>1144</v>
      </c>
      <c r="AL1616" s="474">
        <v>78610</v>
      </c>
      <c r="AM1616" s="474" t="s">
        <v>52</v>
      </c>
      <c r="AN1616" s="474" t="s">
        <v>1106</v>
      </c>
      <c r="AO1616" s="474"/>
      <c r="AP1616" s="486"/>
      <c r="AQ1616" s="486" t="s">
        <v>37</v>
      </c>
      <c r="AR1616" s="486"/>
      <c r="AS1616" s="495"/>
      <c r="AT1616" s="495"/>
      <c r="AU1616" s="478"/>
      <c r="AV1616" s="471">
        <f t="shared" si="276"/>
        <v>49405140</v>
      </c>
      <c r="AW1616" s="471" cm="1">
        <f t="array" ref="AW1616">SUM(MID(0&amp;AV1616,LARGE(INDEX(ISNUMBER(--MID(AV1616,ROW($1:$8),1))*ROW($1:$8),),ROW($1:$8))+1,1)*10^ROW($1:$8)/10)</f>
        <v>49405140</v>
      </c>
      <c r="AX1616" s="471" t="str">
        <f>VLOOKUP($AW1616,'Item Master Data'!$A:$F,3,FALSE)</f>
        <v>Q.PEAK DUO BLK ML G10+</v>
      </c>
      <c r="AY1616" s="471">
        <f>VLOOKUP($AW1616,'Item Master Data'!$A:$F,6,FALSE)</f>
        <v>400</v>
      </c>
      <c r="AZ1616" s="471">
        <f t="shared" si="277"/>
        <v>26</v>
      </c>
      <c r="BA1616" s="471">
        <f>VLOOKUP(AW1616,'Item Master Data'!$A:$G,7,FALSE)</f>
        <v>32</v>
      </c>
      <c r="BC1616" s="471">
        <f t="shared" si="278"/>
        <v>0</v>
      </c>
    </row>
    <row r="1617" spans="1:55" s="471" customFormat="1">
      <c r="A1617" s="472"/>
      <c r="B1617" s="514">
        <v>44616</v>
      </c>
      <c r="C1617" s="514">
        <v>44616</v>
      </c>
      <c r="D1617" s="485" t="s">
        <v>3186</v>
      </c>
      <c r="E1617" s="474"/>
      <c r="F1617" s="474"/>
      <c r="G1617" s="474">
        <v>2022</v>
      </c>
      <c r="H1617" s="474">
        <v>4</v>
      </c>
      <c r="I1617" s="485"/>
      <c r="J1617" s="475"/>
      <c r="K1617" s="518" t="s">
        <v>3428</v>
      </c>
      <c r="L1617" s="519" t="s">
        <v>2378</v>
      </c>
      <c r="M1617" s="520">
        <v>44615</v>
      </c>
      <c r="N1617" s="520">
        <v>44615</v>
      </c>
      <c r="O1617" s="520"/>
      <c r="P1617" s="521"/>
      <c r="Q1617" s="521"/>
      <c r="R1617" s="521"/>
      <c r="S1617" s="519" t="s">
        <v>2379</v>
      </c>
      <c r="T1617" s="519">
        <v>60</v>
      </c>
      <c r="U1617" s="519">
        <v>49405140</v>
      </c>
      <c r="V1617" s="519" t="s">
        <v>973</v>
      </c>
      <c r="W1617" s="519">
        <v>400</v>
      </c>
      <c r="X1617" s="522">
        <v>832</v>
      </c>
      <c r="Y1617" s="470">
        <f>X1617*W1617</f>
        <v>332800</v>
      </c>
      <c r="Z1617" s="478">
        <f>188/400</f>
        <v>0.47</v>
      </c>
      <c r="AA1617" s="479">
        <f>Z1617*Y1617</f>
        <v>156416</v>
      </c>
      <c r="AB1617" s="480"/>
      <c r="AC1617" s="481">
        <f>AB1617*Y1617</f>
        <v>0</v>
      </c>
      <c r="AD1617" s="490"/>
      <c r="AE1617" s="482"/>
      <c r="AF1617" s="493">
        <f>AA1617+AE1617</f>
        <v>156416</v>
      </c>
      <c r="AG1617" s="474" t="s">
        <v>47</v>
      </c>
      <c r="AH1617" s="474"/>
      <c r="AI1617" s="483" t="s">
        <v>2374</v>
      </c>
      <c r="AJ1617" s="474" t="s">
        <v>2400</v>
      </c>
      <c r="AK1617" s="494" t="s">
        <v>1074</v>
      </c>
      <c r="AL1617" s="474">
        <v>30360</v>
      </c>
      <c r="AM1617" s="474" t="s">
        <v>52</v>
      </c>
      <c r="AN1617" s="474" t="s">
        <v>1106</v>
      </c>
      <c r="AO1617" s="474"/>
      <c r="AP1617" s="486"/>
      <c r="AQ1617" s="486" t="s">
        <v>37</v>
      </c>
      <c r="AR1617" s="486"/>
      <c r="AS1617" s="495"/>
      <c r="AT1617" s="495"/>
      <c r="AU1617" s="478"/>
      <c r="AV1617" s="471">
        <f t="shared" si="276"/>
        <v>49405140</v>
      </c>
      <c r="AW1617" s="471" cm="1">
        <f t="array" ref="AW1617">SUM(MID(0&amp;AV1617,LARGE(INDEX(ISNUMBER(--MID(AV1617,ROW($1:$8),1))*ROW($1:$8),),ROW($1:$8))+1,1)*10^ROW($1:$8)/10)</f>
        <v>49405140</v>
      </c>
      <c r="AX1617" s="471" t="str">
        <f>VLOOKUP($AW1617,'Item Master Data'!$A:$F,3,FALSE)</f>
        <v>Q.PEAK DUO BLK ML G10+</v>
      </c>
      <c r="AY1617" s="471">
        <f>VLOOKUP($AW1617,'Item Master Data'!$A:$F,6,FALSE)</f>
        <v>400</v>
      </c>
      <c r="AZ1617" s="471">
        <f t="shared" si="277"/>
        <v>26</v>
      </c>
      <c r="BA1617" s="471">
        <f>VLOOKUP(AW1617,'Item Master Data'!$A:$G,7,FALSE)</f>
        <v>32</v>
      </c>
      <c r="BC1617" s="471">
        <f t="shared" si="278"/>
        <v>0</v>
      </c>
    </row>
    <row r="1618" spans="1:55" s="471" customFormat="1">
      <c r="A1618" s="472"/>
      <c r="B1618" s="514">
        <v>44616</v>
      </c>
      <c r="C1618" s="514">
        <v>44616</v>
      </c>
      <c r="D1618" s="485" t="s">
        <v>3186</v>
      </c>
      <c r="E1618" s="474"/>
      <c r="F1618" s="474"/>
      <c r="G1618" s="474">
        <v>2022</v>
      </c>
      <c r="H1618" s="474">
        <v>4</v>
      </c>
      <c r="I1618" s="485"/>
      <c r="J1618" s="475"/>
      <c r="K1618" s="518" t="s">
        <v>3424</v>
      </c>
      <c r="L1618" s="519" t="s">
        <v>2378</v>
      </c>
      <c r="M1618" s="520">
        <v>44615</v>
      </c>
      <c r="N1618" s="520">
        <v>44615</v>
      </c>
      <c r="O1618" s="520"/>
      <c r="P1618" s="521"/>
      <c r="Q1618" s="521"/>
      <c r="R1618" s="521"/>
      <c r="S1618" s="519" t="s">
        <v>2379</v>
      </c>
      <c r="T1618" s="519">
        <v>60</v>
      </c>
      <c r="U1618" s="519">
        <v>49405140</v>
      </c>
      <c r="V1618" s="519" t="s">
        <v>973</v>
      </c>
      <c r="W1618" s="519">
        <v>400</v>
      </c>
      <c r="X1618" s="522">
        <v>832</v>
      </c>
      <c r="Y1618" s="470">
        <f>X1618*W1618</f>
        <v>332800</v>
      </c>
      <c r="Z1618" s="478">
        <f>188/400</f>
        <v>0.47</v>
      </c>
      <c r="AA1618" s="479">
        <f>Z1618*Y1618</f>
        <v>156416</v>
      </c>
      <c r="AB1618" s="480"/>
      <c r="AC1618" s="481">
        <f>AB1618*Y1618</f>
        <v>0</v>
      </c>
      <c r="AD1618" s="490"/>
      <c r="AE1618" s="482"/>
      <c r="AF1618" s="493">
        <f>AA1618+AE1618</f>
        <v>156416</v>
      </c>
      <c r="AG1618" s="474" t="s">
        <v>47</v>
      </c>
      <c r="AH1618" s="474"/>
      <c r="AI1618" s="483" t="s">
        <v>2374</v>
      </c>
      <c r="AJ1618" s="474" t="s">
        <v>2380</v>
      </c>
      <c r="AK1618" s="494" t="s">
        <v>2381</v>
      </c>
      <c r="AL1618" s="474">
        <v>87107</v>
      </c>
      <c r="AM1618" s="474" t="s">
        <v>52</v>
      </c>
      <c r="AN1618" s="474" t="s">
        <v>1106</v>
      </c>
      <c r="AO1618" s="474"/>
      <c r="AP1618" s="486"/>
      <c r="AQ1618" s="486" t="s">
        <v>37</v>
      </c>
      <c r="AR1618" s="486"/>
      <c r="AS1618" s="495"/>
      <c r="AT1618" s="495"/>
      <c r="AU1618" s="478"/>
      <c r="AV1618" s="471">
        <f t="shared" si="276"/>
        <v>49405140</v>
      </c>
      <c r="AW1618" s="471" cm="1">
        <f t="array" ref="AW1618">SUM(MID(0&amp;AV1618,LARGE(INDEX(ISNUMBER(--MID(AV1618,ROW($1:$8),1))*ROW($1:$8),),ROW($1:$8))+1,1)*10^ROW($1:$8)/10)</f>
        <v>49405140</v>
      </c>
      <c r="AX1618" s="471" t="str">
        <f>VLOOKUP($AW1618,'Item Master Data'!$A:$F,3,FALSE)</f>
        <v>Q.PEAK DUO BLK ML G10+</v>
      </c>
      <c r="AY1618" s="471">
        <f>VLOOKUP($AW1618,'Item Master Data'!$A:$F,6,FALSE)</f>
        <v>400</v>
      </c>
      <c r="AZ1618" s="471">
        <f t="shared" si="277"/>
        <v>26</v>
      </c>
      <c r="BA1618" s="471">
        <f>VLOOKUP(AW1618,'Item Master Data'!$A:$G,7,FALSE)</f>
        <v>32</v>
      </c>
      <c r="BC1618" s="471">
        <f t="shared" si="278"/>
        <v>0</v>
      </c>
    </row>
    <row r="1619" spans="1:55" s="471" customFormat="1">
      <c r="A1619" s="472"/>
      <c r="B1619" s="514">
        <v>44616</v>
      </c>
      <c r="C1619" s="514">
        <v>44616</v>
      </c>
      <c r="D1619" s="485" t="s">
        <v>3186</v>
      </c>
      <c r="E1619" s="474"/>
      <c r="F1619" s="474"/>
      <c r="G1619" s="516">
        <v>2022</v>
      </c>
      <c r="H1619" s="524">
        <v>4</v>
      </c>
      <c r="I1619" s="545">
        <v>128008</v>
      </c>
      <c r="J1619" s="527">
        <v>44659</v>
      </c>
      <c r="K1619" s="535" t="s">
        <v>3588</v>
      </c>
      <c r="L1619" s="536" t="s">
        <v>2378</v>
      </c>
      <c r="M1619" s="529">
        <v>44615</v>
      </c>
      <c r="N1619" s="529">
        <v>44615</v>
      </c>
      <c r="O1619" s="529"/>
      <c r="P1619" s="529">
        <v>44652</v>
      </c>
      <c r="Q1619" s="529">
        <v>44659</v>
      </c>
      <c r="R1619" s="529">
        <v>44659</v>
      </c>
      <c r="S1619" s="536" t="s">
        <v>2379</v>
      </c>
      <c r="T1619" s="536">
        <v>60</v>
      </c>
      <c r="U1619" s="536">
        <v>49405140</v>
      </c>
      <c r="V1619" s="536" t="s">
        <v>973</v>
      </c>
      <c r="W1619" s="536">
        <v>400</v>
      </c>
      <c r="X1619" s="537">
        <v>416</v>
      </c>
      <c r="Y1619" s="477">
        <f>X1619*W1619</f>
        <v>166400</v>
      </c>
      <c r="Z1619" s="478">
        <f>188/400</f>
        <v>0.47</v>
      </c>
      <c r="AA1619" s="479">
        <f>Z1619*Y1619</f>
        <v>78208</v>
      </c>
      <c r="AB1619" s="480"/>
      <c r="AC1619" s="481">
        <f>AB1619*Y1619</f>
        <v>0</v>
      </c>
      <c r="AD1619" s="490"/>
      <c r="AE1619" s="482"/>
      <c r="AF1619" s="493">
        <f>AA1619+AE1619</f>
        <v>78208</v>
      </c>
      <c r="AG1619" s="474" t="s">
        <v>47</v>
      </c>
      <c r="AH1619" s="474"/>
      <c r="AI1619" s="483" t="s">
        <v>2374</v>
      </c>
      <c r="AJ1619" s="474" t="s">
        <v>2397</v>
      </c>
      <c r="AK1619" s="494" t="s">
        <v>1133</v>
      </c>
      <c r="AL1619" s="474">
        <v>85365</v>
      </c>
      <c r="AM1619" s="474" t="s">
        <v>52</v>
      </c>
      <c r="AN1619" s="474" t="s">
        <v>1106</v>
      </c>
      <c r="AO1619" s="474"/>
      <c r="AP1619" s="486"/>
      <c r="AQ1619" s="486" t="s">
        <v>37</v>
      </c>
      <c r="AR1619" s="486"/>
      <c r="AS1619" s="495"/>
      <c r="AT1619" s="495"/>
      <c r="AU1619" s="478"/>
      <c r="AV1619" s="471">
        <f t="shared" si="276"/>
        <v>49405140</v>
      </c>
      <c r="AW1619" s="471" cm="1">
        <f t="array" ref="AW1619">SUM(MID(0&amp;AV1619,LARGE(INDEX(ISNUMBER(--MID(AV1619,ROW($1:$8),1))*ROW($1:$8),),ROW($1:$8))+1,1)*10^ROW($1:$8)/10)</f>
        <v>49405140</v>
      </c>
      <c r="AX1619" s="471" t="str">
        <f>VLOOKUP($AW1619,'Item Master Data'!$A:$F,3,FALSE)</f>
        <v>Q.PEAK DUO BLK ML G10+</v>
      </c>
      <c r="AY1619" s="471">
        <f>VLOOKUP($AW1619,'Item Master Data'!$A:$F,6,FALSE)</f>
        <v>400</v>
      </c>
      <c r="AZ1619" s="471">
        <f t="shared" si="277"/>
        <v>13</v>
      </c>
      <c r="BA1619" s="471">
        <f>VLOOKUP(AW1619,'Item Master Data'!$A:$G,7,FALSE)</f>
        <v>32</v>
      </c>
      <c r="BC1619" s="471">
        <f t="shared" si="278"/>
        <v>0</v>
      </c>
    </row>
    <row r="1620" spans="1:55" s="471" customFormat="1">
      <c r="A1620" s="472"/>
      <c r="B1620" s="514">
        <v>44616</v>
      </c>
      <c r="C1620" s="514">
        <v>44616</v>
      </c>
      <c r="D1620" s="485" t="s">
        <v>3186</v>
      </c>
      <c r="E1620" s="474"/>
      <c r="F1620" s="474"/>
      <c r="G1620" s="516">
        <v>2022</v>
      </c>
      <c r="H1620" s="524">
        <v>4</v>
      </c>
      <c r="I1620" s="545">
        <v>128012</v>
      </c>
      <c r="J1620" s="527">
        <v>44666</v>
      </c>
      <c r="K1620" s="535" t="s">
        <v>3588</v>
      </c>
      <c r="L1620" s="536" t="s">
        <v>2378</v>
      </c>
      <c r="M1620" s="529">
        <v>44615</v>
      </c>
      <c r="N1620" s="529">
        <v>44615</v>
      </c>
      <c r="O1620" s="529"/>
      <c r="P1620" s="529">
        <v>44652</v>
      </c>
      <c r="Q1620" s="529">
        <v>44662</v>
      </c>
      <c r="R1620" s="529">
        <v>44666</v>
      </c>
      <c r="S1620" s="536" t="s">
        <v>2379</v>
      </c>
      <c r="T1620" s="536">
        <v>60</v>
      </c>
      <c r="U1620" s="536">
        <v>49405140</v>
      </c>
      <c r="V1620" s="536" t="s">
        <v>973</v>
      </c>
      <c r="W1620" s="536">
        <v>400</v>
      </c>
      <c r="X1620" s="537">
        <v>416</v>
      </c>
      <c r="Y1620" s="477">
        <f>X1620*W1620</f>
        <v>166400</v>
      </c>
      <c r="Z1620" s="478">
        <f>188/400</f>
        <v>0.47</v>
      </c>
      <c r="AA1620" s="479">
        <f>Z1620*Y1620</f>
        <v>78208</v>
      </c>
      <c r="AB1620" s="480"/>
      <c r="AC1620" s="481">
        <f>AB1620*Y1620</f>
        <v>0</v>
      </c>
      <c r="AD1620" s="490"/>
      <c r="AE1620" s="482"/>
      <c r="AF1620" s="493">
        <f>AA1620+AE1620</f>
        <v>78208</v>
      </c>
      <c r="AG1620" s="474" t="s">
        <v>47</v>
      </c>
      <c r="AH1620" s="474"/>
      <c r="AI1620" s="483" t="s">
        <v>2374</v>
      </c>
      <c r="AJ1620" s="474" t="s">
        <v>2397</v>
      </c>
      <c r="AK1620" s="494" t="s">
        <v>1133</v>
      </c>
      <c r="AL1620" s="474">
        <v>85365</v>
      </c>
      <c r="AM1620" s="474" t="s">
        <v>52</v>
      </c>
      <c r="AN1620" s="474" t="s">
        <v>1106</v>
      </c>
      <c r="AO1620" s="474"/>
      <c r="AP1620" s="486"/>
      <c r="AQ1620" s="486" t="s">
        <v>37</v>
      </c>
      <c r="AR1620" s="486"/>
      <c r="AS1620" s="495"/>
      <c r="AT1620" s="495"/>
      <c r="AU1620" s="478"/>
      <c r="AV1620" s="471">
        <f t="shared" si="276"/>
        <v>49405140</v>
      </c>
      <c r="AW1620" s="471" cm="1">
        <f t="array" ref="AW1620">SUM(MID(0&amp;AV1620,LARGE(INDEX(ISNUMBER(--MID(AV1620,ROW($1:$8),1))*ROW($1:$8),),ROW($1:$8))+1,1)*10^ROW($1:$8)/10)</f>
        <v>49405140</v>
      </c>
      <c r="AX1620" s="471" t="str">
        <f>VLOOKUP($AW1620,'Item Master Data'!$A:$F,3,FALSE)</f>
        <v>Q.PEAK DUO BLK ML G10+</v>
      </c>
      <c r="AY1620" s="471">
        <f>VLOOKUP($AW1620,'Item Master Data'!$A:$F,6,FALSE)</f>
        <v>400</v>
      </c>
      <c r="AZ1620" s="471">
        <f t="shared" si="277"/>
        <v>13</v>
      </c>
      <c r="BA1620" s="471">
        <f>VLOOKUP(AW1620,'Item Master Data'!$A:$G,7,FALSE)</f>
        <v>32</v>
      </c>
      <c r="BC1620" s="471">
        <f t="shared" si="278"/>
        <v>0</v>
      </c>
    </row>
    <row r="1621" spans="1:55" s="471" customFormat="1">
      <c r="A1621" s="472"/>
      <c r="B1621" s="514">
        <v>44616</v>
      </c>
      <c r="C1621" s="514">
        <v>44616</v>
      </c>
      <c r="D1621" s="485" t="s">
        <v>3186</v>
      </c>
      <c r="E1621" s="474" t="s">
        <v>3585</v>
      </c>
      <c r="F1621" s="474"/>
      <c r="G1621" s="516">
        <v>2022</v>
      </c>
      <c r="H1621" s="524">
        <v>4</v>
      </c>
      <c r="I1621" s="602" t="s">
        <v>3023</v>
      </c>
      <c r="J1621" s="578">
        <v>44663</v>
      </c>
      <c r="K1621" s="616" t="s">
        <v>3586</v>
      </c>
      <c r="L1621" s="536" t="s">
        <v>2378</v>
      </c>
      <c r="M1621" s="529">
        <v>44615</v>
      </c>
      <c r="N1621" s="529">
        <v>44615</v>
      </c>
      <c r="O1621" s="529"/>
      <c r="P1621" s="527">
        <v>44663</v>
      </c>
      <c r="Q1621" s="529">
        <v>44659</v>
      </c>
      <c r="R1621" s="529">
        <v>44663</v>
      </c>
      <c r="S1621" s="536" t="s">
        <v>2379</v>
      </c>
      <c r="T1621" s="536">
        <v>60</v>
      </c>
      <c r="U1621" s="536">
        <v>49405140</v>
      </c>
      <c r="V1621" s="536" t="s">
        <v>973</v>
      </c>
      <c r="W1621" s="536">
        <v>400</v>
      </c>
      <c r="X1621" s="537">
        <v>704</v>
      </c>
      <c r="Y1621" s="477">
        <f>X1621*W1621</f>
        <v>281600</v>
      </c>
      <c r="Z1621" s="478">
        <f>188/400</f>
        <v>0.47</v>
      </c>
      <c r="AA1621" s="479">
        <f>Z1621*Y1621</f>
        <v>132352</v>
      </c>
      <c r="AB1621" s="480"/>
      <c r="AC1621" s="481">
        <f>AB1621*Y1621</f>
        <v>0</v>
      </c>
      <c r="AD1621" s="490"/>
      <c r="AE1621" s="482"/>
      <c r="AF1621" s="493">
        <f>AA1621+AE1621</f>
        <v>132352</v>
      </c>
      <c r="AG1621" s="474" t="s">
        <v>47</v>
      </c>
      <c r="AH1621" s="474"/>
      <c r="AI1621" s="483" t="s">
        <v>2374</v>
      </c>
      <c r="AJ1621" s="474" t="s">
        <v>2366</v>
      </c>
      <c r="AK1621" s="494" t="s">
        <v>1395</v>
      </c>
      <c r="AL1621" s="474">
        <v>89118</v>
      </c>
      <c r="AM1621" s="474" t="s">
        <v>52</v>
      </c>
      <c r="AN1621" s="474" t="s">
        <v>1106</v>
      </c>
      <c r="AO1621" s="474"/>
      <c r="AP1621" s="486"/>
      <c r="AQ1621" s="486" t="s">
        <v>37</v>
      </c>
      <c r="AR1621" s="486"/>
      <c r="AS1621" s="495"/>
      <c r="AT1621" s="495"/>
      <c r="AU1621" s="478"/>
      <c r="AV1621" s="471">
        <f t="shared" si="276"/>
        <v>49405140</v>
      </c>
      <c r="AW1621" s="471" cm="1">
        <f t="array" ref="AW1621">SUM(MID(0&amp;AV1621,LARGE(INDEX(ISNUMBER(--MID(AV1621,ROW($1:$8),1))*ROW($1:$8),),ROW($1:$8))+1,1)*10^ROW($1:$8)/10)</f>
        <v>49405140</v>
      </c>
      <c r="AX1621" s="471" t="str">
        <f>VLOOKUP($AW1621,'Item Master Data'!$A:$F,3,FALSE)</f>
        <v>Q.PEAK DUO BLK ML G10+</v>
      </c>
      <c r="AY1621" s="471">
        <f>VLOOKUP($AW1621,'Item Master Data'!$A:$F,6,FALSE)</f>
        <v>400</v>
      </c>
      <c r="AZ1621" s="471">
        <f t="shared" si="277"/>
        <v>22</v>
      </c>
      <c r="BA1621" s="471">
        <f>VLOOKUP(AW1621,'Item Master Data'!$A:$G,7,FALSE)</f>
        <v>32</v>
      </c>
      <c r="BC1621" s="471">
        <f t="shared" si="278"/>
        <v>0</v>
      </c>
    </row>
    <row r="1622" spans="1:55" s="471" customFormat="1">
      <c r="A1622" s="472"/>
      <c r="B1622" s="514">
        <v>44616</v>
      </c>
      <c r="C1622" s="514">
        <v>44616</v>
      </c>
      <c r="D1622" s="485" t="s">
        <v>3186</v>
      </c>
      <c r="E1622" s="474" t="s">
        <v>3565</v>
      </c>
      <c r="F1622" s="474"/>
      <c r="G1622" s="516">
        <v>2022</v>
      </c>
      <c r="H1622" s="524">
        <v>4</v>
      </c>
      <c r="I1622" s="617" t="s">
        <v>3023</v>
      </c>
      <c r="J1622" s="615">
        <v>44663</v>
      </c>
      <c r="K1622" s="616" t="s">
        <v>3586</v>
      </c>
      <c r="L1622" s="536" t="s">
        <v>2378</v>
      </c>
      <c r="M1622" s="529">
        <v>44615</v>
      </c>
      <c r="N1622" s="529">
        <v>44615</v>
      </c>
      <c r="O1622" s="529"/>
      <c r="P1622" s="527">
        <v>44663</v>
      </c>
      <c r="Q1622" s="529">
        <v>44662</v>
      </c>
      <c r="R1622" s="529">
        <v>44663</v>
      </c>
      <c r="S1622" s="536" t="s">
        <v>2379</v>
      </c>
      <c r="T1622" s="536">
        <v>60</v>
      </c>
      <c r="U1622" s="536">
        <v>49405140</v>
      </c>
      <c r="V1622" s="536" t="s">
        <v>973</v>
      </c>
      <c r="W1622" s="536">
        <v>400</v>
      </c>
      <c r="X1622" s="537">
        <v>704</v>
      </c>
      <c r="Y1622" s="477">
        <f>X1622*W1622</f>
        <v>281600</v>
      </c>
      <c r="Z1622" s="478">
        <f>188/400</f>
        <v>0.47</v>
      </c>
      <c r="AA1622" s="479">
        <f>Z1622*Y1622</f>
        <v>132352</v>
      </c>
      <c r="AB1622" s="480"/>
      <c r="AC1622" s="481">
        <f>AB1622*Y1622</f>
        <v>0</v>
      </c>
      <c r="AD1622" s="490"/>
      <c r="AE1622" s="482"/>
      <c r="AF1622" s="493">
        <f>AA1622+AE1622</f>
        <v>132352</v>
      </c>
      <c r="AG1622" s="474" t="s">
        <v>47</v>
      </c>
      <c r="AH1622" s="474"/>
      <c r="AI1622" s="483" t="s">
        <v>2374</v>
      </c>
      <c r="AJ1622" s="474" t="s">
        <v>2437</v>
      </c>
      <c r="AK1622" s="494" t="s">
        <v>1084</v>
      </c>
      <c r="AL1622" s="474">
        <v>34741</v>
      </c>
      <c r="AM1622" s="474" t="s">
        <v>52</v>
      </c>
      <c r="AN1622" s="474" t="s">
        <v>1106</v>
      </c>
      <c r="AO1622" s="474"/>
      <c r="AP1622" s="486"/>
      <c r="AQ1622" s="486" t="s">
        <v>37</v>
      </c>
      <c r="AR1622" s="486"/>
      <c r="AS1622" s="495"/>
      <c r="AT1622" s="495"/>
      <c r="AU1622" s="478"/>
      <c r="AV1622" s="471">
        <f t="shared" si="276"/>
        <v>49405140</v>
      </c>
      <c r="AW1622" s="471" cm="1">
        <f t="array" ref="AW1622">SUM(MID(0&amp;AV1622,LARGE(INDEX(ISNUMBER(--MID(AV1622,ROW($1:$8),1))*ROW($1:$8),),ROW($1:$8))+1,1)*10^ROW($1:$8)/10)</f>
        <v>49405140</v>
      </c>
      <c r="AX1622" s="471" t="str">
        <f>VLOOKUP($AW1622,'Item Master Data'!$A:$F,3,FALSE)</f>
        <v>Q.PEAK DUO BLK ML G10+</v>
      </c>
      <c r="AY1622" s="471">
        <f>VLOOKUP($AW1622,'Item Master Data'!$A:$F,6,FALSE)</f>
        <v>400</v>
      </c>
      <c r="AZ1622" s="471">
        <f t="shared" si="277"/>
        <v>22</v>
      </c>
      <c r="BA1622" s="471">
        <f>VLOOKUP(AW1622,'Item Master Data'!$A:$G,7,FALSE)</f>
        <v>32</v>
      </c>
      <c r="BC1622" s="471">
        <f t="shared" si="278"/>
        <v>0</v>
      </c>
    </row>
    <row r="1623" spans="1:55" s="471" customFormat="1">
      <c r="A1623" s="472"/>
      <c r="B1623" s="514">
        <v>44616</v>
      </c>
      <c r="C1623" s="514">
        <v>44616</v>
      </c>
      <c r="D1623" s="485" t="s">
        <v>3186</v>
      </c>
      <c r="E1623" s="474" t="s">
        <v>3585</v>
      </c>
      <c r="F1623" s="474"/>
      <c r="G1623" s="516">
        <v>2022</v>
      </c>
      <c r="H1623" s="524">
        <v>4</v>
      </c>
      <c r="I1623" s="545">
        <v>128009</v>
      </c>
      <c r="J1623" s="527">
        <v>44662</v>
      </c>
      <c r="K1623" s="535" t="s">
        <v>3586</v>
      </c>
      <c r="L1623" s="536" t="s">
        <v>2378</v>
      </c>
      <c r="M1623" s="529">
        <v>44615</v>
      </c>
      <c r="N1623" s="529">
        <v>44615</v>
      </c>
      <c r="O1623" s="529"/>
      <c r="P1623" s="527">
        <v>44663</v>
      </c>
      <c r="Q1623" s="529">
        <v>44659</v>
      </c>
      <c r="R1623" s="529">
        <v>44662</v>
      </c>
      <c r="S1623" s="536" t="s">
        <v>2379</v>
      </c>
      <c r="T1623" s="536">
        <v>60</v>
      </c>
      <c r="U1623" s="536">
        <v>49405140</v>
      </c>
      <c r="V1623" s="536" t="s">
        <v>973</v>
      </c>
      <c r="W1623" s="536">
        <v>400</v>
      </c>
      <c r="X1623" s="537">
        <v>704</v>
      </c>
      <c r="Y1623" s="477">
        <f>X1623*W1623</f>
        <v>281600</v>
      </c>
      <c r="Z1623" s="478">
        <f>188/400</f>
        <v>0.47</v>
      </c>
      <c r="AA1623" s="479">
        <f>Z1623*Y1623</f>
        <v>132352</v>
      </c>
      <c r="AB1623" s="480"/>
      <c r="AC1623" s="481">
        <f>AB1623*Y1623</f>
        <v>0</v>
      </c>
      <c r="AD1623" s="490"/>
      <c r="AE1623" s="482"/>
      <c r="AF1623" s="493">
        <f>AA1623+AE1623</f>
        <v>132352</v>
      </c>
      <c r="AG1623" s="474" t="s">
        <v>47</v>
      </c>
      <c r="AH1623" s="474"/>
      <c r="AI1623" s="483" t="s">
        <v>2374</v>
      </c>
      <c r="AJ1623" s="474" t="s">
        <v>2366</v>
      </c>
      <c r="AK1623" s="494" t="s">
        <v>1395</v>
      </c>
      <c r="AL1623" s="474">
        <v>89118</v>
      </c>
      <c r="AM1623" s="474" t="s">
        <v>52</v>
      </c>
      <c r="AN1623" s="474" t="s">
        <v>1106</v>
      </c>
      <c r="AO1623" s="474"/>
      <c r="AP1623" s="486"/>
      <c r="AQ1623" s="486" t="s">
        <v>37</v>
      </c>
      <c r="AR1623" s="486"/>
      <c r="AS1623" s="495"/>
      <c r="AT1623" s="495"/>
      <c r="AU1623" s="478"/>
      <c r="AV1623" s="471">
        <f t="shared" si="276"/>
        <v>49405140</v>
      </c>
      <c r="AW1623" s="471" cm="1">
        <f t="array" ref="AW1623">SUM(MID(0&amp;AV1623,LARGE(INDEX(ISNUMBER(--MID(AV1623,ROW($1:$8),1))*ROW($1:$8),),ROW($1:$8))+1,1)*10^ROW($1:$8)/10)</f>
        <v>49405140</v>
      </c>
      <c r="AX1623" s="471" t="str">
        <f>VLOOKUP($AW1623,'Item Master Data'!$A:$F,3,FALSE)</f>
        <v>Q.PEAK DUO BLK ML G10+</v>
      </c>
      <c r="AY1623" s="471">
        <f>VLOOKUP($AW1623,'Item Master Data'!$A:$F,6,FALSE)</f>
        <v>400</v>
      </c>
      <c r="AZ1623" s="471">
        <f t="shared" si="277"/>
        <v>22</v>
      </c>
      <c r="BA1623" s="471">
        <f>VLOOKUP(AW1623,'Item Master Data'!$A:$G,7,FALSE)</f>
        <v>32</v>
      </c>
      <c r="BC1623" s="471">
        <f t="shared" si="278"/>
        <v>0</v>
      </c>
    </row>
    <row r="1624" spans="1:55" s="471" customFormat="1">
      <c r="A1624" s="472"/>
      <c r="B1624" s="514">
        <v>44616</v>
      </c>
      <c r="C1624" s="514">
        <v>44616</v>
      </c>
      <c r="D1624" s="485" t="s">
        <v>3186</v>
      </c>
      <c r="E1624" s="474" t="s">
        <v>3585</v>
      </c>
      <c r="F1624" s="474"/>
      <c r="G1624" s="516">
        <v>2022</v>
      </c>
      <c r="H1624" s="524">
        <v>4</v>
      </c>
      <c r="I1624" s="545">
        <v>128079</v>
      </c>
      <c r="J1624" s="527">
        <v>44665</v>
      </c>
      <c r="K1624" s="535" t="s">
        <v>3586</v>
      </c>
      <c r="L1624" s="536" t="s">
        <v>2378</v>
      </c>
      <c r="M1624" s="529">
        <v>44615</v>
      </c>
      <c r="N1624" s="529">
        <v>44615</v>
      </c>
      <c r="O1624" s="529"/>
      <c r="P1624" s="527">
        <v>44663</v>
      </c>
      <c r="Q1624" s="529">
        <v>44662</v>
      </c>
      <c r="R1624" s="529">
        <v>44665</v>
      </c>
      <c r="S1624" s="536" t="s">
        <v>2379</v>
      </c>
      <c r="T1624" s="536">
        <v>60</v>
      </c>
      <c r="U1624" s="536">
        <v>49405140</v>
      </c>
      <c r="V1624" s="536" t="s">
        <v>973</v>
      </c>
      <c r="W1624" s="536">
        <v>400</v>
      </c>
      <c r="X1624" s="537">
        <v>384</v>
      </c>
      <c r="Y1624" s="477">
        <f>X1624*W1624</f>
        <v>153600</v>
      </c>
      <c r="Z1624" s="478">
        <f>188/400</f>
        <v>0.47</v>
      </c>
      <c r="AA1624" s="479">
        <f>Z1624*Y1624</f>
        <v>72192</v>
      </c>
      <c r="AB1624" s="480"/>
      <c r="AC1624" s="481">
        <f>AB1624*Y1624</f>
        <v>0</v>
      </c>
      <c r="AD1624" s="490"/>
      <c r="AE1624" s="482"/>
      <c r="AF1624" s="493">
        <f>AA1624+AE1624</f>
        <v>72192</v>
      </c>
      <c r="AG1624" s="474" t="s">
        <v>47</v>
      </c>
      <c r="AH1624" s="474"/>
      <c r="AI1624" s="483" t="s">
        <v>2374</v>
      </c>
      <c r="AJ1624" s="474" t="s">
        <v>2366</v>
      </c>
      <c r="AK1624" s="494" t="s">
        <v>1395</v>
      </c>
      <c r="AL1624" s="474">
        <v>89118</v>
      </c>
      <c r="AM1624" s="474" t="s">
        <v>52</v>
      </c>
      <c r="AN1624" s="474" t="s">
        <v>1106</v>
      </c>
      <c r="AO1624" s="474"/>
      <c r="AP1624" s="486"/>
      <c r="AQ1624" s="486" t="s">
        <v>37</v>
      </c>
      <c r="AR1624" s="486"/>
      <c r="AS1624" s="495"/>
      <c r="AT1624" s="495"/>
      <c r="AU1624" s="478"/>
      <c r="AV1624" s="471">
        <f t="shared" ref="AV1624:AV1658" si="279">U1624</f>
        <v>49405140</v>
      </c>
      <c r="AW1624" s="471" cm="1">
        <f t="array" ref="AW1624">SUM(MID(0&amp;AV1624,LARGE(INDEX(ISNUMBER(--MID(AV1624,ROW($1:$8),1))*ROW($1:$8),),ROW($1:$8))+1,1)*10^ROW($1:$8)/10)</f>
        <v>49405140</v>
      </c>
      <c r="AX1624" s="471" t="str">
        <f>VLOOKUP($AW1624,'Item Master Data'!$A:$F,3,FALSE)</f>
        <v>Q.PEAK DUO BLK ML G10+</v>
      </c>
      <c r="AY1624" s="471">
        <f>VLOOKUP($AW1624,'Item Master Data'!$A:$F,6,FALSE)</f>
        <v>400</v>
      </c>
      <c r="AZ1624" s="471">
        <f t="shared" ref="AZ1624:AZ1655" si="280">X1624/BA1624</f>
        <v>12</v>
      </c>
      <c r="BA1624" s="471">
        <f>VLOOKUP(AW1624,'Item Master Data'!$A:$G,7,FALSE)</f>
        <v>32</v>
      </c>
      <c r="BC1624" s="471">
        <f t="shared" ref="BC1624:BC1658" si="281">W1624-AY1624</f>
        <v>0</v>
      </c>
    </row>
    <row r="1625" spans="1:55" s="471" customFormat="1">
      <c r="A1625" s="472"/>
      <c r="B1625" s="514">
        <v>44616</v>
      </c>
      <c r="C1625" s="514">
        <v>44616</v>
      </c>
      <c r="D1625" s="485" t="s">
        <v>3186</v>
      </c>
      <c r="E1625" s="474"/>
      <c r="F1625" s="474"/>
      <c r="G1625" s="516">
        <v>2022</v>
      </c>
      <c r="H1625" s="524">
        <v>4</v>
      </c>
      <c r="I1625" s="545">
        <v>128007</v>
      </c>
      <c r="J1625" s="527">
        <v>44664</v>
      </c>
      <c r="K1625" s="535" t="s">
        <v>3584</v>
      </c>
      <c r="L1625" s="536" t="s">
        <v>2378</v>
      </c>
      <c r="M1625" s="529">
        <v>44615</v>
      </c>
      <c r="N1625" s="529">
        <v>44615</v>
      </c>
      <c r="O1625" s="529"/>
      <c r="P1625" s="529">
        <v>44652</v>
      </c>
      <c r="Q1625" s="529">
        <v>44659</v>
      </c>
      <c r="R1625" s="529">
        <v>44664</v>
      </c>
      <c r="S1625" s="536" t="s">
        <v>2379</v>
      </c>
      <c r="T1625" s="536">
        <v>60</v>
      </c>
      <c r="U1625" s="536">
        <v>49405140</v>
      </c>
      <c r="V1625" s="536" t="s">
        <v>973</v>
      </c>
      <c r="W1625" s="536">
        <v>400</v>
      </c>
      <c r="X1625" s="537">
        <v>704</v>
      </c>
      <c r="Y1625" s="477">
        <f>X1625*W1625</f>
        <v>281600</v>
      </c>
      <c r="Z1625" s="478">
        <f>188/400</f>
        <v>0.47</v>
      </c>
      <c r="AA1625" s="479">
        <f>Z1625*Y1625</f>
        <v>132352</v>
      </c>
      <c r="AB1625" s="480"/>
      <c r="AC1625" s="481">
        <f>AB1625*Y1625</f>
        <v>0</v>
      </c>
      <c r="AD1625" s="490"/>
      <c r="AE1625" s="482"/>
      <c r="AF1625" s="493">
        <f>AA1625+AE1625</f>
        <v>132352</v>
      </c>
      <c r="AG1625" s="474" t="s">
        <v>47</v>
      </c>
      <c r="AH1625" s="474"/>
      <c r="AI1625" s="483" t="s">
        <v>2374</v>
      </c>
      <c r="AJ1625" s="474" t="s">
        <v>2394</v>
      </c>
      <c r="AK1625" s="494" t="s">
        <v>1133</v>
      </c>
      <c r="AL1625" s="474">
        <v>85714</v>
      </c>
      <c r="AM1625" s="474" t="s">
        <v>52</v>
      </c>
      <c r="AN1625" s="474" t="s">
        <v>1106</v>
      </c>
      <c r="AO1625" s="474"/>
      <c r="AP1625" s="486"/>
      <c r="AQ1625" s="486" t="s">
        <v>37</v>
      </c>
      <c r="AR1625" s="486"/>
      <c r="AS1625" s="495"/>
      <c r="AT1625" s="495"/>
      <c r="AU1625" s="478"/>
      <c r="AV1625" s="471">
        <f t="shared" si="279"/>
        <v>49405140</v>
      </c>
      <c r="AW1625" s="471" cm="1">
        <f t="array" ref="AW1625">SUM(MID(0&amp;AV1625,LARGE(INDEX(ISNUMBER(--MID(AV1625,ROW($1:$8),1))*ROW($1:$8),),ROW($1:$8))+1,1)*10^ROW($1:$8)/10)</f>
        <v>49405140</v>
      </c>
      <c r="AX1625" s="471" t="str">
        <f>VLOOKUP($AW1625,'Item Master Data'!$A:$F,3,FALSE)</f>
        <v>Q.PEAK DUO BLK ML G10+</v>
      </c>
      <c r="AY1625" s="471">
        <f>VLOOKUP($AW1625,'Item Master Data'!$A:$F,6,FALSE)</f>
        <v>400</v>
      </c>
      <c r="AZ1625" s="471">
        <f t="shared" si="280"/>
        <v>22</v>
      </c>
      <c r="BA1625" s="471">
        <f>VLOOKUP(AW1625,'Item Master Data'!$A:$G,7,FALSE)</f>
        <v>32</v>
      </c>
      <c r="BC1625" s="471">
        <f t="shared" si="281"/>
        <v>0</v>
      </c>
    </row>
    <row r="1626" spans="1:55" s="471" customFormat="1">
      <c r="A1626" s="472"/>
      <c r="B1626" s="514">
        <v>44616</v>
      </c>
      <c r="C1626" s="514">
        <v>44616</v>
      </c>
      <c r="D1626" s="485" t="s">
        <v>3186</v>
      </c>
      <c r="E1626" s="474"/>
      <c r="F1626" s="474"/>
      <c r="G1626" s="516">
        <v>2022</v>
      </c>
      <c r="H1626" s="524">
        <v>4</v>
      </c>
      <c r="I1626" s="545">
        <v>128013</v>
      </c>
      <c r="J1626" s="527">
        <v>44666</v>
      </c>
      <c r="K1626" s="535" t="s">
        <v>3584</v>
      </c>
      <c r="L1626" s="536" t="s">
        <v>2378</v>
      </c>
      <c r="M1626" s="529">
        <v>44615</v>
      </c>
      <c r="N1626" s="529">
        <v>44615</v>
      </c>
      <c r="O1626" s="529"/>
      <c r="P1626" s="529">
        <v>44652</v>
      </c>
      <c r="Q1626" s="529">
        <v>44662</v>
      </c>
      <c r="R1626" s="529">
        <v>44666</v>
      </c>
      <c r="S1626" s="536" t="s">
        <v>2379</v>
      </c>
      <c r="T1626" s="536">
        <v>60</v>
      </c>
      <c r="U1626" s="536">
        <v>49405140</v>
      </c>
      <c r="V1626" s="536" t="s">
        <v>973</v>
      </c>
      <c r="W1626" s="536">
        <v>400</v>
      </c>
      <c r="X1626" s="537">
        <v>704</v>
      </c>
      <c r="Y1626" s="477">
        <f>X1626*W1626</f>
        <v>281600</v>
      </c>
      <c r="Z1626" s="478">
        <f>188/400</f>
        <v>0.47</v>
      </c>
      <c r="AA1626" s="479">
        <f>Z1626*Y1626</f>
        <v>132352</v>
      </c>
      <c r="AB1626" s="480"/>
      <c r="AC1626" s="481">
        <f>AB1626*Y1626</f>
        <v>0</v>
      </c>
      <c r="AD1626" s="490"/>
      <c r="AE1626" s="482"/>
      <c r="AF1626" s="493">
        <f>AA1626+AE1626</f>
        <v>132352</v>
      </c>
      <c r="AG1626" s="474" t="s">
        <v>47</v>
      </c>
      <c r="AH1626" s="474"/>
      <c r="AI1626" s="483" t="s">
        <v>2374</v>
      </c>
      <c r="AJ1626" s="474" t="s">
        <v>2394</v>
      </c>
      <c r="AK1626" s="494" t="s">
        <v>1133</v>
      </c>
      <c r="AL1626" s="474">
        <v>85714</v>
      </c>
      <c r="AM1626" s="474" t="s">
        <v>52</v>
      </c>
      <c r="AN1626" s="474" t="s">
        <v>1106</v>
      </c>
      <c r="AO1626" s="474"/>
      <c r="AP1626" s="486"/>
      <c r="AQ1626" s="486" t="s">
        <v>37</v>
      </c>
      <c r="AR1626" s="486"/>
      <c r="AS1626" s="495"/>
      <c r="AT1626" s="495"/>
      <c r="AU1626" s="478"/>
      <c r="AV1626" s="471">
        <f t="shared" si="279"/>
        <v>49405140</v>
      </c>
      <c r="AW1626" s="471" cm="1">
        <f t="array" ref="AW1626">SUM(MID(0&amp;AV1626,LARGE(INDEX(ISNUMBER(--MID(AV1626,ROW($1:$8),1))*ROW($1:$8),),ROW($1:$8))+1,1)*10^ROW($1:$8)/10)</f>
        <v>49405140</v>
      </c>
      <c r="AX1626" s="471" t="str">
        <f>VLOOKUP($AW1626,'Item Master Data'!$A:$F,3,FALSE)</f>
        <v>Q.PEAK DUO BLK ML G10+</v>
      </c>
      <c r="AY1626" s="471">
        <f>VLOOKUP($AW1626,'Item Master Data'!$A:$F,6,FALSE)</f>
        <v>400</v>
      </c>
      <c r="AZ1626" s="471">
        <f t="shared" si="280"/>
        <v>22</v>
      </c>
      <c r="BA1626" s="471">
        <f>VLOOKUP(AW1626,'Item Master Data'!$A:$G,7,FALSE)</f>
        <v>32</v>
      </c>
      <c r="BC1626" s="471">
        <f t="shared" si="281"/>
        <v>0</v>
      </c>
    </row>
    <row r="1627" spans="1:55" s="471" customFormat="1">
      <c r="A1627" s="472"/>
      <c r="B1627" s="514">
        <v>44616</v>
      </c>
      <c r="C1627" s="514">
        <v>44616</v>
      </c>
      <c r="D1627" s="485" t="s">
        <v>3186</v>
      </c>
      <c r="E1627" s="474"/>
      <c r="F1627" s="474"/>
      <c r="G1627" s="516">
        <v>2022</v>
      </c>
      <c r="H1627" s="524">
        <v>4</v>
      </c>
      <c r="I1627" s="602" t="s">
        <v>3023</v>
      </c>
      <c r="J1627" s="578">
        <v>44662</v>
      </c>
      <c r="K1627" s="616" t="s">
        <v>3583</v>
      </c>
      <c r="L1627" s="536" t="s">
        <v>2378</v>
      </c>
      <c r="M1627" s="529">
        <v>44615</v>
      </c>
      <c r="N1627" s="529">
        <v>44615</v>
      </c>
      <c r="O1627" s="529"/>
      <c r="P1627" s="529">
        <v>44652</v>
      </c>
      <c r="Q1627" s="529">
        <v>44659</v>
      </c>
      <c r="R1627" s="529">
        <v>44662</v>
      </c>
      <c r="S1627" s="536" t="s">
        <v>2379</v>
      </c>
      <c r="T1627" s="536">
        <v>60</v>
      </c>
      <c r="U1627" s="536">
        <v>49405140</v>
      </c>
      <c r="V1627" s="536" t="s">
        <v>973</v>
      </c>
      <c r="W1627" s="536">
        <v>400</v>
      </c>
      <c r="X1627" s="537">
        <v>448</v>
      </c>
      <c r="Y1627" s="477">
        <f>X1627*W1627</f>
        <v>179200</v>
      </c>
      <c r="Z1627" s="478">
        <f>188/400</f>
        <v>0.47</v>
      </c>
      <c r="AA1627" s="479">
        <f>Z1627*Y1627</f>
        <v>84224</v>
      </c>
      <c r="AB1627" s="480"/>
      <c r="AC1627" s="481">
        <f>AB1627*Y1627</f>
        <v>0</v>
      </c>
      <c r="AD1627" s="490"/>
      <c r="AE1627" s="482"/>
      <c r="AF1627" s="493">
        <f>AA1627+AE1627</f>
        <v>84224</v>
      </c>
      <c r="AG1627" s="474" t="s">
        <v>47</v>
      </c>
      <c r="AH1627" s="474"/>
      <c r="AI1627" s="483" t="s">
        <v>2374</v>
      </c>
      <c r="AJ1627" s="474" t="s">
        <v>2392</v>
      </c>
      <c r="AK1627" s="494" t="s">
        <v>1084</v>
      </c>
      <c r="AL1627" s="474">
        <v>33762</v>
      </c>
      <c r="AM1627" s="474" t="s">
        <v>52</v>
      </c>
      <c r="AN1627" s="474" t="s">
        <v>1106</v>
      </c>
      <c r="AO1627" s="474"/>
      <c r="AP1627" s="486"/>
      <c r="AQ1627" s="486" t="s">
        <v>37</v>
      </c>
      <c r="AR1627" s="486"/>
      <c r="AS1627" s="495"/>
      <c r="AT1627" s="495"/>
      <c r="AU1627" s="478"/>
      <c r="AV1627" s="471">
        <f t="shared" si="279"/>
        <v>49405140</v>
      </c>
      <c r="AW1627" s="471" cm="1">
        <f t="array" ref="AW1627">SUM(MID(0&amp;AV1627,LARGE(INDEX(ISNUMBER(--MID(AV1627,ROW($1:$8),1))*ROW($1:$8),),ROW($1:$8))+1,1)*10^ROW($1:$8)/10)</f>
        <v>49405140</v>
      </c>
      <c r="AX1627" s="471" t="str">
        <f>VLOOKUP($AW1627,'Item Master Data'!$A:$F,3,FALSE)</f>
        <v>Q.PEAK DUO BLK ML G10+</v>
      </c>
      <c r="AY1627" s="471">
        <f>VLOOKUP($AW1627,'Item Master Data'!$A:$F,6,FALSE)</f>
        <v>400</v>
      </c>
      <c r="AZ1627" s="471">
        <f t="shared" si="280"/>
        <v>14</v>
      </c>
      <c r="BA1627" s="471">
        <f>VLOOKUP(AW1627,'Item Master Data'!$A:$G,7,FALSE)</f>
        <v>32</v>
      </c>
      <c r="BC1627" s="471">
        <f t="shared" si="281"/>
        <v>0</v>
      </c>
    </row>
    <row r="1628" spans="1:55" s="471" customFormat="1">
      <c r="A1628" s="472"/>
      <c r="B1628" s="514">
        <v>44616</v>
      </c>
      <c r="C1628" s="514">
        <v>44616</v>
      </c>
      <c r="D1628" s="485" t="s">
        <v>3186</v>
      </c>
      <c r="E1628" s="474"/>
      <c r="F1628" s="474"/>
      <c r="G1628" s="516">
        <v>2022</v>
      </c>
      <c r="H1628" s="516">
        <v>4</v>
      </c>
      <c r="I1628" s="516">
        <v>128153</v>
      </c>
      <c r="J1628" s="527">
        <v>44665</v>
      </c>
      <c r="K1628" s="535" t="s">
        <v>3583</v>
      </c>
      <c r="L1628" s="536" t="s">
        <v>2378</v>
      </c>
      <c r="M1628" s="529">
        <v>44615</v>
      </c>
      <c r="N1628" s="529">
        <v>44615</v>
      </c>
      <c r="O1628" s="529"/>
      <c r="P1628" s="529">
        <v>44652</v>
      </c>
      <c r="Q1628" s="529">
        <v>44663</v>
      </c>
      <c r="R1628" s="529">
        <v>44665</v>
      </c>
      <c r="S1628" s="536" t="s">
        <v>2379</v>
      </c>
      <c r="T1628" s="536">
        <v>60</v>
      </c>
      <c r="U1628" s="536">
        <v>49405140</v>
      </c>
      <c r="V1628" s="536" t="s">
        <v>973</v>
      </c>
      <c r="W1628" s="536">
        <v>400</v>
      </c>
      <c r="X1628" s="537">
        <v>416</v>
      </c>
      <c r="Y1628" s="477">
        <f>X1628*W1628</f>
        <v>166400</v>
      </c>
      <c r="Z1628" s="478">
        <f>188/400</f>
        <v>0.47</v>
      </c>
      <c r="AA1628" s="479">
        <f>Z1628*Y1628</f>
        <v>78208</v>
      </c>
      <c r="AB1628" s="480"/>
      <c r="AC1628" s="481">
        <f>AB1628*Y1628</f>
        <v>0</v>
      </c>
      <c r="AD1628" s="490"/>
      <c r="AE1628" s="482"/>
      <c r="AF1628" s="493">
        <f>AA1628+AE1628</f>
        <v>78208</v>
      </c>
      <c r="AG1628" s="474" t="s">
        <v>47</v>
      </c>
      <c r="AH1628" s="474"/>
      <c r="AI1628" s="483" t="s">
        <v>2374</v>
      </c>
      <c r="AJ1628" s="474" t="s">
        <v>2392</v>
      </c>
      <c r="AK1628" s="494" t="s">
        <v>1084</v>
      </c>
      <c r="AL1628" s="474">
        <v>33762</v>
      </c>
      <c r="AM1628" s="474" t="s">
        <v>52</v>
      </c>
      <c r="AN1628" s="474" t="s">
        <v>1106</v>
      </c>
      <c r="AO1628" s="474"/>
      <c r="AP1628" s="486"/>
      <c r="AQ1628" s="486" t="s">
        <v>37</v>
      </c>
      <c r="AR1628" s="486"/>
      <c r="AS1628" s="495"/>
      <c r="AT1628" s="495"/>
      <c r="AU1628" s="478"/>
      <c r="AV1628" s="471">
        <f t="shared" si="279"/>
        <v>49405140</v>
      </c>
      <c r="AW1628" s="471" cm="1">
        <f t="array" ref="AW1628">SUM(MID(0&amp;AV1628,LARGE(INDEX(ISNUMBER(--MID(AV1628,ROW($1:$8),1))*ROW($1:$8),),ROW($1:$8))+1,1)*10^ROW($1:$8)/10)</f>
        <v>49405140</v>
      </c>
      <c r="AX1628" s="471" t="str">
        <f>VLOOKUP($AW1628,'Item Master Data'!$A:$F,3,FALSE)</f>
        <v>Q.PEAK DUO BLK ML G10+</v>
      </c>
      <c r="AY1628" s="471">
        <f>VLOOKUP($AW1628,'Item Master Data'!$A:$F,6,FALSE)</f>
        <v>400</v>
      </c>
      <c r="AZ1628" s="471">
        <f t="shared" si="280"/>
        <v>13</v>
      </c>
      <c r="BA1628" s="471">
        <f>VLOOKUP(AW1628,'Item Master Data'!$A:$G,7,FALSE)</f>
        <v>32</v>
      </c>
      <c r="BC1628" s="471">
        <f t="shared" si="281"/>
        <v>0</v>
      </c>
    </row>
    <row r="1629" spans="1:55" s="471" customFormat="1">
      <c r="A1629" s="472"/>
      <c r="B1629" s="514">
        <v>44616</v>
      </c>
      <c r="C1629" s="514">
        <v>44616</v>
      </c>
      <c r="D1629" s="485" t="s">
        <v>3186</v>
      </c>
      <c r="E1629" s="474" t="s">
        <v>3527</v>
      </c>
      <c r="F1629" s="474"/>
      <c r="G1629" s="526">
        <v>2022</v>
      </c>
      <c r="H1629" s="526">
        <v>4</v>
      </c>
      <c r="I1629" s="546">
        <v>128239</v>
      </c>
      <c r="J1629" s="531">
        <v>44679</v>
      </c>
      <c r="K1629" s="532" t="s">
        <v>3542</v>
      </c>
      <c r="L1629" s="526" t="s">
        <v>2378</v>
      </c>
      <c r="M1629" s="533">
        <v>44615</v>
      </c>
      <c r="N1629" s="533">
        <v>44615</v>
      </c>
      <c r="O1629" s="533"/>
      <c r="P1629" s="531">
        <v>44664</v>
      </c>
      <c r="Q1629" s="531">
        <v>44673</v>
      </c>
      <c r="R1629" s="531">
        <v>44679</v>
      </c>
      <c r="S1629" s="526" t="s">
        <v>2379</v>
      </c>
      <c r="T1629" s="526">
        <v>60</v>
      </c>
      <c r="U1629" s="526">
        <v>49405140</v>
      </c>
      <c r="V1629" s="526" t="s">
        <v>973</v>
      </c>
      <c r="W1629" s="526">
        <v>400</v>
      </c>
      <c r="X1629" s="534">
        <v>416</v>
      </c>
      <c r="Y1629" s="477">
        <f>X1629*W1629</f>
        <v>166400</v>
      </c>
      <c r="Z1629" s="478">
        <f>188/400</f>
        <v>0.47</v>
      </c>
      <c r="AA1629" s="479">
        <f>Z1629*Y1629</f>
        <v>78208</v>
      </c>
      <c r="AB1629" s="480"/>
      <c r="AC1629" s="481">
        <f>AB1629*Y1629</f>
        <v>0</v>
      </c>
      <c r="AD1629" s="490"/>
      <c r="AE1629" s="482">
        <v>6061.12</v>
      </c>
      <c r="AF1629" s="493">
        <f>AA1629+AE1629</f>
        <v>84269.119999999995</v>
      </c>
      <c r="AG1629" s="474" t="s">
        <v>47</v>
      </c>
      <c r="AH1629" s="474"/>
      <c r="AI1629" s="483" t="s">
        <v>2374</v>
      </c>
      <c r="AJ1629" s="474" t="s">
        <v>1950</v>
      </c>
      <c r="AK1629" s="494" t="s">
        <v>50</v>
      </c>
      <c r="AL1629" s="474">
        <v>91764</v>
      </c>
      <c r="AM1629" s="474" t="s">
        <v>52</v>
      </c>
      <c r="AN1629" s="474" t="s">
        <v>1106</v>
      </c>
      <c r="AO1629" s="474"/>
      <c r="AP1629" s="486"/>
      <c r="AQ1629" s="486" t="s">
        <v>37</v>
      </c>
      <c r="AR1629" s="486"/>
      <c r="AS1629" s="495"/>
      <c r="AT1629" s="495"/>
      <c r="AU1629" s="478"/>
      <c r="AV1629" s="471">
        <f t="shared" si="279"/>
        <v>49405140</v>
      </c>
      <c r="AW1629" s="471" cm="1">
        <f t="array" ref="AW1629">SUM(MID(0&amp;AV1629,LARGE(INDEX(ISNUMBER(--MID(AV1629,ROW($1:$8),1))*ROW($1:$8),),ROW($1:$8))+1,1)*10^ROW($1:$8)/10)</f>
        <v>49405140</v>
      </c>
      <c r="AX1629" s="471" t="str">
        <f>VLOOKUP($AW1629,'Item Master Data'!$A:$F,3,FALSE)</f>
        <v>Q.PEAK DUO BLK ML G10+</v>
      </c>
      <c r="AY1629" s="471">
        <f>VLOOKUP($AW1629,'Item Master Data'!$A:$F,6,FALSE)</f>
        <v>400</v>
      </c>
      <c r="AZ1629" s="471">
        <f t="shared" si="280"/>
        <v>13</v>
      </c>
      <c r="BA1629" s="471">
        <f>VLOOKUP(AW1629,'Item Master Data'!$A:$G,7,FALSE)</f>
        <v>32</v>
      </c>
      <c r="BC1629" s="471">
        <f t="shared" si="281"/>
        <v>0</v>
      </c>
    </row>
    <row r="1630" spans="1:55" s="471" customFormat="1">
      <c r="A1630" s="472"/>
      <c r="B1630" s="514">
        <v>44616</v>
      </c>
      <c r="C1630" s="514">
        <v>44616</v>
      </c>
      <c r="D1630" s="485" t="s">
        <v>3186</v>
      </c>
      <c r="E1630" s="474" t="s">
        <v>3527</v>
      </c>
      <c r="F1630" s="474"/>
      <c r="G1630" s="526">
        <v>2022</v>
      </c>
      <c r="H1630" s="526">
        <v>4</v>
      </c>
      <c r="I1630" s="546">
        <v>128228</v>
      </c>
      <c r="J1630" s="531">
        <v>44677</v>
      </c>
      <c r="K1630" s="532" t="s">
        <v>3542</v>
      </c>
      <c r="L1630" s="526" t="s">
        <v>2378</v>
      </c>
      <c r="M1630" s="533">
        <v>44615</v>
      </c>
      <c r="N1630" s="533">
        <v>44615</v>
      </c>
      <c r="O1630" s="533"/>
      <c r="P1630" s="531">
        <v>44664</v>
      </c>
      <c r="Q1630" s="531">
        <v>44672</v>
      </c>
      <c r="R1630" s="531">
        <v>44677</v>
      </c>
      <c r="S1630" s="526" t="s">
        <v>2379</v>
      </c>
      <c r="T1630" s="526">
        <v>60</v>
      </c>
      <c r="U1630" s="526">
        <v>49405140</v>
      </c>
      <c r="V1630" s="526" t="s">
        <v>973</v>
      </c>
      <c r="W1630" s="526">
        <v>400</v>
      </c>
      <c r="X1630" s="534">
        <v>416</v>
      </c>
      <c r="Y1630" s="477">
        <f>X1630*W1630</f>
        <v>166400</v>
      </c>
      <c r="Z1630" s="478">
        <f>188/400</f>
        <v>0.47</v>
      </c>
      <c r="AA1630" s="479">
        <f>Z1630*Y1630</f>
        <v>78208</v>
      </c>
      <c r="AB1630" s="480"/>
      <c r="AC1630" s="481">
        <f>AB1630*Y1630</f>
        <v>0</v>
      </c>
      <c r="AD1630" s="490"/>
      <c r="AE1630" s="482">
        <v>7038.72</v>
      </c>
      <c r="AF1630" s="493">
        <f>AA1630+AE1630</f>
        <v>85246.720000000001</v>
      </c>
      <c r="AG1630" s="474" t="s">
        <v>47</v>
      </c>
      <c r="AH1630" s="474"/>
      <c r="AI1630" s="483" t="s">
        <v>2374</v>
      </c>
      <c r="AJ1630" s="474" t="s">
        <v>2077</v>
      </c>
      <c r="AK1630" s="494" t="s">
        <v>50</v>
      </c>
      <c r="AL1630" s="474">
        <v>95206</v>
      </c>
      <c r="AM1630" s="474" t="s">
        <v>52</v>
      </c>
      <c r="AN1630" s="474" t="s">
        <v>1106</v>
      </c>
      <c r="AO1630" s="474"/>
      <c r="AP1630" s="486"/>
      <c r="AQ1630" s="486" t="s">
        <v>37</v>
      </c>
      <c r="AR1630" s="486"/>
      <c r="AS1630" s="495"/>
      <c r="AT1630" s="495"/>
      <c r="AU1630" s="478"/>
      <c r="AV1630" s="471">
        <f t="shared" si="279"/>
        <v>49405140</v>
      </c>
      <c r="AW1630" s="471" cm="1">
        <f t="array" ref="AW1630">SUM(MID(0&amp;AV1630,LARGE(INDEX(ISNUMBER(--MID(AV1630,ROW($1:$8),1))*ROW($1:$8),),ROW($1:$8))+1,1)*10^ROW($1:$8)/10)</f>
        <v>49405140</v>
      </c>
      <c r="AX1630" s="471" t="str">
        <f>VLOOKUP($AW1630,'Item Master Data'!$A:$F,3,FALSE)</f>
        <v>Q.PEAK DUO BLK ML G10+</v>
      </c>
      <c r="AY1630" s="471">
        <f>VLOOKUP($AW1630,'Item Master Data'!$A:$F,6,FALSE)</f>
        <v>400</v>
      </c>
      <c r="AZ1630" s="471">
        <f t="shared" si="280"/>
        <v>13</v>
      </c>
      <c r="BA1630" s="471">
        <f>VLOOKUP(AW1630,'Item Master Data'!$A:$G,7,FALSE)</f>
        <v>32</v>
      </c>
      <c r="BC1630" s="471">
        <f t="shared" si="281"/>
        <v>0</v>
      </c>
    </row>
    <row r="1631" spans="1:55" s="471" customFormat="1">
      <c r="A1631" s="472"/>
      <c r="B1631" s="514">
        <v>44616</v>
      </c>
      <c r="C1631" s="514">
        <v>44616</v>
      </c>
      <c r="D1631" s="485" t="s">
        <v>3186</v>
      </c>
      <c r="E1631" s="474" t="s">
        <v>3525</v>
      </c>
      <c r="F1631" s="474"/>
      <c r="G1631" s="526">
        <v>2022</v>
      </c>
      <c r="H1631" s="526">
        <v>4</v>
      </c>
      <c r="I1631" s="614" t="s">
        <v>3023</v>
      </c>
      <c r="J1631" s="615">
        <v>44669</v>
      </c>
      <c r="K1631" s="601" t="s">
        <v>3551</v>
      </c>
      <c r="L1631" s="526" t="s">
        <v>2378</v>
      </c>
      <c r="M1631" s="533">
        <v>44615</v>
      </c>
      <c r="N1631" s="533">
        <v>44615</v>
      </c>
      <c r="O1631" s="533"/>
      <c r="P1631" s="531">
        <v>44664</v>
      </c>
      <c r="Q1631" s="531">
        <v>44666</v>
      </c>
      <c r="R1631" s="531">
        <v>44669</v>
      </c>
      <c r="S1631" s="526" t="s">
        <v>2379</v>
      </c>
      <c r="T1631" s="526">
        <v>60</v>
      </c>
      <c r="U1631" s="526">
        <v>49405140</v>
      </c>
      <c r="V1631" s="526" t="s">
        <v>973</v>
      </c>
      <c r="W1631" s="526">
        <v>400</v>
      </c>
      <c r="X1631" s="534">
        <v>416</v>
      </c>
      <c r="Y1631" s="477">
        <f>X1631*W1631</f>
        <v>166400</v>
      </c>
      <c r="Z1631" s="478">
        <f>188/400</f>
        <v>0.47</v>
      </c>
      <c r="AA1631" s="479">
        <f>Z1631*Y1631</f>
        <v>78208</v>
      </c>
      <c r="AB1631" s="480"/>
      <c r="AC1631" s="481">
        <f>AB1631*Y1631</f>
        <v>0</v>
      </c>
      <c r="AD1631" s="490"/>
      <c r="AE1631" s="482"/>
      <c r="AF1631" s="493">
        <f>AA1631+AE1631</f>
        <v>78208</v>
      </c>
      <c r="AG1631" s="474" t="s">
        <v>47</v>
      </c>
      <c r="AH1631" s="474"/>
      <c r="AI1631" s="483" t="s">
        <v>2374</v>
      </c>
      <c r="AJ1631" s="474" t="s">
        <v>2421</v>
      </c>
      <c r="AK1631" s="494" t="s">
        <v>1158</v>
      </c>
      <c r="AL1631" s="474">
        <v>27560</v>
      </c>
      <c r="AM1631" s="474" t="s">
        <v>52</v>
      </c>
      <c r="AN1631" s="474" t="s">
        <v>1074</v>
      </c>
      <c r="AO1631" s="474"/>
      <c r="AP1631" s="486"/>
      <c r="AQ1631" s="486" t="s">
        <v>37</v>
      </c>
      <c r="AR1631" s="486"/>
      <c r="AS1631" s="495"/>
      <c r="AT1631" s="495"/>
      <c r="AU1631" s="478"/>
      <c r="AV1631" s="471">
        <f t="shared" si="279"/>
        <v>49405140</v>
      </c>
      <c r="AW1631" s="471" cm="1">
        <f t="array" ref="AW1631">SUM(MID(0&amp;AV1631,LARGE(INDEX(ISNUMBER(--MID(AV1631,ROW($1:$8),1))*ROW($1:$8),),ROW($1:$8))+1,1)*10^ROW($1:$8)/10)</f>
        <v>49405140</v>
      </c>
      <c r="AX1631" s="471" t="str">
        <f>VLOOKUP($AW1631,'Item Master Data'!$A:$F,3,FALSE)</f>
        <v>Q.PEAK DUO BLK ML G10+</v>
      </c>
      <c r="AY1631" s="471">
        <f>VLOOKUP($AW1631,'Item Master Data'!$A:$F,6,FALSE)</f>
        <v>400</v>
      </c>
      <c r="AZ1631" s="471">
        <f t="shared" si="280"/>
        <v>13</v>
      </c>
      <c r="BA1631" s="471">
        <f>VLOOKUP(AW1631,'Item Master Data'!$A:$G,7,FALSE)</f>
        <v>32</v>
      </c>
      <c r="BC1631" s="471">
        <f t="shared" si="281"/>
        <v>0</v>
      </c>
    </row>
    <row r="1632" spans="1:55" s="471" customFormat="1">
      <c r="A1632" s="472"/>
      <c r="B1632" s="514">
        <v>44616</v>
      </c>
      <c r="C1632" s="514">
        <v>44616</v>
      </c>
      <c r="D1632" s="485" t="s">
        <v>3186</v>
      </c>
      <c r="E1632" s="474" t="s">
        <v>3525</v>
      </c>
      <c r="F1632" s="474"/>
      <c r="G1632" s="526">
        <v>2022</v>
      </c>
      <c r="H1632" s="526">
        <v>4</v>
      </c>
      <c r="I1632" s="645" t="s">
        <v>3023</v>
      </c>
      <c r="J1632" s="652">
        <v>44676</v>
      </c>
      <c r="K1632" s="532" t="s">
        <v>3540</v>
      </c>
      <c r="L1632" s="526" t="s">
        <v>2378</v>
      </c>
      <c r="M1632" s="533">
        <v>44615</v>
      </c>
      <c r="N1632" s="533">
        <v>44615</v>
      </c>
      <c r="O1632" s="533"/>
      <c r="P1632" s="531">
        <v>44664</v>
      </c>
      <c r="Q1632" s="531">
        <v>44673</v>
      </c>
      <c r="R1632" s="531">
        <v>44676</v>
      </c>
      <c r="S1632" s="526" t="s">
        <v>2379</v>
      </c>
      <c r="T1632" s="526">
        <v>60</v>
      </c>
      <c r="U1632" s="526">
        <v>49405140</v>
      </c>
      <c r="V1632" s="526" t="s">
        <v>973</v>
      </c>
      <c r="W1632" s="526">
        <v>400</v>
      </c>
      <c r="X1632" s="534">
        <v>624</v>
      </c>
      <c r="Y1632" s="477">
        <f>X1632*W1632</f>
        <v>249600</v>
      </c>
      <c r="Z1632" s="478">
        <f>188/400</f>
        <v>0.47</v>
      </c>
      <c r="AA1632" s="479">
        <f>Z1632*Y1632</f>
        <v>117312</v>
      </c>
      <c r="AB1632" s="480"/>
      <c r="AC1632" s="481">
        <f>AB1632*Y1632</f>
        <v>0</v>
      </c>
      <c r="AD1632" s="490"/>
      <c r="AE1632" s="482"/>
      <c r="AF1632" s="493">
        <f>AA1632+AE1632</f>
        <v>117312</v>
      </c>
      <c r="AG1632" s="474" t="s">
        <v>47</v>
      </c>
      <c r="AH1632" s="474"/>
      <c r="AI1632" s="483" t="s">
        <v>2374</v>
      </c>
      <c r="AJ1632" s="474" t="s">
        <v>2437</v>
      </c>
      <c r="AK1632" s="494" t="s">
        <v>1084</v>
      </c>
      <c r="AL1632" s="474">
        <v>34741</v>
      </c>
      <c r="AM1632" s="474" t="s">
        <v>52</v>
      </c>
      <c r="AN1632" s="474" t="s">
        <v>1106</v>
      </c>
      <c r="AO1632" s="474"/>
      <c r="AP1632" s="486"/>
      <c r="AQ1632" s="486" t="s">
        <v>37</v>
      </c>
      <c r="AR1632" s="486"/>
      <c r="AS1632" s="495"/>
      <c r="AT1632" s="495"/>
      <c r="AU1632" s="478"/>
      <c r="AV1632" s="471">
        <f t="shared" si="279"/>
        <v>49405140</v>
      </c>
      <c r="AW1632" s="471" cm="1">
        <f t="array" ref="AW1632">SUM(MID(0&amp;AV1632,LARGE(INDEX(ISNUMBER(--MID(AV1632,ROW($1:$8),1))*ROW($1:$8),),ROW($1:$8))+1,1)*10^ROW($1:$8)/10)</f>
        <v>49405140</v>
      </c>
      <c r="AX1632" s="471" t="str">
        <f>VLOOKUP($AW1632,'Item Master Data'!$A:$F,3,FALSE)</f>
        <v>Q.PEAK DUO BLK ML G10+</v>
      </c>
      <c r="AY1632" s="471">
        <f>VLOOKUP($AW1632,'Item Master Data'!$A:$F,6,FALSE)</f>
        <v>400</v>
      </c>
      <c r="AZ1632" s="471">
        <f t="shared" si="280"/>
        <v>19.5</v>
      </c>
      <c r="BA1632" s="471">
        <f>VLOOKUP(AW1632,'Item Master Data'!$A:$G,7,FALSE)</f>
        <v>32</v>
      </c>
      <c r="BC1632" s="471">
        <f t="shared" si="281"/>
        <v>0</v>
      </c>
    </row>
    <row r="1633" spans="1:55" s="471" customFormat="1">
      <c r="A1633" s="472"/>
      <c r="B1633" s="514">
        <v>44616</v>
      </c>
      <c r="C1633" s="514">
        <v>44616</v>
      </c>
      <c r="D1633" s="485" t="s">
        <v>3186</v>
      </c>
      <c r="E1633" s="474"/>
      <c r="F1633" s="474"/>
      <c r="G1633" s="526">
        <v>2022</v>
      </c>
      <c r="H1633" s="526">
        <v>4</v>
      </c>
      <c r="I1633" s="645" t="s">
        <v>3023</v>
      </c>
      <c r="J1633" s="531">
        <v>44679</v>
      </c>
      <c r="K1633" s="532" t="s">
        <v>3540</v>
      </c>
      <c r="L1633" s="526" t="s">
        <v>2378</v>
      </c>
      <c r="M1633" s="533">
        <v>44615</v>
      </c>
      <c r="N1633" s="533">
        <v>44615</v>
      </c>
      <c r="O1633" s="533"/>
      <c r="P1633" s="531">
        <v>44666</v>
      </c>
      <c r="Q1633" s="531">
        <v>44671</v>
      </c>
      <c r="R1633" s="531">
        <v>44679</v>
      </c>
      <c r="S1633" s="526" t="s">
        <v>2379</v>
      </c>
      <c r="T1633" s="526">
        <v>60</v>
      </c>
      <c r="U1633" s="526">
        <v>49405140</v>
      </c>
      <c r="V1633" s="526" t="s">
        <v>973</v>
      </c>
      <c r="W1633" s="526">
        <v>400</v>
      </c>
      <c r="X1633" s="569">
        <v>320</v>
      </c>
      <c r="Y1633" s="477">
        <f>X1633*W1633</f>
        <v>128000</v>
      </c>
      <c r="Z1633" s="478">
        <f>188/400</f>
        <v>0.47</v>
      </c>
      <c r="AA1633" s="479">
        <f>Z1633*Y1633</f>
        <v>60160</v>
      </c>
      <c r="AB1633" s="480"/>
      <c r="AC1633" s="481">
        <f>AB1633*Y1633</f>
        <v>0</v>
      </c>
      <c r="AD1633" s="490"/>
      <c r="AE1633" s="482"/>
      <c r="AF1633" s="493">
        <f>AA1633+AE1633</f>
        <v>60160</v>
      </c>
      <c r="AG1633" s="474" t="s">
        <v>47</v>
      </c>
      <c r="AH1633" s="474"/>
      <c r="AI1633" s="483" t="s">
        <v>2374</v>
      </c>
      <c r="AJ1633" s="474" t="s">
        <v>2437</v>
      </c>
      <c r="AK1633" s="494" t="s">
        <v>1084</v>
      </c>
      <c r="AL1633" s="474">
        <v>34741</v>
      </c>
      <c r="AM1633" s="474" t="s">
        <v>52</v>
      </c>
      <c r="AN1633" s="474" t="s">
        <v>1106</v>
      </c>
      <c r="AO1633" s="474"/>
      <c r="AP1633" s="486"/>
      <c r="AQ1633" s="486" t="s">
        <v>37</v>
      </c>
      <c r="AR1633" s="486"/>
      <c r="AS1633" s="495"/>
      <c r="AT1633" s="495"/>
      <c r="AU1633" s="478"/>
      <c r="AV1633" s="471">
        <f t="shared" si="279"/>
        <v>49405140</v>
      </c>
      <c r="AW1633" s="471" cm="1">
        <f t="array" ref="AW1633">SUM(MID(0&amp;AV1633,LARGE(INDEX(ISNUMBER(--MID(AV1633,ROW($1:$8),1))*ROW($1:$8),),ROW($1:$8))+1,1)*10^ROW($1:$8)/10)</f>
        <v>49405140</v>
      </c>
      <c r="AX1633" s="471" t="str">
        <f>VLOOKUP($AW1633,'Item Master Data'!$A:$F,3,FALSE)</f>
        <v>Q.PEAK DUO BLK ML G10+</v>
      </c>
      <c r="AY1633" s="471">
        <f>VLOOKUP($AW1633,'Item Master Data'!$A:$F,6,FALSE)</f>
        <v>400</v>
      </c>
      <c r="AZ1633" s="471">
        <f t="shared" si="280"/>
        <v>10</v>
      </c>
      <c r="BA1633" s="471">
        <f>VLOOKUP(AW1633,'Item Master Data'!$A:$G,7,FALSE)</f>
        <v>32</v>
      </c>
      <c r="BC1633" s="471">
        <f t="shared" si="281"/>
        <v>0</v>
      </c>
    </row>
    <row r="1634" spans="1:55" s="471" customFormat="1">
      <c r="A1634" s="472"/>
      <c r="B1634" s="514">
        <v>44616</v>
      </c>
      <c r="C1634" s="514">
        <v>44616</v>
      </c>
      <c r="D1634" s="485" t="s">
        <v>3186</v>
      </c>
      <c r="E1634" s="474"/>
      <c r="F1634" s="474"/>
      <c r="G1634" s="516">
        <v>2022</v>
      </c>
      <c r="H1634" s="516">
        <v>4</v>
      </c>
      <c r="I1634" s="545">
        <v>128154</v>
      </c>
      <c r="J1634" s="529">
        <v>44669</v>
      </c>
      <c r="K1634" s="535" t="s">
        <v>3587</v>
      </c>
      <c r="L1634" s="536" t="s">
        <v>2378</v>
      </c>
      <c r="M1634" s="529">
        <v>44615</v>
      </c>
      <c r="N1634" s="529">
        <v>44615</v>
      </c>
      <c r="O1634" s="529"/>
      <c r="P1634" s="529">
        <v>44652</v>
      </c>
      <c r="Q1634" s="529">
        <v>44663</v>
      </c>
      <c r="R1634" s="529">
        <v>44669</v>
      </c>
      <c r="S1634" s="536" t="s">
        <v>2379</v>
      </c>
      <c r="T1634" s="536">
        <v>60</v>
      </c>
      <c r="U1634" s="536">
        <v>49405140</v>
      </c>
      <c r="V1634" s="536" t="s">
        <v>973</v>
      </c>
      <c r="W1634" s="536">
        <v>400</v>
      </c>
      <c r="X1634" s="537">
        <v>416</v>
      </c>
      <c r="Y1634" s="477">
        <f>X1634*W1634</f>
        <v>166400</v>
      </c>
      <c r="Z1634" s="478">
        <f>188/400</f>
        <v>0.47</v>
      </c>
      <c r="AA1634" s="479">
        <f>Z1634*Y1634</f>
        <v>78208</v>
      </c>
      <c r="AB1634" s="480"/>
      <c r="AC1634" s="481">
        <f>AB1634*Y1634</f>
        <v>0</v>
      </c>
      <c r="AD1634" s="490"/>
      <c r="AE1634" s="482">
        <v>6061.12</v>
      </c>
      <c r="AF1634" s="493">
        <f>AA1634+AE1634</f>
        <v>84269.119999999995</v>
      </c>
      <c r="AG1634" s="474" t="s">
        <v>47</v>
      </c>
      <c r="AH1634" s="474"/>
      <c r="AI1634" s="483" t="s">
        <v>2374</v>
      </c>
      <c r="AJ1634" s="474" t="s">
        <v>1950</v>
      </c>
      <c r="AK1634" s="494" t="s">
        <v>50</v>
      </c>
      <c r="AL1634" s="474">
        <v>91764</v>
      </c>
      <c r="AM1634" s="474" t="s">
        <v>52</v>
      </c>
      <c r="AN1634" s="474" t="s">
        <v>1106</v>
      </c>
      <c r="AO1634" s="474"/>
      <c r="AP1634" s="486"/>
      <c r="AQ1634" s="486" t="s">
        <v>37</v>
      </c>
      <c r="AR1634" s="486"/>
      <c r="AS1634" s="495"/>
      <c r="AT1634" s="495"/>
      <c r="AU1634" s="478"/>
      <c r="AV1634" s="471">
        <f t="shared" si="279"/>
        <v>49405140</v>
      </c>
      <c r="AW1634" s="471" cm="1">
        <f t="array" ref="AW1634">SUM(MID(0&amp;AV1634,LARGE(INDEX(ISNUMBER(--MID(AV1634,ROW($1:$8),1))*ROW($1:$8),),ROW($1:$8))+1,1)*10^ROW($1:$8)/10)</f>
        <v>49405140</v>
      </c>
      <c r="AX1634" s="471" t="str">
        <f>VLOOKUP($AW1634,'Item Master Data'!$A:$F,3,FALSE)</f>
        <v>Q.PEAK DUO BLK ML G10+</v>
      </c>
      <c r="AY1634" s="471">
        <f>VLOOKUP($AW1634,'Item Master Data'!$A:$F,6,FALSE)</f>
        <v>400</v>
      </c>
      <c r="AZ1634" s="471">
        <f t="shared" si="280"/>
        <v>13</v>
      </c>
      <c r="BA1634" s="471">
        <f>VLOOKUP(AW1634,'Item Master Data'!$A:$G,7,FALSE)</f>
        <v>32</v>
      </c>
      <c r="BC1634" s="471">
        <f t="shared" si="281"/>
        <v>0</v>
      </c>
    </row>
    <row r="1635" spans="1:55" s="471" customFormat="1">
      <c r="A1635" s="472"/>
      <c r="B1635" s="514">
        <v>44616</v>
      </c>
      <c r="C1635" s="514">
        <v>44616</v>
      </c>
      <c r="D1635" s="485" t="s">
        <v>3186</v>
      </c>
      <c r="E1635" s="474"/>
      <c r="F1635" s="474"/>
      <c r="G1635" s="516">
        <v>2022</v>
      </c>
      <c r="H1635" s="516">
        <v>4</v>
      </c>
      <c r="I1635" s="545">
        <v>128006</v>
      </c>
      <c r="J1635" s="527">
        <v>44664</v>
      </c>
      <c r="K1635" s="535" t="s">
        <v>3587</v>
      </c>
      <c r="L1635" s="536" t="s">
        <v>2378</v>
      </c>
      <c r="M1635" s="529">
        <v>44615</v>
      </c>
      <c r="N1635" s="529">
        <v>44615</v>
      </c>
      <c r="O1635" s="529"/>
      <c r="P1635" s="529">
        <v>44652</v>
      </c>
      <c r="Q1635" s="529">
        <v>44659</v>
      </c>
      <c r="R1635" s="529">
        <v>44664</v>
      </c>
      <c r="S1635" s="536" t="s">
        <v>2379</v>
      </c>
      <c r="T1635" s="536">
        <v>60</v>
      </c>
      <c r="U1635" s="536">
        <v>49405140</v>
      </c>
      <c r="V1635" s="536" t="s">
        <v>973</v>
      </c>
      <c r="W1635" s="536">
        <v>400</v>
      </c>
      <c r="X1635" s="537">
        <v>416</v>
      </c>
      <c r="Y1635" s="477">
        <f>X1635*W1635</f>
        <v>166400</v>
      </c>
      <c r="Z1635" s="478">
        <f>188/400</f>
        <v>0.47</v>
      </c>
      <c r="AA1635" s="479">
        <f>Z1635*Y1635</f>
        <v>78208</v>
      </c>
      <c r="AB1635" s="480"/>
      <c r="AC1635" s="481">
        <f>AB1635*Y1635</f>
        <v>0</v>
      </c>
      <c r="AD1635" s="490"/>
      <c r="AE1635" s="482">
        <v>6061.12</v>
      </c>
      <c r="AF1635" s="493">
        <f>AA1635+AE1635</f>
        <v>84269.119999999995</v>
      </c>
      <c r="AG1635" s="474" t="s">
        <v>47</v>
      </c>
      <c r="AH1635" s="474"/>
      <c r="AI1635" s="483" t="s">
        <v>2374</v>
      </c>
      <c r="AJ1635" s="474" t="s">
        <v>1950</v>
      </c>
      <c r="AK1635" s="494" t="s">
        <v>50</v>
      </c>
      <c r="AL1635" s="474">
        <v>91764</v>
      </c>
      <c r="AM1635" s="474" t="s">
        <v>52</v>
      </c>
      <c r="AN1635" s="474" t="s">
        <v>1106</v>
      </c>
      <c r="AO1635" s="474"/>
      <c r="AP1635" s="486"/>
      <c r="AQ1635" s="486" t="s">
        <v>37</v>
      </c>
      <c r="AR1635" s="486"/>
      <c r="AS1635" s="495"/>
      <c r="AT1635" s="495"/>
      <c r="AU1635" s="478"/>
      <c r="AV1635" s="471">
        <f t="shared" si="279"/>
        <v>49405140</v>
      </c>
      <c r="AW1635" s="471" cm="1">
        <f t="array" ref="AW1635">SUM(MID(0&amp;AV1635,LARGE(INDEX(ISNUMBER(--MID(AV1635,ROW($1:$8),1))*ROW($1:$8),),ROW($1:$8))+1,1)*10^ROW($1:$8)/10)</f>
        <v>49405140</v>
      </c>
      <c r="AX1635" s="471" t="str">
        <f>VLOOKUP($AW1635,'Item Master Data'!$A:$F,3,FALSE)</f>
        <v>Q.PEAK DUO BLK ML G10+</v>
      </c>
      <c r="AY1635" s="471">
        <f>VLOOKUP($AW1635,'Item Master Data'!$A:$F,6,FALSE)</f>
        <v>400</v>
      </c>
      <c r="AZ1635" s="471">
        <f t="shared" si="280"/>
        <v>13</v>
      </c>
      <c r="BA1635" s="471">
        <f>VLOOKUP(AW1635,'Item Master Data'!$A:$G,7,FALSE)</f>
        <v>32</v>
      </c>
      <c r="BC1635" s="471">
        <f t="shared" si="281"/>
        <v>0</v>
      </c>
    </row>
    <row r="1636" spans="1:55" s="471" customFormat="1">
      <c r="A1636" s="472"/>
      <c r="B1636" s="514">
        <v>44616</v>
      </c>
      <c r="C1636" s="514">
        <v>44616</v>
      </c>
      <c r="D1636" s="485" t="s">
        <v>3186</v>
      </c>
      <c r="E1636" s="474"/>
      <c r="F1636" s="474"/>
      <c r="G1636" s="516">
        <v>2022</v>
      </c>
      <c r="H1636" s="524">
        <v>4</v>
      </c>
      <c r="I1636" s="617" t="s">
        <v>3023</v>
      </c>
      <c r="J1636" s="615">
        <v>44658</v>
      </c>
      <c r="K1636" s="616" t="s">
        <v>3582</v>
      </c>
      <c r="L1636" s="536" t="s">
        <v>2378</v>
      </c>
      <c r="M1636" s="529">
        <v>44615</v>
      </c>
      <c r="N1636" s="529">
        <v>44615</v>
      </c>
      <c r="O1636" s="529"/>
      <c r="P1636" s="529">
        <v>44652</v>
      </c>
      <c r="Q1636" s="529">
        <v>44656</v>
      </c>
      <c r="R1636" s="529">
        <v>44658</v>
      </c>
      <c r="S1636" s="536" t="s">
        <v>2379</v>
      </c>
      <c r="T1636" s="536">
        <v>60</v>
      </c>
      <c r="U1636" s="536">
        <v>49405140</v>
      </c>
      <c r="V1636" s="536" t="s">
        <v>973</v>
      </c>
      <c r="W1636" s="536">
        <v>400</v>
      </c>
      <c r="X1636" s="537">
        <v>1280</v>
      </c>
      <c r="Y1636" s="477">
        <f>X1636*W1636</f>
        <v>512000</v>
      </c>
      <c r="Z1636" s="478">
        <f>188/400</f>
        <v>0.47</v>
      </c>
      <c r="AA1636" s="479">
        <f>Z1636*Y1636</f>
        <v>240640</v>
      </c>
      <c r="AB1636" s="480"/>
      <c r="AC1636" s="481">
        <f>AB1636*Y1636</f>
        <v>0</v>
      </c>
      <c r="AD1636" s="490"/>
      <c r="AE1636" s="482"/>
      <c r="AF1636" s="493">
        <f>AA1636+AE1636</f>
        <v>240640</v>
      </c>
      <c r="AG1636" s="474" t="s">
        <v>47</v>
      </c>
      <c r="AH1636" s="474"/>
      <c r="AI1636" s="483" t="s">
        <v>2374</v>
      </c>
      <c r="AJ1636" s="474" t="s">
        <v>2388</v>
      </c>
      <c r="AK1636" s="494" t="s">
        <v>1375</v>
      </c>
      <c r="AL1636" s="474">
        <v>23502</v>
      </c>
      <c r="AM1636" s="474" t="s">
        <v>52</v>
      </c>
      <c r="AN1636" s="516" t="s">
        <v>1106</v>
      </c>
      <c r="AO1636" s="474"/>
      <c r="AP1636" s="486"/>
      <c r="AQ1636" s="486" t="s">
        <v>37</v>
      </c>
      <c r="AR1636" s="486"/>
      <c r="AS1636" s="495"/>
      <c r="AT1636" s="495"/>
      <c r="AU1636" s="478"/>
      <c r="AV1636" s="471">
        <f t="shared" si="279"/>
        <v>49405140</v>
      </c>
      <c r="AW1636" s="471" cm="1">
        <f t="array" ref="AW1636">SUM(MID(0&amp;AV1636,LARGE(INDEX(ISNUMBER(--MID(AV1636,ROW($1:$8),1))*ROW($1:$8),),ROW($1:$8))+1,1)*10^ROW($1:$8)/10)</f>
        <v>49405140</v>
      </c>
      <c r="AX1636" s="471" t="str">
        <f>VLOOKUP($AW1636,'Item Master Data'!$A:$F,3,FALSE)</f>
        <v>Q.PEAK DUO BLK ML G10+</v>
      </c>
      <c r="AY1636" s="471">
        <f>VLOOKUP($AW1636,'Item Master Data'!$A:$F,6,FALSE)</f>
        <v>400</v>
      </c>
      <c r="AZ1636" s="471">
        <f t="shared" si="280"/>
        <v>40</v>
      </c>
      <c r="BA1636" s="471">
        <f>VLOOKUP(AW1636,'Item Master Data'!$A:$G,7,FALSE)</f>
        <v>32</v>
      </c>
      <c r="BC1636" s="471">
        <f t="shared" si="281"/>
        <v>0</v>
      </c>
    </row>
    <row r="1637" spans="1:55" s="471" customFormat="1">
      <c r="A1637" s="472"/>
      <c r="B1637" s="514">
        <v>44616</v>
      </c>
      <c r="C1637" s="514">
        <v>44616</v>
      </c>
      <c r="D1637" s="485" t="s">
        <v>3186</v>
      </c>
      <c r="E1637" s="474" t="s">
        <v>5504</v>
      </c>
      <c r="F1637" s="474"/>
      <c r="G1637" s="516">
        <v>2022</v>
      </c>
      <c r="H1637" s="524">
        <v>4</v>
      </c>
      <c r="I1637" s="617" t="s">
        <v>3023</v>
      </c>
      <c r="J1637" s="615">
        <v>44666</v>
      </c>
      <c r="K1637" s="616" t="s">
        <v>3577</v>
      </c>
      <c r="L1637" s="536" t="s">
        <v>2378</v>
      </c>
      <c r="M1637" s="529">
        <v>44615</v>
      </c>
      <c r="N1637" s="529">
        <v>44615</v>
      </c>
      <c r="O1637" s="529"/>
      <c r="P1637" s="527">
        <v>44663</v>
      </c>
      <c r="Q1637" s="529">
        <v>44662</v>
      </c>
      <c r="R1637" s="529">
        <v>44666</v>
      </c>
      <c r="S1637" s="536" t="s">
        <v>2379</v>
      </c>
      <c r="T1637" s="536">
        <v>60</v>
      </c>
      <c r="U1637" s="536">
        <v>49405140</v>
      </c>
      <c r="V1637" s="536" t="s">
        <v>973</v>
      </c>
      <c r="W1637" s="536">
        <v>400</v>
      </c>
      <c r="X1637" s="537">
        <v>768</v>
      </c>
      <c r="Y1637" s="477">
        <f>X1637*W1637</f>
        <v>307200</v>
      </c>
      <c r="Z1637" s="478">
        <f>188/400</f>
        <v>0.47</v>
      </c>
      <c r="AA1637" s="479">
        <f>Z1637*Y1637</f>
        <v>144384</v>
      </c>
      <c r="AB1637" s="480"/>
      <c r="AC1637" s="481">
        <f>AB1637*Y1637</f>
        <v>0</v>
      </c>
      <c r="AD1637" s="490"/>
      <c r="AE1637" s="482"/>
      <c r="AF1637" s="493">
        <f>AA1637+AE1637</f>
        <v>144384</v>
      </c>
      <c r="AG1637" s="474" t="s">
        <v>47</v>
      </c>
      <c r="AH1637" s="474"/>
      <c r="AI1637" s="483" t="s">
        <v>2374</v>
      </c>
      <c r="AJ1637" s="474" t="s">
        <v>1132</v>
      </c>
      <c r="AK1637" s="494" t="s">
        <v>1133</v>
      </c>
      <c r="AL1637" s="474">
        <v>85210</v>
      </c>
      <c r="AM1637" s="474" t="s">
        <v>52</v>
      </c>
      <c r="AN1637" s="474" t="s">
        <v>1106</v>
      </c>
      <c r="AO1637" s="474"/>
      <c r="AP1637" s="486"/>
      <c r="AQ1637" s="486" t="s">
        <v>37</v>
      </c>
      <c r="AR1637" s="486"/>
      <c r="AS1637" s="495"/>
      <c r="AT1637" s="495"/>
      <c r="AU1637" s="478"/>
      <c r="AV1637" s="471">
        <f t="shared" si="279"/>
        <v>49405140</v>
      </c>
      <c r="AW1637" s="471" cm="1">
        <f t="array" ref="AW1637">SUM(MID(0&amp;AV1637,LARGE(INDEX(ISNUMBER(--MID(AV1637,ROW($1:$8),1))*ROW($1:$8),),ROW($1:$8))+1,1)*10^ROW($1:$8)/10)</f>
        <v>49405140</v>
      </c>
      <c r="AX1637" s="471" t="str">
        <f>VLOOKUP($AW1637,'Item Master Data'!$A:$F,3,FALSE)</f>
        <v>Q.PEAK DUO BLK ML G10+</v>
      </c>
      <c r="AY1637" s="471">
        <f>VLOOKUP($AW1637,'Item Master Data'!$A:$F,6,FALSE)</f>
        <v>400</v>
      </c>
      <c r="AZ1637" s="471">
        <f t="shared" si="280"/>
        <v>24</v>
      </c>
      <c r="BA1637" s="471">
        <f>VLOOKUP(AW1637,'Item Master Data'!$A:$G,7,FALSE)</f>
        <v>32</v>
      </c>
      <c r="BC1637" s="471">
        <f t="shared" si="281"/>
        <v>0</v>
      </c>
    </row>
    <row r="1638" spans="1:55" s="471" customFormat="1">
      <c r="A1638" s="472"/>
      <c r="B1638" s="514">
        <v>44616</v>
      </c>
      <c r="C1638" s="514">
        <v>44616</v>
      </c>
      <c r="D1638" s="485" t="s">
        <v>3186</v>
      </c>
      <c r="E1638" s="474" t="s">
        <v>5505</v>
      </c>
      <c r="F1638" s="474"/>
      <c r="G1638" s="516">
        <v>2022</v>
      </c>
      <c r="H1638" s="524">
        <v>4</v>
      </c>
      <c r="I1638" s="617" t="s">
        <v>3023</v>
      </c>
      <c r="J1638" s="615">
        <v>44663</v>
      </c>
      <c r="K1638" s="616" t="s">
        <v>3577</v>
      </c>
      <c r="L1638" s="536" t="s">
        <v>2378</v>
      </c>
      <c r="M1638" s="529">
        <v>44615</v>
      </c>
      <c r="N1638" s="529">
        <v>44615</v>
      </c>
      <c r="O1638" s="529"/>
      <c r="P1638" s="527">
        <v>44663</v>
      </c>
      <c r="Q1638" s="529">
        <v>44659</v>
      </c>
      <c r="R1638" s="529">
        <v>44663</v>
      </c>
      <c r="S1638" s="536" t="s">
        <v>2379</v>
      </c>
      <c r="T1638" s="536">
        <v>60</v>
      </c>
      <c r="U1638" s="536">
        <v>49405140</v>
      </c>
      <c r="V1638" s="536" t="s">
        <v>973</v>
      </c>
      <c r="W1638" s="536">
        <v>400</v>
      </c>
      <c r="X1638" s="537">
        <v>512</v>
      </c>
      <c r="Y1638" s="477">
        <f>X1638*W1638</f>
        <v>204800</v>
      </c>
      <c r="Z1638" s="478">
        <f>188/400</f>
        <v>0.47</v>
      </c>
      <c r="AA1638" s="479">
        <f>Z1638*Y1638</f>
        <v>96256</v>
      </c>
      <c r="AB1638" s="480"/>
      <c r="AC1638" s="481">
        <f>AB1638*Y1638</f>
        <v>0</v>
      </c>
      <c r="AD1638" s="490"/>
      <c r="AE1638" s="482"/>
      <c r="AF1638" s="493">
        <f>AA1638+AE1638</f>
        <v>96256</v>
      </c>
      <c r="AG1638" s="474" t="s">
        <v>47</v>
      </c>
      <c r="AH1638" s="474"/>
      <c r="AI1638" s="483" t="s">
        <v>2374</v>
      </c>
      <c r="AJ1638" s="474" t="s">
        <v>1132</v>
      </c>
      <c r="AK1638" s="494" t="s">
        <v>1133</v>
      </c>
      <c r="AL1638" s="474">
        <v>85210</v>
      </c>
      <c r="AM1638" s="474" t="s">
        <v>52</v>
      </c>
      <c r="AN1638" s="474" t="s">
        <v>1106</v>
      </c>
      <c r="AO1638" s="474"/>
      <c r="AP1638" s="486"/>
      <c r="AQ1638" s="486" t="s">
        <v>37</v>
      </c>
      <c r="AR1638" s="486"/>
      <c r="AS1638" s="495"/>
      <c r="AT1638" s="495"/>
      <c r="AU1638" s="478"/>
      <c r="AV1638" s="471">
        <f t="shared" si="279"/>
        <v>49405140</v>
      </c>
      <c r="AW1638" s="471" cm="1">
        <f t="array" ref="AW1638">SUM(MID(0&amp;AV1638,LARGE(INDEX(ISNUMBER(--MID(AV1638,ROW($1:$8),1))*ROW($1:$8),),ROW($1:$8))+1,1)*10^ROW($1:$8)/10)</f>
        <v>49405140</v>
      </c>
      <c r="AX1638" s="471" t="str">
        <f>VLOOKUP($AW1638,'Item Master Data'!$A:$F,3,FALSE)</f>
        <v>Q.PEAK DUO BLK ML G10+</v>
      </c>
      <c r="AY1638" s="471">
        <f>VLOOKUP($AW1638,'Item Master Data'!$A:$F,6,FALSE)</f>
        <v>400</v>
      </c>
      <c r="AZ1638" s="471">
        <f t="shared" si="280"/>
        <v>16</v>
      </c>
      <c r="BA1638" s="471">
        <f>VLOOKUP(AW1638,'Item Master Data'!$A:$G,7,FALSE)</f>
        <v>32</v>
      </c>
      <c r="BC1638" s="471">
        <f t="shared" si="281"/>
        <v>0</v>
      </c>
    </row>
    <row r="1639" spans="1:55" s="471" customFormat="1">
      <c r="A1639" s="472"/>
      <c r="B1639" s="514">
        <v>44616</v>
      </c>
      <c r="C1639" s="514">
        <v>44616</v>
      </c>
      <c r="D1639" s="485" t="s">
        <v>3186</v>
      </c>
      <c r="E1639" s="474" t="s">
        <v>3576</v>
      </c>
      <c r="F1639" s="474"/>
      <c r="G1639" s="516">
        <v>2022</v>
      </c>
      <c r="H1639" s="524">
        <v>4</v>
      </c>
      <c r="I1639" s="545">
        <v>128004</v>
      </c>
      <c r="J1639" s="527">
        <v>44663</v>
      </c>
      <c r="K1639" s="535" t="s">
        <v>3577</v>
      </c>
      <c r="L1639" s="536" t="s">
        <v>2378</v>
      </c>
      <c r="M1639" s="529">
        <v>44615</v>
      </c>
      <c r="N1639" s="529">
        <v>44615</v>
      </c>
      <c r="O1639" s="529"/>
      <c r="P1639" s="527">
        <v>44663</v>
      </c>
      <c r="Q1639" s="529">
        <v>44659</v>
      </c>
      <c r="R1639" s="529">
        <v>44663</v>
      </c>
      <c r="S1639" s="536" t="s">
        <v>2379</v>
      </c>
      <c r="T1639" s="536">
        <v>60</v>
      </c>
      <c r="U1639" s="536">
        <v>49405140</v>
      </c>
      <c r="V1639" s="536" t="s">
        <v>973</v>
      </c>
      <c r="W1639" s="536">
        <v>400</v>
      </c>
      <c r="X1639" s="537">
        <v>768</v>
      </c>
      <c r="Y1639" s="477">
        <f>X1639*W1639</f>
        <v>307200</v>
      </c>
      <c r="Z1639" s="478">
        <f>188/400</f>
        <v>0.47</v>
      </c>
      <c r="AA1639" s="479">
        <f>Z1639*Y1639</f>
        <v>144384</v>
      </c>
      <c r="AB1639" s="480"/>
      <c r="AC1639" s="481">
        <f>AB1639*Y1639</f>
        <v>0</v>
      </c>
      <c r="AD1639" s="490"/>
      <c r="AE1639" s="482"/>
      <c r="AF1639" s="493">
        <f>AA1639+AE1639</f>
        <v>144384</v>
      </c>
      <c r="AG1639" s="474" t="s">
        <v>47</v>
      </c>
      <c r="AH1639" s="474"/>
      <c r="AI1639" s="483" t="s">
        <v>2374</v>
      </c>
      <c r="AJ1639" s="474" t="s">
        <v>1132</v>
      </c>
      <c r="AK1639" s="494" t="s">
        <v>1133</v>
      </c>
      <c r="AL1639" s="474">
        <v>85210</v>
      </c>
      <c r="AM1639" s="474" t="s">
        <v>52</v>
      </c>
      <c r="AN1639" s="474" t="s">
        <v>1106</v>
      </c>
      <c r="AO1639" s="474"/>
      <c r="AP1639" s="486"/>
      <c r="AQ1639" s="486" t="s">
        <v>37</v>
      </c>
      <c r="AR1639" s="486"/>
      <c r="AS1639" s="495"/>
      <c r="AT1639" s="495"/>
      <c r="AU1639" s="478"/>
      <c r="AV1639" s="471">
        <f t="shared" si="279"/>
        <v>49405140</v>
      </c>
      <c r="AW1639" s="471" cm="1">
        <f t="array" ref="AW1639">SUM(MID(0&amp;AV1639,LARGE(INDEX(ISNUMBER(--MID(AV1639,ROW($1:$8),1))*ROW($1:$8),),ROW($1:$8))+1,1)*10^ROW($1:$8)/10)</f>
        <v>49405140</v>
      </c>
      <c r="AX1639" s="471" t="str">
        <f>VLOOKUP($AW1639,'Item Master Data'!$A:$F,3,FALSE)</f>
        <v>Q.PEAK DUO BLK ML G10+</v>
      </c>
      <c r="AY1639" s="471">
        <f>VLOOKUP($AW1639,'Item Master Data'!$A:$F,6,FALSE)</f>
        <v>400</v>
      </c>
      <c r="AZ1639" s="471">
        <f t="shared" si="280"/>
        <v>24</v>
      </c>
      <c r="BA1639" s="471">
        <f>VLOOKUP(AW1639,'Item Master Data'!$A:$G,7,FALSE)</f>
        <v>32</v>
      </c>
      <c r="BC1639" s="471">
        <f t="shared" si="281"/>
        <v>0</v>
      </c>
    </row>
    <row r="1640" spans="1:55" s="471" customFormat="1">
      <c r="A1640" s="472"/>
      <c r="B1640" s="514">
        <v>44616</v>
      </c>
      <c r="C1640" s="514">
        <v>44616</v>
      </c>
      <c r="D1640" s="485" t="s">
        <v>3186</v>
      </c>
      <c r="E1640" s="474" t="s">
        <v>3576</v>
      </c>
      <c r="F1640" s="474"/>
      <c r="G1640" s="516">
        <v>2022</v>
      </c>
      <c r="H1640" s="524">
        <v>4</v>
      </c>
      <c r="I1640" s="545">
        <v>128004</v>
      </c>
      <c r="J1640" s="527">
        <v>44663</v>
      </c>
      <c r="K1640" s="535" t="s">
        <v>3577</v>
      </c>
      <c r="L1640" s="536" t="s">
        <v>2378</v>
      </c>
      <c r="M1640" s="529">
        <v>44615</v>
      </c>
      <c r="N1640" s="529">
        <v>44615</v>
      </c>
      <c r="O1640" s="529"/>
      <c r="P1640" s="527">
        <v>44663</v>
      </c>
      <c r="Q1640" s="529">
        <v>44659</v>
      </c>
      <c r="R1640" s="529">
        <v>44663</v>
      </c>
      <c r="S1640" s="536" t="s">
        <v>2379</v>
      </c>
      <c r="T1640" s="536">
        <v>60</v>
      </c>
      <c r="U1640" s="536">
        <v>49405140</v>
      </c>
      <c r="V1640" s="536" t="s">
        <v>973</v>
      </c>
      <c r="W1640" s="536">
        <v>400</v>
      </c>
      <c r="X1640" s="537">
        <v>768</v>
      </c>
      <c r="Y1640" s="477">
        <f>X1640*W1640</f>
        <v>307200</v>
      </c>
      <c r="Z1640" s="478">
        <f>188/400</f>
        <v>0.47</v>
      </c>
      <c r="AA1640" s="479">
        <f>Z1640*Y1640</f>
        <v>144384</v>
      </c>
      <c r="AB1640" s="480"/>
      <c r="AC1640" s="481">
        <f>AB1640*Y1640</f>
        <v>0</v>
      </c>
      <c r="AD1640" s="490"/>
      <c r="AE1640" s="482"/>
      <c r="AF1640" s="493">
        <f>AA1640+AE1640</f>
        <v>144384</v>
      </c>
      <c r="AG1640" s="474" t="s">
        <v>47</v>
      </c>
      <c r="AH1640" s="474"/>
      <c r="AI1640" s="483" t="s">
        <v>2374</v>
      </c>
      <c r="AJ1640" s="474" t="s">
        <v>1132</v>
      </c>
      <c r="AK1640" s="494" t="s">
        <v>1133</v>
      </c>
      <c r="AL1640" s="474">
        <v>85210</v>
      </c>
      <c r="AM1640" s="474" t="s">
        <v>52</v>
      </c>
      <c r="AN1640" s="474" t="s">
        <v>1106</v>
      </c>
      <c r="AO1640" s="474"/>
      <c r="AP1640" s="486"/>
      <c r="AQ1640" s="486" t="s">
        <v>37</v>
      </c>
      <c r="AR1640" s="486"/>
      <c r="AS1640" s="495"/>
      <c r="AT1640" s="495"/>
      <c r="AU1640" s="478"/>
      <c r="AV1640" s="471">
        <f t="shared" si="279"/>
        <v>49405140</v>
      </c>
      <c r="AW1640" s="471" cm="1">
        <f t="array" ref="AW1640">SUM(MID(0&amp;AV1640,LARGE(INDEX(ISNUMBER(--MID(AV1640,ROW($1:$8),1))*ROW($1:$8),),ROW($1:$8))+1,1)*10^ROW($1:$8)/10)</f>
        <v>49405140</v>
      </c>
      <c r="AX1640" s="471" t="str">
        <f>VLOOKUP($AW1640,'Item Master Data'!$A:$F,3,FALSE)</f>
        <v>Q.PEAK DUO BLK ML G10+</v>
      </c>
      <c r="AY1640" s="471">
        <f>VLOOKUP($AW1640,'Item Master Data'!$A:$F,6,FALSE)</f>
        <v>400</v>
      </c>
      <c r="AZ1640" s="471">
        <f t="shared" si="280"/>
        <v>24</v>
      </c>
      <c r="BA1640" s="471">
        <f>VLOOKUP(AW1640,'Item Master Data'!$A:$G,7,FALSE)</f>
        <v>32</v>
      </c>
      <c r="BC1640" s="471">
        <f t="shared" si="281"/>
        <v>0</v>
      </c>
    </row>
    <row r="1641" spans="1:55" s="471" customFormat="1">
      <c r="A1641" s="472"/>
      <c r="B1641" s="514">
        <v>44616</v>
      </c>
      <c r="C1641" s="514">
        <v>44616</v>
      </c>
      <c r="D1641" s="485" t="s">
        <v>3186</v>
      </c>
      <c r="E1641" s="474" t="s">
        <v>3579</v>
      </c>
      <c r="F1641" s="474"/>
      <c r="G1641" s="516">
        <v>2022</v>
      </c>
      <c r="H1641" s="524">
        <v>4</v>
      </c>
      <c r="I1641" s="516">
        <v>128005</v>
      </c>
      <c r="J1641" s="527">
        <v>44662</v>
      </c>
      <c r="K1641" s="535" t="s">
        <v>3577</v>
      </c>
      <c r="L1641" s="536" t="s">
        <v>2378</v>
      </c>
      <c r="M1641" s="529">
        <v>44615</v>
      </c>
      <c r="N1641" s="529">
        <v>44615</v>
      </c>
      <c r="O1641" s="529"/>
      <c r="P1641" s="527">
        <v>44663</v>
      </c>
      <c r="Q1641" s="529">
        <v>44659</v>
      </c>
      <c r="R1641" s="529">
        <v>44662</v>
      </c>
      <c r="S1641" s="536" t="s">
        <v>2379</v>
      </c>
      <c r="T1641" s="536">
        <v>60</v>
      </c>
      <c r="U1641" s="536">
        <v>49405140</v>
      </c>
      <c r="V1641" s="536" t="s">
        <v>973</v>
      </c>
      <c r="W1641" s="536">
        <v>400</v>
      </c>
      <c r="X1641" s="537">
        <v>768</v>
      </c>
      <c r="Y1641" s="477">
        <f>X1641*W1641</f>
        <v>307200</v>
      </c>
      <c r="Z1641" s="478">
        <f>188/400</f>
        <v>0.47</v>
      </c>
      <c r="AA1641" s="479">
        <f>Z1641*Y1641</f>
        <v>144384</v>
      </c>
      <c r="AB1641" s="480"/>
      <c r="AC1641" s="481">
        <f>AB1641*Y1641</f>
        <v>0</v>
      </c>
      <c r="AD1641" s="490"/>
      <c r="AE1641" s="482"/>
      <c r="AF1641" s="493">
        <f>AA1641+AE1641</f>
        <v>144384</v>
      </c>
      <c r="AG1641" s="474" t="s">
        <v>47</v>
      </c>
      <c r="AH1641" s="474"/>
      <c r="AI1641" s="483" t="s">
        <v>2374</v>
      </c>
      <c r="AJ1641" s="474" t="s">
        <v>2384</v>
      </c>
      <c r="AK1641" s="494" t="s">
        <v>1144</v>
      </c>
      <c r="AL1641" s="474">
        <v>75061</v>
      </c>
      <c r="AM1641" s="474" t="s">
        <v>52</v>
      </c>
      <c r="AN1641" s="474" t="s">
        <v>1106</v>
      </c>
      <c r="AO1641" s="474"/>
      <c r="AP1641" s="486"/>
      <c r="AQ1641" s="486" t="s">
        <v>37</v>
      </c>
      <c r="AR1641" s="486"/>
      <c r="AS1641" s="495"/>
      <c r="AT1641" s="495"/>
      <c r="AU1641" s="478"/>
      <c r="AV1641" s="471">
        <f t="shared" si="279"/>
        <v>49405140</v>
      </c>
      <c r="AW1641" s="471" cm="1">
        <f t="array" ref="AW1641">SUM(MID(0&amp;AV1641,LARGE(INDEX(ISNUMBER(--MID(AV1641,ROW($1:$8),1))*ROW($1:$8),),ROW($1:$8))+1,1)*10^ROW($1:$8)/10)</f>
        <v>49405140</v>
      </c>
      <c r="AX1641" s="471" t="str">
        <f>VLOOKUP($AW1641,'Item Master Data'!$A:$F,3,FALSE)</f>
        <v>Q.PEAK DUO BLK ML G10+</v>
      </c>
      <c r="AY1641" s="471">
        <f>VLOOKUP($AW1641,'Item Master Data'!$A:$F,6,FALSE)</f>
        <v>400</v>
      </c>
      <c r="AZ1641" s="471">
        <f t="shared" si="280"/>
        <v>24</v>
      </c>
      <c r="BA1641" s="471">
        <f>VLOOKUP(AW1641,'Item Master Data'!$A:$G,7,FALSE)</f>
        <v>32</v>
      </c>
      <c r="BC1641" s="471">
        <f t="shared" si="281"/>
        <v>0</v>
      </c>
    </row>
    <row r="1642" spans="1:55" s="471" customFormat="1">
      <c r="A1642" s="472"/>
      <c r="B1642" s="514">
        <v>44616</v>
      </c>
      <c r="C1642" s="514">
        <v>44616</v>
      </c>
      <c r="D1642" s="485" t="s">
        <v>3186</v>
      </c>
      <c r="E1642" s="474" t="s">
        <v>3581</v>
      </c>
      <c r="F1642" s="474"/>
      <c r="G1642" s="516">
        <v>2022</v>
      </c>
      <c r="H1642" s="524">
        <v>4</v>
      </c>
      <c r="I1642" s="545">
        <v>128014</v>
      </c>
      <c r="J1642" s="527">
        <v>44665</v>
      </c>
      <c r="K1642" s="535" t="s">
        <v>3577</v>
      </c>
      <c r="L1642" s="536" t="s">
        <v>2378</v>
      </c>
      <c r="M1642" s="529">
        <v>44615</v>
      </c>
      <c r="N1642" s="529">
        <v>44615</v>
      </c>
      <c r="O1642" s="529"/>
      <c r="P1642" s="527">
        <v>44663</v>
      </c>
      <c r="Q1642" s="529">
        <v>44662</v>
      </c>
      <c r="R1642" s="529">
        <v>44665</v>
      </c>
      <c r="S1642" s="536" t="s">
        <v>2379</v>
      </c>
      <c r="T1642" s="536">
        <v>60</v>
      </c>
      <c r="U1642" s="536">
        <v>49405140</v>
      </c>
      <c r="V1642" s="536" t="s">
        <v>973</v>
      </c>
      <c r="W1642" s="536">
        <v>400</v>
      </c>
      <c r="X1642" s="537">
        <v>768</v>
      </c>
      <c r="Y1642" s="477">
        <f>X1642*W1642</f>
        <v>307200</v>
      </c>
      <c r="Z1642" s="478">
        <f>188/400</f>
        <v>0.47</v>
      </c>
      <c r="AA1642" s="479">
        <f>Z1642*Y1642</f>
        <v>144384</v>
      </c>
      <c r="AB1642" s="480"/>
      <c r="AC1642" s="481">
        <f>AB1642*Y1642</f>
        <v>0</v>
      </c>
      <c r="AD1642" s="490"/>
      <c r="AE1642" s="482"/>
      <c r="AF1642" s="493">
        <f>AA1642+AE1642</f>
        <v>144384</v>
      </c>
      <c r="AG1642" s="474" t="s">
        <v>47</v>
      </c>
      <c r="AH1642" s="474"/>
      <c r="AI1642" s="483" t="s">
        <v>2374</v>
      </c>
      <c r="AJ1642" s="474" t="s">
        <v>2390</v>
      </c>
      <c r="AK1642" s="494" t="s">
        <v>2362</v>
      </c>
      <c r="AL1642" s="474">
        <v>80239</v>
      </c>
      <c r="AM1642" s="474" t="s">
        <v>52</v>
      </c>
      <c r="AN1642" s="474" t="s">
        <v>1106</v>
      </c>
      <c r="AO1642" s="474"/>
      <c r="AP1642" s="486"/>
      <c r="AQ1642" s="486" t="s">
        <v>37</v>
      </c>
      <c r="AR1642" s="486"/>
      <c r="AS1642" s="495"/>
      <c r="AT1642" s="495"/>
      <c r="AU1642" s="478"/>
      <c r="AV1642" s="471">
        <f t="shared" si="279"/>
        <v>49405140</v>
      </c>
      <c r="AW1642" s="471" cm="1">
        <f t="array" ref="AW1642">SUM(MID(0&amp;AV1642,LARGE(INDEX(ISNUMBER(--MID(AV1642,ROW($1:$8),1))*ROW($1:$8),),ROW($1:$8))+1,1)*10^ROW($1:$8)/10)</f>
        <v>49405140</v>
      </c>
      <c r="AX1642" s="471" t="str">
        <f>VLOOKUP($AW1642,'Item Master Data'!$A:$F,3,FALSE)</f>
        <v>Q.PEAK DUO BLK ML G10+</v>
      </c>
      <c r="AY1642" s="471">
        <f>VLOOKUP($AW1642,'Item Master Data'!$A:$F,6,FALSE)</f>
        <v>400</v>
      </c>
      <c r="AZ1642" s="471">
        <f t="shared" si="280"/>
        <v>24</v>
      </c>
      <c r="BA1642" s="471">
        <f>VLOOKUP(AW1642,'Item Master Data'!$A:$G,7,FALSE)</f>
        <v>32</v>
      </c>
      <c r="BC1642" s="471">
        <f t="shared" si="281"/>
        <v>0</v>
      </c>
    </row>
    <row r="1643" spans="1:55" s="471" customFormat="1">
      <c r="A1643" s="472"/>
      <c r="B1643" s="514">
        <v>44616</v>
      </c>
      <c r="C1643" s="514">
        <v>44616</v>
      </c>
      <c r="D1643" s="485" t="s">
        <v>3186</v>
      </c>
      <c r="E1643" s="474" t="s">
        <v>3571</v>
      </c>
      <c r="F1643" s="474"/>
      <c r="G1643" s="516">
        <v>2022</v>
      </c>
      <c r="H1643" s="524">
        <v>4</v>
      </c>
      <c r="I1643" s="545">
        <v>128010</v>
      </c>
      <c r="J1643" s="527">
        <v>44665</v>
      </c>
      <c r="K1643" s="535" t="s">
        <v>3577</v>
      </c>
      <c r="L1643" s="536" t="s">
        <v>2378</v>
      </c>
      <c r="M1643" s="529">
        <v>44615</v>
      </c>
      <c r="N1643" s="529">
        <v>44615</v>
      </c>
      <c r="O1643" s="529"/>
      <c r="P1643" s="527">
        <v>44663</v>
      </c>
      <c r="Q1643" s="529">
        <v>44662</v>
      </c>
      <c r="R1643" s="529">
        <v>44665</v>
      </c>
      <c r="S1643" s="536" t="s">
        <v>2379</v>
      </c>
      <c r="T1643" s="536">
        <v>60</v>
      </c>
      <c r="U1643" s="536">
        <v>49405140</v>
      </c>
      <c r="V1643" s="536" t="s">
        <v>973</v>
      </c>
      <c r="W1643" s="536">
        <v>400</v>
      </c>
      <c r="X1643" s="537">
        <v>768</v>
      </c>
      <c r="Y1643" s="477">
        <f>X1643*W1643</f>
        <v>307200</v>
      </c>
      <c r="Z1643" s="478">
        <f>188/400</f>
        <v>0.47</v>
      </c>
      <c r="AA1643" s="479">
        <f>Z1643*Y1643</f>
        <v>144384</v>
      </c>
      <c r="AB1643" s="480"/>
      <c r="AC1643" s="481">
        <f>AB1643*Y1643</f>
        <v>0</v>
      </c>
      <c r="AD1643" s="490"/>
      <c r="AE1643" s="482"/>
      <c r="AF1643" s="493">
        <f>AA1643+AE1643</f>
        <v>144384</v>
      </c>
      <c r="AG1643" s="474" t="s">
        <v>47</v>
      </c>
      <c r="AH1643" s="474"/>
      <c r="AI1643" s="483" t="s">
        <v>2374</v>
      </c>
      <c r="AJ1643" s="474" t="s">
        <v>2366</v>
      </c>
      <c r="AK1643" s="494" t="s">
        <v>1395</v>
      </c>
      <c r="AL1643" s="474">
        <v>89118</v>
      </c>
      <c r="AM1643" s="474" t="s">
        <v>52</v>
      </c>
      <c r="AN1643" s="474" t="s">
        <v>1106</v>
      </c>
      <c r="AO1643" s="474"/>
      <c r="AP1643" s="486"/>
      <c r="AQ1643" s="486" t="s">
        <v>37</v>
      </c>
      <c r="AR1643" s="486"/>
      <c r="AS1643" s="495"/>
      <c r="AT1643" s="495"/>
      <c r="AU1643" s="478"/>
      <c r="AV1643" s="471">
        <f t="shared" si="279"/>
        <v>49405140</v>
      </c>
      <c r="AW1643" s="471" cm="1">
        <f t="array" ref="AW1643">SUM(MID(0&amp;AV1643,LARGE(INDEX(ISNUMBER(--MID(AV1643,ROW($1:$8),1))*ROW($1:$8),),ROW($1:$8))+1,1)*10^ROW($1:$8)/10)</f>
        <v>49405140</v>
      </c>
      <c r="AX1643" s="471" t="str">
        <f>VLOOKUP($AW1643,'Item Master Data'!$A:$F,3,FALSE)</f>
        <v>Q.PEAK DUO BLK ML G10+</v>
      </c>
      <c r="AY1643" s="471">
        <f>VLOOKUP($AW1643,'Item Master Data'!$A:$F,6,FALSE)</f>
        <v>400</v>
      </c>
      <c r="AZ1643" s="471">
        <f t="shared" si="280"/>
        <v>24</v>
      </c>
      <c r="BA1643" s="471">
        <f>VLOOKUP(AW1643,'Item Master Data'!$A:$G,7,FALSE)</f>
        <v>32</v>
      </c>
      <c r="BC1643" s="471">
        <f t="shared" si="281"/>
        <v>0</v>
      </c>
    </row>
    <row r="1644" spans="1:55" s="471" customFormat="1">
      <c r="A1644" s="472"/>
      <c r="B1644" s="514">
        <v>44616</v>
      </c>
      <c r="C1644" s="514">
        <v>44616</v>
      </c>
      <c r="D1644" s="485" t="s">
        <v>3186</v>
      </c>
      <c r="E1644" s="474" t="s">
        <v>3576</v>
      </c>
      <c r="F1644" s="474"/>
      <c r="G1644" s="516">
        <v>2022</v>
      </c>
      <c r="H1644" s="524">
        <v>4</v>
      </c>
      <c r="I1644" s="545">
        <v>128021</v>
      </c>
      <c r="J1644" s="527">
        <v>44666</v>
      </c>
      <c r="K1644" s="535" t="s">
        <v>3577</v>
      </c>
      <c r="L1644" s="536" t="s">
        <v>2378</v>
      </c>
      <c r="M1644" s="529">
        <v>44615</v>
      </c>
      <c r="N1644" s="529">
        <v>44615</v>
      </c>
      <c r="O1644" s="529"/>
      <c r="P1644" s="527">
        <v>44663</v>
      </c>
      <c r="Q1644" s="529">
        <v>44662</v>
      </c>
      <c r="R1644" s="529">
        <v>44666</v>
      </c>
      <c r="S1644" s="536" t="s">
        <v>2379</v>
      </c>
      <c r="T1644" s="536">
        <v>60</v>
      </c>
      <c r="U1644" s="536">
        <v>49405140</v>
      </c>
      <c r="V1644" s="536" t="s">
        <v>973</v>
      </c>
      <c r="W1644" s="536">
        <v>400</v>
      </c>
      <c r="X1644" s="537">
        <v>768</v>
      </c>
      <c r="Y1644" s="477">
        <f>X1644*W1644</f>
        <v>307200</v>
      </c>
      <c r="Z1644" s="478">
        <f>188/400</f>
        <v>0.47</v>
      </c>
      <c r="AA1644" s="479">
        <f>Z1644*Y1644</f>
        <v>144384</v>
      </c>
      <c r="AB1644" s="480"/>
      <c r="AC1644" s="481">
        <f>AB1644*Y1644</f>
        <v>0</v>
      </c>
      <c r="AD1644" s="490"/>
      <c r="AE1644" s="482"/>
      <c r="AF1644" s="493">
        <f>AA1644+AE1644</f>
        <v>144384</v>
      </c>
      <c r="AG1644" s="474" t="s">
        <v>47</v>
      </c>
      <c r="AH1644" s="474"/>
      <c r="AI1644" s="483" t="s">
        <v>2374</v>
      </c>
      <c r="AJ1644" s="474" t="s">
        <v>1132</v>
      </c>
      <c r="AK1644" s="494" t="s">
        <v>1133</v>
      </c>
      <c r="AL1644" s="474">
        <v>85210</v>
      </c>
      <c r="AM1644" s="474" t="s">
        <v>52</v>
      </c>
      <c r="AN1644" s="474" t="s">
        <v>1106</v>
      </c>
      <c r="AO1644" s="474"/>
      <c r="AP1644" s="486"/>
      <c r="AQ1644" s="486" t="s">
        <v>37</v>
      </c>
      <c r="AR1644" s="486"/>
      <c r="AS1644" s="495"/>
      <c r="AT1644" s="495"/>
      <c r="AU1644" s="478"/>
      <c r="AV1644" s="471">
        <f t="shared" si="279"/>
        <v>49405140</v>
      </c>
      <c r="AW1644" s="471" cm="1">
        <f t="array" ref="AW1644">SUM(MID(0&amp;AV1644,LARGE(INDEX(ISNUMBER(--MID(AV1644,ROW($1:$8),1))*ROW($1:$8),),ROW($1:$8))+1,1)*10^ROW($1:$8)/10)</f>
        <v>49405140</v>
      </c>
      <c r="AX1644" s="471" t="str">
        <f>VLOOKUP($AW1644,'Item Master Data'!$A:$F,3,FALSE)</f>
        <v>Q.PEAK DUO BLK ML G10+</v>
      </c>
      <c r="AY1644" s="471">
        <f>VLOOKUP($AW1644,'Item Master Data'!$A:$F,6,FALSE)</f>
        <v>400</v>
      </c>
      <c r="AZ1644" s="471">
        <f t="shared" si="280"/>
        <v>24</v>
      </c>
      <c r="BA1644" s="471">
        <f>VLOOKUP(AW1644,'Item Master Data'!$A:$G,7,FALSE)</f>
        <v>32</v>
      </c>
      <c r="BC1644" s="471">
        <f t="shared" si="281"/>
        <v>0</v>
      </c>
    </row>
    <row r="1645" spans="1:55" s="471" customFormat="1">
      <c r="A1645" s="472"/>
      <c r="B1645" s="514">
        <v>44616</v>
      </c>
      <c r="C1645" s="514">
        <v>44616</v>
      </c>
      <c r="D1645" s="485" t="s">
        <v>3186</v>
      </c>
      <c r="E1645" s="474" t="s">
        <v>3567</v>
      </c>
      <c r="F1645" s="474"/>
      <c r="G1645" s="516">
        <v>2022</v>
      </c>
      <c r="H1645" s="524">
        <v>4</v>
      </c>
      <c r="I1645" s="545">
        <v>128015</v>
      </c>
      <c r="J1645" s="527">
        <v>44663</v>
      </c>
      <c r="K1645" s="535" t="s">
        <v>3577</v>
      </c>
      <c r="L1645" s="536" t="s">
        <v>2378</v>
      </c>
      <c r="M1645" s="529">
        <v>44615</v>
      </c>
      <c r="N1645" s="529">
        <v>44615</v>
      </c>
      <c r="O1645" s="529"/>
      <c r="P1645" s="527">
        <v>44663</v>
      </c>
      <c r="Q1645" s="529">
        <v>44658</v>
      </c>
      <c r="R1645" s="529">
        <v>44663</v>
      </c>
      <c r="S1645" s="536" t="s">
        <v>2379</v>
      </c>
      <c r="T1645" s="536">
        <v>60</v>
      </c>
      <c r="U1645" s="536">
        <v>49405140</v>
      </c>
      <c r="V1645" s="536" t="s">
        <v>973</v>
      </c>
      <c r="W1645" s="536">
        <v>400</v>
      </c>
      <c r="X1645" s="537">
        <v>512</v>
      </c>
      <c r="Y1645" s="477">
        <f>X1645*W1645</f>
        <v>204800</v>
      </c>
      <c r="Z1645" s="478">
        <f>188/400</f>
        <v>0.47</v>
      </c>
      <c r="AA1645" s="479">
        <f>Z1645*Y1645</f>
        <v>96256</v>
      </c>
      <c r="AB1645" s="480"/>
      <c r="AC1645" s="481">
        <f>AB1645*Y1645</f>
        <v>0</v>
      </c>
      <c r="AD1645" s="490"/>
      <c r="AE1645" s="482">
        <v>8663.0400000000009</v>
      </c>
      <c r="AF1645" s="493">
        <f>AA1645+AE1645</f>
        <v>104919.04000000001</v>
      </c>
      <c r="AG1645" s="474" t="s">
        <v>47</v>
      </c>
      <c r="AH1645" s="474"/>
      <c r="AI1645" s="483" t="s">
        <v>2374</v>
      </c>
      <c r="AJ1645" s="474" t="s">
        <v>2077</v>
      </c>
      <c r="AK1645" s="494" t="s">
        <v>50</v>
      </c>
      <c r="AL1645" s="474">
        <v>95206</v>
      </c>
      <c r="AM1645" s="474" t="s">
        <v>52</v>
      </c>
      <c r="AN1645" s="474" t="s">
        <v>1106</v>
      </c>
      <c r="AO1645" s="474"/>
      <c r="AP1645" s="486"/>
      <c r="AQ1645" s="486" t="s">
        <v>37</v>
      </c>
      <c r="AR1645" s="486"/>
      <c r="AS1645" s="495"/>
      <c r="AT1645" s="495"/>
      <c r="AU1645" s="478"/>
      <c r="AV1645" s="471">
        <f t="shared" si="279"/>
        <v>49405140</v>
      </c>
      <c r="AW1645" s="471" cm="1">
        <f t="array" ref="AW1645">SUM(MID(0&amp;AV1645,LARGE(INDEX(ISNUMBER(--MID(AV1645,ROW($1:$8),1))*ROW($1:$8),),ROW($1:$8))+1,1)*10^ROW($1:$8)/10)</f>
        <v>49405140</v>
      </c>
      <c r="AX1645" s="471" t="str">
        <f>VLOOKUP($AW1645,'Item Master Data'!$A:$F,3,FALSE)</f>
        <v>Q.PEAK DUO BLK ML G10+</v>
      </c>
      <c r="AY1645" s="471">
        <f>VLOOKUP($AW1645,'Item Master Data'!$A:$F,6,FALSE)</f>
        <v>400</v>
      </c>
      <c r="AZ1645" s="471">
        <f t="shared" si="280"/>
        <v>16</v>
      </c>
      <c r="BA1645" s="471">
        <f>VLOOKUP(AW1645,'Item Master Data'!$A:$G,7,FALSE)</f>
        <v>32</v>
      </c>
      <c r="BC1645" s="471">
        <f t="shared" si="281"/>
        <v>0</v>
      </c>
    </row>
    <row r="1646" spans="1:55" s="471" customFormat="1">
      <c r="A1646" s="472"/>
      <c r="B1646" s="514">
        <v>44616</v>
      </c>
      <c r="C1646" s="514">
        <v>44616</v>
      </c>
      <c r="D1646" s="485" t="s">
        <v>3186</v>
      </c>
      <c r="E1646" s="474" t="s">
        <v>3525</v>
      </c>
      <c r="F1646" s="474"/>
      <c r="G1646" s="526">
        <v>2022</v>
      </c>
      <c r="H1646" s="526">
        <v>4</v>
      </c>
      <c r="I1646" s="546">
        <v>128229</v>
      </c>
      <c r="J1646" s="531">
        <v>44673</v>
      </c>
      <c r="K1646" s="532" t="s">
        <v>3539</v>
      </c>
      <c r="L1646" s="526" t="s">
        <v>2378</v>
      </c>
      <c r="M1646" s="533">
        <v>44615</v>
      </c>
      <c r="N1646" s="533">
        <v>44615</v>
      </c>
      <c r="O1646" s="533"/>
      <c r="P1646" s="531">
        <v>44664</v>
      </c>
      <c r="Q1646" s="531">
        <v>44672</v>
      </c>
      <c r="R1646" s="531">
        <v>44673</v>
      </c>
      <c r="S1646" s="526" t="s">
        <v>2379</v>
      </c>
      <c r="T1646" s="526">
        <v>60</v>
      </c>
      <c r="U1646" s="526">
        <v>49405140</v>
      </c>
      <c r="V1646" s="526" t="s">
        <v>973</v>
      </c>
      <c r="W1646" s="526">
        <v>400</v>
      </c>
      <c r="X1646" s="534">
        <v>640</v>
      </c>
      <c r="Y1646" s="477">
        <f>X1646*W1646</f>
        <v>256000</v>
      </c>
      <c r="Z1646" s="478">
        <f>188/400</f>
        <v>0.47</v>
      </c>
      <c r="AA1646" s="479">
        <f>Z1646*Y1646</f>
        <v>120320</v>
      </c>
      <c r="AB1646" s="480"/>
      <c r="AC1646" s="481">
        <f>AB1646*Y1646</f>
        <v>0</v>
      </c>
      <c r="AD1646" s="490"/>
      <c r="AE1646" s="482"/>
      <c r="AF1646" s="493">
        <f>AA1646+AE1646</f>
        <v>120320</v>
      </c>
      <c r="AG1646" s="474" t="s">
        <v>47</v>
      </c>
      <c r="AH1646" s="474"/>
      <c r="AI1646" s="483" t="s">
        <v>2374</v>
      </c>
      <c r="AJ1646" s="474" t="s">
        <v>1384</v>
      </c>
      <c r="AK1646" s="494" t="s">
        <v>1144</v>
      </c>
      <c r="AL1646" s="474">
        <v>77041</v>
      </c>
      <c r="AM1646" s="474" t="s">
        <v>52</v>
      </c>
      <c r="AN1646" s="474" t="s">
        <v>1106</v>
      </c>
      <c r="AO1646" s="474"/>
      <c r="AP1646" s="486"/>
      <c r="AQ1646" s="486" t="s">
        <v>37</v>
      </c>
      <c r="AR1646" s="486"/>
      <c r="AS1646" s="495"/>
      <c r="AT1646" s="495"/>
      <c r="AU1646" s="478"/>
      <c r="AV1646" s="471">
        <f t="shared" si="279"/>
        <v>49405140</v>
      </c>
      <c r="AW1646" s="471" cm="1">
        <f t="array" ref="AW1646">SUM(MID(0&amp;AV1646,LARGE(INDEX(ISNUMBER(--MID(AV1646,ROW($1:$8),1))*ROW($1:$8),),ROW($1:$8))+1,1)*10^ROW($1:$8)/10)</f>
        <v>49405140</v>
      </c>
      <c r="AX1646" s="471" t="str">
        <f>VLOOKUP($AW1646,'Item Master Data'!$A:$F,3,FALSE)</f>
        <v>Q.PEAK DUO BLK ML G10+</v>
      </c>
      <c r="AY1646" s="471">
        <f>VLOOKUP($AW1646,'Item Master Data'!$A:$F,6,FALSE)</f>
        <v>400</v>
      </c>
      <c r="AZ1646" s="471">
        <f t="shared" si="280"/>
        <v>20</v>
      </c>
      <c r="BA1646" s="471">
        <f>VLOOKUP(AW1646,'Item Master Data'!$A:$G,7,FALSE)</f>
        <v>32</v>
      </c>
      <c r="BC1646" s="471">
        <f t="shared" si="281"/>
        <v>0</v>
      </c>
    </row>
    <row r="1647" spans="1:55" s="471" customFormat="1">
      <c r="A1647" s="472"/>
      <c r="B1647" s="514">
        <v>44616</v>
      </c>
      <c r="C1647" s="514">
        <v>44616</v>
      </c>
      <c r="D1647" s="485" t="s">
        <v>3186</v>
      </c>
      <c r="E1647" s="474" t="s">
        <v>3527</v>
      </c>
      <c r="F1647" s="474"/>
      <c r="G1647" s="526">
        <v>2022</v>
      </c>
      <c r="H1647" s="526">
        <v>4</v>
      </c>
      <c r="I1647" s="645" t="s">
        <v>3023</v>
      </c>
      <c r="J1647" s="652">
        <v>44675</v>
      </c>
      <c r="K1647" s="532" t="s">
        <v>3539</v>
      </c>
      <c r="L1647" s="526" t="s">
        <v>2378</v>
      </c>
      <c r="M1647" s="533">
        <v>44615</v>
      </c>
      <c r="N1647" s="533">
        <v>44615</v>
      </c>
      <c r="O1647" s="533"/>
      <c r="P1647" s="531">
        <v>44664</v>
      </c>
      <c r="Q1647" s="531">
        <v>44673</v>
      </c>
      <c r="R1647" s="531">
        <v>44675</v>
      </c>
      <c r="S1647" s="526" t="s">
        <v>2379</v>
      </c>
      <c r="T1647" s="526">
        <v>60</v>
      </c>
      <c r="U1647" s="526">
        <v>49405140</v>
      </c>
      <c r="V1647" s="526" t="s">
        <v>973</v>
      </c>
      <c r="W1647" s="526">
        <v>400</v>
      </c>
      <c r="X1647" s="534">
        <v>640</v>
      </c>
      <c r="Y1647" s="477">
        <f>X1647*W1647</f>
        <v>256000</v>
      </c>
      <c r="Z1647" s="478">
        <f>188/400</f>
        <v>0.47</v>
      </c>
      <c r="AA1647" s="479">
        <f>Z1647*Y1647</f>
        <v>120320</v>
      </c>
      <c r="AB1647" s="480"/>
      <c r="AC1647" s="481">
        <f>AB1647*Y1647</f>
        <v>0</v>
      </c>
      <c r="AD1647" s="490"/>
      <c r="AE1647" s="482"/>
      <c r="AF1647" s="493">
        <f>AA1647+AE1647</f>
        <v>120320</v>
      </c>
      <c r="AG1647" s="474" t="s">
        <v>47</v>
      </c>
      <c r="AH1647" s="474"/>
      <c r="AI1647" s="483" t="s">
        <v>2374</v>
      </c>
      <c r="AJ1647" s="474" t="s">
        <v>1384</v>
      </c>
      <c r="AK1647" s="494" t="s">
        <v>1144</v>
      </c>
      <c r="AL1647" s="474">
        <v>77041</v>
      </c>
      <c r="AM1647" s="474" t="s">
        <v>52</v>
      </c>
      <c r="AN1647" s="474" t="s">
        <v>1106</v>
      </c>
      <c r="AO1647" s="474"/>
      <c r="AP1647" s="486"/>
      <c r="AQ1647" s="486" t="s">
        <v>37</v>
      </c>
      <c r="AR1647" s="486"/>
      <c r="AS1647" s="495"/>
      <c r="AT1647" s="495"/>
      <c r="AU1647" s="478"/>
      <c r="AV1647" s="471">
        <f t="shared" si="279"/>
        <v>49405140</v>
      </c>
      <c r="AW1647" s="471" cm="1">
        <f t="array" ref="AW1647">SUM(MID(0&amp;AV1647,LARGE(INDEX(ISNUMBER(--MID(AV1647,ROW($1:$8),1))*ROW($1:$8),),ROW($1:$8))+1,1)*10^ROW($1:$8)/10)</f>
        <v>49405140</v>
      </c>
      <c r="AX1647" s="471" t="str">
        <f>VLOOKUP($AW1647,'Item Master Data'!$A:$F,3,FALSE)</f>
        <v>Q.PEAK DUO BLK ML G10+</v>
      </c>
      <c r="AY1647" s="471">
        <f>VLOOKUP($AW1647,'Item Master Data'!$A:$F,6,FALSE)</f>
        <v>400</v>
      </c>
      <c r="AZ1647" s="471">
        <f t="shared" si="280"/>
        <v>20</v>
      </c>
      <c r="BA1647" s="471">
        <f>VLOOKUP(AW1647,'Item Master Data'!$A:$G,7,FALSE)</f>
        <v>32</v>
      </c>
      <c r="BC1647" s="471">
        <f t="shared" si="281"/>
        <v>0</v>
      </c>
    </row>
    <row r="1648" spans="1:55" s="471" customFormat="1">
      <c r="A1648" s="472"/>
      <c r="B1648" s="514">
        <v>44616</v>
      </c>
      <c r="C1648" s="514">
        <v>44616</v>
      </c>
      <c r="D1648" s="485" t="s">
        <v>3186</v>
      </c>
      <c r="E1648" s="474" t="s">
        <v>3574</v>
      </c>
      <c r="F1648" s="474"/>
      <c r="G1648" s="516">
        <v>2022</v>
      </c>
      <c r="H1648" s="613">
        <v>4</v>
      </c>
      <c r="I1648" s="617" t="s">
        <v>3023</v>
      </c>
      <c r="J1648" s="615">
        <v>44666</v>
      </c>
      <c r="K1648" s="616" t="s">
        <v>3575</v>
      </c>
      <c r="L1648" s="536" t="s">
        <v>2378</v>
      </c>
      <c r="M1648" s="529">
        <v>44615</v>
      </c>
      <c r="N1648" s="529">
        <v>44615</v>
      </c>
      <c r="O1648" s="529"/>
      <c r="P1648" s="527">
        <v>44663</v>
      </c>
      <c r="Q1648" s="529">
        <v>44663</v>
      </c>
      <c r="R1648" s="529">
        <v>44666</v>
      </c>
      <c r="S1648" s="536" t="s">
        <v>2379</v>
      </c>
      <c r="T1648" s="536">
        <v>60</v>
      </c>
      <c r="U1648" s="536">
        <v>49405140</v>
      </c>
      <c r="V1648" s="536" t="s">
        <v>973</v>
      </c>
      <c r="W1648" s="536">
        <v>400</v>
      </c>
      <c r="X1648" s="537">
        <v>160</v>
      </c>
      <c r="Y1648" s="477">
        <f>X1648*W1648</f>
        <v>64000</v>
      </c>
      <c r="Z1648" s="478">
        <f>188/400</f>
        <v>0.47</v>
      </c>
      <c r="AA1648" s="479">
        <f>Z1648*Y1648</f>
        <v>30080</v>
      </c>
      <c r="AB1648" s="480"/>
      <c r="AC1648" s="481">
        <f>AB1648*Y1648</f>
        <v>0</v>
      </c>
      <c r="AD1648" s="490"/>
      <c r="AE1648" s="482"/>
      <c r="AF1648" s="493">
        <f>AA1648+AE1648</f>
        <v>30080</v>
      </c>
      <c r="AG1648" s="474" t="s">
        <v>47</v>
      </c>
      <c r="AH1648" s="474"/>
      <c r="AI1648" s="483" t="s">
        <v>2374</v>
      </c>
      <c r="AJ1648" s="474" t="s">
        <v>3459</v>
      </c>
      <c r="AK1648" s="494" t="s">
        <v>2406</v>
      </c>
      <c r="AL1648" s="474">
        <v>29420</v>
      </c>
      <c r="AM1648" s="474" t="s">
        <v>52</v>
      </c>
      <c r="AN1648" s="474" t="s">
        <v>1106</v>
      </c>
      <c r="AO1648" s="474"/>
      <c r="AP1648" s="486"/>
      <c r="AQ1648" s="486" t="s">
        <v>37</v>
      </c>
      <c r="AR1648" s="486"/>
      <c r="AS1648" s="495"/>
      <c r="AT1648" s="495"/>
      <c r="AU1648" s="478"/>
      <c r="AV1648" s="471">
        <f t="shared" si="279"/>
        <v>49405140</v>
      </c>
      <c r="AW1648" s="471" cm="1">
        <f t="array" ref="AW1648">SUM(MID(0&amp;AV1648,LARGE(INDEX(ISNUMBER(--MID(AV1648,ROW($1:$8),1))*ROW($1:$8),),ROW($1:$8))+1,1)*10^ROW($1:$8)/10)</f>
        <v>49405140</v>
      </c>
      <c r="AX1648" s="471" t="str">
        <f>VLOOKUP($AW1648,'Item Master Data'!$A:$F,3,FALSE)</f>
        <v>Q.PEAK DUO BLK ML G10+</v>
      </c>
      <c r="AY1648" s="471">
        <f>VLOOKUP($AW1648,'Item Master Data'!$A:$F,6,FALSE)</f>
        <v>400</v>
      </c>
      <c r="AZ1648" s="471">
        <f t="shared" si="280"/>
        <v>5</v>
      </c>
      <c r="BA1648" s="471">
        <f>VLOOKUP(AW1648,'Item Master Data'!$A:$G,7,FALSE)</f>
        <v>32</v>
      </c>
      <c r="BC1648" s="471">
        <f t="shared" si="281"/>
        <v>0</v>
      </c>
    </row>
    <row r="1649" spans="1:55" s="471" customFormat="1">
      <c r="A1649" s="472"/>
      <c r="B1649" s="514">
        <v>44616</v>
      </c>
      <c r="C1649" s="514">
        <v>44616</v>
      </c>
      <c r="D1649" s="485" t="s">
        <v>3186</v>
      </c>
      <c r="E1649" s="474" t="s">
        <v>3580</v>
      </c>
      <c r="F1649" s="474"/>
      <c r="G1649" s="516">
        <v>2022</v>
      </c>
      <c r="H1649" s="613">
        <v>4</v>
      </c>
      <c r="I1649" s="527" t="s">
        <v>5645</v>
      </c>
      <c r="J1649" s="527">
        <v>44664</v>
      </c>
      <c r="K1649" s="535" t="s">
        <v>3575</v>
      </c>
      <c r="L1649" s="536" t="s">
        <v>2378</v>
      </c>
      <c r="M1649" s="529">
        <v>44615</v>
      </c>
      <c r="N1649" s="529">
        <v>44615</v>
      </c>
      <c r="O1649" s="529"/>
      <c r="P1649" s="527">
        <v>44663</v>
      </c>
      <c r="Q1649" s="529">
        <v>44663</v>
      </c>
      <c r="R1649" s="529">
        <v>44664</v>
      </c>
      <c r="S1649" s="536" t="s">
        <v>2379</v>
      </c>
      <c r="T1649" s="536">
        <v>60</v>
      </c>
      <c r="U1649" s="536">
        <v>49405140</v>
      </c>
      <c r="V1649" s="536" t="s">
        <v>973</v>
      </c>
      <c r="W1649" s="536">
        <v>400</v>
      </c>
      <c r="X1649" s="537">
        <v>160</v>
      </c>
      <c r="Y1649" s="477">
        <f>X1649*W1649</f>
        <v>64000</v>
      </c>
      <c r="Z1649" s="478">
        <f>188/400</f>
        <v>0.47</v>
      </c>
      <c r="AA1649" s="479">
        <f>Z1649*Y1649</f>
        <v>30080</v>
      </c>
      <c r="AB1649" s="480"/>
      <c r="AC1649" s="481">
        <f>AB1649*Y1649</f>
        <v>0</v>
      </c>
      <c r="AD1649" s="490"/>
      <c r="AE1649" s="482"/>
      <c r="AF1649" s="493">
        <f>AA1649+AE1649</f>
        <v>30080</v>
      </c>
      <c r="AG1649" s="474" t="s">
        <v>47</v>
      </c>
      <c r="AH1649" s="474"/>
      <c r="AI1649" s="483" t="s">
        <v>2374</v>
      </c>
      <c r="AJ1649" s="474" t="s">
        <v>2405</v>
      </c>
      <c r="AK1649" s="494" t="s">
        <v>2406</v>
      </c>
      <c r="AL1649" s="474">
        <v>29673</v>
      </c>
      <c r="AM1649" s="474" t="s">
        <v>52</v>
      </c>
      <c r="AN1649" s="474" t="s">
        <v>1106</v>
      </c>
      <c r="AO1649" s="474"/>
      <c r="AP1649" s="486"/>
      <c r="AQ1649" s="486" t="s">
        <v>37</v>
      </c>
      <c r="AR1649" s="486"/>
      <c r="AS1649" s="495"/>
      <c r="AT1649" s="495"/>
      <c r="AU1649" s="478"/>
      <c r="AV1649" s="471">
        <f t="shared" si="279"/>
        <v>49405140</v>
      </c>
      <c r="AW1649" s="471" cm="1">
        <f t="array" ref="AW1649">SUM(MID(0&amp;AV1649,LARGE(INDEX(ISNUMBER(--MID(AV1649,ROW($1:$8),1))*ROW($1:$8),),ROW($1:$8))+1,1)*10^ROW($1:$8)/10)</f>
        <v>49405140</v>
      </c>
      <c r="AX1649" s="471" t="str">
        <f>VLOOKUP($AW1649,'Item Master Data'!$A:$F,3,FALSE)</f>
        <v>Q.PEAK DUO BLK ML G10+</v>
      </c>
      <c r="AY1649" s="471">
        <f>VLOOKUP($AW1649,'Item Master Data'!$A:$F,6,FALSE)</f>
        <v>400</v>
      </c>
      <c r="AZ1649" s="471">
        <f t="shared" si="280"/>
        <v>5</v>
      </c>
      <c r="BA1649" s="471">
        <f>VLOOKUP(AW1649,'Item Master Data'!$A:$G,7,FALSE)</f>
        <v>32</v>
      </c>
      <c r="BC1649" s="471">
        <f t="shared" si="281"/>
        <v>0</v>
      </c>
    </row>
    <row r="1650" spans="1:55" s="471" customFormat="1">
      <c r="A1650" s="472"/>
      <c r="B1650" s="514">
        <v>44616</v>
      </c>
      <c r="C1650" s="514">
        <v>44616</v>
      </c>
      <c r="D1650" s="485" t="s">
        <v>3186</v>
      </c>
      <c r="E1650" s="474"/>
      <c r="F1650" s="474"/>
      <c r="G1650" s="526">
        <v>2022</v>
      </c>
      <c r="H1650" s="526">
        <v>4</v>
      </c>
      <c r="I1650" s="546">
        <v>128230</v>
      </c>
      <c r="J1650" s="531">
        <v>44673</v>
      </c>
      <c r="K1650" s="532" t="s">
        <v>3550</v>
      </c>
      <c r="L1650" s="526" t="s">
        <v>2378</v>
      </c>
      <c r="M1650" s="533">
        <v>44615</v>
      </c>
      <c r="N1650" s="533">
        <v>44615</v>
      </c>
      <c r="O1650" s="533"/>
      <c r="P1650" s="531">
        <v>44666</v>
      </c>
      <c r="Q1650" s="531">
        <v>44670</v>
      </c>
      <c r="R1650" s="531">
        <v>44673</v>
      </c>
      <c r="S1650" s="526" t="s">
        <v>2379</v>
      </c>
      <c r="T1650" s="526">
        <v>60</v>
      </c>
      <c r="U1650" s="526">
        <v>49405140</v>
      </c>
      <c r="V1650" s="526" t="s">
        <v>973</v>
      </c>
      <c r="W1650" s="526">
        <v>400</v>
      </c>
      <c r="X1650" s="569">
        <v>416</v>
      </c>
      <c r="Y1650" s="477">
        <f>X1650*W1650</f>
        <v>166400</v>
      </c>
      <c r="Z1650" s="478">
        <f>188/400</f>
        <v>0.47</v>
      </c>
      <c r="AA1650" s="479">
        <f>Z1650*Y1650</f>
        <v>78208</v>
      </c>
      <c r="AB1650" s="480"/>
      <c r="AC1650" s="481">
        <f>AB1650*Y1650</f>
        <v>0</v>
      </c>
      <c r="AD1650" s="490"/>
      <c r="AE1650" s="482">
        <v>6452.16</v>
      </c>
      <c r="AF1650" s="493">
        <f>AA1650+AE1650</f>
        <v>84660.160000000003</v>
      </c>
      <c r="AG1650" s="474" t="s">
        <v>47</v>
      </c>
      <c r="AH1650" s="474"/>
      <c r="AI1650" s="483" t="s">
        <v>2374</v>
      </c>
      <c r="AJ1650" s="474" t="s">
        <v>3235</v>
      </c>
      <c r="AK1650" s="494" t="s">
        <v>1144</v>
      </c>
      <c r="AL1650" s="474">
        <v>79935</v>
      </c>
      <c r="AM1650" s="474" t="s">
        <v>52</v>
      </c>
      <c r="AN1650" s="474" t="s">
        <v>1106</v>
      </c>
      <c r="AO1650" s="474"/>
      <c r="AP1650" s="486"/>
      <c r="AQ1650" s="486" t="s">
        <v>37</v>
      </c>
      <c r="AR1650" s="486"/>
      <c r="AS1650" s="495"/>
      <c r="AT1650" s="495"/>
      <c r="AU1650" s="478"/>
      <c r="AV1650" s="471">
        <f t="shared" si="279"/>
        <v>49405140</v>
      </c>
      <c r="AW1650" s="471" cm="1">
        <f t="array" ref="AW1650">SUM(MID(0&amp;AV1650,LARGE(INDEX(ISNUMBER(--MID(AV1650,ROW($1:$8),1))*ROW($1:$8),),ROW($1:$8))+1,1)*10^ROW($1:$8)/10)</f>
        <v>49405140</v>
      </c>
      <c r="AX1650" s="471" t="str">
        <f>VLOOKUP($AW1650,'Item Master Data'!$A:$F,3,FALSE)</f>
        <v>Q.PEAK DUO BLK ML G10+</v>
      </c>
      <c r="AY1650" s="471">
        <f>VLOOKUP($AW1650,'Item Master Data'!$A:$F,6,FALSE)</f>
        <v>400</v>
      </c>
      <c r="AZ1650" s="471">
        <f t="shared" si="280"/>
        <v>13</v>
      </c>
      <c r="BA1650" s="471">
        <f>VLOOKUP(AW1650,'Item Master Data'!$A:$G,7,FALSE)</f>
        <v>32</v>
      </c>
      <c r="BC1650" s="471">
        <f t="shared" si="281"/>
        <v>0</v>
      </c>
    </row>
    <row r="1651" spans="1:55" s="471" customFormat="1">
      <c r="A1651" s="472"/>
      <c r="B1651" s="514">
        <v>44616</v>
      </c>
      <c r="C1651" s="514">
        <v>44616</v>
      </c>
      <c r="D1651" s="485" t="s">
        <v>3186</v>
      </c>
      <c r="E1651" s="474" t="s">
        <v>3570</v>
      </c>
      <c r="F1651" s="474"/>
      <c r="G1651" s="646">
        <v>2022</v>
      </c>
      <c r="H1651" s="613">
        <v>4</v>
      </c>
      <c r="I1651" s="617" t="s">
        <v>3023</v>
      </c>
      <c r="J1651" s="615">
        <v>44663</v>
      </c>
      <c r="K1651" s="616" t="s">
        <v>3568</v>
      </c>
      <c r="L1651" s="536" t="s">
        <v>2378</v>
      </c>
      <c r="M1651" s="529">
        <v>44615</v>
      </c>
      <c r="N1651" s="529">
        <v>44615</v>
      </c>
      <c r="O1651" s="529"/>
      <c r="P1651" s="527">
        <v>44663</v>
      </c>
      <c r="Q1651" s="529">
        <v>44659</v>
      </c>
      <c r="R1651" s="529">
        <v>44663</v>
      </c>
      <c r="S1651" s="536" t="s">
        <v>2379</v>
      </c>
      <c r="T1651" s="536">
        <v>60</v>
      </c>
      <c r="U1651" s="536">
        <v>49405140</v>
      </c>
      <c r="V1651" s="536" t="s">
        <v>973</v>
      </c>
      <c r="W1651" s="536">
        <v>400</v>
      </c>
      <c r="X1651" s="537">
        <v>768</v>
      </c>
      <c r="Y1651" s="477">
        <f>X1651*W1651</f>
        <v>307200</v>
      </c>
      <c r="Z1651" s="478">
        <f>188/400</f>
        <v>0.47</v>
      </c>
      <c r="AA1651" s="479">
        <f>Z1651*Y1651</f>
        <v>144384</v>
      </c>
      <c r="AB1651" s="480"/>
      <c r="AC1651" s="481">
        <f>AB1651*Y1651</f>
        <v>0</v>
      </c>
      <c r="AD1651" s="490"/>
      <c r="AE1651" s="482"/>
      <c r="AF1651" s="493">
        <f>AA1651+AE1651</f>
        <v>144384</v>
      </c>
      <c r="AG1651" s="474" t="s">
        <v>47</v>
      </c>
      <c r="AH1651" s="474"/>
      <c r="AI1651" s="483" t="s">
        <v>2374</v>
      </c>
      <c r="AJ1651" s="474" t="s">
        <v>2390</v>
      </c>
      <c r="AK1651" s="494" t="s">
        <v>2362</v>
      </c>
      <c r="AL1651" s="474">
        <v>80239</v>
      </c>
      <c r="AM1651" s="474" t="s">
        <v>52</v>
      </c>
      <c r="AN1651" s="474" t="s">
        <v>1106</v>
      </c>
      <c r="AO1651" s="474"/>
      <c r="AP1651" s="486"/>
      <c r="AQ1651" s="486" t="s">
        <v>37</v>
      </c>
      <c r="AR1651" s="486"/>
      <c r="AS1651" s="495"/>
      <c r="AT1651" s="495"/>
      <c r="AU1651" s="478"/>
      <c r="AV1651" s="471">
        <f t="shared" si="279"/>
        <v>49405140</v>
      </c>
      <c r="AW1651" s="471" cm="1">
        <f t="array" ref="AW1651">SUM(MID(0&amp;AV1651,LARGE(INDEX(ISNUMBER(--MID(AV1651,ROW($1:$8),1))*ROW($1:$8),),ROW($1:$8))+1,1)*10^ROW($1:$8)/10)</f>
        <v>49405140</v>
      </c>
      <c r="AX1651" s="471" t="str">
        <f>VLOOKUP($AW1651,'Item Master Data'!$A:$F,3,FALSE)</f>
        <v>Q.PEAK DUO BLK ML G10+</v>
      </c>
      <c r="AY1651" s="471">
        <f>VLOOKUP($AW1651,'Item Master Data'!$A:$F,6,FALSE)</f>
        <v>400</v>
      </c>
      <c r="AZ1651" s="471">
        <f t="shared" si="280"/>
        <v>24</v>
      </c>
      <c r="BA1651" s="471">
        <f>VLOOKUP(AW1651,'Item Master Data'!$A:$G,7,FALSE)</f>
        <v>32</v>
      </c>
      <c r="BC1651" s="471">
        <f t="shared" si="281"/>
        <v>0</v>
      </c>
    </row>
    <row r="1652" spans="1:55" s="471" customFormat="1">
      <c r="A1652" s="472"/>
      <c r="B1652" s="514">
        <v>44616</v>
      </c>
      <c r="C1652" s="514">
        <v>44616</v>
      </c>
      <c r="D1652" s="485" t="s">
        <v>3186</v>
      </c>
      <c r="E1652" s="474" t="s">
        <v>3567</v>
      </c>
      <c r="F1652" s="474"/>
      <c r="G1652" s="516">
        <v>2022</v>
      </c>
      <c r="H1652" s="524">
        <v>4</v>
      </c>
      <c r="I1652" s="545">
        <v>128000</v>
      </c>
      <c r="J1652" s="527">
        <v>44666</v>
      </c>
      <c r="K1652" s="535" t="s">
        <v>3568</v>
      </c>
      <c r="L1652" s="536" t="s">
        <v>2378</v>
      </c>
      <c r="M1652" s="529">
        <v>44615</v>
      </c>
      <c r="N1652" s="529">
        <v>44615</v>
      </c>
      <c r="O1652" s="529"/>
      <c r="P1652" s="527">
        <v>44663</v>
      </c>
      <c r="Q1652" s="529">
        <v>44659</v>
      </c>
      <c r="R1652" s="529">
        <v>44666</v>
      </c>
      <c r="S1652" s="536" t="s">
        <v>2379</v>
      </c>
      <c r="T1652" s="536">
        <v>60</v>
      </c>
      <c r="U1652" s="536">
        <v>49405140</v>
      </c>
      <c r="V1652" s="536" t="s">
        <v>973</v>
      </c>
      <c r="W1652" s="536">
        <v>400</v>
      </c>
      <c r="X1652" s="537">
        <v>768</v>
      </c>
      <c r="Y1652" s="477">
        <f>X1652*W1652</f>
        <v>307200</v>
      </c>
      <c r="Z1652" s="478">
        <f>188/400</f>
        <v>0.47</v>
      </c>
      <c r="AA1652" s="479">
        <f>Z1652*Y1652</f>
        <v>144384</v>
      </c>
      <c r="AB1652" s="480"/>
      <c r="AC1652" s="481">
        <f>AB1652*Y1652</f>
        <v>0</v>
      </c>
      <c r="AD1652" s="490"/>
      <c r="AE1652" s="482">
        <v>12994.56</v>
      </c>
      <c r="AF1652" s="493">
        <f>AA1652+AE1652</f>
        <v>157378.56</v>
      </c>
      <c r="AG1652" s="474" t="s">
        <v>47</v>
      </c>
      <c r="AH1652" s="474"/>
      <c r="AI1652" s="483" t="s">
        <v>2374</v>
      </c>
      <c r="AJ1652" s="474" t="s">
        <v>2077</v>
      </c>
      <c r="AK1652" s="494" t="s">
        <v>50</v>
      </c>
      <c r="AL1652" s="474">
        <v>95206</v>
      </c>
      <c r="AM1652" s="474" t="s">
        <v>52</v>
      </c>
      <c r="AN1652" s="474" t="s">
        <v>1106</v>
      </c>
      <c r="AO1652" s="474"/>
      <c r="AP1652" s="486"/>
      <c r="AQ1652" s="486" t="s">
        <v>37</v>
      </c>
      <c r="AR1652" s="486"/>
      <c r="AS1652" s="495"/>
      <c r="AT1652" s="495"/>
      <c r="AU1652" s="478"/>
      <c r="AV1652" s="471">
        <f t="shared" si="279"/>
        <v>49405140</v>
      </c>
      <c r="AW1652" s="471" cm="1">
        <f t="array" ref="AW1652">SUM(MID(0&amp;AV1652,LARGE(INDEX(ISNUMBER(--MID(AV1652,ROW($1:$8),1))*ROW($1:$8),),ROW($1:$8))+1,1)*10^ROW($1:$8)/10)</f>
        <v>49405140</v>
      </c>
      <c r="AX1652" s="471" t="str">
        <f>VLOOKUP($AW1652,'Item Master Data'!$A:$F,3,FALSE)</f>
        <v>Q.PEAK DUO BLK ML G10+</v>
      </c>
      <c r="AY1652" s="471">
        <f>VLOOKUP($AW1652,'Item Master Data'!$A:$F,6,FALSE)</f>
        <v>400</v>
      </c>
      <c r="AZ1652" s="471">
        <f t="shared" si="280"/>
        <v>24</v>
      </c>
      <c r="BA1652" s="471">
        <f>VLOOKUP(AW1652,'Item Master Data'!$A:$G,7,FALSE)</f>
        <v>32</v>
      </c>
      <c r="BC1652" s="471">
        <f t="shared" si="281"/>
        <v>0</v>
      </c>
    </row>
    <row r="1653" spans="1:55" s="471" customFormat="1">
      <c r="A1653" s="472"/>
      <c r="B1653" s="514">
        <v>44616</v>
      </c>
      <c r="C1653" s="514">
        <v>44616</v>
      </c>
      <c r="D1653" s="485" t="s">
        <v>3186</v>
      </c>
      <c r="E1653" s="474" t="s">
        <v>3571</v>
      </c>
      <c r="F1653" s="474"/>
      <c r="G1653" s="516">
        <v>2022</v>
      </c>
      <c r="H1653" s="524">
        <v>4</v>
      </c>
      <c r="I1653" s="516">
        <v>128017</v>
      </c>
      <c r="J1653" s="527">
        <v>44662</v>
      </c>
      <c r="K1653" s="535" t="s">
        <v>3568</v>
      </c>
      <c r="L1653" s="536" t="s">
        <v>2378</v>
      </c>
      <c r="M1653" s="529">
        <v>44615</v>
      </c>
      <c r="N1653" s="529">
        <v>44615</v>
      </c>
      <c r="O1653" s="529"/>
      <c r="P1653" s="527">
        <v>44663</v>
      </c>
      <c r="Q1653" s="529">
        <v>44658</v>
      </c>
      <c r="R1653" s="529">
        <v>44662</v>
      </c>
      <c r="S1653" s="536" t="s">
        <v>2379</v>
      </c>
      <c r="T1653" s="536">
        <v>60</v>
      </c>
      <c r="U1653" s="536">
        <v>49405140</v>
      </c>
      <c r="V1653" s="536" t="s">
        <v>973</v>
      </c>
      <c r="W1653" s="536">
        <v>400</v>
      </c>
      <c r="X1653" s="537">
        <v>768</v>
      </c>
      <c r="Y1653" s="477">
        <f>X1653*W1653</f>
        <v>307200</v>
      </c>
      <c r="Z1653" s="478">
        <f>188/400</f>
        <v>0.47</v>
      </c>
      <c r="AA1653" s="479">
        <f>Z1653*Y1653</f>
        <v>144384</v>
      </c>
      <c r="AB1653" s="480"/>
      <c r="AC1653" s="481">
        <f>AB1653*Y1653</f>
        <v>0</v>
      </c>
      <c r="AD1653" s="490"/>
      <c r="AE1653" s="482">
        <v>12092.16</v>
      </c>
      <c r="AF1653" s="493">
        <f>AA1653+AE1653</f>
        <v>156476.16</v>
      </c>
      <c r="AG1653" s="474" t="s">
        <v>47</v>
      </c>
      <c r="AH1653" s="474"/>
      <c r="AI1653" s="483" t="s">
        <v>2374</v>
      </c>
      <c r="AJ1653" s="474" t="s">
        <v>2366</v>
      </c>
      <c r="AK1653" s="494" t="s">
        <v>1395</v>
      </c>
      <c r="AL1653" s="474">
        <v>89118</v>
      </c>
      <c r="AM1653" s="474" t="s">
        <v>52</v>
      </c>
      <c r="AN1653" s="474" t="s">
        <v>1106</v>
      </c>
      <c r="AO1653" s="474"/>
      <c r="AP1653" s="486"/>
      <c r="AQ1653" s="486" t="s">
        <v>37</v>
      </c>
      <c r="AR1653" s="486"/>
      <c r="AS1653" s="495"/>
      <c r="AT1653" s="495"/>
      <c r="AU1653" s="478"/>
      <c r="AV1653" s="471">
        <f t="shared" si="279"/>
        <v>49405140</v>
      </c>
      <c r="AW1653" s="471" cm="1">
        <f t="array" ref="AW1653">SUM(MID(0&amp;AV1653,LARGE(INDEX(ISNUMBER(--MID(AV1653,ROW($1:$8),1))*ROW($1:$8),),ROW($1:$8))+1,1)*10^ROW($1:$8)/10)</f>
        <v>49405140</v>
      </c>
      <c r="AX1653" s="471" t="str">
        <f>VLOOKUP($AW1653,'Item Master Data'!$A:$F,3,FALSE)</f>
        <v>Q.PEAK DUO BLK ML G10+</v>
      </c>
      <c r="AY1653" s="471">
        <f>VLOOKUP($AW1653,'Item Master Data'!$A:$F,6,FALSE)</f>
        <v>400</v>
      </c>
      <c r="AZ1653" s="471">
        <f t="shared" si="280"/>
        <v>24</v>
      </c>
      <c r="BA1653" s="471">
        <f>VLOOKUP(AW1653,'Item Master Data'!$A:$G,7,FALSE)</f>
        <v>32</v>
      </c>
      <c r="BC1653" s="471">
        <f t="shared" si="281"/>
        <v>0</v>
      </c>
    </row>
    <row r="1654" spans="1:55" s="471" customFormat="1">
      <c r="A1654" s="472"/>
      <c r="B1654" s="514">
        <v>44616</v>
      </c>
      <c r="C1654" s="514">
        <v>44616</v>
      </c>
      <c r="D1654" s="485" t="s">
        <v>3186</v>
      </c>
      <c r="E1654" s="474" t="s">
        <v>3572</v>
      </c>
      <c r="F1654" s="474"/>
      <c r="G1654" s="516">
        <v>2022</v>
      </c>
      <c r="H1654" s="524">
        <v>4</v>
      </c>
      <c r="I1654" s="516">
        <v>128003</v>
      </c>
      <c r="J1654" s="527">
        <v>44663</v>
      </c>
      <c r="K1654" s="535" t="s">
        <v>3568</v>
      </c>
      <c r="L1654" s="536" t="s">
        <v>2378</v>
      </c>
      <c r="M1654" s="529">
        <v>44615</v>
      </c>
      <c r="N1654" s="529">
        <v>44615</v>
      </c>
      <c r="O1654" s="529"/>
      <c r="P1654" s="527">
        <v>44663</v>
      </c>
      <c r="Q1654" s="529">
        <v>44658</v>
      </c>
      <c r="R1654" s="529">
        <v>44663</v>
      </c>
      <c r="S1654" s="536" t="s">
        <v>2379</v>
      </c>
      <c r="T1654" s="536">
        <v>60</v>
      </c>
      <c r="U1654" s="536">
        <v>49405140</v>
      </c>
      <c r="V1654" s="536" t="s">
        <v>973</v>
      </c>
      <c r="W1654" s="536">
        <v>400</v>
      </c>
      <c r="X1654" s="537">
        <v>768</v>
      </c>
      <c r="Y1654" s="477">
        <f>X1654*W1654</f>
        <v>307200</v>
      </c>
      <c r="Z1654" s="478">
        <f>188/400</f>
        <v>0.47</v>
      </c>
      <c r="AA1654" s="479">
        <f>Z1654*Y1654</f>
        <v>144384</v>
      </c>
      <c r="AB1654" s="480"/>
      <c r="AC1654" s="481">
        <f>AB1654*Y1654</f>
        <v>0</v>
      </c>
      <c r="AD1654" s="490"/>
      <c r="AE1654" s="482">
        <v>13716.48</v>
      </c>
      <c r="AF1654" s="493">
        <f>AA1654+AE1654</f>
        <v>158100.48000000001</v>
      </c>
      <c r="AG1654" s="474" t="s">
        <v>47</v>
      </c>
      <c r="AH1654" s="474"/>
      <c r="AI1654" s="483" t="s">
        <v>2374</v>
      </c>
      <c r="AJ1654" s="474" t="s">
        <v>3573</v>
      </c>
      <c r="AK1654" s="494" t="s">
        <v>50</v>
      </c>
      <c r="AL1654" s="474">
        <v>91355</v>
      </c>
      <c r="AM1654" s="474" t="s">
        <v>52</v>
      </c>
      <c r="AN1654" s="474" t="s">
        <v>1106</v>
      </c>
      <c r="AO1654" s="474"/>
      <c r="AP1654" s="486"/>
      <c r="AQ1654" s="486" t="s">
        <v>37</v>
      </c>
      <c r="AR1654" s="486"/>
      <c r="AS1654" s="495"/>
      <c r="AT1654" s="495"/>
      <c r="AU1654" s="478"/>
      <c r="AV1654" s="471">
        <f t="shared" si="279"/>
        <v>49405140</v>
      </c>
      <c r="AW1654" s="471" cm="1">
        <f t="array" ref="AW1654">SUM(MID(0&amp;AV1654,LARGE(INDEX(ISNUMBER(--MID(AV1654,ROW($1:$8),1))*ROW($1:$8),),ROW($1:$8))+1,1)*10^ROW($1:$8)/10)</f>
        <v>49405140</v>
      </c>
      <c r="AX1654" s="471" t="str">
        <f>VLOOKUP($AW1654,'Item Master Data'!$A:$F,3,FALSE)</f>
        <v>Q.PEAK DUO BLK ML G10+</v>
      </c>
      <c r="AY1654" s="471">
        <f>VLOOKUP($AW1654,'Item Master Data'!$A:$F,6,FALSE)</f>
        <v>400</v>
      </c>
      <c r="AZ1654" s="471">
        <f t="shared" si="280"/>
        <v>24</v>
      </c>
      <c r="BA1654" s="471">
        <f>VLOOKUP(AW1654,'Item Master Data'!$A:$G,7,FALSE)</f>
        <v>32</v>
      </c>
      <c r="BC1654" s="471">
        <f t="shared" si="281"/>
        <v>0</v>
      </c>
    </row>
    <row r="1655" spans="1:55" s="471" customFormat="1">
      <c r="A1655" s="472"/>
      <c r="B1655" s="514">
        <v>44616</v>
      </c>
      <c r="C1655" s="514">
        <v>44616</v>
      </c>
      <c r="D1655" s="485" t="s">
        <v>3186</v>
      </c>
      <c r="E1655" s="474" t="s">
        <v>3525</v>
      </c>
      <c r="F1655" s="474"/>
      <c r="G1655" s="526">
        <v>2022</v>
      </c>
      <c r="H1655" s="526">
        <v>4</v>
      </c>
      <c r="I1655" s="645" t="s">
        <v>3023</v>
      </c>
      <c r="J1655" s="652">
        <v>44676</v>
      </c>
      <c r="K1655" s="532" t="s">
        <v>3538</v>
      </c>
      <c r="L1655" s="526" t="s">
        <v>2378</v>
      </c>
      <c r="M1655" s="533">
        <v>44615</v>
      </c>
      <c r="N1655" s="533">
        <v>44615</v>
      </c>
      <c r="O1655" s="533"/>
      <c r="P1655" s="531">
        <v>44664</v>
      </c>
      <c r="Q1655" s="531">
        <v>44673</v>
      </c>
      <c r="R1655" s="531">
        <v>44676</v>
      </c>
      <c r="S1655" s="526" t="s">
        <v>2379</v>
      </c>
      <c r="T1655" s="526">
        <v>60</v>
      </c>
      <c r="U1655" s="526">
        <v>49405140</v>
      </c>
      <c r="V1655" s="526" t="s">
        <v>973</v>
      </c>
      <c r="W1655" s="526">
        <v>400</v>
      </c>
      <c r="X1655" s="534">
        <v>768</v>
      </c>
      <c r="Y1655" s="477">
        <f>X1655*W1655</f>
        <v>307200</v>
      </c>
      <c r="Z1655" s="478">
        <f>188/400</f>
        <v>0.47</v>
      </c>
      <c r="AA1655" s="479">
        <f>Z1655*Y1655</f>
        <v>144384</v>
      </c>
      <c r="AB1655" s="480"/>
      <c r="AC1655" s="481">
        <f>AB1655*Y1655</f>
        <v>0</v>
      </c>
      <c r="AD1655" s="490"/>
      <c r="AE1655" s="482"/>
      <c r="AF1655" s="493">
        <f>AA1655+AE1655</f>
        <v>144384</v>
      </c>
      <c r="AG1655" s="474" t="s">
        <v>47</v>
      </c>
      <c r="AH1655" s="474"/>
      <c r="AI1655" s="483" t="s">
        <v>2374</v>
      </c>
      <c r="AJ1655" s="474" t="s">
        <v>2384</v>
      </c>
      <c r="AK1655" s="494" t="s">
        <v>1144</v>
      </c>
      <c r="AL1655" s="474">
        <v>75061</v>
      </c>
      <c r="AM1655" s="474" t="s">
        <v>52</v>
      </c>
      <c r="AN1655" s="474" t="s">
        <v>1106</v>
      </c>
      <c r="AO1655" s="474"/>
      <c r="AP1655" s="486"/>
      <c r="AQ1655" s="486" t="s">
        <v>37</v>
      </c>
      <c r="AR1655" s="486"/>
      <c r="AS1655" s="495"/>
      <c r="AT1655" s="495"/>
      <c r="AU1655" s="478"/>
      <c r="AV1655" s="471">
        <f t="shared" si="279"/>
        <v>49405140</v>
      </c>
      <c r="AW1655" s="471" cm="1">
        <f t="array" ref="AW1655">SUM(MID(0&amp;AV1655,LARGE(INDEX(ISNUMBER(--MID(AV1655,ROW($1:$8),1))*ROW($1:$8),),ROW($1:$8))+1,1)*10^ROW($1:$8)/10)</f>
        <v>49405140</v>
      </c>
      <c r="AX1655" s="471" t="str">
        <f>VLOOKUP($AW1655,'Item Master Data'!$A:$F,3,FALSE)</f>
        <v>Q.PEAK DUO BLK ML G10+</v>
      </c>
      <c r="AY1655" s="471">
        <f>VLOOKUP($AW1655,'Item Master Data'!$A:$F,6,FALSE)</f>
        <v>400</v>
      </c>
      <c r="AZ1655" s="471">
        <f t="shared" si="280"/>
        <v>24</v>
      </c>
      <c r="BA1655" s="471">
        <f>VLOOKUP(AW1655,'Item Master Data'!$A:$G,7,FALSE)</f>
        <v>32</v>
      </c>
      <c r="BC1655" s="471">
        <f t="shared" si="281"/>
        <v>0</v>
      </c>
    </row>
    <row r="1656" spans="1:55" s="471" customFormat="1">
      <c r="A1656" s="472"/>
      <c r="B1656" s="514">
        <v>44616</v>
      </c>
      <c r="C1656" s="514">
        <v>44616</v>
      </c>
      <c r="D1656" s="485" t="s">
        <v>3186</v>
      </c>
      <c r="E1656" s="474" t="s">
        <v>3527</v>
      </c>
      <c r="F1656" s="474"/>
      <c r="G1656" s="526">
        <v>2022</v>
      </c>
      <c r="H1656" s="526">
        <v>4</v>
      </c>
      <c r="I1656" s="546">
        <v>128231</v>
      </c>
      <c r="J1656" s="531">
        <v>44676</v>
      </c>
      <c r="K1656" s="532" t="s">
        <v>3538</v>
      </c>
      <c r="L1656" s="526" t="s">
        <v>2378</v>
      </c>
      <c r="M1656" s="533">
        <v>44615</v>
      </c>
      <c r="N1656" s="533">
        <v>44615</v>
      </c>
      <c r="O1656" s="533"/>
      <c r="P1656" s="531">
        <v>44664</v>
      </c>
      <c r="Q1656" s="531">
        <v>44673</v>
      </c>
      <c r="R1656" s="531">
        <v>44676</v>
      </c>
      <c r="S1656" s="526" t="s">
        <v>2379</v>
      </c>
      <c r="T1656" s="526">
        <v>60</v>
      </c>
      <c r="U1656" s="526">
        <v>49405140</v>
      </c>
      <c r="V1656" s="526" t="s">
        <v>973</v>
      </c>
      <c r="W1656" s="526">
        <v>400</v>
      </c>
      <c r="X1656" s="534">
        <v>640</v>
      </c>
      <c r="Y1656" s="477">
        <f>X1656*W1656</f>
        <v>256000</v>
      </c>
      <c r="Z1656" s="478">
        <f>188/400</f>
        <v>0.47</v>
      </c>
      <c r="AA1656" s="479">
        <f>Z1656*Y1656</f>
        <v>120320</v>
      </c>
      <c r="AB1656" s="480"/>
      <c r="AC1656" s="481">
        <f>AB1656*Y1656</f>
        <v>0</v>
      </c>
      <c r="AD1656" s="490"/>
      <c r="AE1656" s="482">
        <v>9926.4</v>
      </c>
      <c r="AF1656" s="493">
        <f>AA1656+AE1656</f>
        <v>130246.39999999999</v>
      </c>
      <c r="AG1656" s="474" t="s">
        <v>47</v>
      </c>
      <c r="AH1656" s="474"/>
      <c r="AI1656" s="483" t="s">
        <v>2374</v>
      </c>
      <c r="AJ1656" s="474" t="s">
        <v>2384</v>
      </c>
      <c r="AK1656" s="494" t="s">
        <v>1144</v>
      </c>
      <c r="AL1656" s="474">
        <v>75061</v>
      </c>
      <c r="AM1656" s="474" t="s">
        <v>52</v>
      </c>
      <c r="AN1656" s="474" t="s">
        <v>1106</v>
      </c>
      <c r="AO1656" s="474"/>
      <c r="AP1656" s="486"/>
      <c r="AQ1656" s="486" t="s">
        <v>37</v>
      </c>
      <c r="AR1656" s="486"/>
      <c r="AS1656" s="495"/>
      <c r="AT1656" s="495"/>
      <c r="AU1656" s="478"/>
      <c r="AV1656" s="471">
        <f t="shared" si="279"/>
        <v>49405140</v>
      </c>
      <c r="AW1656" s="471" cm="1">
        <f t="array" ref="AW1656">SUM(MID(0&amp;AV1656,LARGE(INDEX(ISNUMBER(--MID(AV1656,ROW($1:$8),1))*ROW($1:$8),),ROW($1:$8))+1,1)*10^ROW($1:$8)/10)</f>
        <v>49405140</v>
      </c>
      <c r="AX1656" s="471" t="str">
        <f>VLOOKUP($AW1656,'Item Master Data'!$A:$F,3,FALSE)</f>
        <v>Q.PEAK DUO BLK ML G10+</v>
      </c>
      <c r="AY1656" s="471">
        <f>VLOOKUP($AW1656,'Item Master Data'!$A:$F,6,FALSE)</f>
        <v>400</v>
      </c>
      <c r="AZ1656" s="471">
        <f t="shared" ref="AZ1656:AZ1687" si="282">X1656/BA1656</f>
        <v>20</v>
      </c>
      <c r="BA1656" s="471">
        <f>VLOOKUP(AW1656,'Item Master Data'!$A:$G,7,FALSE)</f>
        <v>32</v>
      </c>
      <c r="BC1656" s="471">
        <f t="shared" si="281"/>
        <v>0</v>
      </c>
    </row>
    <row r="1657" spans="1:55" s="471" customFormat="1">
      <c r="A1657" s="472"/>
      <c r="B1657" s="514">
        <v>44616</v>
      </c>
      <c r="C1657" s="514">
        <v>44616</v>
      </c>
      <c r="D1657" s="485" t="s">
        <v>3186</v>
      </c>
      <c r="E1657" s="474" t="s">
        <v>3525</v>
      </c>
      <c r="F1657" s="474"/>
      <c r="G1657" s="526">
        <v>2022</v>
      </c>
      <c r="H1657" s="570">
        <v>4</v>
      </c>
      <c r="I1657" s="645" t="s">
        <v>3023</v>
      </c>
      <c r="J1657" s="652">
        <v>44676</v>
      </c>
      <c r="K1657" s="601" t="s">
        <v>3537</v>
      </c>
      <c r="L1657" s="526" t="s">
        <v>2378</v>
      </c>
      <c r="M1657" s="533">
        <v>44615</v>
      </c>
      <c r="N1657" s="533">
        <v>44615</v>
      </c>
      <c r="O1657" s="533"/>
      <c r="P1657" s="531">
        <v>44664</v>
      </c>
      <c r="Q1657" s="531">
        <v>44673</v>
      </c>
      <c r="R1657" s="531">
        <v>44676</v>
      </c>
      <c r="S1657" s="526" t="s">
        <v>2379</v>
      </c>
      <c r="T1657" s="526">
        <v>60</v>
      </c>
      <c r="U1657" s="526">
        <v>49405140</v>
      </c>
      <c r="V1657" s="526" t="s">
        <v>973</v>
      </c>
      <c r="W1657" s="526">
        <v>400</v>
      </c>
      <c r="X1657" s="534">
        <v>416</v>
      </c>
      <c r="Y1657" s="477">
        <f>X1657*W1657</f>
        <v>166400</v>
      </c>
      <c r="Z1657" s="478">
        <f>188/400</f>
        <v>0.47</v>
      </c>
      <c r="AA1657" s="479">
        <f>Z1657*Y1657</f>
        <v>78208</v>
      </c>
      <c r="AB1657" s="480"/>
      <c r="AC1657" s="481">
        <f>AB1657*Y1657</f>
        <v>0</v>
      </c>
      <c r="AD1657" s="490"/>
      <c r="AE1657" s="482"/>
      <c r="AF1657" s="493">
        <f>AA1657+AE1657</f>
        <v>78208</v>
      </c>
      <c r="AG1657" s="474" t="s">
        <v>47</v>
      </c>
      <c r="AH1657" s="474"/>
      <c r="AI1657" s="483" t="s">
        <v>2374</v>
      </c>
      <c r="AJ1657" s="474" t="s">
        <v>1162</v>
      </c>
      <c r="AK1657" s="494" t="s">
        <v>1158</v>
      </c>
      <c r="AL1657" s="474">
        <v>28216</v>
      </c>
      <c r="AM1657" s="474" t="s">
        <v>52</v>
      </c>
      <c r="AN1657" s="474" t="s">
        <v>1106</v>
      </c>
      <c r="AO1657" s="474"/>
      <c r="AP1657" s="486"/>
      <c r="AQ1657" s="486" t="s">
        <v>37</v>
      </c>
      <c r="AR1657" s="486"/>
      <c r="AS1657" s="495"/>
      <c r="AT1657" s="495"/>
      <c r="AU1657" s="478"/>
      <c r="AV1657" s="471">
        <f t="shared" si="279"/>
        <v>49405140</v>
      </c>
      <c r="AW1657" s="471" cm="1">
        <f t="array" ref="AW1657">SUM(MID(0&amp;AV1657,LARGE(INDEX(ISNUMBER(--MID(AV1657,ROW($1:$8),1))*ROW($1:$8),),ROW($1:$8))+1,1)*10^ROW($1:$8)/10)</f>
        <v>49405140</v>
      </c>
      <c r="AX1657" s="471" t="str">
        <f>VLOOKUP($AW1657,'Item Master Data'!$A:$F,3,FALSE)</f>
        <v>Q.PEAK DUO BLK ML G10+</v>
      </c>
      <c r="AY1657" s="471">
        <f>VLOOKUP($AW1657,'Item Master Data'!$A:$F,6,FALSE)</f>
        <v>400</v>
      </c>
      <c r="AZ1657" s="471">
        <f t="shared" si="282"/>
        <v>13</v>
      </c>
      <c r="BA1657" s="471">
        <f>VLOOKUP(AW1657,'Item Master Data'!$A:$G,7,FALSE)</f>
        <v>32</v>
      </c>
      <c r="BC1657" s="471">
        <f t="shared" si="281"/>
        <v>0</v>
      </c>
    </row>
    <row r="1658" spans="1:55" s="471" customFormat="1">
      <c r="A1658" s="472"/>
      <c r="B1658" s="514">
        <v>44616</v>
      </c>
      <c r="C1658" s="514">
        <v>44616</v>
      </c>
      <c r="D1658" s="485" t="s">
        <v>3186</v>
      </c>
      <c r="E1658" s="474" t="s">
        <v>3527</v>
      </c>
      <c r="F1658" s="474"/>
      <c r="G1658" s="526">
        <v>2022</v>
      </c>
      <c r="H1658" s="526">
        <v>4</v>
      </c>
      <c r="I1658" s="645" t="s">
        <v>3023</v>
      </c>
      <c r="J1658" s="652">
        <v>44677</v>
      </c>
      <c r="K1658" s="532" t="s">
        <v>3537</v>
      </c>
      <c r="L1658" s="526" t="s">
        <v>2378</v>
      </c>
      <c r="M1658" s="533">
        <v>44615</v>
      </c>
      <c r="N1658" s="533">
        <v>44615</v>
      </c>
      <c r="O1658" s="533"/>
      <c r="P1658" s="531">
        <v>44664</v>
      </c>
      <c r="Q1658" s="531">
        <v>44672</v>
      </c>
      <c r="R1658" s="531">
        <v>44677</v>
      </c>
      <c r="S1658" s="526" t="s">
        <v>2379</v>
      </c>
      <c r="T1658" s="526">
        <v>60</v>
      </c>
      <c r="U1658" s="526">
        <v>49405140</v>
      </c>
      <c r="V1658" s="526" t="s">
        <v>973</v>
      </c>
      <c r="W1658" s="526">
        <v>400</v>
      </c>
      <c r="X1658" s="534">
        <v>320</v>
      </c>
      <c r="Y1658" s="477">
        <f>X1658*W1658</f>
        <v>128000</v>
      </c>
      <c r="Z1658" s="478">
        <f>188/400</f>
        <v>0.47</v>
      </c>
      <c r="AA1658" s="479">
        <f>Z1658*Y1658</f>
        <v>60160</v>
      </c>
      <c r="AB1658" s="480"/>
      <c r="AC1658" s="481">
        <f>AB1658*Y1658</f>
        <v>0</v>
      </c>
      <c r="AD1658" s="490"/>
      <c r="AE1658" s="482"/>
      <c r="AF1658" s="493">
        <f>AA1658+AE1658</f>
        <v>60160</v>
      </c>
      <c r="AG1658" s="474" t="s">
        <v>47</v>
      </c>
      <c r="AH1658" s="474"/>
      <c r="AI1658" s="483" t="s">
        <v>2374</v>
      </c>
      <c r="AJ1658" s="474" t="s">
        <v>2419</v>
      </c>
      <c r="AK1658" s="494" t="s">
        <v>1084</v>
      </c>
      <c r="AL1658" s="474">
        <v>32583</v>
      </c>
      <c r="AM1658" s="474" t="s">
        <v>52</v>
      </c>
      <c r="AN1658" s="474" t="s">
        <v>1106</v>
      </c>
      <c r="AO1658" s="474"/>
      <c r="AP1658" s="486"/>
      <c r="AQ1658" s="486" t="s">
        <v>37</v>
      </c>
      <c r="AR1658" s="486"/>
      <c r="AS1658" s="495"/>
      <c r="AT1658" s="495"/>
      <c r="AU1658" s="478"/>
      <c r="AV1658" s="471">
        <f t="shared" si="279"/>
        <v>49405140</v>
      </c>
      <c r="AW1658" s="471" cm="1">
        <f t="array" ref="AW1658">SUM(MID(0&amp;AV1658,LARGE(INDEX(ISNUMBER(--MID(AV1658,ROW($1:$8),1))*ROW($1:$8),),ROW($1:$8))+1,1)*10^ROW($1:$8)/10)</f>
        <v>49405140</v>
      </c>
      <c r="AX1658" s="471" t="str">
        <f>VLOOKUP($AW1658,'Item Master Data'!$A:$F,3,FALSE)</f>
        <v>Q.PEAK DUO BLK ML G10+</v>
      </c>
      <c r="AY1658" s="471">
        <f>VLOOKUP($AW1658,'Item Master Data'!$A:$F,6,FALSE)</f>
        <v>400</v>
      </c>
      <c r="AZ1658" s="471">
        <f t="shared" si="282"/>
        <v>10</v>
      </c>
      <c r="BA1658" s="471">
        <f>VLOOKUP(AW1658,'Item Master Data'!$A:$G,7,FALSE)</f>
        <v>32</v>
      </c>
      <c r="BC1658" s="471">
        <f t="shared" si="281"/>
        <v>0</v>
      </c>
    </row>
    <row r="1659" spans="1:55" s="471" customFormat="1">
      <c r="A1659" s="472"/>
      <c r="B1659" s="514">
        <v>44616</v>
      </c>
      <c r="C1659" s="514">
        <v>44616</v>
      </c>
      <c r="D1659" s="485" t="s">
        <v>3186</v>
      </c>
      <c r="E1659" s="474"/>
      <c r="F1659" s="526"/>
      <c r="G1659" s="526">
        <v>2022</v>
      </c>
      <c r="H1659" s="526">
        <v>4</v>
      </c>
      <c r="I1659" s="645" t="s">
        <v>3023</v>
      </c>
      <c r="J1659" s="538">
        <v>44673</v>
      </c>
      <c r="K1659" s="532" t="s">
        <v>3537</v>
      </c>
      <c r="L1659" s="526" t="s">
        <v>2378</v>
      </c>
      <c r="M1659" s="533">
        <v>44615</v>
      </c>
      <c r="N1659" s="533">
        <v>44615</v>
      </c>
      <c r="O1659" s="533"/>
      <c r="P1659" s="531">
        <v>44666</v>
      </c>
      <c r="Q1659" s="531">
        <v>44673</v>
      </c>
      <c r="R1659" s="531">
        <v>44678</v>
      </c>
      <c r="S1659" s="526" t="s">
        <v>2379</v>
      </c>
      <c r="T1659" s="526">
        <v>60</v>
      </c>
      <c r="U1659" s="526">
        <v>49405140</v>
      </c>
      <c r="V1659" s="526" t="s">
        <v>973</v>
      </c>
      <c r="W1659" s="526">
        <v>400</v>
      </c>
      <c r="X1659" s="569">
        <v>320</v>
      </c>
      <c r="Y1659" s="477">
        <f>X1659*W1659</f>
        <v>128000</v>
      </c>
      <c r="Z1659" s="478">
        <f>188/400</f>
        <v>0.47</v>
      </c>
      <c r="AA1659" s="479">
        <f>Z1659*Y1659</f>
        <v>60160</v>
      </c>
      <c r="AB1659" s="480"/>
      <c r="AC1659" s="481">
        <f>AB1659*Y1659</f>
        <v>0</v>
      </c>
      <c r="AD1659" s="490"/>
      <c r="AE1659" s="482"/>
      <c r="AF1659" s="493">
        <f>AA1659+AE1659</f>
        <v>60160</v>
      </c>
      <c r="AG1659" s="474" t="s">
        <v>47</v>
      </c>
      <c r="AH1659" s="474"/>
      <c r="AI1659" s="483" t="s">
        <v>2374</v>
      </c>
      <c r="AJ1659" s="474" t="s">
        <v>2394</v>
      </c>
      <c r="AK1659" s="494" t="s">
        <v>1133</v>
      </c>
      <c r="AL1659" s="474">
        <v>85714</v>
      </c>
      <c r="AM1659" s="474" t="s">
        <v>52</v>
      </c>
      <c r="AN1659" s="474" t="s">
        <v>1106</v>
      </c>
      <c r="AO1659" s="474"/>
      <c r="AP1659" s="486"/>
      <c r="AQ1659" s="486" t="s">
        <v>37</v>
      </c>
      <c r="AR1659" s="486"/>
      <c r="AS1659" s="495"/>
      <c r="AT1659" s="495"/>
      <c r="AU1659" s="478"/>
    </row>
    <row r="1660" spans="1:55" s="471" customFormat="1">
      <c r="A1660" s="472"/>
      <c r="B1660" s="514">
        <v>44616</v>
      </c>
      <c r="C1660" s="514">
        <v>44616</v>
      </c>
      <c r="D1660" s="485" t="s">
        <v>3186</v>
      </c>
      <c r="E1660" s="474"/>
      <c r="F1660" s="526"/>
      <c r="G1660" s="526">
        <v>2022</v>
      </c>
      <c r="H1660" s="526">
        <v>4</v>
      </c>
      <c r="I1660" s="546">
        <v>128232</v>
      </c>
      <c r="J1660" s="538">
        <v>44676</v>
      </c>
      <c r="K1660" s="532" t="s">
        <v>3537</v>
      </c>
      <c r="L1660" s="526" t="s">
        <v>2378</v>
      </c>
      <c r="M1660" s="533">
        <v>44615</v>
      </c>
      <c r="N1660" s="533">
        <v>44615</v>
      </c>
      <c r="O1660" s="533"/>
      <c r="P1660" s="531">
        <v>44666</v>
      </c>
      <c r="Q1660" s="531">
        <v>44673</v>
      </c>
      <c r="R1660" s="531">
        <v>44676</v>
      </c>
      <c r="S1660" s="526" t="s">
        <v>2379</v>
      </c>
      <c r="T1660" s="526">
        <v>60</v>
      </c>
      <c r="U1660" s="526">
        <v>49405140</v>
      </c>
      <c r="V1660" s="526" t="s">
        <v>973</v>
      </c>
      <c r="W1660" s="526">
        <v>400</v>
      </c>
      <c r="X1660" s="569">
        <v>416</v>
      </c>
      <c r="Y1660" s="477">
        <f>X1660*W1660</f>
        <v>166400</v>
      </c>
      <c r="Z1660" s="478">
        <f>188/400</f>
        <v>0.47</v>
      </c>
      <c r="AA1660" s="479">
        <f>Z1660*Y1660</f>
        <v>78208</v>
      </c>
      <c r="AB1660" s="480"/>
      <c r="AC1660" s="481">
        <f>AB1660*Y1660</f>
        <v>0</v>
      </c>
      <c r="AD1660" s="490"/>
      <c r="AE1660" s="482">
        <v>5670.08</v>
      </c>
      <c r="AF1660" s="493">
        <f>AA1660+AE1660</f>
        <v>83878.080000000002</v>
      </c>
      <c r="AG1660" s="474" t="s">
        <v>47</v>
      </c>
      <c r="AH1660" s="474"/>
      <c r="AI1660" s="483" t="s">
        <v>2374</v>
      </c>
      <c r="AJ1660" s="474" t="s">
        <v>1162</v>
      </c>
      <c r="AK1660" s="494" t="s">
        <v>1158</v>
      </c>
      <c r="AL1660" s="474">
        <v>28216</v>
      </c>
      <c r="AM1660" s="474" t="s">
        <v>52</v>
      </c>
      <c r="AN1660" s="474" t="s">
        <v>1106</v>
      </c>
      <c r="AO1660" s="474"/>
      <c r="AP1660" s="486"/>
      <c r="AQ1660" s="486" t="s">
        <v>37</v>
      </c>
      <c r="AR1660" s="486"/>
      <c r="AS1660" s="495"/>
      <c r="AT1660" s="495"/>
      <c r="AU1660" s="478"/>
    </row>
    <row r="1661" spans="1:55" s="471" customFormat="1">
      <c r="A1661" s="472"/>
      <c r="B1661" s="514">
        <v>44616</v>
      </c>
      <c r="C1661" s="514">
        <v>44616</v>
      </c>
      <c r="D1661" s="485" t="s">
        <v>3186</v>
      </c>
      <c r="E1661" s="474" t="s">
        <v>3525</v>
      </c>
      <c r="F1661" s="474"/>
      <c r="G1661" s="526">
        <v>2022</v>
      </c>
      <c r="H1661" s="526">
        <v>4</v>
      </c>
      <c r="I1661" s="546">
        <v>128203</v>
      </c>
      <c r="J1661" s="531">
        <v>44670</v>
      </c>
      <c r="K1661" s="532" t="s">
        <v>3549</v>
      </c>
      <c r="L1661" s="526" t="s">
        <v>2378</v>
      </c>
      <c r="M1661" s="533">
        <v>44615</v>
      </c>
      <c r="N1661" s="533">
        <v>44615</v>
      </c>
      <c r="O1661" s="533"/>
      <c r="P1661" s="531">
        <v>44664</v>
      </c>
      <c r="Q1661" s="531">
        <v>44669</v>
      </c>
      <c r="R1661" s="531">
        <v>44670</v>
      </c>
      <c r="S1661" s="526" t="s">
        <v>2379</v>
      </c>
      <c r="T1661" s="526">
        <v>60</v>
      </c>
      <c r="U1661" s="526">
        <v>49405140</v>
      </c>
      <c r="V1661" s="526" t="s">
        <v>973</v>
      </c>
      <c r="W1661" s="526">
        <v>400</v>
      </c>
      <c r="X1661" s="534">
        <v>416</v>
      </c>
      <c r="Y1661" s="477">
        <f>X1661*W1661</f>
        <v>166400</v>
      </c>
      <c r="Z1661" s="478">
        <f>188/400</f>
        <v>0.47</v>
      </c>
      <c r="AA1661" s="479">
        <f>Z1661*Y1661</f>
        <v>78208</v>
      </c>
      <c r="AB1661" s="480"/>
      <c r="AC1661" s="481">
        <f>AB1661*Y1661</f>
        <v>0</v>
      </c>
      <c r="AD1661" s="490"/>
      <c r="AE1661" s="482">
        <v>7038.72</v>
      </c>
      <c r="AF1661" s="493">
        <f>AA1661+AE1661</f>
        <v>85246.720000000001</v>
      </c>
      <c r="AG1661" s="474" t="s">
        <v>47</v>
      </c>
      <c r="AH1661" s="474"/>
      <c r="AI1661" s="483" t="s">
        <v>2374</v>
      </c>
      <c r="AJ1661" s="474" t="s">
        <v>3459</v>
      </c>
      <c r="AK1661" s="494" t="s">
        <v>2406</v>
      </c>
      <c r="AL1661" s="474">
        <v>29420</v>
      </c>
      <c r="AM1661" s="474" t="s">
        <v>52</v>
      </c>
      <c r="AN1661" s="474" t="s">
        <v>1106</v>
      </c>
      <c r="AO1661" s="474"/>
      <c r="AP1661" s="486"/>
      <c r="AQ1661" s="486" t="s">
        <v>37</v>
      </c>
      <c r="AR1661" s="486"/>
      <c r="AS1661" s="495"/>
      <c r="AT1661" s="495"/>
      <c r="AU1661" s="478"/>
    </row>
    <row r="1662" spans="1:55" s="471" customFormat="1">
      <c r="A1662" s="472"/>
      <c r="B1662" s="514">
        <v>44616</v>
      </c>
      <c r="C1662" s="514">
        <v>44616</v>
      </c>
      <c r="D1662" s="485" t="s">
        <v>3186</v>
      </c>
      <c r="E1662" s="474" t="s">
        <v>3525</v>
      </c>
      <c r="F1662" s="474"/>
      <c r="G1662" s="526">
        <v>2022</v>
      </c>
      <c r="H1662" s="526">
        <v>4</v>
      </c>
      <c r="I1662" s="546">
        <v>128233</v>
      </c>
      <c r="J1662" s="531">
        <v>44673</v>
      </c>
      <c r="K1662" s="532" t="s">
        <v>3548</v>
      </c>
      <c r="L1662" s="526" t="s">
        <v>2378</v>
      </c>
      <c r="M1662" s="533">
        <v>44615</v>
      </c>
      <c r="N1662" s="533">
        <v>44615</v>
      </c>
      <c r="O1662" s="533"/>
      <c r="P1662" s="531">
        <v>44664</v>
      </c>
      <c r="Q1662" s="531">
        <v>44672</v>
      </c>
      <c r="R1662" s="531">
        <v>44673</v>
      </c>
      <c r="S1662" s="526" t="s">
        <v>2379</v>
      </c>
      <c r="T1662" s="526">
        <v>60</v>
      </c>
      <c r="U1662" s="526">
        <v>49405140</v>
      </c>
      <c r="V1662" s="526" t="s">
        <v>973</v>
      </c>
      <c r="W1662" s="526">
        <v>400</v>
      </c>
      <c r="X1662" s="534">
        <v>320</v>
      </c>
      <c r="Y1662" s="477">
        <f>X1662*W1662</f>
        <v>128000</v>
      </c>
      <c r="Z1662" s="478">
        <f>188/400</f>
        <v>0.47</v>
      </c>
      <c r="AA1662" s="479">
        <f>Z1662*Y1662</f>
        <v>60160</v>
      </c>
      <c r="AB1662" s="480"/>
      <c r="AC1662" s="481">
        <f>AB1662*Y1662</f>
        <v>0</v>
      </c>
      <c r="AD1662" s="490"/>
      <c r="AE1662" s="482">
        <v>4963.2</v>
      </c>
      <c r="AF1662" s="493">
        <f>AA1662+AE1662</f>
        <v>65123.199999999997</v>
      </c>
      <c r="AG1662" s="474" t="s">
        <v>47</v>
      </c>
      <c r="AH1662" s="474"/>
      <c r="AI1662" s="483" t="s">
        <v>2374</v>
      </c>
      <c r="AJ1662" s="474" t="s">
        <v>2402</v>
      </c>
      <c r="AK1662" s="494" t="s">
        <v>1144</v>
      </c>
      <c r="AL1662" s="474">
        <v>78610</v>
      </c>
      <c r="AM1662" s="474" t="s">
        <v>52</v>
      </c>
      <c r="AN1662" s="474" t="s">
        <v>1106</v>
      </c>
      <c r="AO1662" s="474"/>
      <c r="AP1662" s="486"/>
      <c r="AQ1662" s="486" t="s">
        <v>37</v>
      </c>
      <c r="AR1662" s="486"/>
      <c r="AS1662" s="495"/>
      <c r="AT1662" s="495"/>
      <c r="AU1662" s="478"/>
    </row>
    <row r="1663" spans="1:55" s="471" customFormat="1">
      <c r="A1663" s="472"/>
      <c r="B1663" s="514">
        <v>44616</v>
      </c>
      <c r="C1663" s="514">
        <v>44616</v>
      </c>
      <c r="D1663" s="485" t="s">
        <v>3186</v>
      </c>
      <c r="E1663" s="474"/>
      <c r="F1663" s="526"/>
      <c r="G1663" s="526">
        <v>2022</v>
      </c>
      <c r="H1663" s="570">
        <v>4</v>
      </c>
      <c r="I1663" s="645">
        <v>128234</v>
      </c>
      <c r="J1663" s="674">
        <v>44676</v>
      </c>
      <c r="K1663" s="601" t="s">
        <v>3536</v>
      </c>
      <c r="L1663" s="526" t="s">
        <v>2378</v>
      </c>
      <c r="M1663" s="533">
        <v>44615</v>
      </c>
      <c r="N1663" s="533">
        <v>44615</v>
      </c>
      <c r="O1663" s="533"/>
      <c r="P1663" s="531">
        <v>44666</v>
      </c>
      <c r="Q1663" s="531">
        <v>44672</v>
      </c>
      <c r="R1663" s="531">
        <v>44676</v>
      </c>
      <c r="S1663" s="526" t="s">
        <v>2379</v>
      </c>
      <c r="T1663" s="526">
        <v>60</v>
      </c>
      <c r="U1663" s="526">
        <v>49405140</v>
      </c>
      <c r="V1663" s="526" t="s">
        <v>973</v>
      </c>
      <c r="W1663" s="526">
        <v>400</v>
      </c>
      <c r="X1663" s="569">
        <v>512</v>
      </c>
      <c r="Y1663" s="477">
        <f>X1663*W1663</f>
        <v>204800</v>
      </c>
      <c r="Z1663" s="478">
        <f>188/400</f>
        <v>0.47</v>
      </c>
      <c r="AA1663" s="479">
        <f>Z1663*Y1663</f>
        <v>96256</v>
      </c>
      <c r="AB1663" s="480"/>
      <c r="AC1663" s="481">
        <f>AB1663*Y1663</f>
        <v>0</v>
      </c>
      <c r="AD1663" s="490"/>
      <c r="AE1663" s="482"/>
      <c r="AF1663" s="493">
        <f>AA1663+AE1663</f>
        <v>96256</v>
      </c>
      <c r="AG1663" s="474" t="s">
        <v>47</v>
      </c>
      <c r="AH1663" s="474"/>
      <c r="AI1663" s="483" t="s">
        <v>2374</v>
      </c>
      <c r="AJ1663" s="474" t="s">
        <v>2390</v>
      </c>
      <c r="AK1663" s="494" t="s">
        <v>2362</v>
      </c>
      <c r="AL1663" s="474">
        <v>80239</v>
      </c>
      <c r="AM1663" s="474" t="s">
        <v>52</v>
      </c>
      <c r="AN1663" s="474" t="s">
        <v>1106</v>
      </c>
      <c r="AO1663" s="474"/>
      <c r="AP1663" s="486"/>
      <c r="AQ1663" s="486" t="s">
        <v>37</v>
      </c>
      <c r="AR1663" s="486"/>
      <c r="AS1663" s="495"/>
      <c r="AT1663" s="495"/>
      <c r="AU1663" s="478"/>
    </row>
    <row r="1664" spans="1:55" s="471" customFormat="1">
      <c r="A1664" s="472"/>
      <c r="B1664" s="514">
        <v>44616</v>
      </c>
      <c r="C1664" s="514">
        <v>44616</v>
      </c>
      <c r="D1664" s="485" t="s">
        <v>3186</v>
      </c>
      <c r="E1664" s="474"/>
      <c r="F1664" s="526"/>
      <c r="G1664" s="526">
        <v>2022</v>
      </c>
      <c r="H1664" s="570">
        <v>4</v>
      </c>
      <c r="I1664" s="645" t="s">
        <v>3023</v>
      </c>
      <c r="J1664" s="652">
        <v>44677</v>
      </c>
      <c r="K1664" s="601" t="s">
        <v>3536</v>
      </c>
      <c r="L1664" s="526" t="s">
        <v>2378</v>
      </c>
      <c r="M1664" s="533">
        <v>44615</v>
      </c>
      <c r="N1664" s="533">
        <v>44615</v>
      </c>
      <c r="O1664" s="533"/>
      <c r="P1664" s="531">
        <v>44666</v>
      </c>
      <c r="Q1664" s="531">
        <v>44672</v>
      </c>
      <c r="R1664" s="531">
        <v>44677</v>
      </c>
      <c r="S1664" s="526" t="s">
        <v>2379</v>
      </c>
      <c r="T1664" s="526">
        <v>60</v>
      </c>
      <c r="U1664" s="526">
        <v>49405140</v>
      </c>
      <c r="V1664" s="526" t="s">
        <v>973</v>
      </c>
      <c r="W1664" s="526">
        <v>400</v>
      </c>
      <c r="X1664" s="569">
        <v>560</v>
      </c>
      <c r="Y1664" s="477">
        <f>X1664*W1664</f>
        <v>224000</v>
      </c>
      <c r="Z1664" s="478">
        <f>188/400</f>
        <v>0.47</v>
      </c>
      <c r="AA1664" s="479">
        <f>Z1664*Y1664</f>
        <v>105280</v>
      </c>
      <c r="AB1664" s="480"/>
      <c r="AC1664" s="481">
        <f>AB1664*Y1664</f>
        <v>0</v>
      </c>
      <c r="AD1664" s="490"/>
      <c r="AE1664" s="482"/>
      <c r="AF1664" s="493">
        <f>AA1664+AE1664</f>
        <v>105280</v>
      </c>
      <c r="AG1664" s="474" t="s">
        <v>47</v>
      </c>
      <c r="AH1664" s="474"/>
      <c r="AI1664" s="483" t="s">
        <v>2374</v>
      </c>
      <c r="AJ1664" s="474" t="s">
        <v>2390</v>
      </c>
      <c r="AK1664" s="494" t="s">
        <v>2362</v>
      </c>
      <c r="AL1664" s="474">
        <v>80239</v>
      </c>
      <c r="AM1664" s="474" t="s">
        <v>52</v>
      </c>
      <c r="AN1664" s="474" t="s">
        <v>1106</v>
      </c>
      <c r="AO1664" s="474"/>
      <c r="AP1664" s="486"/>
      <c r="AQ1664" s="486" t="s">
        <v>37</v>
      </c>
      <c r="AR1664" s="486"/>
      <c r="AS1664" s="495"/>
      <c r="AT1664" s="495"/>
      <c r="AU1664" s="478"/>
    </row>
    <row r="1665" spans="1:55" s="471" customFormat="1">
      <c r="A1665" s="472"/>
      <c r="B1665" s="514">
        <v>44616</v>
      </c>
      <c r="C1665" s="514">
        <v>44616</v>
      </c>
      <c r="D1665" s="485" t="s">
        <v>3186</v>
      </c>
      <c r="E1665" s="474" t="s">
        <v>3525</v>
      </c>
      <c r="F1665" s="474"/>
      <c r="G1665" s="526">
        <v>2022</v>
      </c>
      <c r="H1665" s="526">
        <v>4</v>
      </c>
      <c r="I1665" s="546">
        <v>128235</v>
      </c>
      <c r="J1665" s="531">
        <v>44673</v>
      </c>
      <c r="K1665" s="532" t="s">
        <v>3531</v>
      </c>
      <c r="L1665" s="526" t="s">
        <v>2378</v>
      </c>
      <c r="M1665" s="533">
        <v>44615</v>
      </c>
      <c r="N1665" s="533">
        <v>44615</v>
      </c>
      <c r="O1665" s="533"/>
      <c r="P1665" s="531">
        <v>44664</v>
      </c>
      <c r="Q1665" s="531">
        <v>44669</v>
      </c>
      <c r="R1665" s="531">
        <v>44673</v>
      </c>
      <c r="S1665" s="526" t="s">
        <v>2379</v>
      </c>
      <c r="T1665" s="526">
        <v>60</v>
      </c>
      <c r="U1665" s="526">
        <v>49405140</v>
      </c>
      <c r="V1665" s="526" t="s">
        <v>973</v>
      </c>
      <c r="W1665" s="526">
        <v>400</v>
      </c>
      <c r="X1665" s="534">
        <v>416</v>
      </c>
      <c r="Y1665" s="477">
        <f>X1665*W1665</f>
        <v>166400</v>
      </c>
      <c r="Z1665" s="478">
        <f>188/400</f>
        <v>0.47</v>
      </c>
      <c r="AA1665" s="479">
        <f>Z1665*Y1665</f>
        <v>78208</v>
      </c>
      <c r="AB1665" s="480"/>
      <c r="AC1665" s="481">
        <f>AB1665*Y1665</f>
        <v>0</v>
      </c>
      <c r="AD1665" s="490"/>
      <c r="AE1665" s="482"/>
      <c r="AF1665" s="493">
        <f>AA1665+AE1665</f>
        <v>78208</v>
      </c>
      <c r="AG1665" s="474" t="s">
        <v>47</v>
      </c>
      <c r="AH1665" s="474"/>
      <c r="AI1665" s="483" t="s">
        <v>2374</v>
      </c>
      <c r="AJ1665" s="474" t="s">
        <v>2380</v>
      </c>
      <c r="AK1665" s="494" t="s">
        <v>2381</v>
      </c>
      <c r="AL1665" s="474">
        <v>87107</v>
      </c>
      <c r="AM1665" s="474" t="s">
        <v>52</v>
      </c>
      <c r="AN1665" s="474" t="s">
        <v>1106</v>
      </c>
      <c r="AO1665" s="474"/>
      <c r="AP1665" s="486"/>
      <c r="AQ1665" s="486" t="s">
        <v>37</v>
      </c>
      <c r="AR1665" s="486"/>
      <c r="AS1665" s="495"/>
      <c r="AT1665" s="495"/>
      <c r="AU1665" s="478"/>
    </row>
    <row r="1666" spans="1:55" s="471" customFormat="1">
      <c r="A1666" s="472"/>
      <c r="B1666" s="514">
        <v>44616</v>
      </c>
      <c r="C1666" s="514">
        <v>44616</v>
      </c>
      <c r="D1666" s="485" t="s">
        <v>3186</v>
      </c>
      <c r="E1666" s="474"/>
      <c r="F1666" s="526"/>
      <c r="G1666" s="526">
        <v>2022</v>
      </c>
      <c r="H1666" s="526">
        <v>4</v>
      </c>
      <c r="I1666" s="645" t="s">
        <v>3023</v>
      </c>
      <c r="J1666" s="531">
        <v>44679</v>
      </c>
      <c r="K1666" s="532" t="s">
        <v>3531</v>
      </c>
      <c r="L1666" s="526" t="s">
        <v>2378</v>
      </c>
      <c r="M1666" s="533">
        <v>44615</v>
      </c>
      <c r="N1666" s="533">
        <v>44615</v>
      </c>
      <c r="O1666" s="533"/>
      <c r="P1666" s="531">
        <v>44666</v>
      </c>
      <c r="Q1666" s="531">
        <v>44671</v>
      </c>
      <c r="R1666" s="531">
        <v>44679</v>
      </c>
      <c r="S1666" s="526" t="s">
        <v>2379</v>
      </c>
      <c r="T1666" s="526">
        <v>60</v>
      </c>
      <c r="U1666" s="526">
        <v>49405140</v>
      </c>
      <c r="V1666" s="526" t="s">
        <v>973</v>
      </c>
      <c r="W1666" s="526">
        <v>400</v>
      </c>
      <c r="X1666" s="569">
        <v>320</v>
      </c>
      <c r="Y1666" s="477">
        <f>X1666*W1666</f>
        <v>128000</v>
      </c>
      <c r="Z1666" s="478">
        <f>188/400</f>
        <v>0.47</v>
      </c>
      <c r="AA1666" s="479">
        <f>Z1666*Y1666</f>
        <v>60160</v>
      </c>
      <c r="AB1666" s="480"/>
      <c r="AC1666" s="481">
        <f>AB1666*Y1666</f>
        <v>0</v>
      </c>
      <c r="AD1666" s="490"/>
      <c r="AE1666" s="482"/>
      <c r="AF1666" s="493">
        <f>AA1666+AE1666</f>
        <v>60160</v>
      </c>
      <c r="AG1666" s="474" t="s">
        <v>47</v>
      </c>
      <c r="AH1666" s="474"/>
      <c r="AI1666" s="483" t="s">
        <v>2374</v>
      </c>
      <c r="AJ1666" s="474" t="s">
        <v>2380</v>
      </c>
      <c r="AK1666" s="494" t="s">
        <v>2381</v>
      </c>
      <c r="AL1666" s="474">
        <v>87107</v>
      </c>
      <c r="AM1666" s="474" t="s">
        <v>52</v>
      </c>
      <c r="AN1666" s="474" t="s">
        <v>1106</v>
      </c>
      <c r="AO1666" s="474"/>
      <c r="AP1666" s="486"/>
      <c r="AQ1666" s="486" t="s">
        <v>37</v>
      </c>
      <c r="AR1666" s="486"/>
      <c r="AS1666" s="495"/>
      <c r="AT1666" s="495"/>
      <c r="AU1666" s="478"/>
    </row>
    <row r="1667" spans="1:55" s="471" customFormat="1">
      <c r="A1667" s="472"/>
      <c r="B1667" s="514">
        <v>44616</v>
      </c>
      <c r="C1667" s="514">
        <v>44616</v>
      </c>
      <c r="D1667" s="485" t="s">
        <v>3186</v>
      </c>
      <c r="E1667" s="474" t="s">
        <v>3561</v>
      </c>
      <c r="F1667" s="474"/>
      <c r="G1667" s="516">
        <v>2022</v>
      </c>
      <c r="H1667" s="613">
        <v>4</v>
      </c>
      <c r="I1667" s="617" t="s">
        <v>3023</v>
      </c>
      <c r="J1667" s="615">
        <v>44666</v>
      </c>
      <c r="K1667" s="616" t="s">
        <v>3562</v>
      </c>
      <c r="L1667" s="536" t="s">
        <v>2378</v>
      </c>
      <c r="M1667" s="529">
        <v>44615</v>
      </c>
      <c r="N1667" s="529">
        <v>44615</v>
      </c>
      <c r="O1667" s="529"/>
      <c r="P1667" s="527">
        <v>44663</v>
      </c>
      <c r="Q1667" s="529">
        <v>44663</v>
      </c>
      <c r="R1667" s="529">
        <v>44666</v>
      </c>
      <c r="S1667" s="536" t="s">
        <v>2379</v>
      </c>
      <c r="T1667" s="536">
        <v>60</v>
      </c>
      <c r="U1667" s="536">
        <v>49405140</v>
      </c>
      <c r="V1667" s="536" t="s">
        <v>973</v>
      </c>
      <c r="W1667" s="536">
        <v>400</v>
      </c>
      <c r="X1667" s="537">
        <v>416</v>
      </c>
      <c r="Y1667" s="477">
        <f>X1667*W1667</f>
        <v>166400</v>
      </c>
      <c r="Z1667" s="478">
        <f>188/400</f>
        <v>0.47</v>
      </c>
      <c r="AA1667" s="479">
        <f>Z1667*Y1667</f>
        <v>78208</v>
      </c>
      <c r="AB1667" s="480"/>
      <c r="AC1667" s="481">
        <f>AB1667*Y1667</f>
        <v>0</v>
      </c>
      <c r="AD1667" s="490"/>
      <c r="AE1667" s="482"/>
      <c r="AF1667" s="493">
        <f>AA1667+AE1667</f>
        <v>78208</v>
      </c>
      <c r="AG1667" s="474" t="s">
        <v>47</v>
      </c>
      <c r="AH1667" s="474"/>
      <c r="AI1667" s="483" t="s">
        <v>2374</v>
      </c>
      <c r="AJ1667" s="474" t="s">
        <v>2380</v>
      </c>
      <c r="AK1667" s="494" t="s">
        <v>2381</v>
      </c>
      <c r="AL1667" s="474">
        <v>87107</v>
      </c>
      <c r="AM1667" s="474" t="s">
        <v>52</v>
      </c>
      <c r="AN1667" s="474" t="s">
        <v>1106</v>
      </c>
      <c r="AO1667" s="474"/>
      <c r="AP1667" s="486"/>
      <c r="AQ1667" s="486" t="s">
        <v>37</v>
      </c>
      <c r="AR1667" s="486"/>
      <c r="AS1667" s="495"/>
      <c r="AT1667" s="495"/>
      <c r="AU1667" s="478"/>
    </row>
    <row r="1668" spans="1:55" s="471" customFormat="1">
      <c r="A1668" s="472"/>
      <c r="B1668" s="514">
        <v>44616</v>
      </c>
      <c r="C1668" s="514">
        <v>44616</v>
      </c>
      <c r="D1668" s="485" t="s">
        <v>3186</v>
      </c>
      <c r="E1668" s="474" t="s">
        <v>3566</v>
      </c>
      <c r="F1668" s="474"/>
      <c r="G1668" s="516">
        <v>2022</v>
      </c>
      <c r="H1668" s="613">
        <v>4</v>
      </c>
      <c r="I1668" s="617" t="s">
        <v>3023</v>
      </c>
      <c r="J1668" s="615">
        <v>44663</v>
      </c>
      <c r="K1668" s="616" t="s">
        <v>3562</v>
      </c>
      <c r="L1668" s="536" t="s">
        <v>2378</v>
      </c>
      <c r="M1668" s="529">
        <v>44615</v>
      </c>
      <c r="N1668" s="529">
        <v>44615</v>
      </c>
      <c r="O1668" s="529"/>
      <c r="P1668" s="527">
        <v>44663</v>
      </c>
      <c r="Q1668" s="529">
        <v>44659</v>
      </c>
      <c r="R1668" s="529">
        <v>44663</v>
      </c>
      <c r="S1668" s="536" t="s">
        <v>2379</v>
      </c>
      <c r="T1668" s="536">
        <v>60</v>
      </c>
      <c r="U1668" s="536">
        <v>49405140</v>
      </c>
      <c r="V1668" s="536" t="s">
        <v>973</v>
      </c>
      <c r="W1668" s="536">
        <v>400</v>
      </c>
      <c r="X1668" s="537">
        <v>416</v>
      </c>
      <c r="Y1668" s="477">
        <f>X1668*W1668</f>
        <v>166400</v>
      </c>
      <c r="Z1668" s="478">
        <f>188/400</f>
        <v>0.47</v>
      </c>
      <c r="AA1668" s="479">
        <f>Z1668*Y1668</f>
        <v>78208</v>
      </c>
      <c r="AB1668" s="480"/>
      <c r="AC1668" s="481">
        <f>AB1668*Y1668</f>
        <v>0</v>
      </c>
      <c r="AD1668" s="490"/>
      <c r="AE1668" s="482"/>
      <c r="AF1668" s="493">
        <f>AA1668+AE1668</f>
        <v>78208</v>
      </c>
      <c r="AG1668" s="474" t="s">
        <v>47</v>
      </c>
      <c r="AH1668" s="474"/>
      <c r="AI1668" s="483" t="s">
        <v>2374</v>
      </c>
      <c r="AJ1668" s="474" t="s">
        <v>3262</v>
      </c>
      <c r="AK1668" s="494" t="s">
        <v>3263</v>
      </c>
      <c r="AL1668" s="474">
        <v>84104</v>
      </c>
      <c r="AM1668" s="474" t="s">
        <v>52</v>
      </c>
      <c r="AN1668" s="474" t="s">
        <v>1106</v>
      </c>
      <c r="AO1668" s="474"/>
      <c r="AP1668" s="486"/>
      <c r="AQ1668" s="486" t="s">
        <v>37</v>
      </c>
      <c r="AR1668" s="486"/>
      <c r="AS1668" s="495"/>
      <c r="AT1668" s="495"/>
      <c r="AU1668" s="478"/>
    </row>
    <row r="1669" spans="1:55" s="471" customFormat="1">
      <c r="A1669" s="472"/>
      <c r="B1669" s="514">
        <v>44616</v>
      </c>
      <c r="C1669" s="514">
        <v>44616</v>
      </c>
      <c r="D1669" s="485" t="s">
        <v>3186</v>
      </c>
      <c r="E1669" s="474"/>
      <c r="F1669" s="526"/>
      <c r="G1669" s="526">
        <v>2022</v>
      </c>
      <c r="H1669" s="570">
        <v>4</v>
      </c>
      <c r="I1669" s="645" t="s">
        <v>3023</v>
      </c>
      <c r="J1669" s="652">
        <v>44676</v>
      </c>
      <c r="K1669" s="601" t="s">
        <v>3530</v>
      </c>
      <c r="L1669" s="526" t="s">
        <v>2378</v>
      </c>
      <c r="M1669" s="533">
        <v>44615</v>
      </c>
      <c r="N1669" s="533">
        <v>44615</v>
      </c>
      <c r="O1669" s="533"/>
      <c r="P1669" s="531">
        <v>44666</v>
      </c>
      <c r="Q1669" s="531">
        <v>44671</v>
      </c>
      <c r="R1669" s="531">
        <v>44676</v>
      </c>
      <c r="S1669" s="526" t="s">
        <v>2379</v>
      </c>
      <c r="T1669" s="526">
        <v>60</v>
      </c>
      <c r="U1669" s="526">
        <v>49405140</v>
      </c>
      <c r="V1669" s="526" t="s">
        <v>973</v>
      </c>
      <c r="W1669" s="526">
        <v>400</v>
      </c>
      <c r="X1669" s="569">
        <v>320</v>
      </c>
      <c r="Y1669" s="477">
        <f>X1669*W1669</f>
        <v>128000</v>
      </c>
      <c r="Z1669" s="478">
        <f>188/400</f>
        <v>0.47</v>
      </c>
      <c r="AA1669" s="479">
        <f>Z1669*Y1669</f>
        <v>60160</v>
      </c>
      <c r="AB1669" s="480"/>
      <c r="AC1669" s="481">
        <f>AB1669*Y1669</f>
        <v>0</v>
      </c>
      <c r="AD1669" s="490"/>
      <c r="AE1669" s="482"/>
      <c r="AF1669" s="493">
        <f>AA1669+AE1669</f>
        <v>60160</v>
      </c>
      <c r="AG1669" s="474" t="s">
        <v>47</v>
      </c>
      <c r="AH1669" s="474"/>
      <c r="AI1669" s="483" t="s">
        <v>2374</v>
      </c>
      <c r="AJ1669" s="474" t="s">
        <v>2392</v>
      </c>
      <c r="AK1669" s="494" t="s">
        <v>1084</v>
      </c>
      <c r="AL1669" s="474">
        <v>33762</v>
      </c>
      <c r="AM1669" s="474" t="s">
        <v>52</v>
      </c>
      <c r="AN1669" s="474" t="s">
        <v>1106</v>
      </c>
      <c r="AO1669" s="474"/>
      <c r="AP1669" s="486"/>
      <c r="AQ1669" s="486" t="s">
        <v>37</v>
      </c>
      <c r="AR1669" s="486"/>
      <c r="AS1669" s="495"/>
      <c r="AT1669" s="495"/>
      <c r="AU1669" s="478"/>
    </row>
    <row r="1670" spans="1:55" s="471" customFormat="1">
      <c r="A1670" s="472"/>
      <c r="B1670" s="514">
        <v>44616</v>
      </c>
      <c r="C1670" s="514">
        <v>44616</v>
      </c>
      <c r="D1670" s="485" t="s">
        <v>3186</v>
      </c>
      <c r="E1670" s="474" t="s">
        <v>3527</v>
      </c>
      <c r="F1670" s="474"/>
      <c r="G1670" s="526">
        <v>2022</v>
      </c>
      <c r="H1670" s="570">
        <v>5</v>
      </c>
      <c r="I1670" s="645"/>
      <c r="J1670" s="645" t="s">
        <v>5644</v>
      </c>
      <c r="K1670" s="601" t="s">
        <v>3530</v>
      </c>
      <c r="L1670" s="526" t="s">
        <v>2378</v>
      </c>
      <c r="M1670" s="533">
        <v>44615</v>
      </c>
      <c r="N1670" s="533">
        <v>44615</v>
      </c>
      <c r="O1670" s="533"/>
      <c r="P1670" s="531">
        <v>44678</v>
      </c>
      <c r="Q1670" s="531"/>
      <c r="R1670" s="531"/>
      <c r="S1670" s="526" t="s">
        <v>2379</v>
      </c>
      <c r="T1670" s="526">
        <v>60</v>
      </c>
      <c r="U1670" s="526" t="s">
        <v>1281</v>
      </c>
      <c r="V1670" s="526" t="s">
        <v>973</v>
      </c>
      <c r="W1670" s="526">
        <v>400</v>
      </c>
      <c r="X1670" s="534">
        <v>416</v>
      </c>
      <c r="Y1670" s="477">
        <f>X1670*W1670</f>
        <v>166400</v>
      </c>
      <c r="Z1670" s="478">
        <f>188/400</f>
        <v>0.47</v>
      </c>
      <c r="AA1670" s="479">
        <f>Z1670*Y1670</f>
        <v>78208</v>
      </c>
      <c r="AB1670" s="480"/>
      <c r="AC1670" s="481">
        <f>AB1670*Y1670</f>
        <v>0</v>
      </c>
      <c r="AD1670" s="490"/>
      <c r="AE1670" s="482"/>
      <c r="AF1670" s="493">
        <f>AA1670+AE1670</f>
        <v>78208</v>
      </c>
      <c r="AG1670" s="474" t="s">
        <v>47</v>
      </c>
      <c r="AH1670" s="474"/>
      <c r="AI1670" s="483" t="s">
        <v>2374</v>
      </c>
      <c r="AJ1670" s="474" t="s">
        <v>3459</v>
      </c>
      <c r="AK1670" s="494" t="s">
        <v>2406</v>
      </c>
      <c r="AL1670" s="474">
        <v>29420</v>
      </c>
      <c r="AM1670" s="474" t="s">
        <v>52</v>
      </c>
      <c r="AN1670" s="474" t="s">
        <v>1085</v>
      </c>
      <c r="AO1670" s="474"/>
      <c r="AP1670" s="486"/>
      <c r="AQ1670" s="486" t="s">
        <v>37</v>
      </c>
      <c r="AR1670" s="486"/>
      <c r="AS1670" s="495"/>
      <c r="AT1670" s="495"/>
      <c r="AU1670" s="478"/>
    </row>
    <row r="1671" spans="1:55" s="471" customFormat="1">
      <c r="A1671" s="472"/>
      <c r="B1671" s="514">
        <v>44616</v>
      </c>
      <c r="C1671" s="514">
        <v>44616</v>
      </c>
      <c r="D1671" s="485" t="s">
        <v>3186</v>
      </c>
      <c r="E1671" s="474" t="s">
        <v>3525</v>
      </c>
      <c r="F1671" s="474"/>
      <c r="G1671" s="526">
        <v>2022</v>
      </c>
      <c r="H1671" s="526">
        <v>4</v>
      </c>
      <c r="I1671" s="546">
        <v>128237</v>
      </c>
      <c r="J1671" s="531">
        <v>44672</v>
      </c>
      <c r="K1671" s="532" t="s">
        <v>3529</v>
      </c>
      <c r="L1671" s="526" t="s">
        <v>2378</v>
      </c>
      <c r="M1671" s="533">
        <v>44615</v>
      </c>
      <c r="N1671" s="533">
        <v>44615</v>
      </c>
      <c r="O1671" s="533"/>
      <c r="P1671" s="531">
        <v>44664</v>
      </c>
      <c r="Q1671" s="531">
        <v>44670</v>
      </c>
      <c r="R1671" s="531">
        <v>44672</v>
      </c>
      <c r="S1671" s="526" t="s">
        <v>2379</v>
      </c>
      <c r="T1671" s="526">
        <v>60</v>
      </c>
      <c r="U1671" s="526">
        <v>49405140</v>
      </c>
      <c r="V1671" s="526" t="s">
        <v>973</v>
      </c>
      <c r="W1671" s="526">
        <v>400</v>
      </c>
      <c r="X1671" s="534">
        <v>832</v>
      </c>
      <c r="Y1671" s="477">
        <f>X1671*W1671</f>
        <v>332800</v>
      </c>
      <c r="Z1671" s="478">
        <f>188/400</f>
        <v>0.47</v>
      </c>
      <c r="AA1671" s="479">
        <f>Z1671*Y1671</f>
        <v>156416</v>
      </c>
      <c r="AB1671" s="480"/>
      <c r="AC1671" s="481">
        <f>AB1671*Y1671</f>
        <v>0</v>
      </c>
      <c r="AD1671" s="490"/>
      <c r="AE1671" s="482"/>
      <c r="AF1671" s="493">
        <f>AA1671+AE1671</f>
        <v>156416</v>
      </c>
      <c r="AG1671" s="474" t="s">
        <v>47</v>
      </c>
      <c r="AH1671" s="474"/>
      <c r="AI1671" s="483" t="s">
        <v>2374</v>
      </c>
      <c r="AJ1671" s="474" t="s">
        <v>2390</v>
      </c>
      <c r="AK1671" s="494" t="s">
        <v>2362</v>
      </c>
      <c r="AL1671" s="474">
        <v>80239</v>
      </c>
      <c r="AM1671" s="474" t="s">
        <v>52</v>
      </c>
      <c r="AN1671" s="474" t="s">
        <v>1106</v>
      </c>
      <c r="AO1671" s="474"/>
      <c r="AP1671" s="486"/>
      <c r="AQ1671" s="486" t="s">
        <v>37</v>
      </c>
      <c r="AR1671" s="486"/>
      <c r="AS1671" s="495"/>
      <c r="AT1671" s="495"/>
      <c r="AU1671" s="478"/>
    </row>
    <row r="1672" spans="1:55" s="471" customFormat="1">
      <c r="A1672" s="472"/>
      <c r="B1672" s="514">
        <v>44616</v>
      </c>
      <c r="C1672" s="514">
        <v>44616</v>
      </c>
      <c r="D1672" s="485" t="s">
        <v>3186</v>
      </c>
      <c r="E1672" s="474" t="s">
        <v>3556</v>
      </c>
      <c r="F1672" s="474"/>
      <c r="G1672" s="516">
        <v>2022</v>
      </c>
      <c r="H1672" s="516">
        <v>4</v>
      </c>
      <c r="I1672" s="516">
        <v>128150</v>
      </c>
      <c r="J1672" s="527">
        <v>44664</v>
      </c>
      <c r="K1672" s="535" t="s">
        <v>3557</v>
      </c>
      <c r="L1672" s="536" t="s">
        <v>2378</v>
      </c>
      <c r="M1672" s="529">
        <v>44615</v>
      </c>
      <c r="N1672" s="529">
        <v>44615</v>
      </c>
      <c r="O1672" s="529"/>
      <c r="P1672" s="527">
        <v>44663</v>
      </c>
      <c r="Q1672" s="529">
        <v>44663</v>
      </c>
      <c r="R1672" s="529">
        <v>44664</v>
      </c>
      <c r="S1672" s="536" t="s">
        <v>2379</v>
      </c>
      <c r="T1672" s="536">
        <v>60</v>
      </c>
      <c r="U1672" s="536">
        <v>49405140</v>
      </c>
      <c r="V1672" s="536" t="s">
        <v>973</v>
      </c>
      <c r="W1672" s="536">
        <v>400</v>
      </c>
      <c r="X1672" s="530">
        <v>416</v>
      </c>
      <c r="Y1672" s="477">
        <f>X1672*W1672</f>
        <v>166400</v>
      </c>
      <c r="Z1672" s="478">
        <f>188/400</f>
        <v>0.47</v>
      </c>
      <c r="AA1672" s="479">
        <f>Z1672*Y1672</f>
        <v>78208</v>
      </c>
      <c r="AB1672" s="480"/>
      <c r="AC1672" s="481">
        <f>AB1672*Y1672</f>
        <v>0</v>
      </c>
      <c r="AD1672" s="490"/>
      <c r="AE1672" s="482"/>
      <c r="AF1672" s="493">
        <f>AA1672+AE1672</f>
        <v>78208</v>
      </c>
      <c r="AG1672" s="474" t="s">
        <v>47</v>
      </c>
      <c r="AH1672" s="474"/>
      <c r="AI1672" s="483" t="s">
        <v>2374</v>
      </c>
      <c r="AJ1672" s="474" t="s">
        <v>3558</v>
      </c>
      <c r="AK1672" s="494" t="s">
        <v>1084</v>
      </c>
      <c r="AL1672" s="474">
        <v>32205</v>
      </c>
      <c r="AM1672" s="474" t="s">
        <v>52</v>
      </c>
      <c r="AN1672" s="474" t="s">
        <v>1106</v>
      </c>
      <c r="AO1672" s="474"/>
      <c r="AP1672" s="486"/>
      <c r="AQ1672" s="486" t="s">
        <v>37</v>
      </c>
      <c r="AR1672" s="486"/>
      <c r="AS1672" s="495"/>
      <c r="AT1672" s="495"/>
      <c r="AU1672" s="478"/>
    </row>
    <row r="1673" spans="1:55" s="471" customFormat="1">
      <c r="A1673" s="472"/>
      <c r="B1673" s="514">
        <v>44616</v>
      </c>
      <c r="C1673" s="514">
        <v>44616</v>
      </c>
      <c r="D1673" s="485" t="s">
        <v>3186</v>
      </c>
      <c r="E1673" s="474" t="s">
        <v>3565</v>
      </c>
      <c r="F1673" s="474"/>
      <c r="G1673" s="516">
        <v>2022</v>
      </c>
      <c r="H1673" s="516">
        <v>4</v>
      </c>
      <c r="I1673" s="516">
        <v>128001</v>
      </c>
      <c r="J1673" s="527">
        <v>44662</v>
      </c>
      <c r="K1673" s="535" t="s">
        <v>3557</v>
      </c>
      <c r="L1673" s="536" t="s">
        <v>2378</v>
      </c>
      <c r="M1673" s="529">
        <v>44615</v>
      </c>
      <c r="N1673" s="529">
        <v>44615</v>
      </c>
      <c r="O1673" s="529"/>
      <c r="P1673" s="527">
        <v>44663</v>
      </c>
      <c r="Q1673" s="529">
        <v>44659</v>
      </c>
      <c r="R1673" s="529">
        <v>44662</v>
      </c>
      <c r="S1673" s="536" t="s">
        <v>2379</v>
      </c>
      <c r="T1673" s="536">
        <v>60</v>
      </c>
      <c r="U1673" s="536">
        <v>49405140</v>
      </c>
      <c r="V1673" s="536" t="s">
        <v>973</v>
      </c>
      <c r="W1673" s="536">
        <v>400</v>
      </c>
      <c r="X1673" s="530">
        <v>416</v>
      </c>
      <c r="Y1673" s="477">
        <f>X1673*W1673</f>
        <v>166400</v>
      </c>
      <c r="Z1673" s="478">
        <f>188/400</f>
        <v>0.47</v>
      </c>
      <c r="AA1673" s="479">
        <f>Z1673*Y1673</f>
        <v>78208</v>
      </c>
      <c r="AB1673" s="480"/>
      <c r="AC1673" s="481">
        <f>AB1673*Y1673</f>
        <v>0</v>
      </c>
      <c r="AD1673" s="490"/>
      <c r="AE1673" s="482"/>
      <c r="AF1673" s="493">
        <f>AA1673+AE1673</f>
        <v>78208</v>
      </c>
      <c r="AG1673" s="474" t="s">
        <v>47</v>
      </c>
      <c r="AH1673" s="474"/>
      <c r="AI1673" s="483" t="s">
        <v>2374</v>
      </c>
      <c r="AJ1673" s="474" t="s">
        <v>2437</v>
      </c>
      <c r="AK1673" s="494" t="s">
        <v>1084</v>
      </c>
      <c r="AL1673" s="474">
        <v>34741</v>
      </c>
      <c r="AM1673" s="474" t="s">
        <v>52</v>
      </c>
      <c r="AN1673" s="474" t="s">
        <v>1106</v>
      </c>
      <c r="AO1673" s="474"/>
      <c r="AP1673" s="486"/>
      <c r="AQ1673" s="486" t="s">
        <v>37</v>
      </c>
      <c r="AR1673" s="486"/>
      <c r="AS1673" s="495"/>
      <c r="AT1673" s="495"/>
      <c r="AU1673" s="478"/>
    </row>
    <row r="1674" spans="1:55" s="471" customFormat="1">
      <c r="A1674" s="472"/>
      <c r="B1674" s="514">
        <v>44616</v>
      </c>
      <c r="C1674" s="514">
        <v>44616</v>
      </c>
      <c r="D1674" s="485" t="s">
        <v>3186</v>
      </c>
      <c r="E1674" s="474" t="s">
        <v>3525</v>
      </c>
      <c r="F1674" s="474"/>
      <c r="G1674" s="526">
        <v>2022</v>
      </c>
      <c r="H1674" s="526">
        <v>4</v>
      </c>
      <c r="I1674" s="546">
        <v>128204</v>
      </c>
      <c r="J1674" s="531">
        <v>44671</v>
      </c>
      <c r="K1674" s="532" t="s">
        <v>3552</v>
      </c>
      <c r="L1674" s="526" t="s">
        <v>2378</v>
      </c>
      <c r="M1674" s="533">
        <v>44615</v>
      </c>
      <c r="N1674" s="533">
        <v>44615</v>
      </c>
      <c r="O1674" s="533"/>
      <c r="P1674" s="531">
        <v>44664</v>
      </c>
      <c r="Q1674" s="531">
        <v>44669</v>
      </c>
      <c r="R1674" s="531">
        <v>44671</v>
      </c>
      <c r="S1674" s="526" t="s">
        <v>2379</v>
      </c>
      <c r="T1674" s="526">
        <v>60</v>
      </c>
      <c r="U1674" s="526">
        <v>49405140</v>
      </c>
      <c r="V1674" s="526" t="s">
        <v>973</v>
      </c>
      <c r="W1674" s="526">
        <v>400</v>
      </c>
      <c r="X1674" s="534">
        <v>640</v>
      </c>
      <c r="Y1674" s="477">
        <f>X1674*W1674</f>
        <v>256000</v>
      </c>
      <c r="Z1674" s="478">
        <f>188/400</f>
        <v>0.47</v>
      </c>
      <c r="AA1674" s="479">
        <f>Z1674*Y1674</f>
        <v>120320</v>
      </c>
      <c r="AB1674" s="480"/>
      <c r="AC1674" s="481">
        <f>AB1674*Y1674</f>
        <v>0</v>
      </c>
      <c r="AD1674" s="490"/>
      <c r="AE1674" s="482"/>
      <c r="AF1674" s="493">
        <f>AA1674+AE1674</f>
        <v>120320</v>
      </c>
      <c r="AG1674" s="474" t="s">
        <v>47</v>
      </c>
      <c r="AH1674" s="474"/>
      <c r="AI1674" s="483" t="s">
        <v>2374</v>
      </c>
      <c r="AJ1674" s="474" t="s">
        <v>3553</v>
      </c>
      <c r="AK1674" s="494" t="s">
        <v>1084</v>
      </c>
      <c r="AL1674" s="474">
        <v>33166</v>
      </c>
      <c r="AM1674" s="474" t="s">
        <v>52</v>
      </c>
      <c r="AN1674" s="474" t="s">
        <v>1106</v>
      </c>
      <c r="AO1674" s="474"/>
      <c r="AP1674" s="486"/>
      <c r="AQ1674" s="486" t="s">
        <v>37</v>
      </c>
      <c r="AR1674" s="486"/>
      <c r="AS1674" s="495"/>
      <c r="AT1674" s="495"/>
      <c r="AU1674" s="478"/>
    </row>
    <row r="1675" spans="1:55" s="471" customFormat="1">
      <c r="A1675" s="472"/>
      <c r="B1675" s="514">
        <v>44616</v>
      </c>
      <c r="C1675" s="514">
        <v>44616</v>
      </c>
      <c r="D1675" s="485" t="s">
        <v>3186</v>
      </c>
      <c r="E1675" s="474" t="s">
        <v>3554</v>
      </c>
      <c r="F1675" s="474"/>
      <c r="G1675" s="516">
        <v>2022</v>
      </c>
      <c r="H1675" s="613">
        <v>4</v>
      </c>
      <c r="I1675" s="614" t="s">
        <v>3023</v>
      </c>
      <c r="J1675" s="615">
        <v>44669</v>
      </c>
      <c r="K1675" s="616" t="s">
        <v>3555</v>
      </c>
      <c r="L1675" s="536" t="s">
        <v>2378</v>
      </c>
      <c r="M1675" s="529">
        <v>44615</v>
      </c>
      <c r="N1675" s="529">
        <v>44615</v>
      </c>
      <c r="O1675" s="529"/>
      <c r="P1675" s="527">
        <v>44663</v>
      </c>
      <c r="Q1675" s="529">
        <v>44659</v>
      </c>
      <c r="R1675" s="529">
        <v>44669</v>
      </c>
      <c r="S1675" s="536" t="s">
        <v>2379</v>
      </c>
      <c r="T1675" s="536">
        <v>60</v>
      </c>
      <c r="U1675" s="536">
        <v>49405140</v>
      </c>
      <c r="V1675" s="536" t="s">
        <v>973</v>
      </c>
      <c r="W1675" s="536">
        <v>400</v>
      </c>
      <c r="X1675" s="537">
        <v>224</v>
      </c>
      <c r="Y1675" s="477">
        <f>X1675*W1675</f>
        <v>89600</v>
      </c>
      <c r="Z1675" s="478">
        <f>188/400</f>
        <v>0.47</v>
      </c>
      <c r="AA1675" s="479">
        <f>Z1675*Y1675</f>
        <v>42112</v>
      </c>
      <c r="AB1675" s="480"/>
      <c r="AC1675" s="481">
        <f>AB1675*Y1675</f>
        <v>0</v>
      </c>
      <c r="AD1675" s="490"/>
      <c r="AE1675" s="482"/>
      <c r="AF1675" s="493">
        <f>AA1675+AE1675</f>
        <v>42112</v>
      </c>
      <c r="AG1675" s="474" t="s">
        <v>47</v>
      </c>
      <c r="AH1675" s="474"/>
      <c r="AI1675" s="483" t="s">
        <v>2374</v>
      </c>
      <c r="AJ1675" s="474" t="s">
        <v>1394</v>
      </c>
      <c r="AK1675" s="494" t="s">
        <v>1395</v>
      </c>
      <c r="AL1675" s="474">
        <v>89431</v>
      </c>
      <c r="AM1675" s="474" t="s">
        <v>52</v>
      </c>
      <c r="AN1675" s="474" t="s">
        <v>1106</v>
      </c>
      <c r="AO1675" s="474"/>
      <c r="AP1675" s="486"/>
      <c r="AQ1675" s="486" t="s">
        <v>37</v>
      </c>
      <c r="AR1675" s="486"/>
      <c r="AS1675" s="495"/>
      <c r="AT1675" s="495"/>
      <c r="AU1675" s="478"/>
    </row>
    <row r="1676" spans="1:55" s="471" customFormat="1">
      <c r="A1676" s="472"/>
      <c r="B1676" s="514">
        <v>44616</v>
      </c>
      <c r="C1676" s="514">
        <v>44616</v>
      </c>
      <c r="D1676" s="485" t="s">
        <v>3186</v>
      </c>
      <c r="E1676" s="474" t="s">
        <v>3554</v>
      </c>
      <c r="F1676" s="474"/>
      <c r="G1676" s="516">
        <v>2022</v>
      </c>
      <c r="H1676" s="613">
        <v>4</v>
      </c>
      <c r="I1676" s="614" t="s">
        <v>3023</v>
      </c>
      <c r="J1676" s="615">
        <v>44669</v>
      </c>
      <c r="K1676" s="616" t="s">
        <v>3555</v>
      </c>
      <c r="L1676" s="536" t="s">
        <v>2378</v>
      </c>
      <c r="M1676" s="529">
        <v>44615</v>
      </c>
      <c r="N1676" s="529">
        <v>44615</v>
      </c>
      <c r="O1676" s="529"/>
      <c r="P1676" s="527">
        <v>44663</v>
      </c>
      <c r="Q1676" s="529">
        <v>44663</v>
      </c>
      <c r="R1676" s="529">
        <v>44669</v>
      </c>
      <c r="S1676" s="536" t="s">
        <v>2379</v>
      </c>
      <c r="T1676" s="536">
        <v>60</v>
      </c>
      <c r="U1676" s="536">
        <v>49405140</v>
      </c>
      <c r="V1676" s="536" t="s">
        <v>973</v>
      </c>
      <c r="W1676" s="536">
        <v>400</v>
      </c>
      <c r="X1676" s="537">
        <v>192</v>
      </c>
      <c r="Y1676" s="477">
        <f>X1676*W1676</f>
        <v>76800</v>
      </c>
      <c r="Z1676" s="478">
        <f>188/400</f>
        <v>0.47</v>
      </c>
      <c r="AA1676" s="479">
        <f>Z1676*Y1676</f>
        <v>36096</v>
      </c>
      <c r="AB1676" s="480"/>
      <c r="AC1676" s="481">
        <f>AB1676*Y1676</f>
        <v>0</v>
      </c>
      <c r="AD1676" s="490"/>
      <c r="AE1676" s="482"/>
      <c r="AF1676" s="493">
        <f>AA1676+AE1676</f>
        <v>36096</v>
      </c>
      <c r="AG1676" s="474" t="s">
        <v>47</v>
      </c>
      <c r="AH1676" s="474"/>
      <c r="AI1676" s="483" t="s">
        <v>2374</v>
      </c>
      <c r="AJ1676" s="474" t="s">
        <v>1394</v>
      </c>
      <c r="AK1676" s="494" t="s">
        <v>1395</v>
      </c>
      <c r="AL1676" s="474">
        <v>89431</v>
      </c>
      <c r="AM1676" s="474" t="s">
        <v>52</v>
      </c>
      <c r="AN1676" s="474" t="s">
        <v>1106</v>
      </c>
      <c r="AO1676" s="474"/>
      <c r="AP1676" s="486"/>
      <c r="AQ1676" s="486" t="s">
        <v>37</v>
      </c>
      <c r="AR1676" s="486"/>
      <c r="AS1676" s="495"/>
      <c r="AT1676" s="495"/>
      <c r="AU1676" s="478"/>
    </row>
    <row r="1677" spans="1:55" s="471" customFormat="1">
      <c r="A1677" s="472"/>
      <c r="B1677" s="514">
        <v>44616</v>
      </c>
      <c r="C1677" s="514">
        <v>44616</v>
      </c>
      <c r="D1677" s="485" t="s">
        <v>3186</v>
      </c>
      <c r="E1677" s="474" t="s">
        <v>3525</v>
      </c>
      <c r="F1677" s="474"/>
      <c r="G1677" s="526">
        <v>2022</v>
      </c>
      <c r="H1677" s="526">
        <v>4</v>
      </c>
      <c r="I1677" s="546">
        <v>128185</v>
      </c>
      <c r="J1677" s="531">
        <v>44669</v>
      </c>
      <c r="K1677" s="532" t="s">
        <v>3528</v>
      </c>
      <c r="L1677" s="526" t="s">
        <v>2378</v>
      </c>
      <c r="M1677" s="533">
        <v>44615</v>
      </c>
      <c r="N1677" s="533">
        <v>44615</v>
      </c>
      <c r="O1677" s="533"/>
      <c r="P1677" s="531">
        <v>44664</v>
      </c>
      <c r="Q1677" s="531">
        <v>44665</v>
      </c>
      <c r="R1677" s="531">
        <v>44669</v>
      </c>
      <c r="S1677" s="526" t="s">
        <v>2379</v>
      </c>
      <c r="T1677" s="526">
        <v>60</v>
      </c>
      <c r="U1677" s="526" t="s">
        <v>1760</v>
      </c>
      <c r="V1677" s="526" t="s">
        <v>973</v>
      </c>
      <c r="W1677" s="526">
        <v>400</v>
      </c>
      <c r="X1677" s="534">
        <v>640</v>
      </c>
      <c r="Y1677" s="477">
        <f>X1677*W1677</f>
        <v>256000</v>
      </c>
      <c r="Z1677" s="478">
        <f>188/400</f>
        <v>0.47</v>
      </c>
      <c r="AA1677" s="479">
        <f>Z1677*Y1677</f>
        <v>120320</v>
      </c>
      <c r="AB1677" s="480"/>
      <c r="AC1677" s="481">
        <f>AB1677*Y1677</f>
        <v>0</v>
      </c>
      <c r="AD1677" s="490"/>
      <c r="AE1677" s="482"/>
      <c r="AF1677" s="493">
        <f>AA1677+AE1677</f>
        <v>120320</v>
      </c>
      <c r="AG1677" s="474" t="s">
        <v>47</v>
      </c>
      <c r="AH1677" s="474"/>
      <c r="AI1677" s="483" t="s">
        <v>2374</v>
      </c>
      <c r="AJ1677" s="474" t="s">
        <v>2410</v>
      </c>
      <c r="AK1677" s="494" t="s">
        <v>2411</v>
      </c>
      <c r="AL1677" s="474">
        <v>66214</v>
      </c>
      <c r="AM1677" s="474" t="s">
        <v>52</v>
      </c>
      <c r="AN1677" s="474" t="s">
        <v>50</v>
      </c>
      <c r="AO1677" s="474"/>
      <c r="AP1677" s="486" t="s">
        <v>38</v>
      </c>
      <c r="AQ1677" s="486" t="s">
        <v>37</v>
      </c>
      <c r="AR1677" s="486"/>
      <c r="AS1677" s="495"/>
      <c r="AT1677" s="495"/>
      <c r="AU1677" s="478"/>
    </row>
    <row r="1678" spans="1:55" s="471" customFormat="1">
      <c r="A1678" s="472"/>
      <c r="B1678" s="514">
        <v>44616</v>
      </c>
      <c r="C1678" s="514">
        <v>44616</v>
      </c>
      <c r="D1678" s="485" t="s">
        <v>3186</v>
      </c>
      <c r="E1678" s="474" t="s">
        <v>3525</v>
      </c>
      <c r="F1678" s="474"/>
      <c r="G1678" s="526">
        <v>2022</v>
      </c>
      <c r="H1678" s="526">
        <v>4</v>
      </c>
      <c r="I1678" s="546" t="s">
        <v>1544</v>
      </c>
      <c r="J1678" s="538">
        <v>44670</v>
      </c>
      <c r="K1678" s="532" t="s">
        <v>3526</v>
      </c>
      <c r="L1678" s="526" t="s">
        <v>2378</v>
      </c>
      <c r="M1678" s="533">
        <v>44615</v>
      </c>
      <c r="N1678" s="533">
        <v>44615</v>
      </c>
      <c r="O1678" s="533"/>
      <c r="P1678" s="531">
        <v>44664</v>
      </c>
      <c r="Q1678" s="531">
        <v>44669</v>
      </c>
      <c r="R1678" s="531">
        <v>44670</v>
      </c>
      <c r="S1678" s="526" t="s">
        <v>2379</v>
      </c>
      <c r="T1678" s="526">
        <v>60</v>
      </c>
      <c r="U1678" s="526">
        <v>49405140</v>
      </c>
      <c r="V1678" s="526" t="s">
        <v>973</v>
      </c>
      <c r="W1678" s="526">
        <v>400</v>
      </c>
      <c r="X1678" s="534">
        <v>320</v>
      </c>
      <c r="Y1678" s="477">
        <f>X1678*W1678</f>
        <v>128000</v>
      </c>
      <c r="Z1678" s="478">
        <f>188/400</f>
        <v>0.47</v>
      </c>
      <c r="AA1678" s="479">
        <f>Z1678*Y1678</f>
        <v>60160</v>
      </c>
      <c r="AB1678" s="480"/>
      <c r="AC1678" s="481">
        <f>AB1678*Y1678</f>
        <v>0</v>
      </c>
      <c r="AD1678" s="490"/>
      <c r="AE1678" s="482"/>
      <c r="AF1678" s="493">
        <f>AA1678+AE1678</f>
        <v>60160</v>
      </c>
      <c r="AG1678" s="474" t="s">
        <v>47</v>
      </c>
      <c r="AH1678" s="474"/>
      <c r="AI1678" s="483" t="s">
        <v>2374</v>
      </c>
      <c r="AJ1678" s="474" t="s">
        <v>2400</v>
      </c>
      <c r="AK1678" s="494" t="s">
        <v>1074</v>
      </c>
      <c r="AL1678" s="474">
        <v>30360</v>
      </c>
      <c r="AM1678" s="474" t="s">
        <v>52</v>
      </c>
      <c r="AN1678" s="474" t="s">
        <v>1106</v>
      </c>
      <c r="AO1678" s="474"/>
      <c r="AP1678" s="486"/>
      <c r="AQ1678" s="486" t="s">
        <v>37</v>
      </c>
      <c r="AR1678" s="486"/>
      <c r="AS1678" s="495"/>
      <c r="AT1678" s="495"/>
      <c r="AU1678" s="478"/>
    </row>
    <row r="1679" spans="1:55" s="471" customFormat="1">
      <c r="A1679" s="472"/>
      <c r="B1679" s="514">
        <v>44616</v>
      </c>
      <c r="C1679" s="514">
        <v>44616</v>
      </c>
      <c r="D1679" s="485" t="s">
        <v>3186</v>
      </c>
      <c r="E1679" s="474"/>
      <c r="F1679" s="526"/>
      <c r="G1679" s="526">
        <v>2022</v>
      </c>
      <c r="H1679" s="526">
        <v>4</v>
      </c>
      <c r="I1679" s="546" t="s">
        <v>1544</v>
      </c>
      <c r="J1679" s="538">
        <v>44677</v>
      </c>
      <c r="K1679" s="532" t="s">
        <v>3526</v>
      </c>
      <c r="L1679" s="526" t="s">
        <v>2378</v>
      </c>
      <c r="M1679" s="533">
        <v>44615</v>
      </c>
      <c r="N1679" s="533">
        <v>44615</v>
      </c>
      <c r="O1679" s="533"/>
      <c r="P1679" s="531">
        <v>44666</v>
      </c>
      <c r="Q1679" s="531">
        <v>44676</v>
      </c>
      <c r="R1679" s="531">
        <v>44677</v>
      </c>
      <c r="S1679" s="526" t="s">
        <v>2379</v>
      </c>
      <c r="T1679" s="526">
        <v>60</v>
      </c>
      <c r="U1679" s="526">
        <v>49405140</v>
      </c>
      <c r="V1679" s="526" t="s">
        <v>973</v>
      </c>
      <c r="W1679" s="526">
        <v>400</v>
      </c>
      <c r="X1679" s="569">
        <v>416</v>
      </c>
      <c r="Y1679" s="477">
        <f>X1679*W1679</f>
        <v>166400</v>
      </c>
      <c r="Z1679" s="478">
        <f>188/400</f>
        <v>0.47</v>
      </c>
      <c r="AA1679" s="479">
        <f>Z1679*Y1679</f>
        <v>78208</v>
      </c>
      <c r="AB1679" s="480"/>
      <c r="AC1679" s="481">
        <f>AB1679*Y1679</f>
        <v>0</v>
      </c>
      <c r="AD1679" s="490"/>
      <c r="AE1679" s="482"/>
      <c r="AF1679" s="493">
        <f>AA1679+AE1679</f>
        <v>78208</v>
      </c>
      <c r="AG1679" s="474" t="s">
        <v>47</v>
      </c>
      <c r="AH1679" s="474"/>
      <c r="AI1679" s="483" t="s">
        <v>2374</v>
      </c>
      <c r="AJ1679" s="474" t="s">
        <v>2400</v>
      </c>
      <c r="AK1679" s="494" t="s">
        <v>1074</v>
      </c>
      <c r="AL1679" s="474">
        <v>30360</v>
      </c>
      <c r="AM1679" s="474" t="s">
        <v>52</v>
      </c>
      <c r="AN1679" s="474" t="s">
        <v>1106</v>
      </c>
      <c r="AO1679" s="474"/>
      <c r="AP1679" s="486"/>
      <c r="AQ1679" s="486" t="s">
        <v>37</v>
      </c>
      <c r="AR1679" s="486"/>
      <c r="AS1679" s="495"/>
      <c r="AT1679" s="495"/>
      <c r="AU1679" s="478"/>
      <c r="AV1679" s="471">
        <f>U1679</f>
        <v>49405140</v>
      </c>
      <c r="AW1679" s="471" cm="1">
        <f t="array" ref="AW1679">SUM(MID(0&amp;AV1679,LARGE(INDEX(ISNUMBER(--MID(AV1679,ROW($1:$8),1))*ROW($1:$8),),ROW($1:$8))+1,1)*10^ROW($1:$8)/10)</f>
        <v>49405140</v>
      </c>
      <c r="AX1679" s="471" t="str">
        <f>VLOOKUP($AW1679,'Item Master Data'!$A:$F,3,FALSE)</f>
        <v>Q.PEAK DUO BLK ML G10+</v>
      </c>
      <c r="AY1679" s="471">
        <f>VLOOKUP($AW1679,'Item Master Data'!$A:$F,6,FALSE)</f>
        <v>400</v>
      </c>
      <c r="AZ1679" s="471">
        <f>X1679/BA1679</f>
        <v>13</v>
      </c>
      <c r="BA1679" s="471">
        <f>VLOOKUP(AW1679,'Item Master Data'!$A:$G,7,FALSE)</f>
        <v>32</v>
      </c>
      <c r="BC1679" s="471">
        <f>W1679-AY1679</f>
        <v>0</v>
      </c>
    </row>
    <row r="1680" spans="1:55" s="471" customFormat="1">
      <c r="A1680" s="472"/>
      <c r="B1680" s="514">
        <v>44616</v>
      </c>
      <c r="C1680" s="514">
        <v>44616</v>
      </c>
      <c r="D1680" s="485" t="s">
        <v>3186</v>
      </c>
      <c r="E1680" s="474" t="s">
        <v>3559</v>
      </c>
      <c r="F1680" s="474"/>
      <c r="G1680" s="516">
        <v>2022</v>
      </c>
      <c r="H1680" s="524">
        <v>4</v>
      </c>
      <c r="I1680" s="516">
        <v>127999</v>
      </c>
      <c r="J1680" s="527">
        <v>44662</v>
      </c>
      <c r="K1680" s="528" t="s">
        <v>3560</v>
      </c>
      <c r="L1680" s="516" t="s">
        <v>2378</v>
      </c>
      <c r="M1680" s="529">
        <v>44615</v>
      </c>
      <c r="N1680" s="529">
        <v>44615</v>
      </c>
      <c r="O1680" s="529"/>
      <c r="P1680" s="527">
        <v>44663</v>
      </c>
      <c r="Q1680" s="527">
        <v>44659</v>
      </c>
      <c r="R1680" s="527">
        <v>44662</v>
      </c>
      <c r="S1680" s="516" t="s">
        <v>2379</v>
      </c>
      <c r="T1680" s="516">
        <v>60</v>
      </c>
      <c r="U1680" s="516">
        <v>49405140</v>
      </c>
      <c r="V1680" s="516" t="s">
        <v>973</v>
      </c>
      <c r="W1680" s="516">
        <v>400</v>
      </c>
      <c r="X1680" s="530">
        <v>416</v>
      </c>
      <c r="Y1680" s="477">
        <f>X1680*W1680</f>
        <v>166400</v>
      </c>
      <c r="Z1680" s="478">
        <f>188/400</f>
        <v>0.47</v>
      </c>
      <c r="AA1680" s="479">
        <f>Z1680*Y1680</f>
        <v>78208</v>
      </c>
      <c r="AB1680" s="480"/>
      <c r="AC1680" s="481">
        <f>AB1680*Y1680</f>
        <v>0</v>
      </c>
      <c r="AD1680" s="490"/>
      <c r="AE1680" s="482">
        <v>6452.16</v>
      </c>
      <c r="AF1680" s="493">
        <f>AA1680+AE1680</f>
        <v>84660.160000000003</v>
      </c>
      <c r="AG1680" s="474" t="s">
        <v>47</v>
      </c>
      <c r="AH1680" s="474"/>
      <c r="AI1680" s="483" t="s">
        <v>2374</v>
      </c>
      <c r="AJ1680" s="474" t="s">
        <v>1384</v>
      </c>
      <c r="AK1680" s="494" t="s">
        <v>1144</v>
      </c>
      <c r="AL1680" s="474">
        <v>77041</v>
      </c>
      <c r="AM1680" s="474" t="s">
        <v>52</v>
      </c>
      <c r="AN1680" s="474" t="s">
        <v>1106</v>
      </c>
      <c r="AO1680" s="474"/>
      <c r="AP1680" s="486"/>
      <c r="AQ1680" s="486" t="s">
        <v>37</v>
      </c>
      <c r="AR1680" s="486"/>
      <c r="AS1680" s="495"/>
      <c r="AT1680" s="495"/>
      <c r="AU1680" s="478"/>
    </row>
    <row r="1681" spans="1:55" s="471" customFormat="1">
      <c r="A1681" s="472"/>
      <c r="B1681" s="514">
        <v>44616</v>
      </c>
      <c r="C1681" s="514">
        <v>44616</v>
      </c>
      <c r="D1681" s="485" t="s">
        <v>3186</v>
      </c>
      <c r="E1681" s="474"/>
      <c r="F1681" s="474"/>
      <c r="G1681" s="474">
        <v>2022</v>
      </c>
      <c r="H1681" s="474">
        <v>4</v>
      </c>
      <c r="I1681" s="485"/>
      <c r="J1681" s="475"/>
      <c r="K1681" s="518" t="s">
        <v>3412</v>
      </c>
      <c r="L1681" s="519" t="s">
        <v>2378</v>
      </c>
      <c r="M1681" s="520">
        <v>44615</v>
      </c>
      <c r="N1681" s="520">
        <v>44615</v>
      </c>
      <c r="O1681" s="520"/>
      <c r="P1681" s="521"/>
      <c r="Q1681" s="521"/>
      <c r="R1681" s="521"/>
      <c r="S1681" s="519" t="s">
        <v>2379</v>
      </c>
      <c r="T1681" s="519">
        <v>60</v>
      </c>
      <c r="U1681" s="519">
        <v>49405140</v>
      </c>
      <c r="V1681" s="519" t="s">
        <v>973</v>
      </c>
      <c r="W1681" s="519">
        <v>400</v>
      </c>
      <c r="X1681" s="522">
        <v>416</v>
      </c>
      <c r="Y1681" s="470">
        <f>X1681*W1681</f>
        <v>166400</v>
      </c>
      <c r="Z1681" s="478">
        <f>188/400</f>
        <v>0.47</v>
      </c>
      <c r="AA1681" s="479">
        <f>Z1681*Y1681</f>
        <v>78208</v>
      </c>
      <c r="AB1681" s="480"/>
      <c r="AC1681" s="481">
        <f>AB1681*Y1681</f>
        <v>0</v>
      </c>
      <c r="AD1681" s="490"/>
      <c r="AE1681" s="482"/>
      <c r="AF1681" s="493">
        <f>AA1681+AE1681</f>
        <v>78208</v>
      </c>
      <c r="AG1681" s="474" t="s">
        <v>47</v>
      </c>
      <c r="AH1681" s="474"/>
      <c r="AI1681" s="483" t="s">
        <v>2374</v>
      </c>
      <c r="AJ1681" s="474" t="s">
        <v>3235</v>
      </c>
      <c r="AK1681" s="494" t="s">
        <v>1144</v>
      </c>
      <c r="AL1681" s="474">
        <v>79935</v>
      </c>
      <c r="AM1681" s="474" t="s">
        <v>52</v>
      </c>
      <c r="AN1681" s="474" t="s">
        <v>1106</v>
      </c>
      <c r="AO1681" s="474"/>
      <c r="AP1681" s="486"/>
      <c r="AQ1681" s="486" t="s">
        <v>37</v>
      </c>
      <c r="AR1681" s="486"/>
      <c r="AS1681" s="495"/>
      <c r="AT1681" s="495"/>
      <c r="AU1681" s="478"/>
    </row>
    <row r="1682" spans="1:55" s="471" customFormat="1">
      <c r="A1682" s="472"/>
      <c r="B1682" s="514">
        <v>44616</v>
      </c>
      <c r="C1682" s="514">
        <v>44616</v>
      </c>
      <c r="D1682" s="485" t="s">
        <v>3186</v>
      </c>
      <c r="E1682" s="474"/>
      <c r="F1682" s="570"/>
      <c r="G1682" s="577">
        <v>2022</v>
      </c>
      <c r="H1682" s="571">
        <v>4</v>
      </c>
      <c r="I1682" s="573">
        <v>128236</v>
      </c>
      <c r="J1682" s="574">
        <v>44672</v>
      </c>
      <c r="K1682" s="575" t="s">
        <v>5576</v>
      </c>
      <c r="L1682" s="571" t="s">
        <v>2378</v>
      </c>
      <c r="M1682" s="576">
        <v>44615</v>
      </c>
      <c r="N1682" s="576">
        <v>44615</v>
      </c>
      <c r="O1682" s="576"/>
      <c r="P1682" s="574">
        <v>44666</v>
      </c>
      <c r="Q1682" s="574">
        <v>44671</v>
      </c>
      <c r="R1682" s="574">
        <v>44672</v>
      </c>
      <c r="S1682" s="571" t="s">
        <v>2379</v>
      </c>
      <c r="T1682" s="571">
        <v>60</v>
      </c>
      <c r="U1682" s="571">
        <v>49405140</v>
      </c>
      <c r="V1682" s="571" t="s">
        <v>973</v>
      </c>
      <c r="W1682" s="571">
        <v>400</v>
      </c>
      <c r="X1682" s="569">
        <v>416</v>
      </c>
      <c r="Y1682" s="477">
        <f>X1682*W1682</f>
        <v>166400</v>
      </c>
      <c r="Z1682" s="478">
        <f>188/400</f>
        <v>0.47</v>
      </c>
      <c r="AA1682" s="479">
        <f>Z1682*Y1682</f>
        <v>78208</v>
      </c>
      <c r="AB1682" s="480"/>
      <c r="AC1682" s="481">
        <f>AB1682*Y1682</f>
        <v>0</v>
      </c>
      <c r="AD1682" s="490"/>
      <c r="AE1682" s="482">
        <v>6256.64</v>
      </c>
      <c r="AF1682" s="493">
        <f>AA1682+AE1682</f>
        <v>84464.639999999999</v>
      </c>
      <c r="AG1682" s="474" t="s">
        <v>47</v>
      </c>
      <c r="AH1682" s="474"/>
      <c r="AI1682" s="483" t="s">
        <v>2374</v>
      </c>
      <c r="AJ1682" s="474" t="s">
        <v>3541</v>
      </c>
      <c r="AK1682" s="494" t="s">
        <v>1074</v>
      </c>
      <c r="AL1682" s="474">
        <v>30909</v>
      </c>
      <c r="AM1682" s="474" t="s">
        <v>52</v>
      </c>
      <c r="AN1682" s="474" t="s">
        <v>1106</v>
      </c>
      <c r="AO1682" s="474"/>
      <c r="AP1682" s="486"/>
      <c r="AQ1682" s="486" t="s">
        <v>37</v>
      </c>
      <c r="AR1682" s="486"/>
      <c r="AS1682" s="495"/>
      <c r="AT1682" s="495"/>
      <c r="AU1682" s="478"/>
      <c r="AV1682" s="471">
        <f>U1682</f>
        <v>49405140</v>
      </c>
      <c r="AW1682" s="471" cm="1">
        <f t="array" ref="AW1682">SUM(MID(0&amp;AV1682,LARGE(INDEX(ISNUMBER(--MID(AV1682,ROW($1:$8),1))*ROW($1:$8),),ROW($1:$8))+1,1)*10^ROW($1:$8)/10)</f>
        <v>49405140</v>
      </c>
      <c r="AX1682" s="471" t="str">
        <f>VLOOKUP($AW1682,'Item Master Data'!$A:$F,3,FALSE)</f>
        <v>Q.PEAK DUO BLK ML G10+</v>
      </c>
      <c r="AY1682" s="471">
        <f>VLOOKUP($AW1682,'Item Master Data'!$A:$F,6,FALSE)</f>
        <v>400</v>
      </c>
      <c r="AZ1682" s="471">
        <f>X1682/BA1682</f>
        <v>13</v>
      </c>
      <c r="BA1682" s="471">
        <f>VLOOKUP(AW1682,'Item Master Data'!$A:$G,7,FALSE)</f>
        <v>32</v>
      </c>
      <c r="BC1682" s="471">
        <f>W1682-AY1682</f>
        <v>0</v>
      </c>
    </row>
    <row r="1683" spans="1:55" s="471" customFormat="1">
      <c r="A1683" s="472"/>
      <c r="B1683" s="514">
        <v>44616</v>
      </c>
      <c r="C1683" s="514">
        <v>44616</v>
      </c>
      <c r="D1683" s="485" t="s">
        <v>3186</v>
      </c>
      <c r="E1683" s="474" t="s">
        <v>3391</v>
      </c>
      <c r="F1683" s="474"/>
      <c r="G1683" s="474">
        <v>2022</v>
      </c>
      <c r="H1683" s="474"/>
      <c r="I1683" s="485"/>
      <c r="J1683" s="475"/>
      <c r="K1683" s="483" t="s">
        <v>3392</v>
      </c>
      <c r="L1683" s="474" t="s">
        <v>2378</v>
      </c>
      <c r="M1683" s="487">
        <v>44615</v>
      </c>
      <c r="N1683" s="487">
        <v>44615</v>
      </c>
      <c r="O1683" s="487"/>
      <c r="P1683" s="475"/>
      <c r="Q1683" s="475"/>
      <c r="R1683" s="475"/>
      <c r="S1683" s="474" t="s">
        <v>2379</v>
      </c>
      <c r="T1683" s="474">
        <v>60</v>
      </c>
      <c r="U1683" s="474">
        <v>49405140</v>
      </c>
      <c r="V1683" s="474" t="s">
        <v>973</v>
      </c>
      <c r="W1683" s="474">
        <v>400</v>
      </c>
      <c r="X1683" s="476">
        <f>62500-4992-3328-1664-1664-2560-1280-2560-1664-1280-1280-3328-2560-1664-1664-1664-1664-9984-1664-2816-4992-3328-1664-1664-1664-1664-1664-1664-1280-1664+2496+1248+384+320+224</f>
        <v>-3356</v>
      </c>
      <c r="Y1683" s="477">
        <f>X1683*W1683</f>
        <v>-1342400</v>
      </c>
      <c r="Z1683" s="478">
        <f>188/400</f>
        <v>0.47</v>
      </c>
      <c r="AA1683" s="479">
        <f>Z1683*Y1683</f>
        <v>-630928</v>
      </c>
      <c r="AB1683" s="480"/>
      <c r="AC1683" s="481">
        <f>AB1683*Y1683</f>
        <v>0</v>
      </c>
      <c r="AD1683" s="490"/>
      <c r="AE1683" s="482"/>
      <c r="AF1683" s="493">
        <f>AA1683+AE1683</f>
        <v>-630928</v>
      </c>
      <c r="AG1683" s="474" t="s">
        <v>47</v>
      </c>
      <c r="AH1683" s="474"/>
      <c r="AI1683" s="483" t="s">
        <v>2374</v>
      </c>
      <c r="AJ1683" s="474" t="s">
        <v>1132</v>
      </c>
      <c r="AK1683" s="494" t="s">
        <v>1133</v>
      </c>
      <c r="AL1683" s="474">
        <v>85210</v>
      </c>
      <c r="AM1683" s="474" t="s">
        <v>52</v>
      </c>
      <c r="AN1683" s="474" t="s">
        <v>1074</v>
      </c>
      <c r="AO1683" s="474"/>
      <c r="AP1683" s="486"/>
      <c r="AQ1683" s="486" t="s">
        <v>37</v>
      </c>
      <c r="AR1683" s="486"/>
      <c r="AS1683" s="495"/>
      <c r="AT1683" s="495"/>
      <c r="AU1683" s="478"/>
    </row>
    <row r="1684" spans="1:55" s="471" customFormat="1">
      <c r="A1684" s="472"/>
      <c r="B1684" s="514">
        <v>44616</v>
      </c>
      <c r="C1684" s="514">
        <v>44616</v>
      </c>
      <c r="D1684" s="485" t="s">
        <v>3186</v>
      </c>
      <c r="E1684" s="474" t="s">
        <v>3522</v>
      </c>
      <c r="F1684" s="474"/>
      <c r="G1684" s="474">
        <v>2022</v>
      </c>
      <c r="H1684" s="474">
        <v>4</v>
      </c>
      <c r="I1684" s="485">
        <v>127976</v>
      </c>
      <c r="J1684" s="475">
        <v>44655</v>
      </c>
      <c r="K1684" s="483" t="s">
        <v>2431</v>
      </c>
      <c r="L1684" s="474" t="s">
        <v>2378</v>
      </c>
      <c r="M1684" s="487">
        <v>44519</v>
      </c>
      <c r="N1684" s="487">
        <v>44563</v>
      </c>
      <c r="O1684" s="487"/>
      <c r="P1684" s="475">
        <v>44617</v>
      </c>
      <c r="Q1684" s="475">
        <v>44651</v>
      </c>
      <c r="R1684" s="475">
        <v>44655</v>
      </c>
      <c r="S1684" s="474" t="s">
        <v>2379</v>
      </c>
      <c r="T1684" s="474">
        <v>60</v>
      </c>
      <c r="U1684" s="474">
        <v>49405140</v>
      </c>
      <c r="V1684" s="474" t="s">
        <v>973</v>
      </c>
      <c r="W1684" s="474">
        <v>400</v>
      </c>
      <c r="X1684" s="476">
        <v>416</v>
      </c>
      <c r="Y1684" s="477">
        <v>166400</v>
      </c>
      <c r="Z1684" s="478">
        <v>0.46500000000000002</v>
      </c>
      <c r="AA1684" s="479">
        <v>77376</v>
      </c>
      <c r="AB1684" s="480"/>
      <c r="AC1684" s="481">
        <v>0</v>
      </c>
      <c r="AD1684" s="490"/>
      <c r="AE1684" s="482"/>
      <c r="AF1684" s="493">
        <v>77376</v>
      </c>
      <c r="AG1684" s="474" t="s">
        <v>47</v>
      </c>
      <c r="AH1684" s="474"/>
      <c r="AI1684" s="483" t="s">
        <v>2374</v>
      </c>
      <c r="AJ1684" s="474" t="s">
        <v>2397</v>
      </c>
      <c r="AK1684" s="494" t="s">
        <v>1133</v>
      </c>
      <c r="AL1684" s="474">
        <v>85365</v>
      </c>
      <c r="AM1684" s="474" t="s">
        <v>52</v>
      </c>
      <c r="AN1684" s="474" t="s">
        <v>1074</v>
      </c>
      <c r="AO1684" s="474"/>
      <c r="AP1684" s="486"/>
      <c r="AQ1684" s="486" t="s">
        <v>37</v>
      </c>
      <c r="AR1684" s="486"/>
      <c r="AS1684" s="495"/>
      <c r="AT1684" s="495"/>
      <c r="AU1684" s="478"/>
      <c r="AV1684" s="471">
        <f>U1684</f>
        <v>49405140</v>
      </c>
      <c r="AW1684" s="471" cm="1">
        <f t="array" ref="AW1684">SUM(MID(0&amp;AV1684,LARGE(INDEX(ISNUMBER(--MID(AV1684,ROW($1:$8),1))*ROW($1:$8),),ROW($1:$8))+1,1)*10^ROW($1:$8)/10)</f>
        <v>49405140</v>
      </c>
      <c r="AX1684" s="471" t="str">
        <f>VLOOKUP($AW1684,'Item Master Data'!$A:$F,3,FALSE)</f>
        <v>Q.PEAK DUO BLK ML G10+</v>
      </c>
      <c r="AY1684" s="471">
        <f>VLOOKUP($AW1684,'Item Master Data'!$A:$F,6,FALSE)</f>
        <v>400</v>
      </c>
      <c r="AZ1684" s="471">
        <f>X1684/BA1684</f>
        <v>13</v>
      </c>
      <c r="BA1684" s="471">
        <f>VLOOKUP(AW1684,'Item Master Data'!$A:$G,7,FALSE)</f>
        <v>32</v>
      </c>
      <c r="BC1684" s="471">
        <f>W1684-AY1684</f>
        <v>0</v>
      </c>
    </row>
    <row r="1685" spans="1:55" s="471" customFormat="1">
      <c r="A1685" s="599"/>
      <c r="B1685" s="514">
        <v>44616</v>
      </c>
      <c r="C1685" s="514">
        <v>44616</v>
      </c>
      <c r="D1685" s="485" t="s">
        <v>3186</v>
      </c>
      <c r="E1685" s="474" t="s">
        <v>3522</v>
      </c>
      <c r="F1685" s="474"/>
      <c r="G1685" s="474">
        <v>2022</v>
      </c>
      <c r="H1685" s="474">
        <v>4</v>
      </c>
      <c r="I1685" s="485">
        <v>127975</v>
      </c>
      <c r="J1685" s="475">
        <v>44655</v>
      </c>
      <c r="K1685" s="483" t="s">
        <v>2430</v>
      </c>
      <c r="L1685" s="474" t="s">
        <v>2378</v>
      </c>
      <c r="M1685" s="487">
        <v>44519</v>
      </c>
      <c r="N1685" s="487">
        <v>44563</v>
      </c>
      <c r="O1685" s="487"/>
      <c r="P1685" s="475">
        <v>44617</v>
      </c>
      <c r="Q1685" s="475">
        <v>44651</v>
      </c>
      <c r="R1685" s="475">
        <v>44655</v>
      </c>
      <c r="S1685" s="474" t="s">
        <v>2379</v>
      </c>
      <c r="T1685" s="474">
        <v>60</v>
      </c>
      <c r="U1685" s="474">
        <v>49405140</v>
      </c>
      <c r="V1685" s="474" t="s">
        <v>973</v>
      </c>
      <c r="W1685" s="474">
        <v>400</v>
      </c>
      <c r="X1685" s="476">
        <v>768</v>
      </c>
      <c r="Y1685" s="491">
        <v>307200</v>
      </c>
      <c r="Z1685" s="478">
        <v>0.46500000000000002</v>
      </c>
      <c r="AA1685" s="479">
        <v>142848</v>
      </c>
      <c r="AB1685" s="480"/>
      <c r="AC1685" s="481">
        <v>0</v>
      </c>
      <c r="AD1685" s="490"/>
      <c r="AE1685" s="482"/>
      <c r="AF1685" s="493">
        <v>142848</v>
      </c>
      <c r="AG1685" s="474" t="s">
        <v>47</v>
      </c>
      <c r="AH1685" s="474"/>
      <c r="AI1685" s="483" t="s">
        <v>2374</v>
      </c>
      <c r="AJ1685" s="474" t="s">
        <v>2366</v>
      </c>
      <c r="AK1685" s="494" t="s">
        <v>1395</v>
      </c>
      <c r="AL1685" s="474">
        <v>89118</v>
      </c>
      <c r="AM1685" s="474" t="s">
        <v>52</v>
      </c>
      <c r="AN1685" s="474" t="s">
        <v>1074</v>
      </c>
      <c r="AO1685" s="474"/>
      <c r="AP1685" s="486"/>
      <c r="AQ1685" s="486" t="s">
        <v>37</v>
      </c>
      <c r="AR1685" s="486"/>
      <c r="AS1685" s="495"/>
      <c r="AT1685" s="495"/>
      <c r="AU1685" s="478"/>
    </row>
    <row r="1686" spans="1:55" s="471" customFormat="1">
      <c r="A1686" s="599"/>
      <c r="B1686" s="514">
        <v>44616</v>
      </c>
      <c r="C1686" s="514">
        <v>44616</v>
      </c>
      <c r="D1686" s="485" t="s">
        <v>3186</v>
      </c>
      <c r="E1686" s="474" t="s">
        <v>3522</v>
      </c>
      <c r="F1686" s="474"/>
      <c r="G1686" s="474">
        <v>2022</v>
      </c>
      <c r="H1686" s="474">
        <v>4</v>
      </c>
      <c r="I1686" s="485">
        <v>127974</v>
      </c>
      <c r="J1686" s="475">
        <v>44655</v>
      </c>
      <c r="K1686" s="483" t="s">
        <v>3535</v>
      </c>
      <c r="L1686" s="474" t="s">
        <v>2378</v>
      </c>
      <c r="M1686" s="487">
        <v>44519</v>
      </c>
      <c r="N1686" s="487">
        <v>44563</v>
      </c>
      <c r="O1686" s="487"/>
      <c r="P1686" s="475">
        <v>44617</v>
      </c>
      <c r="Q1686" s="475">
        <v>44651</v>
      </c>
      <c r="R1686" s="475">
        <v>44655</v>
      </c>
      <c r="S1686" s="474" t="s">
        <v>2379</v>
      </c>
      <c r="T1686" s="474">
        <v>60</v>
      </c>
      <c r="U1686" s="474">
        <v>49405140</v>
      </c>
      <c r="V1686" s="474" t="s">
        <v>973</v>
      </c>
      <c r="W1686" s="474">
        <v>400</v>
      </c>
      <c r="X1686" s="476">
        <v>416</v>
      </c>
      <c r="Y1686" s="491">
        <v>166400</v>
      </c>
      <c r="Z1686" s="478">
        <v>0.46500000000000002</v>
      </c>
      <c r="AA1686" s="479">
        <v>77376</v>
      </c>
      <c r="AB1686" s="480"/>
      <c r="AC1686" s="481">
        <v>0</v>
      </c>
      <c r="AD1686" s="490"/>
      <c r="AE1686" s="482">
        <v>5996.64</v>
      </c>
      <c r="AF1686" s="493">
        <f>SUM(AA1686,AD1686,AE1686)</f>
        <v>83372.639999999999</v>
      </c>
      <c r="AG1686" s="474" t="s">
        <v>47</v>
      </c>
      <c r="AH1686" s="474"/>
      <c r="AI1686" s="483" t="s">
        <v>2374</v>
      </c>
      <c r="AJ1686" s="474" t="s">
        <v>3262</v>
      </c>
      <c r="AK1686" s="494" t="s">
        <v>3263</v>
      </c>
      <c r="AL1686" s="474">
        <v>84104</v>
      </c>
      <c r="AM1686" s="474" t="s">
        <v>52</v>
      </c>
      <c r="AN1686" s="474" t="s">
        <v>1074</v>
      </c>
      <c r="AO1686" s="474"/>
      <c r="AP1686" s="486"/>
      <c r="AQ1686" s="486" t="s">
        <v>37</v>
      </c>
      <c r="AR1686" s="486"/>
      <c r="AS1686" s="495"/>
      <c r="AT1686" s="495"/>
      <c r="AU1686" s="478"/>
    </row>
    <row r="1687" spans="1:55" s="471" customFormat="1">
      <c r="A1687" s="599"/>
      <c r="B1687" s="514">
        <v>44616</v>
      </c>
      <c r="C1687" s="514">
        <v>44616</v>
      </c>
      <c r="D1687" s="485" t="s">
        <v>3186</v>
      </c>
      <c r="E1687" s="474" t="s">
        <v>3522</v>
      </c>
      <c r="F1687" s="474"/>
      <c r="G1687" s="474">
        <v>2022</v>
      </c>
      <c r="H1687" s="474">
        <v>4</v>
      </c>
      <c r="I1687" s="485">
        <v>127973</v>
      </c>
      <c r="J1687" s="475">
        <v>44655</v>
      </c>
      <c r="K1687" s="483" t="s">
        <v>2429</v>
      </c>
      <c r="L1687" s="474" t="s">
        <v>2378</v>
      </c>
      <c r="M1687" s="487">
        <v>44519</v>
      </c>
      <c r="N1687" s="487">
        <v>44563</v>
      </c>
      <c r="O1687" s="487"/>
      <c r="P1687" s="475">
        <v>44617</v>
      </c>
      <c r="Q1687" s="475">
        <v>44651</v>
      </c>
      <c r="R1687" s="475">
        <v>44655</v>
      </c>
      <c r="S1687" s="474" t="s">
        <v>2379</v>
      </c>
      <c r="T1687" s="474">
        <v>60</v>
      </c>
      <c r="U1687" s="474">
        <v>49405140</v>
      </c>
      <c r="V1687" s="474" t="s">
        <v>973</v>
      </c>
      <c r="W1687" s="474">
        <v>400</v>
      </c>
      <c r="X1687" s="476">
        <v>672</v>
      </c>
      <c r="Y1687" s="491">
        <v>268800</v>
      </c>
      <c r="Z1687" s="478">
        <v>0.46500000000000002</v>
      </c>
      <c r="AA1687" s="479">
        <v>124992</v>
      </c>
      <c r="AB1687" s="480"/>
      <c r="AC1687" s="481">
        <v>0</v>
      </c>
      <c r="AD1687" s="490"/>
      <c r="AE1687" s="482"/>
      <c r="AF1687" s="493">
        <v>124992</v>
      </c>
      <c r="AG1687" s="474" t="s">
        <v>47</v>
      </c>
      <c r="AH1687" s="474"/>
      <c r="AI1687" s="483" t="s">
        <v>2374</v>
      </c>
      <c r="AJ1687" s="474" t="s">
        <v>2394</v>
      </c>
      <c r="AK1687" s="494" t="s">
        <v>1133</v>
      </c>
      <c r="AL1687" s="474">
        <v>85714</v>
      </c>
      <c r="AM1687" s="474" t="s">
        <v>52</v>
      </c>
      <c r="AN1687" s="474" t="s">
        <v>1074</v>
      </c>
      <c r="AO1687" s="474"/>
      <c r="AP1687" s="486"/>
      <c r="AQ1687" s="486" t="s">
        <v>37</v>
      </c>
      <c r="AR1687" s="486"/>
      <c r="AS1687" s="495"/>
      <c r="AT1687" s="495"/>
      <c r="AU1687" s="478"/>
    </row>
    <row r="1688" spans="1:55" s="471" customFormat="1">
      <c r="A1688" s="599"/>
      <c r="B1688" s="514">
        <v>44616</v>
      </c>
      <c r="C1688" s="514">
        <v>44616</v>
      </c>
      <c r="D1688" s="485" t="s">
        <v>3186</v>
      </c>
      <c r="E1688" s="474" t="s">
        <v>3522</v>
      </c>
      <c r="F1688" s="474"/>
      <c r="G1688" s="474">
        <v>2022</v>
      </c>
      <c r="H1688" s="474">
        <v>4</v>
      </c>
      <c r="I1688" s="485">
        <v>127972</v>
      </c>
      <c r="J1688" s="475">
        <v>44656</v>
      </c>
      <c r="K1688" s="483" t="s">
        <v>2427</v>
      </c>
      <c r="L1688" s="474" t="s">
        <v>2378</v>
      </c>
      <c r="M1688" s="487">
        <v>44519</v>
      </c>
      <c r="N1688" s="487">
        <v>44563</v>
      </c>
      <c r="O1688" s="487"/>
      <c r="P1688" s="475">
        <v>44617</v>
      </c>
      <c r="Q1688" s="475">
        <v>44651</v>
      </c>
      <c r="R1688" s="475">
        <v>44656</v>
      </c>
      <c r="S1688" s="474" t="s">
        <v>2379</v>
      </c>
      <c r="T1688" s="474">
        <v>60</v>
      </c>
      <c r="U1688" s="474">
        <v>49405140</v>
      </c>
      <c r="V1688" s="474" t="s">
        <v>973</v>
      </c>
      <c r="W1688" s="474">
        <v>400</v>
      </c>
      <c r="X1688" s="476">
        <v>416</v>
      </c>
      <c r="Y1688" s="491">
        <v>166400</v>
      </c>
      <c r="Z1688" s="478">
        <v>0.46500000000000002</v>
      </c>
      <c r="AA1688" s="479">
        <v>77376</v>
      </c>
      <c r="AB1688" s="480"/>
      <c r="AC1688" s="481">
        <v>0</v>
      </c>
      <c r="AD1688" s="490"/>
      <c r="AE1688" s="482">
        <v>6963.84</v>
      </c>
      <c r="AF1688" s="493">
        <f>SUM(AA1688,AD1688,AE1688)</f>
        <v>84339.839999999997</v>
      </c>
      <c r="AG1688" s="474" t="s">
        <v>47</v>
      </c>
      <c r="AH1688" s="474"/>
      <c r="AI1688" s="483" t="s">
        <v>2374</v>
      </c>
      <c r="AJ1688" s="474" t="s">
        <v>2077</v>
      </c>
      <c r="AK1688" s="494" t="s">
        <v>50</v>
      </c>
      <c r="AL1688" s="474">
        <v>95206</v>
      </c>
      <c r="AM1688" s="474" t="s">
        <v>52</v>
      </c>
      <c r="AN1688" s="474" t="s">
        <v>1074</v>
      </c>
      <c r="AO1688" s="474"/>
      <c r="AP1688" s="486"/>
      <c r="AQ1688" s="486" t="s">
        <v>37</v>
      </c>
      <c r="AR1688" s="486"/>
      <c r="AS1688" s="495"/>
      <c r="AT1688" s="495"/>
      <c r="AU1688" s="478"/>
    </row>
    <row r="1689" spans="1:55" s="471" customFormat="1">
      <c r="A1689" s="599"/>
      <c r="B1689" s="514">
        <v>44616</v>
      </c>
      <c r="C1689" s="514">
        <v>44616</v>
      </c>
      <c r="D1689" s="485" t="s">
        <v>3186</v>
      </c>
      <c r="E1689" s="474" t="s">
        <v>3522</v>
      </c>
      <c r="F1689" s="474"/>
      <c r="G1689" s="474">
        <v>2022</v>
      </c>
      <c r="H1689" s="474">
        <v>4</v>
      </c>
      <c r="I1689" s="485" t="s">
        <v>1544</v>
      </c>
      <c r="J1689" s="475">
        <v>44652</v>
      </c>
      <c r="K1689" s="483" t="s">
        <v>2425</v>
      </c>
      <c r="L1689" s="474" t="s">
        <v>2378</v>
      </c>
      <c r="M1689" s="487">
        <v>44519</v>
      </c>
      <c r="N1689" s="487">
        <v>44563</v>
      </c>
      <c r="O1689" s="487"/>
      <c r="P1689" s="475">
        <v>44617</v>
      </c>
      <c r="Q1689" s="475">
        <v>44650</v>
      </c>
      <c r="R1689" s="475">
        <v>44652</v>
      </c>
      <c r="S1689" s="474" t="s">
        <v>2379</v>
      </c>
      <c r="T1689" s="474">
        <v>60</v>
      </c>
      <c r="U1689" s="474">
        <v>49405140</v>
      </c>
      <c r="V1689" s="474" t="s">
        <v>973</v>
      </c>
      <c r="W1689" s="474">
        <v>400</v>
      </c>
      <c r="X1689" s="476">
        <v>832</v>
      </c>
      <c r="Y1689" s="491">
        <v>332800</v>
      </c>
      <c r="Z1689" s="478">
        <v>0.46500000000000002</v>
      </c>
      <c r="AA1689" s="479">
        <v>154752</v>
      </c>
      <c r="AB1689" s="480"/>
      <c r="AC1689" s="481">
        <v>0</v>
      </c>
      <c r="AD1689" s="490"/>
      <c r="AE1689" s="482"/>
      <c r="AF1689" s="493">
        <v>154752</v>
      </c>
      <c r="AG1689" s="474" t="s">
        <v>47</v>
      </c>
      <c r="AH1689" s="474"/>
      <c r="AI1689" s="483" t="s">
        <v>2374</v>
      </c>
      <c r="AJ1689" s="474" t="s">
        <v>2426</v>
      </c>
      <c r="AK1689" s="494" t="s">
        <v>1144</v>
      </c>
      <c r="AL1689" s="474">
        <v>78219</v>
      </c>
      <c r="AM1689" s="474" t="s">
        <v>52</v>
      </c>
      <c r="AN1689" s="474" t="s">
        <v>1074</v>
      </c>
      <c r="AO1689" s="474"/>
      <c r="AP1689" s="486"/>
      <c r="AQ1689" s="486" t="s">
        <v>37</v>
      </c>
      <c r="AR1689" s="486"/>
      <c r="AS1689" s="495"/>
      <c r="AT1689" s="495"/>
      <c r="AU1689" s="478"/>
    </row>
    <row r="1690" spans="1:55" s="471" customFormat="1">
      <c r="A1690" s="599">
        <v>10</v>
      </c>
      <c r="B1690" s="514">
        <v>44616</v>
      </c>
      <c r="C1690" s="514">
        <v>44616</v>
      </c>
      <c r="D1690" s="485" t="s">
        <v>3186</v>
      </c>
      <c r="E1690" s="474" t="s">
        <v>3522</v>
      </c>
      <c r="F1690" s="474"/>
      <c r="G1690" s="474">
        <v>2022</v>
      </c>
      <c r="H1690" s="474">
        <v>4</v>
      </c>
      <c r="I1690" s="485">
        <v>127971</v>
      </c>
      <c r="J1690" s="475">
        <v>44656</v>
      </c>
      <c r="K1690" s="483" t="s">
        <v>2416</v>
      </c>
      <c r="L1690" s="474" t="s">
        <v>2378</v>
      </c>
      <c r="M1690" s="487">
        <v>44519</v>
      </c>
      <c r="N1690" s="487">
        <v>44563</v>
      </c>
      <c r="O1690" s="487"/>
      <c r="P1690" s="475">
        <v>44617</v>
      </c>
      <c r="Q1690" s="475">
        <v>44651</v>
      </c>
      <c r="R1690" s="475">
        <v>44656</v>
      </c>
      <c r="S1690" s="474" t="s">
        <v>2379</v>
      </c>
      <c r="T1690" s="474">
        <v>60</v>
      </c>
      <c r="U1690" s="474">
        <v>49405140</v>
      </c>
      <c r="V1690" s="474" t="s">
        <v>973</v>
      </c>
      <c r="W1690" s="474">
        <v>400</v>
      </c>
      <c r="X1690" s="476">
        <v>512</v>
      </c>
      <c r="Y1690" s="491">
        <v>204800</v>
      </c>
      <c r="Z1690" s="478">
        <v>0.46500000000000002</v>
      </c>
      <c r="AA1690" s="479">
        <v>95232</v>
      </c>
      <c r="AB1690" s="480"/>
      <c r="AC1690" s="481">
        <v>0</v>
      </c>
      <c r="AD1690" s="490"/>
      <c r="AE1690" s="482">
        <v>7380.48</v>
      </c>
      <c r="AF1690" s="493">
        <f>SUM(AA1690+AD1690+AE1690)</f>
        <v>102612.48</v>
      </c>
      <c r="AG1690" s="474" t="s">
        <v>47</v>
      </c>
      <c r="AH1690" s="474"/>
      <c r="AI1690" s="483" t="s">
        <v>2374</v>
      </c>
      <c r="AJ1690" s="474" t="s">
        <v>1950</v>
      </c>
      <c r="AK1690" s="494" t="s">
        <v>50</v>
      </c>
      <c r="AL1690" s="474">
        <v>91764</v>
      </c>
      <c r="AM1690" s="474" t="s">
        <v>52</v>
      </c>
      <c r="AN1690" s="474" t="s">
        <v>1074</v>
      </c>
      <c r="AO1690" s="474"/>
      <c r="AP1690" s="486"/>
      <c r="AQ1690" s="486" t="s">
        <v>37</v>
      </c>
      <c r="AR1690" s="486"/>
      <c r="AS1690" s="495"/>
      <c r="AT1690" s="495"/>
      <c r="AU1690" s="478"/>
    </row>
    <row r="1691" spans="1:55" s="471" customFormat="1">
      <c r="A1691" s="599">
        <v>10</v>
      </c>
      <c r="B1691" s="514">
        <v>44616</v>
      </c>
      <c r="C1691" s="514">
        <v>44616</v>
      </c>
      <c r="D1691" s="485" t="s">
        <v>3186</v>
      </c>
      <c r="E1691" s="474" t="s">
        <v>3522</v>
      </c>
      <c r="F1691" s="474"/>
      <c r="G1691" s="474">
        <v>2022</v>
      </c>
      <c r="H1691" s="474">
        <v>4</v>
      </c>
      <c r="I1691" s="485">
        <v>127969</v>
      </c>
      <c r="J1691" s="475">
        <v>44655</v>
      </c>
      <c r="K1691" s="483" t="s">
        <v>2413</v>
      </c>
      <c r="L1691" s="474" t="s">
        <v>2378</v>
      </c>
      <c r="M1691" s="487">
        <v>44519</v>
      </c>
      <c r="N1691" s="487">
        <v>44563</v>
      </c>
      <c r="O1691" s="487"/>
      <c r="P1691" s="475">
        <v>44617</v>
      </c>
      <c r="Q1691" s="475">
        <v>44652</v>
      </c>
      <c r="R1691" s="475">
        <v>44656</v>
      </c>
      <c r="S1691" s="474" t="s">
        <v>2379</v>
      </c>
      <c r="T1691" s="474">
        <v>60</v>
      </c>
      <c r="U1691" s="474">
        <v>49405140</v>
      </c>
      <c r="V1691" s="474" t="s">
        <v>973</v>
      </c>
      <c r="W1691" s="474">
        <v>400</v>
      </c>
      <c r="X1691" s="476">
        <v>2208</v>
      </c>
      <c r="Y1691" s="491">
        <v>883200</v>
      </c>
      <c r="Z1691" s="478">
        <v>0.46500000000000002</v>
      </c>
      <c r="AA1691" s="479">
        <v>410688</v>
      </c>
      <c r="AB1691" s="480"/>
      <c r="AC1691" s="481">
        <v>0</v>
      </c>
      <c r="AD1691" s="490"/>
      <c r="AE1691" s="482"/>
      <c r="AF1691" s="493">
        <v>410688</v>
      </c>
      <c r="AG1691" s="474" t="s">
        <v>47</v>
      </c>
      <c r="AH1691" s="474"/>
      <c r="AI1691" s="483" t="s">
        <v>2374</v>
      </c>
      <c r="AJ1691" s="474" t="s">
        <v>1132</v>
      </c>
      <c r="AK1691" s="494" t="s">
        <v>1133</v>
      </c>
      <c r="AL1691" s="474">
        <v>85210</v>
      </c>
      <c r="AM1691" s="474" t="s">
        <v>52</v>
      </c>
      <c r="AN1691" s="474" t="s">
        <v>1074</v>
      </c>
      <c r="AO1691" s="474"/>
      <c r="AP1691" s="486"/>
      <c r="AQ1691" s="486" t="s">
        <v>37</v>
      </c>
      <c r="AR1691" s="486"/>
      <c r="AS1691" s="495"/>
      <c r="AT1691" s="495"/>
      <c r="AU1691" s="478"/>
      <c r="AV1691" s="471">
        <f t="shared" ref="AV1691:AV1722" si="283">U1691</f>
        <v>49405140</v>
      </c>
      <c r="AW1691" s="471" cm="1">
        <f t="array" ref="AW1691">SUM(MID(0&amp;AV1691,LARGE(INDEX(ISNUMBER(--MID(AV1691,ROW($1:$8),1))*ROW($1:$8),),ROW($1:$8))+1,1)*10^ROW($1:$8)/10)</f>
        <v>49405140</v>
      </c>
      <c r="AX1691" s="471" t="str">
        <f>VLOOKUP($AW1691,'Item Master Data'!$A:$F,3,FALSE)</f>
        <v>Q.PEAK DUO BLK ML G10+</v>
      </c>
      <c r="AY1691" s="471">
        <f>VLOOKUP($AW1691,'Item Master Data'!$A:$F,6,FALSE)</f>
        <v>400</v>
      </c>
      <c r="AZ1691" s="471">
        <f t="shared" ref="AZ1691:AZ1722" si="284">X1691/BA1691</f>
        <v>69</v>
      </c>
      <c r="BA1691" s="471">
        <f>VLOOKUP(AW1691,'Item Master Data'!$A:$G,7,FALSE)</f>
        <v>32</v>
      </c>
      <c r="BC1691" s="471">
        <f t="shared" ref="BC1691:BC1722" si="285">W1691-AY1691</f>
        <v>0</v>
      </c>
    </row>
    <row r="1692" spans="1:55" s="471" customFormat="1">
      <c r="A1692" s="599"/>
      <c r="B1692" s="514">
        <v>44616</v>
      </c>
      <c r="C1692" s="514">
        <v>44616</v>
      </c>
      <c r="D1692" s="485" t="s">
        <v>3186</v>
      </c>
      <c r="E1692" s="474" t="s">
        <v>3522</v>
      </c>
      <c r="F1692" s="474"/>
      <c r="G1692" s="474">
        <v>2022</v>
      </c>
      <c r="H1692" s="474">
        <v>4</v>
      </c>
      <c r="I1692" s="485">
        <v>127967</v>
      </c>
      <c r="J1692" s="475">
        <v>44656</v>
      </c>
      <c r="K1692" s="483" t="s">
        <v>2408</v>
      </c>
      <c r="L1692" s="474" t="s">
        <v>2378</v>
      </c>
      <c r="M1692" s="487">
        <v>44519</v>
      </c>
      <c r="N1692" s="487">
        <v>44563</v>
      </c>
      <c r="O1692" s="487"/>
      <c r="P1692" s="475">
        <v>44617</v>
      </c>
      <c r="Q1692" s="475">
        <v>44650</v>
      </c>
      <c r="R1692" s="475">
        <v>44656</v>
      </c>
      <c r="S1692" s="474" t="s">
        <v>2379</v>
      </c>
      <c r="T1692" s="474">
        <v>60</v>
      </c>
      <c r="U1692" s="474">
        <v>49405140</v>
      </c>
      <c r="V1692" s="474" t="s">
        <v>973</v>
      </c>
      <c r="W1692" s="474">
        <v>400</v>
      </c>
      <c r="X1692" s="476">
        <v>320</v>
      </c>
      <c r="Y1692" s="491">
        <v>128000</v>
      </c>
      <c r="Z1692" s="478">
        <v>0.46500000000000002</v>
      </c>
      <c r="AA1692" s="479">
        <v>59520</v>
      </c>
      <c r="AB1692" s="480"/>
      <c r="AC1692" s="481">
        <v>0</v>
      </c>
      <c r="AD1692" s="490"/>
      <c r="AE1692" s="482"/>
      <c r="AF1692" s="493">
        <v>59520</v>
      </c>
      <c r="AG1692" s="474" t="s">
        <v>47</v>
      </c>
      <c r="AH1692" s="474"/>
      <c r="AI1692" s="483" t="s">
        <v>2374</v>
      </c>
      <c r="AJ1692" s="474" t="s">
        <v>1083</v>
      </c>
      <c r="AK1692" s="494" t="s">
        <v>1084</v>
      </c>
      <c r="AL1692" s="474">
        <v>32205</v>
      </c>
      <c r="AM1692" s="474" t="s">
        <v>52</v>
      </c>
      <c r="AN1692" s="474" t="s">
        <v>1074</v>
      </c>
      <c r="AO1692" s="474"/>
      <c r="AP1692" s="486"/>
      <c r="AQ1692" s="486" t="s">
        <v>37</v>
      </c>
      <c r="AR1692" s="486"/>
      <c r="AS1692" s="495"/>
      <c r="AT1692" s="495"/>
      <c r="AU1692" s="478"/>
      <c r="AV1692" s="471">
        <f t="shared" si="283"/>
        <v>49405140</v>
      </c>
      <c r="AW1692" s="471" cm="1">
        <f t="array" ref="AW1692">SUM(MID(0&amp;AV1692,LARGE(INDEX(ISNUMBER(--MID(AV1692,ROW($1:$8),1))*ROW($1:$8),),ROW($1:$8))+1,1)*10^ROW($1:$8)/10)</f>
        <v>49405140</v>
      </c>
      <c r="AX1692" s="471" t="str">
        <f>VLOOKUP($AW1692,'Item Master Data'!$A:$F,3,FALSE)</f>
        <v>Q.PEAK DUO BLK ML G10+</v>
      </c>
      <c r="AY1692" s="471">
        <f>VLOOKUP($AW1692,'Item Master Data'!$A:$F,6,FALSE)</f>
        <v>400</v>
      </c>
      <c r="AZ1692" s="471">
        <f t="shared" si="284"/>
        <v>10</v>
      </c>
      <c r="BA1692" s="471">
        <f>VLOOKUP(AW1692,'Item Master Data'!$A:$G,7,FALSE)</f>
        <v>32</v>
      </c>
      <c r="BC1692" s="471">
        <f t="shared" si="285"/>
        <v>0</v>
      </c>
    </row>
    <row r="1693" spans="1:55" s="471" customFormat="1">
      <c r="A1693" s="599">
        <v>10</v>
      </c>
      <c r="B1693" s="514">
        <v>44616</v>
      </c>
      <c r="C1693" s="514">
        <v>44616</v>
      </c>
      <c r="D1693" s="485" t="s">
        <v>3186</v>
      </c>
      <c r="E1693" s="474" t="s">
        <v>3522</v>
      </c>
      <c r="F1693" s="474"/>
      <c r="G1693" s="474">
        <v>2022</v>
      </c>
      <c r="H1693" s="474">
        <v>4</v>
      </c>
      <c r="I1693" s="485">
        <v>127970</v>
      </c>
      <c r="J1693" s="475">
        <v>44655</v>
      </c>
      <c r="K1693" s="483" t="s">
        <v>2403</v>
      </c>
      <c r="L1693" s="474" t="s">
        <v>2378</v>
      </c>
      <c r="M1693" s="487">
        <v>44519</v>
      </c>
      <c r="N1693" s="487">
        <v>44563</v>
      </c>
      <c r="O1693" s="487"/>
      <c r="P1693" s="475">
        <v>44617</v>
      </c>
      <c r="Q1693" s="475">
        <v>44650</v>
      </c>
      <c r="R1693" s="475">
        <v>44655</v>
      </c>
      <c r="S1693" s="474" t="s">
        <v>2379</v>
      </c>
      <c r="T1693" s="474">
        <v>60</v>
      </c>
      <c r="U1693" s="474">
        <v>49405140</v>
      </c>
      <c r="V1693" s="474" t="s">
        <v>973</v>
      </c>
      <c r="W1693" s="474">
        <v>400</v>
      </c>
      <c r="X1693" s="476">
        <v>768</v>
      </c>
      <c r="Y1693" s="491">
        <v>307200</v>
      </c>
      <c r="Z1693" s="478">
        <v>0.46500000000000002</v>
      </c>
      <c r="AA1693" s="479">
        <v>142848</v>
      </c>
      <c r="AB1693" s="480"/>
      <c r="AC1693" s="481">
        <v>0</v>
      </c>
      <c r="AD1693" s="490"/>
      <c r="AE1693" s="482"/>
      <c r="AF1693" s="493">
        <v>142848</v>
      </c>
      <c r="AG1693" s="474" t="s">
        <v>47</v>
      </c>
      <c r="AH1693" s="474"/>
      <c r="AI1693" s="483" t="s">
        <v>2374</v>
      </c>
      <c r="AJ1693" s="474" t="s">
        <v>2390</v>
      </c>
      <c r="AK1693" s="494" t="s">
        <v>2362</v>
      </c>
      <c r="AL1693" s="474">
        <v>80239</v>
      </c>
      <c r="AM1693" s="474" t="s">
        <v>52</v>
      </c>
      <c r="AN1693" s="474" t="s">
        <v>1074</v>
      </c>
      <c r="AO1693" s="474"/>
      <c r="AP1693" s="486"/>
      <c r="AQ1693" s="486" t="s">
        <v>37</v>
      </c>
      <c r="AR1693" s="486"/>
      <c r="AS1693" s="495"/>
      <c r="AT1693" s="495"/>
      <c r="AU1693" s="478"/>
      <c r="AV1693" s="471">
        <f t="shared" si="283"/>
        <v>49405140</v>
      </c>
      <c r="AW1693" s="471" cm="1">
        <f t="array" ref="AW1693">SUM(MID(0&amp;AV1693,LARGE(INDEX(ISNUMBER(--MID(AV1693,ROW($1:$8),1))*ROW($1:$8),),ROW($1:$8))+1,1)*10^ROW($1:$8)/10)</f>
        <v>49405140</v>
      </c>
      <c r="AX1693" s="471" t="str">
        <f>VLOOKUP($AW1693,'Item Master Data'!$A:$F,3,FALSE)</f>
        <v>Q.PEAK DUO BLK ML G10+</v>
      </c>
      <c r="AY1693" s="471">
        <f>VLOOKUP($AW1693,'Item Master Data'!$A:$F,6,FALSE)</f>
        <v>400</v>
      </c>
      <c r="AZ1693" s="471">
        <f t="shared" si="284"/>
        <v>24</v>
      </c>
      <c r="BA1693" s="471">
        <f>VLOOKUP(AW1693,'Item Master Data'!$A:$G,7,FALSE)</f>
        <v>32</v>
      </c>
      <c r="BC1693" s="471">
        <f t="shared" si="285"/>
        <v>0</v>
      </c>
    </row>
    <row r="1694" spans="1:55" s="471" customFormat="1">
      <c r="A1694" s="599">
        <v>10</v>
      </c>
      <c r="B1694" s="514">
        <v>44616</v>
      </c>
      <c r="C1694" s="514">
        <v>44616</v>
      </c>
      <c r="D1694" s="485" t="s">
        <v>3186</v>
      </c>
      <c r="E1694" s="474" t="s">
        <v>3522</v>
      </c>
      <c r="F1694" s="474"/>
      <c r="G1694" s="474">
        <v>2022</v>
      </c>
      <c r="H1694" s="474">
        <v>4</v>
      </c>
      <c r="I1694" s="485">
        <v>127968</v>
      </c>
      <c r="J1694" s="475">
        <v>44655</v>
      </c>
      <c r="K1694" s="483" t="s">
        <v>2398</v>
      </c>
      <c r="L1694" s="474" t="s">
        <v>2378</v>
      </c>
      <c r="M1694" s="487">
        <v>44519</v>
      </c>
      <c r="N1694" s="487">
        <v>44563</v>
      </c>
      <c r="O1694" s="487"/>
      <c r="P1694" s="475">
        <v>44617</v>
      </c>
      <c r="Q1694" s="475">
        <v>44650</v>
      </c>
      <c r="R1694" s="475">
        <v>44655</v>
      </c>
      <c r="S1694" s="474" t="s">
        <v>2379</v>
      </c>
      <c r="T1694" s="474">
        <v>60</v>
      </c>
      <c r="U1694" s="474">
        <v>49405140</v>
      </c>
      <c r="V1694" s="474" t="s">
        <v>973</v>
      </c>
      <c r="W1694" s="474">
        <v>400</v>
      </c>
      <c r="X1694" s="476">
        <v>512</v>
      </c>
      <c r="Y1694" s="491">
        <v>204800</v>
      </c>
      <c r="Z1694" s="478">
        <v>0.46500000000000002</v>
      </c>
      <c r="AA1694" s="479">
        <v>95232</v>
      </c>
      <c r="AB1694" s="480"/>
      <c r="AC1694" s="481">
        <v>0</v>
      </c>
      <c r="AD1694" s="490"/>
      <c r="AE1694" s="482"/>
      <c r="AF1694" s="493">
        <v>95232</v>
      </c>
      <c r="AG1694" s="474" t="s">
        <v>47</v>
      </c>
      <c r="AH1694" s="474"/>
      <c r="AI1694" s="483" t="s">
        <v>2374</v>
      </c>
      <c r="AJ1694" s="474" t="s">
        <v>2380</v>
      </c>
      <c r="AK1694" s="494" t="s">
        <v>2381</v>
      </c>
      <c r="AL1694" s="474">
        <v>87107</v>
      </c>
      <c r="AM1694" s="474" t="s">
        <v>52</v>
      </c>
      <c r="AN1694" s="474" t="s">
        <v>1074</v>
      </c>
      <c r="AO1694" s="474"/>
      <c r="AP1694" s="486"/>
      <c r="AQ1694" s="486" t="s">
        <v>37</v>
      </c>
      <c r="AR1694" s="486"/>
      <c r="AS1694" s="495"/>
      <c r="AT1694" s="495"/>
      <c r="AU1694" s="478"/>
      <c r="AV1694" s="471">
        <f t="shared" si="283"/>
        <v>49405140</v>
      </c>
      <c r="AW1694" s="471" cm="1">
        <f t="array" ref="AW1694">SUM(MID(0&amp;AV1694,LARGE(INDEX(ISNUMBER(--MID(AV1694,ROW($1:$8),1))*ROW($1:$8),),ROW($1:$8))+1,1)*10^ROW($1:$8)/10)</f>
        <v>49405140</v>
      </c>
      <c r="AX1694" s="471" t="str">
        <f>VLOOKUP($AW1694,'Item Master Data'!$A:$F,3,FALSE)</f>
        <v>Q.PEAK DUO BLK ML G10+</v>
      </c>
      <c r="AY1694" s="471">
        <f>VLOOKUP($AW1694,'Item Master Data'!$A:$F,6,FALSE)</f>
        <v>400</v>
      </c>
      <c r="AZ1694" s="471">
        <f t="shared" si="284"/>
        <v>16</v>
      </c>
      <c r="BA1694" s="471">
        <f>VLOOKUP(AW1694,'Item Master Data'!$A:$G,7,FALSE)</f>
        <v>32</v>
      </c>
      <c r="BC1694" s="471">
        <f t="shared" si="285"/>
        <v>0</v>
      </c>
    </row>
    <row r="1695" spans="1:55" s="471" customFormat="1">
      <c r="A1695" s="472"/>
      <c r="B1695" s="514">
        <v>44616</v>
      </c>
      <c r="C1695" s="514">
        <v>44616</v>
      </c>
      <c r="D1695" s="485" t="s">
        <v>3186</v>
      </c>
      <c r="E1695" s="474" t="s">
        <v>3522</v>
      </c>
      <c r="F1695" s="474"/>
      <c r="G1695" s="474">
        <v>2022</v>
      </c>
      <c r="H1695" s="474">
        <v>4</v>
      </c>
      <c r="I1695" s="474">
        <v>127966</v>
      </c>
      <c r="J1695" s="475">
        <v>44656</v>
      </c>
      <c r="K1695" s="483" t="s">
        <v>2393</v>
      </c>
      <c r="L1695" s="474" t="s">
        <v>2378</v>
      </c>
      <c r="M1695" s="487">
        <v>44519</v>
      </c>
      <c r="N1695" s="487">
        <v>44563</v>
      </c>
      <c r="O1695" s="487"/>
      <c r="P1695" s="475">
        <v>44641</v>
      </c>
      <c r="Q1695" s="475">
        <v>44651</v>
      </c>
      <c r="R1695" s="475">
        <v>44656</v>
      </c>
      <c r="S1695" s="474" t="s">
        <v>2379</v>
      </c>
      <c r="T1695" s="474">
        <v>60</v>
      </c>
      <c r="U1695" s="474" t="s">
        <v>1718</v>
      </c>
      <c r="V1695" s="474" t="s">
        <v>973</v>
      </c>
      <c r="W1695" s="474">
        <v>395</v>
      </c>
      <c r="X1695" s="476">
        <v>384</v>
      </c>
      <c r="Y1695" s="491">
        <v>151680</v>
      </c>
      <c r="Z1695" s="478">
        <v>0.46500000000000002</v>
      </c>
      <c r="AA1695" s="479">
        <v>70531.199999999997</v>
      </c>
      <c r="AB1695" s="480"/>
      <c r="AC1695" s="481">
        <v>0</v>
      </c>
      <c r="AD1695" s="490"/>
      <c r="AE1695" s="482"/>
      <c r="AF1695" s="493">
        <v>70531.199999999997</v>
      </c>
      <c r="AG1695" s="474" t="s">
        <v>47</v>
      </c>
      <c r="AH1695" s="474"/>
      <c r="AI1695" s="483" t="s">
        <v>2374</v>
      </c>
      <c r="AJ1695" s="474" t="s">
        <v>2437</v>
      </c>
      <c r="AK1695" s="494" t="s">
        <v>1084</v>
      </c>
      <c r="AL1695" s="474">
        <v>34741</v>
      </c>
      <c r="AM1695" s="474" t="s">
        <v>52</v>
      </c>
      <c r="AN1695" s="474" t="s">
        <v>50</v>
      </c>
      <c r="AO1695" s="474"/>
      <c r="AP1695" s="486" t="s">
        <v>38</v>
      </c>
      <c r="AQ1695" s="486" t="s">
        <v>37</v>
      </c>
      <c r="AR1695" s="486"/>
      <c r="AS1695" s="495"/>
      <c r="AT1695" s="495"/>
      <c r="AU1695" s="478"/>
      <c r="AV1695" s="471" t="str">
        <f t="shared" si="283"/>
        <v>30390155H</v>
      </c>
      <c r="AW1695" s="471" cm="1">
        <f t="array" ref="AW1695">SUM(MID(0&amp;AV1695,LARGE(INDEX(ISNUMBER(--MID(AV1695,ROW($1:$8),1))*ROW($1:$8),),ROW($1:$8))+1,1)*10^ROW($1:$8)/10)</f>
        <v>30390155</v>
      </c>
      <c r="AX1695" s="471" t="str">
        <f>VLOOKUP($AW1695,'Item Master Data'!$A:$F,3,FALSE)</f>
        <v>Q.PEAK DUO BLK ML G10+</v>
      </c>
      <c r="AY1695" s="471">
        <f>VLOOKUP($AW1695,'Item Master Data'!$A:$F,6,FALSE)</f>
        <v>395</v>
      </c>
      <c r="AZ1695" s="471">
        <f t="shared" si="284"/>
        <v>12</v>
      </c>
      <c r="BA1695" s="471">
        <f>VLOOKUP(AW1695,'Item Master Data'!$A:$G,7,FALSE)</f>
        <v>32</v>
      </c>
      <c r="BC1695" s="471">
        <f t="shared" si="285"/>
        <v>0</v>
      </c>
    </row>
    <row r="1696" spans="1:55" s="471" customFormat="1">
      <c r="A1696" s="472"/>
      <c r="B1696" s="515">
        <v>44608</v>
      </c>
      <c r="C1696" s="515">
        <v>44636</v>
      </c>
      <c r="D1696" s="485" t="s">
        <v>3186</v>
      </c>
      <c r="E1696" s="474" t="s">
        <v>2984</v>
      </c>
      <c r="F1696" s="474"/>
      <c r="G1696" s="474">
        <v>2022</v>
      </c>
      <c r="H1696" s="474">
        <v>12</v>
      </c>
      <c r="I1696" s="474" t="s">
        <v>1676</v>
      </c>
      <c r="J1696" s="475"/>
      <c r="K1696" s="483" t="s">
        <v>3662</v>
      </c>
      <c r="L1696" s="474" t="s">
        <v>3639</v>
      </c>
      <c r="M1696" s="487">
        <v>44608</v>
      </c>
      <c r="N1696" s="487">
        <v>44608</v>
      </c>
      <c r="O1696" s="487">
        <v>44896</v>
      </c>
      <c r="P1696" s="475"/>
      <c r="Q1696" s="475"/>
      <c r="R1696" s="475"/>
      <c r="S1696" s="474" t="s">
        <v>2379</v>
      </c>
      <c r="T1696" s="474">
        <v>60</v>
      </c>
      <c r="U1696" s="474"/>
      <c r="V1696" s="474" t="s">
        <v>973</v>
      </c>
      <c r="W1696" s="474">
        <v>400</v>
      </c>
      <c r="X1696" s="476">
        <v>768</v>
      </c>
      <c r="Y1696" s="477">
        <f>X1696*W1696</f>
        <v>307200</v>
      </c>
      <c r="Z1696" s="478">
        <v>0.55000000000000004</v>
      </c>
      <c r="AA1696" s="479">
        <f>Z1696*Y1696</f>
        <v>168960</v>
      </c>
      <c r="AB1696" s="480"/>
      <c r="AC1696" s="481">
        <f>AB1696*Y1696</f>
        <v>0</v>
      </c>
      <c r="AD1696" s="490"/>
      <c r="AE1696" s="482"/>
      <c r="AF1696" s="493">
        <f>AE1696+AD1696+AA1696</f>
        <v>168960</v>
      </c>
      <c r="AG1696" s="474" t="s">
        <v>1071</v>
      </c>
      <c r="AH1696" s="474"/>
      <c r="AI1696" s="483" t="s">
        <v>2442</v>
      </c>
      <c r="AJ1696" s="474" t="s">
        <v>3245</v>
      </c>
      <c r="AK1696" s="494" t="s">
        <v>2362</v>
      </c>
      <c r="AL1696" s="474">
        <v>80915</v>
      </c>
      <c r="AM1696" s="474" t="s">
        <v>52</v>
      </c>
      <c r="AN1696" s="474"/>
      <c r="AO1696" s="474"/>
      <c r="AP1696" s="486"/>
      <c r="AQ1696" s="486" t="s">
        <v>37</v>
      </c>
      <c r="AR1696" s="486"/>
      <c r="AS1696" s="495"/>
      <c r="AT1696" s="495"/>
      <c r="AU1696" s="478">
        <v>0.5</v>
      </c>
      <c r="AV1696" s="471">
        <f t="shared" si="283"/>
        <v>0</v>
      </c>
      <c r="AW1696" s="471" cm="1">
        <f t="array" ref="AW1696">SUM(MID(0&amp;AV1696,LARGE(INDEX(ISNUMBER(--MID(AV1696,ROW($1:$8),1))*ROW($1:$8),),ROW($1:$8))+1,1)*10^ROW($1:$8)/10)</f>
        <v>0</v>
      </c>
      <c r="AX1696" s="471" t="e">
        <f>VLOOKUP($AW1696,'Item Master Data'!$A:$F,3,FALSE)</f>
        <v>#N/A</v>
      </c>
      <c r="AY1696" s="471" t="e">
        <f>VLOOKUP($AW1696,'Item Master Data'!$A:$F,6,FALSE)</f>
        <v>#N/A</v>
      </c>
      <c r="AZ1696" s="471" t="e">
        <f t="shared" si="284"/>
        <v>#N/A</v>
      </c>
      <c r="BA1696" s="471" t="e">
        <f>VLOOKUP(AW1696,'Item Master Data'!$A:$G,7,FALSE)</f>
        <v>#N/A</v>
      </c>
      <c r="BC1696" s="471" t="e">
        <f t="shared" si="285"/>
        <v>#N/A</v>
      </c>
    </row>
    <row r="1697" spans="1:55" s="471" customFormat="1">
      <c r="A1697" s="472"/>
      <c r="B1697" s="515">
        <v>44608</v>
      </c>
      <c r="C1697" s="515">
        <v>44636</v>
      </c>
      <c r="D1697" s="485" t="s">
        <v>3186</v>
      </c>
      <c r="E1697" s="474" t="s">
        <v>2984</v>
      </c>
      <c r="F1697" s="474"/>
      <c r="G1697" s="474">
        <v>2022</v>
      </c>
      <c r="H1697" s="474">
        <v>11</v>
      </c>
      <c r="I1697" s="474" t="s">
        <v>1676</v>
      </c>
      <c r="J1697" s="475"/>
      <c r="K1697" s="483" t="s">
        <v>3656</v>
      </c>
      <c r="L1697" s="474" t="s">
        <v>3639</v>
      </c>
      <c r="M1697" s="487">
        <v>44608</v>
      </c>
      <c r="N1697" s="487">
        <v>44608</v>
      </c>
      <c r="O1697" s="487">
        <v>44866</v>
      </c>
      <c r="P1697" s="475"/>
      <c r="Q1697" s="475"/>
      <c r="R1697" s="475"/>
      <c r="S1697" s="474" t="s">
        <v>2379</v>
      </c>
      <c r="T1697" s="474">
        <v>60</v>
      </c>
      <c r="U1697" s="474"/>
      <c r="V1697" s="474" t="s">
        <v>973</v>
      </c>
      <c r="W1697" s="474">
        <v>400</v>
      </c>
      <c r="X1697" s="476">
        <v>768</v>
      </c>
      <c r="Y1697" s="477">
        <f>X1697*W1697</f>
        <v>307200</v>
      </c>
      <c r="Z1697" s="478">
        <v>0.55000000000000004</v>
      </c>
      <c r="AA1697" s="479">
        <f>Z1697*Y1697</f>
        <v>168960</v>
      </c>
      <c r="AB1697" s="480"/>
      <c r="AC1697" s="481">
        <f>AB1697*Y1697</f>
        <v>0</v>
      </c>
      <c r="AD1697" s="490"/>
      <c r="AE1697" s="482"/>
      <c r="AF1697" s="493">
        <f>AE1697+AD1697+AA1697</f>
        <v>168960</v>
      </c>
      <c r="AG1697" s="474" t="s">
        <v>1071</v>
      </c>
      <c r="AH1697" s="474"/>
      <c r="AI1697" s="483" t="s">
        <v>2442</v>
      </c>
      <c r="AJ1697" s="474" t="s">
        <v>3245</v>
      </c>
      <c r="AK1697" s="494" t="s">
        <v>2362</v>
      </c>
      <c r="AL1697" s="474">
        <v>80915</v>
      </c>
      <c r="AM1697" s="474" t="s">
        <v>52</v>
      </c>
      <c r="AN1697" s="474"/>
      <c r="AO1697" s="474"/>
      <c r="AP1697" s="486"/>
      <c r="AQ1697" s="486" t="s">
        <v>37</v>
      </c>
      <c r="AR1697" s="486"/>
      <c r="AS1697" s="495"/>
      <c r="AT1697" s="495"/>
      <c r="AU1697" s="478">
        <v>0.5</v>
      </c>
      <c r="AV1697" s="471">
        <f t="shared" si="283"/>
        <v>0</v>
      </c>
      <c r="AW1697" s="471" cm="1">
        <f t="array" ref="AW1697">SUM(MID(0&amp;AV1697,LARGE(INDEX(ISNUMBER(--MID(AV1697,ROW($1:$8),1))*ROW($1:$8),),ROW($1:$8))+1,1)*10^ROW($1:$8)/10)</f>
        <v>0</v>
      </c>
      <c r="AX1697" s="471" t="e">
        <f>VLOOKUP($AW1697,'Item Master Data'!$A:$F,3,FALSE)</f>
        <v>#N/A</v>
      </c>
      <c r="AY1697" s="471" t="e">
        <f>VLOOKUP($AW1697,'Item Master Data'!$A:$F,6,FALSE)</f>
        <v>#N/A</v>
      </c>
      <c r="AZ1697" s="471" t="e">
        <f t="shared" si="284"/>
        <v>#N/A</v>
      </c>
      <c r="BA1697" s="471" t="e">
        <f>VLOOKUP(AW1697,'Item Master Data'!$A:$G,7,FALSE)</f>
        <v>#N/A</v>
      </c>
      <c r="BC1697" s="471" t="e">
        <f t="shared" si="285"/>
        <v>#N/A</v>
      </c>
    </row>
    <row r="1698" spans="1:55" s="471" customFormat="1">
      <c r="A1698" s="472"/>
      <c r="B1698" s="515">
        <v>44608</v>
      </c>
      <c r="C1698" s="515">
        <v>44636</v>
      </c>
      <c r="D1698" s="485" t="s">
        <v>3186</v>
      </c>
      <c r="E1698" s="474" t="s">
        <v>2984</v>
      </c>
      <c r="F1698" s="474"/>
      <c r="G1698" s="474">
        <v>2022</v>
      </c>
      <c r="H1698" s="474">
        <v>9</v>
      </c>
      <c r="I1698" s="474" t="s">
        <v>1676</v>
      </c>
      <c r="J1698" s="475"/>
      <c r="K1698" s="483" t="s">
        <v>3648</v>
      </c>
      <c r="L1698" s="474" t="s">
        <v>3639</v>
      </c>
      <c r="M1698" s="487">
        <v>44608</v>
      </c>
      <c r="N1698" s="487">
        <v>44608</v>
      </c>
      <c r="O1698" s="487">
        <v>44805</v>
      </c>
      <c r="P1698" s="475"/>
      <c r="Q1698" s="475"/>
      <c r="R1698" s="475"/>
      <c r="S1698" s="474" t="s">
        <v>2379</v>
      </c>
      <c r="T1698" s="474">
        <v>60</v>
      </c>
      <c r="U1698" s="474"/>
      <c r="V1698" s="474" t="s">
        <v>973</v>
      </c>
      <c r="W1698" s="474">
        <v>400</v>
      </c>
      <c r="X1698" s="476">
        <v>768</v>
      </c>
      <c r="Y1698" s="477">
        <f>X1698*W1698</f>
        <v>307200</v>
      </c>
      <c r="Z1698" s="478">
        <v>0.55000000000000004</v>
      </c>
      <c r="AA1698" s="479">
        <f>Z1698*Y1698</f>
        <v>168960</v>
      </c>
      <c r="AB1698" s="480"/>
      <c r="AC1698" s="481">
        <f>AB1698*Y1698</f>
        <v>0</v>
      </c>
      <c r="AD1698" s="490"/>
      <c r="AE1698" s="482"/>
      <c r="AF1698" s="493">
        <f>AE1698+AD1698+AA1698</f>
        <v>168960</v>
      </c>
      <c r="AG1698" s="474" t="s">
        <v>1071</v>
      </c>
      <c r="AH1698" s="474"/>
      <c r="AI1698" s="483" t="s">
        <v>2442</v>
      </c>
      <c r="AJ1698" s="474" t="s">
        <v>3245</v>
      </c>
      <c r="AK1698" s="494" t="s">
        <v>2362</v>
      </c>
      <c r="AL1698" s="474">
        <v>80915</v>
      </c>
      <c r="AM1698" s="474" t="s">
        <v>52</v>
      </c>
      <c r="AN1698" s="474"/>
      <c r="AO1698" s="474"/>
      <c r="AP1698" s="486"/>
      <c r="AQ1698" s="486" t="s">
        <v>37</v>
      </c>
      <c r="AR1698" s="486"/>
      <c r="AS1698" s="495"/>
      <c r="AT1698" s="495"/>
      <c r="AU1698" s="478">
        <v>0.5</v>
      </c>
      <c r="AV1698" s="471">
        <f t="shared" si="283"/>
        <v>0</v>
      </c>
      <c r="AW1698" s="471" cm="1">
        <f t="array" ref="AW1698">SUM(MID(0&amp;AV1698,LARGE(INDEX(ISNUMBER(--MID(AV1698,ROW($1:$8),1))*ROW($1:$8),),ROW($1:$8))+1,1)*10^ROW($1:$8)/10)</f>
        <v>0</v>
      </c>
      <c r="AX1698" s="471" t="e">
        <f>VLOOKUP($AW1698,'Item Master Data'!$A:$F,3,FALSE)</f>
        <v>#N/A</v>
      </c>
      <c r="AY1698" s="471" t="e">
        <f>VLOOKUP($AW1698,'Item Master Data'!$A:$F,6,FALSE)</f>
        <v>#N/A</v>
      </c>
      <c r="AZ1698" s="471" t="e">
        <f t="shared" si="284"/>
        <v>#N/A</v>
      </c>
      <c r="BA1698" s="471" t="e">
        <f>VLOOKUP(AW1698,'Item Master Data'!$A:$G,7,FALSE)</f>
        <v>#N/A</v>
      </c>
      <c r="BC1698" s="471" t="e">
        <f t="shared" si="285"/>
        <v>#N/A</v>
      </c>
    </row>
    <row r="1699" spans="1:55" s="471" customFormat="1">
      <c r="A1699" s="472"/>
      <c r="B1699" s="515">
        <v>44608</v>
      </c>
      <c r="C1699" s="515">
        <v>44636</v>
      </c>
      <c r="D1699" s="485" t="s">
        <v>3186</v>
      </c>
      <c r="E1699" s="474" t="s">
        <v>2984</v>
      </c>
      <c r="F1699" s="474"/>
      <c r="G1699" s="474">
        <v>2022</v>
      </c>
      <c r="H1699" s="474">
        <v>7</v>
      </c>
      <c r="I1699" s="474" t="s">
        <v>1676</v>
      </c>
      <c r="J1699" s="475"/>
      <c r="K1699" s="483" t="s">
        <v>3638</v>
      </c>
      <c r="L1699" s="474" t="s">
        <v>3639</v>
      </c>
      <c r="M1699" s="487">
        <v>44608</v>
      </c>
      <c r="N1699" s="487">
        <v>44608</v>
      </c>
      <c r="O1699" s="487">
        <v>44743</v>
      </c>
      <c r="P1699" s="475"/>
      <c r="Q1699" s="475"/>
      <c r="R1699" s="475"/>
      <c r="S1699" s="474" t="s">
        <v>2379</v>
      </c>
      <c r="T1699" s="474">
        <v>60</v>
      </c>
      <c r="U1699" s="474"/>
      <c r="V1699" s="474" t="s">
        <v>973</v>
      </c>
      <c r="W1699" s="474">
        <v>400</v>
      </c>
      <c r="X1699" s="476">
        <v>768</v>
      </c>
      <c r="Y1699" s="477">
        <f>X1699*W1699</f>
        <v>307200</v>
      </c>
      <c r="Z1699" s="478">
        <v>0.55000000000000004</v>
      </c>
      <c r="AA1699" s="479">
        <f>Z1699*Y1699</f>
        <v>168960</v>
      </c>
      <c r="AB1699" s="480"/>
      <c r="AC1699" s="481">
        <f>AB1699*Y1699</f>
        <v>0</v>
      </c>
      <c r="AD1699" s="490"/>
      <c r="AE1699" s="482"/>
      <c r="AF1699" s="493">
        <f>AE1699+AD1699+AA1699</f>
        <v>168960</v>
      </c>
      <c r="AG1699" s="474" t="s">
        <v>1071</v>
      </c>
      <c r="AH1699" s="474"/>
      <c r="AI1699" s="483" t="s">
        <v>2442</v>
      </c>
      <c r="AJ1699" s="474" t="s">
        <v>3245</v>
      </c>
      <c r="AK1699" s="494" t="s">
        <v>2362</v>
      </c>
      <c r="AL1699" s="474">
        <v>80915</v>
      </c>
      <c r="AM1699" s="474" t="s">
        <v>52</v>
      </c>
      <c r="AN1699" s="474"/>
      <c r="AO1699" s="474"/>
      <c r="AP1699" s="486"/>
      <c r="AQ1699" s="486" t="s">
        <v>37</v>
      </c>
      <c r="AR1699" s="486"/>
      <c r="AS1699" s="495"/>
      <c r="AT1699" s="495"/>
      <c r="AU1699" s="478">
        <v>0.5</v>
      </c>
      <c r="AV1699" s="471">
        <f t="shared" si="283"/>
        <v>0</v>
      </c>
      <c r="AW1699" s="471" cm="1">
        <f t="array" ref="AW1699">SUM(MID(0&amp;AV1699,LARGE(INDEX(ISNUMBER(--MID(AV1699,ROW($1:$8),1))*ROW($1:$8),),ROW($1:$8))+1,1)*10^ROW($1:$8)/10)</f>
        <v>0</v>
      </c>
      <c r="AX1699" s="471" t="e">
        <f>VLOOKUP($AW1699,'Item Master Data'!$A:$F,3,FALSE)</f>
        <v>#N/A</v>
      </c>
      <c r="AY1699" s="471" t="e">
        <f>VLOOKUP($AW1699,'Item Master Data'!$A:$F,6,FALSE)</f>
        <v>#N/A</v>
      </c>
      <c r="AZ1699" s="471" t="e">
        <f t="shared" si="284"/>
        <v>#N/A</v>
      </c>
      <c r="BA1699" s="471" t="e">
        <f>VLOOKUP(AW1699,'Item Master Data'!$A:$G,7,FALSE)</f>
        <v>#N/A</v>
      </c>
      <c r="BC1699" s="471" t="e">
        <f t="shared" si="285"/>
        <v>#N/A</v>
      </c>
    </row>
    <row r="1700" spans="1:55" s="471" customFormat="1">
      <c r="A1700" s="472"/>
      <c r="B1700" s="515">
        <v>44636</v>
      </c>
      <c r="C1700" s="515">
        <v>44636</v>
      </c>
      <c r="D1700" s="485" t="s">
        <v>3186</v>
      </c>
      <c r="E1700" s="474" t="s">
        <v>3463</v>
      </c>
      <c r="F1700" s="474"/>
      <c r="G1700" s="474">
        <v>2022</v>
      </c>
      <c r="H1700" s="474">
        <v>7</v>
      </c>
      <c r="I1700" s="474" t="s">
        <v>1676</v>
      </c>
      <c r="J1700" s="475"/>
      <c r="K1700" s="483" t="s">
        <v>3464</v>
      </c>
      <c r="L1700" s="474" t="s">
        <v>3286</v>
      </c>
      <c r="M1700" s="487">
        <v>44578</v>
      </c>
      <c r="N1700" s="487">
        <v>44747</v>
      </c>
      <c r="O1700" s="487"/>
      <c r="P1700" s="475" t="s">
        <v>1074</v>
      </c>
      <c r="Q1700" s="475"/>
      <c r="R1700" s="475"/>
      <c r="S1700" s="474" t="s">
        <v>2379</v>
      </c>
      <c r="T1700" s="474">
        <v>72</v>
      </c>
      <c r="U1700" s="474"/>
      <c r="V1700" s="474" t="s">
        <v>3287</v>
      </c>
      <c r="W1700" s="474">
        <v>480</v>
      </c>
      <c r="X1700" s="476">
        <v>5630</v>
      </c>
      <c r="Y1700" s="477">
        <f>X1700*W1700</f>
        <v>2702400</v>
      </c>
      <c r="Z1700" s="478">
        <v>0.47499999999999998</v>
      </c>
      <c r="AA1700" s="479">
        <f>Z1700*Y1700</f>
        <v>1283640</v>
      </c>
      <c r="AB1700" s="480"/>
      <c r="AC1700" s="481">
        <v>0</v>
      </c>
      <c r="AD1700" s="490"/>
      <c r="AE1700" s="482"/>
      <c r="AF1700" s="493">
        <f>AE1700+AD1700+AA1700</f>
        <v>1283640</v>
      </c>
      <c r="AG1700" s="474" t="s">
        <v>1071</v>
      </c>
      <c r="AH1700" s="474"/>
      <c r="AI1700" s="483">
        <v>60</v>
      </c>
      <c r="AJ1700" s="474" t="s">
        <v>1275</v>
      </c>
      <c r="AK1700" s="494" t="s">
        <v>2411</v>
      </c>
      <c r="AL1700" s="474">
        <v>66105</v>
      </c>
      <c r="AM1700" s="474" t="s">
        <v>52</v>
      </c>
      <c r="AN1700" s="474"/>
      <c r="AO1700" s="474"/>
      <c r="AP1700" s="486"/>
      <c r="AQ1700" s="486" t="s">
        <v>37</v>
      </c>
      <c r="AR1700" s="486"/>
      <c r="AS1700" s="495"/>
      <c r="AT1700" s="495"/>
      <c r="AU1700" s="478"/>
      <c r="AV1700" s="471">
        <f t="shared" si="283"/>
        <v>0</v>
      </c>
      <c r="AW1700" s="471" cm="1">
        <f t="array" ref="AW1700">SUM(MID(0&amp;AV1700,LARGE(INDEX(ISNUMBER(--MID(AV1700,ROW($1:$8),1))*ROW($1:$8),),ROW($1:$8))+1,1)*10^ROW($1:$8)/10)</f>
        <v>0</v>
      </c>
      <c r="AX1700" s="471" t="e">
        <f>VLOOKUP($AW1700,'Item Master Data'!$A:$F,3,FALSE)</f>
        <v>#N/A</v>
      </c>
      <c r="AY1700" s="471" t="e">
        <f>VLOOKUP($AW1700,'Item Master Data'!$A:$F,6,FALSE)</f>
        <v>#N/A</v>
      </c>
      <c r="AZ1700" s="471" t="e">
        <f t="shared" si="284"/>
        <v>#N/A</v>
      </c>
      <c r="BA1700" s="471" t="e">
        <f>VLOOKUP(AW1700,'Item Master Data'!$A:$G,7,FALSE)</f>
        <v>#N/A</v>
      </c>
      <c r="BC1700" s="471" t="e">
        <f t="shared" si="285"/>
        <v>#N/A</v>
      </c>
    </row>
    <row r="1701" spans="1:55" s="471" customFormat="1">
      <c r="A1701" s="472"/>
      <c r="B1701" s="515">
        <v>44677</v>
      </c>
      <c r="C1701" s="515">
        <v>44636</v>
      </c>
      <c r="D1701" s="485" t="s">
        <v>3186</v>
      </c>
      <c r="E1701" s="474"/>
      <c r="F1701" s="474"/>
      <c r="G1701" s="474">
        <v>2022</v>
      </c>
      <c r="H1701" s="474">
        <v>7</v>
      </c>
      <c r="I1701" s="474"/>
      <c r="J1701" s="475"/>
      <c r="K1701" s="483" t="s">
        <v>3302</v>
      </c>
      <c r="L1701" s="474" t="s">
        <v>3286</v>
      </c>
      <c r="M1701" s="487">
        <v>44503</v>
      </c>
      <c r="N1701" s="487">
        <v>44743</v>
      </c>
      <c r="O1701" s="487"/>
      <c r="P1701" s="475" t="s">
        <v>1074</v>
      </c>
      <c r="Q1701" s="475"/>
      <c r="R1701" s="475"/>
      <c r="S1701" s="474" t="s">
        <v>2379</v>
      </c>
      <c r="T1701" s="474">
        <v>72</v>
      </c>
      <c r="U1701" s="474" t="s">
        <v>1082</v>
      </c>
      <c r="V1701" s="474" t="s">
        <v>3287</v>
      </c>
      <c r="W1701" s="474">
        <v>480</v>
      </c>
      <c r="X1701" s="476">
        <v>2088</v>
      </c>
      <c r="Y1701" s="491">
        <f>X1701*W1701</f>
        <v>1002240</v>
      </c>
      <c r="Z1701" s="478">
        <v>0.47499999999999998</v>
      </c>
      <c r="AA1701" s="479">
        <f>Z1701*Y1701</f>
        <v>476064</v>
      </c>
      <c r="AB1701" s="480"/>
      <c r="AC1701" s="481">
        <f>AB1701*Y1701</f>
        <v>0</v>
      </c>
      <c r="AD1701" s="490"/>
      <c r="AE1701" s="482"/>
      <c r="AF1701" s="493">
        <f>AE1701+AD1701+AA1701</f>
        <v>476064</v>
      </c>
      <c r="AG1701" s="474" t="s">
        <v>1071</v>
      </c>
      <c r="AH1701" s="474"/>
      <c r="AI1701" s="483" t="s">
        <v>2442</v>
      </c>
      <c r="AJ1701" s="474" t="s">
        <v>1275</v>
      </c>
      <c r="AK1701" s="494" t="s">
        <v>2411</v>
      </c>
      <c r="AL1701" s="474">
        <v>66105</v>
      </c>
      <c r="AM1701" s="474" t="s">
        <v>52</v>
      </c>
      <c r="AN1701" s="474" t="s">
        <v>1085</v>
      </c>
      <c r="AO1701" s="474"/>
      <c r="AP1701" s="486"/>
      <c r="AQ1701" s="486" t="s">
        <v>37</v>
      </c>
      <c r="AR1701" s="486"/>
      <c r="AS1701" s="495"/>
      <c r="AT1701" s="495"/>
      <c r="AU1701" s="478"/>
      <c r="AV1701" s="471" t="str">
        <f t="shared" si="283"/>
        <v>12005833C</v>
      </c>
      <c r="AW1701" s="471" cm="1">
        <f t="array" ref="AW1701">SUM(MID(0&amp;AV1701,LARGE(INDEX(ISNUMBER(--MID(AV1701,ROW($1:$8),1))*ROW($1:$8),),ROW($1:$8))+1,1)*10^ROW($1:$8)/10)</f>
        <v>12005833</v>
      </c>
      <c r="AX1701" s="471" t="str">
        <f>VLOOKUP($AW1701,'Item Master Data'!$A:$F,3,FALSE)</f>
        <v>Q.PEAK DUO XL G10 BFG</v>
      </c>
      <c r="AY1701" s="471">
        <f>VLOOKUP($AW1701,'Item Master Data'!$A:$F,6,FALSE)</f>
        <v>475</v>
      </c>
      <c r="AZ1701" s="471">
        <f t="shared" si="284"/>
        <v>69.599999999999994</v>
      </c>
      <c r="BA1701" s="471">
        <f>VLOOKUP(AW1701,'Item Master Data'!$A:$G,7,FALSE)</f>
        <v>30</v>
      </c>
      <c r="BC1701" s="471">
        <f t="shared" si="285"/>
        <v>5</v>
      </c>
    </row>
    <row r="1702" spans="1:55" s="471" customFormat="1">
      <c r="A1702" s="472"/>
      <c r="B1702" s="515">
        <v>44677</v>
      </c>
      <c r="C1702" s="515">
        <v>44636</v>
      </c>
      <c r="D1702" s="485" t="s">
        <v>3186</v>
      </c>
      <c r="E1702" s="474"/>
      <c r="F1702" s="474"/>
      <c r="G1702" s="474">
        <v>2022</v>
      </c>
      <c r="H1702" s="474">
        <v>7</v>
      </c>
      <c r="I1702" s="474"/>
      <c r="J1702" s="475"/>
      <c r="K1702" s="483" t="s">
        <v>3285</v>
      </c>
      <c r="L1702" s="474" t="s">
        <v>3286</v>
      </c>
      <c r="M1702" s="487">
        <v>44503</v>
      </c>
      <c r="N1702" s="487">
        <v>44743</v>
      </c>
      <c r="O1702" s="487"/>
      <c r="P1702" s="475" t="s">
        <v>1074</v>
      </c>
      <c r="Q1702" s="475"/>
      <c r="R1702" s="475"/>
      <c r="S1702" s="474" t="s">
        <v>2379</v>
      </c>
      <c r="T1702" s="474">
        <v>72</v>
      </c>
      <c r="U1702" s="474" t="s">
        <v>1082</v>
      </c>
      <c r="V1702" s="474" t="s">
        <v>3287</v>
      </c>
      <c r="W1702" s="474">
        <v>480</v>
      </c>
      <c r="X1702" s="476">
        <v>290</v>
      </c>
      <c r="Y1702" s="491">
        <f>X1702*W1702</f>
        <v>139200</v>
      </c>
      <c r="Z1702" s="478">
        <v>0.47499999999999998</v>
      </c>
      <c r="AA1702" s="479">
        <f>Z1702*Y1702</f>
        <v>66120</v>
      </c>
      <c r="AB1702" s="480"/>
      <c r="AC1702" s="481">
        <f>AB1702*Y1702</f>
        <v>0</v>
      </c>
      <c r="AD1702" s="490"/>
      <c r="AE1702" s="482"/>
      <c r="AF1702" s="493">
        <f>AE1702+AD1702+AA1702</f>
        <v>66120</v>
      </c>
      <c r="AG1702" s="474" t="s">
        <v>1071</v>
      </c>
      <c r="AH1702" s="474"/>
      <c r="AI1702" s="483" t="s">
        <v>2442</v>
      </c>
      <c r="AJ1702" s="474" t="s">
        <v>1275</v>
      </c>
      <c r="AK1702" s="494" t="s">
        <v>2411</v>
      </c>
      <c r="AL1702" s="474">
        <v>66105</v>
      </c>
      <c r="AM1702" s="474" t="s">
        <v>52</v>
      </c>
      <c r="AN1702" s="474" t="s">
        <v>1085</v>
      </c>
      <c r="AO1702" s="474"/>
      <c r="AP1702" s="486" t="s">
        <v>38</v>
      </c>
      <c r="AQ1702" s="486" t="s">
        <v>37</v>
      </c>
      <c r="AR1702" s="486"/>
      <c r="AS1702" s="495"/>
      <c r="AT1702" s="495"/>
      <c r="AU1702" s="478"/>
      <c r="AV1702" s="471" t="str">
        <f t="shared" si="283"/>
        <v>12005833C</v>
      </c>
      <c r="AW1702" s="471" cm="1">
        <f t="array" ref="AW1702">SUM(MID(0&amp;AV1702,LARGE(INDEX(ISNUMBER(--MID(AV1702,ROW($1:$8),1))*ROW($1:$8),),ROW($1:$8))+1,1)*10^ROW($1:$8)/10)</f>
        <v>12005833</v>
      </c>
      <c r="AX1702" s="471" t="str">
        <f>VLOOKUP($AW1702,'Item Master Data'!$A:$F,3,FALSE)</f>
        <v>Q.PEAK DUO XL G10 BFG</v>
      </c>
      <c r="AY1702" s="471">
        <f>VLOOKUP($AW1702,'Item Master Data'!$A:$F,6,FALSE)</f>
        <v>475</v>
      </c>
      <c r="AZ1702" s="471">
        <f t="shared" si="284"/>
        <v>9.6666666666666661</v>
      </c>
      <c r="BA1702" s="471">
        <f>VLOOKUP(AW1702,'Item Master Data'!$A:$G,7,FALSE)</f>
        <v>30</v>
      </c>
      <c r="BC1702" s="471">
        <f t="shared" si="285"/>
        <v>5</v>
      </c>
    </row>
    <row r="1703" spans="1:55" s="471" customFormat="1">
      <c r="A1703" s="472"/>
      <c r="B1703" s="514">
        <v>44650</v>
      </c>
      <c r="C1703" s="514">
        <v>44650</v>
      </c>
      <c r="D1703" s="485" t="s">
        <v>3186</v>
      </c>
      <c r="E1703" s="474"/>
      <c r="F1703" s="474"/>
      <c r="G1703" s="474">
        <v>2022</v>
      </c>
      <c r="H1703" s="474">
        <v>4</v>
      </c>
      <c r="I1703" s="474">
        <v>128183</v>
      </c>
      <c r="J1703" s="475">
        <v>44676</v>
      </c>
      <c r="K1703" s="483" t="s">
        <v>3408</v>
      </c>
      <c r="L1703" s="474" t="s">
        <v>3328</v>
      </c>
      <c r="M1703" s="487">
        <v>44649</v>
      </c>
      <c r="N1703" s="487">
        <v>44649</v>
      </c>
      <c r="O1703" s="487"/>
      <c r="P1703" s="475">
        <v>44666</v>
      </c>
      <c r="Q1703" s="475">
        <v>44676</v>
      </c>
      <c r="R1703" s="475">
        <v>44679</v>
      </c>
      <c r="S1703" s="474" t="s">
        <v>2379</v>
      </c>
      <c r="T1703" s="474">
        <v>60</v>
      </c>
      <c r="U1703" s="474" t="s">
        <v>1879</v>
      </c>
      <c r="V1703" s="474" t="s">
        <v>3234</v>
      </c>
      <c r="W1703" s="474">
        <v>405</v>
      </c>
      <c r="X1703" s="476">
        <v>1664</v>
      </c>
      <c r="Y1703" s="491">
        <f>X1703*W1703</f>
        <v>673920</v>
      </c>
      <c r="Z1703" s="478">
        <v>0.51</v>
      </c>
      <c r="AA1703" s="492">
        <f>Z1703*Y1703</f>
        <v>343699.20000000001</v>
      </c>
      <c r="AB1703" s="480"/>
      <c r="AC1703" s="481">
        <f>AB1703*Y1703</f>
        <v>0</v>
      </c>
      <c r="AD1703" s="490"/>
      <c r="AE1703" s="482"/>
      <c r="AF1703" s="493">
        <f>AE1703+AD1703+AA1703</f>
        <v>343699.20000000001</v>
      </c>
      <c r="AG1703" s="474" t="s">
        <v>1071</v>
      </c>
      <c r="AH1703" s="474"/>
      <c r="AI1703" s="483">
        <v>60</v>
      </c>
      <c r="AJ1703" s="474" t="s">
        <v>2621</v>
      </c>
      <c r="AK1703" s="494" t="s">
        <v>1144</v>
      </c>
      <c r="AL1703" s="474">
        <v>78218</v>
      </c>
      <c r="AM1703" s="474" t="s">
        <v>52</v>
      </c>
      <c r="AN1703" s="474" t="s">
        <v>50</v>
      </c>
      <c r="AO1703" s="474"/>
      <c r="AP1703" s="486" t="s">
        <v>38</v>
      </c>
      <c r="AQ1703" s="486" t="s">
        <v>37</v>
      </c>
      <c r="AR1703" s="486"/>
      <c r="AS1703" s="495"/>
      <c r="AT1703" s="495"/>
      <c r="AU1703" s="478">
        <v>0.52</v>
      </c>
      <c r="AV1703" s="471" t="str">
        <f t="shared" si="283"/>
        <v>30372157H</v>
      </c>
      <c r="AW1703" s="471" cm="1">
        <f t="array" ref="AW1703">SUM(MID(0&amp;AV1703,LARGE(INDEX(ISNUMBER(--MID(AV1703,ROW($1:$8),1))*ROW($1:$8),),ROW($1:$8))+1,1)*10^ROW($1:$8)/10)</f>
        <v>30372157</v>
      </c>
      <c r="AX1703" s="471" t="str">
        <f>VLOOKUP($AW1703,'Item Master Data'!$A:$F,3,FALSE)</f>
        <v>Q.PEAK DUO ML G10.a+</v>
      </c>
      <c r="AY1703" s="471">
        <f>VLOOKUP($AW1703,'Item Master Data'!$A:$F,6,FALSE)</f>
        <v>405</v>
      </c>
      <c r="AZ1703" s="471">
        <f t="shared" si="284"/>
        <v>52</v>
      </c>
      <c r="BA1703" s="471">
        <f>VLOOKUP(AW1703,'Item Master Data'!$A:$G,7,FALSE)</f>
        <v>32</v>
      </c>
      <c r="BC1703" s="471">
        <f t="shared" si="285"/>
        <v>0</v>
      </c>
    </row>
    <row r="1704" spans="1:55" s="471" customFormat="1">
      <c r="A1704" s="472"/>
      <c r="B1704" s="515"/>
      <c r="C1704" s="515"/>
      <c r="D1704" s="485" t="s">
        <v>3186</v>
      </c>
      <c r="E1704" s="474"/>
      <c r="F1704" s="474"/>
      <c r="G1704" s="474">
        <v>2022</v>
      </c>
      <c r="H1704" s="474">
        <v>6</v>
      </c>
      <c r="I1704" s="474"/>
      <c r="J1704" s="475"/>
      <c r="K1704" s="483" t="s">
        <v>3451</v>
      </c>
      <c r="L1704" s="474" t="s">
        <v>3328</v>
      </c>
      <c r="M1704" s="487">
        <v>44529</v>
      </c>
      <c r="N1704" s="487">
        <v>44713</v>
      </c>
      <c r="O1704" s="487"/>
      <c r="P1704" s="475"/>
      <c r="Q1704" s="475"/>
      <c r="R1704" s="475"/>
      <c r="S1704" s="474" t="s">
        <v>2379</v>
      </c>
      <c r="T1704" s="474">
        <v>60</v>
      </c>
      <c r="U1704" s="474">
        <v>49401140</v>
      </c>
      <c r="V1704" s="474" t="s">
        <v>973</v>
      </c>
      <c r="W1704" s="474">
        <v>400</v>
      </c>
      <c r="X1704" s="476">
        <v>9216</v>
      </c>
      <c r="Y1704" s="477">
        <f>X1704*W1704</f>
        <v>3686400</v>
      </c>
      <c r="Z1704" s="478">
        <v>0.52</v>
      </c>
      <c r="AA1704" s="479">
        <f>Z1704*Y1704</f>
        <v>1916928</v>
      </c>
      <c r="AB1704" s="480"/>
      <c r="AC1704" s="481">
        <f>AB1704*Y1704</f>
        <v>0</v>
      </c>
      <c r="AD1704" s="490"/>
      <c r="AE1704" s="482"/>
      <c r="AF1704" s="493">
        <f>AE1704+AD1704+AA1704</f>
        <v>1916928</v>
      </c>
      <c r="AG1704" s="474" t="s">
        <v>1071</v>
      </c>
      <c r="AH1704" s="474"/>
      <c r="AI1704" s="483">
        <v>60</v>
      </c>
      <c r="AJ1704" s="474" t="s">
        <v>2621</v>
      </c>
      <c r="AK1704" s="494" t="s">
        <v>1144</v>
      </c>
      <c r="AL1704" s="474">
        <v>78218</v>
      </c>
      <c r="AM1704" s="474" t="s">
        <v>52</v>
      </c>
      <c r="AN1704" s="474"/>
      <c r="AO1704" s="474"/>
      <c r="AP1704" s="486"/>
      <c r="AQ1704" s="486" t="s">
        <v>37</v>
      </c>
      <c r="AR1704" s="486"/>
      <c r="AS1704" s="495"/>
      <c r="AT1704" s="495"/>
      <c r="AU1704" s="478"/>
      <c r="AV1704" s="471">
        <f t="shared" si="283"/>
        <v>49401140</v>
      </c>
      <c r="AW1704" s="471" cm="1">
        <f t="array" ref="AW1704">SUM(MID(0&amp;AV1704,LARGE(INDEX(ISNUMBER(--MID(AV1704,ROW($1:$8),1))*ROW($1:$8),),ROW($1:$8))+1,1)*10^ROW($1:$8)/10)</f>
        <v>49401140</v>
      </c>
      <c r="AX1704" s="471" t="str">
        <f>VLOOKUP($AW1704,'Item Master Data'!$A:$F,3,FALSE)</f>
        <v>Q.PEAK DUO BLK ML G10.a+</v>
      </c>
      <c r="AY1704" s="471">
        <f>VLOOKUP($AW1704,'Item Master Data'!$A:$F,6,FALSE)</f>
        <v>400</v>
      </c>
      <c r="AZ1704" s="471">
        <f t="shared" si="284"/>
        <v>288</v>
      </c>
      <c r="BA1704" s="471">
        <f>VLOOKUP(AW1704,'Item Master Data'!$A:$G,7,FALSE)</f>
        <v>32</v>
      </c>
      <c r="BC1704" s="471">
        <f t="shared" si="285"/>
        <v>0</v>
      </c>
    </row>
    <row r="1705" spans="1:55" s="471" customFormat="1">
      <c r="A1705" s="472"/>
      <c r="B1705" s="515"/>
      <c r="C1705" s="515"/>
      <c r="D1705" s="485" t="s">
        <v>3186</v>
      </c>
      <c r="E1705" s="474"/>
      <c r="F1705" s="474"/>
      <c r="G1705" s="474">
        <v>2022</v>
      </c>
      <c r="H1705" s="474">
        <v>5</v>
      </c>
      <c r="I1705" s="474"/>
      <c r="J1705" s="475"/>
      <c r="K1705" s="483" t="s">
        <v>3407</v>
      </c>
      <c r="L1705" s="474" t="s">
        <v>3328</v>
      </c>
      <c r="M1705" s="487">
        <v>44529</v>
      </c>
      <c r="N1705" s="487">
        <v>44682</v>
      </c>
      <c r="O1705" s="487"/>
      <c r="P1705" s="475"/>
      <c r="Q1705" s="475"/>
      <c r="R1705" s="475"/>
      <c r="S1705" s="474" t="s">
        <v>2379</v>
      </c>
      <c r="T1705" s="474">
        <v>60</v>
      </c>
      <c r="U1705" s="474">
        <v>49401140</v>
      </c>
      <c r="V1705" s="474" t="s">
        <v>973</v>
      </c>
      <c r="W1705" s="474">
        <v>400</v>
      </c>
      <c r="X1705" s="476">
        <v>9216</v>
      </c>
      <c r="Y1705" s="477">
        <f>X1705*W1705</f>
        <v>3686400</v>
      </c>
      <c r="Z1705" s="478">
        <v>0.52</v>
      </c>
      <c r="AA1705" s="479">
        <f>Z1705*Y1705</f>
        <v>1916928</v>
      </c>
      <c r="AB1705" s="480"/>
      <c r="AC1705" s="481">
        <f>AB1705*Y1705</f>
        <v>0</v>
      </c>
      <c r="AD1705" s="490"/>
      <c r="AE1705" s="482"/>
      <c r="AF1705" s="493">
        <f>AE1705+AD1705+AA1705</f>
        <v>1916928</v>
      </c>
      <c r="AG1705" s="474" t="s">
        <v>1071</v>
      </c>
      <c r="AH1705" s="474"/>
      <c r="AI1705" s="483">
        <v>60</v>
      </c>
      <c r="AJ1705" s="474" t="s">
        <v>2621</v>
      </c>
      <c r="AK1705" s="494" t="s">
        <v>1144</v>
      </c>
      <c r="AL1705" s="474">
        <v>78218</v>
      </c>
      <c r="AM1705" s="474" t="s">
        <v>52</v>
      </c>
      <c r="AN1705" s="474"/>
      <c r="AO1705" s="474"/>
      <c r="AP1705" s="486"/>
      <c r="AQ1705" s="486" t="s">
        <v>37</v>
      </c>
      <c r="AR1705" s="486"/>
      <c r="AS1705" s="495"/>
      <c r="AT1705" s="495"/>
      <c r="AU1705" s="478"/>
      <c r="AV1705" s="471">
        <f t="shared" si="283"/>
        <v>49401140</v>
      </c>
      <c r="AW1705" s="471" cm="1">
        <f t="array" ref="AW1705">SUM(MID(0&amp;AV1705,LARGE(INDEX(ISNUMBER(--MID(AV1705,ROW($1:$8),1))*ROW($1:$8),),ROW($1:$8))+1,1)*10^ROW($1:$8)/10)</f>
        <v>49401140</v>
      </c>
      <c r="AX1705" s="471" t="str">
        <f>VLOOKUP($AW1705,'Item Master Data'!$A:$F,3,FALSE)</f>
        <v>Q.PEAK DUO BLK ML G10.a+</v>
      </c>
      <c r="AY1705" s="471">
        <f>VLOOKUP($AW1705,'Item Master Data'!$A:$F,6,FALSE)</f>
        <v>400</v>
      </c>
      <c r="AZ1705" s="471">
        <f t="shared" si="284"/>
        <v>288</v>
      </c>
      <c r="BA1705" s="471">
        <f>VLOOKUP(AW1705,'Item Master Data'!$A:$G,7,FALSE)</f>
        <v>32</v>
      </c>
      <c r="BC1705" s="471">
        <f t="shared" si="285"/>
        <v>0</v>
      </c>
    </row>
    <row r="1706" spans="1:55" s="471" customFormat="1">
      <c r="A1706" s="472"/>
      <c r="B1706" s="515"/>
      <c r="C1706" s="515"/>
      <c r="D1706" s="485" t="s">
        <v>3186</v>
      </c>
      <c r="E1706" s="474" t="s">
        <v>3215</v>
      </c>
      <c r="F1706" s="474"/>
      <c r="G1706" s="474">
        <v>2022</v>
      </c>
      <c r="H1706" s="474">
        <v>6</v>
      </c>
      <c r="I1706" s="474"/>
      <c r="J1706" s="475"/>
      <c r="K1706" s="483" t="s">
        <v>3449</v>
      </c>
      <c r="L1706" s="474" t="s">
        <v>3328</v>
      </c>
      <c r="M1706" s="487">
        <v>44512</v>
      </c>
      <c r="N1706" s="487">
        <v>44624</v>
      </c>
      <c r="O1706" s="487"/>
      <c r="P1706" s="475"/>
      <c r="Q1706" s="475"/>
      <c r="R1706" s="475"/>
      <c r="S1706" s="474" t="s">
        <v>3450</v>
      </c>
      <c r="T1706" s="474">
        <v>60</v>
      </c>
      <c r="U1706" s="474">
        <v>49401140</v>
      </c>
      <c r="V1706" s="474" t="s">
        <v>973</v>
      </c>
      <c r="W1706" s="474">
        <v>400</v>
      </c>
      <c r="X1706" s="476">
        <v>3840</v>
      </c>
      <c r="Y1706" s="477">
        <f>X1706*W1706</f>
        <v>1536000</v>
      </c>
      <c r="Z1706" s="478">
        <v>0.46500000000000002</v>
      </c>
      <c r="AA1706" s="479">
        <f>Z1706*Y1706</f>
        <v>714240</v>
      </c>
      <c r="AB1706" s="480"/>
      <c r="AC1706" s="481">
        <f>AB1706*Y1706</f>
        <v>0</v>
      </c>
      <c r="AD1706" s="490"/>
      <c r="AE1706" s="482"/>
      <c r="AF1706" s="493">
        <f>AE1706+AD1706+AA1706</f>
        <v>714240</v>
      </c>
      <c r="AG1706" s="474" t="s">
        <v>1071</v>
      </c>
      <c r="AH1706" s="474"/>
      <c r="AI1706" s="483">
        <v>60</v>
      </c>
      <c r="AJ1706" s="474" t="s">
        <v>2621</v>
      </c>
      <c r="AK1706" s="494" t="s">
        <v>1144</v>
      </c>
      <c r="AL1706" s="474">
        <v>78218</v>
      </c>
      <c r="AM1706" s="474" t="s">
        <v>52</v>
      </c>
      <c r="AN1706" s="474"/>
      <c r="AO1706" s="474"/>
      <c r="AP1706" s="486"/>
      <c r="AQ1706" s="486" t="s">
        <v>37</v>
      </c>
      <c r="AR1706" s="486" t="s">
        <v>1248</v>
      </c>
      <c r="AS1706" s="495"/>
      <c r="AT1706" s="495"/>
      <c r="AU1706" s="478">
        <v>0.46500000000000002</v>
      </c>
      <c r="AV1706" s="471">
        <f t="shared" si="283"/>
        <v>49401140</v>
      </c>
      <c r="AW1706" s="471" cm="1">
        <f t="array" ref="AW1706">SUM(MID(0&amp;AV1706,LARGE(INDEX(ISNUMBER(--MID(AV1706,ROW($1:$8),1))*ROW($1:$8),),ROW($1:$8))+1,1)*10^ROW($1:$8)/10)</f>
        <v>49401140</v>
      </c>
      <c r="AX1706" s="471" t="str">
        <f>VLOOKUP($AW1706,'Item Master Data'!$A:$F,3,FALSE)</f>
        <v>Q.PEAK DUO BLK ML G10.a+</v>
      </c>
      <c r="AY1706" s="471">
        <f>VLOOKUP($AW1706,'Item Master Data'!$A:$F,6,FALSE)</f>
        <v>400</v>
      </c>
      <c r="AZ1706" s="471">
        <f t="shared" si="284"/>
        <v>120</v>
      </c>
      <c r="BA1706" s="471">
        <f>VLOOKUP(AW1706,'Item Master Data'!$A:$G,7,FALSE)</f>
        <v>32</v>
      </c>
      <c r="BC1706" s="471">
        <f t="shared" si="285"/>
        <v>0</v>
      </c>
    </row>
    <row r="1707" spans="1:55" s="471" customFormat="1">
      <c r="A1707" s="472"/>
      <c r="B1707" s="515"/>
      <c r="C1707" s="515"/>
      <c r="D1707" s="485" t="s">
        <v>3186</v>
      </c>
      <c r="E1707" s="474" t="s">
        <v>3215</v>
      </c>
      <c r="F1707" s="474"/>
      <c r="G1707" s="474">
        <v>2022</v>
      </c>
      <c r="H1707" s="474">
        <v>5</v>
      </c>
      <c r="I1707" s="474"/>
      <c r="J1707" s="475"/>
      <c r="K1707" s="483" t="s">
        <v>3406</v>
      </c>
      <c r="L1707" s="474" t="s">
        <v>3328</v>
      </c>
      <c r="M1707" s="487">
        <v>44512</v>
      </c>
      <c r="N1707" s="487">
        <v>44595</v>
      </c>
      <c r="O1707" s="487"/>
      <c r="P1707" s="475"/>
      <c r="Q1707" s="475"/>
      <c r="R1707" s="475"/>
      <c r="S1707" s="474" t="s">
        <v>2379</v>
      </c>
      <c r="T1707" s="474">
        <v>60</v>
      </c>
      <c r="U1707" s="474">
        <v>49401140</v>
      </c>
      <c r="V1707" s="474" t="s">
        <v>973</v>
      </c>
      <c r="W1707" s="474">
        <v>400</v>
      </c>
      <c r="X1707" s="476">
        <v>3840</v>
      </c>
      <c r="Y1707" s="477">
        <f>X1707*W1707</f>
        <v>1536000</v>
      </c>
      <c r="Z1707" s="478">
        <v>0.46500000000000002</v>
      </c>
      <c r="AA1707" s="479">
        <f>Z1707*Y1707</f>
        <v>714240</v>
      </c>
      <c r="AB1707" s="480"/>
      <c r="AC1707" s="481">
        <f>AB1707*Y1707</f>
        <v>0</v>
      </c>
      <c r="AD1707" s="490"/>
      <c r="AE1707" s="482"/>
      <c r="AF1707" s="493">
        <f>AE1707+AD1707+AA1707</f>
        <v>714240</v>
      </c>
      <c r="AG1707" s="474" t="s">
        <v>1071</v>
      </c>
      <c r="AH1707" s="474"/>
      <c r="AI1707" s="483">
        <v>60</v>
      </c>
      <c r="AJ1707" s="474" t="s">
        <v>2621</v>
      </c>
      <c r="AK1707" s="494" t="s">
        <v>1144</v>
      </c>
      <c r="AL1707" s="474">
        <v>78218</v>
      </c>
      <c r="AM1707" s="474" t="s">
        <v>52</v>
      </c>
      <c r="AN1707" s="474"/>
      <c r="AO1707" s="474"/>
      <c r="AP1707" s="486"/>
      <c r="AQ1707" s="486" t="s">
        <v>37</v>
      </c>
      <c r="AR1707" s="486" t="s">
        <v>1248</v>
      </c>
      <c r="AS1707" s="495"/>
      <c r="AT1707" s="495"/>
      <c r="AU1707" s="478">
        <v>0.46500000000000002</v>
      </c>
      <c r="AV1707" s="471">
        <f t="shared" si="283"/>
        <v>49401140</v>
      </c>
      <c r="AW1707" s="471" cm="1">
        <f t="array" ref="AW1707">SUM(MID(0&amp;AV1707,LARGE(INDEX(ISNUMBER(--MID(AV1707,ROW($1:$8),1))*ROW($1:$8),),ROW($1:$8))+1,1)*10^ROW($1:$8)/10)</f>
        <v>49401140</v>
      </c>
      <c r="AX1707" s="471" t="str">
        <f>VLOOKUP($AW1707,'Item Master Data'!$A:$F,3,FALSE)</f>
        <v>Q.PEAK DUO BLK ML G10.a+</v>
      </c>
      <c r="AY1707" s="471">
        <f>VLOOKUP($AW1707,'Item Master Data'!$A:$F,6,FALSE)</f>
        <v>400</v>
      </c>
      <c r="AZ1707" s="471">
        <f t="shared" si="284"/>
        <v>120</v>
      </c>
      <c r="BA1707" s="471">
        <f>VLOOKUP(AW1707,'Item Master Data'!$A:$G,7,FALSE)</f>
        <v>32</v>
      </c>
      <c r="BC1707" s="471">
        <f t="shared" si="285"/>
        <v>0</v>
      </c>
    </row>
    <row r="1708" spans="1:55" s="471" customFormat="1">
      <c r="A1708" s="472"/>
      <c r="B1708" s="515"/>
      <c r="C1708" s="515"/>
      <c r="D1708" s="485" t="s">
        <v>3186</v>
      </c>
      <c r="E1708" s="474" t="s">
        <v>3215</v>
      </c>
      <c r="F1708" s="474"/>
      <c r="G1708" s="474">
        <v>2022</v>
      </c>
      <c r="H1708" s="474">
        <v>5</v>
      </c>
      <c r="I1708" s="474"/>
      <c r="J1708" s="475"/>
      <c r="K1708" s="483" t="s">
        <v>3405</v>
      </c>
      <c r="L1708" s="474" t="s">
        <v>3328</v>
      </c>
      <c r="M1708" s="487">
        <v>44512</v>
      </c>
      <c r="N1708" s="487">
        <v>44564</v>
      </c>
      <c r="O1708" s="487"/>
      <c r="P1708" s="475"/>
      <c r="Q1708" s="475"/>
      <c r="R1708" s="475"/>
      <c r="S1708" s="474" t="s">
        <v>2379</v>
      </c>
      <c r="T1708" s="474">
        <v>60</v>
      </c>
      <c r="U1708" s="474">
        <v>49401140</v>
      </c>
      <c r="V1708" s="474" t="s">
        <v>973</v>
      </c>
      <c r="W1708" s="474">
        <v>400</v>
      </c>
      <c r="X1708" s="476">
        <v>3840</v>
      </c>
      <c r="Y1708" s="477">
        <f>X1708*W1708</f>
        <v>1536000</v>
      </c>
      <c r="Z1708" s="478">
        <v>0.46500000000000002</v>
      </c>
      <c r="AA1708" s="479">
        <f>Z1708*Y1708</f>
        <v>714240</v>
      </c>
      <c r="AB1708" s="480"/>
      <c r="AC1708" s="481">
        <f>AB1708*Y1708</f>
        <v>0</v>
      </c>
      <c r="AD1708" s="490"/>
      <c r="AE1708" s="482"/>
      <c r="AF1708" s="493">
        <f>AE1708+AD1708+AA1708</f>
        <v>714240</v>
      </c>
      <c r="AG1708" s="474" t="s">
        <v>1071</v>
      </c>
      <c r="AH1708" s="474"/>
      <c r="AI1708" s="483">
        <v>60</v>
      </c>
      <c r="AJ1708" s="474" t="s">
        <v>2621</v>
      </c>
      <c r="AK1708" s="494" t="s">
        <v>1144</v>
      </c>
      <c r="AL1708" s="474">
        <v>78218</v>
      </c>
      <c r="AM1708" s="474" t="s">
        <v>52</v>
      </c>
      <c r="AN1708" s="474"/>
      <c r="AO1708" s="474"/>
      <c r="AP1708" s="486"/>
      <c r="AQ1708" s="486" t="s">
        <v>37</v>
      </c>
      <c r="AR1708" s="486" t="s">
        <v>1248</v>
      </c>
      <c r="AS1708" s="495"/>
      <c r="AT1708" s="495"/>
      <c r="AU1708" s="478">
        <v>0.46500000000000002</v>
      </c>
      <c r="AV1708" s="471">
        <f t="shared" si="283"/>
        <v>49401140</v>
      </c>
      <c r="AW1708" s="471" cm="1">
        <f t="array" ref="AW1708">SUM(MID(0&amp;AV1708,LARGE(INDEX(ISNUMBER(--MID(AV1708,ROW($1:$8),1))*ROW($1:$8),),ROW($1:$8))+1,1)*10^ROW($1:$8)/10)</f>
        <v>49401140</v>
      </c>
      <c r="AX1708" s="471" t="str">
        <f>VLOOKUP($AW1708,'Item Master Data'!$A:$F,3,FALSE)</f>
        <v>Q.PEAK DUO BLK ML G10.a+</v>
      </c>
      <c r="AY1708" s="471">
        <f>VLOOKUP($AW1708,'Item Master Data'!$A:$F,6,FALSE)</f>
        <v>400</v>
      </c>
      <c r="AZ1708" s="471">
        <f t="shared" si="284"/>
        <v>120</v>
      </c>
      <c r="BA1708" s="471">
        <f>VLOOKUP(AW1708,'Item Master Data'!$A:$G,7,FALSE)</f>
        <v>32</v>
      </c>
      <c r="BC1708" s="471">
        <f t="shared" si="285"/>
        <v>0</v>
      </c>
    </row>
    <row r="1709" spans="1:55" s="471" customFormat="1">
      <c r="A1709" s="472"/>
      <c r="B1709" s="472"/>
      <c r="C1709" s="472"/>
      <c r="D1709" s="485" t="s">
        <v>3186</v>
      </c>
      <c r="E1709" s="474" t="s">
        <v>3215</v>
      </c>
      <c r="F1709" s="474"/>
      <c r="G1709" s="474">
        <v>2022</v>
      </c>
      <c r="H1709" s="474">
        <v>5</v>
      </c>
      <c r="I1709" s="474" t="s">
        <v>3337</v>
      </c>
      <c r="J1709" s="475"/>
      <c r="K1709" s="483" t="s">
        <v>3346</v>
      </c>
      <c r="L1709" s="474" t="s">
        <v>3328</v>
      </c>
      <c r="M1709" s="487">
        <v>44509</v>
      </c>
      <c r="N1709" s="487">
        <v>44622</v>
      </c>
      <c r="O1709" s="487"/>
      <c r="P1709" s="475"/>
      <c r="Q1709" s="475"/>
      <c r="R1709" s="475"/>
      <c r="S1709" s="474" t="s">
        <v>2379</v>
      </c>
      <c r="T1709" s="474">
        <v>60</v>
      </c>
      <c r="U1709" s="474">
        <v>49401140</v>
      </c>
      <c r="V1709" s="474" t="s">
        <v>2855</v>
      </c>
      <c r="W1709" s="474">
        <v>400</v>
      </c>
      <c r="X1709" s="476">
        <v>3072</v>
      </c>
      <c r="Y1709" s="491">
        <f>X1709*W1709</f>
        <v>1228800</v>
      </c>
      <c r="Z1709" s="478">
        <v>0.55000000000000004</v>
      </c>
      <c r="AA1709" s="492">
        <f>Z1709*Y1709</f>
        <v>675840</v>
      </c>
      <c r="AB1709" s="480"/>
      <c r="AC1709" s="481">
        <f>AB1709*Y1709</f>
        <v>0</v>
      </c>
      <c r="AD1709" s="490"/>
      <c r="AE1709" s="482"/>
      <c r="AF1709" s="493">
        <f>AE1709+AD1709+AA1709</f>
        <v>675840</v>
      </c>
      <c r="AG1709" s="474" t="s">
        <v>1071</v>
      </c>
      <c r="AH1709" s="474"/>
      <c r="AI1709" s="483" t="s">
        <v>2442</v>
      </c>
      <c r="AJ1709" s="474" t="s">
        <v>2426</v>
      </c>
      <c r="AK1709" s="494" t="s">
        <v>1144</v>
      </c>
      <c r="AL1709" s="474">
        <v>78218</v>
      </c>
      <c r="AM1709" s="474" t="s">
        <v>52</v>
      </c>
      <c r="AN1709" s="474" t="s">
        <v>1074</v>
      </c>
      <c r="AO1709" s="474"/>
      <c r="AP1709" s="486"/>
      <c r="AQ1709" s="486" t="s">
        <v>37</v>
      </c>
      <c r="AR1709" s="486" t="s">
        <v>1960</v>
      </c>
      <c r="AS1709" s="495"/>
      <c r="AT1709" s="495"/>
      <c r="AU1709" s="478">
        <v>0.49</v>
      </c>
      <c r="AV1709" s="471">
        <f t="shared" si="283"/>
        <v>49401140</v>
      </c>
      <c r="AW1709" s="471" cm="1">
        <f t="array" ref="AW1709">SUM(MID(0&amp;AV1709,LARGE(INDEX(ISNUMBER(--MID(AV1709,ROW($1:$8),1))*ROW($1:$8),),ROW($1:$8))+1,1)*10^ROW($1:$8)/10)</f>
        <v>49401140</v>
      </c>
      <c r="AX1709" s="471" t="str">
        <f>VLOOKUP($AW1709,'Item Master Data'!$A:$F,3,FALSE)</f>
        <v>Q.PEAK DUO BLK ML G10.a+</v>
      </c>
      <c r="AY1709" s="471">
        <f>VLOOKUP($AW1709,'Item Master Data'!$A:$F,6,FALSE)</f>
        <v>400</v>
      </c>
      <c r="AZ1709" s="471">
        <f t="shared" si="284"/>
        <v>96</v>
      </c>
      <c r="BA1709" s="471">
        <f>VLOOKUP(AW1709,'Item Master Data'!$A:$G,7,FALSE)</f>
        <v>32</v>
      </c>
      <c r="BC1709" s="471">
        <f t="shared" si="285"/>
        <v>0</v>
      </c>
    </row>
    <row r="1710" spans="1:55" s="471" customFormat="1">
      <c r="A1710" s="472"/>
      <c r="B1710" s="515">
        <v>44665</v>
      </c>
      <c r="C1710" s="515">
        <v>44665</v>
      </c>
      <c r="D1710" s="485" t="s">
        <v>3186</v>
      </c>
      <c r="E1710" s="474" t="s">
        <v>5420</v>
      </c>
      <c r="F1710" s="474"/>
      <c r="G1710" s="474">
        <v>2022</v>
      </c>
      <c r="H1710" s="474">
        <v>4</v>
      </c>
      <c r="I1710" s="474">
        <v>128156</v>
      </c>
      <c r="J1710" s="475">
        <v>44673</v>
      </c>
      <c r="K1710" s="483" t="s">
        <v>3340</v>
      </c>
      <c r="L1710" s="474" t="s">
        <v>3328</v>
      </c>
      <c r="M1710" s="487">
        <v>44509</v>
      </c>
      <c r="N1710" s="487">
        <v>44622</v>
      </c>
      <c r="O1710" s="487"/>
      <c r="P1710" s="475">
        <v>44666</v>
      </c>
      <c r="Q1710" s="475">
        <v>44673</v>
      </c>
      <c r="R1710" s="475">
        <v>44676</v>
      </c>
      <c r="S1710" s="474" t="s">
        <v>2379</v>
      </c>
      <c r="T1710" s="474">
        <v>60</v>
      </c>
      <c r="U1710" s="474" t="s">
        <v>1760</v>
      </c>
      <c r="V1710" s="474" t="s">
        <v>2855</v>
      </c>
      <c r="W1710" s="474">
        <v>400</v>
      </c>
      <c r="X1710" s="476">
        <v>3072</v>
      </c>
      <c r="Y1710" s="491">
        <f>X1710*W1710</f>
        <v>1228800</v>
      </c>
      <c r="Z1710" s="478">
        <v>0.55000000000000004</v>
      </c>
      <c r="AA1710" s="492">
        <f>Z1710*Y1710</f>
        <v>675840</v>
      </c>
      <c r="AB1710" s="480"/>
      <c r="AC1710" s="481">
        <f>AB1710*Y1710</f>
        <v>0</v>
      </c>
      <c r="AD1710" s="490"/>
      <c r="AE1710" s="482"/>
      <c r="AF1710" s="493">
        <f>AE1710+AD1710+AA1710</f>
        <v>675840</v>
      </c>
      <c r="AG1710" s="474" t="s">
        <v>1071</v>
      </c>
      <c r="AH1710" s="474"/>
      <c r="AI1710" s="483" t="s">
        <v>2442</v>
      </c>
      <c r="AJ1710" s="474" t="s">
        <v>2426</v>
      </c>
      <c r="AK1710" s="494" t="s">
        <v>1144</v>
      </c>
      <c r="AL1710" s="474">
        <v>78218</v>
      </c>
      <c r="AM1710" s="474" t="s">
        <v>52</v>
      </c>
      <c r="AN1710" s="474" t="s">
        <v>50</v>
      </c>
      <c r="AO1710" s="474"/>
      <c r="AP1710" s="486" t="s">
        <v>38</v>
      </c>
      <c r="AQ1710" s="486" t="s">
        <v>37</v>
      </c>
      <c r="AR1710" s="486" t="s">
        <v>1960</v>
      </c>
      <c r="AS1710" s="495"/>
      <c r="AT1710" s="495"/>
      <c r="AU1710" s="478">
        <v>0.49</v>
      </c>
      <c r="AV1710" s="471" t="str">
        <f t="shared" si="283"/>
        <v>30390156H</v>
      </c>
      <c r="AW1710" s="471" cm="1">
        <f t="array" ref="AW1710">SUM(MID(0&amp;AV1710,LARGE(INDEX(ISNUMBER(--MID(AV1710,ROW($1:$8),1))*ROW($1:$8),),ROW($1:$8))+1,1)*10^ROW($1:$8)/10)</f>
        <v>30390156</v>
      </c>
      <c r="AX1710" s="471" t="str">
        <f>VLOOKUP($AW1710,'Item Master Data'!$A:$F,3,FALSE)</f>
        <v>Q.PEAK DUO BLK ML G10+</v>
      </c>
      <c r="AY1710" s="471">
        <f>VLOOKUP($AW1710,'Item Master Data'!$A:$F,6,FALSE)</f>
        <v>400</v>
      </c>
      <c r="AZ1710" s="471">
        <f t="shared" si="284"/>
        <v>96</v>
      </c>
      <c r="BA1710" s="471">
        <f>VLOOKUP(AW1710,'Item Master Data'!$A:$G,7,FALSE)</f>
        <v>32</v>
      </c>
      <c r="BC1710" s="471">
        <f t="shared" si="285"/>
        <v>0</v>
      </c>
    </row>
    <row r="1711" spans="1:55" s="471" customFormat="1">
      <c r="A1711" s="472"/>
      <c r="B1711" s="515"/>
      <c r="C1711" s="515"/>
      <c r="D1711" s="485" t="s">
        <v>3186</v>
      </c>
      <c r="E1711" s="474" t="s">
        <v>3215</v>
      </c>
      <c r="F1711" s="474"/>
      <c r="G1711" s="474">
        <v>2022</v>
      </c>
      <c r="H1711" s="474">
        <v>5</v>
      </c>
      <c r="I1711" s="474"/>
      <c r="J1711" s="475"/>
      <c r="K1711" s="483" t="s">
        <v>3404</v>
      </c>
      <c r="L1711" s="474" t="s">
        <v>3328</v>
      </c>
      <c r="M1711" s="487">
        <v>44509</v>
      </c>
      <c r="N1711" s="487">
        <v>44595</v>
      </c>
      <c r="O1711" s="487"/>
      <c r="P1711" s="475"/>
      <c r="Q1711" s="475"/>
      <c r="R1711" s="475"/>
      <c r="S1711" s="474" t="s">
        <v>2379</v>
      </c>
      <c r="T1711" s="474">
        <v>60</v>
      </c>
      <c r="U1711" s="474">
        <v>49401140</v>
      </c>
      <c r="V1711" s="474" t="s">
        <v>973</v>
      </c>
      <c r="W1711" s="474">
        <v>400</v>
      </c>
      <c r="X1711" s="476">
        <v>6144</v>
      </c>
      <c r="Y1711" s="477">
        <f>X1711*W1711</f>
        <v>2457600</v>
      </c>
      <c r="Z1711" s="478">
        <v>0.49</v>
      </c>
      <c r="AA1711" s="479">
        <f>Z1711*Y1711</f>
        <v>1204224</v>
      </c>
      <c r="AB1711" s="480"/>
      <c r="AC1711" s="481">
        <f>AB1711*Y1711</f>
        <v>0</v>
      </c>
      <c r="AD1711" s="490"/>
      <c r="AE1711" s="482"/>
      <c r="AF1711" s="493">
        <f>AE1711+AD1711+AA1711</f>
        <v>1204224</v>
      </c>
      <c r="AG1711" s="474" t="s">
        <v>1071</v>
      </c>
      <c r="AH1711" s="474"/>
      <c r="AI1711" s="483" t="s">
        <v>2442</v>
      </c>
      <c r="AJ1711" s="474" t="s">
        <v>2426</v>
      </c>
      <c r="AK1711" s="494" t="s">
        <v>1144</v>
      </c>
      <c r="AL1711" s="474">
        <v>78218</v>
      </c>
      <c r="AM1711" s="474" t="s">
        <v>52</v>
      </c>
      <c r="AN1711" s="474" t="s">
        <v>1074</v>
      </c>
      <c r="AO1711" s="474"/>
      <c r="AP1711" s="486"/>
      <c r="AQ1711" s="486" t="s">
        <v>37</v>
      </c>
      <c r="AR1711" s="486" t="s">
        <v>1960</v>
      </c>
      <c r="AS1711" s="495"/>
      <c r="AT1711" s="495"/>
      <c r="AU1711" s="478">
        <v>0.49</v>
      </c>
      <c r="AV1711" s="471">
        <f t="shared" si="283"/>
        <v>49401140</v>
      </c>
      <c r="AW1711" s="471" cm="1">
        <f t="array" ref="AW1711">SUM(MID(0&amp;AV1711,LARGE(INDEX(ISNUMBER(--MID(AV1711,ROW($1:$8),1))*ROW($1:$8),),ROW($1:$8))+1,1)*10^ROW($1:$8)/10)</f>
        <v>49401140</v>
      </c>
      <c r="AX1711" s="471" t="str">
        <f>VLOOKUP($AW1711,'Item Master Data'!$A:$F,3,FALSE)</f>
        <v>Q.PEAK DUO BLK ML G10.a+</v>
      </c>
      <c r="AY1711" s="471">
        <f>VLOOKUP($AW1711,'Item Master Data'!$A:$F,6,FALSE)</f>
        <v>400</v>
      </c>
      <c r="AZ1711" s="471">
        <f t="shared" si="284"/>
        <v>192</v>
      </c>
      <c r="BA1711" s="471">
        <f>VLOOKUP(AW1711,'Item Master Data'!$A:$G,7,FALSE)</f>
        <v>32</v>
      </c>
      <c r="BC1711" s="471">
        <f t="shared" si="285"/>
        <v>0</v>
      </c>
    </row>
    <row r="1712" spans="1:55" s="471" customFormat="1">
      <c r="A1712" s="472"/>
      <c r="B1712" s="515"/>
      <c r="C1712" s="515"/>
      <c r="D1712" s="485" t="s">
        <v>3186</v>
      </c>
      <c r="E1712" s="474" t="s">
        <v>3215</v>
      </c>
      <c r="F1712" s="474"/>
      <c r="G1712" s="474">
        <v>2022</v>
      </c>
      <c r="H1712" s="474">
        <v>5</v>
      </c>
      <c r="I1712" s="474"/>
      <c r="J1712" s="475"/>
      <c r="K1712" s="483" t="s">
        <v>3403</v>
      </c>
      <c r="L1712" s="474" t="s">
        <v>3328</v>
      </c>
      <c r="M1712" s="487">
        <v>44503</v>
      </c>
      <c r="N1712" s="487">
        <v>44622</v>
      </c>
      <c r="O1712" s="487"/>
      <c r="P1712" s="475"/>
      <c r="Q1712" s="475"/>
      <c r="R1712" s="475"/>
      <c r="S1712" s="474" t="s">
        <v>2379</v>
      </c>
      <c r="T1712" s="474">
        <v>60</v>
      </c>
      <c r="U1712" s="474">
        <v>49401140</v>
      </c>
      <c r="V1712" s="474" t="s">
        <v>973</v>
      </c>
      <c r="W1712" s="474">
        <v>400</v>
      </c>
      <c r="X1712" s="476">
        <v>3840</v>
      </c>
      <c r="Y1712" s="477">
        <f>X1712*W1712</f>
        <v>1536000</v>
      </c>
      <c r="Z1712" s="478">
        <v>0.45500000000000002</v>
      </c>
      <c r="AA1712" s="479">
        <f>Z1712*Y1712</f>
        <v>698880</v>
      </c>
      <c r="AB1712" s="480"/>
      <c r="AC1712" s="481">
        <f>AB1712*Y1712</f>
        <v>0</v>
      </c>
      <c r="AD1712" s="490"/>
      <c r="AE1712" s="482"/>
      <c r="AF1712" s="493">
        <f>AE1712+AD1712+AA1712</f>
        <v>698880</v>
      </c>
      <c r="AG1712" s="474" t="s">
        <v>1071</v>
      </c>
      <c r="AH1712" s="474"/>
      <c r="AI1712" s="483" t="s">
        <v>2442</v>
      </c>
      <c r="AJ1712" s="474" t="s">
        <v>2426</v>
      </c>
      <c r="AK1712" s="494" t="s">
        <v>1144</v>
      </c>
      <c r="AL1712" s="474">
        <v>78218</v>
      </c>
      <c r="AM1712" s="474" t="s">
        <v>52</v>
      </c>
      <c r="AN1712" s="474"/>
      <c r="AO1712" s="474"/>
      <c r="AP1712" s="486"/>
      <c r="AQ1712" s="486" t="s">
        <v>37</v>
      </c>
      <c r="AR1712" s="486" t="s">
        <v>1677</v>
      </c>
      <c r="AS1712" s="495"/>
      <c r="AT1712" s="495"/>
      <c r="AU1712" s="478">
        <v>0.45500000000000002</v>
      </c>
      <c r="AV1712" s="471">
        <f t="shared" si="283"/>
        <v>49401140</v>
      </c>
      <c r="AW1712" s="471" cm="1">
        <f t="array" ref="AW1712">SUM(MID(0&amp;AV1712,LARGE(INDEX(ISNUMBER(--MID(AV1712,ROW($1:$8),1))*ROW($1:$8),),ROW($1:$8))+1,1)*10^ROW($1:$8)/10)</f>
        <v>49401140</v>
      </c>
      <c r="AX1712" s="471" t="str">
        <f>VLOOKUP($AW1712,'Item Master Data'!$A:$F,3,FALSE)</f>
        <v>Q.PEAK DUO BLK ML G10.a+</v>
      </c>
      <c r="AY1712" s="471">
        <f>VLOOKUP($AW1712,'Item Master Data'!$A:$F,6,FALSE)</f>
        <v>400</v>
      </c>
      <c r="AZ1712" s="471">
        <f t="shared" si="284"/>
        <v>120</v>
      </c>
      <c r="BA1712" s="471">
        <f>VLOOKUP(AW1712,'Item Master Data'!$A:$G,7,FALSE)</f>
        <v>32</v>
      </c>
      <c r="BC1712" s="471">
        <f t="shared" si="285"/>
        <v>0</v>
      </c>
    </row>
    <row r="1713" spans="1:55" s="471" customFormat="1">
      <c r="A1713" s="472"/>
      <c r="B1713" s="515"/>
      <c r="C1713" s="515"/>
      <c r="D1713" s="485" t="s">
        <v>3186</v>
      </c>
      <c r="E1713" s="474" t="s">
        <v>3215</v>
      </c>
      <c r="F1713" s="474"/>
      <c r="G1713" s="474">
        <v>2022</v>
      </c>
      <c r="H1713" s="474">
        <v>5</v>
      </c>
      <c r="I1713" s="474"/>
      <c r="J1713" s="475"/>
      <c r="K1713" s="483" t="s">
        <v>3402</v>
      </c>
      <c r="L1713" s="474" t="s">
        <v>3328</v>
      </c>
      <c r="M1713" s="487">
        <v>44503</v>
      </c>
      <c r="N1713" s="487">
        <v>44614</v>
      </c>
      <c r="O1713" s="487"/>
      <c r="P1713" s="475"/>
      <c r="Q1713" s="475"/>
      <c r="R1713" s="475"/>
      <c r="S1713" s="474" t="s">
        <v>2379</v>
      </c>
      <c r="T1713" s="474">
        <v>60</v>
      </c>
      <c r="U1713" s="474">
        <v>49401140</v>
      </c>
      <c r="V1713" s="474" t="s">
        <v>973</v>
      </c>
      <c r="W1713" s="474">
        <v>400</v>
      </c>
      <c r="X1713" s="476">
        <v>3840</v>
      </c>
      <c r="Y1713" s="477">
        <f>X1713*W1713</f>
        <v>1536000</v>
      </c>
      <c r="Z1713" s="478">
        <v>0.45500000000000002</v>
      </c>
      <c r="AA1713" s="479">
        <f>Z1713*Y1713</f>
        <v>698880</v>
      </c>
      <c r="AB1713" s="480"/>
      <c r="AC1713" s="481">
        <f>AB1713*Y1713</f>
        <v>0</v>
      </c>
      <c r="AD1713" s="490"/>
      <c r="AE1713" s="482"/>
      <c r="AF1713" s="493">
        <f>AE1713+AD1713+AA1713</f>
        <v>698880</v>
      </c>
      <c r="AG1713" s="474" t="s">
        <v>1071</v>
      </c>
      <c r="AH1713" s="474"/>
      <c r="AI1713" s="483" t="s">
        <v>2442</v>
      </c>
      <c r="AJ1713" s="474" t="s">
        <v>2426</v>
      </c>
      <c r="AK1713" s="494" t="s">
        <v>1144</v>
      </c>
      <c r="AL1713" s="474">
        <v>78218</v>
      </c>
      <c r="AM1713" s="474" t="s">
        <v>52</v>
      </c>
      <c r="AN1713" s="474" t="s">
        <v>1074</v>
      </c>
      <c r="AO1713" s="474"/>
      <c r="AP1713" s="486"/>
      <c r="AQ1713" s="486" t="s">
        <v>37</v>
      </c>
      <c r="AR1713" s="486" t="s">
        <v>1677</v>
      </c>
      <c r="AS1713" s="495"/>
      <c r="AT1713" s="495"/>
      <c r="AU1713" s="478">
        <v>0.45500000000000002</v>
      </c>
      <c r="AV1713" s="471">
        <f t="shared" si="283"/>
        <v>49401140</v>
      </c>
      <c r="AW1713" s="471" cm="1">
        <f t="array" ref="AW1713">SUM(MID(0&amp;AV1713,LARGE(INDEX(ISNUMBER(--MID(AV1713,ROW($1:$8),1))*ROW($1:$8),),ROW($1:$8))+1,1)*10^ROW($1:$8)/10)</f>
        <v>49401140</v>
      </c>
      <c r="AX1713" s="471" t="str">
        <f>VLOOKUP($AW1713,'Item Master Data'!$A:$F,3,FALSE)</f>
        <v>Q.PEAK DUO BLK ML G10.a+</v>
      </c>
      <c r="AY1713" s="471">
        <f>VLOOKUP($AW1713,'Item Master Data'!$A:$F,6,FALSE)</f>
        <v>400</v>
      </c>
      <c r="AZ1713" s="471">
        <f t="shared" si="284"/>
        <v>120</v>
      </c>
      <c r="BA1713" s="471">
        <f>VLOOKUP(AW1713,'Item Master Data'!$A:$G,7,FALSE)</f>
        <v>32</v>
      </c>
      <c r="BC1713" s="471">
        <f t="shared" si="285"/>
        <v>0</v>
      </c>
    </row>
    <row r="1714" spans="1:55" s="471" customFormat="1">
      <c r="A1714" s="472"/>
      <c r="B1714" s="515"/>
      <c r="C1714" s="515"/>
      <c r="D1714" s="485" t="s">
        <v>3186</v>
      </c>
      <c r="E1714" s="474" t="s">
        <v>3399</v>
      </c>
      <c r="F1714" s="474"/>
      <c r="G1714" s="474">
        <v>2022</v>
      </c>
      <c r="H1714" s="474">
        <v>5</v>
      </c>
      <c r="I1714" s="474"/>
      <c r="J1714" s="475"/>
      <c r="K1714" s="483" t="s">
        <v>3400</v>
      </c>
      <c r="L1714" s="474" t="s">
        <v>3328</v>
      </c>
      <c r="M1714" s="487">
        <v>44503</v>
      </c>
      <c r="N1714" s="487">
        <v>44563</v>
      </c>
      <c r="O1714" s="487"/>
      <c r="P1714" s="475" t="s">
        <v>1445</v>
      </c>
      <c r="Q1714" s="475"/>
      <c r="R1714" s="475"/>
      <c r="S1714" s="474" t="s">
        <v>2379</v>
      </c>
      <c r="T1714" s="474">
        <v>60</v>
      </c>
      <c r="U1714" s="474">
        <v>49401140</v>
      </c>
      <c r="V1714" s="474" t="s">
        <v>3401</v>
      </c>
      <c r="W1714" s="474">
        <v>400</v>
      </c>
      <c r="X1714" s="476">
        <v>3072</v>
      </c>
      <c r="Y1714" s="477">
        <f>X1714*W1714</f>
        <v>1228800</v>
      </c>
      <c r="Z1714" s="478">
        <v>0.45500000000000002</v>
      </c>
      <c r="AA1714" s="479">
        <f>Z1714*Y1714</f>
        <v>559104</v>
      </c>
      <c r="AB1714" s="480"/>
      <c r="AC1714" s="481">
        <f>AB1714*Y1714</f>
        <v>0</v>
      </c>
      <c r="AD1714" s="490"/>
      <c r="AE1714" s="482"/>
      <c r="AF1714" s="493">
        <f>AE1714+AD1714+AA1714</f>
        <v>559104</v>
      </c>
      <c r="AG1714" s="474" t="s">
        <v>1071</v>
      </c>
      <c r="AH1714" s="474"/>
      <c r="AI1714" s="483" t="s">
        <v>2442</v>
      </c>
      <c r="AJ1714" s="474" t="s">
        <v>2426</v>
      </c>
      <c r="AK1714" s="494" t="s">
        <v>1144</v>
      </c>
      <c r="AL1714" s="474">
        <v>78218</v>
      </c>
      <c r="AM1714" s="474" t="s">
        <v>52</v>
      </c>
      <c r="AN1714" s="474" t="s">
        <v>1074</v>
      </c>
      <c r="AO1714" s="474"/>
      <c r="AP1714" s="486"/>
      <c r="AQ1714" s="486" t="s">
        <v>37</v>
      </c>
      <c r="AR1714" s="486" t="s">
        <v>1677</v>
      </c>
      <c r="AS1714" s="495"/>
      <c r="AT1714" s="495"/>
      <c r="AU1714" s="478">
        <v>0.45500000000000002</v>
      </c>
      <c r="AV1714" s="471">
        <f t="shared" si="283"/>
        <v>49401140</v>
      </c>
      <c r="AW1714" s="471" cm="1">
        <f t="array" ref="AW1714">SUM(MID(0&amp;AV1714,LARGE(INDEX(ISNUMBER(--MID(AV1714,ROW($1:$8),1))*ROW($1:$8),),ROW($1:$8))+1,1)*10^ROW($1:$8)/10)</f>
        <v>49401140</v>
      </c>
      <c r="AX1714" s="471" t="str">
        <f>VLOOKUP($AW1714,'Item Master Data'!$A:$F,3,FALSE)</f>
        <v>Q.PEAK DUO BLK ML G10.a+</v>
      </c>
      <c r="AY1714" s="471">
        <f>VLOOKUP($AW1714,'Item Master Data'!$A:$F,6,FALSE)</f>
        <v>400</v>
      </c>
      <c r="AZ1714" s="471">
        <f t="shared" si="284"/>
        <v>96</v>
      </c>
      <c r="BA1714" s="471">
        <f>VLOOKUP(AW1714,'Item Master Data'!$A:$G,7,FALSE)</f>
        <v>32</v>
      </c>
      <c r="BC1714" s="471">
        <f t="shared" si="285"/>
        <v>0</v>
      </c>
    </row>
    <row r="1715" spans="1:55" s="471" customFormat="1" ht="15" customHeight="1">
      <c r="A1715" s="472"/>
      <c r="B1715" s="515"/>
      <c r="C1715" s="515"/>
      <c r="D1715" s="485" t="s">
        <v>3186</v>
      </c>
      <c r="E1715" s="474" t="s">
        <v>3215</v>
      </c>
      <c r="F1715" s="474"/>
      <c r="G1715" s="474">
        <v>2022</v>
      </c>
      <c r="H1715" s="474">
        <v>5</v>
      </c>
      <c r="I1715" s="474"/>
      <c r="J1715" s="475"/>
      <c r="K1715" s="483" t="s">
        <v>3398</v>
      </c>
      <c r="L1715" s="474" t="s">
        <v>3328</v>
      </c>
      <c r="M1715" s="487">
        <v>44501</v>
      </c>
      <c r="N1715" s="487">
        <v>44621</v>
      </c>
      <c r="O1715" s="487"/>
      <c r="P1715" s="475"/>
      <c r="Q1715" s="475"/>
      <c r="R1715" s="475"/>
      <c r="S1715" s="474" t="s">
        <v>2379</v>
      </c>
      <c r="T1715" s="474">
        <v>60</v>
      </c>
      <c r="U1715" s="474">
        <v>49401140</v>
      </c>
      <c r="V1715" s="474" t="s">
        <v>973</v>
      </c>
      <c r="W1715" s="474">
        <v>400</v>
      </c>
      <c r="X1715" s="476">
        <f>9216-1536</f>
        <v>7680</v>
      </c>
      <c r="Y1715" s="477">
        <f>X1715*W1715</f>
        <v>3072000</v>
      </c>
      <c r="Z1715" s="478">
        <v>0.45500000000000002</v>
      </c>
      <c r="AA1715" s="479">
        <f>Z1715*Y1715</f>
        <v>1397760</v>
      </c>
      <c r="AB1715" s="480"/>
      <c r="AC1715" s="481">
        <f>AB1715*Y1715</f>
        <v>0</v>
      </c>
      <c r="AD1715" s="490"/>
      <c r="AE1715" s="482"/>
      <c r="AF1715" s="493">
        <f>AE1715+AD1715+AA1715</f>
        <v>1397760</v>
      </c>
      <c r="AG1715" s="474" t="s">
        <v>1071</v>
      </c>
      <c r="AH1715" s="474"/>
      <c r="AI1715" s="483" t="s">
        <v>2442</v>
      </c>
      <c r="AJ1715" s="474" t="s">
        <v>2426</v>
      </c>
      <c r="AK1715" s="494" t="s">
        <v>1144</v>
      </c>
      <c r="AL1715" s="474">
        <v>78218</v>
      </c>
      <c r="AM1715" s="474" t="s">
        <v>52</v>
      </c>
      <c r="AN1715" s="474"/>
      <c r="AO1715" s="474"/>
      <c r="AP1715" s="486"/>
      <c r="AQ1715" s="486" t="s">
        <v>37</v>
      </c>
      <c r="AR1715" s="486" t="s">
        <v>1677</v>
      </c>
      <c r="AS1715" s="495"/>
      <c r="AT1715" s="495"/>
      <c r="AU1715" s="478">
        <v>0.45500000000000002</v>
      </c>
      <c r="AV1715" s="471">
        <f t="shared" si="283"/>
        <v>49401140</v>
      </c>
      <c r="AW1715" s="471" cm="1">
        <f t="array" ref="AW1715">SUM(MID(0&amp;AV1715,LARGE(INDEX(ISNUMBER(--MID(AV1715,ROW($1:$8),1))*ROW($1:$8),),ROW($1:$8))+1,1)*10^ROW($1:$8)/10)</f>
        <v>49401140</v>
      </c>
      <c r="AX1715" s="471" t="str">
        <f>VLOOKUP($AW1715,'Item Master Data'!$A:$F,3,FALSE)</f>
        <v>Q.PEAK DUO BLK ML G10.a+</v>
      </c>
      <c r="AY1715" s="471">
        <f>VLOOKUP($AW1715,'Item Master Data'!$A:$F,6,FALSE)</f>
        <v>400</v>
      </c>
      <c r="AZ1715" s="471">
        <f t="shared" si="284"/>
        <v>240</v>
      </c>
      <c r="BA1715" s="471">
        <f>VLOOKUP(AW1715,'Item Master Data'!$A:$G,7,FALSE)</f>
        <v>32</v>
      </c>
      <c r="BC1715" s="471">
        <f t="shared" si="285"/>
        <v>0</v>
      </c>
    </row>
    <row r="1716" spans="1:55" s="471" customFormat="1" ht="14.45" customHeight="1">
      <c r="A1716" s="472"/>
      <c r="B1716" s="515"/>
      <c r="C1716" s="515"/>
      <c r="D1716" s="485" t="s">
        <v>3186</v>
      </c>
      <c r="E1716" s="474" t="s">
        <v>3215</v>
      </c>
      <c r="F1716" s="474"/>
      <c r="G1716" s="474">
        <v>2022</v>
      </c>
      <c r="H1716" s="474">
        <v>5</v>
      </c>
      <c r="I1716" s="474" t="s">
        <v>3337</v>
      </c>
      <c r="J1716" s="475"/>
      <c r="K1716" s="483" t="s">
        <v>3338</v>
      </c>
      <c r="L1716" s="474" t="s">
        <v>3328</v>
      </c>
      <c r="M1716" s="487">
        <v>44501</v>
      </c>
      <c r="N1716" s="487">
        <v>44621</v>
      </c>
      <c r="O1716" s="487"/>
      <c r="P1716" s="475"/>
      <c r="Q1716" s="475"/>
      <c r="R1716" s="475"/>
      <c r="S1716" s="474" t="s">
        <v>2379</v>
      </c>
      <c r="T1716" s="474">
        <v>60</v>
      </c>
      <c r="U1716" s="474">
        <v>49401140</v>
      </c>
      <c r="V1716" s="474" t="s">
        <v>973</v>
      </c>
      <c r="W1716" s="474">
        <v>400</v>
      </c>
      <c r="X1716" s="476">
        <v>1536</v>
      </c>
      <c r="Y1716" s="491">
        <f>X1716*W1716</f>
        <v>614400</v>
      </c>
      <c r="Z1716" s="478">
        <v>0.45500000000000002</v>
      </c>
      <c r="AA1716" s="479">
        <f>Z1716*Y1716</f>
        <v>279552</v>
      </c>
      <c r="AB1716" s="480"/>
      <c r="AC1716" s="481">
        <f>AB1716*Y1716</f>
        <v>0</v>
      </c>
      <c r="AD1716" s="490"/>
      <c r="AE1716" s="482"/>
      <c r="AF1716" s="493">
        <f>AE1716+AD1716+AA1716</f>
        <v>279552</v>
      </c>
      <c r="AG1716" s="474" t="s">
        <v>1071</v>
      </c>
      <c r="AH1716" s="474"/>
      <c r="AI1716" s="483" t="s">
        <v>2442</v>
      </c>
      <c r="AJ1716" s="474" t="s">
        <v>2426</v>
      </c>
      <c r="AK1716" s="494" t="s">
        <v>1144</v>
      </c>
      <c r="AL1716" s="474">
        <v>78218</v>
      </c>
      <c r="AM1716" s="474" t="s">
        <v>52</v>
      </c>
      <c r="AN1716" s="474"/>
      <c r="AO1716" s="474"/>
      <c r="AP1716" s="486"/>
      <c r="AQ1716" s="486" t="s">
        <v>37</v>
      </c>
      <c r="AR1716" s="486" t="s">
        <v>1677</v>
      </c>
      <c r="AS1716" s="495"/>
      <c r="AT1716" s="495"/>
      <c r="AU1716" s="478">
        <v>0.45500000000000002</v>
      </c>
      <c r="AV1716" s="471">
        <f t="shared" si="283"/>
        <v>49401140</v>
      </c>
      <c r="AW1716" s="471" cm="1">
        <f t="array" ref="AW1716">SUM(MID(0&amp;AV1716,LARGE(INDEX(ISNUMBER(--MID(AV1716,ROW($1:$8),1))*ROW($1:$8),),ROW($1:$8))+1,1)*10^ROW($1:$8)/10)</f>
        <v>49401140</v>
      </c>
      <c r="AX1716" s="471" t="str">
        <f>VLOOKUP($AW1716,'Item Master Data'!$A:$F,3,FALSE)</f>
        <v>Q.PEAK DUO BLK ML G10.a+</v>
      </c>
      <c r="AY1716" s="471">
        <f>VLOOKUP($AW1716,'Item Master Data'!$A:$F,6,FALSE)</f>
        <v>400</v>
      </c>
      <c r="AZ1716" s="471">
        <f t="shared" si="284"/>
        <v>48</v>
      </c>
      <c r="BA1716" s="471">
        <f>VLOOKUP(AW1716,'Item Master Data'!$A:$G,7,FALSE)</f>
        <v>32</v>
      </c>
      <c r="BC1716" s="471">
        <f t="shared" si="285"/>
        <v>0</v>
      </c>
    </row>
    <row r="1717" spans="1:55" s="471" customFormat="1" ht="15" customHeight="1">
      <c r="A1717" s="472">
        <v>10</v>
      </c>
      <c r="B1717" s="515">
        <v>44628</v>
      </c>
      <c r="C1717" s="515">
        <v>44628</v>
      </c>
      <c r="D1717" s="485" t="s">
        <v>3186</v>
      </c>
      <c r="E1717" s="474" t="s">
        <v>3215</v>
      </c>
      <c r="F1717" s="474"/>
      <c r="G1717" s="474">
        <v>2022</v>
      </c>
      <c r="H1717" s="474">
        <v>4</v>
      </c>
      <c r="I1717" s="474">
        <v>128138</v>
      </c>
      <c r="J1717" s="475">
        <v>44670</v>
      </c>
      <c r="K1717" s="483" t="s">
        <v>3345</v>
      </c>
      <c r="L1717" s="474" t="s">
        <v>3328</v>
      </c>
      <c r="M1717" s="487">
        <v>44466</v>
      </c>
      <c r="N1717" s="487">
        <v>44466</v>
      </c>
      <c r="O1717" s="487"/>
      <c r="P1717" s="475">
        <v>44665</v>
      </c>
      <c r="Q1717" s="475">
        <v>44670</v>
      </c>
      <c r="R1717" s="475">
        <v>44673</v>
      </c>
      <c r="S1717" s="474" t="s">
        <v>2379</v>
      </c>
      <c r="T1717" s="474">
        <v>60</v>
      </c>
      <c r="U1717" s="474" t="s">
        <v>1760</v>
      </c>
      <c r="V1717" s="474" t="s">
        <v>973</v>
      </c>
      <c r="W1717" s="474">
        <v>400</v>
      </c>
      <c r="X1717" s="476">
        <v>832</v>
      </c>
      <c r="Y1717" s="491">
        <f>X1717*W1717</f>
        <v>332800</v>
      </c>
      <c r="Z1717" s="478">
        <v>0.55000000000000004</v>
      </c>
      <c r="AA1717" s="479">
        <f>Z1717*Y1717</f>
        <v>183040.00000000003</v>
      </c>
      <c r="AB1717" s="480"/>
      <c r="AC1717" s="481">
        <f>AB1717*Y1717</f>
        <v>0</v>
      </c>
      <c r="AD1717" s="490"/>
      <c r="AE1717" s="482"/>
      <c r="AF1717" s="493">
        <f>AE1717+AD1717+AA1717</f>
        <v>183040.00000000003</v>
      </c>
      <c r="AG1717" s="474" t="s">
        <v>1071</v>
      </c>
      <c r="AH1717" s="474"/>
      <c r="AI1717" s="483">
        <v>60</v>
      </c>
      <c r="AJ1717" s="474" t="s">
        <v>2621</v>
      </c>
      <c r="AK1717" s="494" t="s">
        <v>1144</v>
      </c>
      <c r="AL1717" s="474">
        <v>78218</v>
      </c>
      <c r="AM1717" s="474" t="s">
        <v>52</v>
      </c>
      <c r="AN1717" s="474" t="s">
        <v>50</v>
      </c>
      <c r="AO1717" s="474"/>
      <c r="AP1717" s="486" t="s">
        <v>38</v>
      </c>
      <c r="AQ1717" s="486" t="s">
        <v>37</v>
      </c>
      <c r="AR1717" s="486" t="s">
        <v>1248</v>
      </c>
      <c r="AS1717" s="495"/>
      <c r="AT1717" s="495"/>
      <c r="AU1717" s="478">
        <v>0.46500000000000002</v>
      </c>
      <c r="AV1717" s="471" t="str">
        <f t="shared" si="283"/>
        <v>30390156H</v>
      </c>
      <c r="AW1717" s="471" cm="1">
        <f t="array" ref="AW1717">SUM(MID(0&amp;AV1717,LARGE(INDEX(ISNUMBER(--MID(AV1717,ROW($1:$8),1))*ROW($1:$8),),ROW($1:$8))+1,1)*10^ROW($1:$8)/10)</f>
        <v>30390156</v>
      </c>
      <c r="AX1717" s="471" t="str">
        <f>VLOOKUP($AW1717,'Item Master Data'!$A:$F,3,FALSE)</f>
        <v>Q.PEAK DUO BLK ML G10+</v>
      </c>
      <c r="AY1717" s="471">
        <f>VLOOKUP($AW1717,'Item Master Data'!$A:$F,6,FALSE)</f>
        <v>400</v>
      </c>
      <c r="AZ1717" s="471">
        <f t="shared" si="284"/>
        <v>26</v>
      </c>
      <c r="BA1717" s="471">
        <f>VLOOKUP(AW1717,'Item Master Data'!$A:$G,7,FALSE)</f>
        <v>32</v>
      </c>
      <c r="BC1717" s="471">
        <f t="shared" si="285"/>
        <v>0</v>
      </c>
    </row>
    <row r="1718" spans="1:55" s="471" customFormat="1" ht="15" customHeight="1">
      <c r="A1718" s="472">
        <v>10</v>
      </c>
      <c r="B1718" s="515">
        <v>44628</v>
      </c>
      <c r="C1718" s="515">
        <v>44628</v>
      </c>
      <c r="D1718" s="485" t="s">
        <v>3186</v>
      </c>
      <c r="E1718" s="474" t="s">
        <v>3215</v>
      </c>
      <c r="F1718" s="474"/>
      <c r="G1718" s="474">
        <v>2022</v>
      </c>
      <c r="H1718" s="474">
        <v>3</v>
      </c>
      <c r="I1718" s="474">
        <v>127339</v>
      </c>
      <c r="J1718" s="475">
        <v>44638</v>
      </c>
      <c r="K1718" s="483" t="s">
        <v>3327</v>
      </c>
      <c r="L1718" s="474" t="s">
        <v>3328</v>
      </c>
      <c r="M1718" s="487">
        <v>44466</v>
      </c>
      <c r="N1718" s="487">
        <v>44466</v>
      </c>
      <c r="O1718" s="487"/>
      <c r="P1718" s="475">
        <v>44631</v>
      </c>
      <c r="Q1718" s="475">
        <v>44638</v>
      </c>
      <c r="R1718" s="475">
        <v>44641</v>
      </c>
      <c r="S1718" s="474" t="s">
        <v>2379</v>
      </c>
      <c r="T1718" s="474">
        <v>60</v>
      </c>
      <c r="U1718" s="474" t="s">
        <v>1760</v>
      </c>
      <c r="V1718" s="474" t="s">
        <v>973</v>
      </c>
      <c r="W1718" s="474">
        <v>400</v>
      </c>
      <c r="X1718" s="476">
        <v>512</v>
      </c>
      <c r="Y1718" s="477">
        <f>X1718*W1718</f>
        <v>204800</v>
      </c>
      <c r="Z1718" s="478">
        <v>0.55000000000000004</v>
      </c>
      <c r="AA1718" s="479">
        <f>Z1718*Y1718</f>
        <v>112640.00000000001</v>
      </c>
      <c r="AB1718" s="480"/>
      <c r="AC1718" s="481">
        <f>AB1718*Y1718</f>
        <v>0</v>
      </c>
      <c r="AD1718" s="490"/>
      <c r="AE1718" s="482"/>
      <c r="AF1718" s="493">
        <f>AE1718+AD1718+AA1718</f>
        <v>112640.00000000001</v>
      </c>
      <c r="AG1718" s="474" t="s">
        <v>1071</v>
      </c>
      <c r="AH1718" s="474"/>
      <c r="AI1718" s="483">
        <v>60</v>
      </c>
      <c r="AJ1718" s="474" t="s">
        <v>2621</v>
      </c>
      <c r="AK1718" s="494" t="s">
        <v>1144</v>
      </c>
      <c r="AL1718" s="474">
        <v>78218</v>
      </c>
      <c r="AM1718" s="474" t="s">
        <v>52</v>
      </c>
      <c r="AN1718" s="474" t="s">
        <v>50</v>
      </c>
      <c r="AO1718" s="474"/>
      <c r="AP1718" s="486" t="s">
        <v>38</v>
      </c>
      <c r="AQ1718" s="486" t="s">
        <v>37</v>
      </c>
      <c r="AR1718" s="486" t="s">
        <v>1248</v>
      </c>
      <c r="AS1718" s="495"/>
      <c r="AT1718" s="495"/>
      <c r="AU1718" s="478">
        <v>0.46500000000000002</v>
      </c>
      <c r="AV1718" s="471" t="str">
        <f t="shared" si="283"/>
        <v>30390156H</v>
      </c>
      <c r="AW1718" s="471" cm="1">
        <f t="array" ref="AW1718">SUM(MID(0&amp;AV1718,LARGE(INDEX(ISNUMBER(--MID(AV1718,ROW($1:$8),1))*ROW($1:$8),),ROW($1:$8))+1,1)*10^ROW($1:$8)/10)</f>
        <v>30390156</v>
      </c>
      <c r="AX1718" s="471" t="str">
        <f>VLOOKUP($AW1718,'Item Master Data'!$A:$F,3,FALSE)</f>
        <v>Q.PEAK DUO BLK ML G10+</v>
      </c>
      <c r="AY1718" s="471">
        <f>VLOOKUP($AW1718,'Item Master Data'!$A:$F,6,FALSE)</f>
        <v>400</v>
      </c>
      <c r="AZ1718" s="471">
        <f t="shared" si="284"/>
        <v>16</v>
      </c>
      <c r="BA1718" s="471">
        <f>VLOOKUP(AW1718,'Item Master Data'!$A:$G,7,FALSE)</f>
        <v>32</v>
      </c>
      <c r="BC1718" s="471">
        <f t="shared" si="285"/>
        <v>0</v>
      </c>
    </row>
    <row r="1719" spans="1:55" s="471" customFormat="1" ht="15" customHeight="1">
      <c r="A1719" s="472">
        <v>10</v>
      </c>
      <c r="B1719" s="515">
        <v>44628</v>
      </c>
      <c r="C1719" s="515">
        <v>44628</v>
      </c>
      <c r="D1719" s="485" t="s">
        <v>3186</v>
      </c>
      <c r="E1719" s="474" t="s">
        <v>3347</v>
      </c>
      <c r="F1719" s="474"/>
      <c r="G1719" s="474">
        <v>2022</v>
      </c>
      <c r="H1719" s="474">
        <v>4</v>
      </c>
      <c r="I1719" s="474">
        <v>127964</v>
      </c>
      <c r="J1719" s="475">
        <v>44651</v>
      </c>
      <c r="K1719" s="483" t="s">
        <v>3327</v>
      </c>
      <c r="L1719" s="474" t="s">
        <v>3328</v>
      </c>
      <c r="M1719" s="487">
        <v>44466</v>
      </c>
      <c r="N1719" s="487">
        <v>44466</v>
      </c>
      <c r="O1719" s="487"/>
      <c r="P1719" s="475">
        <v>44631</v>
      </c>
      <c r="Q1719" s="475">
        <v>44652</v>
      </c>
      <c r="R1719" s="475">
        <v>44655</v>
      </c>
      <c r="S1719" s="474" t="s">
        <v>2379</v>
      </c>
      <c r="T1719" s="474">
        <v>60</v>
      </c>
      <c r="U1719" s="474" t="s">
        <v>1760</v>
      </c>
      <c r="V1719" s="474" t="s">
        <v>973</v>
      </c>
      <c r="W1719" s="474">
        <v>400</v>
      </c>
      <c r="X1719" s="476">
        <v>2496</v>
      </c>
      <c r="Y1719" s="491">
        <f>X1719*W1719</f>
        <v>998400</v>
      </c>
      <c r="Z1719" s="478">
        <v>0.55000000000000004</v>
      </c>
      <c r="AA1719" s="479">
        <f>Z1719*Y1719</f>
        <v>549120</v>
      </c>
      <c r="AB1719" s="480"/>
      <c r="AC1719" s="481">
        <f>AB1719*Y1719</f>
        <v>0</v>
      </c>
      <c r="AD1719" s="490"/>
      <c r="AE1719" s="482"/>
      <c r="AF1719" s="493">
        <f>AE1719+AD1719+AA1719</f>
        <v>549120</v>
      </c>
      <c r="AG1719" s="474" t="s">
        <v>1071</v>
      </c>
      <c r="AH1719" s="474"/>
      <c r="AI1719" s="483">
        <v>60</v>
      </c>
      <c r="AJ1719" s="474" t="s">
        <v>2621</v>
      </c>
      <c r="AK1719" s="494" t="s">
        <v>1144</v>
      </c>
      <c r="AL1719" s="474">
        <v>78218</v>
      </c>
      <c r="AM1719" s="474" t="s">
        <v>52</v>
      </c>
      <c r="AN1719" s="474" t="s">
        <v>50</v>
      </c>
      <c r="AO1719" s="474"/>
      <c r="AP1719" s="486" t="s">
        <v>38</v>
      </c>
      <c r="AQ1719" s="486" t="s">
        <v>37</v>
      </c>
      <c r="AR1719" s="486" t="s">
        <v>1248</v>
      </c>
      <c r="AS1719" s="495"/>
      <c r="AT1719" s="495"/>
      <c r="AU1719" s="478">
        <v>0.46500000000000002</v>
      </c>
      <c r="AV1719" s="471" t="str">
        <f t="shared" si="283"/>
        <v>30390156H</v>
      </c>
      <c r="AW1719" s="471" cm="1">
        <f t="array" ref="AW1719">SUM(MID(0&amp;AV1719,LARGE(INDEX(ISNUMBER(--MID(AV1719,ROW($1:$8),1))*ROW($1:$8),),ROW($1:$8))+1,1)*10^ROW($1:$8)/10)</f>
        <v>30390156</v>
      </c>
      <c r="AX1719" s="471" t="str">
        <f>VLOOKUP($AW1719,'Item Master Data'!$A:$F,3,FALSE)</f>
        <v>Q.PEAK DUO BLK ML G10+</v>
      </c>
      <c r="AY1719" s="471">
        <f>VLOOKUP($AW1719,'Item Master Data'!$A:$F,6,FALSE)</f>
        <v>400</v>
      </c>
      <c r="AZ1719" s="471">
        <f t="shared" si="284"/>
        <v>78</v>
      </c>
      <c r="BA1719" s="471">
        <f>VLOOKUP(AW1719,'Item Master Data'!$A:$G,7,FALSE)</f>
        <v>32</v>
      </c>
      <c r="BC1719" s="471">
        <f t="shared" si="285"/>
        <v>0</v>
      </c>
    </row>
    <row r="1720" spans="1:55" s="471" customFormat="1" ht="15" customHeight="1">
      <c r="A1720" s="472"/>
      <c r="B1720" s="514">
        <v>44671</v>
      </c>
      <c r="C1720" s="514">
        <v>44675</v>
      </c>
      <c r="D1720" s="485" t="s">
        <v>3186</v>
      </c>
      <c r="E1720" s="474" t="s">
        <v>5377</v>
      </c>
      <c r="F1720" s="474"/>
      <c r="G1720" s="474">
        <v>2022</v>
      </c>
      <c r="H1720" s="474">
        <v>12</v>
      </c>
      <c r="I1720" s="474" t="s">
        <v>1676</v>
      </c>
      <c r="J1720" s="475"/>
      <c r="K1720" s="483" t="s">
        <v>5380</v>
      </c>
      <c r="L1720" s="474" t="s">
        <v>3220</v>
      </c>
      <c r="M1720" s="487">
        <v>44593</v>
      </c>
      <c r="N1720" s="487">
        <v>44896</v>
      </c>
      <c r="O1720" s="487"/>
      <c r="P1720" s="475"/>
      <c r="Q1720" s="475"/>
      <c r="R1720" s="475"/>
      <c r="S1720" s="474" t="s">
        <v>2379</v>
      </c>
      <c r="T1720" s="474">
        <v>60</v>
      </c>
      <c r="U1720" s="474"/>
      <c r="V1720" s="474" t="s">
        <v>973</v>
      </c>
      <c r="W1720" s="474">
        <v>400</v>
      </c>
      <c r="X1720" s="476">
        <v>7680</v>
      </c>
      <c r="Y1720" s="477">
        <f>X1720*W1720</f>
        <v>3072000</v>
      </c>
      <c r="Z1720" s="478">
        <v>0.64</v>
      </c>
      <c r="AA1720" s="479">
        <f>Z1720*Y1720</f>
        <v>1966080</v>
      </c>
      <c r="AB1720" s="480"/>
      <c r="AC1720" s="481">
        <f>AB1720*Y1720</f>
        <v>0</v>
      </c>
      <c r="AD1720" s="490"/>
      <c r="AE1720" s="482"/>
      <c r="AF1720" s="493">
        <f>AE1720+AD1720+AA1720</f>
        <v>1966080</v>
      </c>
      <c r="AG1720" s="474" t="s">
        <v>1071</v>
      </c>
      <c r="AH1720" s="474">
        <v>60</v>
      </c>
      <c r="AI1720" s="483"/>
      <c r="AJ1720" s="474" t="s">
        <v>3221</v>
      </c>
      <c r="AK1720" s="494" t="s">
        <v>1144</v>
      </c>
      <c r="AL1720" s="474">
        <v>76011</v>
      </c>
      <c r="AM1720" s="474" t="s">
        <v>52</v>
      </c>
      <c r="AN1720" s="474"/>
      <c r="AO1720" s="474"/>
      <c r="AP1720" s="486"/>
      <c r="AQ1720" s="486" t="s">
        <v>37</v>
      </c>
      <c r="AR1720" s="486"/>
      <c r="AS1720" s="495"/>
      <c r="AT1720" s="495"/>
      <c r="AU1720" s="506">
        <v>0.5</v>
      </c>
      <c r="AV1720" s="471">
        <f t="shared" si="283"/>
        <v>0</v>
      </c>
      <c r="AW1720" s="471" cm="1">
        <f t="array" ref="AW1720">SUM(MID(0&amp;AV1720,LARGE(INDEX(ISNUMBER(--MID(AV1720,ROW($1:$8),1))*ROW($1:$8),),ROW($1:$8))+1,1)*10^ROW($1:$8)/10)</f>
        <v>0</v>
      </c>
      <c r="AX1720" s="471" t="e">
        <f>VLOOKUP($AW1720,'Item Master Data'!$A:$F,3,FALSE)</f>
        <v>#N/A</v>
      </c>
      <c r="AY1720" s="471" t="e">
        <f>VLOOKUP($AW1720,'Item Master Data'!$A:$F,6,FALSE)</f>
        <v>#N/A</v>
      </c>
      <c r="AZ1720" s="471" t="e">
        <f t="shared" si="284"/>
        <v>#N/A</v>
      </c>
      <c r="BA1720" s="471" t="e">
        <f>VLOOKUP(AW1720,'Item Master Data'!$A:$G,7,FALSE)</f>
        <v>#N/A</v>
      </c>
      <c r="BC1720" s="471" t="e">
        <f t="shared" si="285"/>
        <v>#N/A</v>
      </c>
    </row>
    <row r="1721" spans="1:55" s="471" customFormat="1" ht="15" customHeight="1">
      <c r="A1721" s="472"/>
      <c r="B1721" s="514">
        <v>44671</v>
      </c>
      <c r="C1721" s="514">
        <v>44675</v>
      </c>
      <c r="D1721" s="485" t="s">
        <v>3186</v>
      </c>
      <c r="E1721" s="474" t="s">
        <v>5377</v>
      </c>
      <c r="F1721" s="474"/>
      <c r="G1721" s="474">
        <v>2022</v>
      </c>
      <c r="H1721" s="474">
        <v>11</v>
      </c>
      <c r="I1721" s="474" t="s">
        <v>1676</v>
      </c>
      <c r="J1721" s="475"/>
      <c r="K1721" s="483" t="s">
        <v>5379</v>
      </c>
      <c r="L1721" s="474" t="s">
        <v>3220</v>
      </c>
      <c r="M1721" s="487">
        <v>44593</v>
      </c>
      <c r="N1721" s="487">
        <v>44866</v>
      </c>
      <c r="O1721" s="487"/>
      <c r="P1721" s="475"/>
      <c r="Q1721" s="475"/>
      <c r="R1721" s="475"/>
      <c r="S1721" s="474" t="s">
        <v>2379</v>
      </c>
      <c r="T1721" s="474">
        <v>60</v>
      </c>
      <c r="U1721" s="474"/>
      <c r="V1721" s="474" t="s">
        <v>973</v>
      </c>
      <c r="W1721" s="474">
        <v>400</v>
      </c>
      <c r="X1721" s="476">
        <v>7680</v>
      </c>
      <c r="Y1721" s="491">
        <f>X1721*W1721</f>
        <v>3072000</v>
      </c>
      <c r="Z1721" s="478">
        <v>0.64</v>
      </c>
      <c r="AA1721" s="492">
        <f>Z1721*Y1721</f>
        <v>1966080</v>
      </c>
      <c r="AB1721" s="480"/>
      <c r="AC1721" s="481">
        <f>AB1721*Y1721</f>
        <v>0</v>
      </c>
      <c r="AD1721" s="490"/>
      <c r="AE1721" s="482"/>
      <c r="AF1721" s="493">
        <f>AE1721+AD1721+AA1721</f>
        <v>1966080</v>
      </c>
      <c r="AG1721" s="474" t="s">
        <v>1071</v>
      </c>
      <c r="AH1721" s="474">
        <v>60</v>
      </c>
      <c r="AI1721" s="483"/>
      <c r="AJ1721" s="474" t="s">
        <v>3221</v>
      </c>
      <c r="AK1721" s="494" t="s">
        <v>1144</v>
      </c>
      <c r="AL1721" s="474">
        <v>76011</v>
      </c>
      <c r="AM1721" s="474" t="s">
        <v>52</v>
      </c>
      <c r="AN1721" s="474"/>
      <c r="AO1721" s="474"/>
      <c r="AP1721" s="486"/>
      <c r="AQ1721" s="486" t="s">
        <v>37</v>
      </c>
      <c r="AR1721" s="486"/>
      <c r="AS1721" s="495"/>
      <c r="AT1721" s="495"/>
      <c r="AU1721" s="506">
        <v>0.5</v>
      </c>
      <c r="AV1721" s="471">
        <f t="shared" si="283"/>
        <v>0</v>
      </c>
      <c r="AW1721" s="471" cm="1">
        <f t="array" ref="AW1721">SUM(MID(0&amp;AV1721,LARGE(INDEX(ISNUMBER(--MID(AV1721,ROW($1:$8),1))*ROW($1:$8),),ROW($1:$8))+1,1)*10^ROW($1:$8)/10)</f>
        <v>0</v>
      </c>
      <c r="AX1721" s="471" t="e">
        <f>VLOOKUP($AW1721,'Item Master Data'!$A:$F,3,FALSE)</f>
        <v>#N/A</v>
      </c>
      <c r="AY1721" s="471" t="e">
        <f>VLOOKUP($AW1721,'Item Master Data'!$A:$F,6,FALSE)</f>
        <v>#N/A</v>
      </c>
      <c r="AZ1721" s="471" t="e">
        <f t="shared" si="284"/>
        <v>#N/A</v>
      </c>
      <c r="BA1721" s="471" t="e">
        <f>VLOOKUP(AW1721,'Item Master Data'!$A:$G,7,FALSE)</f>
        <v>#N/A</v>
      </c>
      <c r="BC1721" s="471" t="e">
        <f t="shared" si="285"/>
        <v>#N/A</v>
      </c>
    </row>
    <row r="1722" spans="1:55" s="471" customFormat="1" ht="15" customHeight="1">
      <c r="A1722" s="472"/>
      <c r="B1722" s="514">
        <v>44671</v>
      </c>
      <c r="C1722" s="514">
        <v>44675</v>
      </c>
      <c r="D1722" s="485" t="s">
        <v>3186</v>
      </c>
      <c r="E1722" s="474" t="s">
        <v>5377</v>
      </c>
      <c r="F1722" s="474"/>
      <c r="G1722" s="474">
        <v>2022</v>
      </c>
      <c r="H1722" s="474">
        <v>10</v>
      </c>
      <c r="I1722" s="474" t="s">
        <v>1676</v>
      </c>
      <c r="J1722" s="475"/>
      <c r="K1722" s="483" t="s">
        <v>5378</v>
      </c>
      <c r="L1722" s="474" t="s">
        <v>3220</v>
      </c>
      <c r="M1722" s="487">
        <v>44671</v>
      </c>
      <c r="N1722" s="487">
        <v>44837</v>
      </c>
      <c r="O1722" s="487"/>
      <c r="P1722" s="475"/>
      <c r="Q1722" s="475"/>
      <c r="R1722" s="475"/>
      <c r="S1722" s="474" t="s">
        <v>2379</v>
      </c>
      <c r="T1722" s="474">
        <v>60</v>
      </c>
      <c r="U1722" s="474"/>
      <c r="V1722" s="474" t="s">
        <v>973</v>
      </c>
      <c r="W1722" s="474">
        <v>400</v>
      </c>
      <c r="X1722" s="476">
        <v>7680</v>
      </c>
      <c r="Y1722" s="491">
        <f>X1722*W1722</f>
        <v>3072000</v>
      </c>
      <c r="Z1722" s="478">
        <v>0.64</v>
      </c>
      <c r="AA1722" s="492">
        <f>Z1722*Y1722</f>
        <v>1966080</v>
      </c>
      <c r="AB1722" s="480"/>
      <c r="AC1722" s="481">
        <f>AB1722*Y1722</f>
        <v>0</v>
      </c>
      <c r="AD1722" s="490"/>
      <c r="AE1722" s="482"/>
      <c r="AF1722" s="493">
        <f>AE1722+AD1722+AA1722</f>
        <v>1966080</v>
      </c>
      <c r="AG1722" s="474" t="s">
        <v>1071</v>
      </c>
      <c r="AH1722" s="474">
        <v>60</v>
      </c>
      <c r="AI1722" s="483"/>
      <c r="AJ1722" s="474" t="s">
        <v>3221</v>
      </c>
      <c r="AK1722" s="494" t="s">
        <v>1144</v>
      </c>
      <c r="AL1722" s="474">
        <v>76011</v>
      </c>
      <c r="AM1722" s="474" t="s">
        <v>52</v>
      </c>
      <c r="AN1722" s="474"/>
      <c r="AO1722" s="474"/>
      <c r="AP1722" s="486"/>
      <c r="AQ1722" s="486" t="s">
        <v>37</v>
      </c>
      <c r="AR1722" s="486"/>
      <c r="AS1722" s="495"/>
      <c r="AT1722" s="495"/>
      <c r="AU1722" s="506">
        <v>0.5</v>
      </c>
      <c r="AV1722" s="471">
        <f t="shared" si="283"/>
        <v>0</v>
      </c>
      <c r="AW1722" s="471" cm="1">
        <f t="array" ref="AW1722">SUM(MID(0&amp;AV1722,LARGE(INDEX(ISNUMBER(--MID(AV1722,ROW($1:$8),1))*ROW($1:$8),),ROW($1:$8))+1,1)*10^ROW($1:$8)/10)</f>
        <v>0</v>
      </c>
      <c r="AX1722" s="471" t="e">
        <f>VLOOKUP($AW1722,'Item Master Data'!$A:$F,3,FALSE)</f>
        <v>#N/A</v>
      </c>
      <c r="AY1722" s="471" t="e">
        <f>VLOOKUP($AW1722,'Item Master Data'!$A:$F,6,FALSE)</f>
        <v>#N/A</v>
      </c>
      <c r="AZ1722" s="471" t="e">
        <f t="shared" si="284"/>
        <v>#N/A</v>
      </c>
      <c r="BA1722" s="471" t="e">
        <f>VLOOKUP(AW1722,'Item Master Data'!$A:$G,7,FALSE)</f>
        <v>#N/A</v>
      </c>
      <c r="BC1722" s="471" t="e">
        <f t="shared" si="285"/>
        <v>#N/A</v>
      </c>
    </row>
    <row r="1723" spans="1:55" s="471" customFormat="1" ht="15" customHeight="1">
      <c r="A1723" s="472"/>
      <c r="B1723" s="472"/>
      <c r="C1723" s="472"/>
      <c r="D1723" s="512" t="s">
        <v>3186</v>
      </c>
      <c r="E1723" s="501" t="s">
        <v>5758</v>
      </c>
      <c r="F1723" s="501"/>
      <c r="G1723" s="501">
        <v>2022</v>
      </c>
      <c r="H1723" s="501">
        <v>5</v>
      </c>
      <c r="I1723" s="501" t="s">
        <v>1676</v>
      </c>
      <c r="J1723" s="502"/>
      <c r="K1723" s="503" t="s">
        <v>5759</v>
      </c>
      <c r="L1723" s="501" t="s">
        <v>3220</v>
      </c>
      <c r="M1723" s="504">
        <v>44593</v>
      </c>
      <c r="N1723" s="504">
        <v>44593</v>
      </c>
      <c r="O1723" s="504"/>
      <c r="P1723" s="502"/>
      <c r="Q1723" s="502"/>
      <c r="R1723" s="502"/>
      <c r="S1723" s="501" t="s">
        <v>2379</v>
      </c>
      <c r="T1723" s="501">
        <v>60</v>
      </c>
      <c r="U1723" s="501"/>
      <c r="V1723" s="501" t="s">
        <v>973</v>
      </c>
      <c r="W1723" s="501">
        <v>400</v>
      </c>
      <c r="X1723" s="505">
        <v>768</v>
      </c>
      <c r="Y1723" s="477">
        <f>X1723*W1723</f>
        <v>307200</v>
      </c>
      <c r="Z1723" s="506">
        <v>0.55000000000000004</v>
      </c>
      <c r="AA1723" s="479">
        <f>Z1723*Y1723</f>
        <v>168960</v>
      </c>
      <c r="AB1723" s="480"/>
      <c r="AC1723" s="481">
        <f>AB1723*Y1723</f>
        <v>0</v>
      </c>
      <c r="AD1723" s="508"/>
      <c r="AE1723" s="507"/>
      <c r="AF1723" s="493">
        <f>AE1723+AD1723+AA1723</f>
        <v>168960</v>
      </c>
      <c r="AG1723" s="501"/>
      <c r="AH1723" s="501"/>
      <c r="AI1723" s="503"/>
      <c r="AJ1723" s="501" t="s">
        <v>3221</v>
      </c>
      <c r="AK1723" s="509" t="s">
        <v>1144</v>
      </c>
      <c r="AL1723" s="501">
        <v>76011</v>
      </c>
      <c r="AM1723" s="501" t="s">
        <v>52</v>
      </c>
      <c r="AN1723" s="501"/>
      <c r="AO1723" s="501"/>
      <c r="AP1723" s="510"/>
      <c r="AQ1723" s="510" t="s">
        <v>37</v>
      </c>
      <c r="AR1723" s="510" t="s">
        <v>1677</v>
      </c>
      <c r="AS1723" s="495"/>
      <c r="AT1723" s="495"/>
      <c r="AU1723" s="495"/>
      <c r="AV1723" s="471">
        <f t="shared" ref="AV1723:AV1752" si="286">U1723</f>
        <v>0</v>
      </c>
      <c r="AW1723" s="471" cm="1">
        <f t="array" ref="AW1723">SUM(MID(0&amp;AV1723,LARGE(INDEX(ISNUMBER(--MID(AV1723,ROW($1:$8),1))*ROW($1:$8),),ROW($1:$8))+1,1)*10^ROW($1:$8)/10)</f>
        <v>0</v>
      </c>
      <c r="AX1723" s="471" t="e">
        <f>VLOOKUP($AW1723,'Item Master Data'!$A:$F,3,FALSE)</f>
        <v>#N/A</v>
      </c>
      <c r="AY1723" s="471" t="e">
        <f>VLOOKUP($AW1723,'Item Master Data'!$A:$F,6,FALSE)</f>
        <v>#N/A</v>
      </c>
      <c r="AZ1723" s="471" t="e">
        <f t="shared" ref="AZ1723:AZ1754" si="287">X1723/BA1723</f>
        <v>#N/A</v>
      </c>
      <c r="BA1723" s="471" t="e">
        <f>VLOOKUP(AW1723,'Item Master Data'!$A:$G,7,FALSE)</f>
        <v>#N/A</v>
      </c>
      <c r="BC1723" s="471" t="e">
        <f t="shared" ref="BC1723:BC1752" si="288">W1723-AY1723</f>
        <v>#N/A</v>
      </c>
    </row>
    <row r="1724" spans="1:55" s="471" customFormat="1" ht="15" customHeight="1">
      <c r="A1724" s="472"/>
      <c r="B1724" s="472"/>
      <c r="C1724" s="472"/>
      <c r="D1724" s="512" t="s">
        <v>3186</v>
      </c>
      <c r="E1724" s="501" t="s">
        <v>5758</v>
      </c>
      <c r="F1724" s="501"/>
      <c r="G1724" s="501">
        <v>2022</v>
      </c>
      <c r="H1724" s="501">
        <v>5</v>
      </c>
      <c r="I1724" s="501" t="s">
        <v>1676</v>
      </c>
      <c r="J1724" s="502"/>
      <c r="K1724" s="503" t="s">
        <v>5760</v>
      </c>
      <c r="L1724" s="501" t="s">
        <v>3220</v>
      </c>
      <c r="M1724" s="504">
        <v>44593</v>
      </c>
      <c r="N1724" s="504">
        <v>44593</v>
      </c>
      <c r="O1724" s="504"/>
      <c r="P1724" s="502"/>
      <c r="Q1724" s="502"/>
      <c r="R1724" s="502"/>
      <c r="S1724" s="501" t="s">
        <v>2379</v>
      </c>
      <c r="T1724" s="501">
        <v>60</v>
      </c>
      <c r="U1724" s="501"/>
      <c r="V1724" s="501" t="s">
        <v>973</v>
      </c>
      <c r="W1724" s="501">
        <v>400</v>
      </c>
      <c r="X1724" s="505">
        <f>6912-768</f>
        <v>6144</v>
      </c>
      <c r="Y1724" s="477">
        <f>X1724*W1724</f>
        <v>2457600</v>
      </c>
      <c r="Z1724" s="506">
        <v>0.55000000000000004</v>
      </c>
      <c r="AA1724" s="479">
        <f>Z1724*Y1724</f>
        <v>1351680</v>
      </c>
      <c r="AB1724" s="480"/>
      <c r="AC1724" s="481">
        <f>AB1724*Y1724</f>
        <v>0</v>
      </c>
      <c r="AD1724" s="508"/>
      <c r="AE1724" s="507"/>
      <c r="AF1724" s="493">
        <f>AE1724+AD1724+AA1724</f>
        <v>1351680</v>
      </c>
      <c r="AG1724" s="501"/>
      <c r="AH1724" s="501"/>
      <c r="AI1724" s="503"/>
      <c r="AJ1724" s="501" t="s">
        <v>3221</v>
      </c>
      <c r="AK1724" s="509" t="s">
        <v>1144</v>
      </c>
      <c r="AL1724" s="501">
        <v>76011</v>
      </c>
      <c r="AM1724" s="501" t="s">
        <v>52</v>
      </c>
      <c r="AN1724" s="501"/>
      <c r="AO1724" s="501"/>
      <c r="AP1724" s="510"/>
      <c r="AQ1724" s="510" t="s">
        <v>37</v>
      </c>
      <c r="AR1724" s="510" t="s">
        <v>1677</v>
      </c>
      <c r="AS1724" s="495"/>
      <c r="AT1724" s="495"/>
      <c r="AU1724" s="495"/>
      <c r="AV1724" s="471">
        <f t="shared" si="286"/>
        <v>0</v>
      </c>
      <c r="AW1724" s="471" cm="1">
        <f t="array" ref="AW1724">SUM(MID(0&amp;AV1724,LARGE(INDEX(ISNUMBER(--MID(AV1724,ROW($1:$8),1))*ROW($1:$8),),ROW($1:$8))+1,1)*10^ROW($1:$8)/10)</f>
        <v>0</v>
      </c>
      <c r="AX1724" s="471" t="e">
        <f>VLOOKUP($AW1724,'Item Master Data'!$A:$F,3,FALSE)</f>
        <v>#N/A</v>
      </c>
      <c r="AY1724" s="471" t="e">
        <f>VLOOKUP($AW1724,'Item Master Data'!$A:$F,6,FALSE)</f>
        <v>#N/A</v>
      </c>
      <c r="AZ1724" s="471" t="e">
        <f t="shared" si="287"/>
        <v>#N/A</v>
      </c>
      <c r="BA1724" s="471" t="e">
        <f>VLOOKUP(AW1724,'Item Master Data'!$A:$G,7,FALSE)</f>
        <v>#N/A</v>
      </c>
      <c r="BC1724" s="471" t="e">
        <f t="shared" si="288"/>
        <v>#N/A</v>
      </c>
    </row>
    <row r="1725" spans="1:55" s="471" customFormat="1" ht="15" customHeight="1">
      <c r="A1725" s="472"/>
      <c r="B1725" s="515">
        <v>44673</v>
      </c>
      <c r="C1725" s="515">
        <v>44673</v>
      </c>
      <c r="D1725" s="485" t="s">
        <v>3186</v>
      </c>
      <c r="E1725" s="474" t="s">
        <v>3305</v>
      </c>
      <c r="F1725" s="474"/>
      <c r="G1725" s="474">
        <v>2022</v>
      </c>
      <c r="H1725" s="474">
        <v>4</v>
      </c>
      <c r="I1725" s="474">
        <v>128218</v>
      </c>
      <c r="J1725" s="475">
        <v>44677</v>
      </c>
      <c r="K1725" s="483" t="s">
        <v>3306</v>
      </c>
      <c r="L1725" s="474" t="s">
        <v>3220</v>
      </c>
      <c r="M1725" s="487">
        <v>44496</v>
      </c>
      <c r="N1725" s="487">
        <v>44593</v>
      </c>
      <c r="O1725" s="487" t="s">
        <v>2365</v>
      </c>
      <c r="P1725" s="475">
        <v>44665</v>
      </c>
      <c r="Q1725" s="475">
        <v>44677</v>
      </c>
      <c r="R1725" s="475">
        <v>44679</v>
      </c>
      <c r="S1725" s="474" t="s">
        <v>2379</v>
      </c>
      <c r="T1725" s="474">
        <v>60</v>
      </c>
      <c r="U1725" s="474" t="s">
        <v>1281</v>
      </c>
      <c r="V1725" s="474" t="s">
        <v>973</v>
      </c>
      <c r="W1725" s="474">
        <v>400</v>
      </c>
      <c r="X1725" s="476">
        <v>768</v>
      </c>
      <c r="Y1725" s="491">
        <f>X1725*W1725</f>
        <v>307200</v>
      </c>
      <c r="Z1725" s="478">
        <v>0.55000000000000004</v>
      </c>
      <c r="AA1725" s="479">
        <f>Z1725*Y1725</f>
        <v>168960</v>
      </c>
      <c r="AB1725" s="480"/>
      <c r="AC1725" s="481">
        <f>AB1725*Y1725</f>
        <v>0</v>
      </c>
      <c r="AD1725" s="490"/>
      <c r="AE1725" s="482"/>
      <c r="AF1725" s="493">
        <f>AE1725+AD1725+AA1725</f>
        <v>168960</v>
      </c>
      <c r="AG1725" s="474" t="s">
        <v>1071</v>
      </c>
      <c r="AH1725" s="474"/>
      <c r="AI1725" s="483" t="s">
        <v>2442</v>
      </c>
      <c r="AJ1725" s="474" t="s">
        <v>3221</v>
      </c>
      <c r="AK1725" s="494" t="s">
        <v>1144</v>
      </c>
      <c r="AL1725" s="474">
        <v>76011</v>
      </c>
      <c r="AM1725" s="474" t="s">
        <v>52</v>
      </c>
      <c r="AN1725" s="516" t="s">
        <v>50</v>
      </c>
      <c r="AO1725" s="474"/>
      <c r="AP1725" s="486" t="s">
        <v>38</v>
      </c>
      <c r="AQ1725" s="486" t="s">
        <v>37</v>
      </c>
      <c r="AR1725" s="486" t="s">
        <v>1677</v>
      </c>
      <c r="AS1725" s="495"/>
      <c r="AT1725" s="495"/>
      <c r="AU1725" s="478">
        <v>0.45500000000000002</v>
      </c>
      <c r="AV1725" s="471" t="str">
        <f t="shared" si="286"/>
        <v>30390456H</v>
      </c>
      <c r="AW1725" s="471" cm="1">
        <f t="array" ref="AW1725">SUM(MID(0&amp;AV1725,LARGE(INDEX(ISNUMBER(--MID(AV1725,ROW($1:$8),1))*ROW($1:$8),),ROW($1:$8))+1,1)*10^ROW($1:$8)/10)</f>
        <v>30390456</v>
      </c>
      <c r="AX1725" s="471" t="str">
        <f>VLOOKUP($AW1725,'Item Master Data'!$A:$F,3,FALSE)</f>
        <v>Q.PEAK DUO BLK ML G10+</v>
      </c>
      <c r="AY1725" s="471">
        <f>VLOOKUP($AW1725,'Item Master Data'!$A:$F,6,FALSE)</f>
        <v>400</v>
      </c>
      <c r="AZ1725" s="471">
        <f t="shared" si="287"/>
        <v>24</v>
      </c>
      <c r="BA1725" s="471">
        <f>VLOOKUP(AW1725,'Item Master Data'!$A:$G,7,FALSE)</f>
        <v>32</v>
      </c>
      <c r="BC1725" s="471">
        <f t="shared" si="288"/>
        <v>0</v>
      </c>
    </row>
    <row r="1726" spans="1:55" s="471" customFormat="1" ht="15" customHeight="1">
      <c r="A1726" s="472"/>
      <c r="B1726" s="515">
        <v>44673</v>
      </c>
      <c r="C1726" s="515">
        <v>44673</v>
      </c>
      <c r="D1726" s="485" t="s">
        <v>3186</v>
      </c>
      <c r="E1726" s="474" t="s">
        <v>3305</v>
      </c>
      <c r="F1726" s="474"/>
      <c r="G1726" s="474">
        <v>2022</v>
      </c>
      <c r="H1726" s="474">
        <v>4</v>
      </c>
      <c r="I1726" s="474"/>
      <c r="J1726" s="475"/>
      <c r="K1726" s="483" t="s">
        <v>3306</v>
      </c>
      <c r="L1726" s="474" t="s">
        <v>3220</v>
      </c>
      <c r="M1726" s="487">
        <v>44496</v>
      </c>
      <c r="N1726" s="487">
        <v>44593</v>
      </c>
      <c r="O1726" s="487" t="s">
        <v>2365</v>
      </c>
      <c r="P1726" s="475">
        <v>44665</v>
      </c>
      <c r="Q1726" s="475">
        <v>44680</v>
      </c>
      <c r="R1726" s="475">
        <v>44683</v>
      </c>
      <c r="S1726" s="474" t="s">
        <v>2379</v>
      </c>
      <c r="T1726" s="474">
        <v>60</v>
      </c>
      <c r="U1726" s="474" t="s">
        <v>1281</v>
      </c>
      <c r="V1726" s="474" t="s">
        <v>973</v>
      </c>
      <c r="W1726" s="474">
        <v>400</v>
      </c>
      <c r="X1726" s="476">
        <v>2304</v>
      </c>
      <c r="Y1726" s="491">
        <f>X1726*W1726</f>
        <v>921600</v>
      </c>
      <c r="Z1726" s="478">
        <v>0.55000000000000004</v>
      </c>
      <c r="AA1726" s="479">
        <f>Z1726*Y1726</f>
        <v>506880.00000000006</v>
      </c>
      <c r="AB1726" s="480"/>
      <c r="AC1726" s="481">
        <f>AB1726*Y1726</f>
        <v>0</v>
      </c>
      <c r="AD1726" s="490"/>
      <c r="AE1726" s="482"/>
      <c r="AF1726" s="493">
        <f>AE1726+AD1726+AA1726</f>
        <v>506880.00000000006</v>
      </c>
      <c r="AG1726" s="474" t="s">
        <v>1071</v>
      </c>
      <c r="AH1726" s="474"/>
      <c r="AI1726" s="483" t="s">
        <v>2442</v>
      </c>
      <c r="AJ1726" s="474" t="s">
        <v>3221</v>
      </c>
      <c r="AK1726" s="494" t="s">
        <v>1144</v>
      </c>
      <c r="AL1726" s="474">
        <v>76011</v>
      </c>
      <c r="AM1726" s="474" t="s">
        <v>52</v>
      </c>
      <c r="AN1726" s="516" t="s">
        <v>50</v>
      </c>
      <c r="AO1726" s="474"/>
      <c r="AP1726" s="486" t="s">
        <v>38</v>
      </c>
      <c r="AQ1726" s="486" t="s">
        <v>37</v>
      </c>
      <c r="AR1726" s="486" t="s">
        <v>1677</v>
      </c>
      <c r="AS1726" s="495"/>
      <c r="AT1726" s="495"/>
      <c r="AU1726" s="478">
        <v>0.45500000000000002</v>
      </c>
      <c r="AV1726" s="471" t="str">
        <f t="shared" si="286"/>
        <v>30390456H</v>
      </c>
      <c r="AW1726" s="471" cm="1">
        <f t="array" ref="AW1726">SUM(MID(0&amp;AV1726,LARGE(INDEX(ISNUMBER(--MID(AV1726,ROW($1:$8),1))*ROW($1:$8),),ROW($1:$8))+1,1)*10^ROW($1:$8)/10)</f>
        <v>30390456</v>
      </c>
      <c r="AX1726" s="471" t="str">
        <f>VLOOKUP($AW1726,'Item Master Data'!$A:$F,3,FALSE)</f>
        <v>Q.PEAK DUO BLK ML G10+</v>
      </c>
      <c r="AY1726" s="471">
        <f>VLOOKUP($AW1726,'Item Master Data'!$A:$F,6,FALSE)</f>
        <v>400</v>
      </c>
      <c r="AZ1726" s="471">
        <f t="shared" si="287"/>
        <v>72</v>
      </c>
      <c r="BA1726" s="471">
        <f>VLOOKUP(AW1726,'Item Master Data'!$A:$G,7,FALSE)</f>
        <v>32</v>
      </c>
      <c r="BC1726" s="471">
        <f t="shared" si="288"/>
        <v>0</v>
      </c>
    </row>
    <row r="1727" spans="1:55" s="471" customFormat="1" ht="15" customHeight="1">
      <c r="A1727" s="472">
        <v>10</v>
      </c>
      <c r="B1727" s="515">
        <v>44673</v>
      </c>
      <c r="C1727" s="515">
        <v>44673</v>
      </c>
      <c r="D1727" s="485" t="s">
        <v>3186</v>
      </c>
      <c r="E1727" s="474" t="s">
        <v>3215</v>
      </c>
      <c r="F1727" s="474"/>
      <c r="G1727" s="474">
        <v>2022</v>
      </c>
      <c r="H1727" s="474">
        <v>3</v>
      </c>
      <c r="I1727" s="474">
        <v>127559</v>
      </c>
      <c r="J1727" s="475">
        <v>44645</v>
      </c>
      <c r="K1727" s="483" t="s">
        <v>3219</v>
      </c>
      <c r="L1727" s="474" t="s">
        <v>3220</v>
      </c>
      <c r="M1727" s="487">
        <v>44496</v>
      </c>
      <c r="N1727" s="487">
        <v>44582</v>
      </c>
      <c r="O1727" s="487" t="s">
        <v>2365</v>
      </c>
      <c r="P1727" s="475">
        <v>44629</v>
      </c>
      <c r="Q1727" s="475">
        <v>44645</v>
      </c>
      <c r="R1727" s="475">
        <v>44648</v>
      </c>
      <c r="S1727" s="474" t="s">
        <v>2379</v>
      </c>
      <c r="T1727" s="474">
        <v>60</v>
      </c>
      <c r="U1727" s="474" t="s">
        <v>1760</v>
      </c>
      <c r="V1727" s="474" t="s">
        <v>973</v>
      </c>
      <c r="W1727" s="474">
        <v>400</v>
      </c>
      <c r="X1727" s="476">
        <v>1536</v>
      </c>
      <c r="Y1727" s="477">
        <f>X1727*W1727</f>
        <v>614400</v>
      </c>
      <c r="Z1727" s="478">
        <v>0.55000000000000004</v>
      </c>
      <c r="AA1727" s="479">
        <f>Z1727*Y1727</f>
        <v>337920</v>
      </c>
      <c r="AB1727" s="480"/>
      <c r="AC1727" s="481">
        <f>AB1727*Y1727</f>
        <v>0</v>
      </c>
      <c r="AD1727" s="490"/>
      <c r="AE1727" s="482"/>
      <c r="AF1727" s="493">
        <f>AE1727+AD1727+AA1727</f>
        <v>337920</v>
      </c>
      <c r="AG1727" s="474" t="s">
        <v>1071</v>
      </c>
      <c r="AH1727" s="474"/>
      <c r="AI1727" s="483" t="s">
        <v>2442</v>
      </c>
      <c r="AJ1727" s="474" t="s">
        <v>3221</v>
      </c>
      <c r="AK1727" s="494" t="s">
        <v>1144</v>
      </c>
      <c r="AL1727" s="474">
        <v>76011</v>
      </c>
      <c r="AM1727" s="474" t="s">
        <v>52</v>
      </c>
      <c r="AN1727" s="474" t="s">
        <v>50</v>
      </c>
      <c r="AO1727" s="474"/>
      <c r="AP1727" s="486" t="s">
        <v>38</v>
      </c>
      <c r="AQ1727" s="486" t="s">
        <v>37</v>
      </c>
      <c r="AR1727" s="486" t="s">
        <v>1677</v>
      </c>
      <c r="AS1727" s="495"/>
      <c r="AT1727" s="495"/>
      <c r="AU1727" s="478">
        <v>0.45500000000000002</v>
      </c>
      <c r="AV1727" s="471" t="str">
        <f t="shared" si="286"/>
        <v>30390156H</v>
      </c>
      <c r="AW1727" s="471" cm="1">
        <f t="array" ref="AW1727">SUM(MID(0&amp;AV1727,LARGE(INDEX(ISNUMBER(--MID(AV1727,ROW($1:$8),1))*ROW($1:$8),),ROW($1:$8))+1,1)*10^ROW($1:$8)/10)</f>
        <v>30390156</v>
      </c>
      <c r="AX1727" s="471" t="str">
        <f>VLOOKUP($AW1727,'Item Master Data'!$A:$F,3,FALSE)</f>
        <v>Q.PEAK DUO BLK ML G10+</v>
      </c>
      <c r="AY1727" s="471">
        <f>VLOOKUP($AW1727,'Item Master Data'!$A:$F,6,FALSE)</f>
        <v>400</v>
      </c>
      <c r="AZ1727" s="471">
        <f t="shared" si="287"/>
        <v>48</v>
      </c>
      <c r="BA1727" s="471">
        <f>VLOOKUP(AW1727,'Item Master Data'!$A:$G,7,FALSE)</f>
        <v>32</v>
      </c>
      <c r="BC1727" s="471">
        <f t="shared" si="288"/>
        <v>0</v>
      </c>
    </row>
    <row r="1728" spans="1:55" s="471" customFormat="1" ht="15" customHeight="1">
      <c r="A1728" s="472">
        <v>10</v>
      </c>
      <c r="B1728" s="515">
        <v>44603</v>
      </c>
      <c r="C1728" s="515">
        <v>44603</v>
      </c>
      <c r="D1728" s="485" t="s">
        <v>3186</v>
      </c>
      <c r="E1728" s="474" t="s">
        <v>3215</v>
      </c>
      <c r="F1728" s="474"/>
      <c r="G1728" s="474">
        <v>2022</v>
      </c>
      <c r="H1728" s="474">
        <v>4</v>
      </c>
      <c r="I1728" s="474">
        <v>128205</v>
      </c>
      <c r="J1728" s="475">
        <v>44670</v>
      </c>
      <c r="K1728" s="483" t="s">
        <v>3303</v>
      </c>
      <c r="L1728" s="474" t="s">
        <v>3220</v>
      </c>
      <c r="M1728" s="487">
        <v>44496</v>
      </c>
      <c r="N1728" s="487">
        <v>44557</v>
      </c>
      <c r="O1728" s="487" t="s">
        <v>1280</v>
      </c>
      <c r="P1728" s="475">
        <v>44629</v>
      </c>
      <c r="Q1728" s="475">
        <v>44670</v>
      </c>
      <c r="R1728" s="475">
        <v>44672</v>
      </c>
      <c r="S1728" s="474" t="s">
        <v>2379</v>
      </c>
      <c r="T1728" s="474">
        <v>60</v>
      </c>
      <c r="U1728" s="474">
        <v>49403140</v>
      </c>
      <c r="V1728" s="474" t="s">
        <v>973</v>
      </c>
      <c r="W1728" s="474">
        <v>400</v>
      </c>
      <c r="X1728" s="476">
        <v>768</v>
      </c>
      <c r="Y1728" s="491">
        <f>X1728*W1728</f>
        <v>307200</v>
      </c>
      <c r="Z1728" s="478">
        <v>0.55000000000000004</v>
      </c>
      <c r="AA1728" s="479">
        <f>Z1728*Y1728</f>
        <v>168960</v>
      </c>
      <c r="AB1728" s="480"/>
      <c r="AC1728" s="481">
        <f>AB1728*Y1728</f>
        <v>0</v>
      </c>
      <c r="AD1728" s="490"/>
      <c r="AE1728" s="482"/>
      <c r="AF1728" s="493">
        <f>AE1728+AD1728+AA1728</f>
        <v>168960</v>
      </c>
      <c r="AG1728" s="474" t="s">
        <v>1071</v>
      </c>
      <c r="AH1728" s="474"/>
      <c r="AI1728" s="483" t="s">
        <v>2442</v>
      </c>
      <c r="AJ1728" s="474" t="s">
        <v>3304</v>
      </c>
      <c r="AK1728" s="494" t="s">
        <v>1144</v>
      </c>
      <c r="AL1728" s="474">
        <v>75238</v>
      </c>
      <c r="AM1728" s="474" t="s">
        <v>52</v>
      </c>
      <c r="AN1728" s="474" t="s">
        <v>1106</v>
      </c>
      <c r="AO1728" s="474"/>
      <c r="AP1728" s="486"/>
      <c r="AQ1728" s="486" t="s">
        <v>37</v>
      </c>
      <c r="AR1728" s="486" t="s">
        <v>1677</v>
      </c>
      <c r="AS1728" s="495"/>
      <c r="AT1728" s="495"/>
      <c r="AU1728" s="478">
        <v>0.45500000000000002</v>
      </c>
      <c r="AV1728" s="471">
        <f t="shared" si="286"/>
        <v>49403140</v>
      </c>
      <c r="AW1728" s="471" cm="1">
        <f t="array" ref="AW1728">SUM(MID(0&amp;AV1728,LARGE(INDEX(ISNUMBER(--MID(AV1728,ROW($1:$8),1))*ROW($1:$8),),ROW($1:$8))+1,1)*10^ROW($1:$8)/10)</f>
        <v>49403140</v>
      </c>
      <c r="AX1728" s="471" t="str">
        <f>VLOOKUP($AW1728,'Item Master Data'!$A:$F,3,FALSE)</f>
        <v>Q.PEAK DUO BLK ML G10+</v>
      </c>
      <c r="AY1728" s="471">
        <f>VLOOKUP($AW1728,'Item Master Data'!$A:$F,6,FALSE)</f>
        <v>400</v>
      </c>
      <c r="AZ1728" s="471">
        <f t="shared" si="287"/>
        <v>24</v>
      </c>
      <c r="BA1728" s="471">
        <f>VLOOKUP(AW1728,'Item Master Data'!$A:$G,7,FALSE)</f>
        <v>32</v>
      </c>
      <c r="BC1728" s="471">
        <f t="shared" si="288"/>
        <v>0</v>
      </c>
    </row>
    <row r="1729" spans="1:55" s="471" customFormat="1" ht="15" customHeight="1">
      <c r="A1729" s="472"/>
      <c r="B1729" s="515">
        <v>44550</v>
      </c>
      <c r="C1729" s="515">
        <v>44629</v>
      </c>
      <c r="D1729" s="485" t="s">
        <v>3186</v>
      </c>
      <c r="E1729" s="474" t="s">
        <v>3627</v>
      </c>
      <c r="F1729" s="474"/>
      <c r="G1729" s="474">
        <v>2022</v>
      </c>
      <c r="H1729" s="474">
        <v>6</v>
      </c>
      <c r="I1729" s="474" t="s">
        <v>1676</v>
      </c>
      <c r="J1729" s="475"/>
      <c r="K1729" s="483" t="s">
        <v>3628</v>
      </c>
      <c r="L1729" s="474" t="s">
        <v>2356</v>
      </c>
      <c r="M1729" s="487">
        <v>44547</v>
      </c>
      <c r="N1729" s="487">
        <v>44547</v>
      </c>
      <c r="O1729" s="487"/>
      <c r="P1729" s="475"/>
      <c r="Q1729" s="475"/>
      <c r="R1729" s="475"/>
      <c r="S1729" s="474" t="s">
        <v>2379</v>
      </c>
      <c r="T1729" s="474">
        <v>60</v>
      </c>
      <c r="U1729" s="474"/>
      <c r="V1729" s="474" t="s">
        <v>986</v>
      </c>
      <c r="W1729" s="474">
        <v>360</v>
      </c>
      <c r="X1729" s="476">
        <v>1664</v>
      </c>
      <c r="Y1729" s="477">
        <f>X1729*W1729</f>
        <v>599040</v>
      </c>
      <c r="Z1729" s="478">
        <v>0.5</v>
      </c>
      <c r="AA1729" s="479">
        <f>Z1729*Y1729</f>
        <v>299520</v>
      </c>
      <c r="AB1729" s="480"/>
      <c r="AC1729" s="481">
        <f>AB1729*Y1729</f>
        <v>0</v>
      </c>
      <c r="AD1729" s="490"/>
      <c r="AE1729" s="482"/>
      <c r="AF1729" s="493">
        <f>AE1729+AD1729+AA1729</f>
        <v>299520</v>
      </c>
      <c r="AG1729" s="474" t="s">
        <v>1071</v>
      </c>
      <c r="AH1729" s="474"/>
      <c r="AI1729" s="483" t="s">
        <v>2442</v>
      </c>
      <c r="AJ1729" s="474" t="s">
        <v>1593</v>
      </c>
      <c r="AK1729" s="494" t="s">
        <v>1144</v>
      </c>
      <c r="AL1729" s="474">
        <v>78744</v>
      </c>
      <c r="AM1729" s="474" t="s">
        <v>52</v>
      </c>
      <c r="AN1729" s="474"/>
      <c r="AO1729" s="474"/>
      <c r="AP1729" s="486"/>
      <c r="AQ1729" s="486" t="s">
        <v>37</v>
      </c>
      <c r="AR1729" s="486"/>
      <c r="AS1729" s="495"/>
      <c r="AT1729" s="495"/>
      <c r="AU1729" s="478">
        <v>0.5</v>
      </c>
      <c r="AV1729" s="471">
        <f t="shared" si="286"/>
        <v>0</v>
      </c>
      <c r="AW1729" s="471" cm="1">
        <f t="array" ref="AW1729">SUM(MID(0&amp;AV1729,LARGE(INDEX(ISNUMBER(--MID(AV1729,ROW($1:$8),1))*ROW($1:$8),),ROW($1:$8))+1,1)*10^ROW($1:$8)/10)</f>
        <v>0</v>
      </c>
      <c r="AX1729" s="471" t="e">
        <f>VLOOKUP($AW1729,'Item Master Data'!$A:$F,3,FALSE)</f>
        <v>#N/A</v>
      </c>
      <c r="AY1729" s="471" t="e">
        <f>VLOOKUP($AW1729,'Item Master Data'!$A:$F,6,FALSE)</f>
        <v>#N/A</v>
      </c>
      <c r="AZ1729" s="471" t="e">
        <f t="shared" si="287"/>
        <v>#N/A</v>
      </c>
      <c r="BA1729" s="471" t="e">
        <f>VLOOKUP(AW1729,'Item Master Data'!$A:$G,7,FALSE)</f>
        <v>#N/A</v>
      </c>
      <c r="BC1729" s="471" t="e">
        <f t="shared" si="288"/>
        <v>#N/A</v>
      </c>
    </row>
    <row r="1730" spans="1:55" s="471" customFormat="1" ht="15" customHeight="1">
      <c r="A1730" s="472"/>
      <c r="B1730" s="515">
        <v>44550</v>
      </c>
      <c r="C1730" s="515">
        <v>44629</v>
      </c>
      <c r="D1730" s="485" t="s">
        <v>3186</v>
      </c>
      <c r="E1730" s="474" t="s">
        <v>3627</v>
      </c>
      <c r="F1730" s="474"/>
      <c r="G1730" s="474">
        <v>2022</v>
      </c>
      <c r="H1730" s="474">
        <v>6</v>
      </c>
      <c r="I1730" s="474" t="s">
        <v>1676</v>
      </c>
      <c r="J1730" s="475"/>
      <c r="K1730" s="483" t="s">
        <v>3628</v>
      </c>
      <c r="L1730" s="474" t="s">
        <v>2356</v>
      </c>
      <c r="M1730" s="487">
        <v>44547</v>
      </c>
      <c r="N1730" s="487">
        <v>44547</v>
      </c>
      <c r="O1730" s="487"/>
      <c r="P1730" s="475"/>
      <c r="Q1730" s="475"/>
      <c r="R1730" s="475"/>
      <c r="S1730" s="474" t="s">
        <v>2379</v>
      </c>
      <c r="T1730" s="474">
        <v>60</v>
      </c>
      <c r="U1730" s="474"/>
      <c r="V1730" s="474" t="s">
        <v>3629</v>
      </c>
      <c r="W1730" s="474">
        <v>400</v>
      </c>
      <c r="X1730" s="476">
        <v>2496</v>
      </c>
      <c r="Y1730" s="477">
        <f>X1730*W1730</f>
        <v>998400</v>
      </c>
      <c r="Z1730" s="478">
        <v>0.52</v>
      </c>
      <c r="AA1730" s="479">
        <f>Z1730*Y1730</f>
        <v>519168</v>
      </c>
      <c r="AB1730" s="480"/>
      <c r="AC1730" s="481">
        <f>AB1730*Y1730</f>
        <v>0</v>
      </c>
      <c r="AD1730" s="490"/>
      <c r="AE1730" s="482"/>
      <c r="AF1730" s="493">
        <f>AE1730+AD1730+AA1730</f>
        <v>519168</v>
      </c>
      <c r="AG1730" s="474" t="s">
        <v>1071</v>
      </c>
      <c r="AH1730" s="474"/>
      <c r="AI1730" s="483" t="s">
        <v>2442</v>
      </c>
      <c r="AJ1730" s="474" t="s">
        <v>1593</v>
      </c>
      <c r="AK1730" s="494" t="s">
        <v>1144</v>
      </c>
      <c r="AL1730" s="474">
        <v>78744</v>
      </c>
      <c r="AM1730" s="474" t="s">
        <v>52</v>
      </c>
      <c r="AN1730" s="474"/>
      <c r="AO1730" s="474"/>
      <c r="AP1730" s="486"/>
      <c r="AQ1730" s="486" t="s">
        <v>37</v>
      </c>
      <c r="AR1730" s="486"/>
      <c r="AS1730" s="495"/>
      <c r="AT1730" s="495"/>
      <c r="AU1730" s="478">
        <v>0.5</v>
      </c>
      <c r="AV1730" s="471">
        <f t="shared" si="286"/>
        <v>0</v>
      </c>
      <c r="AW1730" s="471" cm="1">
        <f t="array" ref="AW1730">SUM(MID(0&amp;AV1730,LARGE(INDEX(ISNUMBER(--MID(AV1730,ROW($1:$8),1))*ROW($1:$8),),ROW($1:$8))+1,1)*10^ROW($1:$8)/10)</f>
        <v>0</v>
      </c>
      <c r="AX1730" s="471" t="e">
        <f>VLOOKUP($AW1730,'Item Master Data'!$A:$F,3,FALSE)</f>
        <v>#N/A</v>
      </c>
      <c r="AY1730" s="471" t="e">
        <f>VLOOKUP($AW1730,'Item Master Data'!$A:$F,6,FALSE)</f>
        <v>#N/A</v>
      </c>
      <c r="AZ1730" s="471" t="e">
        <f t="shared" si="287"/>
        <v>#N/A</v>
      </c>
      <c r="BA1730" s="471" t="e">
        <f>VLOOKUP(AW1730,'Item Master Data'!$A:$G,7,FALSE)</f>
        <v>#N/A</v>
      </c>
      <c r="BC1730" s="471" t="e">
        <f t="shared" si="288"/>
        <v>#N/A</v>
      </c>
    </row>
    <row r="1731" spans="1:55" s="471" customFormat="1" ht="15" customHeight="1">
      <c r="A1731" s="472"/>
      <c r="B1731" s="515">
        <v>44606</v>
      </c>
      <c r="C1731" s="515">
        <v>44606</v>
      </c>
      <c r="D1731" s="485" t="s">
        <v>3186</v>
      </c>
      <c r="E1731" s="474" t="s">
        <v>3215</v>
      </c>
      <c r="F1731" s="474"/>
      <c r="G1731" s="474">
        <v>2022</v>
      </c>
      <c r="H1731" s="474">
        <v>4</v>
      </c>
      <c r="I1731" s="474">
        <v>128155</v>
      </c>
      <c r="J1731" s="475">
        <v>44673</v>
      </c>
      <c r="K1731" s="483" t="s">
        <v>3264</v>
      </c>
      <c r="L1731" s="474" t="s">
        <v>2356</v>
      </c>
      <c r="M1731" s="487">
        <v>44532</v>
      </c>
      <c r="N1731" s="487">
        <v>44621</v>
      </c>
      <c r="O1731" s="487" t="s">
        <v>2365</v>
      </c>
      <c r="P1731" s="475">
        <v>44665</v>
      </c>
      <c r="Q1731" s="475">
        <v>44673</v>
      </c>
      <c r="R1731" s="475">
        <v>44676</v>
      </c>
      <c r="S1731" s="474" t="s">
        <v>2379</v>
      </c>
      <c r="T1731" s="474">
        <v>60</v>
      </c>
      <c r="U1731" s="474" t="s">
        <v>1760</v>
      </c>
      <c r="V1731" s="474" t="s">
        <v>973</v>
      </c>
      <c r="W1731" s="474">
        <v>400</v>
      </c>
      <c r="X1731" s="476">
        <f>3328-1664</f>
        <v>1664</v>
      </c>
      <c r="Y1731" s="491">
        <f>X1731*W1731</f>
        <v>665600</v>
      </c>
      <c r="Z1731" s="478">
        <v>0.55000000000000004</v>
      </c>
      <c r="AA1731" s="479">
        <f>Z1731*Y1731</f>
        <v>366080.00000000006</v>
      </c>
      <c r="AB1731" s="480"/>
      <c r="AC1731" s="481">
        <f>AB1731*Y1731</f>
        <v>0</v>
      </c>
      <c r="AD1731" s="490"/>
      <c r="AE1731" s="482"/>
      <c r="AF1731" s="493">
        <f>AE1731+AD1731+AA1731</f>
        <v>366080.00000000006</v>
      </c>
      <c r="AG1731" s="474" t="s">
        <v>1071</v>
      </c>
      <c r="AH1731" s="474"/>
      <c r="AI1731" s="483" t="s">
        <v>2442</v>
      </c>
      <c r="AJ1731" s="474" t="s">
        <v>1593</v>
      </c>
      <c r="AK1731" s="494" t="s">
        <v>1144</v>
      </c>
      <c r="AL1731" s="474">
        <v>78744</v>
      </c>
      <c r="AM1731" s="474" t="s">
        <v>52</v>
      </c>
      <c r="AN1731" s="516" t="s">
        <v>50</v>
      </c>
      <c r="AO1731" s="474"/>
      <c r="AP1731" s="486" t="s">
        <v>38</v>
      </c>
      <c r="AQ1731" s="486" t="s">
        <v>37</v>
      </c>
      <c r="AR1731" s="486" t="s">
        <v>1677</v>
      </c>
      <c r="AS1731" s="495"/>
      <c r="AT1731" s="495"/>
      <c r="AU1731" s="478">
        <v>0.45500000000000002</v>
      </c>
      <c r="AV1731" s="471" t="str">
        <f t="shared" si="286"/>
        <v>30390156H</v>
      </c>
      <c r="AW1731" s="471" cm="1">
        <f t="array" ref="AW1731">SUM(MID(0&amp;AV1731,LARGE(INDEX(ISNUMBER(--MID(AV1731,ROW($1:$8),1))*ROW($1:$8),),ROW($1:$8))+1,1)*10^ROW($1:$8)/10)</f>
        <v>30390156</v>
      </c>
      <c r="AX1731" s="471" t="str">
        <f>VLOOKUP($AW1731,'Item Master Data'!$A:$F,3,FALSE)</f>
        <v>Q.PEAK DUO BLK ML G10+</v>
      </c>
      <c r="AY1731" s="471">
        <f>VLOOKUP($AW1731,'Item Master Data'!$A:$F,6,FALSE)</f>
        <v>400</v>
      </c>
      <c r="AZ1731" s="471">
        <f t="shared" si="287"/>
        <v>52</v>
      </c>
      <c r="BA1731" s="471">
        <f>VLOOKUP(AW1731,'Item Master Data'!$A:$G,7,FALSE)</f>
        <v>32</v>
      </c>
      <c r="BC1731" s="471">
        <f t="shared" si="288"/>
        <v>0</v>
      </c>
    </row>
    <row r="1732" spans="1:55" s="471" customFormat="1" ht="15" customHeight="1">
      <c r="A1732" s="472">
        <v>10</v>
      </c>
      <c r="B1732" s="515">
        <v>44606</v>
      </c>
      <c r="C1732" s="515">
        <v>44606</v>
      </c>
      <c r="D1732" s="485" t="s">
        <v>3186</v>
      </c>
      <c r="E1732" s="474" t="s">
        <v>3215</v>
      </c>
      <c r="F1732" s="474"/>
      <c r="G1732" s="474">
        <v>2022</v>
      </c>
      <c r="H1732" s="474">
        <v>3</v>
      </c>
      <c r="I1732" s="474">
        <v>127761</v>
      </c>
      <c r="J1732" s="475">
        <v>44649</v>
      </c>
      <c r="K1732" s="483" t="s">
        <v>3216</v>
      </c>
      <c r="L1732" s="474" t="s">
        <v>2356</v>
      </c>
      <c r="M1732" s="487">
        <v>44532</v>
      </c>
      <c r="N1732" s="487">
        <v>44621</v>
      </c>
      <c r="O1732" s="487" t="s">
        <v>2365</v>
      </c>
      <c r="P1732" s="475">
        <v>44629</v>
      </c>
      <c r="Q1732" s="475">
        <v>44649</v>
      </c>
      <c r="R1732" s="475">
        <v>44652</v>
      </c>
      <c r="S1732" s="474" t="s">
        <v>2379</v>
      </c>
      <c r="T1732" s="474">
        <v>60</v>
      </c>
      <c r="U1732" s="474" t="s">
        <v>1760</v>
      </c>
      <c r="V1732" s="474" t="s">
        <v>973</v>
      </c>
      <c r="W1732" s="474">
        <v>400</v>
      </c>
      <c r="X1732" s="476">
        <v>1664</v>
      </c>
      <c r="Y1732" s="477">
        <f>X1732*W1732</f>
        <v>665600</v>
      </c>
      <c r="Z1732" s="478">
        <v>0.55000000000000004</v>
      </c>
      <c r="AA1732" s="479">
        <f>Z1732*Y1732</f>
        <v>366080.00000000006</v>
      </c>
      <c r="AB1732" s="480"/>
      <c r="AC1732" s="481">
        <f>AB1732*Y1732</f>
        <v>0</v>
      </c>
      <c r="AD1732" s="490"/>
      <c r="AE1732" s="482"/>
      <c r="AF1732" s="493">
        <f>AE1732+AD1732+AA1732</f>
        <v>366080.00000000006</v>
      </c>
      <c r="AG1732" s="474" t="s">
        <v>1071</v>
      </c>
      <c r="AH1732" s="474"/>
      <c r="AI1732" s="483" t="s">
        <v>2442</v>
      </c>
      <c r="AJ1732" s="474" t="s">
        <v>1593</v>
      </c>
      <c r="AK1732" s="494" t="s">
        <v>1144</v>
      </c>
      <c r="AL1732" s="474">
        <v>78744</v>
      </c>
      <c r="AM1732" s="474" t="s">
        <v>52</v>
      </c>
      <c r="AN1732" s="474" t="s">
        <v>50</v>
      </c>
      <c r="AO1732" s="474"/>
      <c r="AP1732" s="486" t="s">
        <v>38</v>
      </c>
      <c r="AQ1732" s="486" t="s">
        <v>37</v>
      </c>
      <c r="AR1732" s="486" t="s">
        <v>1677</v>
      </c>
      <c r="AS1732" s="495"/>
      <c r="AT1732" s="495"/>
      <c r="AU1732" s="478">
        <v>0.45500000000000002</v>
      </c>
      <c r="AV1732" s="471" t="str">
        <f t="shared" si="286"/>
        <v>30390156H</v>
      </c>
      <c r="AW1732" s="471" cm="1">
        <f t="array" ref="AW1732">SUM(MID(0&amp;AV1732,LARGE(INDEX(ISNUMBER(--MID(AV1732,ROW($1:$8),1))*ROW($1:$8),),ROW($1:$8))+1,1)*10^ROW($1:$8)/10)</f>
        <v>30390156</v>
      </c>
      <c r="AX1732" s="471" t="str">
        <f>VLOOKUP($AW1732,'Item Master Data'!$A:$F,3,FALSE)</f>
        <v>Q.PEAK DUO BLK ML G10+</v>
      </c>
      <c r="AY1732" s="471">
        <f>VLOOKUP($AW1732,'Item Master Data'!$A:$F,6,FALSE)</f>
        <v>400</v>
      </c>
      <c r="AZ1732" s="471">
        <f t="shared" si="287"/>
        <v>52</v>
      </c>
      <c r="BA1732" s="471">
        <f>VLOOKUP(AW1732,'Item Master Data'!$A:$G,7,FALSE)</f>
        <v>32</v>
      </c>
      <c r="BC1732" s="471">
        <f t="shared" si="288"/>
        <v>0</v>
      </c>
    </row>
    <row r="1733" spans="1:55" s="471" customFormat="1" ht="15" customHeight="1">
      <c r="A1733" s="472"/>
      <c r="B1733" s="515">
        <v>44609</v>
      </c>
      <c r="C1733" s="515">
        <v>44609</v>
      </c>
      <c r="D1733" s="485" t="s">
        <v>3186</v>
      </c>
      <c r="E1733" s="474" t="s">
        <v>3215</v>
      </c>
      <c r="F1733" s="474"/>
      <c r="G1733" s="474">
        <v>2022</v>
      </c>
      <c r="H1733" s="474">
        <v>5</v>
      </c>
      <c r="I1733" s="474"/>
      <c r="J1733" s="475"/>
      <c r="K1733" s="483" t="s">
        <v>3382</v>
      </c>
      <c r="L1733" s="474" t="s">
        <v>2356</v>
      </c>
      <c r="M1733" s="487">
        <v>44532</v>
      </c>
      <c r="N1733" s="487">
        <v>44593</v>
      </c>
      <c r="O1733" s="487" t="s">
        <v>1280</v>
      </c>
      <c r="P1733" s="475"/>
      <c r="Q1733" s="475"/>
      <c r="R1733" s="475"/>
      <c r="S1733" s="474" t="s">
        <v>2379</v>
      </c>
      <c r="T1733" s="474">
        <v>60</v>
      </c>
      <c r="U1733" s="474"/>
      <c r="V1733" s="474" t="s">
        <v>973</v>
      </c>
      <c r="W1733" s="474">
        <v>400</v>
      </c>
      <c r="X1733" s="476">
        <f>3328-2496</f>
        <v>832</v>
      </c>
      <c r="Y1733" s="544">
        <f>X1733*W1733</f>
        <v>332800</v>
      </c>
      <c r="Z1733" s="478">
        <v>0.55000000000000004</v>
      </c>
      <c r="AA1733" s="479">
        <f>Z1733*Y1733</f>
        <v>183040.00000000003</v>
      </c>
      <c r="AB1733" s="480"/>
      <c r="AC1733" s="481">
        <f>AB1733*Y1733</f>
        <v>0</v>
      </c>
      <c r="AD1733" s="490"/>
      <c r="AE1733" s="482"/>
      <c r="AF1733" s="493">
        <f>AE1733+AD1733+AA1733</f>
        <v>183040.00000000003</v>
      </c>
      <c r="AG1733" s="474" t="s">
        <v>1071</v>
      </c>
      <c r="AH1733" s="474"/>
      <c r="AI1733" s="483" t="s">
        <v>2442</v>
      </c>
      <c r="AJ1733" s="474" t="s">
        <v>1593</v>
      </c>
      <c r="AK1733" s="494" t="s">
        <v>1144</v>
      </c>
      <c r="AL1733" s="474">
        <v>78744</v>
      </c>
      <c r="AM1733" s="474" t="s">
        <v>52</v>
      </c>
      <c r="AN1733" s="516" t="s">
        <v>50</v>
      </c>
      <c r="AO1733" s="474"/>
      <c r="AP1733" s="486"/>
      <c r="AQ1733" s="486" t="s">
        <v>37</v>
      </c>
      <c r="AR1733" s="486" t="s">
        <v>1677</v>
      </c>
      <c r="AS1733" s="495"/>
      <c r="AT1733" s="495"/>
      <c r="AU1733" s="478">
        <v>0.45500000000000002</v>
      </c>
      <c r="AV1733" s="471">
        <f t="shared" si="286"/>
        <v>0</v>
      </c>
      <c r="AW1733" s="471" cm="1">
        <f t="array" ref="AW1733">SUM(MID(0&amp;AV1733,LARGE(INDEX(ISNUMBER(--MID(AV1733,ROW($1:$8),1))*ROW($1:$8),),ROW($1:$8))+1,1)*10^ROW($1:$8)/10)</f>
        <v>0</v>
      </c>
      <c r="AX1733" s="471" t="e">
        <f>VLOOKUP($AW1733,'Item Master Data'!$A:$F,3,FALSE)</f>
        <v>#N/A</v>
      </c>
      <c r="AY1733" s="471" t="e">
        <f>VLOOKUP($AW1733,'Item Master Data'!$A:$F,6,FALSE)</f>
        <v>#N/A</v>
      </c>
      <c r="AZ1733" s="471" t="e">
        <f t="shared" si="287"/>
        <v>#N/A</v>
      </c>
      <c r="BA1733" s="471" t="e">
        <f>VLOOKUP(AW1733,'Item Master Data'!$A:$G,7,FALSE)</f>
        <v>#N/A</v>
      </c>
      <c r="BC1733" s="471" t="e">
        <f t="shared" si="288"/>
        <v>#N/A</v>
      </c>
    </row>
    <row r="1734" spans="1:55" s="471" customFormat="1">
      <c r="A1734" s="472"/>
      <c r="B1734" s="514">
        <v>44672</v>
      </c>
      <c r="C1734" s="514">
        <v>44675</v>
      </c>
      <c r="D1734" s="485" t="s">
        <v>3186</v>
      </c>
      <c r="E1734" s="474"/>
      <c r="F1734" s="474"/>
      <c r="G1734" s="474">
        <v>2022</v>
      </c>
      <c r="H1734" s="474">
        <v>10</v>
      </c>
      <c r="I1734" s="474" t="s">
        <v>1676</v>
      </c>
      <c r="J1734" s="475"/>
      <c r="K1734" s="483" t="s">
        <v>5423</v>
      </c>
      <c r="L1734" s="474" t="s">
        <v>3324</v>
      </c>
      <c r="M1734" s="487">
        <v>44672</v>
      </c>
      <c r="N1734" s="487">
        <v>44835</v>
      </c>
      <c r="O1734" s="487"/>
      <c r="P1734" s="475"/>
      <c r="Q1734" s="475"/>
      <c r="R1734" s="475"/>
      <c r="S1734" s="474" t="s">
        <v>2379</v>
      </c>
      <c r="T1734" s="474">
        <v>60</v>
      </c>
      <c r="U1734" s="474"/>
      <c r="V1734" s="474" t="s">
        <v>973</v>
      </c>
      <c r="W1734" s="474">
        <v>400</v>
      </c>
      <c r="X1734" s="476">
        <v>1664</v>
      </c>
      <c r="Y1734" s="491">
        <f>X1734*W1734</f>
        <v>665600</v>
      </c>
      <c r="Z1734" s="478">
        <v>0.64</v>
      </c>
      <c r="AA1734" s="492">
        <f>Z1734*Y1734</f>
        <v>425984</v>
      </c>
      <c r="AB1734" s="480"/>
      <c r="AC1734" s="481">
        <f>AB1734*Y1734</f>
        <v>0</v>
      </c>
      <c r="AD1734" s="490"/>
      <c r="AE1734" s="482"/>
      <c r="AF1734" s="493">
        <f>AE1734+AD1734+AA1734</f>
        <v>425984</v>
      </c>
      <c r="AG1734" s="474" t="s">
        <v>1071</v>
      </c>
      <c r="AH1734" s="474"/>
      <c r="AI1734" s="483" t="s">
        <v>2442</v>
      </c>
      <c r="AJ1734" s="474" t="s">
        <v>2380</v>
      </c>
      <c r="AK1734" s="494" t="s">
        <v>2381</v>
      </c>
      <c r="AL1734" s="474">
        <v>87107</v>
      </c>
      <c r="AM1734" s="474" t="s">
        <v>52</v>
      </c>
      <c r="AN1734" s="474"/>
      <c r="AO1734" s="474"/>
      <c r="AP1734" s="486"/>
      <c r="AQ1734" s="486" t="s">
        <v>37</v>
      </c>
      <c r="AR1734" s="486"/>
      <c r="AS1734" s="495"/>
      <c r="AT1734" s="495"/>
      <c r="AU1734" s="478">
        <v>0.45500000000000002</v>
      </c>
      <c r="AV1734" s="471">
        <f t="shared" si="286"/>
        <v>0</v>
      </c>
      <c r="AW1734" s="471" cm="1">
        <f t="array" ref="AW1734">SUM(MID(0&amp;AV1734,LARGE(INDEX(ISNUMBER(--MID(AV1734,ROW($1:$8),1))*ROW($1:$8),),ROW($1:$8))+1,1)*10^ROW($1:$8)/10)</f>
        <v>0</v>
      </c>
      <c r="AX1734" s="471" t="e">
        <f>VLOOKUP($AW1734,'Item Master Data'!$A:$F,3,FALSE)</f>
        <v>#N/A</v>
      </c>
      <c r="AY1734" s="471" t="e">
        <f>VLOOKUP($AW1734,'Item Master Data'!$A:$F,6,FALSE)</f>
        <v>#N/A</v>
      </c>
      <c r="AZ1734" s="471" t="e">
        <f t="shared" si="287"/>
        <v>#N/A</v>
      </c>
      <c r="BA1734" s="471" t="e">
        <f>VLOOKUP(AW1734,'Item Master Data'!$A:$G,7,FALSE)</f>
        <v>#N/A</v>
      </c>
      <c r="BC1734" s="471" t="e">
        <f t="shared" si="288"/>
        <v>#N/A</v>
      </c>
    </row>
    <row r="1735" spans="1:55" s="471" customFormat="1">
      <c r="A1735" s="472"/>
      <c r="B1735" s="514">
        <v>44571</v>
      </c>
      <c r="C1735" s="515">
        <v>44629</v>
      </c>
      <c r="D1735" s="485" t="s">
        <v>3186</v>
      </c>
      <c r="E1735" s="474" t="s">
        <v>3215</v>
      </c>
      <c r="F1735" s="474"/>
      <c r="G1735" s="474">
        <v>2022</v>
      </c>
      <c r="H1735" s="474">
        <v>7</v>
      </c>
      <c r="I1735" s="474" t="s">
        <v>1676</v>
      </c>
      <c r="J1735" s="475"/>
      <c r="K1735" s="483" t="s">
        <v>3472</v>
      </c>
      <c r="L1735" s="474" t="s">
        <v>3324</v>
      </c>
      <c r="M1735" s="487">
        <v>44571</v>
      </c>
      <c r="N1735" s="487">
        <v>44652</v>
      </c>
      <c r="O1735" s="487"/>
      <c r="P1735" s="475"/>
      <c r="Q1735" s="475"/>
      <c r="R1735" s="475"/>
      <c r="S1735" s="474" t="s">
        <v>2379</v>
      </c>
      <c r="T1735" s="474">
        <v>60</v>
      </c>
      <c r="U1735" s="474"/>
      <c r="V1735" s="474" t="s">
        <v>3439</v>
      </c>
      <c r="W1735" s="474">
        <v>400</v>
      </c>
      <c r="X1735" s="476">
        <v>4608</v>
      </c>
      <c r="Y1735" s="491">
        <f>X1735*W1735</f>
        <v>1843200</v>
      </c>
      <c r="Z1735" s="478">
        <v>0.49</v>
      </c>
      <c r="AA1735" s="492">
        <f>Z1735*Y1735</f>
        <v>903168</v>
      </c>
      <c r="AB1735" s="480"/>
      <c r="AC1735" s="481">
        <f>AB1735*Y1735</f>
        <v>0</v>
      </c>
      <c r="AD1735" s="490"/>
      <c r="AE1735" s="482"/>
      <c r="AF1735" s="493">
        <f>AE1735+AD1735+AA1735</f>
        <v>903168</v>
      </c>
      <c r="AG1735" s="474" t="s">
        <v>1071</v>
      </c>
      <c r="AH1735" s="474"/>
      <c r="AI1735" s="483" t="s">
        <v>2442</v>
      </c>
      <c r="AJ1735" s="474" t="s">
        <v>2380</v>
      </c>
      <c r="AK1735" s="494" t="s">
        <v>2381</v>
      </c>
      <c r="AL1735" s="474">
        <v>87107</v>
      </c>
      <c r="AM1735" s="474" t="s">
        <v>52</v>
      </c>
      <c r="AN1735" s="474"/>
      <c r="AO1735" s="474"/>
      <c r="AP1735" s="486"/>
      <c r="AQ1735" s="486" t="s">
        <v>37</v>
      </c>
      <c r="AR1735" s="486" t="s">
        <v>3473</v>
      </c>
      <c r="AS1735" s="495"/>
      <c r="AT1735" s="495"/>
      <c r="AU1735" s="478">
        <v>0.49</v>
      </c>
      <c r="AV1735" s="471">
        <f t="shared" si="286"/>
        <v>0</v>
      </c>
      <c r="AW1735" s="471" cm="1">
        <f t="array" ref="AW1735">SUM(MID(0&amp;AV1735,LARGE(INDEX(ISNUMBER(--MID(AV1735,ROW($1:$8),1))*ROW($1:$8),),ROW($1:$8))+1,1)*10^ROW($1:$8)/10)</f>
        <v>0</v>
      </c>
      <c r="AX1735" s="471" t="e">
        <f>VLOOKUP($AW1735,'Item Master Data'!$A:$F,3,FALSE)</f>
        <v>#N/A</v>
      </c>
      <c r="AY1735" s="471" t="e">
        <f>VLOOKUP($AW1735,'Item Master Data'!$A:$F,6,FALSE)</f>
        <v>#N/A</v>
      </c>
      <c r="AZ1735" s="471" t="e">
        <f t="shared" si="287"/>
        <v>#N/A</v>
      </c>
      <c r="BA1735" s="471" t="e">
        <f>VLOOKUP(AW1735,'Item Master Data'!$A:$G,7,FALSE)</f>
        <v>#N/A</v>
      </c>
      <c r="BC1735" s="471" t="e">
        <f t="shared" si="288"/>
        <v>#N/A</v>
      </c>
    </row>
    <row r="1736" spans="1:55" s="471" customFormat="1">
      <c r="A1736" s="472"/>
      <c r="B1736" s="514">
        <v>44201</v>
      </c>
      <c r="C1736" s="515">
        <v>44629</v>
      </c>
      <c r="D1736" s="485" t="s">
        <v>3186</v>
      </c>
      <c r="E1736" s="474" t="s">
        <v>3215</v>
      </c>
      <c r="F1736" s="474"/>
      <c r="G1736" s="474">
        <v>2022</v>
      </c>
      <c r="H1736" s="474">
        <v>6</v>
      </c>
      <c r="I1736" s="474" t="s">
        <v>1676</v>
      </c>
      <c r="J1736" s="475"/>
      <c r="K1736" s="483" t="s">
        <v>3438</v>
      </c>
      <c r="L1736" s="474" t="s">
        <v>3324</v>
      </c>
      <c r="M1736" s="487">
        <v>44558</v>
      </c>
      <c r="N1736" s="487">
        <v>44558</v>
      </c>
      <c r="O1736" s="487"/>
      <c r="P1736" s="475"/>
      <c r="Q1736" s="475"/>
      <c r="R1736" s="475"/>
      <c r="S1736" s="474" t="s">
        <v>2379</v>
      </c>
      <c r="T1736" s="474">
        <v>60</v>
      </c>
      <c r="U1736" s="474"/>
      <c r="V1736" s="474" t="s">
        <v>3439</v>
      </c>
      <c r="W1736" s="474">
        <v>400</v>
      </c>
      <c r="X1736" s="476">
        <v>1536</v>
      </c>
      <c r="Y1736" s="491">
        <f>X1736*W1736</f>
        <v>614400</v>
      </c>
      <c r="Z1736" s="478">
        <v>0.5</v>
      </c>
      <c r="AA1736" s="492">
        <f>Z1736*Y1736</f>
        <v>307200</v>
      </c>
      <c r="AB1736" s="480"/>
      <c r="AC1736" s="481">
        <f>AB1736*Y1736</f>
        <v>0</v>
      </c>
      <c r="AD1736" s="490"/>
      <c r="AE1736" s="482"/>
      <c r="AF1736" s="493">
        <f>AE1736+AD1736+AA1736</f>
        <v>307200</v>
      </c>
      <c r="AG1736" s="474" t="s">
        <v>1071</v>
      </c>
      <c r="AH1736" s="474"/>
      <c r="AI1736" s="483" t="s">
        <v>2442</v>
      </c>
      <c r="AJ1736" s="474" t="s">
        <v>2380</v>
      </c>
      <c r="AK1736" s="494" t="s">
        <v>2381</v>
      </c>
      <c r="AL1736" s="474">
        <v>87107</v>
      </c>
      <c r="AM1736" s="474" t="s">
        <v>52</v>
      </c>
      <c r="AN1736" s="474"/>
      <c r="AO1736" s="474"/>
      <c r="AP1736" s="486"/>
      <c r="AQ1736" s="486" t="s">
        <v>37</v>
      </c>
      <c r="AR1736" s="486" t="s">
        <v>3440</v>
      </c>
      <c r="AS1736" s="495"/>
      <c r="AT1736" s="495"/>
      <c r="AU1736" s="478">
        <v>0.5</v>
      </c>
      <c r="AV1736" s="471">
        <f t="shared" si="286"/>
        <v>0</v>
      </c>
      <c r="AW1736" s="471" cm="1">
        <f t="array" ref="AW1736">SUM(MID(0&amp;AV1736,LARGE(INDEX(ISNUMBER(--MID(AV1736,ROW($1:$8),1))*ROW($1:$8),),ROW($1:$8))+1,1)*10^ROW($1:$8)/10)</f>
        <v>0</v>
      </c>
      <c r="AX1736" s="471" t="e">
        <f>VLOOKUP($AW1736,'Item Master Data'!$A:$F,3,FALSE)</f>
        <v>#N/A</v>
      </c>
      <c r="AY1736" s="471" t="e">
        <f>VLOOKUP($AW1736,'Item Master Data'!$A:$F,6,FALSE)</f>
        <v>#N/A</v>
      </c>
      <c r="AZ1736" s="471" t="e">
        <f t="shared" si="287"/>
        <v>#N/A</v>
      </c>
      <c r="BA1736" s="471" t="e">
        <f>VLOOKUP(AW1736,'Item Master Data'!$A:$G,7,FALSE)</f>
        <v>#N/A</v>
      </c>
      <c r="BC1736" s="471" t="e">
        <f t="shared" si="288"/>
        <v>#N/A</v>
      </c>
    </row>
    <row r="1737" spans="1:55" s="471" customFormat="1">
      <c r="A1737" s="472"/>
      <c r="B1737" s="514">
        <v>44201</v>
      </c>
      <c r="C1737" s="515">
        <v>44629</v>
      </c>
      <c r="D1737" s="485" t="s">
        <v>3186</v>
      </c>
      <c r="E1737" s="474" t="s">
        <v>3215</v>
      </c>
      <c r="F1737" s="474"/>
      <c r="G1737" s="474">
        <v>2022</v>
      </c>
      <c r="H1737" s="474">
        <v>6</v>
      </c>
      <c r="I1737" s="474" t="s">
        <v>1676</v>
      </c>
      <c r="J1737" s="475"/>
      <c r="K1737" s="483" t="s">
        <v>3438</v>
      </c>
      <c r="L1737" s="474" t="s">
        <v>3324</v>
      </c>
      <c r="M1737" s="487">
        <v>44558</v>
      </c>
      <c r="N1737" s="487">
        <v>44558</v>
      </c>
      <c r="O1737" s="487"/>
      <c r="P1737" s="475"/>
      <c r="Q1737" s="475"/>
      <c r="R1737" s="475"/>
      <c r="S1737" s="474" t="s">
        <v>2379</v>
      </c>
      <c r="T1737" s="474">
        <v>60</v>
      </c>
      <c r="U1737" s="474"/>
      <c r="V1737" s="474" t="s">
        <v>3439</v>
      </c>
      <c r="W1737" s="474">
        <v>400</v>
      </c>
      <c r="X1737" s="476">
        <v>1536</v>
      </c>
      <c r="Y1737" s="491">
        <f>X1737*W1737</f>
        <v>614400</v>
      </c>
      <c r="Z1737" s="478">
        <v>0.49</v>
      </c>
      <c r="AA1737" s="492">
        <f>Z1737*Y1737</f>
        <v>301056</v>
      </c>
      <c r="AB1737" s="480"/>
      <c r="AC1737" s="481">
        <f>AB1737*Y1737</f>
        <v>0</v>
      </c>
      <c r="AD1737" s="490"/>
      <c r="AE1737" s="482"/>
      <c r="AF1737" s="493">
        <f>AE1737+AD1737+AA1737</f>
        <v>301056</v>
      </c>
      <c r="AG1737" s="474" t="s">
        <v>1071</v>
      </c>
      <c r="AH1737" s="474"/>
      <c r="AI1737" s="483" t="s">
        <v>2442</v>
      </c>
      <c r="AJ1737" s="474" t="s">
        <v>2380</v>
      </c>
      <c r="AK1737" s="494" t="s">
        <v>2381</v>
      </c>
      <c r="AL1737" s="474">
        <v>87107</v>
      </c>
      <c r="AM1737" s="474" t="s">
        <v>52</v>
      </c>
      <c r="AN1737" s="474"/>
      <c r="AO1737" s="474"/>
      <c r="AP1737" s="486"/>
      <c r="AQ1737" s="486" t="s">
        <v>37</v>
      </c>
      <c r="AR1737" s="486" t="s">
        <v>1288</v>
      </c>
      <c r="AS1737" s="495"/>
      <c r="AT1737" s="495"/>
      <c r="AU1737" s="478">
        <v>0.49</v>
      </c>
      <c r="AV1737" s="471">
        <f t="shared" si="286"/>
        <v>0</v>
      </c>
      <c r="AW1737" s="471" cm="1">
        <f t="array" ref="AW1737">SUM(MID(0&amp;AV1737,LARGE(INDEX(ISNUMBER(--MID(AV1737,ROW($1:$8),1))*ROW($1:$8),),ROW($1:$8))+1,1)*10^ROW($1:$8)/10)</f>
        <v>0</v>
      </c>
      <c r="AX1737" s="471" t="e">
        <f>VLOOKUP($AW1737,'Item Master Data'!$A:$F,3,FALSE)</f>
        <v>#N/A</v>
      </c>
      <c r="AY1737" s="471" t="e">
        <f>VLOOKUP($AW1737,'Item Master Data'!$A:$F,6,FALSE)</f>
        <v>#N/A</v>
      </c>
      <c r="AZ1737" s="471" t="e">
        <f t="shared" si="287"/>
        <v>#N/A</v>
      </c>
      <c r="BA1737" s="471" t="e">
        <f>VLOOKUP(AW1737,'Item Master Data'!$A:$G,7,FALSE)</f>
        <v>#N/A</v>
      </c>
      <c r="BC1737" s="471" t="e">
        <f t="shared" si="288"/>
        <v>#N/A</v>
      </c>
    </row>
    <row r="1738" spans="1:55" s="471" customFormat="1">
      <c r="A1738" s="472"/>
      <c r="B1738" s="514">
        <v>44201</v>
      </c>
      <c r="C1738" s="515">
        <v>44629</v>
      </c>
      <c r="D1738" s="485" t="s">
        <v>3186</v>
      </c>
      <c r="E1738" s="474" t="s">
        <v>3215</v>
      </c>
      <c r="F1738" s="474"/>
      <c r="G1738" s="474">
        <v>2022</v>
      </c>
      <c r="H1738" s="474">
        <v>7</v>
      </c>
      <c r="I1738" s="474" t="s">
        <v>1676</v>
      </c>
      <c r="J1738" s="475"/>
      <c r="K1738" s="483" t="s">
        <v>3438</v>
      </c>
      <c r="L1738" s="474" t="s">
        <v>3324</v>
      </c>
      <c r="M1738" s="487">
        <v>44558</v>
      </c>
      <c r="N1738" s="487">
        <v>44558</v>
      </c>
      <c r="O1738" s="487"/>
      <c r="P1738" s="475"/>
      <c r="Q1738" s="475"/>
      <c r="R1738" s="475"/>
      <c r="S1738" s="474" t="s">
        <v>2379</v>
      </c>
      <c r="T1738" s="474">
        <v>60</v>
      </c>
      <c r="U1738" s="474"/>
      <c r="V1738" s="474" t="s">
        <v>3397</v>
      </c>
      <c r="W1738" s="474">
        <v>400</v>
      </c>
      <c r="X1738" s="476">
        <v>1536</v>
      </c>
      <c r="Y1738" s="491">
        <f>X1738*W1738</f>
        <v>614400</v>
      </c>
      <c r="Z1738" s="478">
        <v>0.47499999999999998</v>
      </c>
      <c r="AA1738" s="492">
        <f>Z1738*Y1738</f>
        <v>291840</v>
      </c>
      <c r="AB1738" s="480"/>
      <c r="AC1738" s="481">
        <f>AB1738*Y1738</f>
        <v>0</v>
      </c>
      <c r="AD1738" s="490"/>
      <c r="AE1738" s="482"/>
      <c r="AF1738" s="493">
        <f>AE1738+AD1738+AA1738</f>
        <v>291840</v>
      </c>
      <c r="AG1738" s="474" t="s">
        <v>1071</v>
      </c>
      <c r="AH1738" s="474"/>
      <c r="AI1738" s="483" t="s">
        <v>2442</v>
      </c>
      <c r="AJ1738" s="474" t="s">
        <v>2380</v>
      </c>
      <c r="AK1738" s="494" t="s">
        <v>2381</v>
      </c>
      <c r="AL1738" s="474">
        <v>87107</v>
      </c>
      <c r="AM1738" s="474" t="s">
        <v>52</v>
      </c>
      <c r="AN1738" s="474"/>
      <c r="AO1738" s="474"/>
      <c r="AP1738" s="486"/>
      <c r="AQ1738" s="486" t="s">
        <v>37</v>
      </c>
      <c r="AR1738" s="486" t="s">
        <v>2568</v>
      </c>
      <c r="AS1738" s="495"/>
      <c r="AT1738" s="495"/>
      <c r="AU1738" s="478">
        <v>0.47499999999999998</v>
      </c>
      <c r="AV1738" s="471">
        <f t="shared" si="286"/>
        <v>0</v>
      </c>
      <c r="AW1738" s="471" cm="1">
        <f t="array" ref="AW1738">SUM(MID(0&amp;AV1738,LARGE(INDEX(ISNUMBER(--MID(AV1738,ROW($1:$8),1))*ROW($1:$8),),ROW($1:$8))+1,1)*10^ROW($1:$8)/10)</f>
        <v>0</v>
      </c>
      <c r="AX1738" s="471" t="e">
        <f>VLOOKUP($AW1738,'Item Master Data'!$A:$F,3,FALSE)</f>
        <v>#N/A</v>
      </c>
      <c r="AY1738" s="471" t="e">
        <f>VLOOKUP($AW1738,'Item Master Data'!$A:$F,6,FALSE)</f>
        <v>#N/A</v>
      </c>
      <c r="AZ1738" s="471" t="e">
        <f t="shared" si="287"/>
        <v>#N/A</v>
      </c>
      <c r="BA1738" s="471" t="e">
        <f>VLOOKUP(AW1738,'Item Master Data'!$A:$G,7,FALSE)</f>
        <v>#N/A</v>
      </c>
      <c r="BC1738" s="471" t="e">
        <f t="shared" si="288"/>
        <v>#N/A</v>
      </c>
    </row>
    <row r="1739" spans="1:55" s="471" customFormat="1">
      <c r="A1739" s="472"/>
      <c r="B1739" s="515">
        <v>44629</v>
      </c>
      <c r="C1739" s="515">
        <v>44629</v>
      </c>
      <c r="D1739" s="485" t="s">
        <v>3186</v>
      </c>
      <c r="E1739" s="474" t="s">
        <v>5308</v>
      </c>
      <c r="F1739" s="474"/>
      <c r="G1739" s="474">
        <v>2022</v>
      </c>
      <c r="H1739" s="474">
        <v>5</v>
      </c>
      <c r="I1739" s="474" t="s">
        <v>1676</v>
      </c>
      <c r="J1739" s="475"/>
      <c r="K1739" s="483" t="s">
        <v>3396</v>
      </c>
      <c r="L1739" s="474" t="s">
        <v>3324</v>
      </c>
      <c r="M1739" s="487">
        <v>44504</v>
      </c>
      <c r="N1739" s="487">
        <v>44622</v>
      </c>
      <c r="O1739" s="487" t="s">
        <v>2365</v>
      </c>
      <c r="P1739" s="475"/>
      <c r="Q1739" s="475"/>
      <c r="R1739" s="475"/>
      <c r="S1739" s="474" t="s">
        <v>2379</v>
      </c>
      <c r="T1739" s="474">
        <v>60</v>
      </c>
      <c r="U1739" s="474">
        <v>49401140</v>
      </c>
      <c r="V1739" s="474" t="s">
        <v>3397</v>
      </c>
      <c r="W1739" s="474">
        <v>400</v>
      </c>
      <c r="X1739" s="476">
        <v>1536</v>
      </c>
      <c r="Y1739" s="491">
        <f>X1739*W1739</f>
        <v>614400</v>
      </c>
      <c r="Z1739" s="478">
        <v>0.46500000000000002</v>
      </c>
      <c r="AA1739" s="492">
        <f>Z1739*Y1739</f>
        <v>285696</v>
      </c>
      <c r="AB1739" s="480"/>
      <c r="AC1739" s="481">
        <f>AB1739*Y1739</f>
        <v>0</v>
      </c>
      <c r="AD1739" s="490"/>
      <c r="AE1739" s="482"/>
      <c r="AF1739" s="493">
        <f>AE1739+AD1739+AA1739</f>
        <v>285696</v>
      </c>
      <c r="AG1739" s="474" t="s">
        <v>1071</v>
      </c>
      <c r="AH1739" s="474"/>
      <c r="AI1739" s="483" t="s">
        <v>2442</v>
      </c>
      <c r="AJ1739" s="474" t="s">
        <v>2380</v>
      </c>
      <c r="AK1739" s="494" t="s">
        <v>2381</v>
      </c>
      <c r="AL1739" s="474">
        <v>87107</v>
      </c>
      <c r="AM1739" s="474" t="s">
        <v>52</v>
      </c>
      <c r="AN1739" s="474"/>
      <c r="AO1739" s="474"/>
      <c r="AP1739" s="486"/>
      <c r="AQ1739" s="486" t="s">
        <v>37</v>
      </c>
      <c r="AR1739" s="486" t="s">
        <v>2568</v>
      </c>
      <c r="AS1739" s="495"/>
      <c r="AT1739" s="495"/>
      <c r="AU1739" s="478">
        <v>0.46500000000000002</v>
      </c>
      <c r="AV1739" s="471">
        <f t="shared" si="286"/>
        <v>49401140</v>
      </c>
      <c r="AW1739" s="471" cm="1">
        <f t="array" ref="AW1739">SUM(MID(0&amp;AV1739,LARGE(INDEX(ISNUMBER(--MID(AV1739,ROW($1:$8),1))*ROW($1:$8),),ROW($1:$8))+1,1)*10^ROW($1:$8)/10)</f>
        <v>49401140</v>
      </c>
      <c r="AX1739" s="471" t="str">
        <f>VLOOKUP($AW1739,'Item Master Data'!$A:$F,3,FALSE)</f>
        <v>Q.PEAK DUO BLK ML G10.a+</v>
      </c>
      <c r="AY1739" s="471">
        <f>VLOOKUP($AW1739,'Item Master Data'!$A:$F,6,FALSE)</f>
        <v>400</v>
      </c>
      <c r="AZ1739" s="471">
        <f t="shared" si="287"/>
        <v>48</v>
      </c>
      <c r="BA1739" s="471">
        <f>VLOOKUP(AW1739,'Item Master Data'!$A:$G,7,FALSE)</f>
        <v>32</v>
      </c>
      <c r="BC1739" s="471">
        <f t="shared" si="288"/>
        <v>0</v>
      </c>
    </row>
    <row r="1740" spans="1:55" s="471" customFormat="1">
      <c r="A1740" s="472"/>
      <c r="B1740" s="515">
        <v>44629</v>
      </c>
      <c r="C1740" s="515">
        <v>44629</v>
      </c>
      <c r="D1740" s="485" t="s">
        <v>3186</v>
      </c>
      <c r="E1740" s="474" t="s">
        <v>3215</v>
      </c>
      <c r="F1740" s="474"/>
      <c r="G1740" s="474">
        <v>2022</v>
      </c>
      <c r="H1740" s="474">
        <v>4</v>
      </c>
      <c r="I1740" s="474">
        <v>128157</v>
      </c>
      <c r="J1740" s="475">
        <v>44670</v>
      </c>
      <c r="K1740" s="483" t="s">
        <v>3341</v>
      </c>
      <c r="L1740" s="474" t="s">
        <v>3324</v>
      </c>
      <c r="M1740" s="487">
        <v>44504</v>
      </c>
      <c r="N1740" s="487">
        <v>44622</v>
      </c>
      <c r="O1740" s="487" t="s">
        <v>2365</v>
      </c>
      <c r="P1740" s="475">
        <v>44665</v>
      </c>
      <c r="Q1740" s="475">
        <v>44670</v>
      </c>
      <c r="R1740" s="475">
        <v>44672</v>
      </c>
      <c r="S1740" s="474" t="s">
        <v>2379</v>
      </c>
      <c r="T1740" s="474">
        <v>60</v>
      </c>
      <c r="U1740" s="474" t="s">
        <v>1760</v>
      </c>
      <c r="V1740" s="474" t="s">
        <v>973</v>
      </c>
      <c r="W1740" s="474">
        <v>400</v>
      </c>
      <c r="X1740" s="476">
        <v>640</v>
      </c>
      <c r="Y1740" s="491">
        <f>X1740*W1740</f>
        <v>256000</v>
      </c>
      <c r="Z1740" s="478">
        <v>0.55000000000000004</v>
      </c>
      <c r="AA1740" s="492">
        <f>Z1740*Y1740</f>
        <v>140800</v>
      </c>
      <c r="AB1740" s="480"/>
      <c r="AC1740" s="481">
        <f>AB1740*Y1740</f>
        <v>0</v>
      </c>
      <c r="AD1740" s="490"/>
      <c r="AE1740" s="482"/>
      <c r="AF1740" s="493">
        <f>AE1740+AD1740+AA1740</f>
        <v>140800</v>
      </c>
      <c r="AG1740" s="474" t="s">
        <v>1071</v>
      </c>
      <c r="AH1740" s="474"/>
      <c r="AI1740" s="483" t="s">
        <v>2442</v>
      </c>
      <c r="AJ1740" s="474" t="s">
        <v>2380</v>
      </c>
      <c r="AK1740" s="494" t="s">
        <v>2381</v>
      </c>
      <c r="AL1740" s="474">
        <v>87107</v>
      </c>
      <c r="AM1740" s="474" t="s">
        <v>52</v>
      </c>
      <c r="AN1740" s="474" t="s">
        <v>50</v>
      </c>
      <c r="AO1740" s="474"/>
      <c r="AP1740" s="486" t="s">
        <v>38</v>
      </c>
      <c r="AQ1740" s="486" t="s">
        <v>37</v>
      </c>
      <c r="AR1740" s="486" t="s">
        <v>1288</v>
      </c>
      <c r="AS1740" s="495"/>
      <c r="AT1740" s="495"/>
      <c r="AU1740" s="478">
        <v>0.49</v>
      </c>
      <c r="AV1740" s="471" t="str">
        <f t="shared" si="286"/>
        <v>30390156H</v>
      </c>
      <c r="AW1740" s="471" cm="1">
        <f t="array" ref="AW1740">SUM(MID(0&amp;AV1740,LARGE(INDEX(ISNUMBER(--MID(AV1740,ROW($1:$8),1))*ROW($1:$8),),ROW($1:$8))+1,1)*10^ROW($1:$8)/10)</f>
        <v>30390156</v>
      </c>
      <c r="AX1740" s="471" t="str">
        <f>VLOOKUP($AW1740,'Item Master Data'!$A:$F,3,FALSE)</f>
        <v>Q.PEAK DUO BLK ML G10+</v>
      </c>
      <c r="AY1740" s="471">
        <f>VLOOKUP($AW1740,'Item Master Data'!$A:$F,6,FALSE)</f>
        <v>400</v>
      </c>
      <c r="AZ1740" s="471">
        <f t="shared" si="287"/>
        <v>20</v>
      </c>
      <c r="BA1740" s="471">
        <f>VLOOKUP(AW1740,'Item Master Data'!$A:$G,7,FALSE)</f>
        <v>32</v>
      </c>
      <c r="BC1740" s="471">
        <f t="shared" si="288"/>
        <v>0</v>
      </c>
    </row>
    <row r="1741" spans="1:55" s="471" customFormat="1">
      <c r="A1741" s="472">
        <v>10</v>
      </c>
      <c r="B1741" s="515">
        <v>44629</v>
      </c>
      <c r="C1741" s="515">
        <v>44629</v>
      </c>
      <c r="D1741" s="485" t="s">
        <v>3186</v>
      </c>
      <c r="E1741" s="474" t="s">
        <v>3215</v>
      </c>
      <c r="F1741" s="474"/>
      <c r="G1741" s="474">
        <v>2022</v>
      </c>
      <c r="H1741" s="474">
        <v>3</v>
      </c>
      <c r="I1741" s="474">
        <v>127340</v>
      </c>
      <c r="J1741" s="475">
        <v>44638</v>
      </c>
      <c r="K1741" s="483" t="s">
        <v>3323</v>
      </c>
      <c r="L1741" s="474" t="s">
        <v>3324</v>
      </c>
      <c r="M1741" s="487">
        <v>44504</v>
      </c>
      <c r="N1741" s="487">
        <v>44622</v>
      </c>
      <c r="O1741" s="487" t="s">
        <v>2365</v>
      </c>
      <c r="P1741" s="475">
        <v>44631</v>
      </c>
      <c r="Q1741" s="475">
        <v>44638</v>
      </c>
      <c r="R1741" s="475">
        <v>44641</v>
      </c>
      <c r="S1741" s="474" t="s">
        <v>2379</v>
      </c>
      <c r="T1741" s="474">
        <v>60</v>
      </c>
      <c r="U1741" s="474" t="s">
        <v>1760</v>
      </c>
      <c r="V1741" s="474" t="s">
        <v>973</v>
      </c>
      <c r="W1741" s="474">
        <v>400</v>
      </c>
      <c r="X1741" s="476">
        <v>1664</v>
      </c>
      <c r="Y1741" s="491">
        <f>X1741*W1741</f>
        <v>665600</v>
      </c>
      <c r="Z1741" s="478">
        <v>0.55000000000000004</v>
      </c>
      <c r="AA1741" s="492">
        <f>Z1741*Y1741</f>
        <v>366080.00000000006</v>
      </c>
      <c r="AB1741" s="480"/>
      <c r="AC1741" s="481">
        <f>AB1741*Y1741</f>
        <v>0</v>
      </c>
      <c r="AD1741" s="490"/>
      <c r="AE1741" s="482"/>
      <c r="AF1741" s="493">
        <f>AE1741+AD1741+AA1741</f>
        <v>366080.00000000006</v>
      </c>
      <c r="AG1741" s="474" t="s">
        <v>1071</v>
      </c>
      <c r="AH1741" s="474"/>
      <c r="AI1741" s="483" t="s">
        <v>2442</v>
      </c>
      <c r="AJ1741" s="474" t="s">
        <v>2380</v>
      </c>
      <c r="AK1741" s="494" t="s">
        <v>2381</v>
      </c>
      <c r="AL1741" s="474">
        <v>87107</v>
      </c>
      <c r="AM1741" s="474" t="s">
        <v>52</v>
      </c>
      <c r="AN1741" s="474" t="s">
        <v>50</v>
      </c>
      <c r="AO1741" s="474"/>
      <c r="AP1741" s="486" t="s">
        <v>38</v>
      </c>
      <c r="AQ1741" s="486" t="s">
        <v>37</v>
      </c>
      <c r="AR1741" s="486" t="s">
        <v>1288</v>
      </c>
      <c r="AS1741" s="495"/>
      <c r="AT1741" s="495"/>
      <c r="AU1741" s="478">
        <v>0.49</v>
      </c>
      <c r="AV1741" s="471" t="str">
        <f t="shared" si="286"/>
        <v>30390156H</v>
      </c>
      <c r="AW1741" s="471" cm="1">
        <f t="array" ref="AW1741">SUM(MID(0&amp;AV1741,LARGE(INDEX(ISNUMBER(--MID(AV1741,ROW($1:$8),1))*ROW($1:$8),),ROW($1:$8))+1,1)*10^ROW($1:$8)/10)</f>
        <v>30390156</v>
      </c>
      <c r="AX1741" s="471" t="str">
        <f>VLOOKUP($AW1741,'Item Master Data'!$A:$F,3,FALSE)</f>
        <v>Q.PEAK DUO BLK ML G10+</v>
      </c>
      <c r="AY1741" s="471">
        <f>VLOOKUP($AW1741,'Item Master Data'!$A:$F,6,FALSE)</f>
        <v>400</v>
      </c>
      <c r="AZ1741" s="471">
        <f t="shared" si="287"/>
        <v>52</v>
      </c>
      <c r="BA1741" s="471">
        <f>VLOOKUP(AW1741,'Item Master Data'!$A:$G,7,FALSE)</f>
        <v>32</v>
      </c>
      <c r="BC1741" s="471">
        <f t="shared" si="288"/>
        <v>0</v>
      </c>
    </row>
    <row r="1742" spans="1:55" s="471" customFormat="1">
      <c r="A1742" s="472"/>
      <c r="B1742" s="515">
        <v>44651</v>
      </c>
      <c r="C1742" s="515">
        <v>44651</v>
      </c>
      <c r="D1742" s="485" t="s">
        <v>3186</v>
      </c>
      <c r="E1742" s="474" t="s">
        <v>2984</v>
      </c>
      <c r="F1742" s="474"/>
      <c r="G1742" s="474">
        <v>2022</v>
      </c>
      <c r="H1742" s="474"/>
      <c r="I1742" s="474" t="s">
        <v>1676</v>
      </c>
      <c r="J1742" s="475"/>
      <c r="K1742" s="483" t="s">
        <v>3677</v>
      </c>
      <c r="L1742" s="474" t="s">
        <v>3324</v>
      </c>
      <c r="M1742" s="487">
        <v>44650</v>
      </c>
      <c r="N1742" s="487">
        <v>44896</v>
      </c>
      <c r="O1742" s="487"/>
      <c r="P1742" s="475"/>
      <c r="Q1742" s="475"/>
      <c r="R1742" s="475"/>
      <c r="S1742" s="474" t="s">
        <v>2379</v>
      </c>
      <c r="T1742" s="474">
        <v>60</v>
      </c>
      <c r="U1742" s="474"/>
      <c r="V1742" s="474" t="s">
        <v>973</v>
      </c>
      <c r="W1742" s="474">
        <v>400</v>
      </c>
      <c r="X1742" s="476">
        <v>832</v>
      </c>
      <c r="Y1742" s="477">
        <f>X1742*W1742</f>
        <v>332800</v>
      </c>
      <c r="Z1742" s="478">
        <v>0.55000000000000004</v>
      </c>
      <c r="AA1742" s="479">
        <f>Z1742*Y1742</f>
        <v>183040.00000000003</v>
      </c>
      <c r="AB1742" s="480"/>
      <c r="AC1742" s="481">
        <f>AB1742*Y1742</f>
        <v>0</v>
      </c>
      <c r="AD1742" s="490"/>
      <c r="AE1742" s="482"/>
      <c r="AF1742" s="493">
        <f>AE1742+AD1742+AA1742</f>
        <v>183040.00000000003</v>
      </c>
      <c r="AG1742" s="474" t="s">
        <v>1071</v>
      </c>
      <c r="AH1742" s="474"/>
      <c r="AI1742" s="483" t="s">
        <v>2442</v>
      </c>
      <c r="AJ1742" s="474" t="s">
        <v>2380</v>
      </c>
      <c r="AK1742" s="494" t="s">
        <v>2381</v>
      </c>
      <c r="AL1742" s="474">
        <v>87107</v>
      </c>
      <c r="AM1742" s="474" t="s">
        <v>52</v>
      </c>
      <c r="AN1742" s="474"/>
      <c r="AO1742" s="474"/>
      <c r="AP1742" s="486"/>
      <c r="AQ1742" s="486" t="s">
        <v>37</v>
      </c>
      <c r="AR1742" s="486"/>
      <c r="AS1742" s="495"/>
      <c r="AT1742" s="495"/>
      <c r="AU1742" s="478">
        <v>0.45500000000000002</v>
      </c>
      <c r="AV1742" s="471">
        <f t="shared" si="286"/>
        <v>0</v>
      </c>
      <c r="AW1742" s="471" cm="1">
        <f t="array" ref="AW1742">SUM(MID(0&amp;AV1742,LARGE(INDEX(ISNUMBER(--MID(AV1742,ROW($1:$8),1))*ROW($1:$8),),ROW($1:$8))+1,1)*10^ROW($1:$8)/10)</f>
        <v>0</v>
      </c>
      <c r="AX1742" s="471" t="e">
        <f>VLOOKUP($AW1742,'Item Master Data'!$A:$F,3,FALSE)</f>
        <v>#N/A</v>
      </c>
      <c r="AY1742" s="471" t="e">
        <f>VLOOKUP($AW1742,'Item Master Data'!$A:$F,6,FALSE)</f>
        <v>#N/A</v>
      </c>
      <c r="AZ1742" s="471" t="e">
        <f t="shared" si="287"/>
        <v>#N/A</v>
      </c>
      <c r="BA1742" s="471" t="e">
        <f>VLOOKUP(AW1742,'Item Master Data'!$A:$G,7,FALSE)</f>
        <v>#N/A</v>
      </c>
      <c r="BC1742" s="471" t="e">
        <f t="shared" si="288"/>
        <v>#N/A</v>
      </c>
    </row>
    <row r="1743" spans="1:55" s="471" customFormat="1">
      <c r="A1743" s="472"/>
      <c r="B1743" s="515">
        <v>44651</v>
      </c>
      <c r="C1743" s="515">
        <v>44651</v>
      </c>
      <c r="D1743" s="485" t="s">
        <v>3186</v>
      </c>
      <c r="E1743" s="474" t="s">
        <v>2984</v>
      </c>
      <c r="F1743" s="474"/>
      <c r="G1743" s="474">
        <v>2022</v>
      </c>
      <c r="H1743" s="474"/>
      <c r="I1743" s="474" t="s">
        <v>1676</v>
      </c>
      <c r="J1743" s="475"/>
      <c r="K1743" s="483" t="s">
        <v>3676</v>
      </c>
      <c r="L1743" s="474" t="s">
        <v>3324</v>
      </c>
      <c r="M1743" s="487">
        <v>44650</v>
      </c>
      <c r="N1743" s="487">
        <v>44866</v>
      </c>
      <c r="O1743" s="487"/>
      <c r="P1743" s="475"/>
      <c r="Q1743" s="475"/>
      <c r="R1743" s="475"/>
      <c r="S1743" s="474" t="s">
        <v>2379</v>
      </c>
      <c r="T1743" s="474">
        <v>60</v>
      </c>
      <c r="U1743" s="474"/>
      <c r="V1743" s="474" t="s">
        <v>973</v>
      </c>
      <c r="W1743" s="474">
        <v>400</v>
      </c>
      <c r="X1743" s="476">
        <v>832</v>
      </c>
      <c r="Y1743" s="477">
        <f>X1743*W1743</f>
        <v>332800</v>
      </c>
      <c r="Z1743" s="478">
        <v>0.55000000000000004</v>
      </c>
      <c r="AA1743" s="479">
        <f>Z1743*Y1743</f>
        <v>183040.00000000003</v>
      </c>
      <c r="AB1743" s="480"/>
      <c r="AC1743" s="481">
        <f>AB1743*Y1743</f>
        <v>0</v>
      </c>
      <c r="AD1743" s="490"/>
      <c r="AE1743" s="482"/>
      <c r="AF1743" s="493">
        <f>AE1743+AD1743+AA1743</f>
        <v>183040.00000000003</v>
      </c>
      <c r="AG1743" s="474" t="s">
        <v>1071</v>
      </c>
      <c r="AH1743" s="474"/>
      <c r="AI1743" s="483" t="s">
        <v>2442</v>
      </c>
      <c r="AJ1743" s="474" t="s">
        <v>2380</v>
      </c>
      <c r="AK1743" s="494" t="s">
        <v>2381</v>
      </c>
      <c r="AL1743" s="474">
        <v>87107</v>
      </c>
      <c r="AM1743" s="474" t="s">
        <v>52</v>
      </c>
      <c r="AN1743" s="474"/>
      <c r="AO1743" s="474"/>
      <c r="AP1743" s="486"/>
      <c r="AQ1743" s="486" t="s">
        <v>37</v>
      </c>
      <c r="AR1743" s="486"/>
      <c r="AS1743" s="495"/>
      <c r="AT1743" s="495"/>
      <c r="AU1743" s="478">
        <v>0.45500000000000002</v>
      </c>
      <c r="AV1743" s="471">
        <f t="shared" si="286"/>
        <v>0</v>
      </c>
      <c r="AW1743" s="471" cm="1">
        <f t="array" ref="AW1743">SUM(MID(0&amp;AV1743,LARGE(INDEX(ISNUMBER(--MID(AV1743,ROW($1:$8),1))*ROW($1:$8),),ROW($1:$8))+1,1)*10^ROW($1:$8)/10)</f>
        <v>0</v>
      </c>
      <c r="AX1743" s="471" t="e">
        <f>VLOOKUP($AW1743,'Item Master Data'!$A:$F,3,FALSE)</f>
        <v>#N/A</v>
      </c>
      <c r="AY1743" s="471" t="e">
        <f>VLOOKUP($AW1743,'Item Master Data'!$A:$F,6,FALSE)</f>
        <v>#N/A</v>
      </c>
      <c r="AZ1743" s="471" t="e">
        <f t="shared" si="287"/>
        <v>#N/A</v>
      </c>
      <c r="BA1743" s="471" t="e">
        <f>VLOOKUP(AW1743,'Item Master Data'!$A:$G,7,FALSE)</f>
        <v>#N/A</v>
      </c>
      <c r="BC1743" s="471" t="e">
        <f t="shared" si="288"/>
        <v>#N/A</v>
      </c>
    </row>
    <row r="1744" spans="1:55" s="471" customFormat="1">
      <c r="A1744" s="472"/>
      <c r="B1744" s="515">
        <v>44651</v>
      </c>
      <c r="C1744" s="515">
        <v>44651</v>
      </c>
      <c r="D1744" s="485" t="s">
        <v>3186</v>
      </c>
      <c r="E1744" s="474" t="s">
        <v>2984</v>
      </c>
      <c r="F1744" s="474"/>
      <c r="G1744" s="474">
        <v>2022</v>
      </c>
      <c r="H1744" s="474"/>
      <c r="I1744" s="474" t="s">
        <v>1676</v>
      </c>
      <c r="J1744" s="475"/>
      <c r="K1744" s="483" t="s">
        <v>3675</v>
      </c>
      <c r="L1744" s="474" t="s">
        <v>3324</v>
      </c>
      <c r="M1744" s="487">
        <v>44650</v>
      </c>
      <c r="N1744" s="487">
        <v>44835</v>
      </c>
      <c r="O1744" s="487"/>
      <c r="P1744" s="475"/>
      <c r="Q1744" s="475"/>
      <c r="R1744" s="475"/>
      <c r="S1744" s="474" t="s">
        <v>2379</v>
      </c>
      <c r="T1744" s="474">
        <v>60</v>
      </c>
      <c r="U1744" s="474"/>
      <c r="V1744" s="474" t="s">
        <v>973</v>
      </c>
      <c r="W1744" s="474">
        <v>400</v>
      </c>
      <c r="X1744" s="476">
        <v>832</v>
      </c>
      <c r="Y1744" s="477">
        <f>X1744*W1744</f>
        <v>332800</v>
      </c>
      <c r="Z1744" s="478">
        <v>0.55000000000000004</v>
      </c>
      <c r="AA1744" s="479">
        <f>Z1744*Y1744</f>
        <v>183040.00000000003</v>
      </c>
      <c r="AB1744" s="480"/>
      <c r="AC1744" s="481">
        <f>AB1744*Y1744</f>
        <v>0</v>
      </c>
      <c r="AD1744" s="490"/>
      <c r="AE1744" s="482"/>
      <c r="AF1744" s="493">
        <f>AE1744+AD1744+AA1744</f>
        <v>183040.00000000003</v>
      </c>
      <c r="AG1744" s="474" t="s">
        <v>1071</v>
      </c>
      <c r="AH1744" s="474"/>
      <c r="AI1744" s="483" t="s">
        <v>2442</v>
      </c>
      <c r="AJ1744" s="474" t="s">
        <v>2380</v>
      </c>
      <c r="AK1744" s="494" t="s">
        <v>2381</v>
      </c>
      <c r="AL1744" s="474">
        <v>87107</v>
      </c>
      <c r="AM1744" s="474" t="s">
        <v>52</v>
      </c>
      <c r="AN1744" s="474"/>
      <c r="AO1744" s="474"/>
      <c r="AP1744" s="486"/>
      <c r="AQ1744" s="486" t="s">
        <v>37</v>
      </c>
      <c r="AR1744" s="486"/>
      <c r="AS1744" s="495"/>
      <c r="AT1744" s="495"/>
      <c r="AU1744" s="478">
        <v>0.45500000000000002</v>
      </c>
      <c r="AV1744" s="471">
        <f t="shared" si="286"/>
        <v>0</v>
      </c>
      <c r="AW1744" s="471" cm="1">
        <f t="array" ref="AW1744">SUM(MID(0&amp;AV1744,LARGE(INDEX(ISNUMBER(--MID(AV1744,ROW($1:$8),1))*ROW($1:$8),),ROW($1:$8))+1,1)*10^ROW($1:$8)/10)</f>
        <v>0</v>
      </c>
      <c r="AX1744" s="471" t="e">
        <f>VLOOKUP($AW1744,'Item Master Data'!$A:$F,3,FALSE)</f>
        <v>#N/A</v>
      </c>
      <c r="AY1744" s="471" t="e">
        <f>VLOOKUP($AW1744,'Item Master Data'!$A:$F,6,FALSE)</f>
        <v>#N/A</v>
      </c>
      <c r="AZ1744" s="471" t="e">
        <f t="shared" si="287"/>
        <v>#N/A</v>
      </c>
      <c r="BA1744" s="471" t="e">
        <f>VLOOKUP(AW1744,'Item Master Data'!$A:$G,7,FALSE)</f>
        <v>#N/A</v>
      </c>
      <c r="BC1744" s="471" t="e">
        <f t="shared" si="288"/>
        <v>#N/A</v>
      </c>
    </row>
    <row r="1745" spans="1:55" s="471" customFormat="1">
      <c r="A1745" s="472"/>
      <c r="B1745" s="472"/>
      <c r="C1745" s="472"/>
      <c r="D1745" s="557" t="s">
        <v>3186</v>
      </c>
      <c r="E1745" s="557" t="s">
        <v>3044</v>
      </c>
      <c r="F1745" s="558"/>
      <c r="G1745" s="558"/>
      <c r="H1745" s="547">
        <v>6</v>
      </c>
      <c r="I1745" s="558" t="s">
        <v>1676</v>
      </c>
      <c r="J1745" s="559"/>
      <c r="K1745" s="559" t="s">
        <v>3607</v>
      </c>
      <c r="L1745" s="559" t="s">
        <v>3278</v>
      </c>
      <c r="M1745" s="559">
        <v>44551</v>
      </c>
      <c r="N1745" s="559">
        <v>44652</v>
      </c>
      <c r="O1745" s="560"/>
      <c r="P1745" s="559"/>
      <c r="Q1745" s="559"/>
      <c r="R1745" s="559"/>
      <c r="S1745" s="558" t="s">
        <v>2379</v>
      </c>
      <c r="T1745" s="558">
        <v>60</v>
      </c>
      <c r="U1745" s="558"/>
      <c r="V1745" s="558" t="s">
        <v>1755</v>
      </c>
      <c r="W1745" s="558">
        <v>360</v>
      </c>
      <c r="X1745" s="561">
        <v>640</v>
      </c>
      <c r="Y1745" s="491">
        <f>X1745*W1745</f>
        <v>230400</v>
      </c>
      <c r="Z1745" s="562">
        <v>0.505</v>
      </c>
      <c r="AA1745" s="492">
        <f>Z1745*Y1745</f>
        <v>116352</v>
      </c>
      <c r="AB1745" s="480"/>
      <c r="AC1745" s="481">
        <f>AB1745*Y1745</f>
        <v>0</v>
      </c>
      <c r="AD1745" s="567"/>
      <c r="AE1745" s="563"/>
      <c r="AF1745" s="493">
        <f>AE1745+AD1745+AA1745</f>
        <v>116352</v>
      </c>
      <c r="AG1745" s="558" t="s">
        <v>1071</v>
      </c>
      <c r="AH1745" s="558"/>
      <c r="AI1745" s="564">
        <v>60</v>
      </c>
      <c r="AJ1745" s="558" t="s">
        <v>1593</v>
      </c>
      <c r="AK1745" s="565" t="s">
        <v>1144</v>
      </c>
      <c r="AL1745" s="558">
        <v>78744</v>
      </c>
      <c r="AM1745" s="558" t="s">
        <v>52</v>
      </c>
      <c r="AN1745" s="558"/>
      <c r="AO1745" s="558"/>
      <c r="AP1745" s="566"/>
      <c r="AQ1745" s="566" t="s">
        <v>37</v>
      </c>
      <c r="AR1745" s="566"/>
      <c r="AS1745" s="495" t="s">
        <v>1076</v>
      </c>
      <c r="AT1745" s="495" t="s">
        <v>1076</v>
      </c>
      <c r="AU1745" s="506">
        <v>0.505</v>
      </c>
      <c r="AV1745" s="471">
        <f t="shared" si="286"/>
        <v>0</v>
      </c>
      <c r="AW1745" s="471" cm="1">
        <f t="array" ref="AW1745">SUM(MID(0&amp;AV1745,LARGE(INDEX(ISNUMBER(--MID(AV1745,ROW($1:$8),1))*ROW($1:$8),),ROW($1:$8))+1,1)*10^ROW($1:$8)/10)</f>
        <v>0</v>
      </c>
      <c r="AX1745" s="471" t="e">
        <f>VLOOKUP($AW1745,'Item Master Data'!$A:$F,3,FALSE)</f>
        <v>#N/A</v>
      </c>
      <c r="AY1745" s="471" t="e">
        <f>VLOOKUP($AW1745,'Item Master Data'!$A:$F,6,FALSE)</f>
        <v>#N/A</v>
      </c>
      <c r="AZ1745" s="471" t="e">
        <f t="shared" si="287"/>
        <v>#N/A</v>
      </c>
      <c r="BA1745" s="471" t="e">
        <f>VLOOKUP(AW1745,'Item Master Data'!$A:$G,7,FALSE)</f>
        <v>#N/A</v>
      </c>
      <c r="BC1745" s="471" t="e">
        <f t="shared" si="288"/>
        <v>#N/A</v>
      </c>
    </row>
    <row r="1746" spans="1:55" s="471" customFormat="1">
      <c r="A1746" s="278"/>
      <c r="B1746" s="279"/>
      <c r="C1746" s="279"/>
      <c r="D1746" s="394" t="s">
        <v>3678</v>
      </c>
      <c r="E1746" s="280" t="s">
        <v>3679</v>
      </c>
      <c r="F1746" s="474"/>
      <c r="G1746" s="474">
        <v>2022</v>
      </c>
      <c r="H1746" s="474">
        <v>3</v>
      </c>
      <c r="I1746" s="485">
        <v>127821</v>
      </c>
      <c r="J1746" s="475">
        <v>44647</v>
      </c>
      <c r="K1746" s="474" t="s">
        <v>3680</v>
      </c>
      <c r="L1746" s="474" t="s">
        <v>1089</v>
      </c>
      <c r="M1746" s="475">
        <v>44505</v>
      </c>
      <c r="N1746" s="475">
        <v>44621</v>
      </c>
      <c r="O1746" s="475"/>
      <c r="P1746" s="475">
        <v>44637</v>
      </c>
      <c r="Q1746" s="475">
        <v>44647</v>
      </c>
      <c r="R1746" s="475">
        <v>44649</v>
      </c>
      <c r="S1746" s="474" t="s">
        <v>1102</v>
      </c>
      <c r="T1746" s="474">
        <v>60</v>
      </c>
      <c r="U1746" s="474">
        <v>49201132</v>
      </c>
      <c r="V1746" s="474" t="s">
        <v>986</v>
      </c>
      <c r="W1746" s="476">
        <v>360</v>
      </c>
      <c r="X1746" s="402">
        <v>224</v>
      </c>
      <c r="Y1746" s="491">
        <f t="shared" ref="Y1746:Y1799" si="289">W1746*X1746</f>
        <v>80640</v>
      </c>
      <c r="Z1746" s="478">
        <v>0.55000000000000004</v>
      </c>
      <c r="AA1746" s="479">
        <f t="shared" ref="AA1746:AA1762" si="290">Y1746*Z1746</f>
        <v>44352</v>
      </c>
      <c r="AB1746" s="480"/>
      <c r="AC1746" s="481">
        <v>0</v>
      </c>
      <c r="AD1746" s="490"/>
      <c r="AE1746" s="482"/>
      <c r="AF1746" s="493">
        <f t="shared" ref="AF1746:AF1801" si="291">AE1746+AD1746+AA1746</f>
        <v>44352</v>
      </c>
      <c r="AG1746" s="474" t="s">
        <v>1071</v>
      </c>
      <c r="AH1746" s="474"/>
      <c r="AI1746" s="474">
        <v>30</v>
      </c>
      <c r="AJ1746" s="474" t="s">
        <v>1095</v>
      </c>
      <c r="AK1746" s="474" t="s">
        <v>1096</v>
      </c>
      <c r="AL1746" s="494">
        <v>1719</v>
      </c>
      <c r="AM1746" s="474" t="s">
        <v>52</v>
      </c>
      <c r="AN1746" s="474" t="s">
        <v>1106</v>
      </c>
      <c r="AO1746" s="474"/>
      <c r="AP1746" s="482"/>
      <c r="AQ1746" s="482" t="s">
        <v>37</v>
      </c>
      <c r="AR1746" s="474"/>
      <c r="AS1746" s="436"/>
      <c r="AT1746" s="281"/>
      <c r="AU1746" s="472"/>
      <c r="AV1746" s="471">
        <f t="shared" si="286"/>
        <v>49201132</v>
      </c>
      <c r="AW1746" s="471" cm="1">
        <f t="array" ref="AW1746">SUM(MID(0&amp;AV1746,LARGE(INDEX(ISNUMBER(--MID(AV1746,ROW($1:$8),1))*ROW($1:$8),),ROW($1:$8))+1,1)*10^ROW($1:$8)/10)</f>
        <v>49201132</v>
      </c>
      <c r="AX1746" s="471" t="str">
        <f>VLOOKUP($AW1746,'Item Master Data'!$A:$F,3,FALSE)</f>
        <v>Q.PEAK DUO BLK G10+</v>
      </c>
      <c r="AY1746" s="471">
        <f>VLOOKUP($AW1746,'Item Master Data'!$A:$F,6,FALSE)</f>
        <v>360</v>
      </c>
      <c r="AZ1746" s="471">
        <f t="shared" si="287"/>
        <v>7</v>
      </c>
      <c r="BA1746" s="471">
        <f>VLOOKUP(AW1746,'Item Master Data'!$A:$G,7,FALSE)</f>
        <v>32</v>
      </c>
      <c r="BC1746" s="471">
        <f t="shared" si="288"/>
        <v>0</v>
      </c>
    </row>
    <row r="1747" spans="1:55" s="471" customFormat="1">
      <c r="A1747" s="278"/>
      <c r="B1747" s="279"/>
      <c r="C1747" s="279"/>
      <c r="D1747" s="394" t="s">
        <v>3678</v>
      </c>
      <c r="E1747" s="282" t="s">
        <v>3681</v>
      </c>
      <c r="F1747" s="474"/>
      <c r="G1747" s="474">
        <v>2022</v>
      </c>
      <c r="H1747" s="474">
        <v>3</v>
      </c>
      <c r="I1747" s="415">
        <v>127866</v>
      </c>
      <c r="J1747" s="538">
        <v>44647</v>
      </c>
      <c r="K1747" s="524" t="s">
        <v>3680</v>
      </c>
      <c r="L1747" s="524" t="s">
        <v>1089</v>
      </c>
      <c r="M1747" s="475">
        <v>44505</v>
      </c>
      <c r="N1747" s="475">
        <v>44621</v>
      </c>
      <c r="O1747" s="475"/>
      <c r="P1747" s="475">
        <v>44637</v>
      </c>
      <c r="Q1747" s="475">
        <v>44647</v>
      </c>
      <c r="R1747" s="475">
        <v>44649</v>
      </c>
      <c r="S1747" s="474" t="s">
        <v>1102</v>
      </c>
      <c r="T1747" s="474">
        <v>60</v>
      </c>
      <c r="U1747" s="474">
        <v>49201132</v>
      </c>
      <c r="V1747" s="474" t="s">
        <v>986</v>
      </c>
      <c r="W1747" s="476">
        <v>360</v>
      </c>
      <c r="X1747" s="402">
        <v>544</v>
      </c>
      <c r="Y1747" s="491">
        <f t="shared" si="289"/>
        <v>195840</v>
      </c>
      <c r="Z1747" s="478">
        <v>0.55000000000000004</v>
      </c>
      <c r="AA1747" s="479">
        <f t="shared" si="290"/>
        <v>107712.00000000001</v>
      </c>
      <c r="AB1747" s="480"/>
      <c r="AC1747" s="481">
        <v>0</v>
      </c>
      <c r="AD1747" s="490"/>
      <c r="AE1747" s="482"/>
      <c r="AF1747" s="493">
        <f t="shared" si="291"/>
        <v>107712.00000000001</v>
      </c>
      <c r="AG1747" s="474" t="s">
        <v>1071</v>
      </c>
      <c r="AH1747" s="474"/>
      <c r="AI1747" s="474">
        <v>30</v>
      </c>
      <c r="AJ1747" s="474" t="s">
        <v>1095</v>
      </c>
      <c r="AK1747" s="474" t="s">
        <v>1096</v>
      </c>
      <c r="AL1747" s="494">
        <v>1719</v>
      </c>
      <c r="AM1747" s="474" t="s">
        <v>52</v>
      </c>
      <c r="AN1747" s="474" t="s">
        <v>1106</v>
      </c>
      <c r="AO1747" s="474"/>
      <c r="AP1747" s="482"/>
      <c r="AQ1747" s="482" t="s">
        <v>37</v>
      </c>
      <c r="AR1747" s="474"/>
      <c r="AS1747" s="436"/>
      <c r="AT1747" s="281"/>
      <c r="AU1747" s="472"/>
      <c r="AV1747" s="471">
        <f t="shared" si="286"/>
        <v>49201132</v>
      </c>
      <c r="AW1747" s="471" cm="1">
        <f t="array" ref="AW1747">SUM(MID(0&amp;AV1747,LARGE(INDEX(ISNUMBER(--MID(AV1747,ROW($1:$8),1))*ROW($1:$8),),ROW($1:$8))+1,1)*10^ROW($1:$8)/10)</f>
        <v>49201132</v>
      </c>
      <c r="AX1747" s="471" t="str">
        <f>VLOOKUP($AW1747,'Item Master Data'!$A:$F,3,FALSE)</f>
        <v>Q.PEAK DUO BLK G10+</v>
      </c>
      <c r="AY1747" s="471">
        <f>VLOOKUP($AW1747,'Item Master Data'!$A:$F,6,FALSE)</f>
        <v>360</v>
      </c>
      <c r="AZ1747" s="471">
        <f t="shared" si="287"/>
        <v>17</v>
      </c>
      <c r="BA1747" s="471">
        <f>VLOOKUP(AW1747,'Item Master Data'!$A:$G,7,FALSE)</f>
        <v>32</v>
      </c>
      <c r="BC1747" s="471">
        <f t="shared" si="288"/>
        <v>0</v>
      </c>
    </row>
    <row r="1748" spans="1:55" s="471" customFormat="1">
      <c r="A1748" s="278"/>
      <c r="B1748" s="279"/>
      <c r="C1748" s="279"/>
      <c r="D1748" s="394" t="s">
        <v>3678</v>
      </c>
      <c r="E1748" s="280" t="s">
        <v>3682</v>
      </c>
      <c r="F1748" s="474"/>
      <c r="G1748" s="474">
        <v>2022</v>
      </c>
      <c r="H1748" s="474">
        <v>3</v>
      </c>
      <c r="I1748" s="485">
        <v>127721</v>
      </c>
      <c r="J1748" s="475">
        <v>44647</v>
      </c>
      <c r="K1748" s="474" t="s">
        <v>1088</v>
      </c>
      <c r="L1748" s="474" t="s">
        <v>1089</v>
      </c>
      <c r="M1748" s="475">
        <v>44505</v>
      </c>
      <c r="N1748" s="475">
        <v>44621</v>
      </c>
      <c r="O1748" s="475"/>
      <c r="P1748" s="475">
        <v>44637</v>
      </c>
      <c r="Q1748" s="475">
        <v>44647</v>
      </c>
      <c r="R1748" s="475">
        <v>44652</v>
      </c>
      <c r="S1748" s="474" t="s">
        <v>1102</v>
      </c>
      <c r="T1748" s="474">
        <v>60</v>
      </c>
      <c r="U1748" s="474">
        <v>49201132</v>
      </c>
      <c r="V1748" s="474" t="s">
        <v>986</v>
      </c>
      <c r="W1748" s="476">
        <v>360</v>
      </c>
      <c r="X1748" s="402">
        <v>768</v>
      </c>
      <c r="Y1748" s="491">
        <f t="shared" si="289"/>
        <v>276480</v>
      </c>
      <c r="Z1748" s="478">
        <v>0.55000000000000004</v>
      </c>
      <c r="AA1748" s="479">
        <f t="shared" si="290"/>
        <v>152064</v>
      </c>
      <c r="AB1748" s="480"/>
      <c r="AC1748" s="481">
        <v>0</v>
      </c>
      <c r="AD1748" s="490"/>
      <c r="AE1748" s="482"/>
      <c r="AF1748" s="493">
        <f t="shared" si="291"/>
        <v>152064</v>
      </c>
      <c r="AG1748" s="474" t="s">
        <v>1071</v>
      </c>
      <c r="AH1748" s="474"/>
      <c r="AI1748" s="474">
        <v>30</v>
      </c>
      <c r="AJ1748" s="474" t="s">
        <v>1090</v>
      </c>
      <c r="AK1748" s="474" t="s">
        <v>50</v>
      </c>
      <c r="AL1748" s="494">
        <v>95482</v>
      </c>
      <c r="AM1748" s="474" t="s">
        <v>52</v>
      </c>
      <c r="AN1748" s="474" t="s">
        <v>1106</v>
      </c>
      <c r="AO1748" s="474"/>
      <c r="AP1748" s="482"/>
      <c r="AQ1748" s="482" t="s">
        <v>37</v>
      </c>
      <c r="AR1748" s="474"/>
      <c r="AS1748" s="281"/>
      <c r="AT1748" s="436"/>
      <c r="AU1748" s="472"/>
      <c r="AV1748" s="471">
        <f t="shared" si="286"/>
        <v>49201132</v>
      </c>
      <c r="AW1748" s="471" cm="1">
        <f t="array" ref="AW1748">SUM(MID(0&amp;AV1748,LARGE(INDEX(ISNUMBER(--MID(AV1748,ROW($1:$8),1))*ROW($1:$8),),ROW($1:$8))+1,1)*10^ROW($1:$8)/10)</f>
        <v>49201132</v>
      </c>
      <c r="AX1748" s="471" t="str">
        <f>VLOOKUP($AW1748,'Item Master Data'!$A:$F,3,FALSE)</f>
        <v>Q.PEAK DUO BLK G10+</v>
      </c>
      <c r="AY1748" s="471">
        <f>VLOOKUP($AW1748,'Item Master Data'!$A:$F,6,FALSE)</f>
        <v>360</v>
      </c>
      <c r="AZ1748" s="471">
        <f t="shared" si="287"/>
        <v>24</v>
      </c>
      <c r="BA1748" s="471">
        <f>VLOOKUP(AW1748,'Item Master Data'!$A:$G,7,FALSE)</f>
        <v>32</v>
      </c>
      <c r="BC1748" s="471">
        <f t="shared" si="288"/>
        <v>0</v>
      </c>
    </row>
    <row r="1749" spans="1:55" s="471" customFormat="1">
      <c r="A1749" s="278"/>
      <c r="B1749" s="279">
        <v>44547</v>
      </c>
      <c r="C1749" s="279">
        <v>44586</v>
      </c>
      <c r="D1749" s="394" t="s">
        <v>3678</v>
      </c>
      <c r="E1749" s="280" t="s">
        <v>3683</v>
      </c>
      <c r="F1749" s="474"/>
      <c r="G1749" s="474">
        <v>2022</v>
      </c>
      <c r="H1749" s="474">
        <v>3</v>
      </c>
      <c r="I1749" s="485">
        <v>127722</v>
      </c>
      <c r="J1749" s="475">
        <v>44645</v>
      </c>
      <c r="K1749" s="474">
        <v>179899</v>
      </c>
      <c r="L1749" s="474" t="s">
        <v>1101</v>
      </c>
      <c r="M1749" s="475">
        <v>44546</v>
      </c>
      <c r="N1749" s="475">
        <v>44576</v>
      </c>
      <c r="O1749" s="475"/>
      <c r="P1749" s="475">
        <v>44643</v>
      </c>
      <c r="Q1749" s="475">
        <v>44645</v>
      </c>
      <c r="R1749" s="475">
        <v>44645</v>
      </c>
      <c r="S1749" s="474" t="s">
        <v>1102</v>
      </c>
      <c r="T1749" s="474">
        <v>60</v>
      </c>
      <c r="U1749" s="474" t="s">
        <v>1281</v>
      </c>
      <c r="V1749" s="474" t="s">
        <v>973</v>
      </c>
      <c r="W1749" s="476">
        <v>400</v>
      </c>
      <c r="X1749" s="402">
        <v>768</v>
      </c>
      <c r="Y1749" s="491">
        <f t="shared" si="289"/>
        <v>307200</v>
      </c>
      <c r="Z1749" s="478">
        <v>0.53</v>
      </c>
      <c r="AA1749" s="582">
        <f t="shared" si="290"/>
        <v>162816</v>
      </c>
      <c r="AB1749" s="480"/>
      <c r="AC1749" s="481">
        <f>AB1749*Y1749</f>
        <v>0</v>
      </c>
      <c r="AD1749" s="490"/>
      <c r="AE1749" s="482"/>
      <c r="AF1749" s="493">
        <f t="shared" si="291"/>
        <v>162816</v>
      </c>
      <c r="AG1749" s="474" t="s">
        <v>1071</v>
      </c>
      <c r="AH1749" s="474"/>
      <c r="AI1749" s="474">
        <v>30</v>
      </c>
      <c r="AJ1749" s="474" t="s">
        <v>3684</v>
      </c>
      <c r="AK1749" s="474" t="s">
        <v>50</v>
      </c>
      <c r="AL1749" s="494">
        <v>92590</v>
      </c>
      <c r="AM1749" s="474" t="s">
        <v>52</v>
      </c>
      <c r="AN1749" s="474" t="s">
        <v>50</v>
      </c>
      <c r="AO1749" s="474"/>
      <c r="AP1749" s="482" t="s">
        <v>38</v>
      </c>
      <c r="AQ1749" s="482" t="s">
        <v>1086</v>
      </c>
      <c r="AR1749" s="474"/>
      <c r="AS1749" s="281" t="s">
        <v>1075</v>
      </c>
      <c r="AT1749" s="436" t="s">
        <v>1075</v>
      </c>
      <c r="AU1749" s="472"/>
      <c r="AV1749" s="471" t="str">
        <f t="shared" si="286"/>
        <v>30390456H</v>
      </c>
      <c r="AW1749" s="471" cm="1">
        <f t="array" ref="AW1749">SUM(MID(0&amp;AV1749,LARGE(INDEX(ISNUMBER(--MID(AV1749,ROW($1:$8),1))*ROW($1:$8),),ROW($1:$8))+1,1)*10^ROW($1:$8)/10)</f>
        <v>30390456</v>
      </c>
      <c r="AX1749" s="471" t="str">
        <f>VLOOKUP($AW1749,'Item Master Data'!$A:$F,3,FALSE)</f>
        <v>Q.PEAK DUO BLK ML G10+</v>
      </c>
      <c r="AY1749" s="471">
        <f>VLOOKUP($AW1749,'Item Master Data'!$A:$F,6,FALSE)</f>
        <v>400</v>
      </c>
      <c r="AZ1749" s="471">
        <f t="shared" si="287"/>
        <v>24</v>
      </c>
      <c r="BA1749" s="471">
        <f>VLOOKUP(AW1749,'Item Master Data'!$A:$G,7,FALSE)</f>
        <v>32</v>
      </c>
      <c r="BC1749" s="471">
        <f t="shared" si="288"/>
        <v>0</v>
      </c>
    </row>
    <row r="1750" spans="1:55" s="471" customFormat="1">
      <c r="A1750" s="278"/>
      <c r="B1750" s="279"/>
      <c r="C1750" s="279"/>
      <c r="D1750" s="394" t="s">
        <v>3678</v>
      </c>
      <c r="E1750" s="280" t="s">
        <v>3685</v>
      </c>
      <c r="F1750" s="474"/>
      <c r="G1750" s="474">
        <v>2022</v>
      </c>
      <c r="H1750" s="474">
        <v>3</v>
      </c>
      <c r="I1750" s="485">
        <v>127707</v>
      </c>
      <c r="J1750" s="475">
        <v>44648</v>
      </c>
      <c r="K1750" s="474" t="s">
        <v>3686</v>
      </c>
      <c r="L1750" s="474" t="s">
        <v>1120</v>
      </c>
      <c r="M1750" s="475">
        <v>44580</v>
      </c>
      <c r="N1750" s="475">
        <v>44635</v>
      </c>
      <c r="O1750" s="475"/>
      <c r="P1750" s="475">
        <v>44629</v>
      </c>
      <c r="Q1750" s="475">
        <v>44643</v>
      </c>
      <c r="R1750" s="475">
        <v>44648</v>
      </c>
      <c r="S1750" s="474" t="s">
        <v>1102</v>
      </c>
      <c r="T1750" s="474">
        <v>60</v>
      </c>
      <c r="U1750" s="474">
        <v>49204132</v>
      </c>
      <c r="V1750" s="474" t="s">
        <v>1223</v>
      </c>
      <c r="W1750" s="476">
        <v>360</v>
      </c>
      <c r="X1750" s="402">
        <v>728</v>
      </c>
      <c r="Y1750" s="491">
        <f t="shared" si="289"/>
        <v>262080</v>
      </c>
      <c r="Z1750" s="478">
        <v>0.8</v>
      </c>
      <c r="AA1750" s="479">
        <f t="shared" si="290"/>
        <v>209664</v>
      </c>
      <c r="AB1750" s="480"/>
      <c r="AC1750" s="481">
        <v>0</v>
      </c>
      <c r="AD1750" s="490"/>
      <c r="AE1750" s="482"/>
      <c r="AF1750" s="493">
        <f t="shared" si="291"/>
        <v>209664</v>
      </c>
      <c r="AG1750" s="474" t="s">
        <v>47</v>
      </c>
      <c r="AH1750" s="474"/>
      <c r="AI1750" s="474">
        <v>45</v>
      </c>
      <c r="AJ1750" s="474" t="s">
        <v>1140</v>
      </c>
      <c r="AK1750" s="474" t="s">
        <v>50</v>
      </c>
      <c r="AL1750" s="494">
        <v>91304</v>
      </c>
      <c r="AM1750" s="474" t="s">
        <v>52</v>
      </c>
      <c r="AN1750" s="474" t="s">
        <v>1074</v>
      </c>
      <c r="AO1750" s="474"/>
      <c r="AP1750" s="482"/>
      <c r="AQ1750" s="482" t="s">
        <v>37</v>
      </c>
      <c r="AR1750" s="474"/>
      <c r="AS1750" s="281"/>
      <c r="AT1750" s="436"/>
      <c r="AU1750" s="472"/>
      <c r="AV1750" s="471">
        <f t="shared" si="286"/>
        <v>49204132</v>
      </c>
      <c r="AW1750" s="471" cm="1">
        <f t="array" ref="AW1750">SUM(MID(0&amp;AV1750,LARGE(INDEX(ISNUMBER(--MID(AV1750,ROW($1:$8),1))*ROW($1:$8),),ROW($1:$8))+1,1)*10^ROW($1:$8)/10)</f>
        <v>49204132</v>
      </c>
      <c r="AX1750" s="471" t="str">
        <f>VLOOKUP($AW1750,'Item Master Data'!$A:$F,3,FALSE)</f>
        <v>Q.PEAK DUO BLK G10+/AC</v>
      </c>
      <c r="AY1750" s="471">
        <f>VLOOKUP($AW1750,'Item Master Data'!$A:$F,6,FALSE)</f>
        <v>360</v>
      </c>
      <c r="AZ1750" s="471">
        <f t="shared" si="287"/>
        <v>28</v>
      </c>
      <c r="BA1750" s="471">
        <f>VLOOKUP(AW1750,'Item Master Data'!$A:$G,7,FALSE)</f>
        <v>26</v>
      </c>
      <c r="BC1750" s="471">
        <f t="shared" si="288"/>
        <v>0</v>
      </c>
    </row>
    <row r="1751" spans="1:55" s="471" customFormat="1">
      <c r="A1751" s="278"/>
      <c r="B1751" s="279"/>
      <c r="C1751" s="279"/>
      <c r="D1751" s="394" t="s">
        <v>3678</v>
      </c>
      <c r="E1751" s="280" t="s">
        <v>3687</v>
      </c>
      <c r="F1751" s="474"/>
      <c r="G1751" s="474">
        <v>2022</v>
      </c>
      <c r="H1751" s="474">
        <v>3</v>
      </c>
      <c r="I1751" s="485">
        <v>127708</v>
      </c>
      <c r="J1751" s="475">
        <v>44648</v>
      </c>
      <c r="K1751" s="474" t="s">
        <v>3688</v>
      </c>
      <c r="L1751" s="474" t="s">
        <v>1120</v>
      </c>
      <c r="M1751" s="475">
        <v>44580</v>
      </c>
      <c r="N1751" s="475">
        <v>44635</v>
      </c>
      <c r="O1751" s="475"/>
      <c r="P1751" s="475">
        <v>44629</v>
      </c>
      <c r="Q1751" s="475">
        <v>44644</v>
      </c>
      <c r="R1751" s="475">
        <v>44648</v>
      </c>
      <c r="S1751" s="474" t="s">
        <v>1102</v>
      </c>
      <c r="T1751" s="474">
        <v>60</v>
      </c>
      <c r="U1751" s="474">
        <v>49204132</v>
      </c>
      <c r="V1751" s="474" t="s">
        <v>1223</v>
      </c>
      <c r="W1751" s="476">
        <v>360</v>
      </c>
      <c r="X1751" s="402">
        <v>728</v>
      </c>
      <c r="Y1751" s="491">
        <f t="shared" si="289"/>
        <v>262080</v>
      </c>
      <c r="Z1751" s="478">
        <v>0.8</v>
      </c>
      <c r="AA1751" s="479">
        <f t="shared" si="290"/>
        <v>209664</v>
      </c>
      <c r="AB1751" s="480"/>
      <c r="AC1751" s="481">
        <v>0</v>
      </c>
      <c r="AD1751" s="490"/>
      <c r="AE1751" s="482"/>
      <c r="AF1751" s="493">
        <f t="shared" si="291"/>
        <v>209664</v>
      </c>
      <c r="AG1751" s="474" t="s">
        <v>47</v>
      </c>
      <c r="AH1751" s="474"/>
      <c r="AI1751" s="474">
        <v>45</v>
      </c>
      <c r="AJ1751" s="474" t="s">
        <v>3689</v>
      </c>
      <c r="AK1751" s="474" t="s">
        <v>1133</v>
      </c>
      <c r="AL1751" s="494">
        <v>85282</v>
      </c>
      <c r="AM1751" s="474" t="s">
        <v>52</v>
      </c>
      <c r="AN1751" s="474" t="s">
        <v>1074</v>
      </c>
      <c r="AO1751" s="474"/>
      <c r="AP1751" s="482"/>
      <c r="AQ1751" s="482" t="s">
        <v>37</v>
      </c>
      <c r="AR1751" s="474"/>
      <c r="AS1751" s="281"/>
      <c r="AT1751" s="436"/>
      <c r="AU1751" s="472"/>
      <c r="AV1751" s="471">
        <f t="shared" si="286"/>
        <v>49204132</v>
      </c>
      <c r="AW1751" s="471" cm="1">
        <f t="array" ref="AW1751">SUM(MID(0&amp;AV1751,LARGE(INDEX(ISNUMBER(--MID(AV1751,ROW($1:$8),1))*ROW($1:$8),),ROW($1:$8))+1,1)*10^ROW($1:$8)/10)</f>
        <v>49204132</v>
      </c>
      <c r="AX1751" s="471" t="str">
        <f>VLOOKUP($AW1751,'Item Master Data'!$A:$F,3,FALSE)</f>
        <v>Q.PEAK DUO BLK G10+/AC</v>
      </c>
      <c r="AY1751" s="471">
        <f>VLOOKUP($AW1751,'Item Master Data'!$A:$F,6,FALSE)</f>
        <v>360</v>
      </c>
      <c r="AZ1751" s="471">
        <f t="shared" si="287"/>
        <v>28</v>
      </c>
      <c r="BA1751" s="471">
        <f>VLOOKUP(AW1751,'Item Master Data'!$A:$G,7,FALSE)</f>
        <v>26</v>
      </c>
      <c r="BC1751" s="471">
        <f t="shared" si="288"/>
        <v>0</v>
      </c>
    </row>
    <row r="1752" spans="1:55" s="471" customFormat="1">
      <c r="A1752" s="278"/>
      <c r="B1752" s="279"/>
      <c r="C1752" s="279"/>
      <c r="D1752" s="394" t="s">
        <v>3678</v>
      </c>
      <c r="E1752" s="280" t="s">
        <v>3690</v>
      </c>
      <c r="F1752" s="474"/>
      <c r="G1752" s="474">
        <v>2022</v>
      </c>
      <c r="H1752" s="474">
        <v>3</v>
      </c>
      <c r="I1752" s="485">
        <v>127709</v>
      </c>
      <c r="J1752" s="475">
        <v>44645</v>
      </c>
      <c r="K1752" s="474" t="s">
        <v>3691</v>
      </c>
      <c r="L1752" s="474" t="s">
        <v>1120</v>
      </c>
      <c r="M1752" s="475">
        <v>44580</v>
      </c>
      <c r="N1752" s="475">
        <v>44635</v>
      </c>
      <c r="O1752" s="475"/>
      <c r="P1752" s="475">
        <v>44629</v>
      </c>
      <c r="Q1752" s="475">
        <v>44643</v>
      </c>
      <c r="R1752" s="475">
        <v>44645</v>
      </c>
      <c r="S1752" s="474" t="s">
        <v>1102</v>
      </c>
      <c r="T1752" s="474">
        <v>60</v>
      </c>
      <c r="U1752" s="474">
        <v>49204132</v>
      </c>
      <c r="V1752" s="474" t="s">
        <v>1223</v>
      </c>
      <c r="W1752" s="476">
        <v>360</v>
      </c>
      <c r="X1752" s="402">
        <v>728</v>
      </c>
      <c r="Y1752" s="491">
        <f t="shared" si="289"/>
        <v>262080</v>
      </c>
      <c r="Z1752" s="478">
        <v>0.8</v>
      </c>
      <c r="AA1752" s="479">
        <f t="shared" si="290"/>
        <v>209664</v>
      </c>
      <c r="AB1752" s="480"/>
      <c r="AC1752" s="481">
        <v>0</v>
      </c>
      <c r="AD1752" s="490"/>
      <c r="AE1752" s="482"/>
      <c r="AF1752" s="493">
        <f t="shared" si="291"/>
        <v>209664</v>
      </c>
      <c r="AG1752" s="474" t="s">
        <v>47</v>
      </c>
      <c r="AH1752" s="474"/>
      <c r="AI1752" s="474">
        <v>45</v>
      </c>
      <c r="AJ1752" s="474" t="s">
        <v>1143</v>
      </c>
      <c r="AK1752" s="474" t="s">
        <v>1144</v>
      </c>
      <c r="AL1752" s="494">
        <v>74074</v>
      </c>
      <c r="AM1752" s="474" t="s">
        <v>52</v>
      </c>
      <c r="AN1752" s="474" t="s">
        <v>1074</v>
      </c>
      <c r="AO1752" s="474"/>
      <c r="AP1752" s="482"/>
      <c r="AQ1752" s="482" t="s">
        <v>37</v>
      </c>
      <c r="AR1752" s="474"/>
      <c r="AS1752" s="281"/>
      <c r="AT1752" s="436"/>
      <c r="AU1752" s="472"/>
      <c r="AV1752" s="471">
        <f t="shared" si="286"/>
        <v>49204132</v>
      </c>
      <c r="AW1752" s="471" cm="1">
        <f t="array" ref="AW1752">SUM(MID(0&amp;AV1752,LARGE(INDEX(ISNUMBER(--MID(AV1752,ROW($1:$8),1))*ROW($1:$8),),ROW($1:$8))+1,1)*10^ROW($1:$8)/10)</f>
        <v>49204132</v>
      </c>
      <c r="AX1752" s="471" t="str">
        <f>VLOOKUP($AW1752,'Item Master Data'!$A:$F,3,FALSE)</f>
        <v>Q.PEAK DUO BLK G10+/AC</v>
      </c>
      <c r="AY1752" s="471">
        <f>VLOOKUP($AW1752,'Item Master Data'!$A:$F,6,FALSE)</f>
        <v>360</v>
      </c>
      <c r="AZ1752" s="471">
        <f t="shared" si="287"/>
        <v>28</v>
      </c>
      <c r="BA1752" s="471">
        <f>VLOOKUP(AW1752,'Item Master Data'!$A:$G,7,FALSE)</f>
        <v>26</v>
      </c>
      <c r="BC1752" s="471">
        <f t="shared" si="288"/>
        <v>0</v>
      </c>
    </row>
    <row r="1753" spans="1:55" s="471" customFormat="1">
      <c r="A1753" s="278"/>
      <c r="B1753" s="279"/>
      <c r="C1753" s="279"/>
      <c r="D1753" s="394" t="s">
        <v>3678</v>
      </c>
      <c r="E1753" s="280" t="s">
        <v>3692</v>
      </c>
      <c r="F1753" s="474" t="s">
        <v>1147</v>
      </c>
      <c r="G1753" s="474">
        <v>2022</v>
      </c>
      <c r="H1753" s="474">
        <v>3</v>
      </c>
      <c r="I1753" s="485">
        <v>127429</v>
      </c>
      <c r="J1753" s="475">
        <v>44636</v>
      </c>
      <c r="K1753" s="474" t="s">
        <v>3693</v>
      </c>
      <c r="L1753" s="474" t="s">
        <v>1120</v>
      </c>
      <c r="M1753" s="475">
        <v>44606</v>
      </c>
      <c r="N1753" s="475">
        <v>44621</v>
      </c>
      <c r="O1753" s="475"/>
      <c r="P1753" s="475">
        <v>44631</v>
      </c>
      <c r="Q1753" s="475">
        <v>44636</v>
      </c>
      <c r="R1753" s="475">
        <v>44636</v>
      </c>
      <c r="S1753" s="474" t="s">
        <v>1102</v>
      </c>
      <c r="T1753" s="474">
        <v>60</v>
      </c>
      <c r="U1753" s="474" t="s">
        <v>1843</v>
      </c>
      <c r="V1753" s="474" t="s">
        <v>691</v>
      </c>
      <c r="W1753" s="476">
        <v>340</v>
      </c>
      <c r="X1753" s="402">
        <v>768</v>
      </c>
      <c r="Y1753" s="491">
        <f t="shared" si="289"/>
        <v>261120</v>
      </c>
      <c r="Z1753" s="478">
        <v>0.495</v>
      </c>
      <c r="AA1753" s="480">
        <f t="shared" si="290"/>
        <v>129254.39999999999</v>
      </c>
      <c r="AB1753" s="480"/>
      <c r="AC1753" s="481">
        <v>0</v>
      </c>
      <c r="AD1753" s="490"/>
      <c r="AE1753" s="482"/>
      <c r="AF1753" s="493">
        <f t="shared" si="291"/>
        <v>129254.39999999999</v>
      </c>
      <c r="AG1753" s="474" t="s">
        <v>47</v>
      </c>
      <c r="AH1753" s="474"/>
      <c r="AI1753" s="474">
        <v>45</v>
      </c>
      <c r="AJ1753" s="474" t="s">
        <v>1140</v>
      </c>
      <c r="AK1753" s="474" t="s">
        <v>50</v>
      </c>
      <c r="AL1753" s="494">
        <v>91311</v>
      </c>
      <c r="AM1753" s="474" t="s">
        <v>52</v>
      </c>
      <c r="AN1753" s="474" t="s">
        <v>50</v>
      </c>
      <c r="AO1753" s="474"/>
      <c r="AP1753" s="482" t="s">
        <v>38</v>
      </c>
      <c r="AQ1753" s="482"/>
      <c r="AR1753" s="474"/>
      <c r="AS1753" s="281"/>
      <c r="AT1753" s="436" t="s">
        <v>1076</v>
      </c>
      <c r="AU1753" s="472"/>
    </row>
    <row r="1754" spans="1:55" s="471" customFormat="1">
      <c r="A1754" s="278"/>
      <c r="B1754" s="279"/>
      <c r="C1754" s="279"/>
      <c r="D1754" s="394" t="s">
        <v>3678</v>
      </c>
      <c r="E1754" s="280" t="s">
        <v>3692</v>
      </c>
      <c r="F1754" s="474" t="s">
        <v>1147</v>
      </c>
      <c r="G1754" s="474">
        <v>2022</v>
      </c>
      <c r="H1754" s="474">
        <v>3</v>
      </c>
      <c r="I1754" s="485">
        <v>127430</v>
      </c>
      <c r="J1754" s="475">
        <v>44636</v>
      </c>
      <c r="K1754" s="474" t="s">
        <v>3694</v>
      </c>
      <c r="L1754" s="474" t="s">
        <v>1120</v>
      </c>
      <c r="M1754" s="475">
        <v>44606</v>
      </c>
      <c r="N1754" s="475">
        <v>44621</v>
      </c>
      <c r="O1754" s="475"/>
      <c r="P1754" s="475">
        <v>44631</v>
      </c>
      <c r="Q1754" s="475">
        <v>44636</v>
      </c>
      <c r="R1754" s="475">
        <v>44636</v>
      </c>
      <c r="S1754" s="474" t="s">
        <v>1102</v>
      </c>
      <c r="T1754" s="474">
        <v>60</v>
      </c>
      <c r="U1754" s="474" t="s">
        <v>1843</v>
      </c>
      <c r="V1754" s="474" t="s">
        <v>691</v>
      </c>
      <c r="W1754" s="476">
        <v>340</v>
      </c>
      <c r="X1754" s="402">
        <v>768</v>
      </c>
      <c r="Y1754" s="491">
        <f t="shared" si="289"/>
        <v>261120</v>
      </c>
      <c r="Z1754" s="478">
        <v>0.495</v>
      </c>
      <c r="AA1754" s="480">
        <f t="shared" si="290"/>
        <v>129254.39999999999</v>
      </c>
      <c r="AB1754" s="480"/>
      <c r="AC1754" s="481">
        <v>0</v>
      </c>
      <c r="AD1754" s="490"/>
      <c r="AE1754" s="482"/>
      <c r="AF1754" s="493">
        <f t="shared" si="291"/>
        <v>129254.39999999999</v>
      </c>
      <c r="AG1754" s="474" t="s">
        <v>47</v>
      </c>
      <c r="AH1754" s="474"/>
      <c r="AI1754" s="474">
        <v>45</v>
      </c>
      <c r="AJ1754" s="474" t="s">
        <v>1140</v>
      </c>
      <c r="AK1754" s="474" t="s">
        <v>50</v>
      </c>
      <c r="AL1754" s="494">
        <v>91311</v>
      </c>
      <c r="AM1754" s="474" t="s">
        <v>52</v>
      </c>
      <c r="AN1754" s="474" t="s">
        <v>50</v>
      </c>
      <c r="AO1754" s="474"/>
      <c r="AP1754" s="482" t="s">
        <v>38</v>
      </c>
      <c r="AQ1754" s="482"/>
      <c r="AR1754" s="474"/>
      <c r="AS1754" s="281"/>
      <c r="AT1754" s="436" t="s">
        <v>1076</v>
      </c>
      <c r="AU1754" s="472"/>
      <c r="AV1754" s="471" t="str">
        <f t="shared" ref="AV1754:AV1772" si="292">U1754</f>
        <v>30376609C+</v>
      </c>
      <c r="AW1754" s="471" cm="1">
        <f t="array" ref="AW1754">SUM(MID(0&amp;AV1754,LARGE(INDEX(ISNUMBER(--MID(AV1754,ROW($1:$8),1))*ROW($1:$8),),ROW($1:$8))+1,1)*10^ROW($1:$8)/10)</f>
        <v>30376609</v>
      </c>
      <c r="AX1754" s="471" t="str">
        <f>VLOOKUP($AW1754,'Item Master Data'!$A:$F,3,FALSE)</f>
        <v>Q.PEAK DUO BLK G6+</v>
      </c>
      <c r="AY1754" s="471">
        <f>VLOOKUP($AW1754,'Item Master Data'!$A:$F,6,FALSE)</f>
        <v>340</v>
      </c>
      <c r="AZ1754" s="471">
        <f t="shared" ref="AZ1754:AZ1772" si="293">X1754/BA1754</f>
        <v>24</v>
      </c>
      <c r="BA1754" s="471">
        <f>VLOOKUP(AW1754,'Item Master Data'!$A:$G,7,FALSE)</f>
        <v>32</v>
      </c>
      <c r="BC1754" s="471">
        <f t="shared" ref="BC1754:BC1772" si="294">W1754-AY1754</f>
        <v>0</v>
      </c>
    </row>
    <row r="1755" spans="1:55" s="471" customFormat="1">
      <c r="A1755" s="278"/>
      <c r="B1755" s="279"/>
      <c r="C1755" s="279"/>
      <c r="D1755" s="394" t="s">
        <v>3678</v>
      </c>
      <c r="E1755" s="280" t="s">
        <v>3695</v>
      </c>
      <c r="F1755" s="474"/>
      <c r="G1755" s="474">
        <v>2022</v>
      </c>
      <c r="H1755" s="474">
        <v>3</v>
      </c>
      <c r="I1755" s="485">
        <v>127225</v>
      </c>
      <c r="J1755" s="475">
        <v>44627</v>
      </c>
      <c r="K1755" s="474" t="s">
        <v>3696</v>
      </c>
      <c r="L1755" s="474" t="s">
        <v>3697</v>
      </c>
      <c r="M1755" s="475">
        <v>44595</v>
      </c>
      <c r="N1755" s="475">
        <v>44595</v>
      </c>
      <c r="O1755" s="475"/>
      <c r="P1755" s="475">
        <v>44609</v>
      </c>
      <c r="Q1755" s="475">
        <v>44622</v>
      </c>
      <c r="R1755" s="475">
        <v>44627</v>
      </c>
      <c r="S1755" s="474" t="s">
        <v>1102</v>
      </c>
      <c r="T1755" s="474">
        <v>60</v>
      </c>
      <c r="U1755" s="474">
        <v>49201132</v>
      </c>
      <c r="V1755" s="474" t="s">
        <v>986</v>
      </c>
      <c r="W1755" s="476">
        <v>360</v>
      </c>
      <c r="X1755" s="402">
        <v>768</v>
      </c>
      <c r="Y1755" s="491">
        <f t="shared" si="289"/>
        <v>276480</v>
      </c>
      <c r="Z1755" s="478">
        <v>0.47</v>
      </c>
      <c r="AA1755" s="479">
        <f t="shared" si="290"/>
        <v>129945.59999999999</v>
      </c>
      <c r="AB1755" s="480"/>
      <c r="AC1755" s="481">
        <f t="shared" ref="AC1755:AC1772" si="295">AB1755*Y1755</f>
        <v>0</v>
      </c>
      <c r="AD1755" s="490"/>
      <c r="AE1755" s="482"/>
      <c r="AF1755" s="493">
        <f t="shared" si="291"/>
        <v>129945.59999999999</v>
      </c>
      <c r="AG1755" s="474" t="s">
        <v>47</v>
      </c>
      <c r="AH1755" s="474"/>
      <c r="AI1755" s="474">
        <v>45</v>
      </c>
      <c r="AJ1755" s="474" t="s">
        <v>1950</v>
      </c>
      <c r="AK1755" s="474" t="s">
        <v>2321</v>
      </c>
      <c r="AL1755" s="494">
        <v>91761</v>
      </c>
      <c r="AM1755" s="474" t="s">
        <v>52</v>
      </c>
      <c r="AN1755" s="474" t="s">
        <v>1074</v>
      </c>
      <c r="AO1755" s="474"/>
      <c r="AP1755" s="482"/>
      <c r="AQ1755" s="482" t="s">
        <v>37</v>
      </c>
      <c r="AR1755" s="474"/>
      <c r="AS1755" s="281" t="s">
        <v>1076</v>
      </c>
      <c r="AT1755" s="436" t="s">
        <v>1076</v>
      </c>
      <c r="AU1755" s="472"/>
      <c r="AV1755" s="471">
        <f t="shared" si="292"/>
        <v>49201132</v>
      </c>
      <c r="AW1755" s="471" cm="1">
        <f t="array" ref="AW1755">SUM(MID(0&amp;AV1755,LARGE(INDEX(ISNUMBER(--MID(AV1755,ROW($1:$8),1))*ROW($1:$8),),ROW($1:$8))+1,1)*10^ROW($1:$8)/10)</f>
        <v>49201132</v>
      </c>
      <c r="AX1755" s="471" t="str">
        <f>VLOOKUP($AW1755,'Item Master Data'!$A:$F,3,FALSE)</f>
        <v>Q.PEAK DUO BLK G10+</v>
      </c>
      <c r="AY1755" s="471">
        <f>VLOOKUP($AW1755,'Item Master Data'!$A:$F,6,FALSE)</f>
        <v>360</v>
      </c>
      <c r="AZ1755" s="471">
        <f t="shared" si="293"/>
        <v>24</v>
      </c>
      <c r="BA1755" s="471">
        <f>VLOOKUP(AW1755,'Item Master Data'!$A:$G,7,FALSE)</f>
        <v>32</v>
      </c>
      <c r="BC1755" s="471">
        <f t="shared" si="294"/>
        <v>0</v>
      </c>
    </row>
    <row r="1756" spans="1:55" s="471" customFormat="1">
      <c r="A1756" s="278"/>
      <c r="B1756" s="279"/>
      <c r="C1756" s="279"/>
      <c r="D1756" s="394" t="s">
        <v>3678</v>
      </c>
      <c r="E1756" s="280" t="s">
        <v>3695</v>
      </c>
      <c r="F1756" s="474"/>
      <c r="G1756" s="474">
        <v>2022</v>
      </c>
      <c r="H1756" s="474">
        <v>3</v>
      </c>
      <c r="I1756" s="485">
        <v>127226</v>
      </c>
      <c r="J1756" s="475">
        <v>44627</v>
      </c>
      <c r="K1756" s="474" t="s">
        <v>3698</v>
      </c>
      <c r="L1756" s="474" t="s">
        <v>3697</v>
      </c>
      <c r="M1756" s="475">
        <v>44595</v>
      </c>
      <c r="N1756" s="475">
        <v>44595</v>
      </c>
      <c r="O1756" s="475"/>
      <c r="P1756" s="475">
        <v>44609</v>
      </c>
      <c r="Q1756" s="475">
        <v>44622</v>
      </c>
      <c r="R1756" s="475">
        <v>44627</v>
      </c>
      <c r="S1756" s="474" t="s">
        <v>1102</v>
      </c>
      <c r="T1756" s="474">
        <v>60</v>
      </c>
      <c r="U1756" s="474">
        <v>49201132</v>
      </c>
      <c r="V1756" s="474" t="s">
        <v>986</v>
      </c>
      <c r="W1756" s="476">
        <v>360</v>
      </c>
      <c r="X1756" s="402">
        <v>768</v>
      </c>
      <c r="Y1756" s="491">
        <f t="shared" si="289"/>
        <v>276480</v>
      </c>
      <c r="Z1756" s="478">
        <v>0.47</v>
      </c>
      <c r="AA1756" s="479">
        <f t="shared" si="290"/>
        <v>129945.59999999999</v>
      </c>
      <c r="AB1756" s="480"/>
      <c r="AC1756" s="481">
        <f t="shared" si="295"/>
        <v>0</v>
      </c>
      <c r="AD1756" s="490"/>
      <c r="AE1756" s="482"/>
      <c r="AF1756" s="493">
        <f t="shared" si="291"/>
        <v>129945.59999999999</v>
      </c>
      <c r="AG1756" s="474" t="s">
        <v>47</v>
      </c>
      <c r="AH1756" s="474"/>
      <c r="AI1756" s="474">
        <v>45</v>
      </c>
      <c r="AJ1756" s="474" t="s">
        <v>1777</v>
      </c>
      <c r="AK1756" s="474" t="s">
        <v>2321</v>
      </c>
      <c r="AL1756" s="494">
        <v>93308</v>
      </c>
      <c r="AM1756" s="474" t="s">
        <v>52</v>
      </c>
      <c r="AN1756" s="474" t="s">
        <v>1074</v>
      </c>
      <c r="AO1756" s="474"/>
      <c r="AP1756" s="482"/>
      <c r="AQ1756" s="482" t="s">
        <v>37</v>
      </c>
      <c r="AR1756" s="474"/>
      <c r="AS1756" s="281" t="s">
        <v>1076</v>
      </c>
      <c r="AT1756" s="436" t="s">
        <v>1076</v>
      </c>
      <c r="AU1756" s="472"/>
      <c r="AV1756" s="471">
        <f t="shared" si="292"/>
        <v>49201132</v>
      </c>
      <c r="AW1756" s="471" cm="1">
        <f t="array" ref="AW1756">SUM(MID(0&amp;AV1756,LARGE(INDEX(ISNUMBER(--MID(AV1756,ROW($1:$8),1))*ROW($1:$8),),ROW($1:$8))+1,1)*10^ROW($1:$8)/10)</f>
        <v>49201132</v>
      </c>
      <c r="AX1756" s="471" t="str">
        <f>VLOOKUP($AW1756,'Item Master Data'!$A:$F,3,FALSE)</f>
        <v>Q.PEAK DUO BLK G10+</v>
      </c>
      <c r="AY1756" s="471">
        <f>VLOOKUP($AW1756,'Item Master Data'!$A:$F,6,FALSE)</f>
        <v>360</v>
      </c>
      <c r="AZ1756" s="471">
        <f t="shared" si="293"/>
        <v>24</v>
      </c>
      <c r="BA1756" s="471">
        <f>VLOOKUP(AW1756,'Item Master Data'!$A:$G,7,FALSE)</f>
        <v>32</v>
      </c>
      <c r="BC1756" s="471">
        <f t="shared" si="294"/>
        <v>0</v>
      </c>
    </row>
    <row r="1757" spans="1:55" s="471" customFormat="1">
      <c r="A1757" s="278"/>
      <c r="B1757" s="279"/>
      <c r="C1757" s="279"/>
      <c r="D1757" s="394" t="s">
        <v>3678</v>
      </c>
      <c r="E1757" s="280" t="s">
        <v>3695</v>
      </c>
      <c r="F1757" s="474"/>
      <c r="G1757" s="474">
        <v>2022</v>
      </c>
      <c r="H1757" s="474">
        <v>3</v>
      </c>
      <c r="I1757" s="485">
        <v>127227</v>
      </c>
      <c r="J1757" s="475">
        <v>44623</v>
      </c>
      <c r="K1757" s="474" t="s">
        <v>3699</v>
      </c>
      <c r="L1757" s="474" t="s">
        <v>3697</v>
      </c>
      <c r="M1757" s="475">
        <v>44595</v>
      </c>
      <c r="N1757" s="475">
        <v>44595</v>
      </c>
      <c r="O1757" s="475"/>
      <c r="P1757" s="475">
        <v>44609</v>
      </c>
      <c r="Q1757" s="475">
        <v>44621</v>
      </c>
      <c r="R1757" s="475">
        <v>44623</v>
      </c>
      <c r="S1757" s="474" t="s">
        <v>1102</v>
      </c>
      <c r="T1757" s="474">
        <v>60</v>
      </c>
      <c r="U1757" s="474">
        <v>49201132</v>
      </c>
      <c r="V1757" s="474" t="s">
        <v>986</v>
      </c>
      <c r="W1757" s="476">
        <v>360</v>
      </c>
      <c r="X1757" s="402">
        <v>768</v>
      </c>
      <c r="Y1757" s="491">
        <f t="shared" si="289"/>
        <v>276480</v>
      </c>
      <c r="Z1757" s="478">
        <v>0.47</v>
      </c>
      <c r="AA1757" s="479">
        <f t="shared" si="290"/>
        <v>129945.59999999999</v>
      </c>
      <c r="AB1757" s="480"/>
      <c r="AC1757" s="481">
        <f t="shared" si="295"/>
        <v>0</v>
      </c>
      <c r="AD1757" s="490"/>
      <c r="AE1757" s="482"/>
      <c r="AF1757" s="493">
        <f t="shared" si="291"/>
        <v>129945.59999999999</v>
      </c>
      <c r="AG1757" s="474" t="s">
        <v>47</v>
      </c>
      <c r="AH1757" s="474"/>
      <c r="AI1757" s="474">
        <v>45</v>
      </c>
      <c r="AJ1757" s="474" t="s">
        <v>3700</v>
      </c>
      <c r="AK1757" s="474" t="s">
        <v>1117</v>
      </c>
      <c r="AL1757" s="494">
        <v>60517</v>
      </c>
      <c r="AM1757" s="474" t="s">
        <v>52</v>
      </c>
      <c r="AN1757" s="474" t="s">
        <v>1074</v>
      </c>
      <c r="AO1757" s="474"/>
      <c r="AP1757" s="482"/>
      <c r="AQ1757" s="482" t="s">
        <v>37</v>
      </c>
      <c r="AR1757" s="474"/>
      <c r="AS1757" s="281" t="s">
        <v>1076</v>
      </c>
      <c r="AT1757" s="436" t="s">
        <v>1076</v>
      </c>
      <c r="AU1757" s="472"/>
      <c r="AV1757" s="471">
        <f t="shared" si="292"/>
        <v>49201132</v>
      </c>
      <c r="AW1757" s="471" cm="1">
        <f t="array" ref="AW1757">SUM(MID(0&amp;AV1757,LARGE(INDEX(ISNUMBER(--MID(AV1757,ROW($1:$8),1))*ROW($1:$8),),ROW($1:$8))+1,1)*10^ROW($1:$8)/10)</f>
        <v>49201132</v>
      </c>
      <c r="AX1757" s="471" t="str">
        <f>VLOOKUP($AW1757,'Item Master Data'!$A:$F,3,FALSE)</f>
        <v>Q.PEAK DUO BLK G10+</v>
      </c>
      <c r="AY1757" s="471">
        <f>VLOOKUP($AW1757,'Item Master Data'!$A:$F,6,FALSE)</f>
        <v>360</v>
      </c>
      <c r="AZ1757" s="471">
        <f t="shared" si="293"/>
        <v>24</v>
      </c>
      <c r="BA1757" s="471">
        <f>VLOOKUP(AW1757,'Item Master Data'!$A:$G,7,FALSE)</f>
        <v>32</v>
      </c>
      <c r="BC1757" s="471">
        <f t="shared" si="294"/>
        <v>0</v>
      </c>
    </row>
    <row r="1758" spans="1:55" s="471" customFormat="1">
      <c r="A1758" s="278"/>
      <c r="B1758" s="279"/>
      <c r="C1758" s="279"/>
      <c r="D1758" s="394" t="s">
        <v>3678</v>
      </c>
      <c r="E1758" s="280" t="s">
        <v>3695</v>
      </c>
      <c r="F1758" s="474"/>
      <c r="G1758" s="474">
        <v>2022</v>
      </c>
      <c r="H1758" s="474">
        <v>3</v>
      </c>
      <c r="I1758" s="485">
        <v>127228</v>
      </c>
      <c r="J1758" s="475">
        <v>44627</v>
      </c>
      <c r="K1758" s="474" t="s">
        <v>3701</v>
      </c>
      <c r="L1758" s="474" t="s">
        <v>3697</v>
      </c>
      <c r="M1758" s="475">
        <v>44595</v>
      </c>
      <c r="N1758" s="475">
        <v>44595</v>
      </c>
      <c r="O1758" s="475"/>
      <c r="P1758" s="475">
        <v>44609</v>
      </c>
      <c r="Q1758" s="475">
        <v>44622</v>
      </c>
      <c r="R1758" s="475">
        <v>44627</v>
      </c>
      <c r="S1758" s="474" t="s">
        <v>1102</v>
      </c>
      <c r="T1758" s="474">
        <v>60</v>
      </c>
      <c r="U1758" s="474">
        <v>49201132</v>
      </c>
      <c r="V1758" s="474" t="s">
        <v>986</v>
      </c>
      <c r="W1758" s="476">
        <v>360</v>
      </c>
      <c r="X1758" s="402">
        <v>768</v>
      </c>
      <c r="Y1758" s="491">
        <f t="shared" si="289"/>
        <v>276480</v>
      </c>
      <c r="Z1758" s="478">
        <v>0.47</v>
      </c>
      <c r="AA1758" s="479">
        <f t="shared" si="290"/>
        <v>129945.59999999999</v>
      </c>
      <c r="AB1758" s="480"/>
      <c r="AC1758" s="481">
        <f t="shared" si="295"/>
        <v>0</v>
      </c>
      <c r="AD1758" s="490"/>
      <c r="AE1758" s="482"/>
      <c r="AF1758" s="493">
        <f t="shared" si="291"/>
        <v>129945.59999999999</v>
      </c>
      <c r="AG1758" s="474" t="s">
        <v>47</v>
      </c>
      <c r="AH1758" s="474"/>
      <c r="AI1758" s="474">
        <v>45</v>
      </c>
      <c r="AJ1758" s="474" t="s">
        <v>1954</v>
      </c>
      <c r="AK1758" s="474" t="s">
        <v>50</v>
      </c>
      <c r="AL1758" s="494">
        <v>92121</v>
      </c>
      <c r="AM1758" s="474" t="s">
        <v>52</v>
      </c>
      <c r="AN1758" s="474" t="s">
        <v>1074</v>
      </c>
      <c r="AO1758" s="474"/>
      <c r="AP1758" s="482"/>
      <c r="AQ1758" s="482" t="s">
        <v>37</v>
      </c>
      <c r="AR1758" s="474"/>
      <c r="AS1758" s="281" t="s">
        <v>1076</v>
      </c>
      <c r="AT1758" s="436" t="s">
        <v>1076</v>
      </c>
      <c r="AU1758" s="472"/>
      <c r="AV1758" s="471">
        <f t="shared" si="292"/>
        <v>49201132</v>
      </c>
      <c r="AW1758" s="471" cm="1">
        <f t="array" ref="AW1758">SUM(MID(0&amp;AV1758,LARGE(INDEX(ISNUMBER(--MID(AV1758,ROW($1:$8),1))*ROW($1:$8),),ROW($1:$8))+1,1)*10^ROW($1:$8)/10)</f>
        <v>49201132</v>
      </c>
      <c r="AX1758" s="471" t="str">
        <f>VLOOKUP($AW1758,'Item Master Data'!$A:$F,3,FALSE)</f>
        <v>Q.PEAK DUO BLK G10+</v>
      </c>
      <c r="AY1758" s="471">
        <f>VLOOKUP($AW1758,'Item Master Data'!$A:$F,6,FALSE)</f>
        <v>360</v>
      </c>
      <c r="AZ1758" s="471">
        <f t="shared" si="293"/>
        <v>24</v>
      </c>
      <c r="BA1758" s="471">
        <f>VLOOKUP(AW1758,'Item Master Data'!$A:$G,7,FALSE)</f>
        <v>32</v>
      </c>
      <c r="BC1758" s="471">
        <f t="shared" si="294"/>
        <v>0</v>
      </c>
    </row>
    <row r="1759" spans="1:55" s="471" customFormat="1">
      <c r="A1759" s="278"/>
      <c r="B1759" s="279"/>
      <c r="C1759" s="279">
        <v>44614</v>
      </c>
      <c r="D1759" s="394" t="s">
        <v>3678</v>
      </c>
      <c r="E1759" s="280" t="s">
        <v>3702</v>
      </c>
      <c r="F1759" s="474"/>
      <c r="G1759" s="474">
        <v>2022</v>
      </c>
      <c r="H1759" s="474">
        <v>3</v>
      </c>
      <c r="I1759" s="485">
        <v>127457</v>
      </c>
      <c r="J1759" s="475">
        <v>44641</v>
      </c>
      <c r="K1759" s="486" t="s">
        <v>3703</v>
      </c>
      <c r="L1759" s="474" t="s">
        <v>3697</v>
      </c>
      <c r="M1759" s="475">
        <v>44595</v>
      </c>
      <c r="N1759" s="475">
        <v>44595</v>
      </c>
      <c r="O1759" s="475"/>
      <c r="P1759" s="475">
        <v>44630</v>
      </c>
      <c r="Q1759" s="475">
        <v>44637</v>
      </c>
      <c r="R1759" s="475">
        <v>44641</v>
      </c>
      <c r="S1759" s="474" t="s">
        <v>1102</v>
      </c>
      <c r="T1759" s="474">
        <v>60</v>
      </c>
      <c r="U1759" s="474">
        <v>49201132</v>
      </c>
      <c r="V1759" s="474" t="s">
        <v>986</v>
      </c>
      <c r="W1759" s="476">
        <v>360</v>
      </c>
      <c r="X1759" s="402">
        <v>768</v>
      </c>
      <c r="Y1759" s="491">
        <f t="shared" si="289"/>
        <v>276480</v>
      </c>
      <c r="Z1759" s="478">
        <v>0.47</v>
      </c>
      <c r="AA1759" s="479">
        <f t="shared" si="290"/>
        <v>129945.59999999999</v>
      </c>
      <c r="AB1759" s="480"/>
      <c r="AC1759" s="481">
        <f t="shared" si="295"/>
        <v>0</v>
      </c>
      <c r="AD1759" s="490"/>
      <c r="AE1759" s="482"/>
      <c r="AF1759" s="493">
        <f t="shared" si="291"/>
        <v>129945.59999999999</v>
      </c>
      <c r="AG1759" s="474" t="s">
        <v>47</v>
      </c>
      <c r="AH1759" s="474"/>
      <c r="AI1759" s="474">
        <v>45</v>
      </c>
      <c r="AJ1759" s="474" t="s">
        <v>3704</v>
      </c>
      <c r="AK1759" s="474" t="s">
        <v>3263</v>
      </c>
      <c r="AL1759" s="494">
        <v>84062</v>
      </c>
      <c r="AM1759" s="474" t="s">
        <v>52</v>
      </c>
      <c r="AN1759" s="474" t="s">
        <v>1074</v>
      </c>
      <c r="AO1759" s="474"/>
      <c r="AP1759" s="482"/>
      <c r="AQ1759" s="482" t="s">
        <v>37</v>
      </c>
      <c r="AR1759" s="474"/>
      <c r="AS1759" s="281" t="s">
        <v>1076</v>
      </c>
      <c r="AT1759" s="436" t="s">
        <v>1076</v>
      </c>
      <c r="AU1759" s="472"/>
      <c r="AV1759" s="471">
        <f t="shared" si="292"/>
        <v>49201132</v>
      </c>
      <c r="AW1759" s="471" cm="1">
        <f t="array" ref="AW1759">SUM(MID(0&amp;AV1759,LARGE(INDEX(ISNUMBER(--MID(AV1759,ROW($1:$8),1))*ROW($1:$8),),ROW($1:$8))+1,1)*10^ROW($1:$8)/10)</f>
        <v>49201132</v>
      </c>
      <c r="AX1759" s="471" t="str">
        <f>VLOOKUP($AW1759,'Item Master Data'!$A:$F,3,FALSE)</f>
        <v>Q.PEAK DUO BLK G10+</v>
      </c>
      <c r="AY1759" s="471">
        <f>VLOOKUP($AW1759,'Item Master Data'!$A:$F,6,FALSE)</f>
        <v>360</v>
      </c>
      <c r="AZ1759" s="471">
        <f t="shared" si="293"/>
        <v>24</v>
      </c>
      <c r="BA1759" s="471">
        <f>VLOOKUP(AW1759,'Item Master Data'!$A:$G,7,FALSE)</f>
        <v>32</v>
      </c>
      <c r="BC1759" s="471">
        <f t="shared" si="294"/>
        <v>0</v>
      </c>
    </row>
    <row r="1760" spans="1:55" s="471" customFormat="1">
      <c r="A1760" s="278"/>
      <c r="B1760" s="279"/>
      <c r="C1760" s="279"/>
      <c r="D1760" s="394" t="s">
        <v>3678</v>
      </c>
      <c r="E1760" s="280" t="s">
        <v>3695</v>
      </c>
      <c r="F1760" s="474"/>
      <c r="G1760" s="474">
        <v>2022</v>
      </c>
      <c r="H1760" s="474">
        <v>3</v>
      </c>
      <c r="I1760" s="485">
        <v>127229</v>
      </c>
      <c r="J1760" s="475">
        <v>44626</v>
      </c>
      <c r="K1760" s="474" t="s">
        <v>3705</v>
      </c>
      <c r="L1760" s="474" t="s">
        <v>3697</v>
      </c>
      <c r="M1760" s="475">
        <v>44595</v>
      </c>
      <c r="N1760" s="475">
        <v>44595</v>
      </c>
      <c r="O1760" s="475"/>
      <c r="P1760" s="475">
        <v>44609</v>
      </c>
      <c r="Q1760" s="475">
        <v>44623</v>
      </c>
      <c r="R1760" s="475">
        <v>44626</v>
      </c>
      <c r="S1760" s="474" t="s">
        <v>1102</v>
      </c>
      <c r="T1760" s="474">
        <v>60</v>
      </c>
      <c r="U1760" s="474">
        <v>49201132</v>
      </c>
      <c r="V1760" s="474" t="s">
        <v>986</v>
      </c>
      <c r="W1760" s="476">
        <v>360</v>
      </c>
      <c r="X1760" s="402">
        <v>768</v>
      </c>
      <c r="Y1760" s="491">
        <f t="shared" si="289"/>
        <v>276480</v>
      </c>
      <c r="Z1760" s="478">
        <v>0.47</v>
      </c>
      <c r="AA1760" s="479">
        <f t="shared" si="290"/>
        <v>129945.59999999999</v>
      </c>
      <c r="AB1760" s="480"/>
      <c r="AC1760" s="481">
        <f t="shared" si="295"/>
        <v>0</v>
      </c>
      <c r="AD1760" s="490"/>
      <c r="AE1760" s="482"/>
      <c r="AF1760" s="493">
        <f t="shared" si="291"/>
        <v>129945.59999999999</v>
      </c>
      <c r="AG1760" s="474" t="s">
        <v>47</v>
      </c>
      <c r="AH1760" s="474"/>
      <c r="AI1760" s="474">
        <v>45</v>
      </c>
      <c r="AJ1760" s="474" t="s">
        <v>1777</v>
      </c>
      <c r="AK1760" s="474" t="s">
        <v>50</v>
      </c>
      <c r="AL1760" s="494">
        <v>93308</v>
      </c>
      <c r="AM1760" s="474" t="s">
        <v>52</v>
      </c>
      <c r="AN1760" s="474" t="s">
        <v>1074</v>
      </c>
      <c r="AO1760" s="474"/>
      <c r="AP1760" s="482"/>
      <c r="AQ1760" s="482" t="s">
        <v>37</v>
      </c>
      <c r="AR1760" s="474"/>
      <c r="AS1760" s="281" t="s">
        <v>1076</v>
      </c>
      <c r="AT1760" s="436" t="s">
        <v>1076</v>
      </c>
      <c r="AU1760" s="472"/>
      <c r="AV1760" s="471">
        <f t="shared" si="292"/>
        <v>49201132</v>
      </c>
      <c r="AW1760" s="471" cm="1">
        <f t="array" ref="AW1760">SUM(MID(0&amp;AV1760,LARGE(INDEX(ISNUMBER(--MID(AV1760,ROW($1:$8),1))*ROW($1:$8),),ROW($1:$8))+1,1)*10^ROW($1:$8)/10)</f>
        <v>49201132</v>
      </c>
      <c r="AX1760" s="471" t="str">
        <f>VLOOKUP($AW1760,'Item Master Data'!$A:$F,3,FALSE)</f>
        <v>Q.PEAK DUO BLK G10+</v>
      </c>
      <c r="AY1760" s="471">
        <f>VLOOKUP($AW1760,'Item Master Data'!$A:$F,6,FALSE)</f>
        <v>360</v>
      </c>
      <c r="AZ1760" s="471">
        <f t="shared" si="293"/>
        <v>24</v>
      </c>
      <c r="BA1760" s="471">
        <f>VLOOKUP(AW1760,'Item Master Data'!$A:$G,7,FALSE)</f>
        <v>32</v>
      </c>
      <c r="BC1760" s="471">
        <f t="shared" si="294"/>
        <v>0</v>
      </c>
    </row>
    <row r="1761" spans="1:55" s="471" customFormat="1">
      <c r="A1761" s="278"/>
      <c r="B1761" s="279"/>
      <c r="C1761" s="279"/>
      <c r="D1761" s="394" t="s">
        <v>3678</v>
      </c>
      <c r="E1761" s="280" t="s">
        <v>3695</v>
      </c>
      <c r="F1761" s="474"/>
      <c r="G1761" s="474">
        <v>2022</v>
      </c>
      <c r="H1761" s="474">
        <v>3</v>
      </c>
      <c r="I1761" s="485">
        <v>127230</v>
      </c>
      <c r="J1761" s="475">
        <v>44627</v>
      </c>
      <c r="K1761" s="474" t="s">
        <v>3706</v>
      </c>
      <c r="L1761" s="474" t="s">
        <v>3697</v>
      </c>
      <c r="M1761" s="475">
        <v>44595</v>
      </c>
      <c r="N1761" s="475">
        <v>44595</v>
      </c>
      <c r="O1761" s="475"/>
      <c r="P1761" s="475">
        <v>44609</v>
      </c>
      <c r="Q1761" s="475">
        <v>44621</v>
      </c>
      <c r="R1761" s="475">
        <v>44629</v>
      </c>
      <c r="S1761" s="474" t="s">
        <v>1102</v>
      </c>
      <c r="T1761" s="474">
        <v>60</v>
      </c>
      <c r="U1761" s="474">
        <v>49201132</v>
      </c>
      <c r="V1761" s="474" t="s">
        <v>986</v>
      </c>
      <c r="W1761" s="476">
        <v>360</v>
      </c>
      <c r="X1761" s="402">
        <v>768</v>
      </c>
      <c r="Y1761" s="491">
        <f t="shared" si="289"/>
        <v>276480</v>
      </c>
      <c r="Z1761" s="478">
        <v>0.47</v>
      </c>
      <c r="AA1761" s="479">
        <f t="shared" si="290"/>
        <v>129945.59999999999</v>
      </c>
      <c r="AB1761" s="480"/>
      <c r="AC1761" s="481">
        <f t="shared" si="295"/>
        <v>0</v>
      </c>
      <c r="AD1761" s="490"/>
      <c r="AE1761" s="482"/>
      <c r="AF1761" s="493">
        <f t="shared" si="291"/>
        <v>129945.59999999999</v>
      </c>
      <c r="AG1761" s="474" t="s">
        <v>47</v>
      </c>
      <c r="AH1761" s="474"/>
      <c r="AI1761" s="474">
        <v>45</v>
      </c>
      <c r="AJ1761" s="474" t="s">
        <v>1790</v>
      </c>
      <c r="AK1761" s="474" t="s">
        <v>50</v>
      </c>
      <c r="AL1761" s="494">
        <v>95827</v>
      </c>
      <c r="AM1761" s="474" t="s">
        <v>52</v>
      </c>
      <c r="AN1761" s="474" t="s">
        <v>1074</v>
      </c>
      <c r="AO1761" s="474"/>
      <c r="AP1761" s="482"/>
      <c r="AQ1761" s="482" t="s">
        <v>37</v>
      </c>
      <c r="AR1761" s="474"/>
      <c r="AS1761" s="436" t="s">
        <v>1076</v>
      </c>
      <c r="AT1761" s="281" t="s">
        <v>1076</v>
      </c>
      <c r="AU1761" s="472"/>
      <c r="AV1761" s="471">
        <f t="shared" si="292"/>
        <v>49201132</v>
      </c>
      <c r="AW1761" s="471" cm="1">
        <f t="array" ref="AW1761">SUM(MID(0&amp;AV1761,LARGE(INDEX(ISNUMBER(--MID(AV1761,ROW($1:$8),1))*ROW($1:$8),),ROW($1:$8))+1,1)*10^ROW($1:$8)/10)</f>
        <v>49201132</v>
      </c>
      <c r="AX1761" s="471" t="str">
        <f>VLOOKUP($AW1761,'Item Master Data'!$A:$F,3,FALSE)</f>
        <v>Q.PEAK DUO BLK G10+</v>
      </c>
      <c r="AY1761" s="471">
        <f>VLOOKUP($AW1761,'Item Master Data'!$A:$F,6,FALSE)</f>
        <v>360</v>
      </c>
      <c r="AZ1761" s="471">
        <f t="shared" si="293"/>
        <v>24</v>
      </c>
      <c r="BA1761" s="471">
        <f>VLOOKUP(AW1761,'Item Master Data'!$A:$G,7,FALSE)</f>
        <v>32</v>
      </c>
      <c r="BC1761" s="471">
        <f t="shared" si="294"/>
        <v>0</v>
      </c>
    </row>
    <row r="1762" spans="1:55" s="471" customFormat="1">
      <c r="A1762" s="278"/>
      <c r="B1762" s="279"/>
      <c r="C1762" s="279"/>
      <c r="D1762" s="394" t="s">
        <v>3678</v>
      </c>
      <c r="E1762" s="280" t="s">
        <v>3692</v>
      </c>
      <c r="F1762" s="474"/>
      <c r="G1762" s="474">
        <v>2022</v>
      </c>
      <c r="H1762" s="474">
        <v>3</v>
      </c>
      <c r="I1762" s="485">
        <v>127435</v>
      </c>
      <c r="J1762" s="475">
        <v>44627</v>
      </c>
      <c r="K1762" s="474" t="s">
        <v>3707</v>
      </c>
      <c r="L1762" s="474" t="s">
        <v>3697</v>
      </c>
      <c r="M1762" s="475">
        <v>44595</v>
      </c>
      <c r="N1762" s="475">
        <v>44595</v>
      </c>
      <c r="O1762" s="475"/>
      <c r="P1762" s="475">
        <v>44609</v>
      </c>
      <c r="Q1762" s="475">
        <v>44622</v>
      </c>
      <c r="R1762" s="475">
        <v>44627</v>
      </c>
      <c r="S1762" s="474" t="s">
        <v>1102</v>
      </c>
      <c r="T1762" s="474">
        <v>60</v>
      </c>
      <c r="U1762" s="474">
        <v>49201132</v>
      </c>
      <c r="V1762" s="474" t="s">
        <v>986</v>
      </c>
      <c r="W1762" s="476">
        <v>360</v>
      </c>
      <c r="X1762" s="402">
        <v>768</v>
      </c>
      <c r="Y1762" s="491">
        <f t="shared" si="289"/>
        <v>276480</v>
      </c>
      <c r="Z1762" s="478">
        <v>0.47</v>
      </c>
      <c r="AA1762" s="479">
        <f t="shared" si="290"/>
        <v>129945.59999999999</v>
      </c>
      <c r="AB1762" s="480"/>
      <c r="AC1762" s="481">
        <f t="shared" si="295"/>
        <v>0</v>
      </c>
      <c r="AD1762" s="490"/>
      <c r="AE1762" s="482"/>
      <c r="AF1762" s="493">
        <f t="shared" si="291"/>
        <v>129945.59999999999</v>
      </c>
      <c r="AG1762" s="474" t="s">
        <v>47</v>
      </c>
      <c r="AH1762" s="474"/>
      <c r="AI1762" s="474">
        <v>45</v>
      </c>
      <c r="AJ1762" s="474" t="s">
        <v>3708</v>
      </c>
      <c r="AK1762" s="474" t="s">
        <v>50</v>
      </c>
      <c r="AL1762" s="494">
        <v>94551</v>
      </c>
      <c r="AM1762" s="474" t="s">
        <v>52</v>
      </c>
      <c r="AN1762" s="474" t="s">
        <v>1074</v>
      </c>
      <c r="AO1762" s="474"/>
      <c r="AP1762" s="482"/>
      <c r="AQ1762" s="482" t="s">
        <v>37</v>
      </c>
      <c r="AR1762" s="474"/>
      <c r="AS1762" s="436" t="s">
        <v>1076</v>
      </c>
      <c r="AT1762" s="281" t="s">
        <v>1076</v>
      </c>
      <c r="AU1762" s="472"/>
      <c r="AV1762" s="471">
        <f t="shared" si="292"/>
        <v>49201132</v>
      </c>
      <c r="AW1762" s="471" cm="1">
        <f t="array" ref="AW1762">SUM(MID(0&amp;AV1762,LARGE(INDEX(ISNUMBER(--MID(AV1762,ROW($1:$8),1))*ROW($1:$8),),ROW($1:$8))+1,1)*10^ROW($1:$8)/10)</f>
        <v>49201132</v>
      </c>
      <c r="AX1762" s="471" t="str">
        <f>VLOOKUP($AW1762,'Item Master Data'!$A:$F,3,FALSE)</f>
        <v>Q.PEAK DUO BLK G10+</v>
      </c>
      <c r="AY1762" s="471">
        <f>VLOOKUP($AW1762,'Item Master Data'!$A:$F,6,FALSE)</f>
        <v>360</v>
      </c>
      <c r="AZ1762" s="471">
        <f t="shared" si="293"/>
        <v>24</v>
      </c>
      <c r="BA1762" s="471">
        <f>VLOOKUP(AW1762,'Item Master Data'!$A:$G,7,FALSE)</f>
        <v>32</v>
      </c>
      <c r="BC1762" s="471">
        <f t="shared" si="294"/>
        <v>0</v>
      </c>
    </row>
    <row r="1763" spans="1:55" s="471" customFormat="1">
      <c r="A1763" s="278"/>
      <c r="B1763" s="279"/>
      <c r="C1763" s="279"/>
      <c r="D1763" s="394" t="s">
        <v>3678</v>
      </c>
      <c r="E1763" s="280" t="s">
        <v>3702</v>
      </c>
      <c r="F1763" s="474"/>
      <c r="G1763" s="474">
        <v>2022</v>
      </c>
      <c r="H1763" s="486">
        <v>3</v>
      </c>
      <c r="I1763" s="485">
        <v>127456</v>
      </c>
      <c r="J1763" s="475">
        <v>44636</v>
      </c>
      <c r="K1763" s="486" t="s">
        <v>3709</v>
      </c>
      <c r="L1763" s="475" t="s">
        <v>3697</v>
      </c>
      <c r="M1763" s="475">
        <v>44614</v>
      </c>
      <c r="N1763" s="475">
        <v>44614</v>
      </c>
      <c r="O1763" s="475"/>
      <c r="P1763" s="475">
        <v>44629</v>
      </c>
      <c r="Q1763" s="475">
        <v>44635</v>
      </c>
      <c r="R1763" s="475">
        <v>44636</v>
      </c>
      <c r="S1763" s="474" t="s">
        <v>1102</v>
      </c>
      <c r="T1763" s="474">
        <v>60</v>
      </c>
      <c r="U1763" s="474">
        <v>49201132</v>
      </c>
      <c r="V1763" s="474" t="s">
        <v>986</v>
      </c>
      <c r="W1763" s="476">
        <v>360</v>
      </c>
      <c r="X1763" s="402">
        <v>768</v>
      </c>
      <c r="Y1763" s="491">
        <f t="shared" si="289"/>
        <v>276480</v>
      </c>
      <c r="Z1763" s="478">
        <v>0.47</v>
      </c>
      <c r="AA1763" s="479">
        <f>Z1763*Y1763</f>
        <v>129945.59999999999</v>
      </c>
      <c r="AB1763" s="480"/>
      <c r="AC1763" s="481">
        <f t="shared" si="295"/>
        <v>0</v>
      </c>
      <c r="AD1763" s="490"/>
      <c r="AE1763" s="482"/>
      <c r="AF1763" s="493">
        <f t="shared" si="291"/>
        <v>129945.59999999999</v>
      </c>
      <c r="AG1763" s="474" t="s">
        <v>47</v>
      </c>
      <c r="AH1763" s="474"/>
      <c r="AI1763" s="474">
        <v>45</v>
      </c>
      <c r="AJ1763" s="474" t="s">
        <v>3700</v>
      </c>
      <c r="AK1763" s="474" t="s">
        <v>1117</v>
      </c>
      <c r="AL1763" s="494">
        <v>60517</v>
      </c>
      <c r="AM1763" s="474" t="s">
        <v>52</v>
      </c>
      <c r="AN1763" s="474" t="s">
        <v>1074</v>
      </c>
      <c r="AO1763" s="474"/>
      <c r="AP1763" s="482"/>
      <c r="AQ1763" s="482" t="s">
        <v>37</v>
      </c>
      <c r="AR1763" s="474"/>
      <c r="AS1763" s="436" t="s">
        <v>1076</v>
      </c>
      <c r="AT1763" s="281" t="s">
        <v>1076</v>
      </c>
      <c r="AU1763" s="472"/>
      <c r="AV1763" s="471">
        <f t="shared" si="292"/>
        <v>49201132</v>
      </c>
      <c r="AW1763" s="471" cm="1">
        <f t="array" ref="AW1763">SUM(MID(0&amp;AV1763,LARGE(INDEX(ISNUMBER(--MID(AV1763,ROW($1:$8),1))*ROW($1:$8),),ROW($1:$8))+1,1)*10^ROW($1:$8)/10)</f>
        <v>49201132</v>
      </c>
      <c r="AX1763" s="471" t="str">
        <f>VLOOKUP($AW1763,'Item Master Data'!$A:$F,3,FALSE)</f>
        <v>Q.PEAK DUO BLK G10+</v>
      </c>
      <c r="AY1763" s="471">
        <f>VLOOKUP($AW1763,'Item Master Data'!$A:$F,6,FALSE)</f>
        <v>360</v>
      </c>
      <c r="AZ1763" s="471">
        <f t="shared" si="293"/>
        <v>24</v>
      </c>
      <c r="BA1763" s="471">
        <f>VLOOKUP(AW1763,'Item Master Data'!$A:$G,7,FALSE)</f>
        <v>32</v>
      </c>
      <c r="BC1763" s="471">
        <f t="shared" si="294"/>
        <v>0</v>
      </c>
    </row>
    <row r="1764" spans="1:55" s="471" customFormat="1">
      <c r="A1764" s="278"/>
      <c r="B1764" s="279"/>
      <c r="C1764" s="279"/>
      <c r="D1764" s="394" t="s">
        <v>3678</v>
      </c>
      <c r="E1764" s="280" t="s">
        <v>3702</v>
      </c>
      <c r="F1764" s="474"/>
      <c r="G1764" s="474">
        <v>2022</v>
      </c>
      <c r="H1764" s="486">
        <v>3</v>
      </c>
      <c r="I1764" s="485">
        <v>127458</v>
      </c>
      <c r="J1764" s="475">
        <v>44641</v>
      </c>
      <c r="K1764" s="486" t="s">
        <v>3710</v>
      </c>
      <c r="L1764" s="475" t="s">
        <v>3697</v>
      </c>
      <c r="M1764" s="475">
        <v>44614</v>
      </c>
      <c r="N1764" s="475">
        <v>44614</v>
      </c>
      <c r="O1764" s="475"/>
      <c r="P1764" s="475">
        <v>44630</v>
      </c>
      <c r="Q1764" s="475">
        <v>44636</v>
      </c>
      <c r="R1764" s="475">
        <v>44641</v>
      </c>
      <c r="S1764" s="474" t="s">
        <v>1102</v>
      </c>
      <c r="T1764" s="474">
        <v>60</v>
      </c>
      <c r="U1764" s="474">
        <v>49201132</v>
      </c>
      <c r="V1764" s="474" t="s">
        <v>986</v>
      </c>
      <c r="W1764" s="476">
        <v>360</v>
      </c>
      <c r="X1764" s="402">
        <v>768</v>
      </c>
      <c r="Y1764" s="491">
        <f t="shared" si="289"/>
        <v>276480</v>
      </c>
      <c r="Z1764" s="478">
        <v>0.47</v>
      </c>
      <c r="AA1764" s="479">
        <f>Z1764*Y1764</f>
        <v>129945.59999999999</v>
      </c>
      <c r="AB1764" s="480"/>
      <c r="AC1764" s="481">
        <f t="shared" si="295"/>
        <v>0</v>
      </c>
      <c r="AD1764" s="490"/>
      <c r="AE1764" s="482"/>
      <c r="AF1764" s="493">
        <f t="shared" si="291"/>
        <v>129945.59999999999</v>
      </c>
      <c r="AG1764" s="474" t="s">
        <v>47</v>
      </c>
      <c r="AH1764" s="474"/>
      <c r="AI1764" s="474">
        <v>45</v>
      </c>
      <c r="AJ1764" s="474" t="s">
        <v>3708</v>
      </c>
      <c r="AK1764" s="474" t="s">
        <v>50</v>
      </c>
      <c r="AL1764" s="494">
        <v>94551</v>
      </c>
      <c r="AM1764" s="474" t="s">
        <v>52</v>
      </c>
      <c r="AN1764" s="474" t="s">
        <v>1074</v>
      </c>
      <c r="AO1764" s="474"/>
      <c r="AP1764" s="482"/>
      <c r="AQ1764" s="482" t="s">
        <v>37</v>
      </c>
      <c r="AR1764" s="474"/>
      <c r="AS1764" s="436" t="s">
        <v>1076</v>
      </c>
      <c r="AT1764" s="281" t="s">
        <v>1076</v>
      </c>
      <c r="AU1764" s="472"/>
      <c r="AV1764" s="471">
        <f t="shared" si="292"/>
        <v>49201132</v>
      </c>
      <c r="AW1764" s="471" cm="1">
        <f t="array" ref="AW1764">SUM(MID(0&amp;AV1764,LARGE(INDEX(ISNUMBER(--MID(AV1764,ROW($1:$8),1))*ROW($1:$8),),ROW($1:$8))+1,1)*10^ROW($1:$8)/10)</f>
        <v>49201132</v>
      </c>
      <c r="AX1764" s="471" t="str">
        <f>VLOOKUP($AW1764,'Item Master Data'!$A:$F,3,FALSE)</f>
        <v>Q.PEAK DUO BLK G10+</v>
      </c>
      <c r="AY1764" s="471">
        <f>VLOOKUP($AW1764,'Item Master Data'!$A:$F,6,FALSE)</f>
        <v>360</v>
      </c>
      <c r="AZ1764" s="471">
        <f t="shared" si="293"/>
        <v>24</v>
      </c>
      <c r="BA1764" s="471">
        <f>VLOOKUP(AW1764,'Item Master Data'!$A:$G,7,FALSE)</f>
        <v>32</v>
      </c>
      <c r="BC1764" s="471">
        <f t="shared" si="294"/>
        <v>0</v>
      </c>
    </row>
    <row r="1765" spans="1:55" s="471" customFormat="1">
      <c r="A1765" s="278"/>
      <c r="B1765" s="279"/>
      <c r="C1765" s="279"/>
      <c r="D1765" s="394" t="s">
        <v>3678</v>
      </c>
      <c r="E1765" s="280" t="s">
        <v>3702</v>
      </c>
      <c r="F1765" s="474"/>
      <c r="G1765" s="474">
        <v>2022</v>
      </c>
      <c r="H1765" s="486">
        <v>3</v>
      </c>
      <c r="I1765" s="485">
        <v>127461</v>
      </c>
      <c r="J1765" s="475">
        <v>44641</v>
      </c>
      <c r="K1765" s="486" t="s">
        <v>3711</v>
      </c>
      <c r="L1765" s="475" t="s">
        <v>3697</v>
      </c>
      <c r="M1765" s="475">
        <v>44614</v>
      </c>
      <c r="N1765" s="475">
        <v>44614</v>
      </c>
      <c r="O1765" s="475"/>
      <c r="P1765" s="475">
        <v>44630</v>
      </c>
      <c r="Q1765" s="475">
        <v>44636</v>
      </c>
      <c r="R1765" s="475">
        <v>44641</v>
      </c>
      <c r="S1765" s="474" t="s">
        <v>1102</v>
      </c>
      <c r="T1765" s="474">
        <v>60</v>
      </c>
      <c r="U1765" s="474">
        <v>49201132</v>
      </c>
      <c r="V1765" s="474" t="s">
        <v>986</v>
      </c>
      <c r="W1765" s="476">
        <v>360</v>
      </c>
      <c r="X1765" s="402">
        <v>768</v>
      </c>
      <c r="Y1765" s="491">
        <f t="shared" si="289"/>
        <v>276480</v>
      </c>
      <c r="Z1765" s="478">
        <v>0.47</v>
      </c>
      <c r="AA1765" s="479">
        <f>Z1765*Y1765</f>
        <v>129945.59999999999</v>
      </c>
      <c r="AB1765" s="480"/>
      <c r="AC1765" s="481">
        <f t="shared" si="295"/>
        <v>0</v>
      </c>
      <c r="AD1765" s="490"/>
      <c r="AE1765" s="482"/>
      <c r="AF1765" s="493">
        <f t="shared" si="291"/>
        <v>129945.59999999999</v>
      </c>
      <c r="AG1765" s="474" t="s">
        <v>47</v>
      </c>
      <c r="AH1765" s="474"/>
      <c r="AI1765" s="474">
        <v>45</v>
      </c>
      <c r="AJ1765" s="474" t="s">
        <v>1764</v>
      </c>
      <c r="AK1765" s="474" t="s">
        <v>50</v>
      </c>
      <c r="AL1765" s="494">
        <v>93308</v>
      </c>
      <c r="AM1765" s="474" t="s">
        <v>52</v>
      </c>
      <c r="AN1765" s="474" t="s">
        <v>1074</v>
      </c>
      <c r="AO1765" s="474"/>
      <c r="AP1765" s="482"/>
      <c r="AQ1765" s="482" t="s">
        <v>37</v>
      </c>
      <c r="AR1765" s="474"/>
      <c r="AS1765" s="436" t="s">
        <v>1076</v>
      </c>
      <c r="AT1765" s="281" t="s">
        <v>1076</v>
      </c>
      <c r="AU1765" s="472"/>
      <c r="AV1765" s="471">
        <f t="shared" si="292"/>
        <v>49201132</v>
      </c>
      <c r="AW1765" s="471" cm="1">
        <f t="array" ref="AW1765">SUM(MID(0&amp;AV1765,LARGE(INDEX(ISNUMBER(--MID(AV1765,ROW($1:$8),1))*ROW($1:$8),),ROW($1:$8))+1,1)*10^ROW($1:$8)/10)</f>
        <v>49201132</v>
      </c>
      <c r="AX1765" s="471" t="str">
        <f>VLOOKUP($AW1765,'Item Master Data'!$A:$F,3,FALSE)</f>
        <v>Q.PEAK DUO BLK G10+</v>
      </c>
      <c r="AY1765" s="471">
        <f>VLOOKUP($AW1765,'Item Master Data'!$A:$F,6,FALSE)</f>
        <v>360</v>
      </c>
      <c r="AZ1765" s="471">
        <f t="shared" si="293"/>
        <v>24</v>
      </c>
      <c r="BA1765" s="471">
        <f>VLOOKUP(AW1765,'Item Master Data'!$A:$G,7,FALSE)</f>
        <v>32</v>
      </c>
      <c r="BC1765" s="471">
        <f t="shared" si="294"/>
        <v>0</v>
      </c>
    </row>
    <row r="1766" spans="1:55" s="471" customFormat="1">
      <c r="A1766" s="278"/>
      <c r="B1766" s="279"/>
      <c r="C1766" s="279"/>
      <c r="D1766" s="394" t="s">
        <v>3678</v>
      </c>
      <c r="E1766" s="280" t="s">
        <v>3702</v>
      </c>
      <c r="F1766" s="474"/>
      <c r="G1766" s="474">
        <v>2022</v>
      </c>
      <c r="H1766" s="486">
        <v>3</v>
      </c>
      <c r="I1766" s="485">
        <v>127459</v>
      </c>
      <c r="J1766" s="475">
        <v>44641</v>
      </c>
      <c r="K1766" s="486" t="s">
        <v>3712</v>
      </c>
      <c r="L1766" s="475" t="s">
        <v>3697</v>
      </c>
      <c r="M1766" s="475">
        <v>44614</v>
      </c>
      <c r="N1766" s="475">
        <v>44614</v>
      </c>
      <c r="O1766" s="475"/>
      <c r="P1766" s="475">
        <v>44630</v>
      </c>
      <c r="Q1766" s="475">
        <v>44636</v>
      </c>
      <c r="R1766" s="475">
        <v>44641</v>
      </c>
      <c r="S1766" s="474" t="s">
        <v>1102</v>
      </c>
      <c r="T1766" s="474">
        <v>60</v>
      </c>
      <c r="U1766" s="474">
        <v>49201132</v>
      </c>
      <c r="V1766" s="474" t="s">
        <v>986</v>
      </c>
      <c r="W1766" s="476">
        <v>360</v>
      </c>
      <c r="X1766" s="402">
        <v>768</v>
      </c>
      <c r="Y1766" s="491">
        <f t="shared" si="289"/>
        <v>276480</v>
      </c>
      <c r="Z1766" s="478">
        <v>0.47</v>
      </c>
      <c r="AA1766" s="479">
        <f>Z1766*Y1766</f>
        <v>129945.59999999999</v>
      </c>
      <c r="AB1766" s="480"/>
      <c r="AC1766" s="481">
        <f t="shared" si="295"/>
        <v>0</v>
      </c>
      <c r="AD1766" s="490"/>
      <c r="AE1766" s="482"/>
      <c r="AF1766" s="493">
        <f t="shared" si="291"/>
        <v>129945.59999999999</v>
      </c>
      <c r="AG1766" s="474" t="s">
        <v>47</v>
      </c>
      <c r="AH1766" s="474"/>
      <c r="AI1766" s="474">
        <v>45</v>
      </c>
      <c r="AJ1766" s="474" t="s">
        <v>1950</v>
      </c>
      <c r="AK1766" s="474" t="s">
        <v>50</v>
      </c>
      <c r="AL1766" s="494">
        <v>91761</v>
      </c>
      <c r="AM1766" s="474" t="s">
        <v>52</v>
      </c>
      <c r="AN1766" s="474" t="s">
        <v>1074</v>
      </c>
      <c r="AO1766" s="474"/>
      <c r="AP1766" s="482"/>
      <c r="AQ1766" s="482" t="s">
        <v>37</v>
      </c>
      <c r="AR1766" s="474"/>
      <c r="AS1766" s="436" t="s">
        <v>1076</v>
      </c>
      <c r="AT1766" s="281" t="s">
        <v>1076</v>
      </c>
      <c r="AU1766" s="472"/>
      <c r="AV1766" s="471">
        <f t="shared" si="292"/>
        <v>49201132</v>
      </c>
      <c r="AW1766" s="471" cm="1">
        <f t="array" ref="AW1766">SUM(MID(0&amp;AV1766,LARGE(INDEX(ISNUMBER(--MID(AV1766,ROW($1:$8),1))*ROW($1:$8),),ROW($1:$8))+1,1)*10^ROW($1:$8)/10)</f>
        <v>49201132</v>
      </c>
      <c r="AX1766" s="471" t="str">
        <f>VLOOKUP($AW1766,'Item Master Data'!$A:$F,3,FALSE)</f>
        <v>Q.PEAK DUO BLK G10+</v>
      </c>
      <c r="AY1766" s="471">
        <f>VLOOKUP($AW1766,'Item Master Data'!$A:$F,6,FALSE)</f>
        <v>360</v>
      </c>
      <c r="AZ1766" s="471">
        <f t="shared" si="293"/>
        <v>24</v>
      </c>
      <c r="BA1766" s="471">
        <f>VLOOKUP(AW1766,'Item Master Data'!$A:$G,7,FALSE)</f>
        <v>32</v>
      </c>
      <c r="BC1766" s="471">
        <f t="shared" si="294"/>
        <v>0</v>
      </c>
    </row>
    <row r="1767" spans="1:55" s="471" customFormat="1">
      <c r="A1767" s="278"/>
      <c r="B1767" s="279"/>
      <c r="C1767" s="279"/>
      <c r="D1767" s="394" t="s">
        <v>3678</v>
      </c>
      <c r="E1767" s="280" t="s">
        <v>3702</v>
      </c>
      <c r="F1767" s="474"/>
      <c r="G1767" s="474">
        <v>2022</v>
      </c>
      <c r="H1767" s="486">
        <v>3</v>
      </c>
      <c r="I1767" s="485">
        <v>127460</v>
      </c>
      <c r="J1767" s="475">
        <v>44641</v>
      </c>
      <c r="K1767" s="486" t="s">
        <v>3713</v>
      </c>
      <c r="L1767" s="475" t="s">
        <v>3697</v>
      </c>
      <c r="M1767" s="475">
        <v>44614</v>
      </c>
      <c r="N1767" s="475">
        <v>44614</v>
      </c>
      <c r="O1767" s="475"/>
      <c r="P1767" s="475">
        <v>44630</v>
      </c>
      <c r="Q1767" s="475">
        <v>44636</v>
      </c>
      <c r="R1767" s="475">
        <v>44641</v>
      </c>
      <c r="S1767" s="474" t="s">
        <v>1102</v>
      </c>
      <c r="T1767" s="474">
        <v>60</v>
      </c>
      <c r="U1767" s="474">
        <v>49201132</v>
      </c>
      <c r="V1767" s="474" t="s">
        <v>986</v>
      </c>
      <c r="W1767" s="476">
        <v>360</v>
      </c>
      <c r="X1767" s="402">
        <v>768</v>
      </c>
      <c r="Y1767" s="491">
        <f t="shared" si="289"/>
        <v>276480</v>
      </c>
      <c r="Z1767" s="478">
        <v>0.47</v>
      </c>
      <c r="AA1767" s="479">
        <f>Z1767*Y1767</f>
        <v>129945.59999999999</v>
      </c>
      <c r="AB1767" s="480"/>
      <c r="AC1767" s="481">
        <f t="shared" si="295"/>
        <v>0</v>
      </c>
      <c r="AD1767" s="490"/>
      <c r="AE1767" s="482"/>
      <c r="AF1767" s="493">
        <f t="shared" si="291"/>
        <v>129945.59999999999</v>
      </c>
      <c r="AG1767" s="474" t="s">
        <v>47</v>
      </c>
      <c r="AH1767" s="474"/>
      <c r="AI1767" s="474">
        <v>45</v>
      </c>
      <c r="AJ1767" s="474" t="s">
        <v>1790</v>
      </c>
      <c r="AK1767" s="474" t="s">
        <v>50</v>
      </c>
      <c r="AL1767" s="494">
        <v>95827</v>
      </c>
      <c r="AM1767" s="474" t="s">
        <v>52</v>
      </c>
      <c r="AN1767" s="474" t="s">
        <v>1074</v>
      </c>
      <c r="AO1767" s="474"/>
      <c r="AP1767" s="482"/>
      <c r="AQ1767" s="482" t="s">
        <v>37</v>
      </c>
      <c r="AR1767" s="474"/>
      <c r="AS1767" s="436" t="s">
        <v>1076</v>
      </c>
      <c r="AT1767" s="281" t="s">
        <v>1076</v>
      </c>
      <c r="AU1767" s="472"/>
      <c r="AV1767" s="471">
        <f t="shared" si="292"/>
        <v>49201132</v>
      </c>
      <c r="AW1767" s="471" cm="1">
        <f t="array" ref="AW1767">SUM(MID(0&amp;AV1767,LARGE(INDEX(ISNUMBER(--MID(AV1767,ROW($1:$8),1))*ROW($1:$8),),ROW($1:$8))+1,1)*10^ROW($1:$8)/10)</f>
        <v>49201132</v>
      </c>
      <c r="AX1767" s="471" t="str">
        <f>VLOOKUP($AW1767,'Item Master Data'!$A:$F,3,FALSE)</f>
        <v>Q.PEAK DUO BLK G10+</v>
      </c>
      <c r="AY1767" s="471">
        <f>VLOOKUP($AW1767,'Item Master Data'!$A:$F,6,FALSE)</f>
        <v>360</v>
      </c>
      <c r="AZ1767" s="471">
        <f t="shared" si="293"/>
        <v>24</v>
      </c>
      <c r="BA1767" s="471">
        <f>VLOOKUP(AW1767,'Item Master Data'!$A:$G,7,FALSE)</f>
        <v>32</v>
      </c>
      <c r="BC1767" s="471">
        <f t="shared" si="294"/>
        <v>0</v>
      </c>
    </row>
    <row r="1768" spans="1:55" s="471" customFormat="1">
      <c r="A1768" s="278"/>
      <c r="B1768" s="279"/>
      <c r="C1768" s="279"/>
      <c r="D1768" s="394" t="s">
        <v>3678</v>
      </c>
      <c r="E1768" s="280" t="s">
        <v>3714</v>
      </c>
      <c r="F1768" s="474"/>
      <c r="G1768" s="474">
        <v>2022</v>
      </c>
      <c r="H1768" s="474">
        <v>3</v>
      </c>
      <c r="I1768" s="485">
        <v>127190</v>
      </c>
      <c r="J1768" s="475">
        <v>44622</v>
      </c>
      <c r="K1768" s="474" t="s">
        <v>3715</v>
      </c>
      <c r="L1768" s="474" t="s">
        <v>3697</v>
      </c>
      <c r="M1768" s="475">
        <v>44551</v>
      </c>
      <c r="N1768" s="475">
        <v>44620</v>
      </c>
      <c r="O1768" s="475"/>
      <c r="P1768" s="475">
        <v>44616</v>
      </c>
      <c r="Q1768" s="475">
        <v>44617</v>
      </c>
      <c r="R1768" s="475">
        <v>44622</v>
      </c>
      <c r="S1768" s="474" t="s">
        <v>1102</v>
      </c>
      <c r="T1768" s="474">
        <v>60</v>
      </c>
      <c r="U1768" s="474" t="s">
        <v>3716</v>
      </c>
      <c r="V1768" s="474" t="s">
        <v>973</v>
      </c>
      <c r="W1768" s="476">
        <v>395</v>
      </c>
      <c r="X1768" s="402">
        <v>768</v>
      </c>
      <c r="Y1768" s="491">
        <f t="shared" si="289"/>
        <v>303360</v>
      </c>
      <c r="Z1768" s="478">
        <v>0.48</v>
      </c>
      <c r="AA1768" s="479">
        <f t="shared" ref="AA1768:AA1827" si="296">Y1768*Z1768</f>
        <v>145612.79999999999</v>
      </c>
      <c r="AB1768" s="480"/>
      <c r="AC1768" s="481">
        <f t="shared" si="295"/>
        <v>0</v>
      </c>
      <c r="AD1768" s="490"/>
      <c r="AE1768" s="482"/>
      <c r="AF1768" s="493">
        <f t="shared" si="291"/>
        <v>145612.79999999999</v>
      </c>
      <c r="AG1768" s="474" t="s">
        <v>47</v>
      </c>
      <c r="AH1768" s="474"/>
      <c r="AI1768" s="474">
        <v>45</v>
      </c>
      <c r="AJ1768" s="474" t="s">
        <v>1790</v>
      </c>
      <c r="AK1768" s="474" t="s">
        <v>50</v>
      </c>
      <c r="AL1768" s="494">
        <v>95827</v>
      </c>
      <c r="AM1768" s="474" t="s">
        <v>52</v>
      </c>
      <c r="AN1768" s="474" t="s">
        <v>50</v>
      </c>
      <c r="AO1768" s="474"/>
      <c r="AP1768" s="482" t="s">
        <v>38</v>
      </c>
      <c r="AQ1768" s="482" t="s">
        <v>37</v>
      </c>
      <c r="AR1768" s="474"/>
      <c r="AS1768" s="436" t="s">
        <v>1076</v>
      </c>
      <c r="AT1768" s="281" t="s">
        <v>1076</v>
      </c>
      <c r="AU1768" s="472"/>
      <c r="AV1768" s="471" t="str">
        <f t="shared" si="292"/>
        <v>30390555F+</v>
      </c>
      <c r="AW1768" s="471" cm="1">
        <f t="array" ref="AW1768">SUM(MID(0&amp;AV1768,LARGE(INDEX(ISNUMBER(--MID(AV1768,ROW($1:$8),1))*ROW($1:$8),),ROW($1:$8))+1,1)*10^ROW($1:$8)/10)</f>
        <v>30390555</v>
      </c>
      <c r="AX1768" s="471" t="str">
        <f>VLOOKUP($AW1768,'Item Master Data'!$A:$F,3,FALSE)</f>
        <v>Q.PEAK DUO BLK ML G10.a+</v>
      </c>
      <c r="AY1768" s="471">
        <f>VLOOKUP($AW1768,'Item Master Data'!$A:$F,6,FALSE)</f>
        <v>395</v>
      </c>
      <c r="AZ1768" s="471">
        <f t="shared" si="293"/>
        <v>24</v>
      </c>
      <c r="BA1768" s="471">
        <f>VLOOKUP(AW1768,'Item Master Data'!$A:$G,7,FALSE)</f>
        <v>32</v>
      </c>
      <c r="BC1768" s="471">
        <f t="shared" si="294"/>
        <v>0</v>
      </c>
    </row>
    <row r="1769" spans="1:55" s="471" customFormat="1">
      <c r="A1769" s="278"/>
      <c r="B1769" s="279"/>
      <c r="C1769" s="279" t="s">
        <v>1211</v>
      </c>
      <c r="D1769" s="394" t="s">
        <v>3678</v>
      </c>
      <c r="E1769" s="280" t="s">
        <v>3717</v>
      </c>
      <c r="F1769" s="474"/>
      <c r="G1769" s="474">
        <v>2022</v>
      </c>
      <c r="H1769" s="474">
        <v>3</v>
      </c>
      <c r="I1769" s="485">
        <v>127396</v>
      </c>
      <c r="J1769" s="475">
        <v>44629</v>
      </c>
      <c r="K1769" s="474" t="s">
        <v>3718</v>
      </c>
      <c r="L1769" s="474" t="s">
        <v>3697</v>
      </c>
      <c r="M1769" s="475">
        <v>44582</v>
      </c>
      <c r="N1769" s="475">
        <v>44582</v>
      </c>
      <c r="O1769" s="475"/>
      <c r="P1769" s="475">
        <v>44602</v>
      </c>
      <c r="Q1769" s="475">
        <v>44620</v>
      </c>
      <c r="R1769" s="475">
        <v>44629</v>
      </c>
      <c r="S1769" s="474" t="s">
        <v>1102</v>
      </c>
      <c r="T1769" s="474">
        <v>60</v>
      </c>
      <c r="U1769" s="474">
        <v>49403139</v>
      </c>
      <c r="V1769" s="474" t="s">
        <v>973</v>
      </c>
      <c r="W1769" s="476">
        <v>395</v>
      </c>
      <c r="X1769" s="402">
        <v>768</v>
      </c>
      <c r="Y1769" s="491">
        <f t="shared" si="289"/>
        <v>303360</v>
      </c>
      <c r="Z1769" s="478">
        <v>0.49</v>
      </c>
      <c r="AA1769" s="479">
        <f t="shared" si="296"/>
        <v>148646.39999999999</v>
      </c>
      <c r="AB1769" s="480"/>
      <c r="AC1769" s="481">
        <f t="shared" si="295"/>
        <v>0</v>
      </c>
      <c r="AD1769" s="490"/>
      <c r="AE1769" s="482"/>
      <c r="AF1769" s="493">
        <f t="shared" si="291"/>
        <v>148646.39999999999</v>
      </c>
      <c r="AG1769" s="474" t="s">
        <v>47</v>
      </c>
      <c r="AH1769" s="474"/>
      <c r="AI1769" s="474">
        <v>45</v>
      </c>
      <c r="AJ1769" s="474" t="s">
        <v>3719</v>
      </c>
      <c r="AK1769" s="474" t="s">
        <v>3720</v>
      </c>
      <c r="AL1769" s="494">
        <v>983</v>
      </c>
      <c r="AM1769" s="474" t="s">
        <v>3720</v>
      </c>
      <c r="AN1769" s="474" t="s">
        <v>1074</v>
      </c>
      <c r="AO1769" s="474"/>
      <c r="AP1769" s="482"/>
      <c r="AQ1769" s="482" t="s">
        <v>37</v>
      </c>
      <c r="AR1769" s="474"/>
      <c r="AS1769" s="436" t="s">
        <v>1076</v>
      </c>
      <c r="AT1769" s="281" t="s">
        <v>1076</v>
      </c>
      <c r="AU1769" s="472"/>
      <c r="AV1769" s="471">
        <f t="shared" si="292"/>
        <v>49403139</v>
      </c>
      <c r="AW1769" s="471" cm="1">
        <f t="array" ref="AW1769">SUM(MID(0&amp;AV1769,LARGE(INDEX(ISNUMBER(--MID(AV1769,ROW($1:$8),1))*ROW($1:$8),),ROW($1:$8))+1,1)*10^ROW($1:$8)/10)</f>
        <v>49403139</v>
      </c>
      <c r="AX1769" s="471" t="str">
        <f>VLOOKUP($AW1769,'Item Master Data'!$A:$F,3,FALSE)</f>
        <v>Q.PEAK DUO BLK ML G10+</v>
      </c>
      <c r="AY1769" s="471">
        <f>VLOOKUP($AW1769,'Item Master Data'!$A:$F,6,FALSE)</f>
        <v>395</v>
      </c>
      <c r="AZ1769" s="471">
        <f t="shared" si="293"/>
        <v>24</v>
      </c>
      <c r="BA1769" s="471">
        <f>VLOOKUP(AW1769,'Item Master Data'!$A:$G,7,FALSE)</f>
        <v>32</v>
      </c>
      <c r="BC1769" s="471">
        <f t="shared" si="294"/>
        <v>0</v>
      </c>
    </row>
    <row r="1770" spans="1:55" s="471" customFormat="1">
      <c r="A1770" s="278"/>
      <c r="B1770" s="279"/>
      <c r="C1770" s="279">
        <v>44614</v>
      </c>
      <c r="D1770" s="394" t="s">
        <v>3678</v>
      </c>
      <c r="E1770" s="280" t="s">
        <v>3702</v>
      </c>
      <c r="F1770" s="474"/>
      <c r="G1770" s="474">
        <v>2022</v>
      </c>
      <c r="H1770" s="474">
        <v>3</v>
      </c>
      <c r="I1770" s="485">
        <v>127454</v>
      </c>
      <c r="J1770" s="475">
        <v>44638</v>
      </c>
      <c r="K1770" s="474" t="s">
        <v>3721</v>
      </c>
      <c r="L1770" s="474" t="s">
        <v>3697</v>
      </c>
      <c r="M1770" s="475">
        <v>44595</v>
      </c>
      <c r="N1770" s="475">
        <v>44595</v>
      </c>
      <c r="O1770" s="475"/>
      <c r="P1770" s="475">
        <v>44629</v>
      </c>
      <c r="Q1770" s="475">
        <v>44636</v>
      </c>
      <c r="R1770" s="475">
        <v>44638</v>
      </c>
      <c r="S1770" s="474" t="s">
        <v>1102</v>
      </c>
      <c r="T1770" s="474">
        <v>60</v>
      </c>
      <c r="U1770" s="474">
        <v>49201132</v>
      </c>
      <c r="V1770" s="474" t="s">
        <v>986</v>
      </c>
      <c r="W1770" s="476">
        <v>360</v>
      </c>
      <c r="X1770" s="402">
        <v>768</v>
      </c>
      <c r="Y1770" s="491">
        <f t="shared" si="289"/>
        <v>276480</v>
      </c>
      <c r="Z1770" s="478">
        <v>0.47</v>
      </c>
      <c r="AA1770" s="479">
        <f t="shared" si="296"/>
        <v>129945.59999999999</v>
      </c>
      <c r="AB1770" s="480"/>
      <c r="AC1770" s="481">
        <f t="shared" si="295"/>
        <v>0</v>
      </c>
      <c r="AD1770" s="490"/>
      <c r="AE1770" s="482"/>
      <c r="AF1770" s="493">
        <f t="shared" si="291"/>
        <v>129945.59999999999</v>
      </c>
      <c r="AG1770" s="474" t="s">
        <v>47</v>
      </c>
      <c r="AH1770" s="474"/>
      <c r="AI1770" s="474">
        <v>45</v>
      </c>
      <c r="AJ1770" s="474" t="s">
        <v>1210</v>
      </c>
      <c r="AK1770" s="474" t="s">
        <v>1096</v>
      </c>
      <c r="AL1770" s="494">
        <v>1501</v>
      </c>
      <c r="AM1770" s="474" t="s">
        <v>52</v>
      </c>
      <c r="AN1770" s="474" t="s">
        <v>1074</v>
      </c>
      <c r="AO1770" s="474"/>
      <c r="AP1770" s="482"/>
      <c r="AQ1770" s="482" t="s">
        <v>37</v>
      </c>
      <c r="AR1770" s="474"/>
      <c r="AS1770" s="436"/>
      <c r="AT1770" s="281"/>
      <c r="AU1770" s="472"/>
      <c r="AV1770" s="471">
        <f t="shared" si="292"/>
        <v>49201132</v>
      </c>
      <c r="AW1770" s="471" cm="1">
        <f t="array" ref="AW1770">SUM(MID(0&amp;AV1770,LARGE(INDEX(ISNUMBER(--MID(AV1770,ROW($1:$8),1))*ROW($1:$8),),ROW($1:$8))+1,1)*10^ROW($1:$8)/10)</f>
        <v>49201132</v>
      </c>
      <c r="AX1770" s="471" t="str">
        <f>VLOOKUP($AW1770,'Item Master Data'!$A:$F,3,FALSE)</f>
        <v>Q.PEAK DUO BLK G10+</v>
      </c>
      <c r="AY1770" s="471">
        <f>VLOOKUP($AW1770,'Item Master Data'!$A:$F,6,FALSE)</f>
        <v>360</v>
      </c>
      <c r="AZ1770" s="471">
        <f t="shared" si="293"/>
        <v>24</v>
      </c>
      <c r="BA1770" s="471">
        <f>VLOOKUP(AW1770,'Item Master Data'!$A:$G,7,FALSE)</f>
        <v>32</v>
      </c>
      <c r="BC1770" s="471">
        <f t="shared" si="294"/>
        <v>0</v>
      </c>
    </row>
    <row r="1771" spans="1:55" s="471" customFormat="1">
      <c r="A1771" s="278"/>
      <c r="B1771" s="279"/>
      <c r="C1771" s="279">
        <v>44614</v>
      </c>
      <c r="D1771" s="394" t="s">
        <v>3678</v>
      </c>
      <c r="E1771" s="280" t="s">
        <v>3702</v>
      </c>
      <c r="F1771" s="474"/>
      <c r="G1771" s="474">
        <v>2022</v>
      </c>
      <c r="H1771" s="474">
        <v>3</v>
      </c>
      <c r="I1771" s="485">
        <v>127453</v>
      </c>
      <c r="J1771" s="475">
        <v>44637</v>
      </c>
      <c r="K1771" s="474" t="s">
        <v>3722</v>
      </c>
      <c r="L1771" s="474" t="s">
        <v>3697</v>
      </c>
      <c r="M1771" s="475">
        <v>44595</v>
      </c>
      <c r="N1771" s="475">
        <v>44595</v>
      </c>
      <c r="O1771" s="475"/>
      <c r="P1771" s="475">
        <v>44629</v>
      </c>
      <c r="Q1771" s="475">
        <v>44635</v>
      </c>
      <c r="R1771" s="475">
        <v>44637</v>
      </c>
      <c r="S1771" s="474" t="s">
        <v>1102</v>
      </c>
      <c r="T1771" s="474">
        <v>60</v>
      </c>
      <c r="U1771" s="474">
        <v>49201132</v>
      </c>
      <c r="V1771" s="474" t="s">
        <v>986</v>
      </c>
      <c r="W1771" s="476">
        <v>360</v>
      </c>
      <c r="X1771" s="402">
        <v>768</v>
      </c>
      <c r="Y1771" s="491">
        <f t="shared" si="289"/>
        <v>276480</v>
      </c>
      <c r="Z1771" s="478">
        <v>0.47</v>
      </c>
      <c r="AA1771" s="479">
        <f t="shared" si="296"/>
        <v>129945.59999999999</v>
      </c>
      <c r="AB1771" s="480"/>
      <c r="AC1771" s="481">
        <f t="shared" si="295"/>
        <v>0</v>
      </c>
      <c r="AD1771" s="490"/>
      <c r="AE1771" s="482"/>
      <c r="AF1771" s="493">
        <f t="shared" si="291"/>
        <v>129945.59999999999</v>
      </c>
      <c r="AG1771" s="474" t="s">
        <v>47</v>
      </c>
      <c r="AH1771" s="474"/>
      <c r="AI1771" s="474">
        <v>45</v>
      </c>
      <c r="AJ1771" s="474" t="s">
        <v>3723</v>
      </c>
      <c r="AK1771" s="474" t="s">
        <v>1085</v>
      </c>
      <c r="AL1771" s="494">
        <v>7444</v>
      </c>
      <c r="AM1771" s="474" t="s">
        <v>52</v>
      </c>
      <c r="AN1771" s="474" t="s">
        <v>1074</v>
      </c>
      <c r="AO1771" s="474"/>
      <c r="AP1771" s="482"/>
      <c r="AQ1771" s="482" t="s">
        <v>37</v>
      </c>
      <c r="AR1771" s="474"/>
      <c r="AS1771" s="436"/>
      <c r="AT1771" s="281"/>
      <c r="AU1771" s="472"/>
      <c r="AV1771" s="471">
        <f t="shared" si="292"/>
        <v>49201132</v>
      </c>
      <c r="AW1771" s="471" cm="1">
        <f t="array" ref="AW1771">SUM(MID(0&amp;AV1771,LARGE(INDEX(ISNUMBER(--MID(AV1771,ROW($1:$8),1))*ROW($1:$8),),ROW($1:$8))+1,1)*10^ROW($1:$8)/10)</f>
        <v>49201132</v>
      </c>
      <c r="AX1771" s="471" t="str">
        <f>VLOOKUP($AW1771,'Item Master Data'!$A:$F,3,FALSE)</f>
        <v>Q.PEAK DUO BLK G10+</v>
      </c>
      <c r="AY1771" s="471">
        <f>VLOOKUP($AW1771,'Item Master Data'!$A:$F,6,FALSE)</f>
        <v>360</v>
      </c>
      <c r="AZ1771" s="471">
        <f t="shared" si="293"/>
        <v>24</v>
      </c>
      <c r="BA1771" s="471">
        <f>VLOOKUP(AW1771,'Item Master Data'!$A:$G,7,FALSE)</f>
        <v>32</v>
      </c>
      <c r="BC1771" s="471">
        <f t="shared" si="294"/>
        <v>0</v>
      </c>
    </row>
    <row r="1772" spans="1:55" s="471" customFormat="1">
      <c r="A1772" s="278"/>
      <c r="B1772" s="279"/>
      <c r="C1772" s="279">
        <v>44614</v>
      </c>
      <c r="D1772" s="394" t="s">
        <v>3678</v>
      </c>
      <c r="E1772" s="280" t="s">
        <v>3702</v>
      </c>
      <c r="F1772" s="474"/>
      <c r="G1772" s="474">
        <v>2022</v>
      </c>
      <c r="H1772" s="474">
        <v>3</v>
      </c>
      <c r="I1772" s="485">
        <v>127455</v>
      </c>
      <c r="J1772" s="475">
        <v>44640</v>
      </c>
      <c r="K1772" s="474" t="s">
        <v>3724</v>
      </c>
      <c r="L1772" s="474" t="s">
        <v>3697</v>
      </c>
      <c r="M1772" s="475">
        <v>44595</v>
      </c>
      <c r="N1772" s="475">
        <v>44595</v>
      </c>
      <c r="O1772" s="475"/>
      <c r="P1772" s="475">
        <v>44629</v>
      </c>
      <c r="Q1772" s="475">
        <v>44636</v>
      </c>
      <c r="R1772" s="475">
        <v>44640</v>
      </c>
      <c r="S1772" s="474" t="s">
        <v>1102</v>
      </c>
      <c r="T1772" s="474">
        <v>60</v>
      </c>
      <c r="U1772" s="474">
        <v>49201132</v>
      </c>
      <c r="V1772" s="474" t="s">
        <v>986</v>
      </c>
      <c r="W1772" s="476">
        <v>360</v>
      </c>
      <c r="X1772" s="402">
        <v>768</v>
      </c>
      <c r="Y1772" s="491">
        <f t="shared" si="289"/>
        <v>276480</v>
      </c>
      <c r="Z1772" s="478">
        <v>0.47</v>
      </c>
      <c r="AA1772" s="479">
        <f t="shared" si="296"/>
        <v>129945.59999999999</v>
      </c>
      <c r="AB1772" s="480"/>
      <c r="AC1772" s="481">
        <f t="shared" si="295"/>
        <v>0</v>
      </c>
      <c r="AD1772" s="490"/>
      <c r="AE1772" s="482"/>
      <c r="AF1772" s="493">
        <f t="shared" si="291"/>
        <v>129945.59999999999</v>
      </c>
      <c r="AG1772" s="474" t="s">
        <v>47</v>
      </c>
      <c r="AH1772" s="474"/>
      <c r="AI1772" s="474">
        <v>45</v>
      </c>
      <c r="AJ1772" s="474" t="s">
        <v>1954</v>
      </c>
      <c r="AK1772" s="474" t="s">
        <v>50</v>
      </c>
      <c r="AL1772" s="494">
        <v>92121</v>
      </c>
      <c r="AM1772" s="474" t="s">
        <v>52</v>
      </c>
      <c r="AN1772" s="474" t="s">
        <v>1074</v>
      </c>
      <c r="AO1772" s="474"/>
      <c r="AP1772" s="482"/>
      <c r="AQ1772" s="482" t="s">
        <v>37</v>
      </c>
      <c r="AR1772" s="474"/>
      <c r="AS1772" s="436"/>
      <c r="AT1772" s="281"/>
      <c r="AU1772" s="472"/>
      <c r="AV1772" s="471">
        <f t="shared" si="292"/>
        <v>49201132</v>
      </c>
      <c r="AW1772" s="471" cm="1">
        <f t="array" ref="AW1772">SUM(MID(0&amp;AV1772,LARGE(INDEX(ISNUMBER(--MID(AV1772,ROW($1:$8),1))*ROW($1:$8),),ROW($1:$8))+1,1)*10^ROW($1:$8)/10)</f>
        <v>49201132</v>
      </c>
      <c r="AX1772" s="471" t="str">
        <f>VLOOKUP($AW1772,'Item Master Data'!$A:$F,3,FALSE)</f>
        <v>Q.PEAK DUO BLK G10+</v>
      </c>
      <c r="AY1772" s="471">
        <f>VLOOKUP($AW1772,'Item Master Data'!$A:$F,6,FALSE)</f>
        <v>360</v>
      </c>
      <c r="AZ1772" s="471">
        <f t="shared" si="293"/>
        <v>24</v>
      </c>
      <c r="BA1772" s="471">
        <f>VLOOKUP(AW1772,'Item Master Data'!$A:$G,7,FALSE)</f>
        <v>32</v>
      </c>
      <c r="BC1772" s="471">
        <f t="shared" si="294"/>
        <v>0</v>
      </c>
    </row>
    <row r="1773" spans="1:55" s="471" customFormat="1">
      <c r="A1773" s="278">
        <v>10</v>
      </c>
      <c r="B1773" s="279"/>
      <c r="C1773" s="279"/>
      <c r="D1773" s="394" t="s">
        <v>3678</v>
      </c>
      <c r="E1773" s="280" t="s">
        <v>3702</v>
      </c>
      <c r="F1773" s="474" t="s">
        <v>1147</v>
      </c>
      <c r="G1773" s="474">
        <v>2022</v>
      </c>
      <c r="H1773" s="474">
        <v>3</v>
      </c>
      <c r="I1773" s="485">
        <v>127447</v>
      </c>
      <c r="J1773" s="475">
        <v>44637</v>
      </c>
      <c r="K1773" s="474" t="s">
        <v>3725</v>
      </c>
      <c r="L1773" s="474" t="s">
        <v>1174</v>
      </c>
      <c r="M1773" s="475">
        <v>44505</v>
      </c>
      <c r="N1773" s="475">
        <v>44593</v>
      </c>
      <c r="O1773" s="475" t="s">
        <v>2365</v>
      </c>
      <c r="P1773" s="475">
        <v>44628</v>
      </c>
      <c r="Q1773" s="475">
        <v>44637</v>
      </c>
      <c r="R1773" s="475">
        <v>44641</v>
      </c>
      <c r="S1773" s="474" t="s">
        <v>1102</v>
      </c>
      <c r="T1773" s="474">
        <v>60</v>
      </c>
      <c r="U1773" s="474" t="s">
        <v>1247</v>
      </c>
      <c r="V1773" s="474" t="s">
        <v>973</v>
      </c>
      <c r="W1773" s="476">
        <v>400</v>
      </c>
      <c r="X1773" s="402">
        <v>640</v>
      </c>
      <c r="Y1773" s="491">
        <f t="shared" si="289"/>
        <v>256000</v>
      </c>
      <c r="Z1773" s="478">
        <v>0.55000000000000004</v>
      </c>
      <c r="AA1773" s="582">
        <f t="shared" si="296"/>
        <v>140800</v>
      </c>
      <c r="AB1773" s="480"/>
      <c r="AC1773" s="481">
        <v>0</v>
      </c>
      <c r="AD1773" s="490"/>
      <c r="AE1773" s="482"/>
      <c r="AF1773" s="493">
        <f t="shared" si="291"/>
        <v>140800</v>
      </c>
      <c r="AG1773" s="474" t="s">
        <v>1071</v>
      </c>
      <c r="AH1773" s="474"/>
      <c r="AI1773" s="474">
        <v>60</v>
      </c>
      <c r="AJ1773" s="474" t="s">
        <v>1175</v>
      </c>
      <c r="AK1773" s="474" t="s">
        <v>1138</v>
      </c>
      <c r="AL1773" s="494" t="s">
        <v>1176</v>
      </c>
      <c r="AM1773" s="474" t="s">
        <v>52</v>
      </c>
      <c r="AN1773" s="474" t="s">
        <v>1384</v>
      </c>
      <c r="AO1773" s="474"/>
      <c r="AP1773" s="482" t="s">
        <v>38</v>
      </c>
      <c r="AQ1773" s="482" t="s">
        <v>37</v>
      </c>
      <c r="AR1773" s="474" t="s">
        <v>3726</v>
      </c>
      <c r="AS1773" s="436"/>
      <c r="AT1773" s="281"/>
      <c r="AU1773" s="472">
        <v>0.5</v>
      </c>
    </row>
    <row r="1774" spans="1:55" s="471" customFormat="1">
      <c r="A1774" s="278">
        <v>10</v>
      </c>
      <c r="B1774" s="279"/>
      <c r="C1774" s="279"/>
      <c r="D1774" s="394" t="s">
        <v>3678</v>
      </c>
      <c r="E1774" s="280" t="s">
        <v>3717</v>
      </c>
      <c r="F1774" s="474" t="s">
        <v>1147</v>
      </c>
      <c r="G1774" s="474">
        <v>2022</v>
      </c>
      <c r="H1774" s="474">
        <v>3</v>
      </c>
      <c r="I1774" s="485">
        <v>127397</v>
      </c>
      <c r="J1774" s="475">
        <v>44631</v>
      </c>
      <c r="K1774" s="474" t="s">
        <v>3727</v>
      </c>
      <c r="L1774" s="474" t="s">
        <v>1174</v>
      </c>
      <c r="M1774" s="475">
        <v>44505</v>
      </c>
      <c r="N1774" s="475">
        <v>44593</v>
      </c>
      <c r="O1774" s="475" t="s">
        <v>2365</v>
      </c>
      <c r="P1774" s="475">
        <v>44628</v>
      </c>
      <c r="Q1774" s="475">
        <v>44631</v>
      </c>
      <c r="R1774" s="475">
        <v>44636</v>
      </c>
      <c r="S1774" s="474" t="s">
        <v>1102</v>
      </c>
      <c r="T1774" s="474">
        <v>60</v>
      </c>
      <c r="U1774" s="474" t="s">
        <v>1281</v>
      </c>
      <c r="V1774" s="474" t="s">
        <v>973</v>
      </c>
      <c r="W1774" s="476">
        <v>400</v>
      </c>
      <c r="X1774" s="402">
        <f>1536-640</f>
        <v>896</v>
      </c>
      <c r="Y1774" s="491">
        <f t="shared" si="289"/>
        <v>358400</v>
      </c>
      <c r="Z1774" s="478">
        <v>0.55000000000000004</v>
      </c>
      <c r="AA1774" s="582">
        <f t="shared" si="296"/>
        <v>197120.00000000003</v>
      </c>
      <c r="AB1774" s="480"/>
      <c r="AC1774" s="481">
        <v>0</v>
      </c>
      <c r="AD1774" s="490"/>
      <c r="AE1774" s="482"/>
      <c r="AF1774" s="493">
        <f t="shared" si="291"/>
        <v>197120.00000000003</v>
      </c>
      <c r="AG1774" s="474" t="s">
        <v>1071</v>
      </c>
      <c r="AH1774" s="474"/>
      <c r="AI1774" s="474">
        <v>60</v>
      </c>
      <c r="AJ1774" s="474" t="s">
        <v>1175</v>
      </c>
      <c r="AK1774" s="474" t="s">
        <v>1138</v>
      </c>
      <c r="AL1774" s="494" t="s">
        <v>1176</v>
      </c>
      <c r="AM1774" s="474" t="s">
        <v>52</v>
      </c>
      <c r="AN1774" s="474" t="s">
        <v>50</v>
      </c>
      <c r="AO1774" s="474"/>
      <c r="AP1774" s="482" t="s">
        <v>38</v>
      </c>
      <c r="AQ1774" s="482" t="s">
        <v>37</v>
      </c>
      <c r="AR1774" s="474" t="s">
        <v>3726</v>
      </c>
      <c r="AS1774" s="436"/>
      <c r="AT1774" s="281"/>
      <c r="AU1774" s="472">
        <v>0.5</v>
      </c>
    </row>
    <row r="1775" spans="1:55" s="471" customFormat="1">
      <c r="A1775" s="495"/>
      <c r="B1775" s="407" t="s">
        <v>1211</v>
      </c>
      <c r="C1775" s="407" t="s">
        <v>1211</v>
      </c>
      <c r="D1775" s="474" t="s">
        <v>3678</v>
      </c>
      <c r="E1775" s="280" t="s">
        <v>3683</v>
      </c>
      <c r="F1775" s="474"/>
      <c r="G1775" s="474">
        <v>2022</v>
      </c>
      <c r="H1775" s="474">
        <v>3</v>
      </c>
      <c r="I1775" s="485">
        <v>127719</v>
      </c>
      <c r="J1775" s="475">
        <v>44635</v>
      </c>
      <c r="K1775" s="474" t="s">
        <v>3728</v>
      </c>
      <c r="L1775" s="475" t="s">
        <v>1187</v>
      </c>
      <c r="M1775" s="475">
        <v>44849</v>
      </c>
      <c r="N1775" s="475">
        <v>44593</v>
      </c>
      <c r="O1775" s="475"/>
      <c r="P1775" s="475">
        <v>44628</v>
      </c>
      <c r="Q1775" s="475">
        <v>44635</v>
      </c>
      <c r="R1775" s="475">
        <v>44637</v>
      </c>
      <c r="S1775" s="474" t="s">
        <v>1102</v>
      </c>
      <c r="T1775" s="474">
        <v>60</v>
      </c>
      <c r="U1775" s="474">
        <v>49403140</v>
      </c>
      <c r="V1775" s="474" t="s">
        <v>3729</v>
      </c>
      <c r="W1775" s="476">
        <v>400</v>
      </c>
      <c r="X1775" s="402">
        <v>832</v>
      </c>
      <c r="Y1775" s="477">
        <f t="shared" si="289"/>
        <v>332800</v>
      </c>
      <c r="Z1775" s="478">
        <v>0.55000000000000004</v>
      </c>
      <c r="AA1775" s="479">
        <f t="shared" si="296"/>
        <v>183040.00000000003</v>
      </c>
      <c r="AB1775" s="386"/>
      <c r="AC1775" s="481">
        <v>0</v>
      </c>
      <c r="AD1775" s="474"/>
      <c r="AE1775" s="482"/>
      <c r="AF1775" s="493">
        <f t="shared" si="291"/>
        <v>183040.00000000003</v>
      </c>
      <c r="AG1775" s="474" t="s">
        <v>1071</v>
      </c>
      <c r="AH1775" s="447"/>
      <c r="AI1775" s="474">
        <v>60</v>
      </c>
      <c r="AJ1775" s="474" t="s">
        <v>1210</v>
      </c>
      <c r="AK1775" s="474" t="s">
        <v>1096</v>
      </c>
      <c r="AL1775" s="494">
        <v>1501</v>
      </c>
      <c r="AM1775" s="474" t="s">
        <v>52</v>
      </c>
      <c r="AN1775" s="474" t="s">
        <v>1074</v>
      </c>
      <c r="AO1775" s="474"/>
      <c r="AP1775" s="474"/>
      <c r="AQ1775" s="474" t="s">
        <v>37</v>
      </c>
      <c r="AR1775" s="474"/>
      <c r="AS1775" s="387" t="s">
        <v>1076</v>
      </c>
      <c r="AT1775" s="356" t="s">
        <v>1076</v>
      </c>
      <c r="AU1775" s="472"/>
    </row>
    <row r="1776" spans="1:55" s="471" customFormat="1">
      <c r="A1776" s="495"/>
      <c r="B1776" s="407" t="s">
        <v>1211</v>
      </c>
      <c r="C1776" s="407" t="s">
        <v>1211</v>
      </c>
      <c r="D1776" s="474" t="s">
        <v>3678</v>
      </c>
      <c r="E1776" s="283" t="s">
        <v>3730</v>
      </c>
      <c r="F1776" s="474"/>
      <c r="G1776" s="474">
        <v>2022</v>
      </c>
      <c r="H1776" s="474">
        <v>3</v>
      </c>
      <c r="I1776" s="485">
        <v>127591</v>
      </c>
      <c r="J1776" s="475">
        <v>44642</v>
      </c>
      <c r="K1776" s="474" t="s">
        <v>3731</v>
      </c>
      <c r="L1776" s="475" t="s">
        <v>3732</v>
      </c>
      <c r="M1776" s="475">
        <v>44627</v>
      </c>
      <c r="N1776" s="475">
        <v>44627</v>
      </c>
      <c r="O1776" s="475"/>
      <c r="P1776" s="475">
        <v>44635</v>
      </c>
      <c r="Q1776" s="475">
        <v>44642</v>
      </c>
      <c r="R1776" s="475">
        <v>44644</v>
      </c>
      <c r="S1776" s="474" t="s">
        <v>1102</v>
      </c>
      <c r="T1776" s="474">
        <v>60</v>
      </c>
      <c r="U1776" s="474">
        <v>49201131</v>
      </c>
      <c r="V1776" s="474" t="s">
        <v>986</v>
      </c>
      <c r="W1776" s="284">
        <v>355</v>
      </c>
      <c r="X1776" s="402">
        <v>1344</v>
      </c>
      <c r="Y1776" s="477">
        <f t="shared" si="289"/>
        <v>477120</v>
      </c>
      <c r="Z1776" s="478">
        <v>0.49501408450000001</v>
      </c>
      <c r="AA1776" s="479">
        <f t="shared" si="296"/>
        <v>236181.11999664002</v>
      </c>
      <c r="AB1776" s="386"/>
      <c r="AC1776" s="481">
        <v>0</v>
      </c>
      <c r="AD1776" s="474"/>
      <c r="AE1776" s="482"/>
      <c r="AF1776" s="493">
        <f t="shared" si="291"/>
        <v>236181.11999664002</v>
      </c>
      <c r="AG1776" s="474" t="s">
        <v>1071</v>
      </c>
      <c r="AH1776" s="447"/>
      <c r="AI1776" s="474">
        <v>60</v>
      </c>
      <c r="AJ1776" s="474" t="s">
        <v>1210</v>
      </c>
      <c r="AK1776" s="474" t="s">
        <v>1096</v>
      </c>
      <c r="AL1776" s="494">
        <v>1501</v>
      </c>
      <c r="AM1776" s="474" t="s">
        <v>52</v>
      </c>
      <c r="AN1776" s="474" t="s">
        <v>1074</v>
      </c>
      <c r="AO1776" s="474"/>
      <c r="AP1776" s="474"/>
      <c r="AQ1776" s="474" t="s">
        <v>37</v>
      </c>
      <c r="AR1776" s="474"/>
      <c r="AS1776" s="387" t="s">
        <v>1076</v>
      </c>
      <c r="AT1776" s="356" t="s">
        <v>1076</v>
      </c>
      <c r="AU1776" s="472"/>
    </row>
    <row r="1777" spans="1:55" s="471" customFormat="1">
      <c r="A1777" s="495"/>
      <c r="B1777" s="407" t="s">
        <v>1211</v>
      </c>
      <c r="C1777" s="407" t="s">
        <v>1211</v>
      </c>
      <c r="D1777" s="474" t="s">
        <v>3678</v>
      </c>
      <c r="E1777" s="283" t="s">
        <v>3730</v>
      </c>
      <c r="F1777" s="474"/>
      <c r="G1777" s="474">
        <v>2022</v>
      </c>
      <c r="H1777" s="474">
        <v>3</v>
      </c>
      <c r="I1777" s="485">
        <v>127591</v>
      </c>
      <c r="J1777" s="475">
        <v>44642</v>
      </c>
      <c r="K1777" s="474" t="s">
        <v>3731</v>
      </c>
      <c r="L1777" s="475" t="s">
        <v>3732</v>
      </c>
      <c r="M1777" s="475">
        <v>44627</v>
      </c>
      <c r="N1777" s="475">
        <v>44627</v>
      </c>
      <c r="O1777" s="475"/>
      <c r="P1777" s="475">
        <v>44635</v>
      </c>
      <c r="Q1777" s="475">
        <v>44642</v>
      </c>
      <c r="R1777" s="475">
        <v>44644</v>
      </c>
      <c r="S1777" s="474" t="s">
        <v>1102</v>
      </c>
      <c r="T1777" s="474">
        <v>60</v>
      </c>
      <c r="U1777" s="474">
        <v>49201130</v>
      </c>
      <c r="V1777" s="474" t="s">
        <v>986</v>
      </c>
      <c r="W1777" s="284">
        <v>350</v>
      </c>
      <c r="X1777" s="402">
        <v>64</v>
      </c>
      <c r="Y1777" s="477">
        <f t="shared" si="289"/>
        <v>22400</v>
      </c>
      <c r="Z1777" s="478">
        <v>0.495</v>
      </c>
      <c r="AA1777" s="479">
        <f t="shared" si="296"/>
        <v>11088</v>
      </c>
      <c r="AB1777" s="386"/>
      <c r="AC1777" s="481">
        <v>0</v>
      </c>
      <c r="AD1777" s="474"/>
      <c r="AE1777" s="482"/>
      <c r="AF1777" s="493">
        <f t="shared" si="291"/>
        <v>11088</v>
      </c>
      <c r="AG1777" s="474" t="s">
        <v>1071</v>
      </c>
      <c r="AH1777" s="447"/>
      <c r="AI1777" s="474">
        <v>60</v>
      </c>
      <c r="AJ1777" s="474" t="s">
        <v>1210</v>
      </c>
      <c r="AK1777" s="474" t="s">
        <v>1096</v>
      </c>
      <c r="AL1777" s="494">
        <v>1501</v>
      </c>
      <c r="AM1777" s="474" t="s">
        <v>52</v>
      </c>
      <c r="AN1777" s="474" t="s">
        <v>1074</v>
      </c>
      <c r="AO1777" s="474"/>
      <c r="AP1777" s="474"/>
      <c r="AQ1777" s="474" t="s">
        <v>37</v>
      </c>
      <c r="AR1777" s="474"/>
      <c r="AS1777" s="387" t="s">
        <v>1076</v>
      </c>
      <c r="AT1777" s="356" t="s">
        <v>1076</v>
      </c>
      <c r="AU1777" s="472"/>
    </row>
    <row r="1778" spans="1:55" s="471" customFormat="1">
      <c r="A1778" s="495"/>
      <c r="B1778" s="407" t="s">
        <v>1211</v>
      </c>
      <c r="C1778" s="407" t="s">
        <v>1211</v>
      </c>
      <c r="D1778" s="474" t="s">
        <v>3678</v>
      </c>
      <c r="E1778" s="283" t="s">
        <v>3730</v>
      </c>
      <c r="F1778" s="474"/>
      <c r="G1778" s="474">
        <v>2022</v>
      </c>
      <c r="H1778" s="474">
        <v>3</v>
      </c>
      <c r="I1778" s="485">
        <v>127591</v>
      </c>
      <c r="J1778" s="475">
        <v>44642</v>
      </c>
      <c r="K1778" s="474" t="s">
        <v>3731</v>
      </c>
      <c r="L1778" s="475" t="s">
        <v>3732</v>
      </c>
      <c r="M1778" s="475">
        <v>44627</v>
      </c>
      <c r="N1778" s="475">
        <v>44627</v>
      </c>
      <c r="O1778" s="475"/>
      <c r="P1778" s="475">
        <v>44635</v>
      </c>
      <c r="Q1778" s="475">
        <v>44642</v>
      </c>
      <c r="R1778" s="475">
        <v>44644</v>
      </c>
      <c r="S1778" s="474" t="s">
        <v>1102</v>
      </c>
      <c r="T1778" s="474">
        <v>60</v>
      </c>
      <c r="U1778" s="474">
        <v>49403138</v>
      </c>
      <c r="V1778" s="474" t="s">
        <v>973</v>
      </c>
      <c r="W1778" s="284">
        <v>390</v>
      </c>
      <c r="X1778" s="402">
        <v>224</v>
      </c>
      <c r="Y1778" s="477">
        <f t="shared" si="289"/>
        <v>87360</v>
      </c>
      <c r="Z1778" s="478">
        <v>0.51500000000000001</v>
      </c>
      <c r="AA1778" s="479">
        <f t="shared" si="296"/>
        <v>44990.400000000001</v>
      </c>
      <c r="AB1778" s="386"/>
      <c r="AC1778" s="481">
        <v>0</v>
      </c>
      <c r="AD1778" s="474"/>
      <c r="AE1778" s="482"/>
      <c r="AF1778" s="493">
        <f t="shared" si="291"/>
        <v>44990.400000000001</v>
      </c>
      <c r="AG1778" s="474" t="s">
        <v>1071</v>
      </c>
      <c r="AH1778" s="447"/>
      <c r="AI1778" s="474">
        <v>60</v>
      </c>
      <c r="AJ1778" s="474" t="s">
        <v>1210</v>
      </c>
      <c r="AK1778" s="474" t="s">
        <v>1096</v>
      </c>
      <c r="AL1778" s="494">
        <v>1501</v>
      </c>
      <c r="AM1778" s="474" t="s">
        <v>52</v>
      </c>
      <c r="AN1778" s="474" t="s">
        <v>1074</v>
      </c>
      <c r="AO1778" s="474"/>
      <c r="AP1778" s="474"/>
      <c r="AQ1778" s="474" t="s">
        <v>37</v>
      </c>
      <c r="AR1778" s="474"/>
      <c r="AS1778" s="387" t="s">
        <v>1076</v>
      </c>
      <c r="AT1778" s="356" t="s">
        <v>1076</v>
      </c>
      <c r="AU1778" s="472"/>
    </row>
    <row r="1779" spans="1:55" s="471" customFormat="1">
      <c r="A1779" s="495"/>
      <c r="B1779" s="407" t="s">
        <v>1211</v>
      </c>
      <c r="C1779" s="407" t="s">
        <v>1211</v>
      </c>
      <c r="D1779" s="474" t="s">
        <v>3678</v>
      </c>
      <c r="E1779" s="283" t="s">
        <v>3730</v>
      </c>
      <c r="F1779" s="474"/>
      <c r="G1779" s="474">
        <v>2022</v>
      </c>
      <c r="H1779" s="474">
        <v>3</v>
      </c>
      <c r="I1779" s="485">
        <v>127591</v>
      </c>
      <c r="J1779" s="475">
        <v>44642</v>
      </c>
      <c r="K1779" s="474" t="s">
        <v>3731</v>
      </c>
      <c r="L1779" s="475" t="s">
        <v>3732</v>
      </c>
      <c r="M1779" s="475">
        <v>44627</v>
      </c>
      <c r="N1779" s="475">
        <v>44627</v>
      </c>
      <c r="O1779" s="475"/>
      <c r="P1779" s="475">
        <v>44635</v>
      </c>
      <c r="Q1779" s="475">
        <v>44642</v>
      </c>
      <c r="R1779" s="475">
        <v>44644</v>
      </c>
      <c r="S1779" s="474" t="s">
        <v>1102</v>
      </c>
      <c r="T1779" s="474">
        <v>60</v>
      </c>
      <c r="U1779" s="474">
        <v>49401138</v>
      </c>
      <c r="V1779" s="474" t="s">
        <v>985</v>
      </c>
      <c r="W1779" s="284">
        <v>390</v>
      </c>
      <c r="X1779" s="402">
        <v>735</v>
      </c>
      <c r="Y1779" s="477">
        <f t="shared" si="289"/>
        <v>286650</v>
      </c>
      <c r="Z1779" s="478">
        <v>0.51500000000000001</v>
      </c>
      <c r="AA1779" s="479">
        <f t="shared" si="296"/>
        <v>147624.75</v>
      </c>
      <c r="AB1779" s="386"/>
      <c r="AC1779" s="481">
        <v>0</v>
      </c>
      <c r="AD1779" s="474"/>
      <c r="AE1779" s="482"/>
      <c r="AF1779" s="493">
        <f t="shared" si="291"/>
        <v>147624.75</v>
      </c>
      <c r="AG1779" s="474" t="s">
        <v>1071</v>
      </c>
      <c r="AH1779" s="447"/>
      <c r="AI1779" s="474">
        <v>60</v>
      </c>
      <c r="AJ1779" s="474" t="s">
        <v>1210</v>
      </c>
      <c r="AK1779" s="474" t="s">
        <v>1096</v>
      </c>
      <c r="AL1779" s="494">
        <v>1501</v>
      </c>
      <c r="AM1779" s="474" t="s">
        <v>52</v>
      </c>
      <c r="AN1779" s="474" t="s">
        <v>1074</v>
      </c>
      <c r="AO1779" s="474"/>
      <c r="AP1779" s="474"/>
      <c r="AQ1779" s="474" t="s">
        <v>37</v>
      </c>
      <c r="AR1779" s="474"/>
      <c r="AS1779" s="387" t="s">
        <v>1076</v>
      </c>
      <c r="AT1779" s="356" t="s">
        <v>1076</v>
      </c>
      <c r="AU1779" s="472"/>
    </row>
    <row r="1780" spans="1:55" s="471" customFormat="1">
      <c r="A1780" s="495"/>
      <c r="B1780" s="407" t="s">
        <v>1211</v>
      </c>
      <c r="C1780" s="407" t="s">
        <v>1211</v>
      </c>
      <c r="D1780" s="474" t="s">
        <v>3678</v>
      </c>
      <c r="E1780" s="283" t="s">
        <v>3730</v>
      </c>
      <c r="F1780" s="474"/>
      <c r="G1780" s="474">
        <v>2022</v>
      </c>
      <c r="H1780" s="474">
        <v>3</v>
      </c>
      <c r="I1780" s="485">
        <v>127591</v>
      </c>
      <c r="J1780" s="475">
        <v>44642</v>
      </c>
      <c r="K1780" s="474" t="s">
        <v>3731</v>
      </c>
      <c r="L1780" s="475" t="s">
        <v>3732</v>
      </c>
      <c r="M1780" s="475">
        <v>44627</v>
      </c>
      <c r="N1780" s="475">
        <v>44627</v>
      </c>
      <c r="O1780" s="475"/>
      <c r="P1780" s="475">
        <v>44635</v>
      </c>
      <c r="Q1780" s="475">
        <v>44642</v>
      </c>
      <c r="R1780" s="475">
        <v>44644</v>
      </c>
      <c r="S1780" s="474" t="s">
        <v>1102</v>
      </c>
      <c r="T1780" s="474">
        <v>60</v>
      </c>
      <c r="U1780" s="474">
        <v>49401137</v>
      </c>
      <c r="V1780" s="474" t="s">
        <v>985</v>
      </c>
      <c r="W1780" s="284">
        <v>385</v>
      </c>
      <c r="X1780" s="402">
        <v>120</v>
      </c>
      <c r="Y1780" s="477">
        <f t="shared" si="289"/>
        <v>46200</v>
      </c>
      <c r="Z1780" s="478">
        <v>0.51501298700999998</v>
      </c>
      <c r="AA1780" s="479">
        <f t="shared" si="296"/>
        <v>23793.599999861999</v>
      </c>
      <c r="AB1780" s="386"/>
      <c r="AC1780" s="481">
        <v>0</v>
      </c>
      <c r="AD1780" s="474"/>
      <c r="AE1780" s="482"/>
      <c r="AF1780" s="493">
        <f t="shared" si="291"/>
        <v>23793.599999861999</v>
      </c>
      <c r="AG1780" s="474" t="s">
        <v>1071</v>
      </c>
      <c r="AH1780" s="447"/>
      <c r="AI1780" s="474">
        <v>60</v>
      </c>
      <c r="AJ1780" s="474" t="s">
        <v>1210</v>
      </c>
      <c r="AK1780" s="474" t="s">
        <v>1096</v>
      </c>
      <c r="AL1780" s="494">
        <v>1501</v>
      </c>
      <c r="AM1780" s="474" t="s">
        <v>52</v>
      </c>
      <c r="AN1780" s="474" t="s">
        <v>1074</v>
      </c>
      <c r="AO1780" s="474"/>
      <c r="AP1780" s="474"/>
      <c r="AQ1780" s="474" t="s">
        <v>37</v>
      </c>
      <c r="AR1780" s="474"/>
      <c r="AS1780" s="387" t="s">
        <v>1076</v>
      </c>
      <c r="AT1780" s="356" t="s">
        <v>1076</v>
      </c>
      <c r="AU1780" s="472"/>
      <c r="AV1780" s="471">
        <f>U1780</f>
        <v>49401137</v>
      </c>
      <c r="AW1780" s="471" cm="1">
        <f t="array" ref="AW1780">SUM(MID(0&amp;AV1780,LARGE(INDEX(ISNUMBER(--MID(AV1780,ROW($1:$8),1))*ROW($1:$8),),ROW($1:$8))+1,1)*10^ROW($1:$8)/10)</f>
        <v>49401137</v>
      </c>
      <c r="AX1780" s="471" t="str">
        <f>VLOOKUP($AW1780,'Item Master Data'!$A:$F,3,FALSE)</f>
        <v>Q.PEAK DUO BLK ML G10.a+</v>
      </c>
      <c r="AY1780" s="471">
        <f>VLOOKUP($AW1780,'Item Master Data'!$A:$F,6,FALSE)</f>
        <v>385</v>
      </c>
      <c r="AZ1780" s="471">
        <f>X1780/BA1780</f>
        <v>3.75</v>
      </c>
      <c r="BA1780" s="471">
        <f>VLOOKUP(AW1780,'Item Master Data'!$A:$G,7,FALSE)</f>
        <v>32</v>
      </c>
      <c r="BC1780" s="471">
        <f>W1780-AY1780</f>
        <v>0</v>
      </c>
    </row>
    <row r="1781" spans="1:55" s="471" customFormat="1">
      <c r="A1781" s="495"/>
      <c r="B1781" s="407" t="s">
        <v>1211</v>
      </c>
      <c r="C1781" s="407" t="s">
        <v>1211</v>
      </c>
      <c r="D1781" s="474" t="s">
        <v>3678</v>
      </c>
      <c r="E1781" s="283" t="s">
        <v>3730</v>
      </c>
      <c r="F1781" s="474"/>
      <c r="G1781" s="474">
        <v>2022</v>
      </c>
      <c r="H1781" s="474">
        <v>3</v>
      </c>
      <c r="I1781" s="485">
        <v>127591</v>
      </c>
      <c r="J1781" s="475">
        <v>44642</v>
      </c>
      <c r="K1781" s="474" t="s">
        <v>3731</v>
      </c>
      <c r="L1781" s="475" t="s">
        <v>3732</v>
      </c>
      <c r="M1781" s="475">
        <v>44627</v>
      </c>
      <c r="N1781" s="475">
        <v>44627</v>
      </c>
      <c r="O1781" s="475"/>
      <c r="P1781" s="475">
        <v>44635</v>
      </c>
      <c r="Q1781" s="475">
        <v>44642</v>
      </c>
      <c r="R1781" s="475">
        <v>44644</v>
      </c>
      <c r="S1781" s="474" t="s">
        <v>1102</v>
      </c>
      <c r="T1781" s="474">
        <v>60</v>
      </c>
      <c r="U1781" s="474">
        <v>49401136</v>
      </c>
      <c r="V1781" s="474" t="s">
        <v>985</v>
      </c>
      <c r="W1781" s="284">
        <v>380</v>
      </c>
      <c r="X1781" s="402">
        <v>17</v>
      </c>
      <c r="Y1781" s="477">
        <f t="shared" si="289"/>
        <v>6460</v>
      </c>
      <c r="Z1781" s="478">
        <v>0.51500000000000001</v>
      </c>
      <c r="AA1781" s="479">
        <f t="shared" si="296"/>
        <v>3326.9</v>
      </c>
      <c r="AB1781" s="386"/>
      <c r="AC1781" s="481">
        <v>0</v>
      </c>
      <c r="AD1781" s="474"/>
      <c r="AE1781" s="482"/>
      <c r="AF1781" s="493">
        <f t="shared" si="291"/>
        <v>3326.9</v>
      </c>
      <c r="AG1781" s="474" t="s">
        <v>1071</v>
      </c>
      <c r="AH1781" s="447"/>
      <c r="AI1781" s="474">
        <v>60</v>
      </c>
      <c r="AJ1781" s="474" t="s">
        <v>1210</v>
      </c>
      <c r="AK1781" s="474" t="s">
        <v>1096</v>
      </c>
      <c r="AL1781" s="494">
        <v>1501</v>
      </c>
      <c r="AM1781" s="474" t="s">
        <v>52</v>
      </c>
      <c r="AN1781" s="474" t="s">
        <v>1074</v>
      </c>
      <c r="AO1781" s="474"/>
      <c r="AP1781" s="474"/>
      <c r="AQ1781" s="474" t="s">
        <v>37</v>
      </c>
      <c r="AR1781" s="474"/>
      <c r="AS1781" s="387" t="s">
        <v>1076</v>
      </c>
      <c r="AT1781" s="356" t="s">
        <v>1076</v>
      </c>
      <c r="AU1781" s="472"/>
    </row>
    <row r="1782" spans="1:55" s="471" customFormat="1">
      <c r="A1782" s="495"/>
      <c r="B1782" s="407" t="s">
        <v>1211</v>
      </c>
      <c r="C1782" s="407" t="s">
        <v>1211</v>
      </c>
      <c r="D1782" s="474" t="s">
        <v>3678</v>
      </c>
      <c r="E1782" s="283" t="s">
        <v>3730</v>
      </c>
      <c r="F1782" s="474"/>
      <c r="G1782" s="474">
        <v>2022</v>
      </c>
      <c r="H1782" s="474">
        <v>3</v>
      </c>
      <c r="I1782" s="485">
        <v>127591</v>
      </c>
      <c r="J1782" s="475">
        <v>44642</v>
      </c>
      <c r="K1782" s="474" t="s">
        <v>3731</v>
      </c>
      <c r="L1782" s="475" t="s">
        <v>3732</v>
      </c>
      <c r="M1782" s="475">
        <v>44627</v>
      </c>
      <c r="N1782" s="475">
        <v>44627</v>
      </c>
      <c r="O1782" s="475"/>
      <c r="P1782" s="475">
        <v>44635</v>
      </c>
      <c r="Q1782" s="475">
        <v>44642</v>
      </c>
      <c r="R1782" s="475">
        <v>44644</v>
      </c>
      <c r="S1782" s="474" t="s">
        <v>1102</v>
      </c>
      <c r="T1782" s="474">
        <v>60</v>
      </c>
      <c r="U1782" s="474">
        <v>49401135</v>
      </c>
      <c r="V1782" s="474" t="s">
        <v>985</v>
      </c>
      <c r="W1782" s="284">
        <v>375</v>
      </c>
      <c r="X1782" s="402">
        <v>3</v>
      </c>
      <c r="Y1782" s="477">
        <f t="shared" si="289"/>
        <v>1125</v>
      </c>
      <c r="Z1782" s="478">
        <v>0.51501333332999999</v>
      </c>
      <c r="AA1782" s="479">
        <f t="shared" si="296"/>
        <v>579.38999999625003</v>
      </c>
      <c r="AB1782" s="386"/>
      <c r="AC1782" s="481">
        <v>0</v>
      </c>
      <c r="AD1782" s="474"/>
      <c r="AE1782" s="482"/>
      <c r="AF1782" s="493">
        <f t="shared" si="291"/>
        <v>579.38999999625003</v>
      </c>
      <c r="AG1782" s="474" t="s">
        <v>1071</v>
      </c>
      <c r="AH1782" s="447"/>
      <c r="AI1782" s="474">
        <v>60</v>
      </c>
      <c r="AJ1782" s="474" t="s">
        <v>1210</v>
      </c>
      <c r="AK1782" s="474" t="s">
        <v>1096</v>
      </c>
      <c r="AL1782" s="494">
        <v>1501</v>
      </c>
      <c r="AM1782" s="474" t="s">
        <v>52</v>
      </c>
      <c r="AN1782" s="474" t="s">
        <v>1074</v>
      </c>
      <c r="AO1782" s="474"/>
      <c r="AP1782" s="474"/>
      <c r="AQ1782" s="474" t="s">
        <v>37</v>
      </c>
      <c r="AR1782" s="474"/>
      <c r="AS1782" s="387" t="s">
        <v>1076</v>
      </c>
      <c r="AT1782" s="356" t="s">
        <v>1076</v>
      </c>
      <c r="AU1782" s="472"/>
    </row>
    <row r="1783" spans="1:55" s="471" customFormat="1">
      <c r="A1783" s="278">
        <v>10</v>
      </c>
      <c r="B1783" s="279"/>
      <c r="C1783" s="279"/>
      <c r="D1783" s="394" t="s">
        <v>3678</v>
      </c>
      <c r="E1783" s="280" t="s">
        <v>3733</v>
      </c>
      <c r="F1783" s="474"/>
      <c r="G1783" s="474">
        <v>2022</v>
      </c>
      <c r="H1783" s="474">
        <v>3</v>
      </c>
      <c r="I1783" s="485">
        <v>127717</v>
      </c>
      <c r="J1783" s="475">
        <v>44650</v>
      </c>
      <c r="K1783" s="474" t="s">
        <v>3734</v>
      </c>
      <c r="L1783" s="474" t="s">
        <v>1228</v>
      </c>
      <c r="M1783" s="475">
        <v>44517</v>
      </c>
      <c r="N1783" s="475">
        <v>44517</v>
      </c>
      <c r="O1783" s="475">
        <v>44621</v>
      </c>
      <c r="P1783" s="475">
        <v>44628</v>
      </c>
      <c r="Q1783" s="475">
        <v>44650</v>
      </c>
      <c r="R1783" s="475">
        <v>44652</v>
      </c>
      <c r="S1783" s="474" t="s">
        <v>1102</v>
      </c>
      <c r="T1783" s="474">
        <v>60</v>
      </c>
      <c r="U1783" s="474">
        <v>49405140</v>
      </c>
      <c r="V1783" s="474" t="s">
        <v>973</v>
      </c>
      <c r="W1783" s="476">
        <v>400</v>
      </c>
      <c r="X1783" s="402">
        <v>896</v>
      </c>
      <c r="Y1783" s="491">
        <f t="shared" si="289"/>
        <v>358400</v>
      </c>
      <c r="Z1783" s="478">
        <v>0.55000000000000004</v>
      </c>
      <c r="AA1783" s="582">
        <f t="shared" si="296"/>
        <v>197120.00000000003</v>
      </c>
      <c r="AB1783" s="480"/>
      <c r="AC1783" s="481">
        <f>AB1783*Y1783</f>
        <v>0</v>
      </c>
      <c r="AD1783" s="490"/>
      <c r="AE1783" s="482"/>
      <c r="AF1783" s="493">
        <f t="shared" si="291"/>
        <v>197120.00000000003</v>
      </c>
      <c r="AG1783" s="474" t="s">
        <v>1071</v>
      </c>
      <c r="AH1783" s="474"/>
      <c r="AI1783" s="474">
        <v>60</v>
      </c>
      <c r="AJ1783" s="474" t="s">
        <v>3735</v>
      </c>
      <c r="AK1783" s="474" t="s">
        <v>1190</v>
      </c>
      <c r="AL1783" s="494">
        <v>6492</v>
      </c>
      <c r="AM1783" s="474" t="s">
        <v>52</v>
      </c>
      <c r="AN1783" s="474" t="s">
        <v>1074</v>
      </c>
      <c r="AO1783" s="474"/>
      <c r="AP1783" s="482"/>
      <c r="AQ1783" s="482" t="s">
        <v>37</v>
      </c>
      <c r="AR1783" s="474"/>
      <c r="AS1783" s="436" t="s">
        <v>1076</v>
      </c>
      <c r="AT1783" s="281" t="s">
        <v>1076</v>
      </c>
      <c r="AU1783" s="472">
        <v>0.52</v>
      </c>
    </row>
    <row r="1784" spans="1:55" s="471" customFormat="1">
      <c r="A1784" s="278">
        <v>10</v>
      </c>
      <c r="B1784" s="279"/>
      <c r="C1784" s="279"/>
      <c r="D1784" s="394" t="s">
        <v>3678</v>
      </c>
      <c r="E1784" s="280" t="s">
        <v>3736</v>
      </c>
      <c r="F1784" s="474"/>
      <c r="G1784" s="474">
        <v>2022</v>
      </c>
      <c r="H1784" s="474">
        <v>3</v>
      </c>
      <c r="I1784" s="485">
        <v>127718</v>
      </c>
      <c r="J1784" s="475">
        <v>44648</v>
      </c>
      <c r="K1784" s="474" t="s">
        <v>3737</v>
      </c>
      <c r="L1784" s="474" t="s">
        <v>1228</v>
      </c>
      <c r="M1784" s="475">
        <v>44517</v>
      </c>
      <c r="N1784" s="475">
        <v>44578</v>
      </c>
      <c r="O1784" s="475"/>
      <c r="P1784" s="475">
        <v>44637</v>
      </c>
      <c r="Q1784" s="475">
        <v>44648</v>
      </c>
      <c r="R1784" s="475">
        <v>44650</v>
      </c>
      <c r="S1784" s="474" t="s">
        <v>1102</v>
      </c>
      <c r="T1784" s="474">
        <v>60</v>
      </c>
      <c r="U1784" s="474">
        <v>49405140</v>
      </c>
      <c r="V1784" s="474" t="s">
        <v>973</v>
      </c>
      <c r="W1784" s="476">
        <v>400</v>
      </c>
      <c r="X1784" s="402">
        <v>896</v>
      </c>
      <c r="Y1784" s="491">
        <f t="shared" si="289"/>
        <v>358400</v>
      </c>
      <c r="Z1784" s="478">
        <v>0.55000000000000004</v>
      </c>
      <c r="AA1784" s="479">
        <f t="shared" si="296"/>
        <v>197120.00000000003</v>
      </c>
      <c r="AB1784" s="480"/>
      <c r="AC1784" s="481">
        <f>AB1784*Y1784</f>
        <v>0</v>
      </c>
      <c r="AD1784" s="490"/>
      <c r="AE1784" s="482"/>
      <c r="AF1784" s="493">
        <f t="shared" si="291"/>
        <v>197120.00000000003</v>
      </c>
      <c r="AG1784" s="474" t="s">
        <v>1071</v>
      </c>
      <c r="AH1784" s="474"/>
      <c r="AI1784" s="474">
        <v>60</v>
      </c>
      <c r="AJ1784" s="474" t="s">
        <v>3735</v>
      </c>
      <c r="AK1784" s="474" t="s">
        <v>1190</v>
      </c>
      <c r="AL1784" s="494">
        <v>6492</v>
      </c>
      <c r="AM1784" s="474" t="s">
        <v>52</v>
      </c>
      <c r="AN1784" s="474" t="s">
        <v>1074</v>
      </c>
      <c r="AO1784" s="474"/>
      <c r="AP1784" s="482"/>
      <c r="AQ1784" s="482" t="s">
        <v>37</v>
      </c>
      <c r="AR1784" s="474"/>
      <c r="AS1784" s="436" t="s">
        <v>1076</v>
      </c>
      <c r="AT1784" s="281" t="s">
        <v>1076</v>
      </c>
      <c r="AU1784" s="472">
        <v>0.52</v>
      </c>
    </row>
    <row r="1785" spans="1:55" s="471" customFormat="1">
      <c r="A1785" s="278">
        <v>10</v>
      </c>
      <c r="B1785" s="279"/>
      <c r="C1785" s="279"/>
      <c r="D1785" s="394" t="s">
        <v>3678</v>
      </c>
      <c r="E1785" s="282" t="s">
        <v>3738</v>
      </c>
      <c r="F1785" s="474"/>
      <c r="G1785" s="474">
        <v>2022</v>
      </c>
      <c r="H1785" s="474">
        <v>3</v>
      </c>
      <c r="I1785" s="415">
        <v>127811</v>
      </c>
      <c r="J1785" s="538">
        <v>44643</v>
      </c>
      <c r="K1785" s="524" t="s">
        <v>3739</v>
      </c>
      <c r="L1785" s="524" t="s">
        <v>1295</v>
      </c>
      <c r="M1785" s="475">
        <v>44522</v>
      </c>
      <c r="N1785" s="475">
        <v>44564</v>
      </c>
      <c r="O1785" s="475"/>
      <c r="P1785" s="475">
        <v>44636</v>
      </c>
      <c r="Q1785" s="475">
        <v>44643</v>
      </c>
      <c r="R1785" s="475">
        <v>44645</v>
      </c>
      <c r="S1785" s="474" t="s">
        <v>1102</v>
      </c>
      <c r="T1785" s="474">
        <v>60</v>
      </c>
      <c r="U1785" s="474">
        <v>49403140</v>
      </c>
      <c r="V1785" s="474" t="s">
        <v>973</v>
      </c>
      <c r="W1785" s="476">
        <v>400</v>
      </c>
      <c r="X1785" s="402">
        <v>768</v>
      </c>
      <c r="Y1785" s="491">
        <f t="shared" si="289"/>
        <v>307200</v>
      </c>
      <c r="Z1785" s="478">
        <v>0.55000000000000004</v>
      </c>
      <c r="AA1785" s="582">
        <f t="shared" si="296"/>
        <v>168960</v>
      </c>
      <c r="AB1785" s="480"/>
      <c r="AC1785" s="481">
        <v>0</v>
      </c>
      <c r="AD1785" s="490"/>
      <c r="AE1785" s="482"/>
      <c r="AF1785" s="493">
        <f t="shared" si="291"/>
        <v>168960</v>
      </c>
      <c r="AG1785" s="474" t="s">
        <v>1071</v>
      </c>
      <c r="AH1785" s="474"/>
      <c r="AI1785" s="474">
        <v>60</v>
      </c>
      <c r="AJ1785" s="474" t="s">
        <v>1296</v>
      </c>
      <c r="AK1785" s="474" t="s">
        <v>1297</v>
      </c>
      <c r="AL1785" s="494" t="s">
        <v>1298</v>
      </c>
      <c r="AM1785" s="474" t="s">
        <v>52</v>
      </c>
      <c r="AN1785" s="474" t="s">
        <v>1106</v>
      </c>
      <c r="AO1785" s="474"/>
      <c r="AP1785" s="482"/>
      <c r="AQ1785" s="482" t="s">
        <v>37</v>
      </c>
      <c r="AR1785" s="474"/>
      <c r="AS1785" s="436"/>
      <c r="AT1785" s="281"/>
      <c r="AU1785" s="472"/>
    </row>
    <row r="1786" spans="1:55" s="471" customFormat="1">
      <c r="A1786" s="278"/>
      <c r="B1786" s="279"/>
      <c r="C1786" s="279"/>
      <c r="D1786" s="394" t="s">
        <v>3678</v>
      </c>
      <c r="E1786" s="280" t="s">
        <v>3683</v>
      </c>
      <c r="F1786" s="285">
        <v>2</v>
      </c>
      <c r="G1786" s="474">
        <v>2022</v>
      </c>
      <c r="H1786" s="474">
        <v>3</v>
      </c>
      <c r="I1786" s="485">
        <v>127706</v>
      </c>
      <c r="J1786" s="475">
        <v>44650</v>
      </c>
      <c r="K1786" s="474" t="s">
        <v>3740</v>
      </c>
      <c r="L1786" s="474" t="s">
        <v>1340</v>
      </c>
      <c r="M1786" s="475">
        <v>44504</v>
      </c>
      <c r="N1786" s="475">
        <v>44621</v>
      </c>
      <c r="O1786" s="475"/>
      <c r="P1786" s="475">
        <v>44644</v>
      </c>
      <c r="Q1786" s="475">
        <v>44650</v>
      </c>
      <c r="R1786" s="475">
        <v>44652</v>
      </c>
      <c r="S1786" s="474" t="s">
        <v>1102</v>
      </c>
      <c r="T1786" s="474">
        <v>60</v>
      </c>
      <c r="U1786" s="474">
        <v>49203132</v>
      </c>
      <c r="V1786" s="474" t="s">
        <v>986</v>
      </c>
      <c r="W1786" s="476">
        <v>360</v>
      </c>
      <c r="X1786" s="402">
        <v>832</v>
      </c>
      <c r="Y1786" s="491">
        <f t="shared" si="289"/>
        <v>299520</v>
      </c>
      <c r="Z1786" s="478">
        <v>0.53</v>
      </c>
      <c r="AA1786" s="479">
        <f t="shared" si="296"/>
        <v>158745.60000000001</v>
      </c>
      <c r="AB1786" s="480"/>
      <c r="AC1786" s="481">
        <v>0</v>
      </c>
      <c r="AD1786" s="490"/>
      <c r="AE1786" s="482"/>
      <c r="AF1786" s="493">
        <f t="shared" si="291"/>
        <v>158745.60000000001</v>
      </c>
      <c r="AG1786" s="474" t="s">
        <v>1071</v>
      </c>
      <c r="AH1786" s="474"/>
      <c r="AI1786" s="474">
        <v>60</v>
      </c>
      <c r="AJ1786" s="474" t="s">
        <v>3741</v>
      </c>
      <c r="AK1786" s="474" t="s">
        <v>3742</v>
      </c>
      <c r="AL1786" s="494">
        <v>19804</v>
      </c>
      <c r="AM1786" s="474" t="s">
        <v>52</v>
      </c>
      <c r="AN1786" s="474" t="s">
        <v>1074</v>
      </c>
      <c r="AO1786" s="474"/>
      <c r="AP1786" s="482"/>
      <c r="AQ1786" s="482"/>
      <c r="AR1786" s="474"/>
      <c r="AS1786" s="436"/>
      <c r="AT1786" s="281" t="s">
        <v>1076</v>
      </c>
      <c r="AU1786" s="472"/>
    </row>
    <row r="1787" spans="1:55" s="471" customFormat="1">
      <c r="A1787" s="278">
        <v>10</v>
      </c>
      <c r="B1787" s="279"/>
      <c r="C1787" s="279"/>
      <c r="D1787" s="394" t="s">
        <v>3678</v>
      </c>
      <c r="E1787" s="282" t="s">
        <v>3743</v>
      </c>
      <c r="F1787" s="474"/>
      <c r="G1787" s="474">
        <v>2022</v>
      </c>
      <c r="H1787" s="474">
        <v>3</v>
      </c>
      <c r="I1787" s="524">
        <v>127812</v>
      </c>
      <c r="J1787" s="538">
        <v>44649</v>
      </c>
      <c r="K1787" s="524" t="s">
        <v>3744</v>
      </c>
      <c r="L1787" s="524" t="s">
        <v>1340</v>
      </c>
      <c r="M1787" s="475">
        <v>44568</v>
      </c>
      <c r="N1787" s="475">
        <v>44704</v>
      </c>
      <c r="O1787" s="475"/>
      <c r="P1787" s="475">
        <v>44644</v>
      </c>
      <c r="Q1787" s="475">
        <v>44649</v>
      </c>
      <c r="R1787" s="475">
        <v>44651</v>
      </c>
      <c r="S1787" s="474" t="s">
        <v>1102</v>
      </c>
      <c r="T1787" s="474">
        <v>60</v>
      </c>
      <c r="U1787" s="474">
        <v>49405140</v>
      </c>
      <c r="V1787" s="474" t="s">
        <v>973</v>
      </c>
      <c r="W1787" s="474">
        <v>400</v>
      </c>
      <c r="X1787" s="406">
        <v>768</v>
      </c>
      <c r="Y1787" s="477">
        <f t="shared" si="289"/>
        <v>307200</v>
      </c>
      <c r="Z1787" s="478">
        <v>0.55000000000000004</v>
      </c>
      <c r="AA1787" s="479">
        <f t="shared" si="296"/>
        <v>168960</v>
      </c>
      <c r="AB1787" s="386"/>
      <c r="AC1787" s="481">
        <v>0</v>
      </c>
      <c r="AD1787" s="474"/>
      <c r="AE1787" s="482"/>
      <c r="AF1787" s="493">
        <f t="shared" si="291"/>
        <v>168960</v>
      </c>
      <c r="AG1787" s="474" t="s">
        <v>1071</v>
      </c>
      <c r="AH1787" s="447"/>
      <c r="AI1787" s="474">
        <v>60</v>
      </c>
      <c r="AJ1787" s="474" t="s">
        <v>1342</v>
      </c>
      <c r="AK1787" s="474" t="s">
        <v>1085</v>
      </c>
      <c r="AL1787" s="494">
        <v>8110</v>
      </c>
      <c r="AM1787" s="474" t="s">
        <v>52</v>
      </c>
      <c r="AN1787" s="474" t="s">
        <v>1106</v>
      </c>
      <c r="AO1787" s="474"/>
      <c r="AP1787" s="474"/>
      <c r="AQ1787" s="474"/>
      <c r="AR1787" s="474"/>
      <c r="AS1787" s="387"/>
      <c r="AT1787" s="356" t="s">
        <v>1076</v>
      </c>
      <c r="AU1787" s="478">
        <v>0.46500000000000002</v>
      </c>
    </row>
    <row r="1788" spans="1:55" s="471" customFormat="1">
      <c r="A1788" s="278">
        <v>10</v>
      </c>
      <c r="B1788" s="279"/>
      <c r="C1788" s="279"/>
      <c r="D1788" s="394" t="s">
        <v>3678</v>
      </c>
      <c r="E1788" s="286" t="s">
        <v>3683</v>
      </c>
      <c r="F1788" s="474"/>
      <c r="G1788" s="474">
        <v>2022</v>
      </c>
      <c r="H1788" s="474">
        <v>3</v>
      </c>
      <c r="I1788" s="474">
        <v>127710</v>
      </c>
      <c r="J1788" s="475">
        <v>44650</v>
      </c>
      <c r="K1788" s="474" t="s">
        <v>3744</v>
      </c>
      <c r="L1788" s="474" t="s">
        <v>1340</v>
      </c>
      <c r="M1788" s="475">
        <v>44568</v>
      </c>
      <c r="N1788" s="475">
        <v>44704</v>
      </c>
      <c r="O1788" s="475"/>
      <c r="P1788" s="475">
        <v>44644</v>
      </c>
      <c r="Q1788" s="475">
        <v>44650</v>
      </c>
      <c r="R1788" s="475">
        <v>44652</v>
      </c>
      <c r="S1788" s="474" t="s">
        <v>1102</v>
      </c>
      <c r="T1788" s="474">
        <v>60</v>
      </c>
      <c r="U1788" s="474">
        <v>49405140</v>
      </c>
      <c r="V1788" s="474" t="s">
        <v>973</v>
      </c>
      <c r="W1788" s="474">
        <v>400</v>
      </c>
      <c r="X1788" s="406">
        <v>1536</v>
      </c>
      <c r="Y1788" s="477">
        <f t="shared" si="289"/>
        <v>614400</v>
      </c>
      <c r="Z1788" s="478">
        <v>0.55000000000000004</v>
      </c>
      <c r="AA1788" s="479">
        <f t="shared" si="296"/>
        <v>337920</v>
      </c>
      <c r="AB1788" s="386"/>
      <c r="AC1788" s="481">
        <v>0</v>
      </c>
      <c r="AD1788" s="474"/>
      <c r="AE1788" s="482"/>
      <c r="AF1788" s="493">
        <f t="shared" si="291"/>
        <v>337920</v>
      </c>
      <c r="AG1788" s="474" t="s">
        <v>1071</v>
      </c>
      <c r="AH1788" s="447"/>
      <c r="AI1788" s="474">
        <v>60</v>
      </c>
      <c r="AJ1788" s="474" t="s">
        <v>1342</v>
      </c>
      <c r="AK1788" s="474" t="s">
        <v>1085</v>
      </c>
      <c r="AL1788" s="494">
        <v>8110</v>
      </c>
      <c r="AM1788" s="474" t="s">
        <v>52</v>
      </c>
      <c r="AN1788" s="474" t="s">
        <v>1074</v>
      </c>
      <c r="AO1788" s="474"/>
      <c r="AP1788" s="474"/>
      <c r="AQ1788" s="474"/>
      <c r="AR1788" s="474"/>
      <c r="AS1788" s="387"/>
      <c r="AT1788" s="356" t="s">
        <v>1076</v>
      </c>
      <c r="AU1788" s="478">
        <v>0.46500000000000002</v>
      </c>
    </row>
    <row r="1789" spans="1:55" s="471" customFormat="1">
      <c r="A1789" s="278">
        <v>10</v>
      </c>
      <c r="B1789" s="279"/>
      <c r="C1789" s="279">
        <v>44601</v>
      </c>
      <c r="D1789" s="394" t="s">
        <v>3678</v>
      </c>
      <c r="E1789" s="280" t="s">
        <v>3745</v>
      </c>
      <c r="F1789" s="474"/>
      <c r="G1789" s="474">
        <v>2022</v>
      </c>
      <c r="H1789" s="474">
        <v>3</v>
      </c>
      <c r="I1789" s="485">
        <v>127231</v>
      </c>
      <c r="J1789" s="475">
        <v>44624</v>
      </c>
      <c r="K1789" s="474" t="s">
        <v>3746</v>
      </c>
      <c r="L1789" s="474" t="s">
        <v>3747</v>
      </c>
      <c r="M1789" s="475">
        <v>44512</v>
      </c>
      <c r="N1789" s="475">
        <v>44593</v>
      </c>
      <c r="O1789" s="475" t="s">
        <v>1280</v>
      </c>
      <c r="P1789" s="475">
        <v>44602</v>
      </c>
      <c r="Q1789" s="475">
        <v>44624</v>
      </c>
      <c r="R1789" s="475">
        <v>44627</v>
      </c>
      <c r="S1789" s="474" t="s">
        <v>1102</v>
      </c>
      <c r="T1789" s="474">
        <v>60</v>
      </c>
      <c r="U1789" s="474">
        <v>49403140</v>
      </c>
      <c r="V1789" s="474" t="s">
        <v>973</v>
      </c>
      <c r="W1789" s="476">
        <v>400</v>
      </c>
      <c r="X1789" s="402">
        <v>768</v>
      </c>
      <c r="Y1789" s="491">
        <f t="shared" si="289"/>
        <v>307200</v>
      </c>
      <c r="Z1789" s="478">
        <v>0.55000000000000004</v>
      </c>
      <c r="AA1789" s="582">
        <f t="shared" si="296"/>
        <v>168960</v>
      </c>
      <c r="AB1789" s="480"/>
      <c r="AC1789" s="481">
        <v>0</v>
      </c>
      <c r="AD1789" s="490"/>
      <c r="AE1789" s="482"/>
      <c r="AF1789" s="493">
        <f t="shared" si="291"/>
        <v>168960</v>
      </c>
      <c r="AG1789" s="474" t="s">
        <v>1071</v>
      </c>
      <c r="AH1789" s="474"/>
      <c r="AI1789" s="474">
        <v>60</v>
      </c>
      <c r="AJ1789" s="474" t="s">
        <v>3748</v>
      </c>
      <c r="AK1789" s="474" t="s">
        <v>1138</v>
      </c>
      <c r="AL1789" s="494" t="s">
        <v>3749</v>
      </c>
      <c r="AM1789" s="474" t="s">
        <v>52</v>
      </c>
      <c r="AN1789" s="474" t="s">
        <v>1074</v>
      </c>
      <c r="AO1789" s="474"/>
      <c r="AP1789" s="482"/>
      <c r="AQ1789" s="482" t="s">
        <v>37</v>
      </c>
      <c r="AR1789" s="474"/>
      <c r="AS1789" s="436" t="s">
        <v>1076</v>
      </c>
      <c r="AT1789" s="281" t="s">
        <v>1076</v>
      </c>
      <c r="AU1789" s="472"/>
    </row>
    <row r="1790" spans="1:55" s="471" customFormat="1">
      <c r="A1790" s="278"/>
      <c r="B1790" s="279"/>
      <c r="C1790" s="279"/>
      <c r="D1790" s="394" t="s">
        <v>3678</v>
      </c>
      <c r="E1790" s="280" t="s">
        <v>3750</v>
      </c>
      <c r="F1790" s="474"/>
      <c r="G1790" s="474">
        <v>2022</v>
      </c>
      <c r="H1790" s="474">
        <v>3</v>
      </c>
      <c r="I1790" s="485">
        <v>127813</v>
      </c>
      <c r="J1790" s="475">
        <v>44650</v>
      </c>
      <c r="K1790" s="474" t="s">
        <v>3751</v>
      </c>
      <c r="L1790" s="474" t="s">
        <v>3747</v>
      </c>
      <c r="M1790" s="475">
        <v>44512</v>
      </c>
      <c r="N1790" s="475">
        <v>44593</v>
      </c>
      <c r="O1790" s="475"/>
      <c r="P1790" s="475">
        <v>44628</v>
      </c>
      <c r="Q1790" s="475">
        <v>44651</v>
      </c>
      <c r="R1790" s="475">
        <v>44652</v>
      </c>
      <c r="S1790" s="474" t="s">
        <v>1102</v>
      </c>
      <c r="T1790" s="474">
        <v>60</v>
      </c>
      <c r="U1790" s="474">
        <v>40204132</v>
      </c>
      <c r="V1790" s="474" t="s">
        <v>1223</v>
      </c>
      <c r="W1790" s="476">
        <v>360</v>
      </c>
      <c r="X1790" s="402">
        <v>832</v>
      </c>
      <c r="Y1790" s="491">
        <f t="shared" si="289"/>
        <v>299520</v>
      </c>
      <c r="Z1790" s="478">
        <v>0.76</v>
      </c>
      <c r="AA1790" s="479">
        <f t="shared" si="296"/>
        <v>227635.20000000001</v>
      </c>
      <c r="AB1790" s="480"/>
      <c r="AC1790" s="481">
        <v>0</v>
      </c>
      <c r="AD1790" s="490"/>
      <c r="AE1790" s="482"/>
      <c r="AF1790" s="493">
        <f t="shared" si="291"/>
        <v>227635.20000000001</v>
      </c>
      <c r="AG1790" s="474" t="s">
        <v>1071</v>
      </c>
      <c r="AH1790" s="474"/>
      <c r="AI1790" s="474">
        <v>60</v>
      </c>
      <c r="AJ1790" s="474" t="s">
        <v>3748</v>
      </c>
      <c r="AK1790" s="474" t="s">
        <v>1138</v>
      </c>
      <c r="AL1790" s="494" t="s">
        <v>3749</v>
      </c>
      <c r="AM1790" s="474" t="s">
        <v>52</v>
      </c>
      <c r="AN1790" s="474" t="s">
        <v>1106</v>
      </c>
      <c r="AO1790" s="474"/>
      <c r="AP1790" s="482"/>
      <c r="AQ1790" s="482" t="s">
        <v>37</v>
      </c>
      <c r="AR1790" s="474"/>
      <c r="AS1790" s="436" t="s">
        <v>1076</v>
      </c>
      <c r="AT1790" s="281" t="s">
        <v>1076</v>
      </c>
      <c r="AU1790" s="472"/>
    </row>
    <row r="1791" spans="1:55" s="471" customFormat="1">
      <c r="A1791" s="278"/>
      <c r="B1791" s="279"/>
      <c r="C1791" s="279"/>
      <c r="D1791" s="394" t="s">
        <v>3678</v>
      </c>
      <c r="E1791" s="280" t="s">
        <v>3752</v>
      </c>
      <c r="F1791" s="474" t="s">
        <v>1147</v>
      </c>
      <c r="G1791" s="474">
        <v>2022</v>
      </c>
      <c r="H1791" s="474">
        <v>3</v>
      </c>
      <c r="I1791" s="485">
        <v>127244</v>
      </c>
      <c r="J1791" s="475" t="s">
        <v>2444</v>
      </c>
      <c r="K1791" s="474" t="s">
        <v>3753</v>
      </c>
      <c r="L1791" s="474" t="s">
        <v>1366</v>
      </c>
      <c r="M1791" s="475">
        <v>44473</v>
      </c>
      <c r="N1791" s="475">
        <v>44593</v>
      </c>
      <c r="O1791" s="475"/>
      <c r="P1791" s="475">
        <v>44596</v>
      </c>
      <c r="Q1791" s="475">
        <v>44621</v>
      </c>
      <c r="R1791" s="475">
        <v>44622</v>
      </c>
      <c r="S1791" s="474" t="s">
        <v>1102</v>
      </c>
      <c r="T1791" s="474">
        <v>60</v>
      </c>
      <c r="U1791" s="474">
        <v>49201132</v>
      </c>
      <c r="V1791" s="474" t="s">
        <v>986</v>
      </c>
      <c r="W1791" s="476">
        <v>360</v>
      </c>
      <c r="X1791" s="402">
        <v>448</v>
      </c>
      <c r="Y1791" s="491">
        <f t="shared" si="289"/>
        <v>161280</v>
      </c>
      <c r="Z1791" s="478">
        <v>0.53</v>
      </c>
      <c r="AA1791" s="479">
        <f t="shared" si="296"/>
        <v>85478.400000000009</v>
      </c>
      <c r="AB1791" s="480"/>
      <c r="AC1791" s="481">
        <v>0</v>
      </c>
      <c r="AD1791" s="490"/>
      <c r="AE1791" s="482"/>
      <c r="AF1791" s="493">
        <f t="shared" si="291"/>
        <v>85478.400000000009</v>
      </c>
      <c r="AG1791" s="474" t="s">
        <v>1071</v>
      </c>
      <c r="AH1791" s="474"/>
      <c r="AI1791" s="474">
        <v>60</v>
      </c>
      <c r="AJ1791" s="474" t="s">
        <v>1346</v>
      </c>
      <c r="AK1791" s="474" t="s">
        <v>1347</v>
      </c>
      <c r="AL1791" s="494">
        <v>18360</v>
      </c>
      <c r="AM1791" s="474" t="s">
        <v>52</v>
      </c>
      <c r="AN1791" s="474" t="s">
        <v>1074</v>
      </c>
      <c r="AO1791" s="474"/>
      <c r="AP1791" s="482"/>
      <c r="AQ1791" s="482" t="s">
        <v>37</v>
      </c>
      <c r="AR1791" s="474"/>
      <c r="AS1791" s="436"/>
      <c r="AT1791" s="281"/>
      <c r="AU1791" s="472"/>
    </row>
    <row r="1792" spans="1:55" s="471" customFormat="1">
      <c r="A1792" s="278"/>
      <c r="B1792" s="279"/>
      <c r="C1792" s="279"/>
      <c r="D1792" s="394" t="s">
        <v>3678</v>
      </c>
      <c r="E1792" s="280" t="s">
        <v>3754</v>
      </c>
      <c r="F1792" s="474" t="s">
        <v>1147</v>
      </c>
      <c r="G1792" s="474">
        <v>2022</v>
      </c>
      <c r="H1792" s="474">
        <v>3</v>
      </c>
      <c r="I1792" s="485">
        <v>127720</v>
      </c>
      <c r="J1792" s="475">
        <v>44643</v>
      </c>
      <c r="K1792" s="474" t="s">
        <v>3755</v>
      </c>
      <c r="L1792" s="474" t="s">
        <v>1366</v>
      </c>
      <c r="M1792" s="475">
        <v>44473</v>
      </c>
      <c r="N1792" s="475">
        <v>44621</v>
      </c>
      <c r="O1792" s="475"/>
      <c r="P1792" s="475">
        <v>44635</v>
      </c>
      <c r="Q1792" s="475">
        <v>44643</v>
      </c>
      <c r="R1792" s="475">
        <v>44645</v>
      </c>
      <c r="S1792" s="474" t="s">
        <v>1102</v>
      </c>
      <c r="T1792" s="474">
        <v>60</v>
      </c>
      <c r="U1792" s="474">
        <v>49201132</v>
      </c>
      <c r="V1792" s="474" t="s">
        <v>986</v>
      </c>
      <c r="W1792" s="476">
        <v>360</v>
      </c>
      <c r="X1792" s="402">
        <v>896</v>
      </c>
      <c r="Y1792" s="491">
        <f t="shared" si="289"/>
        <v>322560</v>
      </c>
      <c r="Z1792" s="478">
        <v>0.53</v>
      </c>
      <c r="AA1792" s="479">
        <f t="shared" si="296"/>
        <v>170956.80000000002</v>
      </c>
      <c r="AB1792" s="480"/>
      <c r="AC1792" s="481">
        <v>0</v>
      </c>
      <c r="AD1792" s="490"/>
      <c r="AE1792" s="482"/>
      <c r="AF1792" s="493">
        <f t="shared" si="291"/>
        <v>170956.80000000002</v>
      </c>
      <c r="AG1792" s="474" t="s">
        <v>1071</v>
      </c>
      <c r="AH1792" s="474"/>
      <c r="AI1792" s="474">
        <v>60</v>
      </c>
      <c r="AJ1792" s="474" t="s">
        <v>1346</v>
      </c>
      <c r="AK1792" s="474" t="s">
        <v>1347</v>
      </c>
      <c r="AL1792" s="494">
        <v>18360</v>
      </c>
      <c r="AM1792" s="474" t="s">
        <v>52</v>
      </c>
      <c r="AN1792" s="474" t="s">
        <v>1106</v>
      </c>
      <c r="AO1792" s="474"/>
      <c r="AP1792" s="482"/>
      <c r="AQ1792" s="482" t="s">
        <v>37</v>
      </c>
      <c r="AR1792" s="474"/>
      <c r="AS1792" s="436"/>
      <c r="AT1792" s="281"/>
      <c r="AU1792" s="472"/>
    </row>
    <row r="1793" spans="1:47" s="471" customFormat="1">
      <c r="A1793" s="278">
        <v>10</v>
      </c>
      <c r="B1793" s="279"/>
      <c r="C1793" s="279"/>
      <c r="D1793" s="394" t="s">
        <v>3678</v>
      </c>
      <c r="E1793" s="280" t="s">
        <v>3756</v>
      </c>
      <c r="F1793" s="474" t="s">
        <v>1147</v>
      </c>
      <c r="G1793" s="474">
        <v>2022</v>
      </c>
      <c r="H1793" s="474">
        <v>3</v>
      </c>
      <c r="I1793" s="415">
        <v>127848</v>
      </c>
      <c r="J1793" s="538">
        <v>44643</v>
      </c>
      <c r="K1793" s="524" t="s">
        <v>3757</v>
      </c>
      <c r="L1793" s="524" t="s">
        <v>1366</v>
      </c>
      <c r="M1793" s="475">
        <v>44473</v>
      </c>
      <c r="N1793" s="475">
        <v>44594</v>
      </c>
      <c r="O1793" s="475" t="s">
        <v>1280</v>
      </c>
      <c r="P1793" s="475">
        <v>44631</v>
      </c>
      <c r="Q1793" s="475">
        <v>44643</v>
      </c>
      <c r="R1793" s="475">
        <v>44645</v>
      </c>
      <c r="S1793" s="474" t="s">
        <v>1102</v>
      </c>
      <c r="T1793" s="474">
        <v>60</v>
      </c>
      <c r="U1793" s="474">
        <v>49403540</v>
      </c>
      <c r="V1793" s="474" t="s">
        <v>973</v>
      </c>
      <c r="W1793" s="476">
        <v>400</v>
      </c>
      <c r="X1793" s="402">
        <v>96</v>
      </c>
      <c r="Y1793" s="491">
        <f t="shared" si="289"/>
        <v>38400</v>
      </c>
      <c r="Z1793" s="478">
        <v>0.55000000000000004</v>
      </c>
      <c r="AA1793" s="582">
        <f t="shared" si="296"/>
        <v>21120</v>
      </c>
      <c r="AB1793" s="480"/>
      <c r="AC1793" s="481">
        <v>0</v>
      </c>
      <c r="AD1793" s="490"/>
      <c r="AE1793" s="482"/>
      <c r="AF1793" s="493">
        <f t="shared" si="291"/>
        <v>21120</v>
      </c>
      <c r="AG1793" s="474" t="s">
        <v>1071</v>
      </c>
      <c r="AH1793" s="474"/>
      <c r="AI1793" s="474">
        <v>60</v>
      </c>
      <c r="AJ1793" s="474" t="s">
        <v>1346</v>
      </c>
      <c r="AK1793" s="474" t="s">
        <v>1347</v>
      </c>
      <c r="AL1793" s="494">
        <v>18360</v>
      </c>
      <c r="AM1793" s="474" t="s">
        <v>52</v>
      </c>
      <c r="AN1793" s="474" t="s">
        <v>1106</v>
      </c>
      <c r="AO1793" s="474"/>
      <c r="AP1793" s="482"/>
      <c r="AQ1793" s="482" t="s">
        <v>37</v>
      </c>
      <c r="AR1793" s="474"/>
      <c r="AS1793" s="436"/>
      <c r="AT1793" s="281"/>
      <c r="AU1793" s="472"/>
    </row>
    <row r="1794" spans="1:47" s="471" customFormat="1">
      <c r="A1794" s="278">
        <v>10</v>
      </c>
      <c r="B1794" s="279"/>
      <c r="C1794" s="279"/>
      <c r="D1794" s="394" t="s">
        <v>3678</v>
      </c>
      <c r="E1794" s="282" t="s">
        <v>3758</v>
      </c>
      <c r="F1794" s="474" t="s">
        <v>1147</v>
      </c>
      <c r="G1794" s="474">
        <v>2022</v>
      </c>
      <c r="H1794" s="474">
        <v>3</v>
      </c>
      <c r="I1794" s="415">
        <v>127848</v>
      </c>
      <c r="J1794" s="538">
        <v>44643</v>
      </c>
      <c r="K1794" s="524" t="s">
        <v>3757</v>
      </c>
      <c r="L1794" s="524" t="s">
        <v>1366</v>
      </c>
      <c r="M1794" s="475">
        <v>44473</v>
      </c>
      <c r="N1794" s="475">
        <v>44594</v>
      </c>
      <c r="O1794" s="475" t="s">
        <v>1280</v>
      </c>
      <c r="P1794" s="475">
        <v>44631</v>
      </c>
      <c r="Q1794" s="475">
        <v>44643</v>
      </c>
      <c r="R1794" s="475">
        <v>44645</v>
      </c>
      <c r="S1794" s="474" t="s">
        <v>1102</v>
      </c>
      <c r="T1794" s="474">
        <v>60</v>
      </c>
      <c r="U1794" s="474">
        <v>49405140</v>
      </c>
      <c r="V1794" s="474" t="s">
        <v>973</v>
      </c>
      <c r="W1794" s="476">
        <v>400</v>
      </c>
      <c r="X1794" s="402">
        <v>672</v>
      </c>
      <c r="Y1794" s="491">
        <f t="shared" si="289"/>
        <v>268800</v>
      </c>
      <c r="Z1794" s="478">
        <v>0.55000000000000004</v>
      </c>
      <c r="AA1794" s="582">
        <f t="shared" si="296"/>
        <v>147840</v>
      </c>
      <c r="AB1794" s="480"/>
      <c r="AC1794" s="481">
        <v>0</v>
      </c>
      <c r="AD1794" s="490"/>
      <c r="AE1794" s="482"/>
      <c r="AF1794" s="493">
        <f t="shared" si="291"/>
        <v>147840</v>
      </c>
      <c r="AG1794" s="474" t="s">
        <v>1071</v>
      </c>
      <c r="AH1794" s="474"/>
      <c r="AI1794" s="474">
        <v>60</v>
      </c>
      <c r="AJ1794" s="474" t="s">
        <v>1346</v>
      </c>
      <c r="AK1794" s="474" t="s">
        <v>1347</v>
      </c>
      <c r="AL1794" s="494">
        <v>18360</v>
      </c>
      <c r="AM1794" s="474" t="s">
        <v>52</v>
      </c>
      <c r="AN1794" s="474" t="s">
        <v>1106</v>
      </c>
      <c r="AO1794" s="474"/>
      <c r="AP1794" s="482"/>
      <c r="AQ1794" s="482" t="s">
        <v>37</v>
      </c>
      <c r="AR1794" s="474"/>
      <c r="AS1794" s="436"/>
      <c r="AT1794" s="281"/>
      <c r="AU1794" s="472"/>
    </row>
    <row r="1795" spans="1:47" s="471" customFormat="1">
      <c r="A1795" s="278"/>
      <c r="B1795" s="279"/>
      <c r="C1795" s="279"/>
      <c r="D1795" s="394" t="s">
        <v>3678</v>
      </c>
      <c r="E1795" s="280" t="s">
        <v>3679</v>
      </c>
      <c r="F1795" s="474"/>
      <c r="G1795" s="474">
        <v>2022</v>
      </c>
      <c r="H1795" s="474">
        <v>3</v>
      </c>
      <c r="I1795" s="485">
        <v>127810</v>
      </c>
      <c r="J1795" s="475">
        <v>44648</v>
      </c>
      <c r="K1795" s="474" t="s">
        <v>3759</v>
      </c>
      <c r="L1795" s="474" t="s">
        <v>1373</v>
      </c>
      <c r="M1795" s="475">
        <v>44517</v>
      </c>
      <c r="N1795" s="475">
        <v>44517</v>
      </c>
      <c r="O1795" s="475"/>
      <c r="P1795" s="475">
        <v>44630</v>
      </c>
      <c r="Q1795" s="475">
        <v>44649</v>
      </c>
      <c r="R1795" s="475">
        <v>44650</v>
      </c>
      <c r="S1795" s="474" t="s">
        <v>1102</v>
      </c>
      <c r="T1795" s="474">
        <v>60</v>
      </c>
      <c r="U1795" s="474">
        <v>49204132</v>
      </c>
      <c r="V1795" s="474" t="s">
        <v>1223</v>
      </c>
      <c r="W1795" s="476">
        <v>360</v>
      </c>
      <c r="X1795" s="402">
        <v>728</v>
      </c>
      <c r="Y1795" s="491">
        <f t="shared" si="289"/>
        <v>262080</v>
      </c>
      <c r="Z1795" s="478">
        <v>0.83</v>
      </c>
      <c r="AA1795" s="479">
        <f t="shared" si="296"/>
        <v>217526.39999999999</v>
      </c>
      <c r="AB1795" s="480"/>
      <c r="AC1795" s="481">
        <f t="shared" ref="AC1795:AC1822" si="297">AB1795*Y1795</f>
        <v>0</v>
      </c>
      <c r="AD1795" s="490"/>
      <c r="AE1795" s="482"/>
      <c r="AF1795" s="493">
        <f t="shared" si="291"/>
        <v>217526.39999999999</v>
      </c>
      <c r="AG1795" s="474" t="s">
        <v>1071</v>
      </c>
      <c r="AH1795" s="474">
        <v>0</v>
      </c>
      <c r="AI1795" s="474">
        <v>60</v>
      </c>
      <c r="AJ1795" s="474" t="s">
        <v>1374</v>
      </c>
      <c r="AK1795" s="474" t="s">
        <v>1375</v>
      </c>
      <c r="AL1795" s="494" t="s">
        <v>3760</v>
      </c>
      <c r="AM1795" s="474" t="s">
        <v>52</v>
      </c>
      <c r="AN1795" s="474" t="s">
        <v>1074</v>
      </c>
      <c r="AO1795" s="474"/>
      <c r="AP1795" s="482"/>
      <c r="AQ1795" s="482" t="s">
        <v>1086</v>
      </c>
      <c r="AR1795" s="474"/>
      <c r="AS1795" s="436" t="s">
        <v>1087</v>
      </c>
      <c r="AT1795" s="281" t="s">
        <v>1076</v>
      </c>
      <c r="AU1795" s="472"/>
    </row>
    <row r="1796" spans="1:47" s="471" customFormat="1">
      <c r="A1796" s="278"/>
      <c r="B1796" s="279"/>
      <c r="C1796" s="279"/>
      <c r="D1796" s="394" t="s">
        <v>3678</v>
      </c>
      <c r="E1796" s="280" t="s">
        <v>3695</v>
      </c>
      <c r="F1796" s="474"/>
      <c r="G1796" s="474">
        <v>2022</v>
      </c>
      <c r="H1796" s="474">
        <v>3</v>
      </c>
      <c r="I1796" s="485">
        <v>127232</v>
      </c>
      <c r="J1796" s="475">
        <v>44622</v>
      </c>
      <c r="K1796" s="474" t="s">
        <v>3761</v>
      </c>
      <c r="L1796" s="474" t="s">
        <v>3762</v>
      </c>
      <c r="M1796" s="475">
        <v>44505</v>
      </c>
      <c r="N1796" s="475">
        <v>44567</v>
      </c>
      <c r="O1796" s="475"/>
      <c r="P1796" s="475">
        <v>44607</v>
      </c>
      <c r="Q1796" s="475">
        <v>44617</v>
      </c>
      <c r="R1796" s="475">
        <v>44622</v>
      </c>
      <c r="S1796" s="474" t="s">
        <v>1102</v>
      </c>
      <c r="T1796" s="474">
        <v>60</v>
      </c>
      <c r="U1796" s="474">
        <v>49201132</v>
      </c>
      <c r="V1796" s="474" t="s">
        <v>986</v>
      </c>
      <c r="W1796" s="476">
        <v>360</v>
      </c>
      <c r="X1796" s="402">
        <v>896</v>
      </c>
      <c r="Y1796" s="491">
        <f t="shared" si="289"/>
        <v>322560</v>
      </c>
      <c r="Z1796" s="478">
        <v>0.47499999999999998</v>
      </c>
      <c r="AA1796" s="479">
        <f t="shared" si="296"/>
        <v>153216</v>
      </c>
      <c r="AB1796" s="480"/>
      <c r="AC1796" s="481">
        <f t="shared" si="297"/>
        <v>0</v>
      </c>
      <c r="AD1796" s="490"/>
      <c r="AE1796" s="482"/>
      <c r="AF1796" s="493">
        <f t="shared" si="291"/>
        <v>153216</v>
      </c>
      <c r="AG1796" s="474" t="s">
        <v>47</v>
      </c>
      <c r="AH1796" s="474">
        <v>0</v>
      </c>
      <c r="AI1796" s="474">
        <v>60</v>
      </c>
      <c r="AJ1796" s="474" t="s">
        <v>3304</v>
      </c>
      <c r="AK1796" s="474" t="s">
        <v>1144</v>
      </c>
      <c r="AL1796" s="494">
        <v>75261</v>
      </c>
      <c r="AM1796" s="474" t="s">
        <v>52</v>
      </c>
      <c r="AN1796" s="474" t="s">
        <v>1074</v>
      </c>
      <c r="AO1796" s="474"/>
      <c r="AP1796" s="482"/>
      <c r="AQ1796" s="482" t="s">
        <v>37</v>
      </c>
      <c r="AR1796" s="474"/>
      <c r="AS1796" s="436" t="s">
        <v>3763</v>
      </c>
      <c r="AT1796" s="281" t="s">
        <v>1076</v>
      </c>
      <c r="AU1796" s="472"/>
    </row>
    <row r="1797" spans="1:47" s="471" customFormat="1">
      <c r="A1797" s="278"/>
      <c r="B1797" s="279"/>
      <c r="C1797" s="279"/>
      <c r="D1797" s="394" t="s">
        <v>3678</v>
      </c>
      <c r="E1797" s="280" t="s">
        <v>3695</v>
      </c>
      <c r="F1797" s="474"/>
      <c r="G1797" s="474">
        <v>2022</v>
      </c>
      <c r="H1797" s="474">
        <v>3</v>
      </c>
      <c r="I1797" s="485">
        <v>127233</v>
      </c>
      <c r="J1797" s="475">
        <v>44621</v>
      </c>
      <c r="K1797" s="474" t="s">
        <v>3764</v>
      </c>
      <c r="L1797" s="474" t="s">
        <v>3762</v>
      </c>
      <c r="M1797" s="475">
        <v>44505</v>
      </c>
      <c r="N1797" s="475">
        <v>44567</v>
      </c>
      <c r="O1797" s="475"/>
      <c r="P1797" s="475">
        <v>44617</v>
      </c>
      <c r="Q1797" s="475">
        <v>44621</v>
      </c>
      <c r="R1797" s="475">
        <v>44622</v>
      </c>
      <c r="S1797" s="474" t="s">
        <v>1102</v>
      </c>
      <c r="T1797" s="474">
        <v>60</v>
      </c>
      <c r="U1797" s="474">
        <v>49201132</v>
      </c>
      <c r="V1797" s="474" t="s">
        <v>986</v>
      </c>
      <c r="W1797" s="476">
        <v>360</v>
      </c>
      <c r="X1797" s="402">
        <v>896</v>
      </c>
      <c r="Y1797" s="491">
        <f t="shared" si="289"/>
        <v>322560</v>
      </c>
      <c r="Z1797" s="478">
        <v>0.47499999999999998</v>
      </c>
      <c r="AA1797" s="479">
        <f t="shared" si="296"/>
        <v>153216</v>
      </c>
      <c r="AB1797" s="480"/>
      <c r="AC1797" s="481">
        <f t="shared" si="297"/>
        <v>0</v>
      </c>
      <c r="AD1797" s="490"/>
      <c r="AE1797" s="482"/>
      <c r="AF1797" s="493">
        <f t="shared" si="291"/>
        <v>153216</v>
      </c>
      <c r="AG1797" s="474" t="s">
        <v>1071</v>
      </c>
      <c r="AH1797" s="474">
        <v>0</v>
      </c>
      <c r="AI1797" s="474">
        <v>60</v>
      </c>
      <c r="AJ1797" s="474" t="s">
        <v>3765</v>
      </c>
      <c r="AK1797" s="474" t="s">
        <v>1085</v>
      </c>
      <c r="AL1797" s="494">
        <v>8840</v>
      </c>
      <c r="AM1797" s="474" t="s">
        <v>52</v>
      </c>
      <c r="AN1797" s="474" t="s">
        <v>1074</v>
      </c>
      <c r="AO1797" s="474"/>
      <c r="AP1797" s="482"/>
      <c r="AQ1797" s="482" t="s">
        <v>37</v>
      </c>
      <c r="AR1797" s="474"/>
      <c r="AS1797" s="436" t="s">
        <v>3763</v>
      </c>
      <c r="AT1797" s="281" t="s">
        <v>1076</v>
      </c>
      <c r="AU1797" s="472"/>
    </row>
    <row r="1798" spans="1:47" s="471" customFormat="1">
      <c r="A1798" s="278"/>
      <c r="B1798" s="279"/>
      <c r="C1798" s="279"/>
      <c r="D1798" s="394" t="s">
        <v>3678</v>
      </c>
      <c r="E1798" s="280" t="s">
        <v>3695</v>
      </c>
      <c r="F1798" s="474"/>
      <c r="G1798" s="474">
        <v>2022</v>
      </c>
      <c r="H1798" s="474">
        <v>3</v>
      </c>
      <c r="I1798" s="485">
        <v>127234</v>
      </c>
      <c r="J1798" s="475">
        <v>44621</v>
      </c>
      <c r="K1798" s="474" t="s">
        <v>3766</v>
      </c>
      <c r="L1798" s="474" t="s">
        <v>3762</v>
      </c>
      <c r="M1798" s="475">
        <v>44505</v>
      </c>
      <c r="N1798" s="475">
        <v>44614</v>
      </c>
      <c r="O1798" s="475"/>
      <c r="P1798" s="475">
        <v>44617</v>
      </c>
      <c r="Q1798" s="475">
        <v>44621</v>
      </c>
      <c r="R1798" s="475">
        <v>44622</v>
      </c>
      <c r="S1798" s="474" t="s">
        <v>1102</v>
      </c>
      <c r="T1798" s="474">
        <v>60</v>
      </c>
      <c r="U1798" s="474">
        <v>49201132</v>
      </c>
      <c r="V1798" s="474" t="s">
        <v>986</v>
      </c>
      <c r="W1798" s="476">
        <v>360</v>
      </c>
      <c r="X1798" s="402">
        <v>896</v>
      </c>
      <c r="Y1798" s="491">
        <f t="shared" si="289"/>
        <v>322560</v>
      </c>
      <c r="Z1798" s="478">
        <v>0.47499999999999998</v>
      </c>
      <c r="AA1798" s="479">
        <f t="shared" si="296"/>
        <v>153216</v>
      </c>
      <c r="AB1798" s="480"/>
      <c r="AC1798" s="481">
        <f t="shared" si="297"/>
        <v>0</v>
      </c>
      <c r="AD1798" s="490"/>
      <c r="AE1798" s="482"/>
      <c r="AF1798" s="493">
        <f t="shared" si="291"/>
        <v>153216</v>
      </c>
      <c r="AG1798" s="474" t="s">
        <v>1071</v>
      </c>
      <c r="AH1798" s="474">
        <v>0</v>
      </c>
      <c r="AI1798" s="474">
        <v>60</v>
      </c>
      <c r="AJ1798" s="474" t="s">
        <v>3767</v>
      </c>
      <c r="AK1798" s="474" t="s">
        <v>1138</v>
      </c>
      <c r="AL1798" s="494">
        <v>11803</v>
      </c>
      <c r="AM1798" s="474" t="s">
        <v>52</v>
      </c>
      <c r="AN1798" s="474" t="s">
        <v>1074</v>
      </c>
      <c r="AO1798" s="474"/>
      <c r="AP1798" s="482"/>
      <c r="AQ1798" s="482" t="s">
        <v>37</v>
      </c>
      <c r="AR1798" s="474"/>
      <c r="AS1798" s="436" t="s">
        <v>3763</v>
      </c>
      <c r="AT1798" s="281" t="s">
        <v>1076</v>
      </c>
      <c r="AU1798" s="472"/>
    </row>
    <row r="1799" spans="1:47" s="471" customFormat="1">
      <c r="A1799" s="278"/>
      <c r="B1799" s="279"/>
      <c r="C1799" s="279"/>
      <c r="D1799" s="394" t="s">
        <v>3678</v>
      </c>
      <c r="E1799" s="280" t="s">
        <v>3695</v>
      </c>
      <c r="F1799" s="474"/>
      <c r="G1799" s="474">
        <v>2022</v>
      </c>
      <c r="H1799" s="474">
        <v>3</v>
      </c>
      <c r="I1799" s="485">
        <v>127279</v>
      </c>
      <c r="J1799" s="475">
        <v>44621</v>
      </c>
      <c r="K1799" s="474" t="s">
        <v>3768</v>
      </c>
      <c r="L1799" s="474" t="s">
        <v>3762</v>
      </c>
      <c r="M1799" s="475">
        <v>44505</v>
      </c>
      <c r="N1799" s="475">
        <v>44614</v>
      </c>
      <c r="O1799" s="475"/>
      <c r="P1799" s="475">
        <v>44617</v>
      </c>
      <c r="Q1799" s="475">
        <v>44621</v>
      </c>
      <c r="R1799" s="475">
        <v>44623</v>
      </c>
      <c r="S1799" s="474" t="s">
        <v>1102</v>
      </c>
      <c r="T1799" s="474">
        <v>60</v>
      </c>
      <c r="U1799" s="474">
        <v>49201132</v>
      </c>
      <c r="V1799" s="474" t="s">
        <v>986</v>
      </c>
      <c r="W1799" s="476">
        <v>360</v>
      </c>
      <c r="X1799" s="402">
        <v>896</v>
      </c>
      <c r="Y1799" s="491">
        <f t="shared" si="289"/>
        <v>322560</v>
      </c>
      <c r="Z1799" s="478">
        <v>0.47499999999999998</v>
      </c>
      <c r="AA1799" s="479">
        <f t="shared" si="296"/>
        <v>153216</v>
      </c>
      <c r="AB1799" s="480"/>
      <c r="AC1799" s="481">
        <f t="shared" si="297"/>
        <v>0</v>
      </c>
      <c r="AD1799" s="490"/>
      <c r="AE1799" s="482"/>
      <c r="AF1799" s="493">
        <f t="shared" si="291"/>
        <v>153216</v>
      </c>
      <c r="AG1799" s="474" t="s">
        <v>1071</v>
      </c>
      <c r="AH1799" s="474">
        <v>0</v>
      </c>
      <c r="AI1799" s="474">
        <v>60</v>
      </c>
      <c r="AJ1799" s="474" t="s">
        <v>3304</v>
      </c>
      <c r="AK1799" s="474" t="s">
        <v>1144</v>
      </c>
      <c r="AL1799" s="494">
        <v>75261</v>
      </c>
      <c r="AM1799" s="474" t="s">
        <v>52</v>
      </c>
      <c r="AN1799" s="474" t="s">
        <v>1074</v>
      </c>
      <c r="AO1799" s="474"/>
      <c r="AP1799" s="482"/>
      <c r="AQ1799" s="482" t="s">
        <v>37</v>
      </c>
      <c r="AR1799" s="474"/>
      <c r="AS1799" s="436" t="s">
        <v>3763</v>
      </c>
      <c r="AT1799" s="281" t="s">
        <v>1076</v>
      </c>
      <c r="AU1799" s="472"/>
    </row>
    <row r="1800" spans="1:47" s="471" customFormat="1">
      <c r="A1800" s="278"/>
      <c r="B1800" s="279"/>
      <c r="C1800" s="279"/>
      <c r="D1800" s="394" t="s">
        <v>3678</v>
      </c>
      <c r="E1800" s="280" t="s">
        <v>3769</v>
      </c>
      <c r="F1800" s="474"/>
      <c r="G1800" s="474">
        <v>2022</v>
      </c>
      <c r="H1800" s="474">
        <v>3</v>
      </c>
      <c r="I1800" s="474">
        <v>127816</v>
      </c>
      <c r="J1800" s="475">
        <v>44650</v>
      </c>
      <c r="K1800" s="474" t="s">
        <v>3770</v>
      </c>
      <c r="L1800" s="474" t="s">
        <v>3762</v>
      </c>
      <c r="M1800" s="475">
        <v>44621</v>
      </c>
      <c r="N1800" s="475">
        <v>44628</v>
      </c>
      <c r="O1800" s="475"/>
      <c r="P1800" s="475">
        <v>44644</v>
      </c>
      <c r="Q1800" s="475">
        <v>44648</v>
      </c>
      <c r="R1800" s="475">
        <v>44650</v>
      </c>
      <c r="S1800" s="474" t="s">
        <v>1102</v>
      </c>
      <c r="T1800" s="474">
        <v>60</v>
      </c>
      <c r="U1800" s="474">
        <v>49201132</v>
      </c>
      <c r="V1800" s="474" t="s">
        <v>986</v>
      </c>
      <c r="W1800" s="476">
        <v>360</v>
      </c>
      <c r="X1800" s="402">
        <v>800</v>
      </c>
      <c r="Y1800" s="491">
        <f>X1800*W1800</f>
        <v>288000</v>
      </c>
      <c r="Z1800" s="478">
        <v>0.47499999999999998</v>
      </c>
      <c r="AA1800" s="479">
        <f t="shared" si="296"/>
        <v>136800</v>
      </c>
      <c r="AB1800" s="480"/>
      <c r="AC1800" s="481">
        <f t="shared" si="297"/>
        <v>0</v>
      </c>
      <c r="AD1800" s="490"/>
      <c r="AE1800" s="482"/>
      <c r="AF1800" s="493">
        <f t="shared" si="291"/>
        <v>136800</v>
      </c>
      <c r="AG1800" s="474" t="s">
        <v>47</v>
      </c>
      <c r="AH1800" s="474">
        <v>0</v>
      </c>
      <c r="AI1800" s="474">
        <v>60</v>
      </c>
      <c r="AJ1800" s="474" t="s">
        <v>3767</v>
      </c>
      <c r="AK1800" s="474" t="s">
        <v>1138</v>
      </c>
      <c r="AL1800" s="494">
        <v>11803</v>
      </c>
      <c r="AM1800" s="474" t="s">
        <v>52</v>
      </c>
      <c r="AN1800" s="474" t="s">
        <v>1106</v>
      </c>
      <c r="AO1800" s="474"/>
      <c r="AP1800" s="482"/>
      <c r="AQ1800" s="482" t="s">
        <v>37</v>
      </c>
      <c r="AR1800" s="474"/>
      <c r="AS1800" s="436" t="s">
        <v>3763</v>
      </c>
      <c r="AT1800" s="281" t="s">
        <v>1076</v>
      </c>
      <c r="AU1800" s="472"/>
    </row>
    <row r="1801" spans="1:47" s="471" customFormat="1">
      <c r="A1801" s="278"/>
      <c r="B1801" s="279"/>
      <c r="C1801" s="279"/>
      <c r="D1801" s="394" t="s">
        <v>3678</v>
      </c>
      <c r="E1801" s="282" t="s">
        <v>3771</v>
      </c>
      <c r="F1801" s="474"/>
      <c r="G1801" s="474">
        <v>2022</v>
      </c>
      <c r="H1801" s="474">
        <v>3</v>
      </c>
      <c r="I1801" s="415">
        <v>127867</v>
      </c>
      <c r="J1801" s="538">
        <v>44650</v>
      </c>
      <c r="K1801" s="524" t="s">
        <v>3770</v>
      </c>
      <c r="L1801" s="524" t="s">
        <v>3762</v>
      </c>
      <c r="M1801" s="475">
        <v>44621</v>
      </c>
      <c r="N1801" s="475">
        <v>44628</v>
      </c>
      <c r="O1801" s="475"/>
      <c r="P1801" s="475">
        <v>44644</v>
      </c>
      <c r="Q1801" s="475">
        <v>44648</v>
      </c>
      <c r="R1801" s="475">
        <v>44650</v>
      </c>
      <c r="S1801" s="474" t="s">
        <v>1102</v>
      </c>
      <c r="T1801" s="474">
        <v>60</v>
      </c>
      <c r="U1801" s="474">
        <v>49201132</v>
      </c>
      <c r="V1801" s="474" t="s">
        <v>986</v>
      </c>
      <c r="W1801" s="476">
        <v>360</v>
      </c>
      <c r="X1801" s="402">
        <v>96</v>
      </c>
      <c r="Y1801" s="491">
        <f>X1801*W1801</f>
        <v>34560</v>
      </c>
      <c r="Z1801" s="478">
        <v>0.47499999999999998</v>
      </c>
      <c r="AA1801" s="479">
        <f t="shared" si="296"/>
        <v>16416</v>
      </c>
      <c r="AB1801" s="480"/>
      <c r="AC1801" s="481">
        <f t="shared" si="297"/>
        <v>0</v>
      </c>
      <c r="AD1801" s="490"/>
      <c r="AE1801" s="482"/>
      <c r="AF1801" s="493">
        <f t="shared" si="291"/>
        <v>16416</v>
      </c>
      <c r="AG1801" s="474" t="s">
        <v>47</v>
      </c>
      <c r="AH1801" s="474">
        <v>0</v>
      </c>
      <c r="AI1801" s="474">
        <v>60</v>
      </c>
      <c r="AJ1801" s="474" t="s">
        <v>3767</v>
      </c>
      <c r="AK1801" s="474" t="s">
        <v>1138</v>
      </c>
      <c r="AL1801" s="494">
        <v>11803</v>
      </c>
      <c r="AM1801" s="474" t="s">
        <v>52</v>
      </c>
      <c r="AN1801" s="474" t="s">
        <v>1106</v>
      </c>
      <c r="AO1801" s="474"/>
      <c r="AP1801" s="482"/>
      <c r="AQ1801" s="482" t="s">
        <v>37</v>
      </c>
      <c r="AR1801" s="474"/>
      <c r="AS1801" s="436" t="s">
        <v>3763</v>
      </c>
      <c r="AT1801" s="281" t="s">
        <v>1076</v>
      </c>
      <c r="AU1801" s="472"/>
    </row>
    <row r="1802" spans="1:47" s="471" customFormat="1">
      <c r="A1802" s="278"/>
      <c r="B1802" s="279"/>
      <c r="C1802" s="279"/>
      <c r="D1802" s="394" t="s">
        <v>3678</v>
      </c>
      <c r="E1802" s="280" t="s">
        <v>3683</v>
      </c>
      <c r="F1802" s="474"/>
      <c r="G1802" s="474">
        <v>2022</v>
      </c>
      <c r="H1802" s="474">
        <v>3</v>
      </c>
      <c r="I1802" s="474">
        <v>127714</v>
      </c>
      <c r="J1802" s="475">
        <v>44650</v>
      </c>
      <c r="K1802" s="474" t="s">
        <v>3772</v>
      </c>
      <c r="L1802" s="474" t="s">
        <v>3762</v>
      </c>
      <c r="M1802" s="475">
        <v>44621</v>
      </c>
      <c r="N1802" s="475">
        <v>44628</v>
      </c>
      <c r="O1802" s="475"/>
      <c r="P1802" s="475">
        <v>44644</v>
      </c>
      <c r="Q1802" s="475">
        <v>44648</v>
      </c>
      <c r="R1802" s="475">
        <v>44650</v>
      </c>
      <c r="S1802" s="474" t="s">
        <v>1102</v>
      </c>
      <c r="T1802" s="474">
        <v>60</v>
      </c>
      <c r="U1802" s="474">
        <v>49201132</v>
      </c>
      <c r="V1802" s="474" t="s">
        <v>986</v>
      </c>
      <c r="W1802" s="476">
        <v>360</v>
      </c>
      <c r="X1802" s="402">
        <v>896</v>
      </c>
      <c r="Y1802" s="491">
        <f>X1802*W1802</f>
        <v>322560</v>
      </c>
      <c r="Z1802" s="478">
        <v>0.47499999999999998</v>
      </c>
      <c r="AA1802" s="479">
        <f t="shared" si="296"/>
        <v>153216</v>
      </c>
      <c r="AB1802" s="480"/>
      <c r="AC1802" s="481">
        <f t="shared" si="297"/>
        <v>0</v>
      </c>
      <c r="AD1802" s="490"/>
      <c r="AE1802" s="482"/>
      <c r="AF1802" s="493">
        <v>8</v>
      </c>
      <c r="AG1802" s="474" t="s">
        <v>47</v>
      </c>
      <c r="AH1802" s="474">
        <v>0</v>
      </c>
      <c r="AI1802" s="474">
        <v>60</v>
      </c>
      <c r="AJ1802" s="474" t="s">
        <v>3765</v>
      </c>
      <c r="AK1802" s="474" t="s">
        <v>1085</v>
      </c>
      <c r="AL1802" s="494">
        <v>8840</v>
      </c>
      <c r="AM1802" s="474" t="s">
        <v>52</v>
      </c>
      <c r="AN1802" s="474" t="s">
        <v>1106</v>
      </c>
      <c r="AO1802" s="474"/>
      <c r="AP1802" s="482"/>
      <c r="AQ1802" s="482" t="s">
        <v>37</v>
      </c>
      <c r="AR1802" s="474"/>
      <c r="AS1802" s="436" t="s">
        <v>3763</v>
      </c>
      <c r="AT1802" s="281" t="s">
        <v>1076</v>
      </c>
      <c r="AU1802" s="472"/>
    </row>
    <row r="1803" spans="1:47" s="471" customFormat="1">
      <c r="A1803" s="278"/>
      <c r="B1803" s="279"/>
      <c r="C1803" s="279"/>
      <c r="D1803" s="394" t="s">
        <v>3678</v>
      </c>
      <c r="E1803" s="280" t="s">
        <v>3702</v>
      </c>
      <c r="F1803" s="474"/>
      <c r="G1803" s="474">
        <v>2022</v>
      </c>
      <c r="H1803" s="474">
        <v>3</v>
      </c>
      <c r="I1803" s="485">
        <v>127448</v>
      </c>
      <c r="J1803" s="475">
        <v>44635</v>
      </c>
      <c r="K1803" s="474" t="s">
        <v>3773</v>
      </c>
      <c r="L1803" s="474" t="s">
        <v>3762</v>
      </c>
      <c r="M1803" s="475">
        <v>44621</v>
      </c>
      <c r="N1803" s="475">
        <v>44628</v>
      </c>
      <c r="O1803" s="475"/>
      <c r="P1803" s="475">
        <v>44630</v>
      </c>
      <c r="Q1803" s="475">
        <v>44634</v>
      </c>
      <c r="R1803" s="475">
        <v>44635</v>
      </c>
      <c r="S1803" s="474" t="s">
        <v>1102</v>
      </c>
      <c r="T1803" s="474">
        <v>60</v>
      </c>
      <c r="U1803" s="474">
        <v>49201132</v>
      </c>
      <c r="V1803" s="474" t="s">
        <v>986</v>
      </c>
      <c r="W1803" s="476">
        <v>360</v>
      </c>
      <c r="X1803" s="402">
        <v>896</v>
      </c>
      <c r="Y1803" s="491">
        <f>W1803*X1803</f>
        <v>322560</v>
      </c>
      <c r="Z1803" s="478">
        <v>0.47499999999999998</v>
      </c>
      <c r="AA1803" s="479">
        <f t="shared" si="296"/>
        <v>153216</v>
      </c>
      <c r="AB1803" s="480"/>
      <c r="AC1803" s="481">
        <f t="shared" si="297"/>
        <v>0</v>
      </c>
      <c r="AD1803" s="490"/>
      <c r="AE1803" s="482"/>
      <c r="AF1803" s="493">
        <f t="shared" ref="AF1803:AF1822" si="298">AE1803+AD1803+AA1803</f>
        <v>153216</v>
      </c>
      <c r="AG1803" s="474" t="s">
        <v>47</v>
      </c>
      <c r="AH1803" s="474">
        <v>0</v>
      </c>
      <c r="AI1803" s="474">
        <v>60</v>
      </c>
      <c r="AJ1803" s="474" t="s">
        <v>2506</v>
      </c>
      <c r="AK1803" s="474" t="s">
        <v>1084</v>
      </c>
      <c r="AL1803" s="494">
        <v>33634</v>
      </c>
      <c r="AM1803" s="474" t="s">
        <v>52</v>
      </c>
      <c r="AN1803" s="474"/>
      <c r="AO1803" s="474"/>
      <c r="AP1803" s="482"/>
      <c r="AQ1803" s="482" t="s">
        <v>37</v>
      </c>
      <c r="AR1803" s="474"/>
      <c r="AS1803" s="436" t="s">
        <v>3763</v>
      </c>
      <c r="AT1803" s="281" t="s">
        <v>1076</v>
      </c>
      <c r="AU1803" s="472"/>
    </row>
    <row r="1804" spans="1:47" s="471" customFormat="1">
      <c r="A1804" s="278"/>
      <c r="B1804" s="279"/>
      <c r="C1804" s="279"/>
      <c r="D1804" s="394" t="s">
        <v>3678</v>
      </c>
      <c r="E1804" s="280" t="s">
        <v>3679</v>
      </c>
      <c r="F1804" s="474"/>
      <c r="G1804" s="474">
        <v>2022</v>
      </c>
      <c r="H1804" s="474">
        <v>3</v>
      </c>
      <c r="I1804" s="474">
        <v>127817</v>
      </c>
      <c r="J1804" s="475">
        <v>44650</v>
      </c>
      <c r="K1804" s="474" t="s">
        <v>3774</v>
      </c>
      <c r="L1804" s="474" t="s">
        <v>3762</v>
      </c>
      <c r="M1804" s="475">
        <v>44621</v>
      </c>
      <c r="N1804" s="475">
        <v>44628</v>
      </c>
      <c r="O1804" s="475"/>
      <c r="P1804" s="475">
        <v>44644</v>
      </c>
      <c r="Q1804" s="475">
        <v>44649</v>
      </c>
      <c r="R1804" s="475">
        <v>44650</v>
      </c>
      <c r="S1804" s="474" t="s">
        <v>1102</v>
      </c>
      <c r="T1804" s="474">
        <v>60</v>
      </c>
      <c r="U1804" s="474">
        <v>49201132</v>
      </c>
      <c r="V1804" s="474" t="s">
        <v>986</v>
      </c>
      <c r="W1804" s="476">
        <v>360</v>
      </c>
      <c r="X1804" s="402">
        <v>736</v>
      </c>
      <c r="Y1804" s="491">
        <f>X1804*W1804</f>
        <v>264960</v>
      </c>
      <c r="Z1804" s="478">
        <v>0.47499999999999998</v>
      </c>
      <c r="AA1804" s="479">
        <f t="shared" si="296"/>
        <v>125856</v>
      </c>
      <c r="AB1804" s="480"/>
      <c r="AC1804" s="481">
        <f t="shared" si="297"/>
        <v>0</v>
      </c>
      <c r="AD1804" s="490"/>
      <c r="AE1804" s="482"/>
      <c r="AF1804" s="493">
        <f t="shared" si="298"/>
        <v>125856</v>
      </c>
      <c r="AG1804" s="474" t="s">
        <v>47</v>
      </c>
      <c r="AH1804" s="474">
        <v>0</v>
      </c>
      <c r="AI1804" s="474">
        <v>60</v>
      </c>
      <c r="AJ1804" s="474" t="s">
        <v>2277</v>
      </c>
      <c r="AK1804" s="474" t="s">
        <v>1084</v>
      </c>
      <c r="AL1804" s="494">
        <v>32822</v>
      </c>
      <c r="AM1804" s="474" t="s">
        <v>52</v>
      </c>
      <c r="AN1804" s="474" t="s">
        <v>1106</v>
      </c>
      <c r="AO1804" s="474"/>
      <c r="AP1804" s="482"/>
      <c r="AQ1804" s="482" t="s">
        <v>37</v>
      </c>
      <c r="AR1804" s="474"/>
      <c r="AS1804" s="436" t="s">
        <v>3763</v>
      </c>
      <c r="AT1804" s="281" t="s">
        <v>1076</v>
      </c>
      <c r="AU1804" s="472"/>
    </row>
    <row r="1805" spans="1:47" s="471" customFormat="1">
      <c r="A1805" s="278"/>
      <c r="B1805" s="279"/>
      <c r="C1805" s="279"/>
      <c r="D1805" s="394" t="s">
        <v>3678</v>
      </c>
      <c r="E1805" s="282" t="s">
        <v>3775</v>
      </c>
      <c r="F1805" s="474"/>
      <c r="G1805" s="474">
        <v>2022</v>
      </c>
      <c r="H1805" s="474">
        <v>3</v>
      </c>
      <c r="I1805" s="415">
        <v>127868</v>
      </c>
      <c r="J1805" s="538">
        <v>44650</v>
      </c>
      <c r="K1805" s="524" t="s">
        <v>3774</v>
      </c>
      <c r="L1805" s="524" t="s">
        <v>3762</v>
      </c>
      <c r="M1805" s="475">
        <v>44621</v>
      </c>
      <c r="N1805" s="475">
        <v>44628</v>
      </c>
      <c r="O1805" s="475"/>
      <c r="P1805" s="475">
        <v>44644</v>
      </c>
      <c r="Q1805" s="475">
        <v>44649</v>
      </c>
      <c r="R1805" s="475">
        <v>44650</v>
      </c>
      <c r="S1805" s="474" t="s">
        <v>1102</v>
      </c>
      <c r="T1805" s="474">
        <v>60</v>
      </c>
      <c r="U1805" s="474">
        <v>49201132</v>
      </c>
      <c r="V1805" s="474" t="s">
        <v>986</v>
      </c>
      <c r="W1805" s="476">
        <v>360</v>
      </c>
      <c r="X1805" s="402">
        <v>160</v>
      </c>
      <c r="Y1805" s="491">
        <f>X1805*W1805</f>
        <v>57600</v>
      </c>
      <c r="Z1805" s="478">
        <v>0.47499999999999998</v>
      </c>
      <c r="AA1805" s="479">
        <f t="shared" si="296"/>
        <v>27360</v>
      </c>
      <c r="AB1805" s="480"/>
      <c r="AC1805" s="481">
        <f t="shared" si="297"/>
        <v>0</v>
      </c>
      <c r="AD1805" s="490"/>
      <c r="AE1805" s="482"/>
      <c r="AF1805" s="493">
        <f t="shared" si="298"/>
        <v>27360</v>
      </c>
      <c r="AG1805" s="474" t="s">
        <v>47</v>
      </c>
      <c r="AH1805" s="474">
        <v>0</v>
      </c>
      <c r="AI1805" s="474">
        <v>60</v>
      </c>
      <c r="AJ1805" s="474" t="s">
        <v>2277</v>
      </c>
      <c r="AK1805" s="474" t="s">
        <v>1084</v>
      </c>
      <c r="AL1805" s="494">
        <v>32822</v>
      </c>
      <c r="AM1805" s="474" t="s">
        <v>52</v>
      </c>
      <c r="AN1805" s="474" t="s">
        <v>1106</v>
      </c>
      <c r="AO1805" s="474"/>
      <c r="AP1805" s="482"/>
      <c r="AQ1805" s="482" t="s">
        <v>37</v>
      </c>
      <c r="AR1805" s="474"/>
      <c r="AS1805" s="436" t="s">
        <v>3763</v>
      </c>
      <c r="AT1805" s="281" t="s">
        <v>1076</v>
      </c>
      <c r="AU1805" s="472"/>
    </row>
    <row r="1806" spans="1:47" s="471" customFormat="1">
      <c r="A1806" s="278"/>
      <c r="B1806" s="279"/>
      <c r="C1806" s="279"/>
      <c r="D1806" s="394" t="s">
        <v>3678</v>
      </c>
      <c r="E1806" s="280" t="s">
        <v>3702</v>
      </c>
      <c r="F1806" s="474"/>
      <c r="G1806" s="474">
        <v>2022</v>
      </c>
      <c r="H1806" s="474">
        <v>3</v>
      </c>
      <c r="I1806" s="485">
        <v>127449</v>
      </c>
      <c r="J1806" s="475">
        <v>44635</v>
      </c>
      <c r="K1806" s="474" t="s">
        <v>3776</v>
      </c>
      <c r="L1806" s="474" t="s">
        <v>3762</v>
      </c>
      <c r="M1806" s="475">
        <v>44621</v>
      </c>
      <c r="N1806" s="475">
        <v>44628</v>
      </c>
      <c r="O1806" s="475"/>
      <c r="P1806" s="475">
        <v>44630</v>
      </c>
      <c r="Q1806" s="475">
        <v>44634</v>
      </c>
      <c r="R1806" s="475">
        <v>44635</v>
      </c>
      <c r="S1806" s="474" t="s">
        <v>1102</v>
      </c>
      <c r="T1806" s="474">
        <v>60</v>
      </c>
      <c r="U1806" s="474">
        <v>49201132</v>
      </c>
      <c r="V1806" s="474" t="s">
        <v>986</v>
      </c>
      <c r="W1806" s="476">
        <v>360</v>
      </c>
      <c r="X1806" s="402">
        <v>896</v>
      </c>
      <c r="Y1806" s="491">
        <f>W1806*X1806</f>
        <v>322560</v>
      </c>
      <c r="Z1806" s="478">
        <v>0.47499999999999998</v>
      </c>
      <c r="AA1806" s="479">
        <f t="shared" si="296"/>
        <v>153216</v>
      </c>
      <c r="AB1806" s="480"/>
      <c r="AC1806" s="481">
        <f t="shared" si="297"/>
        <v>0</v>
      </c>
      <c r="AD1806" s="490"/>
      <c r="AE1806" s="482"/>
      <c r="AF1806" s="493">
        <f t="shared" si="298"/>
        <v>153216</v>
      </c>
      <c r="AG1806" s="474" t="s">
        <v>47</v>
      </c>
      <c r="AH1806" s="474">
        <v>0</v>
      </c>
      <c r="AI1806" s="474">
        <v>60</v>
      </c>
      <c r="AJ1806" s="474" t="s">
        <v>1593</v>
      </c>
      <c r="AK1806" s="474" t="s">
        <v>1144</v>
      </c>
      <c r="AL1806" s="494">
        <v>78764</v>
      </c>
      <c r="AM1806" s="474" t="s">
        <v>52</v>
      </c>
      <c r="AN1806" s="474" t="s">
        <v>1074</v>
      </c>
      <c r="AO1806" s="474"/>
      <c r="AP1806" s="482"/>
      <c r="AQ1806" s="482" t="s">
        <v>37</v>
      </c>
      <c r="AR1806" s="474"/>
      <c r="AS1806" s="436" t="s">
        <v>3763</v>
      </c>
      <c r="AT1806" s="281" t="s">
        <v>1076</v>
      </c>
      <c r="AU1806" s="472"/>
    </row>
    <row r="1807" spans="1:47" s="471" customFormat="1">
      <c r="A1807" s="278"/>
      <c r="B1807" s="279"/>
      <c r="C1807" s="279"/>
      <c r="D1807" s="394" t="s">
        <v>3678</v>
      </c>
      <c r="E1807" s="280" t="s">
        <v>3683</v>
      </c>
      <c r="F1807" s="474"/>
      <c r="G1807" s="474">
        <v>2022</v>
      </c>
      <c r="H1807" s="474">
        <v>3</v>
      </c>
      <c r="I1807" s="474">
        <v>127713</v>
      </c>
      <c r="J1807" s="475">
        <v>44650</v>
      </c>
      <c r="K1807" s="474" t="s">
        <v>3777</v>
      </c>
      <c r="L1807" s="474" t="s">
        <v>3762</v>
      </c>
      <c r="M1807" s="475">
        <v>44621</v>
      </c>
      <c r="N1807" s="475">
        <v>44628</v>
      </c>
      <c r="O1807" s="475"/>
      <c r="P1807" s="475">
        <v>44644</v>
      </c>
      <c r="Q1807" s="475">
        <v>44648</v>
      </c>
      <c r="R1807" s="475">
        <v>44650</v>
      </c>
      <c r="S1807" s="474" t="s">
        <v>1102</v>
      </c>
      <c r="T1807" s="474">
        <v>60</v>
      </c>
      <c r="U1807" s="474">
        <v>49201132</v>
      </c>
      <c r="V1807" s="474" t="s">
        <v>986</v>
      </c>
      <c r="W1807" s="476">
        <v>360</v>
      </c>
      <c r="X1807" s="402">
        <v>896</v>
      </c>
      <c r="Y1807" s="491">
        <f>X1807*W1807</f>
        <v>322560</v>
      </c>
      <c r="Z1807" s="478">
        <v>0.47499999999999998</v>
      </c>
      <c r="AA1807" s="479">
        <f t="shared" si="296"/>
        <v>153216</v>
      </c>
      <c r="AB1807" s="480"/>
      <c r="AC1807" s="481">
        <f t="shared" si="297"/>
        <v>0</v>
      </c>
      <c r="AD1807" s="490"/>
      <c r="AE1807" s="482"/>
      <c r="AF1807" s="493">
        <f t="shared" si="298"/>
        <v>153216</v>
      </c>
      <c r="AG1807" s="474" t="s">
        <v>47</v>
      </c>
      <c r="AH1807" s="474">
        <v>0</v>
      </c>
      <c r="AI1807" s="474">
        <v>60</v>
      </c>
      <c r="AJ1807" s="474" t="s">
        <v>3304</v>
      </c>
      <c r="AK1807" s="474" t="s">
        <v>1144</v>
      </c>
      <c r="AL1807" s="494">
        <v>75261</v>
      </c>
      <c r="AM1807" s="474" t="s">
        <v>52</v>
      </c>
      <c r="AN1807" s="474" t="s">
        <v>1106</v>
      </c>
      <c r="AO1807" s="474"/>
      <c r="AP1807" s="482"/>
      <c r="AQ1807" s="482" t="s">
        <v>37</v>
      </c>
      <c r="AR1807" s="474"/>
      <c r="AS1807" s="436" t="s">
        <v>3763</v>
      </c>
      <c r="AT1807" s="281" t="s">
        <v>1076</v>
      </c>
      <c r="AU1807" s="472"/>
    </row>
    <row r="1808" spans="1:47" s="471" customFormat="1">
      <c r="A1808" s="278"/>
      <c r="B1808" s="279"/>
      <c r="C1808" s="279"/>
      <c r="D1808" s="394" t="s">
        <v>3678</v>
      </c>
      <c r="E1808" s="280" t="s">
        <v>3702</v>
      </c>
      <c r="F1808" s="474"/>
      <c r="G1808" s="474">
        <v>2022</v>
      </c>
      <c r="H1808" s="474">
        <v>3</v>
      </c>
      <c r="I1808" s="485">
        <v>127450</v>
      </c>
      <c r="J1808" s="475">
        <v>44636</v>
      </c>
      <c r="K1808" s="474" t="s">
        <v>3778</v>
      </c>
      <c r="L1808" s="474" t="s">
        <v>3762</v>
      </c>
      <c r="M1808" s="475">
        <v>44624</v>
      </c>
      <c r="N1808" s="475">
        <v>44631</v>
      </c>
      <c r="O1808" s="475"/>
      <c r="P1808" s="475">
        <v>44630</v>
      </c>
      <c r="Q1808" s="475">
        <v>44634</v>
      </c>
      <c r="R1808" s="475">
        <v>44636</v>
      </c>
      <c r="S1808" s="474" t="s">
        <v>1102</v>
      </c>
      <c r="T1808" s="474">
        <v>60</v>
      </c>
      <c r="U1808" s="474">
        <v>49201132</v>
      </c>
      <c r="V1808" s="474" t="s">
        <v>986</v>
      </c>
      <c r="W1808" s="476">
        <v>360</v>
      </c>
      <c r="X1808" s="402">
        <v>896</v>
      </c>
      <c r="Y1808" s="491">
        <f t="shared" ref="Y1808:Y1833" si="299">W1808*X1808</f>
        <v>322560</v>
      </c>
      <c r="Z1808" s="478">
        <v>0.47499999999999998</v>
      </c>
      <c r="AA1808" s="479">
        <f t="shared" si="296"/>
        <v>153216</v>
      </c>
      <c r="AB1808" s="480"/>
      <c r="AC1808" s="481">
        <f t="shared" si="297"/>
        <v>0</v>
      </c>
      <c r="AD1808" s="490"/>
      <c r="AE1808" s="482"/>
      <c r="AF1808" s="493">
        <f t="shared" si="298"/>
        <v>153216</v>
      </c>
      <c r="AG1808" s="474" t="s">
        <v>47</v>
      </c>
      <c r="AH1808" s="474">
        <v>0</v>
      </c>
      <c r="AI1808" s="474">
        <v>60</v>
      </c>
      <c r="AJ1808" s="474" t="s">
        <v>3767</v>
      </c>
      <c r="AK1808" s="474" t="s">
        <v>1138</v>
      </c>
      <c r="AL1808" s="494">
        <v>11803</v>
      </c>
      <c r="AM1808" s="474" t="s">
        <v>52</v>
      </c>
      <c r="AN1808" s="474"/>
      <c r="AO1808" s="474"/>
      <c r="AP1808" s="482"/>
      <c r="AQ1808" s="482" t="s">
        <v>37</v>
      </c>
      <c r="AR1808" s="474"/>
      <c r="AS1808" s="436" t="s">
        <v>3763</v>
      </c>
      <c r="AT1808" s="281" t="s">
        <v>1076</v>
      </c>
      <c r="AU1808" s="472"/>
    </row>
    <row r="1809" spans="1:47" s="471" customFormat="1">
      <c r="A1809" s="278"/>
      <c r="B1809" s="279"/>
      <c r="C1809" s="279"/>
      <c r="D1809" s="394" t="s">
        <v>3678</v>
      </c>
      <c r="E1809" s="280" t="s">
        <v>3702</v>
      </c>
      <c r="F1809" s="474"/>
      <c r="G1809" s="474">
        <v>2022</v>
      </c>
      <c r="H1809" s="474">
        <v>3</v>
      </c>
      <c r="I1809" s="485">
        <v>127451</v>
      </c>
      <c r="J1809" s="475">
        <v>44636</v>
      </c>
      <c r="K1809" s="474" t="s">
        <v>3779</v>
      </c>
      <c r="L1809" s="474" t="s">
        <v>3762</v>
      </c>
      <c r="M1809" s="475">
        <v>44624</v>
      </c>
      <c r="N1809" s="475">
        <v>44631</v>
      </c>
      <c r="O1809" s="475"/>
      <c r="P1809" s="475">
        <v>44630</v>
      </c>
      <c r="Q1809" s="475">
        <v>44634</v>
      </c>
      <c r="R1809" s="475">
        <v>44636</v>
      </c>
      <c r="S1809" s="474" t="s">
        <v>1102</v>
      </c>
      <c r="T1809" s="474">
        <v>60</v>
      </c>
      <c r="U1809" s="474">
        <v>49201132</v>
      </c>
      <c r="V1809" s="474" t="s">
        <v>986</v>
      </c>
      <c r="W1809" s="476">
        <v>360</v>
      </c>
      <c r="X1809" s="402">
        <v>896</v>
      </c>
      <c r="Y1809" s="491">
        <f t="shared" si="299"/>
        <v>322560</v>
      </c>
      <c r="Z1809" s="478">
        <v>0.47499999999999998</v>
      </c>
      <c r="AA1809" s="479">
        <f t="shared" si="296"/>
        <v>153216</v>
      </c>
      <c r="AB1809" s="480"/>
      <c r="AC1809" s="481">
        <f t="shared" si="297"/>
        <v>0</v>
      </c>
      <c r="AD1809" s="490"/>
      <c r="AE1809" s="482"/>
      <c r="AF1809" s="493">
        <f t="shared" si="298"/>
        <v>153216</v>
      </c>
      <c r="AG1809" s="474" t="s">
        <v>47</v>
      </c>
      <c r="AH1809" s="474">
        <v>0</v>
      </c>
      <c r="AI1809" s="474">
        <v>60</v>
      </c>
      <c r="AJ1809" s="474" t="s">
        <v>2506</v>
      </c>
      <c r="AK1809" s="474" t="s">
        <v>1084</v>
      </c>
      <c r="AL1809" s="494">
        <v>33634</v>
      </c>
      <c r="AM1809" s="474" t="s">
        <v>52</v>
      </c>
      <c r="AN1809" s="474"/>
      <c r="AO1809" s="474"/>
      <c r="AP1809" s="482"/>
      <c r="AQ1809" s="482" t="s">
        <v>37</v>
      </c>
      <c r="AR1809" s="474"/>
      <c r="AS1809" s="436" t="s">
        <v>3763</v>
      </c>
      <c r="AT1809" s="281" t="s">
        <v>1076</v>
      </c>
      <c r="AU1809" s="472"/>
    </row>
    <row r="1810" spans="1:47" s="471" customFormat="1">
      <c r="A1810" s="278"/>
      <c r="B1810" s="279"/>
      <c r="C1810" s="279"/>
      <c r="D1810" s="394" t="s">
        <v>3678</v>
      </c>
      <c r="E1810" s="280" t="s">
        <v>3702</v>
      </c>
      <c r="F1810" s="474"/>
      <c r="G1810" s="474">
        <v>2022</v>
      </c>
      <c r="H1810" s="474">
        <v>3</v>
      </c>
      <c r="I1810" s="485">
        <v>127452</v>
      </c>
      <c r="J1810" s="475">
        <v>44635</v>
      </c>
      <c r="K1810" s="474" t="s">
        <v>3780</v>
      </c>
      <c r="L1810" s="474" t="s">
        <v>3762</v>
      </c>
      <c r="M1810" s="475">
        <v>44624</v>
      </c>
      <c r="N1810" s="475">
        <v>44631</v>
      </c>
      <c r="O1810" s="475"/>
      <c r="P1810" s="475">
        <v>44630</v>
      </c>
      <c r="Q1810" s="475">
        <v>44634</v>
      </c>
      <c r="R1810" s="475">
        <v>44635</v>
      </c>
      <c r="S1810" s="474" t="s">
        <v>1102</v>
      </c>
      <c r="T1810" s="474">
        <v>60</v>
      </c>
      <c r="U1810" s="474">
        <v>49201132</v>
      </c>
      <c r="V1810" s="474" t="s">
        <v>986</v>
      </c>
      <c r="W1810" s="476">
        <v>360</v>
      </c>
      <c r="X1810" s="402">
        <v>896</v>
      </c>
      <c r="Y1810" s="491">
        <f t="shared" si="299"/>
        <v>322560</v>
      </c>
      <c r="Z1810" s="478">
        <v>0.47499999999999998</v>
      </c>
      <c r="AA1810" s="479">
        <f t="shared" si="296"/>
        <v>153216</v>
      </c>
      <c r="AB1810" s="480"/>
      <c r="AC1810" s="481">
        <f t="shared" si="297"/>
        <v>0</v>
      </c>
      <c r="AD1810" s="490"/>
      <c r="AE1810" s="482"/>
      <c r="AF1810" s="493">
        <f t="shared" si="298"/>
        <v>153216</v>
      </c>
      <c r="AG1810" s="474" t="s">
        <v>47</v>
      </c>
      <c r="AH1810" s="474">
        <v>0</v>
      </c>
      <c r="AI1810" s="474">
        <v>60</v>
      </c>
      <c r="AJ1810" s="474" t="s">
        <v>2277</v>
      </c>
      <c r="AK1810" s="474" t="s">
        <v>1084</v>
      </c>
      <c r="AL1810" s="494">
        <v>32822</v>
      </c>
      <c r="AM1810" s="474" t="s">
        <v>52</v>
      </c>
      <c r="AN1810" s="474"/>
      <c r="AO1810" s="474"/>
      <c r="AP1810" s="482"/>
      <c r="AQ1810" s="482" t="s">
        <v>37</v>
      </c>
      <c r="AR1810" s="474"/>
      <c r="AS1810" s="436" t="s">
        <v>3763</v>
      </c>
      <c r="AT1810" s="281" t="s">
        <v>1076</v>
      </c>
      <c r="AU1810" s="472"/>
    </row>
    <row r="1811" spans="1:47" s="471" customFormat="1">
      <c r="A1811" s="278"/>
      <c r="B1811" s="279"/>
      <c r="C1811" s="279"/>
      <c r="D1811" s="394" t="s">
        <v>3678</v>
      </c>
      <c r="E1811" s="280" t="s">
        <v>3769</v>
      </c>
      <c r="F1811" s="474"/>
      <c r="G1811" s="474">
        <v>2022</v>
      </c>
      <c r="H1811" s="474">
        <v>3</v>
      </c>
      <c r="I1811" s="474">
        <v>127818</v>
      </c>
      <c r="J1811" s="475">
        <v>44645</v>
      </c>
      <c r="K1811" s="474" t="s">
        <v>3781</v>
      </c>
      <c r="L1811" s="474" t="s">
        <v>3762</v>
      </c>
      <c r="M1811" s="475">
        <v>44634</v>
      </c>
      <c r="N1811" s="475">
        <v>44638</v>
      </c>
      <c r="O1811" s="475"/>
      <c r="P1811" s="475">
        <v>44641</v>
      </c>
      <c r="Q1811" s="475">
        <v>44643</v>
      </c>
      <c r="R1811" s="475">
        <v>44645</v>
      </c>
      <c r="S1811" s="474" t="s">
        <v>1102</v>
      </c>
      <c r="T1811" s="474">
        <v>60</v>
      </c>
      <c r="U1811" s="474">
        <v>49201132</v>
      </c>
      <c r="V1811" s="474" t="s">
        <v>986</v>
      </c>
      <c r="W1811" s="476">
        <v>360</v>
      </c>
      <c r="X1811" s="402">
        <v>768</v>
      </c>
      <c r="Y1811" s="491">
        <f t="shared" si="299"/>
        <v>276480</v>
      </c>
      <c r="Z1811" s="478">
        <v>0.47499999999999998</v>
      </c>
      <c r="AA1811" s="479">
        <f t="shared" si="296"/>
        <v>131328</v>
      </c>
      <c r="AB1811" s="480"/>
      <c r="AC1811" s="481">
        <f t="shared" si="297"/>
        <v>0</v>
      </c>
      <c r="AD1811" s="490"/>
      <c r="AE1811" s="482"/>
      <c r="AF1811" s="493">
        <f t="shared" si="298"/>
        <v>131328</v>
      </c>
      <c r="AG1811" s="474" t="s">
        <v>47</v>
      </c>
      <c r="AH1811" s="474">
        <v>0</v>
      </c>
      <c r="AI1811" s="474">
        <v>60</v>
      </c>
      <c r="AJ1811" s="474" t="s">
        <v>3767</v>
      </c>
      <c r="AK1811" s="474" t="s">
        <v>1138</v>
      </c>
      <c r="AL1811" s="494">
        <v>11803</v>
      </c>
      <c r="AM1811" s="474" t="s">
        <v>52</v>
      </c>
      <c r="AN1811" s="474" t="s">
        <v>1106</v>
      </c>
      <c r="AO1811" s="474"/>
      <c r="AP1811" s="482"/>
      <c r="AQ1811" s="482" t="s">
        <v>37</v>
      </c>
      <c r="AR1811" s="474"/>
      <c r="AS1811" s="436" t="s">
        <v>3763</v>
      </c>
      <c r="AT1811" s="281" t="s">
        <v>1076</v>
      </c>
      <c r="AU1811" s="472"/>
    </row>
    <row r="1812" spans="1:47" s="471" customFormat="1">
      <c r="A1812" s="278"/>
      <c r="B1812" s="279"/>
      <c r="C1812" s="279"/>
      <c r="D1812" s="394" t="s">
        <v>3678</v>
      </c>
      <c r="E1812" s="282" t="s">
        <v>3782</v>
      </c>
      <c r="F1812" s="474"/>
      <c r="G1812" s="474">
        <v>2022</v>
      </c>
      <c r="H1812" s="474">
        <v>3</v>
      </c>
      <c r="I1812" s="415">
        <v>127869</v>
      </c>
      <c r="J1812" s="538">
        <v>44645</v>
      </c>
      <c r="K1812" s="524" t="s">
        <v>3781</v>
      </c>
      <c r="L1812" s="524" t="s">
        <v>3762</v>
      </c>
      <c r="M1812" s="475">
        <v>44634</v>
      </c>
      <c r="N1812" s="475">
        <v>44638</v>
      </c>
      <c r="O1812" s="475"/>
      <c r="P1812" s="475">
        <v>44641</v>
      </c>
      <c r="Q1812" s="475">
        <v>44643</v>
      </c>
      <c r="R1812" s="475">
        <v>44645</v>
      </c>
      <c r="S1812" s="474" t="s">
        <v>1102</v>
      </c>
      <c r="T1812" s="474">
        <v>60</v>
      </c>
      <c r="U1812" s="474">
        <v>49201132</v>
      </c>
      <c r="V1812" s="474" t="s">
        <v>986</v>
      </c>
      <c r="W1812" s="476">
        <v>360</v>
      </c>
      <c r="X1812" s="402">
        <v>64</v>
      </c>
      <c r="Y1812" s="491">
        <f t="shared" si="299"/>
        <v>23040</v>
      </c>
      <c r="Z1812" s="478">
        <v>0.47499999999999998</v>
      </c>
      <c r="AA1812" s="479">
        <f t="shared" si="296"/>
        <v>10944</v>
      </c>
      <c r="AB1812" s="480"/>
      <c r="AC1812" s="481">
        <f t="shared" si="297"/>
        <v>0</v>
      </c>
      <c r="AD1812" s="490"/>
      <c r="AE1812" s="482"/>
      <c r="AF1812" s="493">
        <f t="shared" si="298"/>
        <v>10944</v>
      </c>
      <c r="AG1812" s="474" t="s">
        <v>47</v>
      </c>
      <c r="AH1812" s="474">
        <v>0</v>
      </c>
      <c r="AI1812" s="474">
        <v>60</v>
      </c>
      <c r="AJ1812" s="474" t="s">
        <v>3767</v>
      </c>
      <c r="AK1812" s="474" t="s">
        <v>1138</v>
      </c>
      <c r="AL1812" s="494">
        <v>11803</v>
      </c>
      <c r="AM1812" s="474" t="s">
        <v>52</v>
      </c>
      <c r="AN1812" s="474" t="s">
        <v>1106</v>
      </c>
      <c r="AO1812" s="474"/>
      <c r="AP1812" s="675"/>
      <c r="AQ1812" s="482" t="s">
        <v>37</v>
      </c>
      <c r="AR1812" s="474"/>
      <c r="AS1812" s="436" t="s">
        <v>3763</v>
      </c>
      <c r="AT1812" s="281" t="s">
        <v>1076</v>
      </c>
      <c r="AU1812" s="472"/>
    </row>
    <row r="1813" spans="1:47" s="471" customFormat="1">
      <c r="A1813" s="278"/>
      <c r="B1813" s="279"/>
      <c r="C1813" s="279"/>
      <c r="D1813" s="394" t="s">
        <v>3678</v>
      </c>
      <c r="E1813" s="280" t="s">
        <v>3683</v>
      </c>
      <c r="F1813" s="474"/>
      <c r="G1813" s="474">
        <v>2022</v>
      </c>
      <c r="H1813" s="474">
        <v>3</v>
      </c>
      <c r="I1813" s="474">
        <v>127715</v>
      </c>
      <c r="J1813" s="475">
        <v>44645</v>
      </c>
      <c r="K1813" s="474" t="s">
        <v>3783</v>
      </c>
      <c r="L1813" s="474" t="s">
        <v>3762</v>
      </c>
      <c r="M1813" s="475">
        <v>44634</v>
      </c>
      <c r="N1813" s="475">
        <v>44638</v>
      </c>
      <c r="O1813" s="475"/>
      <c r="P1813" s="475">
        <v>44641</v>
      </c>
      <c r="Q1813" s="475">
        <v>44644</v>
      </c>
      <c r="R1813" s="475">
        <v>44645</v>
      </c>
      <c r="S1813" s="474" t="s">
        <v>1102</v>
      </c>
      <c r="T1813" s="474">
        <v>60</v>
      </c>
      <c r="U1813" s="474">
        <v>49201132</v>
      </c>
      <c r="V1813" s="474" t="s">
        <v>986</v>
      </c>
      <c r="W1813" s="476">
        <v>360</v>
      </c>
      <c r="X1813" s="402">
        <v>832</v>
      </c>
      <c r="Y1813" s="491">
        <f t="shared" si="299"/>
        <v>299520</v>
      </c>
      <c r="Z1813" s="478">
        <v>0.47499999999999998</v>
      </c>
      <c r="AA1813" s="479">
        <f t="shared" si="296"/>
        <v>142272</v>
      </c>
      <c r="AB1813" s="480"/>
      <c r="AC1813" s="481">
        <f t="shared" si="297"/>
        <v>0</v>
      </c>
      <c r="AD1813" s="490"/>
      <c r="AE1813" s="482"/>
      <c r="AF1813" s="493">
        <f t="shared" si="298"/>
        <v>142272</v>
      </c>
      <c r="AG1813" s="474" t="s">
        <v>47</v>
      </c>
      <c r="AH1813" s="474">
        <v>0</v>
      </c>
      <c r="AI1813" s="474">
        <v>60</v>
      </c>
      <c r="AJ1813" s="474" t="s">
        <v>3767</v>
      </c>
      <c r="AK1813" s="474" t="s">
        <v>1138</v>
      </c>
      <c r="AL1813" s="494">
        <v>11803</v>
      </c>
      <c r="AM1813" s="474" t="s">
        <v>52</v>
      </c>
      <c r="AN1813" s="474" t="s">
        <v>1106</v>
      </c>
      <c r="AO1813" s="474"/>
      <c r="AP1813" s="482"/>
      <c r="AQ1813" s="482" t="s">
        <v>37</v>
      </c>
      <c r="AR1813" s="474"/>
      <c r="AS1813" s="436" t="s">
        <v>3763</v>
      </c>
      <c r="AT1813" s="281" t="s">
        <v>1076</v>
      </c>
      <c r="AU1813" s="472"/>
    </row>
    <row r="1814" spans="1:47" s="471" customFormat="1">
      <c r="A1814" s="278"/>
      <c r="B1814" s="279"/>
      <c r="C1814" s="279"/>
      <c r="D1814" s="394" t="s">
        <v>3678</v>
      </c>
      <c r="E1814" s="280" t="s">
        <v>3679</v>
      </c>
      <c r="F1814" s="474"/>
      <c r="G1814" s="474">
        <v>2022</v>
      </c>
      <c r="H1814" s="474">
        <v>3</v>
      </c>
      <c r="I1814" s="474">
        <v>127819</v>
      </c>
      <c r="J1814" s="475">
        <v>44651</v>
      </c>
      <c r="K1814" s="474" t="s">
        <v>3784</v>
      </c>
      <c r="L1814" s="474" t="s">
        <v>3762</v>
      </c>
      <c r="M1814" s="475">
        <v>44634</v>
      </c>
      <c r="N1814" s="475">
        <v>44638</v>
      </c>
      <c r="O1814" s="475"/>
      <c r="P1814" s="475">
        <v>44641</v>
      </c>
      <c r="Q1814" s="475">
        <v>44649</v>
      </c>
      <c r="R1814" s="475">
        <v>44651</v>
      </c>
      <c r="S1814" s="474" t="s">
        <v>1102</v>
      </c>
      <c r="T1814" s="474">
        <v>60</v>
      </c>
      <c r="U1814" s="474">
        <v>49201132</v>
      </c>
      <c r="V1814" s="474" t="s">
        <v>986</v>
      </c>
      <c r="W1814" s="476">
        <v>360</v>
      </c>
      <c r="X1814" s="402">
        <v>736</v>
      </c>
      <c r="Y1814" s="491">
        <f t="shared" si="299"/>
        <v>264960</v>
      </c>
      <c r="Z1814" s="478">
        <v>0.47499999999999998</v>
      </c>
      <c r="AA1814" s="479">
        <f t="shared" si="296"/>
        <v>125856</v>
      </c>
      <c r="AB1814" s="480"/>
      <c r="AC1814" s="481">
        <f t="shared" si="297"/>
        <v>0</v>
      </c>
      <c r="AD1814" s="490"/>
      <c r="AE1814" s="482"/>
      <c r="AF1814" s="493">
        <f t="shared" si="298"/>
        <v>125856</v>
      </c>
      <c r="AG1814" s="474" t="s">
        <v>47</v>
      </c>
      <c r="AH1814" s="474">
        <v>0</v>
      </c>
      <c r="AI1814" s="474">
        <v>60</v>
      </c>
      <c r="AJ1814" s="474" t="s">
        <v>3765</v>
      </c>
      <c r="AK1814" s="474" t="s">
        <v>1085</v>
      </c>
      <c r="AL1814" s="494">
        <v>8840</v>
      </c>
      <c r="AM1814" s="474" t="s">
        <v>52</v>
      </c>
      <c r="AN1814" s="474" t="s">
        <v>1106</v>
      </c>
      <c r="AO1814" s="474"/>
      <c r="AP1814" s="482"/>
      <c r="AQ1814" s="482" t="s">
        <v>37</v>
      </c>
      <c r="AR1814" s="474"/>
      <c r="AS1814" s="436" t="s">
        <v>3763</v>
      </c>
      <c r="AT1814" s="281" t="s">
        <v>1076</v>
      </c>
      <c r="AU1814" s="472"/>
    </row>
    <row r="1815" spans="1:47" s="471" customFormat="1">
      <c r="A1815" s="278"/>
      <c r="B1815" s="279"/>
      <c r="C1815" s="279"/>
      <c r="D1815" s="394" t="s">
        <v>3678</v>
      </c>
      <c r="E1815" s="282" t="s">
        <v>3775</v>
      </c>
      <c r="F1815" s="474"/>
      <c r="G1815" s="474">
        <v>2022</v>
      </c>
      <c r="H1815" s="474">
        <v>3</v>
      </c>
      <c r="I1815" s="415">
        <v>127870</v>
      </c>
      <c r="J1815" s="538">
        <v>44651</v>
      </c>
      <c r="K1815" s="524" t="s">
        <v>3784</v>
      </c>
      <c r="L1815" s="524" t="s">
        <v>3762</v>
      </c>
      <c r="M1815" s="475">
        <v>44634</v>
      </c>
      <c r="N1815" s="475">
        <v>44638</v>
      </c>
      <c r="O1815" s="475"/>
      <c r="P1815" s="475">
        <v>44641</v>
      </c>
      <c r="Q1815" s="475">
        <v>44649</v>
      </c>
      <c r="R1815" s="475">
        <v>44651</v>
      </c>
      <c r="S1815" s="474" t="s">
        <v>1102</v>
      </c>
      <c r="T1815" s="474">
        <v>60</v>
      </c>
      <c r="U1815" s="474">
        <v>49201132</v>
      </c>
      <c r="V1815" s="474" t="s">
        <v>986</v>
      </c>
      <c r="W1815" s="476">
        <v>360</v>
      </c>
      <c r="X1815" s="402">
        <v>96</v>
      </c>
      <c r="Y1815" s="491">
        <f t="shared" si="299"/>
        <v>34560</v>
      </c>
      <c r="Z1815" s="478">
        <v>0.47499999999999998</v>
      </c>
      <c r="AA1815" s="479">
        <f t="shared" si="296"/>
        <v>16416</v>
      </c>
      <c r="AB1815" s="480"/>
      <c r="AC1815" s="481">
        <f t="shared" si="297"/>
        <v>0</v>
      </c>
      <c r="AD1815" s="490"/>
      <c r="AE1815" s="482"/>
      <c r="AF1815" s="493">
        <f t="shared" si="298"/>
        <v>16416</v>
      </c>
      <c r="AG1815" s="474" t="s">
        <v>47</v>
      </c>
      <c r="AH1815" s="474">
        <v>0</v>
      </c>
      <c r="AI1815" s="474">
        <v>60</v>
      </c>
      <c r="AJ1815" s="474" t="s">
        <v>3765</v>
      </c>
      <c r="AK1815" s="474" t="s">
        <v>1085</v>
      </c>
      <c r="AL1815" s="494">
        <v>8840</v>
      </c>
      <c r="AM1815" s="474" t="s">
        <v>52</v>
      </c>
      <c r="AN1815" s="474" t="s">
        <v>1106</v>
      </c>
      <c r="AO1815" s="474"/>
      <c r="AP1815" s="482"/>
      <c r="AQ1815" s="482" t="s">
        <v>37</v>
      </c>
      <c r="AR1815" s="474"/>
      <c r="AS1815" s="436" t="s">
        <v>3763</v>
      </c>
      <c r="AT1815" s="281" t="s">
        <v>1076</v>
      </c>
      <c r="AU1815" s="472"/>
    </row>
    <row r="1816" spans="1:47" s="471" customFormat="1">
      <c r="A1816" s="278"/>
      <c r="B1816" s="279"/>
      <c r="C1816" s="279"/>
      <c r="D1816" s="394" t="s">
        <v>3678</v>
      </c>
      <c r="E1816" s="280" t="s">
        <v>3679</v>
      </c>
      <c r="F1816" s="474"/>
      <c r="G1816" s="474">
        <v>2022</v>
      </c>
      <c r="H1816" s="474">
        <v>3</v>
      </c>
      <c r="I1816" s="474">
        <v>127822</v>
      </c>
      <c r="J1816" s="475">
        <v>44648</v>
      </c>
      <c r="K1816" s="474" t="s">
        <v>3785</v>
      </c>
      <c r="L1816" s="474" t="s">
        <v>3762</v>
      </c>
      <c r="M1816" s="475">
        <v>44634</v>
      </c>
      <c r="N1816" s="475">
        <v>44638</v>
      </c>
      <c r="O1816" s="475"/>
      <c r="P1816" s="475">
        <v>44641</v>
      </c>
      <c r="Q1816" s="475">
        <v>44645</v>
      </c>
      <c r="R1816" s="475">
        <v>44648</v>
      </c>
      <c r="S1816" s="474" t="s">
        <v>1102</v>
      </c>
      <c r="T1816" s="474">
        <v>60</v>
      </c>
      <c r="U1816" s="474">
        <v>49201132</v>
      </c>
      <c r="V1816" s="474" t="s">
        <v>986</v>
      </c>
      <c r="W1816" s="476">
        <v>360</v>
      </c>
      <c r="X1816" s="402">
        <v>512</v>
      </c>
      <c r="Y1816" s="491">
        <f t="shared" si="299"/>
        <v>184320</v>
      </c>
      <c r="Z1816" s="478">
        <v>0.47499999999999998</v>
      </c>
      <c r="AA1816" s="479">
        <f t="shared" si="296"/>
        <v>87552</v>
      </c>
      <c r="AB1816" s="480"/>
      <c r="AC1816" s="481">
        <f t="shared" si="297"/>
        <v>0</v>
      </c>
      <c r="AD1816" s="490"/>
      <c r="AE1816" s="482"/>
      <c r="AF1816" s="493">
        <f t="shared" si="298"/>
        <v>87552</v>
      </c>
      <c r="AG1816" s="474" t="s">
        <v>47</v>
      </c>
      <c r="AH1816" s="474">
        <v>0</v>
      </c>
      <c r="AI1816" s="474">
        <v>60</v>
      </c>
      <c r="AJ1816" s="474" t="s">
        <v>2506</v>
      </c>
      <c r="AK1816" s="474" t="s">
        <v>1084</v>
      </c>
      <c r="AL1816" s="494">
        <v>33634</v>
      </c>
      <c r="AM1816" s="474" t="s">
        <v>52</v>
      </c>
      <c r="AN1816" s="474" t="s">
        <v>1106</v>
      </c>
      <c r="AO1816" s="474"/>
      <c r="AP1816" s="482"/>
      <c r="AQ1816" s="482" t="s">
        <v>37</v>
      </c>
      <c r="AR1816" s="474"/>
      <c r="AS1816" s="436" t="s">
        <v>3763</v>
      </c>
      <c r="AT1816" s="281" t="s">
        <v>1076</v>
      </c>
      <c r="AU1816" s="472"/>
    </row>
    <row r="1817" spans="1:47" s="471" customFormat="1">
      <c r="A1817" s="278"/>
      <c r="B1817" s="279"/>
      <c r="C1817" s="279"/>
      <c r="D1817" s="394" t="s">
        <v>3678</v>
      </c>
      <c r="E1817" s="282" t="s">
        <v>3786</v>
      </c>
      <c r="F1817" s="474"/>
      <c r="G1817" s="474">
        <v>2022</v>
      </c>
      <c r="H1817" s="474">
        <v>3</v>
      </c>
      <c r="I1817" s="415">
        <v>127871</v>
      </c>
      <c r="J1817" s="538">
        <v>44648</v>
      </c>
      <c r="K1817" s="524" t="s">
        <v>3785</v>
      </c>
      <c r="L1817" s="524" t="s">
        <v>3762</v>
      </c>
      <c r="M1817" s="475">
        <v>44634</v>
      </c>
      <c r="N1817" s="475">
        <v>44638</v>
      </c>
      <c r="O1817" s="475"/>
      <c r="P1817" s="475">
        <v>44641</v>
      </c>
      <c r="Q1817" s="475">
        <v>44645</v>
      </c>
      <c r="R1817" s="475">
        <v>44648</v>
      </c>
      <c r="S1817" s="474" t="s">
        <v>1102</v>
      </c>
      <c r="T1817" s="474">
        <v>60</v>
      </c>
      <c r="U1817" s="474">
        <v>49201132</v>
      </c>
      <c r="V1817" s="474" t="s">
        <v>986</v>
      </c>
      <c r="W1817" s="476">
        <v>360</v>
      </c>
      <c r="X1817" s="402">
        <v>320</v>
      </c>
      <c r="Y1817" s="491">
        <f t="shared" si="299"/>
        <v>115200</v>
      </c>
      <c r="Z1817" s="478">
        <v>0.47499999999999998</v>
      </c>
      <c r="AA1817" s="479">
        <f t="shared" si="296"/>
        <v>54720</v>
      </c>
      <c r="AB1817" s="480"/>
      <c r="AC1817" s="481">
        <f t="shared" si="297"/>
        <v>0</v>
      </c>
      <c r="AD1817" s="490"/>
      <c r="AE1817" s="482"/>
      <c r="AF1817" s="493">
        <f t="shared" si="298"/>
        <v>54720</v>
      </c>
      <c r="AG1817" s="474" t="s">
        <v>47</v>
      </c>
      <c r="AH1817" s="474">
        <v>0</v>
      </c>
      <c r="AI1817" s="474">
        <v>60</v>
      </c>
      <c r="AJ1817" s="474" t="s">
        <v>2506</v>
      </c>
      <c r="AK1817" s="474" t="s">
        <v>1084</v>
      </c>
      <c r="AL1817" s="494">
        <v>33634</v>
      </c>
      <c r="AM1817" s="474" t="s">
        <v>52</v>
      </c>
      <c r="AN1817" s="474" t="s">
        <v>1106</v>
      </c>
      <c r="AO1817" s="474"/>
      <c r="AP1817" s="482"/>
      <c r="AQ1817" s="482" t="s">
        <v>37</v>
      </c>
      <c r="AR1817" s="474"/>
      <c r="AS1817" s="436" t="s">
        <v>3763</v>
      </c>
      <c r="AT1817" s="281" t="s">
        <v>1076</v>
      </c>
      <c r="AU1817" s="472"/>
    </row>
    <row r="1818" spans="1:47" s="471" customFormat="1">
      <c r="A1818" s="278"/>
      <c r="B1818" s="279"/>
      <c r="C1818" s="279"/>
      <c r="D1818" s="394" t="s">
        <v>3678</v>
      </c>
      <c r="E1818" s="280" t="s">
        <v>3683</v>
      </c>
      <c r="F1818" s="474"/>
      <c r="G1818" s="474">
        <v>2022</v>
      </c>
      <c r="H1818" s="474">
        <v>3</v>
      </c>
      <c r="I1818" s="474">
        <v>127716</v>
      </c>
      <c r="J1818" s="475">
        <v>44645</v>
      </c>
      <c r="K1818" s="474" t="s">
        <v>3787</v>
      </c>
      <c r="L1818" s="474" t="s">
        <v>3762</v>
      </c>
      <c r="M1818" s="475">
        <v>44634</v>
      </c>
      <c r="N1818" s="475">
        <v>44638</v>
      </c>
      <c r="O1818" s="475"/>
      <c r="P1818" s="475">
        <v>44641</v>
      </c>
      <c r="Q1818" s="475">
        <v>44644</v>
      </c>
      <c r="R1818" s="475">
        <v>44645</v>
      </c>
      <c r="S1818" s="474" t="s">
        <v>1102</v>
      </c>
      <c r="T1818" s="474">
        <v>60</v>
      </c>
      <c r="U1818" s="474">
        <v>49201132</v>
      </c>
      <c r="V1818" s="474" t="s">
        <v>986</v>
      </c>
      <c r="W1818" s="476">
        <v>360</v>
      </c>
      <c r="X1818" s="402">
        <v>832</v>
      </c>
      <c r="Y1818" s="491">
        <f t="shared" si="299"/>
        <v>299520</v>
      </c>
      <c r="Z1818" s="478">
        <v>0.47499999999999998</v>
      </c>
      <c r="AA1818" s="479">
        <f t="shared" si="296"/>
        <v>142272</v>
      </c>
      <c r="AB1818" s="480"/>
      <c r="AC1818" s="481">
        <f t="shared" si="297"/>
        <v>0</v>
      </c>
      <c r="AD1818" s="490"/>
      <c r="AE1818" s="482"/>
      <c r="AF1818" s="493">
        <f t="shared" si="298"/>
        <v>142272</v>
      </c>
      <c r="AG1818" s="474" t="s">
        <v>47</v>
      </c>
      <c r="AH1818" s="474">
        <v>0</v>
      </c>
      <c r="AI1818" s="474">
        <v>60</v>
      </c>
      <c r="AJ1818" s="474" t="s">
        <v>2277</v>
      </c>
      <c r="AK1818" s="474" t="s">
        <v>1084</v>
      </c>
      <c r="AL1818" s="494">
        <v>32822</v>
      </c>
      <c r="AM1818" s="474" t="s">
        <v>52</v>
      </c>
      <c r="AN1818" s="474" t="s">
        <v>1106</v>
      </c>
      <c r="AO1818" s="474"/>
      <c r="AP1818" s="482"/>
      <c r="AQ1818" s="482" t="s">
        <v>37</v>
      </c>
      <c r="AR1818" s="474"/>
      <c r="AS1818" s="436" t="s">
        <v>3763</v>
      </c>
      <c r="AT1818" s="281" t="s">
        <v>1076</v>
      </c>
      <c r="AU1818" s="472"/>
    </row>
    <row r="1819" spans="1:47" s="471" customFormat="1">
      <c r="A1819" s="278"/>
      <c r="B1819" s="279"/>
      <c r="C1819" s="279"/>
      <c r="D1819" s="394" t="s">
        <v>3678</v>
      </c>
      <c r="E1819" s="280" t="s">
        <v>3788</v>
      </c>
      <c r="F1819" s="474"/>
      <c r="G1819" s="474">
        <v>2022</v>
      </c>
      <c r="H1819" s="474">
        <v>3</v>
      </c>
      <c r="I1819" s="474">
        <v>127711</v>
      </c>
      <c r="J1819" s="475">
        <v>44651</v>
      </c>
      <c r="K1819" s="474" t="s">
        <v>3789</v>
      </c>
      <c r="L1819" s="474" t="s">
        <v>3762</v>
      </c>
      <c r="M1819" s="475">
        <v>44648</v>
      </c>
      <c r="N1819" s="475">
        <v>44651</v>
      </c>
      <c r="O1819" s="475"/>
      <c r="P1819" s="475">
        <v>44649</v>
      </c>
      <c r="Q1819" s="475">
        <v>44651</v>
      </c>
      <c r="R1819" s="475">
        <v>44655</v>
      </c>
      <c r="S1819" s="474" t="s">
        <v>1102</v>
      </c>
      <c r="T1819" s="474">
        <v>60</v>
      </c>
      <c r="U1819" s="474">
        <v>49203132</v>
      </c>
      <c r="V1819" s="474" t="s">
        <v>986</v>
      </c>
      <c r="W1819" s="476">
        <v>360</v>
      </c>
      <c r="X1819" s="402">
        <v>896</v>
      </c>
      <c r="Y1819" s="491">
        <f t="shared" si="299"/>
        <v>322560</v>
      </c>
      <c r="Z1819" s="478">
        <v>0.47499999999999998</v>
      </c>
      <c r="AA1819" s="479">
        <f t="shared" si="296"/>
        <v>153216</v>
      </c>
      <c r="AB1819" s="480"/>
      <c r="AC1819" s="481">
        <f t="shared" si="297"/>
        <v>0</v>
      </c>
      <c r="AD1819" s="490"/>
      <c r="AE1819" s="482"/>
      <c r="AF1819" s="493">
        <f t="shared" si="298"/>
        <v>153216</v>
      </c>
      <c r="AG1819" s="474" t="s">
        <v>1071</v>
      </c>
      <c r="AH1819" s="474">
        <v>0</v>
      </c>
      <c r="AI1819" s="474">
        <v>60</v>
      </c>
      <c r="AJ1819" s="474" t="s">
        <v>3304</v>
      </c>
      <c r="AK1819" s="474" t="s">
        <v>1144</v>
      </c>
      <c r="AL1819" s="494">
        <v>75261</v>
      </c>
      <c r="AM1819" s="474" t="s">
        <v>52</v>
      </c>
      <c r="AN1819" s="474" t="s">
        <v>1074</v>
      </c>
      <c r="AO1819" s="474"/>
      <c r="AP1819" s="482"/>
      <c r="AQ1819" s="482" t="s">
        <v>37</v>
      </c>
      <c r="AR1819" s="474"/>
      <c r="AS1819" s="436" t="s">
        <v>3763</v>
      </c>
      <c r="AT1819" s="281" t="s">
        <v>1076</v>
      </c>
      <c r="AU1819" s="472"/>
    </row>
    <row r="1820" spans="1:47" s="471" customFormat="1">
      <c r="A1820" s="278"/>
      <c r="B1820" s="279"/>
      <c r="C1820" s="279"/>
      <c r="D1820" s="394" t="s">
        <v>3678</v>
      </c>
      <c r="E1820" s="280" t="s">
        <v>3788</v>
      </c>
      <c r="F1820" s="474"/>
      <c r="G1820" s="474">
        <v>2022</v>
      </c>
      <c r="H1820" s="474">
        <v>3</v>
      </c>
      <c r="I1820" s="474">
        <v>127712</v>
      </c>
      <c r="J1820" s="475">
        <v>44651</v>
      </c>
      <c r="K1820" s="474" t="s">
        <v>3790</v>
      </c>
      <c r="L1820" s="474" t="s">
        <v>3762</v>
      </c>
      <c r="M1820" s="475">
        <v>44648</v>
      </c>
      <c r="N1820" s="475">
        <v>44651</v>
      </c>
      <c r="O1820" s="475"/>
      <c r="P1820" s="475">
        <v>44649</v>
      </c>
      <c r="Q1820" s="475">
        <v>44651</v>
      </c>
      <c r="R1820" s="475">
        <v>44652</v>
      </c>
      <c r="S1820" s="474" t="s">
        <v>1102</v>
      </c>
      <c r="T1820" s="474">
        <v>60</v>
      </c>
      <c r="U1820" s="474">
        <v>49203132</v>
      </c>
      <c r="V1820" s="474" t="s">
        <v>986</v>
      </c>
      <c r="W1820" s="476">
        <v>360</v>
      </c>
      <c r="X1820" s="402">
        <v>896</v>
      </c>
      <c r="Y1820" s="491">
        <f t="shared" si="299"/>
        <v>322560</v>
      </c>
      <c r="Z1820" s="478">
        <v>0.47499999999999998</v>
      </c>
      <c r="AA1820" s="479">
        <f t="shared" si="296"/>
        <v>153216</v>
      </c>
      <c r="AB1820" s="480"/>
      <c r="AC1820" s="481">
        <f t="shared" si="297"/>
        <v>0</v>
      </c>
      <c r="AD1820" s="490"/>
      <c r="AE1820" s="482"/>
      <c r="AF1820" s="493">
        <f t="shared" si="298"/>
        <v>153216</v>
      </c>
      <c r="AG1820" s="474" t="s">
        <v>1071</v>
      </c>
      <c r="AH1820" s="474">
        <v>0</v>
      </c>
      <c r="AI1820" s="474">
        <v>60</v>
      </c>
      <c r="AJ1820" s="474" t="s">
        <v>2277</v>
      </c>
      <c r="AK1820" s="474" t="s">
        <v>1084</v>
      </c>
      <c r="AL1820" s="494">
        <v>32822</v>
      </c>
      <c r="AM1820" s="474" t="s">
        <v>52</v>
      </c>
      <c r="AN1820" s="474" t="s">
        <v>1074</v>
      </c>
      <c r="AO1820" s="474"/>
      <c r="AP1820" s="482"/>
      <c r="AQ1820" s="482" t="s">
        <v>37</v>
      </c>
      <c r="AR1820" s="474"/>
      <c r="AS1820" s="436" t="s">
        <v>3763</v>
      </c>
      <c r="AT1820" s="281" t="s">
        <v>1076</v>
      </c>
      <c r="AU1820" s="472"/>
    </row>
    <row r="1821" spans="1:47" s="471" customFormat="1">
      <c r="A1821" s="278"/>
      <c r="B1821" s="279"/>
      <c r="C1821" s="279"/>
      <c r="D1821" s="394" t="s">
        <v>3678</v>
      </c>
      <c r="E1821" s="280" t="s">
        <v>3769</v>
      </c>
      <c r="F1821" s="474"/>
      <c r="G1821" s="474">
        <v>2022</v>
      </c>
      <c r="H1821" s="474">
        <v>3</v>
      </c>
      <c r="I1821" s="474">
        <v>127820</v>
      </c>
      <c r="J1821" s="475">
        <v>44645</v>
      </c>
      <c r="K1821" s="474" t="s">
        <v>3791</v>
      </c>
      <c r="L1821" s="474" t="s">
        <v>3792</v>
      </c>
      <c r="M1821" s="475">
        <v>44627</v>
      </c>
      <c r="N1821" s="475">
        <v>44626</v>
      </c>
      <c r="O1821" s="475"/>
      <c r="P1821" s="475">
        <v>44643</v>
      </c>
      <c r="Q1821" s="475">
        <v>44645</v>
      </c>
      <c r="R1821" s="475">
        <v>44648</v>
      </c>
      <c r="S1821" s="474" t="s">
        <v>1102</v>
      </c>
      <c r="T1821" s="474">
        <v>60</v>
      </c>
      <c r="U1821" s="474">
        <v>49201132</v>
      </c>
      <c r="V1821" s="474" t="s">
        <v>986</v>
      </c>
      <c r="W1821" s="476">
        <v>360</v>
      </c>
      <c r="X1821" s="402">
        <v>1408</v>
      </c>
      <c r="Y1821" s="491">
        <f t="shared" si="299"/>
        <v>506880</v>
      </c>
      <c r="Z1821" s="478">
        <v>0.5</v>
      </c>
      <c r="AA1821" s="479">
        <f t="shared" si="296"/>
        <v>253440</v>
      </c>
      <c r="AB1821" s="480"/>
      <c r="AC1821" s="481">
        <f t="shared" si="297"/>
        <v>0</v>
      </c>
      <c r="AD1821" s="490"/>
      <c r="AE1821" s="482"/>
      <c r="AF1821" s="493">
        <f t="shared" si="298"/>
        <v>253440</v>
      </c>
      <c r="AG1821" s="474" t="s">
        <v>47</v>
      </c>
      <c r="AH1821" s="474">
        <v>0</v>
      </c>
      <c r="AI1821" s="474">
        <v>60</v>
      </c>
      <c r="AJ1821" s="474" t="s">
        <v>3793</v>
      </c>
      <c r="AK1821" s="474" t="s">
        <v>1085</v>
      </c>
      <c r="AL1821" s="494">
        <v>7733</v>
      </c>
      <c r="AM1821" s="474" t="s">
        <v>52</v>
      </c>
      <c r="AN1821" s="474" t="s">
        <v>1106</v>
      </c>
      <c r="AO1821" s="474"/>
      <c r="AP1821" s="482"/>
      <c r="AQ1821" s="482" t="s">
        <v>37</v>
      </c>
      <c r="AR1821" s="474"/>
      <c r="AS1821" s="436" t="s">
        <v>3763</v>
      </c>
      <c r="AT1821" s="281" t="s">
        <v>1076</v>
      </c>
      <c r="AU1821" s="472"/>
    </row>
    <row r="1822" spans="1:47" s="471" customFormat="1">
      <c r="A1822" s="278"/>
      <c r="B1822" s="279"/>
      <c r="C1822" s="279"/>
      <c r="D1822" s="394" t="s">
        <v>3678</v>
      </c>
      <c r="E1822" s="282" t="s">
        <v>3794</v>
      </c>
      <c r="F1822" s="474"/>
      <c r="G1822" s="474">
        <v>2022</v>
      </c>
      <c r="H1822" s="474">
        <v>3</v>
      </c>
      <c r="I1822" s="415">
        <v>127878</v>
      </c>
      <c r="J1822" s="538">
        <v>44645</v>
      </c>
      <c r="K1822" s="524" t="s">
        <v>3791</v>
      </c>
      <c r="L1822" s="524" t="s">
        <v>3792</v>
      </c>
      <c r="M1822" s="475">
        <v>44627</v>
      </c>
      <c r="N1822" s="475">
        <v>44626</v>
      </c>
      <c r="O1822" s="475"/>
      <c r="P1822" s="475">
        <v>44643</v>
      </c>
      <c r="Q1822" s="475">
        <v>44645</v>
      </c>
      <c r="R1822" s="475">
        <v>44648</v>
      </c>
      <c r="S1822" s="474" t="s">
        <v>1102</v>
      </c>
      <c r="T1822" s="474">
        <v>60</v>
      </c>
      <c r="U1822" s="474">
        <v>49201132</v>
      </c>
      <c r="V1822" s="474" t="s">
        <v>986</v>
      </c>
      <c r="W1822" s="476">
        <v>360</v>
      </c>
      <c r="X1822" s="402">
        <v>128</v>
      </c>
      <c r="Y1822" s="491">
        <f t="shared" si="299"/>
        <v>46080</v>
      </c>
      <c r="Z1822" s="478">
        <v>0.5</v>
      </c>
      <c r="AA1822" s="479">
        <f t="shared" si="296"/>
        <v>23040</v>
      </c>
      <c r="AB1822" s="480"/>
      <c r="AC1822" s="481">
        <f t="shared" si="297"/>
        <v>0</v>
      </c>
      <c r="AD1822" s="490"/>
      <c r="AE1822" s="482"/>
      <c r="AF1822" s="493">
        <f t="shared" si="298"/>
        <v>23040</v>
      </c>
      <c r="AG1822" s="474" t="s">
        <v>47</v>
      </c>
      <c r="AH1822" s="474">
        <v>0</v>
      </c>
      <c r="AI1822" s="474">
        <v>60</v>
      </c>
      <c r="AJ1822" s="474" t="s">
        <v>3793</v>
      </c>
      <c r="AK1822" s="474" t="s">
        <v>1085</v>
      </c>
      <c r="AL1822" s="494">
        <v>7733</v>
      </c>
      <c r="AM1822" s="474" t="s">
        <v>52</v>
      </c>
      <c r="AN1822" s="474" t="s">
        <v>1106</v>
      </c>
      <c r="AO1822" s="474"/>
      <c r="AP1822" s="482"/>
      <c r="AQ1822" s="482" t="s">
        <v>37</v>
      </c>
      <c r="AR1822" s="474"/>
      <c r="AS1822" s="436" t="s">
        <v>3763</v>
      </c>
      <c r="AT1822" s="281" t="s">
        <v>1076</v>
      </c>
      <c r="AU1822" s="472"/>
    </row>
    <row r="1823" spans="1:47" s="471" customFormat="1">
      <c r="A1823" s="278">
        <v>10</v>
      </c>
      <c r="B1823" s="279"/>
      <c r="C1823" s="279"/>
      <c r="D1823" s="394" t="s">
        <v>3678</v>
      </c>
      <c r="E1823" s="280" t="s">
        <v>3692</v>
      </c>
      <c r="F1823" s="381"/>
      <c r="G1823" s="474">
        <v>2022</v>
      </c>
      <c r="H1823" s="474">
        <v>3</v>
      </c>
      <c r="I1823" s="485">
        <v>127417</v>
      </c>
      <c r="J1823" s="475">
        <v>44630</v>
      </c>
      <c r="K1823" s="474" t="s">
        <v>3795</v>
      </c>
      <c r="L1823" s="474" t="s">
        <v>3796</v>
      </c>
      <c r="M1823" s="475">
        <v>44606</v>
      </c>
      <c r="N1823" s="475">
        <v>44606</v>
      </c>
      <c r="O1823" s="475" t="s">
        <v>3797</v>
      </c>
      <c r="P1823" s="475">
        <v>44621</v>
      </c>
      <c r="Q1823" s="475">
        <v>44630</v>
      </c>
      <c r="R1823" s="475">
        <v>44634</v>
      </c>
      <c r="S1823" s="474" t="s">
        <v>1102</v>
      </c>
      <c r="T1823" s="474">
        <v>60</v>
      </c>
      <c r="U1823" s="474">
        <v>49403140</v>
      </c>
      <c r="V1823" s="474" t="s">
        <v>973</v>
      </c>
      <c r="W1823" s="476">
        <v>400</v>
      </c>
      <c r="X1823" s="402">
        <v>2496</v>
      </c>
      <c r="Y1823" s="491">
        <f t="shared" si="299"/>
        <v>998400</v>
      </c>
      <c r="Z1823" s="478">
        <v>0.47</v>
      </c>
      <c r="AA1823" s="582">
        <f t="shared" si="296"/>
        <v>469248</v>
      </c>
      <c r="AB1823" s="480"/>
      <c r="AC1823" s="481"/>
      <c r="AD1823" s="490"/>
      <c r="AE1823" s="482"/>
      <c r="AF1823" s="493"/>
      <c r="AG1823" s="474" t="s">
        <v>1071</v>
      </c>
      <c r="AH1823" s="474"/>
      <c r="AI1823" s="474">
        <v>60</v>
      </c>
      <c r="AJ1823" s="474" t="s">
        <v>1473</v>
      </c>
      <c r="AK1823" s="474" t="s">
        <v>1190</v>
      </c>
      <c r="AL1823" s="494">
        <v>6410</v>
      </c>
      <c r="AM1823" s="474" t="s">
        <v>52</v>
      </c>
      <c r="AN1823" s="474" t="s">
        <v>1074</v>
      </c>
      <c r="AO1823" s="474"/>
      <c r="AP1823" s="482"/>
      <c r="AQ1823" s="482"/>
      <c r="AR1823" s="474"/>
      <c r="AS1823" s="436"/>
      <c r="AT1823" s="281"/>
      <c r="AU1823" s="472"/>
    </row>
    <row r="1824" spans="1:47" s="471" customFormat="1">
      <c r="A1824" s="278">
        <v>10</v>
      </c>
      <c r="B1824" s="279"/>
      <c r="C1824" s="279"/>
      <c r="D1824" s="394" t="s">
        <v>3678</v>
      </c>
      <c r="E1824" s="280" t="s">
        <v>3683</v>
      </c>
      <c r="F1824" s="381"/>
      <c r="G1824" s="474">
        <v>2022</v>
      </c>
      <c r="H1824" s="474">
        <v>3</v>
      </c>
      <c r="I1824" s="485">
        <v>127723</v>
      </c>
      <c r="J1824" s="475">
        <v>44624</v>
      </c>
      <c r="K1824" s="474" t="s">
        <v>3798</v>
      </c>
      <c r="L1824" s="474" t="s">
        <v>3796</v>
      </c>
      <c r="M1824" s="475">
        <v>44606</v>
      </c>
      <c r="N1824" s="475">
        <v>44606</v>
      </c>
      <c r="O1824" s="475" t="s">
        <v>3797</v>
      </c>
      <c r="P1824" s="475">
        <v>44621</v>
      </c>
      <c r="Q1824" s="475">
        <v>44624</v>
      </c>
      <c r="R1824" s="475">
        <v>44627</v>
      </c>
      <c r="S1824" s="474" t="s">
        <v>1102</v>
      </c>
      <c r="T1824" s="474">
        <v>60</v>
      </c>
      <c r="U1824" s="474" t="s">
        <v>1247</v>
      </c>
      <c r="V1824" s="474" t="s">
        <v>973</v>
      </c>
      <c r="W1824" s="476">
        <v>400</v>
      </c>
      <c r="X1824" s="402">
        <v>832</v>
      </c>
      <c r="Y1824" s="491">
        <f t="shared" si="299"/>
        <v>332800</v>
      </c>
      <c r="Z1824" s="478">
        <v>0.47</v>
      </c>
      <c r="AA1824" s="582">
        <f t="shared" si="296"/>
        <v>156416</v>
      </c>
      <c r="AB1824" s="480"/>
      <c r="AC1824" s="481"/>
      <c r="AD1824" s="490"/>
      <c r="AE1824" s="482"/>
      <c r="AF1824" s="493"/>
      <c r="AG1824" s="474" t="s">
        <v>1071</v>
      </c>
      <c r="AH1824" s="474"/>
      <c r="AI1824" s="474">
        <v>60</v>
      </c>
      <c r="AJ1824" s="474" t="s">
        <v>1473</v>
      </c>
      <c r="AK1824" s="474" t="s">
        <v>1190</v>
      </c>
      <c r="AL1824" s="494">
        <v>6410</v>
      </c>
      <c r="AM1824" s="474" t="s">
        <v>52</v>
      </c>
      <c r="AN1824" s="474" t="s">
        <v>1384</v>
      </c>
      <c r="AO1824" s="474"/>
      <c r="AP1824" s="482" t="s">
        <v>92</v>
      </c>
      <c r="AQ1824" s="482"/>
      <c r="AR1824" s="474"/>
      <c r="AS1824" s="436"/>
      <c r="AT1824" s="281"/>
      <c r="AU1824" s="472"/>
    </row>
    <row r="1825" spans="1:55" s="471" customFormat="1">
      <c r="A1825" s="278">
        <v>10</v>
      </c>
      <c r="B1825" s="279"/>
      <c r="C1825" s="279"/>
      <c r="D1825" s="394" t="s">
        <v>3678</v>
      </c>
      <c r="E1825" s="280" t="s">
        <v>3717</v>
      </c>
      <c r="F1825" s="474"/>
      <c r="G1825" s="474">
        <v>2022</v>
      </c>
      <c r="H1825" s="474">
        <v>3</v>
      </c>
      <c r="I1825" s="485">
        <v>127409</v>
      </c>
      <c r="J1825" s="475">
        <v>44628</v>
      </c>
      <c r="K1825" s="474" t="s">
        <v>3799</v>
      </c>
      <c r="L1825" s="474" t="s">
        <v>3796</v>
      </c>
      <c r="M1825" s="475">
        <v>44606</v>
      </c>
      <c r="N1825" s="475">
        <v>44606</v>
      </c>
      <c r="O1825" s="475" t="s">
        <v>3797</v>
      </c>
      <c r="P1825" s="475">
        <v>44621</v>
      </c>
      <c r="Q1825" s="475">
        <v>44628</v>
      </c>
      <c r="R1825" s="475">
        <v>44630</v>
      </c>
      <c r="S1825" s="474" t="s">
        <v>1102</v>
      </c>
      <c r="T1825" s="474">
        <v>60</v>
      </c>
      <c r="U1825" s="474">
        <v>49403140</v>
      </c>
      <c r="V1825" s="474" t="s">
        <v>973</v>
      </c>
      <c r="W1825" s="476">
        <v>400</v>
      </c>
      <c r="X1825" s="402">
        <v>832</v>
      </c>
      <c r="Y1825" s="491">
        <f t="shared" si="299"/>
        <v>332800</v>
      </c>
      <c r="Z1825" s="478">
        <v>0.47</v>
      </c>
      <c r="AA1825" s="582">
        <f t="shared" si="296"/>
        <v>156416</v>
      </c>
      <c r="AB1825" s="480"/>
      <c r="AC1825" s="481"/>
      <c r="AD1825" s="490"/>
      <c r="AE1825" s="482"/>
      <c r="AF1825" s="493"/>
      <c r="AG1825" s="474" t="s">
        <v>1071</v>
      </c>
      <c r="AH1825" s="474"/>
      <c r="AI1825" s="474">
        <v>60</v>
      </c>
      <c r="AJ1825" s="474" t="s">
        <v>3800</v>
      </c>
      <c r="AK1825" s="474" t="s">
        <v>1096</v>
      </c>
      <c r="AL1825" s="494">
        <v>2576</v>
      </c>
      <c r="AM1825" s="474" t="s">
        <v>52</v>
      </c>
      <c r="AN1825" s="474" t="s">
        <v>1074</v>
      </c>
      <c r="AO1825" s="474"/>
      <c r="AP1825" s="482"/>
      <c r="AQ1825" s="482"/>
      <c r="AR1825" s="474"/>
      <c r="AS1825" s="436"/>
      <c r="AT1825" s="281"/>
      <c r="AU1825" s="472"/>
    </row>
    <row r="1826" spans="1:55" s="471" customFormat="1">
      <c r="A1826" s="278">
        <v>10</v>
      </c>
      <c r="B1826" s="279"/>
      <c r="C1826" s="279"/>
      <c r="D1826" s="394" t="s">
        <v>3678</v>
      </c>
      <c r="E1826" s="280" t="s">
        <v>3683</v>
      </c>
      <c r="F1826" s="474"/>
      <c r="G1826" s="474">
        <v>2022</v>
      </c>
      <c r="H1826" s="474">
        <v>3</v>
      </c>
      <c r="I1826" s="485">
        <v>127724</v>
      </c>
      <c r="J1826" s="475">
        <v>44624</v>
      </c>
      <c r="K1826" s="474" t="s">
        <v>3801</v>
      </c>
      <c r="L1826" s="474" t="s">
        <v>3796</v>
      </c>
      <c r="M1826" s="475">
        <v>44606</v>
      </c>
      <c r="N1826" s="475">
        <v>44606</v>
      </c>
      <c r="O1826" s="475" t="s">
        <v>3797</v>
      </c>
      <c r="P1826" s="475">
        <v>44621</v>
      </c>
      <c r="Q1826" s="475">
        <v>44624</v>
      </c>
      <c r="R1826" s="475">
        <v>44627</v>
      </c>
      <c r="S1826" s="474" t="s">
        <v>1102</v>
      </c>
      <c r="T1826" s="474">
        <v>60</v>
      </c>
      <c r="U1826" s="474" t="s">
        <v>1247</v>
      </c>
      <c r="V1826" s="474" t="s">
        <v>973</v>
      </c>
      <c r="W1826" s="476">
        <v>400</v>
      </c>
      <c r="X1826" s="402">
        <v>832</v>
      </c>
      <c r="Y1826" s="491">
        <f t="shared" si="299"/>
        <v>332800</v>
      </c>
      <c r="Z1826" s="478">
        <v>0.47</v>
      </c>
      <c r="AA1826" s="582">
        <f t="shared" si="296"/>
        <v>156416</v>
      </c>
      <c r="AB1826" s="480"/>
      <c r="AC1826" s="481"/>
      <c r="AD1826" s="490"/>
      <c r="AE1826" s="482"/>
      <c r="AF1826" s="493"/>
      <c r="AG1826" s="474" t="s">
        <v>1071</v>
      </c>
      <c r="AH1826" s="474"/>
      <c r="AI1826" s="474">
        <v>60</v>
      </c>
      <c r="AJ1826" s="474" t="s">
        <v>3802</v>
      </c>
      <c r="AK1826" s="474" t="s">
        <v>1073</v>
      </c>
      <c r="AL1826" s="494">
        <v>21076</v>
      </c>
      <c r="AM1826" s="474" t="s">
        <v>52</v>
      </c>
      <c r="AN1826" s="474" t="s">
        <v>1384</v>
      </c>
      <c r="AO1826" s="474"/>
      <c r="AP1826" s="482" t="s">
        <v>92</v>
      </c>
      <c r="AQ1826" s="482"/>
      <c r="AR1826" s="474"/>
      <c r="AS1826" s="436"/>
      <c r="AT1826" s="281"/>
      <c r="AU1826" s="472"/>
    </row>
    <row r="1827" spans="1:55" s="471" customFormat="1">
      <c r="A1827" s="278">
        <v>10</v>
      </c>
      <c r="B1827" s="279"/>
      <c r="C1827" s="279"/>
      <c r="D1827" s="394" t="s">
        <v>3678</v>
      </c>
      <c r="E1827" s="280" t="s">
        <v>3717</v>
      </c>
      <c r="F1827" s="474"/>
      <c r="G1827" s="474">
        <v>2022</v>
      </c>
      <c r="H1827" s="474">
        <v>3</v>
      </c>
      <c r="I1827" s="485">
        <v>127405</v>
      </c>
      <c r="J1827" s="475">
        <v>44629</v>
      </c>
      <c r="K1827" s="474" t="s">
        <v>3803</v>
      </c>
      <c r="L1827" s="474" t="s">
        <v>3796</v>
      </c>
      <c r="M1827" s="475">
        <v>44606</v>
      </c>
      <c r="N1827" s="475">
        <v>44606</v>
      </c>
      <c r="O1827" s="475" t="s">
        <v>3797</v>
      </c>
      <c r="P1827" s="475">
        <v>44621</v>
      </c>
      <c r="Q1827" s="475">
        <v>44629</v>
      </c>
      <c r="R1827" s="475">
        <v>44631</v>
      </c>
      <c r="S1827" s="474" t="s">
        <v>1102</v>
      </c>
      <c r="T1827" s="474">
        <v>60</v>
      </c>
      <c r="U1827" s="474">
        <v>49403140</v>
      </c>
      <c r="V1827" s="474" t="s">
        <v>973</v>
      </c>
      <c r="W1827" s="476">
        <v>400</v>
      </c>
      <c r="X1827" s="402">
        <v>1664</v>
      </c>
      <c r="Y1827" s="491">
        <f t="shared" si="299"/>
        <v>665600</v>
      </c>
      <c r="Z1827" s="478">
        <v>0.47</v>
      </c>
      <c r="AA1827" s="582">
        <f t="shared" si="296"/>
        <v>312832</v>
      </c>
      <c r="AB1827" s="480"/>
      <c r="AC1827" s="481"/>
      <c r="AD1827" s="490"/>
      <c r="AE1827" s="482"/>
      <c r="AF1827" s="493"/>
      <c r="AG1827" s="474" t="s">
        <v>1071</v>
      </c>
      <c r="AH1827" s="474"/>
      <c r="AI1827" s="474">
        <v>60</v>
      </c>
      <c r="AJ1827" s="474" t="s">
        <v>3804</v>
      </c>
      <c r="AK1827" s="474" t="s">
        <v>1085</v>
      </c>
      <c r="AL1827" s="494">
        <v>7719</v>
      </c>
      <c r="AM1827" s="474" t="s">
        <v>52</v>
      </c>
      <c r="AN1827" s="474" t="s">
        <v>1074</v>
      </c>
      <c r="AO1827" s="474"/>
      <c r="AP1827" s="482"/>
      <c r="AQ1827" s="482"/>
      <c r="AR1827" s="474"/>
      <c r="AS1827" s="436"/>
      <c r="AT1827" s="281"/>
      <c r="AU1827" s="472"/>
    </row>
    <row r="1828" spans="1:55" s="471" customFormat="1">
      <c r="A1828" s="278">
        <v>10</v>
      </c>
      <c r="B1828" s="279"/>
      <c r="C1828" s="279"/>
      <c r="D1828" s="394" t="s">
        <v>3678</v>
      </c>
      <c r="E1828" s="280" t="s">
        <v>3683</v>
      </c>
      <c r="F1828" s="474"/>
      <c r="G1828" s="474">
        <v>2022</v>
      </c>
      <c r="H1828" s="474">
        <v>3</v>
      </c>
      <c r="I1828" s="485">
        <v>127725</v>
      </c>
      <c r="J1828" s="475">
        <v>44624</v>
      </c>
      <c r="K1828" s="474" t="s">
        <v>3805</v>
      </c>
      <c r="L1828" s="474" t="s">
        <v>3796</v>
      </c>
      <c r="M1828" s="475">
        <v>44606</v>
      </c>
      <c r="N1828" s="475">
        <v>44606</v>
      </c>
      <c r="O1828" s="475" t="s">
        <v>3797</v>
      </c>
      <c r="P1828" s="475">
        <v>44621</v>
      </c>
      <c r="Q1828" s="475">
        <v>44624</v>
      </c>
      <c r="R1828" s="475">
        <v>44627</v>
      </c>
      <c r="S1828" s="474" t="s">
        <v>1102</v>
      </c>
      <c r="T1828" s="474">
        <v>60</v>
      </c>
      <c r="U1828" s="474" t="s">
        <v>1247</v>
      </c>
      <c r="V1828" s="474" t="s">
        <v>973</v>
      </c>
      <c r="W1828" s="476">
        <v>400</v>
      </c>
      <c r="X1828" s="402">
        <v>832</v>
      </c>
      <c r="Y1828" s="491">
        <f t="shared" si="299"/>
        <v>332800</v>
      </c>
      <c r="Z1828" s="478">
        <v>0.47</v>
      </c>
      <c r="AA1828" s="582">
        <v>156416</v>
      </c>
      <c r="AB1828" s="480"/>
      <c r="AC1828" s="481"/>
      <c r="AD1828" s="490"/>
      <c r="AE1828" s="482"/>
      <c r="AF1828" s="493"/>
      <c r="AG1828" s="474" t="s">
        <v>1071</v>
      </c>
      <c r="AH1828" s="474"/>
      <c r="AI1828" s="474">
        <v>60</v>
      </c>
      <c r="AJ1828" s="474" t="s">
        <v>3804</v>
      </c>
      <c r="AK1828" s="474" t="s">
        <v>1085</v>
      </c>
      <c r="AL1828" s="494">
        <v>7719</v>
      </c>
      <c r="AM1828" s="474" t="s">
        <v>52</v>
      </c>
      <c r="AN1828" s="474" t="s">
        <v>1384</v>
      </c>
      <c r="AO1828" s="474"/>
      <c r="AP1828" s="482" t="s">
        <v>92</v>
      </c>
      <c r="AQ1828" s="482"/>
      <c r="AR1828" s="474"/>
      <c r="AS1828" s="436"/>
      <c r="AT1828" s="281"/>
      <c r="AU1828" s="472"/>
    </row>
    <row r="1829" spans="1:55" s="471" customFormat="1">
      <c r="A1829" s="278">
        <v>10</v>
      </c>
      <c r="B1829" s="279"/>
      <c r="C1829" s="279"/>
      <c r="D1829" s="394" t="s">
        <v>3678</v>
      </c>
      <c r="E1829" s="280" t="s">
        <v>3717</v>
      </c>
      <c r="F1829" s="474"/>
      <c r="G1829" s="474">
        <v>2022</v>
      </c>
      <c r="H1829" s="474">
        <v>3</v>
      </c>
      <c r="I1829" s="485">
        <v>127406</v>
      </c>
      <c r="J1829" s="475">
        <v>44627</v>
      </c>
      <c r="K1829" s="474" t="s">
        <v>3806</v>
      </c>
      <c r="L1829" s="474" t="s">
        <v>3796</v>
      </c>
      <c r="M1829" s="475">
        <v>44606</v>
      </c>
      <c r="N1829" s="475">
        <v>44606</v>
      </c>
      <c r="O1829" s="475" t="s">
        <v>3797</v>
      </c>
      <c r="P1829" s="475">
        <v>44621</v>
      </c>
      <c r="Q1829" s="475">
        <v>44627</v>
      </c>
      <c r="R1829" s="475">
        <v>44630</v>
      </c>
      <c r="S1829" s="474" t="s">
        <v>1102</v>
      </c>
      <c r="T1829" s="474">
        <v>60</v>
      </c>
      <c r="U1829" s="474">
        <v>49403140</v>
      </c>
      <c r="V1829" s="474" t="s">
        <v>973</v>
      </c>
      <c r="W1829" s="476">
        <v>400</v>
      </c>
      <c r="X1829" s="402">
        <v>832</v>
      </c>
      <c r="Y1829" s="491">
        <f t="shared" si="299"/>
        <v>332800</v>
      </c>
      <c r="Z1829" s="478">
        <v>0.47</v>
      </c>
      <c r="AA1829" s="582">
        <v>156416</v>
      </c>
      <c r="AB1829" s="480"/>
      <c r="AC1829" s="481"/>
      <c r="AD1829" s="490"/>
      <c r="AE1829" s="482"/>
      <c r="AF1829" s="493"/>
      <c r="AG1829" s="474" t="s">
        <v>1071</v>
      </c>
      <c r="AH1829" s="474"/>
      <c r="AI1829" s="474">
        <v>60</v>
      </c>
      <c r="AJ1829" s="474" t="s">
        <v>3807</v>
      </c>
      <c r="AK1829" s="474" t="s">
        <v>1347</v>
      </c>
      <c r="AL1829" s="494">
        <v>19605</v>
      </c>
      <c r="AM1829" s="474" t="s">
        <v>52</v>
      </c>
      <c r="AN1829" s="474" t="s">
        <v>1074</v>
      </c>
      <c r="AO1829" s="474"/>
      <c r="AP1829" s="482"/>
      <c r="AQ1829" s="482"/>
      <c r="AR1829" s="474"/>
      <c r="AS1829" s="436"/>
      <c r="AT1829" s="281"/>
      <c r="AU1829" s="472"/>
    </row>
    <row r="1830" spans="1:55" s="471" customFormat="1">
      <c r="A1830" s="278">
        <v>10</v>
      </c>
      <c r="B1830" s="279"/>
      <c r="C1830" s="279"/>
      <c r="D1830" s="394" t="s">
        <v>3678</v>
      </c>
      <c r="E1830" s="280" t="s">
        <v>3683</v>
      </c>
      <c r="F1830" s="474"/>
      <c r="G1830" s="474">
        <v>2022</v>
      </c>
      <c r="H1830" s="474">
        <v>3</v>
      </c>
      <c r="I1830" s="485">
        <v>127726</v>
      </c>
      <c r="J1830" s="475">
        <v>44624</v>
      </c>
      <c r="K1830" s="474" t="s">
        <v>3808</v>
      </c>
      <c r="L1830" s="474" t="s">
        <v>3796</v>
      </c>
      <c r="M1830" s="475">
        <v>44606</v>
      </c>
      <c r="N1830" s="475">
        <v>44606</v>
      </c>
      <c r="O1830" s="475" t="s">
        <v>3797</v>
      </c>
      <c r="P1830" s="475">
        <v>44621</v>
      </c>
      <c r="Q1830" s="475">
        <v>44624</v>
      </c>
      <c r="R1830" s="475">
        <v>44627</v>
      </c>
      <c r="S1830" s="474" t="s">
        <v>1102</v>
      </c>
      <c r="T1830" s="474">
        <v>60</v>
      </c>
      <c r="U1830" s="474" t="s">
        <v>1247</v>
      </c>
      <c r="V1830" s="474" t="s">
        <v>973</v>
      </c>
      <c r="W1830" s="476">
        <v>400</v>
      </c>
      <c r="X1830" s="402">
        <v>832</v>
      </c>
      <c r="Y1830" s="491">
        <f t="shared" si="299"/>
        <v>332800</v>
      </c>
      <c r="Z1830" s="478">
        <v>0.47</v>
      </c>
      <c r="AA1830" s="582">
        <f>Y1830*Z1830</f>
        <v>156416</v>
      </c>
      <c r="AB1830" s="480"/>
      <c r="AC1830" s="481"/>
      <c r="AD1830" s="490"/>
      <c r="AE1830" s="482"/>
      <c r="AF1830" s="493"/>
      <c r="AG1830" s="474" t="s">
        <v>1071</v>
      </c>
      <c r="AH1830" s="474"/>
      <c r="AI1830" s="474">
        <v>60</v>
      </c>
      <c r="AJ1830" s="474" t="s">
        <v>3807</v>
      </c>
      <c r="AK1830" s="474" t="s">
        <v>1347</v>
      </c>
      <c r="AL1830" s="494">
        <v>19605</v>
      </c>
      <c r="AM1830" s="474" t="s">
        <v>52</v>
      </c>
      <c r="AN1830" s="474" t="s">
        <v>1384</v>
      </c>
      <c r="AO1830" s="474"/>
      <c r="AP1830" s="482" t="s">
        <v>92</v>
      </c>
      <c r="AQ1830" s="482"/>
      <c r="AR1830" s="474"/>
      <c r="AS1830" s="436"/>
      <c r="AT1830" s="281"/>
      <c r="AU1830" s="472"/>
    </row>
    <row r="1831" spans="1:55" s="471" customFormat="1">
      <c r="A1831" s="278">
        <v>10</v>
      </c>
      <c r="B1831" s="279"/>
      <c r="C1831" s="279"/>
      <c r="D1831" s="394" t="s">
        <v>3678</v>
      </c>
      <c r="E1831" s="280" t="s">
        <v>3717</v>
      </c>
      <c r="F1831" s="474"/>
      <c r="G1831" s="474">
        <v>2022</v>
      </c>
      <c r="H1831" s="474">
        <v>3</v>
      </c>
      <c r="I1831" s="485">
        <v>127401</v>
      </c>
      <c r="J1831" s="475">
        <v>44628</v>
      </c>
      <c r="K1831" s="474" t="s">
        <v>3809</v>
      </c>
      <c r="L1831" s="474" t="s">
        <v>3796</v>
      </c>
      <c r="M1831" s="475">
        <v>44606</v>
      </c>
      <c r="N1831" s="475">
        <v>44606</v>
      </c>
      <c r="O1831" s="475" t="s">
        <v>3797</v>
      </c>
      <c r="P1831" s="475">
        <v>44621</v>
      </c>
      <c r="Q1831" s="475">
        <v>44628</v>
      </c>
      <c r="R1831" s="475">
        <v>44630</v>
      </c>
      <c r="S1831" s="474" t="s">
        <v>1102</v>
      </c>
      <c r="T1831" s="474">
        <v>60</v>
      </c>
      <c r="U1831" s="474">
        <v>49403140</v>
      </c>
      <c r="V1831" s="474" t="s">
        <v>973</v>
      </c>
      <c r="W1831" s="476">
        <v>400</v>
      </c>
      <c r="X1831" s="402">
        <v>1664</v>
      </c>
      <c r="Y1831" s="491">
        <f t="shared" si="299"/>
        <v>665600</v>
      </c>
      <c r="Z1831" s="478">
        <v>0.47</v>
      </c>
      <c r="AA1831" s="582">
        <f>Y1831*Z1831</f>
        <v>312832</v>
      </c>
      <c r="AB1831" s="480"/>
      <c r="AC1831" s="481"/>
      <c r="AD1831" s="490"/>
      <c r="AE1831" s="482"/>
      <c r="AF1831" s="493"/>
      <c r="AG1831" s="474" t="s">
        <v>1071</v>
      </c>
      <c r="AH1831" s="474"/>
      <c r="AI1831" s="474">
        <v>60</v>
      </c>
      <c r="AJ1831" s="474" t="s">
        <v>3810</v>
      </c>
      <c r="AK1831" s="474" t="s">
        <v>1096</v>
      </c>
      <c r="AL1831" s="494">
        <v>1040</v>
      </c>
      <c r="AM1831" s="474" t="s">
        <v>52</v>
      </c>
      <c r="AN1831" s="474" t="s">
        <v>1074</v>
      </c>
      <c r="AO1831" s="474"/>
      <c r="AP1831" s="482"/>
      <c r="AQ1831" s="482"/>
      <c r="AR1831" s="474"/>
      <c r="AS1831" s="436"/>
      <c r="AT1831" s="281"/>
      <c r="AU1831" s="472"/>
    </row>
    <row r="1832" spans="1:55" s="471" customFormat="1">
      <c r="A1832" s="643">
        <v>10</v>
      </c>
      <c r="B1832" s="279"/>
      <c r="C1832" s="279"/>
      <c r="D1832" s="394" t="s">
        <v>3678</v>
      </c>
      <c r="E1832" s="280" t="s">
        <v>3717</v>
      </c>
      <c r="F1832" s="474"/>
      <c r="G1832" s="474">
        <v>2022</v>
      </c>
      <c r="H1832" s="474">
        <v>3</v>
      </c>
      <c r="I1832" s="485">
        <v>127407</v>
      </c>
      <c r="J1832" s="475">
        <v>44638</v>
      </c>
      <c r="K1832" s="486" t="s">
        <v>3811</v>
      </c>
      <c r="L1832" s="474" t="s">
        <v>3796</v>
      </c>
      <c r="M1832" s="475">
        <v>44622</v>
      </c>
      <c r="N1832" s="475">
        <v>44622</v>
      </c>
      <c r="O1832" s="475" t="s">
        <v>3797</v>
      </c>
      <c r="P1832" s="475">
        <v>44630</v>
      </c>
      <c r="Q1832" s="475">
        <v>44638</v>
      </c>
      <c r="R1832" s="475">
        <v>44645</v>
      </c>
      <c r="S1832" s="474" t="s">
        <v>1102</v>
      </c>
      <c r="T1832" s="474">
        <v>60</v>
      </c>
      <c r="U1832" s="474" t="s">
        <v>1281</v>
      </c>
      <c r="V1832" s="474" t="s">
        <v>973</v>
      </c>
      <c r="W1832" s="476">
        <v>400</v>
      </c>
      <c r="X1832" s="402">
        <v>1664</v>
      </c>
      <c r="Y1832" s="491">
        <f t="shared" si="299"/>
        <v>665600</v>
      </c>
      <c r="Z1832" s="478">
        <v>0.48499999999999999</v>
      </c>
      <c r="AA1832" s="479">
        <f>Y1832*Z1832</f>
        <v>322816</v>
      </c>
      <c r="AB1832" s="480"/>
      <c r="AC1832" s="481"/>
      <c r="AD1832" s="490"/>
      <c r="AE1832" s="482"/>
      <c r="AF1832" s="493"/>
      <c r="AG1832" s="474" t="s">
        <v>1071</v>
      </c>
      <c r="AH1832" s="474"/>
      <c r="AI1832" s="474">
        <v>60</v>
      </c>
      <c r="AJ1832" s="474" t="s">
        <v>1473</v>
      </c>
      <c r="AK1832" s="474" t="s">
        <v>1190</v>
      </c>
      <c r="AL1832" s="494">
        <v>6410</v>
      </c>
      <c r="AM1832" s="474" t="s">
        <v>52</v>
      </c>
      <c r="AN1832" s="474" t="s">
        <v>50</v>
      </c>
      <c r="AO1832" s="474"/>
      <c r="AP1832" s="482" t="s">
        <v>92</v>
      </c>
      <c r="AQ1832" s="482"/>
      <c r="AR1832" s="474"/>
      <c r="AS1832" s="436"/>
      <c r="AT1832" s="281"/>
      <c r="AU1832" s="472"/>
    </row>
    <row r="1833" spans="1:55" s="471" customFormat="1">
      <c r="A1833" s="676">
        <v>10</v>
      </c>
      <c r="B1833" s="279"/>
      <c r="C1833" s="279"/>
      <c r="D1833" s="394" t="s">
        <v>3678</v>
      </c>
      <c r="E1833" s="280" t="s">
        <v>3717</v>
      </c>
      <c r="F1833" s="474"/>
      <c r="G1833" s="474">
        <v>2022</v>
      </c>
      <c r="H1833" s="474">
        <v>3</v>
      </c>
      <c r="I1833" s="485">
        <v>127398</v>
      </c>
      <c r="J1833" s="475">
        <v>44636</v>
      </c>
      <c r="K1833" s="486" t="s">
        <v>3811</v>
      </c>
      <c r="L1833" s="474" t="s">
        <v>3796</v>
      </c>
      <c r="M1833" s="475">
        <v>44622</v>
      </c>
      <c r="N1833" s="475">
        <v>44622</v>
      </c>
      <c r="O1833" s="475" t="s">
        <v>3797</v>
      </c>
      <c r="P1833" s="475">
        <v>44630</v>
      </c>
      <c r="Q1833" s="475">
        <v>44636</v>
      </c>
      <c r="R1833" s="475">
        <v>44641</v>
      </c>
      <c r="S1833" s="474" t="s">
        <v>1102</v>
      </c>
      <c r="T1833" s="474">
        <v>60</v>
      </c>
      <c r="U1833" s="474" t="s">
        <v>1281</v>
      </c>
      <c r="V1833" s="474" t="s">
        <v>973</v>
      </c>
      <c r="W1833" s="476">
        <v>400</v>
      </c>
      <c r="X1833" s="402">
        <v>832</v>
      </c>
      <c r="Y1833" s="491">
        <f t="shared" si="299"/>
        <v>332800</v>
      </c>
      <c r="Z1833" s="478">
        <v>0.48499999999999999</v>
      </c>
      <c r="AA1833" s="479">
        <f>Y1833*Z1833</f>
        <v>161408</v>
      </c>
      <c r="AB1833" s="480"/>
      <c r="AC1833" s="481"/>
      <c r="AD1833" s="490"/>
      <c r="AE1833" s="482"/>
      <c r="AF1833" s="493"/>
      <c r="AG1833" s="474" t="s">
        <v>1071</v>
      </c>
      <c r="AH1833" s="474"/>
      <c r="AI1833" s="474">
        <v>60</v>
      </c>
      <c r="AJ1833" s="474" t="s">
        <v>1473</v>
      </c>
      <c r="AK1833" s="474" t="s">
        <v>1190</v>
      </c>
      <c r="AL1833" s="494">
        <v>6410</v>
      </c>
      <c r="AM1833" s="474" t="s">
        <v>52</v>
      </c>
      <c r="AN1833" s="474" t="s">
        <v>50</v>
      </c>
      <c r="AO1833" s="474"/>
      <c r="AP1833" s="482" t="s">
        <v>92</v>
      </c>
      <c r="AQ1833" s="482"/>
      <c r="AR1833" s="474"/>
      <c r="AS1833" s="436"/>
      <c r="AT1833" s="436"/>
    </row>
    <row r="1834" spans="1:55" s="471" customFormat="1">
      <c r="A1834" s="287"/>
      <c r="B1834" s="279"/>
      <c r="C1834" s="279"/>
      <c r="D1834" s="394" t="s">
        <v>3678</v>
      </c>
      <c r="E1834" s="280" t="s">
        <v>3683</v>
      </c>
      <c r="F1834" s="474"/>
      <c r="G1834" s="474">
        <v>2022</v>
      </c>
      <c r="H1834" s="474">
        <v>3</v>
      </c>
      <c r="I1834" s="485">
        <v>127732</v>
      </c>
      <c r="J1834" s="475">
        <v>44649</v>
      </c>
      <c r="K1834" s="486" t="s">
        <v>3812</v>
      </c>
      <c r="L1834" s="474" t="s">
        <v>3796</v>
      </c>
      <c r="M1834" s="475">
        <v>44622</v>
      </c>
      <c r="N1834" s="475">
        <v>44622</v>
      </c>
      <c r="O1834" s="475" t="s">
        <v>3797</v>
      </c>
      <c r="P1834" s="475">
        <v>44637</v>
      </c>
      <c r="Q1834" s="475">
        <v>44649</v>
      </c>
      <c r="R1834" s="475">
        <v>44655</v>
      </c>
      <c r="S1834" s="474" t="s">
        <v>1102</v>
      </c>
      <c r="T1834" s="474">
        <v>60</v>
      </c>
      <c r="U1834" s="474" t="s">
        <v>1281</v>
      </c>
      <c r="V1834" s="474" t="s">
        <v>973</v>
      </c>
      <c r="W1834" s="476">
        <v>400</v>
      </c>
      <c r="X1834" s="402">
        <v>832</v>
      </c>
      <c r="Y1834" s="491">
        <f>X1834*W1834</f>
        <v>332800</v>
      </c>
      <c r="Z1834" s="478">
        <v>0.48499999999999999</v>
      </c>
      <c r="AA1834" s="479">
        <f>Y1834*Z1834</f>
        <v>161408</v>
      </c>
      <c r="AB1834" s="480"/>
      <c r="AC1834" s="481"/>
      <c r="AD1834" s="490"/>
      <c r="AE1834" s="482"/>
      <c r="AF1834" s="493"/>
      <c r="AG1834" s="474" t="s">
        <v>1071</v>
      </c>
      <c r="AH1834" s="474"/>
      <c r="AI1834" s="474">
        <v>60</v>
      </c>
      <c r="AJ1834" s="474" t="s">
        <v>1473</v>
      </c>
      <c r="AK1834" s="474" t="s">
        <v>1190</v>
      </c>
      <c r="AL1834" s="494">
        <v>6410</v>
      </c>
      <c r="AM1834" s="474" t="s">
        <v>52</v>
      </c>
      <c r="AN1834" s="474" t="s">
        <v>50</v>
      </c>
      <c r="AO1834" s="474"/>
      <c r="AP1834" s="482" t="s">
        <v>92</v>
      </c>
      <c r="AQ1834" s="482"/>
      <c r="AR1834" s="474"/>
      <c r="AS1834" s="436"/>
      <c r="AT1834" s="436"/>
    </row>
    <row r="1835" spans="1:55" s="471" customFormat="1">
      <c r="A1835" s="287"/>
      <c r="B1835" s="279"/>
      <c r="C1835" s="279"/>
      <c r="D1835" s="394" t="s">
        <v>3678</v>
      </c>
      <c r="E1835" s="288" t="s">
        <v>3813</v>
      </c>
      <c r="F1835" s="474"/>
      <c r="G1835" s="474">
        <v>2022</v>
      </c>
      <c r="H1835" s="474">
        <v>3</v>
      </c>
      <c r="I1835" s="474">
        <v>127728</v>
      </c>
      <c r="J1835" s="475">
        <v>44651</v>
      </c>
      <c r="K1835" s="474" t="s">
        <v>3814</v>
      </c>
      <c r="L1835" s="475" t="s">
        <v>3796</v>
      </c>
      <c r="M1835" s="475">
        <v>44641</v>
      </c>
      <c r="N1835" s="475">
        <v>44641</v>
      </c>
      <c r="O1835" s="475"/>
      <c r="P1835" s="475">
        <v>44620</v>
      </c>
      <c r="Q1835" s="475">
        <v>44651</v>
      </c>
      <c r="R1835" s="475">
        <v>44656</v>
      </c>
      <c r="S1835" s="474" t="s">
        <v>1102</v>
      </c>
      <c r="T1835" s="474">
        <v>60</v>
      </c>
      <c r="U1835" s="474" t="s">
        <v>1281</v>
      </c>
      <c r="V1835" s="486" t="s">
        <v>3729</v>
      </c>
      <c r="W1835" s="474">
        <v>400</v>
      </c>
      <c r="X1835" s="402">
        <v>832</v>
      </c>
      <c r="Y1835" s="477">
        <f>W1835*X1835</f>
        <v>332800</v>
      </c>
      <c r="Z1835" s="478">
        <v>0.48499999999999999</v>
      </c>
      <c r="AA1835" s="479">
        <f>Z1835*Y1835</f>
        <v>161408</v>
      </c>
      <c r="AB1835" s="480"/>
      <c r="AC1835" s="481">
        <f>AB1835*Y1835</f>
        <v>0</v>
      </c>
      <c r="AD1835" s="490"/>
      <c r="AE1835" s="482"/>
      <c r="AF1835" s="493">
        <f>AE1835+AD1835+AA1835</f>
        <v>161408</v>
      </c>
      <c r="AG1835" s="474" t="s">
        <v>1071</v>
      </c>
      <c r="AH1835" s="474"/>
      <c r="AI1835" s="474">
        <v>60</v>
      </c>
      <c r="AJ1835" s="474" t="s">
        <v>3055</v>
      </c>
      <c r="AK1835" s="474" t="s">
        <v>1138</v>
      </c>
      <c r="AL1835" s="494">
        <v>10918</v>
      </c>
      <c r="AM1835" s="474" t="s">
        <v>52</v>
      </c>
      <c r="AN1835" s="474" t="s">
        <v>50</v>
      </c>
      <c r="AO1835" s="474"/>
      <c r="AP1835" s="482" t="s">
        <v>92</v>
      </c>
      <c r="AQ1835" s="482" t="s">
        <v>37</v>
      </c>
      <c r="AR1835" s="474"/>
      <c r="AS1835" s="436" t="s">
        <v>1076</v>
      </c>
      <c r="AT1835" s="436" t="s">
        <v>1076</v>
      </c>
    </row>
    <row r="1836" spans="1:55" s="471" customFormat="1">
      <c r="A1836" s="676">
        <v>10</v>
      </c>
      <c r="B1836" s="279"/>
      <c r="C1836" s="279"/>
      <c r="D1836" s="394" t="s">
        <v>3678</v>
      </c>
      <c r="E1836" s="280" t="s">
        <v>3692</v>
      </c>
      <c r="F1836" s="474"/>
      <c r="G1836" s="474">
        <v>2022</v>
      </c>
      <c r="H1836" s="474">
        <v>3</v>
      </c>
      <c r="I1836" s="485">
        <v>127433</v>
      </c>
      <c r="J1836" s="475">
        <v>44638</v>
      </c>
      <c r="K1836" s="486" t="s">
        <v>3815</v>
      </c>
      <c r="L1836" s="474" t="s">
        <v>3796</v>
      </c>
      <c r="M1836" s="475">
        <v>44622</v>
      </c>
      <c r="N1836" s="475">
        <v>44622</v>
      </c>
      <c r="O1836" s="475" t="s">
        <v>3797</v>
      </c>
      <c r="P1836" s="475">
        <v>44630</v>
      </c>
      <c r="Q1836" s="475">
        <v>44638</v>
      </c>
      <c r="R1836" s="475">
        <v>44643</v>
      </c>
      <c r="S1836" s="474" t="s">
        <v>1102</v>
      </c>
      <c r="T1836" s="474">
        <v>60</v>
      </c>
      <c r="U1836" s="474" t="s">
        <v>2184</v>
      </c>
      <c r="V1836" s="474" t="s">
        <v>973</v>
      </c>
      <c r="W1836" s="476">
        <v>400</v>
      </c>
      <c r="X1836" s="402">
        <v>832</v>
      </c>
      <c r="Y1836" s="491">
        <f>W1836*X1836</f>
        <v>332800</v>
      </c>
      <c r="Z1836" s="478">
        <v>0.48499999999999999</v>
      </c>
      <c r="AA1836" s="479">
        <f t="shared" ref="AA1836:AA1841" si="300">Y1836*Z1836</f>
        <v>161408</v>
      </c>
      <c r="AB1836" s="480"/>
      <c r="AC1836" s="481"/>
      <c r="AD1836" s="490"/>
      <c r="AE1836" s="482"/>
      <c r="AF1836" s="493"/>
      <c r="AG1836" s="474" t="s">
        <v>1071</v>
      </c>
      <c r="AH1836" s="474"/>
      <c r="AI1836" s="474">
        <v>60</v>
      </c>
      <c r="AJ1836" s="474" t="s">
        <v>3816</v>
      </c>
      <c r="AK1836" s="474" t="s">
        <v>1138</v>
      </c>
      <c r="AL1836" s="494">
        <v>11779</v>
      </c>
      <c r="AM1836" s="474" t="s">
        <v>52</v>
      </c>
      <c r="AN1836" s="474" t="s">
        <v>50</v>
      </c>
      <c r="AO1836" s="474"/>
      <c r="AP1836" s="482" t="s">
        <v>92</v>
      </c>
      <c r="AQ1836" s="482"/>
      <c r="AR1836" s="474"/>
      <c r="AS1836" s="436"/>
      <c r="AT1836" s="436"/>
      <c r="AV1836" s="471" t="str">
        <f>U1836</f>
        <v>30390456C+</v>
      </c>
      <c r="AW1836" s="471" cm="1">
        <f t="array" ref="AW1836">SUM(MID(0&amp;AV1836,LARGE(INDEX(ISNUMBER(--MID(AV1836,ROW($1:$8),1))*ROW($1:$8),),ROW($1:$8))+1,1)*10^ROW($1:$8)/10)</f>
        <v>30390456</v>
      </c>
      <c r="AX1836" s="471" t="str">
        <f>VLOOKUP($AW1836,'Item Master Data'!$A:$F,3,FALSE)</f>
        <v>Q.PEAK DUO BLK ML G10+</v>
      </c>
      <c r="AY1836" s="471">
        <f>VLOOKUP($AW1836,'Item Master Data'!$A:$F,6,FALSE)</f>
        <v>400</v>
      </c>
      <c r="AZ1836" s="471">
        <f>X1836/BA1836</f>
        <v>26</v>
      </c>
      <c r="BA1836" s="471">
        <f>VLOOKUP(AW1836,'Item Master Data'!$A:$G,7,FALSE)</f>
        <v>32</v>
      </c>
      <c r="BC1836" s="471">
        <f>W1836-AY1836</f>
        <v>0</v>
      </c>
    </row>
    <row r="1837" spans="1:55" s="471" customFormat="1">
      <c r="A1837" s="676">
        <v>10</v>
      </c>
      <c r="B1837" s="279"/>
      <c r="C1837" s="279"/>
      <c r="D1837" s="394" t="s">
        <v>3678</v>
      </c>
      <c r="E1837" s="280" t="s">
        <v>3717</v>
      </c>
      <c r="F1837" s="474"/>
      <c r="G1837" s="474">
        <v>2022</v>
      </c>
      <c r="H1837" s="474">
        <v>3</v>
      </c>
      <c r="I1837" s="485">
        <v>127399</v>
      </c>
      <c r="J1837" s="475">
        <v>44637</v>
      </c>
      <c r="K1837" s="486" t="s">
        <v>3817</v>
      </c>
      <c r="L1837" s="474" t="s">
        <v>3796</v>
      </c>
      <c r="M1837" s="475">
        <v>44622</v>
      </c>
      <c r="N1837" s="475">
        <v>44622</v>
      </c>
      <c r="O1837" s="475" t="s">
        <v>3797</v>
      </c>
      <c r="P1837" s="475">
        <v>44630</v>
      </c>
      <c r="Q1837" s="475">
        <v>44637</v>
      </c>
      <c r="R1837" s="475">
        <v>44642</v>
      </c>
      <c r="S1837" s="474" t="s">
        <v>1102</v>
      </c>
      <c r="T1837" s="474">
        <v>60</v>
      </c>
      <c r="U1837" s="474" t="s">
        <v>1281</v>
      </c>
      <c r="V1837" s="474" t="s">
        <v>973</v>
      </c>
      <c r="W1837" s="476">
        <v>400</v>
      </c>
      <c r="X1837" s="402">
        <v>832</v>
      </c>
      <c r="Y1837" s="491">
        <f>W1837*X1837</f>
        <v>332800</v>
      </c>
      <c r="Z1837" s="478">
        <v>0.48499999999999999</v>
      </c>
      <c r="AA1837" s="479">
        <f t="shared" si="300"/>
        <v>161408</v>
      </c>
      <c r="AB1837" s="480"/>
      <c r="AC1837" s="481"/>
      <c r="AD1837" s="490"/>
      <c r="AE1837" s="482"/>
      <c r="AF1837" s="493"/>
      <c r="AG1837" s="474" t="s">
        <v>1071</v>
      </c>
      <c r="AH1837" s="474"/>
      <c r="AI1837" s="474">
        <v>60</v>
      </c>
      <c r="AJ1837" s="474" t="s">
        <v>3802</v>
      </c>
      <c r="AK1837" s="474" t="s">
        <v>1073</v>
      </c>
      <c r="AL1837" s="494">
        <v>21076</v>
      </c>
      <c r="AM1837" s="474" t="s">
        <v>52</v>
      </c>
      <c r="AN1837" s="474" t="s">
        <v>50</v>
      </c>
      <c r="AO1837" s="474"/>
      <c r="AP1837" s="482" t="s">
        <v>92</v>
      </c>
      <c r="AQ1837" s="482"/>
      <c r="AR1837" s="474"/>
      <c r="AS1837" s="436"/>
      <c r="AT1837" s="436"/>
      <c r="AV1837" s="471" t="str">
        <f>U1837</f>
        <v>30390456H</v>
      </c>
      <c r="AW1837" s="471" cm="1">
        <f t="array" ref="AW1837">SUM(MID(0&amp;AV1837,LARGE(INDEX(ISNUMBER(--MID(AV1837,ROW($1:$8),1))*ROW($1:$8),),ROW($1:$8))+1,1)*10^ROW($1:$8)/10)</f>
        <v>30390456</v>
      </c>
      <c r="AX1837" s="471" t="str">
        <f>VLOOKUP($AW1837,'Item Master Data'!$A:$F,3,FALSE)</f>
        <v>Q.PEAK DUO BLK ML G10+</v>
      </c>
      <c r="AY1837" s="471">
        <f>VLOOKUP($AW1837,'Item Master Data'!$A:$F,6,FALSE)</f>
        <v>400</v>
      </c>
      <c r="AZ1837" s="471">
        <f>X1837/BA1837</f>
        <v>26</v>
      </c>
      <c r="BA1837" s="471">
        <f>VLOOKUP(AW1837,'Item Master Data'!$A:$G,7,FALSE)</f>
        <v>32</v>
      </c>
      <c r="BC1837" s="471">
        <f>W1837-AY1837</f>
        <v>0</v>
      </c>
    </row>
    <row r="1838" spans="1:55" s="471" customFormat="1">
      <c r="A1838" s="676">
        <v>10</v>
      </c>
      <c r="B1838" s="279"/>
      <c r="C1838" s="279"/>
      <c r="D1838" s="394" t="s">
        <v>3678</v>
      </c>
      <c r="E1838" s="280" t="s">
        <v>3717</v>
      </c>
      <c r="F1838" s="474"/>
      <c r="G1838" s="474">
        <v>2022</v>
      </c>
      <c r="H1838" s="474">
        <v>3</v>
      </c>
      <c r="I1838" s="485">
        <v>127408</v>
      </c>
      <c r="J1838" s="475">
        <v>44636</v>
      </c>
      <c r="K1838" s="486" t="s">
        <v>3818</v>
      </c>
      <c r="L1838" s="474" t="s">
        <v>3796</v>
      </c>
      <c r="M1838" s="475">
        <v>44622</v>
      </c>
      <c r="N1838" s="475">
        <v>44622</v>
      </c>
      <c r="O1838" s="475" t="s">
        <v>3797</v>
      </c>
      <c r="P1838" s="475">
        <v>44630</v>
      </c>
      <c r="Q1838" s="475">
        <v>44636</v>
      </c>
      <c r="R1838" s="475">
        <v>44641</v>
      </c>
      <c r="S1838" s="474" t="s">
        <v>1102</v>
      </c>
      <c r="T1838" s="474">
        <v>60</v>
      </c>
      <c r="U1838" s="474" t="s">
        <v>1281</v>
      </c>
      <c r="V1838" s="474" t="s">
        <v>973</v>
      </c>
      <c r="W1838" s="476">
        <v>400</v>
      </c>
      <c r="X1838" s="402">
        <v>832</v>
      </c>
      <c r="Y1838" s="491">
        <f>W1838*X1838</f>
        <v>332800</v>
      </c>
      <c r="Z1838" s="478">
        <v>0.48499999999999999</v>
      </c>
      <c r="AA1838" s="479">
        <f t="shared" si="300"/>
        <v>161408</v>
      </c>
      <c r="AB1838" s="480"/>
      <c r="AC1838" s="481"/>
      <c r="AD1838" s="490"/>
      <c r="AE1838" s="482"/>
      <c r="AF1838" s="493"/>
      <c r="AG1838" s="474" t="s">
        <v>1071</v>
      </c>
      <c r="AH1838" s="474"/>
      <c r="AI1838" s="474">
        <v>60</v>
      </c>
      <c r="AJ1838" s="474" t="s">
        <v>3804</v>
      </c>
      <c r="AK1838" s="474" t="s">
        <v>1085</v>
      </c>
      <c r="AL1838" s="494">
        <v>7719</v>
      </c>
      <c r="AM1838" s="474" t="s">
        <v>52</v>
      </c>
      <c r="AN1838" s="474" t="s">
        <v>50</v>
      </c>
      <c r="AO1838" s="474"/>
      <c r="AP1838" s="482" t="s">
        <v>92</v>
      </c>
      <c r="AQ1838" s="482"/>
      <c r="AR1838" s="474"/>
      <c r="AS1838" s="436"/>
      <c r="AT1838" s="436"/>
    </row>
    <row r="1839" spans="1:55" s="471" customFormat="1">
      <c r="A1839" s="676">
        <v>10</v>
      </c>
      <c r="B1839" s="279"/>
      <c r="C1839" s="279"/>
      <c r="D1839" s="394" t="s">
        <v>3678</v>
      </c>
      <c r="E1839" s="280" t="s">
        <v>3717</v>
      </c>
      <c r="F1839" s="474"/>
      <c r="G1839" s="474">
        <v>2022</v>
      </c>
      <c r="H1839" s="474">
        <v>3</v>
      </c>
      <c r="I1839" s="485">
        <v>127400</v>
      </c>
      <c r="J1839" s="475">
        <v>44641</v>
      </c>
      <c r="K1839" s="486" t="s">
        <v>3818</v>
      </c>
      <c r="L1839" s="474" t="s">
        <v>3796</v>
      </c>
      <c r="M1839" s="475">
        <v>44622</v>
      </c>
      <c r="N1839" s="475">
        <v>44622</v>
      </c>
      <c r="O1839" s="475" t="s">
        <v>3797</v>
      </c>
      <c r="P1839" s="475">
        <v>44630</v>
      </c>
      <c r="Q1839" s="475">
        <v>44641</v>
      </c>
      <c r="R1839" s="475">
        <v>44645</v>
      </c>
      <c r="S1839" s="474" t="s">
        <v>1102</v>
      </c>
      <c r="T1839" s="474">
        <v>60</v>
      </c>
      <c r="U1839" s="474" t="s">
        <v>1281</v>
      </c>
      <c r="V1839" s="474" t="s">
        <v>973</v>
      </c>
      <c r="W1839" s="476">
        <v>400</v>
      </c>
      <c r="X1839" s="402">
        <v>832</v>
      </c>
      <c r="Y1839" s="491">
        <f>W1839*X1839</f>
        <v>332800</v>
      </c>
      <c r="Z1839" s="478">
        <v>0.48499999999999999</v>
      </c>
      <c r="AA1839" s="479">
        <f t="shared" si="300"/>
        <v>161408</v>
      </c>
      <c r="AB1839" s="480"/>
      <c r="AC1839" s="481"/>
      <c r="AD1839" s="490"/>
      <c r="AE1839" s="482"/>
      <c r="AF1839" s="493"/>
      <c r="AG1839" s="474" t="s">
        <v>1071</v>
      </c>
      <c r="AH1839" s="474"/>
      <c r="AI1839" s="474">
        <v>60</v>
      </c>
      <c r="AJ1839" s="474" t="s">
        <v>3804</v>
      </c>
      <c r="AK1839" s="474" t="s">
        <v>1085</v>
      </c>
      <c r="AL1839" s="494">
        <v>7719</v>
      </c>
      <c r="AM1839" s="474" t="s">
        <v>52</v>
      </c>
      <c r="AN1839" s="474" t="s">
        <v>50</v>
      </c>
      <c r="AO1839" s="474"/>
      <c r="AP1839" s="482" t="s">
        <v>92</v>
      </c>
      <c r="AQ1839" s="482"/>
      <c r="AR1839" s="474"/>
      <c r="AS1839" s="436"/>
      <c r="AT1839" s="436"/>
    </row>
    <row r="1840" spans="1:55" s="471" customFormat="1">
      <c r="A1840" s="287"/>
      <c r="B1840" s="279"/>
      <c r="C1840" s="279"/>
      <c r="D1840" s="394" t="s">
        <v>3678</v>
      </c>
      <c r="E1840" s="280" t="s">
        <v>3819</v>
      </c>
      <c r="F1840" s="474"/>
      <c r="G1840" s="474">
        <v>2022</v>
      </c>
      <c r="H1840" s="474">
        <v>3</v>
      </c>
      <c r="I1840" s="485">
        <v>127731</v>
      </c>
      <c r="J1840" s="475">
        <v>44650</v>
      </c>
      <c r="K1840" s="486" t="s">
        <v>3820</v>
      </c>
      <c r="L1840" s="474" t="s">
        <v>3796</v>
      </c>
      <c r="M1840" s="475">
        <v>44622</v>
      </c>
      <c r="N1840" s="475">
        <v>44622</v>
      </c>
      <c r="O1840" s="475" t="s">
        <v>3797</v>
      </c>
      <c r="P1840" s="475">
        <v>44637</v>
      </c>
      <c r="Q1840" s="475">
        <v>44650</v>
      </c>
      <c r="R1840" s="475">
        <v>44655</v>
      </c>
      <c r="S1840" s="474" t="s">
        <v>1102</v>
      </c>
      <c r="T1840" s="474">
        <v>60</v>
      </c>
      <c r="U1840" s="474" t="s">
        <v>1281</v>
      </c>
      <c r="V1840" s="474" t="s">
        <v>973</v>
      </c>
      <c r="W1840" s="476">
        <v>400</v>
      </c>
      <c r="X1840" s="402">
        <v>832</v>
      </c>
      <c r="Y1840" s="491">
        <f>X1840*W1840</f>
        <v>332800</v>
      </c>
      <c r="Z1840" s="478">
        <v>0.48499999999999999</v>
      </c>
      <c r="AA1840" s="479">
        <f t="shared" si="300"/>
        <v>161408</v>
      </c>
      <c r="AB1840" s="480"/>
      <c r="AC1840" s="481"/>
      <c r="AD1840" s="490"/>
      <c r="AE1840" s="482"/>
      <c r="AF1840" s="493"/>
      <c r="AG1840" s="474" t="s">
        <v>1071</v>
      </c>
      <c r="AH1840" s="474"/>
      <c r="AI1840" s="474">
        <v>60</v>
      </c>
      <c r="AJ1840" s="474" t="s">
        <v>3804</v>
      </c>
      <c r="AK1840" s="474" t="s">
        <v>1085</v>
      </c>
      <c r="AL1840" s="494">
        <v>7719</v>
      </c>
      <c r="AM1840" s="474" t="s">
        <v>52</v>
      </c>
      <c r="AN1840" s="474" t="s">
        <v>50</v>
      </c>
      <c r="AO1840" s="474"/>
      <c r="AP1840" s="482" t="s">
        <v>92</v>
      </c>
      <c r="AQ1840" s="482"/>
      <c r="AR1840" s="474"/>
      <c r="AS1840" s="436"/>
      <c r="AT1840" s="436"/>
    </row>
    <row r="1841" spans="1:55" s="471" customFormat="1">
      <c r="A1841" s="287"/>
      <c r="B1841" s="279"/>
      <c r="C1841" s="279"/>
      <c r="D1841" s="394" t="s">
        <v>3678</v>
      </c>
      <c r="E1841" s="280" t="s">
        <v>3821</v>
      </c>
      <c r="F1841" s="474"/>
      <c r="G1841" s="474">
        <v>2022</v>
      </c>
      <c r="H1841" s="474">
        <v>3</v>
      </c>
      <c r="I1841" s="485">
        <v>127730</v>
      </c>
      <c r="J1841" s="475">
        <v>44650</v>
      </c>
      <c r="K1841" s="474" t="s">
        <v>3822</v>
      </c>
      <c r="L1841" s="474" t="s">
        <v>3796</v>
      </c>
      <c r="M1841" s="475">
        <v>44622</v>
      </c>
      <c r="N1841" s="475">
        <v>44622</v>
      </c>
      <c r="O1841" s="475" t="s">
        <v>3797</v>
      </c>
      <c r="P1841" s="475">
        <v>44637</v>
      </c>
      <c r="Q1841" s="475">
        <v>44650</v>
      </c>
      <c r="R1841" s="475">
        <v>44655</v>
      </c>
      <c r="S1841" s="474" t="s">
        <v>1102</v>
      </c>
      <c r="T1841" s="474">
        <v>60</v>
      </c>
      <c r="U1841" s="474" t="s">
        <v>1281</v>
      </c>
      <c r="V1841" s="474" t="s">
        <v>973</v>
      </c>
      <c r="W1841" s="476">
        <v>400</v>
      </c>
      <c r="X1841" s="402">
        <v>832</v>
      </c>
      <c r="Y1841" s="491">
        <f>X1841*W1841</f>
        <v>332800</v>
      </c>
      <c r="Z1841" s="478">
        <v>0.48499999999999999</v>
      </c>
      <c r="AA1841" s="479">
        <f t="shared" si="300"/>
        <v>161408</v>
      </c>
      <c r="AB1841" s="480"/>
      <c r="AC1841" s="481"/>
      <c r="AD1841" s="490"/>
      <c r="AE1841" s="482"/>
      <c r="AF1841" s="493"/>
      <c r="AG1841" s="474" t="s">
        <v>1071</v>
      </c>
      <c r="AH1841" s="474"/>
      <c r="AI1841" s="474">
        <v>60</v>
      </c>
      <c r="AJ1841" s="474" t="s">
        <v>3823</v>
      </c>
      <c r="AK1841" s="474" t="s">
        <v>1347</v>
      </c>
      <c r="AL1841" s="494">
        <v>15126</v>
      </c>
      <c r="AM1841" s="474" t="s">
        <v>52</v>
      </c>
      <c r="AN1841" s="474" t="s">
        <v>50</v>
      </c>
      <c r="AO1841" s="474"/>
      <c r="AP1841" s="482" t="s">
        <v>92</v>
      </c>
      <c r="AQ1841" s="482"/>
      <c r="AR1841" s="474"/>
      <c r="AS1841" s="436"/>
      <c r="AT1841" s="436"/>
    </row>
    <row r="1842" spans="1:55" s="471" customFormat="1">
      <c r="A1842" s="287"/>
      <c r="B1842" s="279"/>
      <c r="C1842" s="279"/>
      <c r="D1842" s="394" t="s">
        <v>3678</v>
      </c>
      <c r="E1842" s="288" t="s">
        <v>3824</v>
      </c>
      <c r="F1842" s="474"/>
      <c r="G1842" s="474">
        <v>2022</v>
      </c>
      <c r="H1842" s="474">
        <v>3</v>
      </c>
      <c r="I1842" s="474">
        <v>127727</v>
      </c>
      <c r="J1842" s="475">
        <v>44651</v>
      </c>
      <c r="K1842" s="474" t="s">
        <v>3825</v>
      </c>
      <c r="L1842" s="475" t="s">
        <v>3796</v>
      </c>
      <c r="M1842" s="475">
        <v>44641</v>
      </c>
      <c r="N1842" s="475">
        <v>44641</v>
      </c>
      <c r="O1842" s="475"/>
      <c r="P1842" s="475">
        <v>44620</v>
      </c>
      <c r="Q1842" s="475">
        <v>44651</v>
      </c>
      <c r="R1842" s="475">
        <v>44656</v>
      </c>
      <c r="S1842" s="474" t="s">
        <v>1102</v>
      </c>
      <c r="T1842" s="474">
        <v>60</v>
      </c>
      <c r="U1842" s="474" t="s">
        <v>1281</v>
      </c>
      <c r="V1842" s="486" t="s">
        <v>3729</v>
      </c>
      <c r="W1842" s="474">
        <v>400</v>
      </c>
      <c r="X1842" s="402">
        <v>832</v>
      </c>
      <c r="Y1842" s="477">
        <f>W1842*X1842</f>
        <v>332800</v>
      </c>
      <c r="Z1842" s="478">
        <v>0.48499999999999999</v>
      </c>
      <c r="AA1842" s="479">
        <f>Z1842*Y1842</f>
        <v>161408</v>
      </c>
      <c r="AB1842" s="480"/>
      <c r="AC1842" s="481">
        <f>AB1842*Y1842</f>
        <v>0</v>
      </c>
      <c r="AD1842" s="490"/>
      <c r="AE1842" s="482"/>
      <c r="AF1842" s="493">
        <f>AE1842+AD1842+AA1842</f>
        <v>161408</v>
      </c>
      <c r="AG1842" s="474" t="s">
        <v>1071</v>
      </c>
      <c r="AH1842" s="474"/>
      <c r="AI1842" s="474">
        <v>60</v>
      </c>
      <c r="AJ1842" s="474" t="s">
        <v>3823</v>
      </c>
      <c r="AK1842" s="474" t="s">
        <v>1347</v>
      </c>
      <c r="AL1842" s="494">
        <v>15126</v>
      </c>
      <c r="AM1842" s="474" t="s">
        <v>52</v>
      </c>
      <c r="AN1842" s="474" t="s">
        <v>50</v>
      </c>
      <c r="AO1842" s="474"/>
      <c r="AP1842" s="482" t="s">
        <v>92</v>
      </c>
      <c r="AQ1842" s="482" t="s">
        <v>37</v>
      </c>
      <c r="AR1842" s="474"/>
      <c r="AS1842" s="436" t="s">
        <v>1076</v>
      </c>
      <c r="AT1842" s="436" t="s">
        <v>1076</v>
      </c>
    </row>
    <row r="1843" spans="1:55" s="471" customFormat="1">
      <c r="A1843" s="643">
        <v>10</v>
      </c>
      <c r="B1843" s="279"/>
      <c r="C1843" s="279"/>
      <c r="D1843" s="394" t="s">
        <v>3678</v>
      </c>
      <c r="E1843" s="280" t="s">
        <v>3826</v>
      </c>
      <c r="F1843" s="474"/>
      <c r="G1843" s="474">
        <v>2022</v>
      </c>
      <c r="H1843" s="474">
        <v>3</v>
      </c>
      <c r="I1843" s="485">
        <v>127534</v>
      </c>
      <c r="J1843" s="475">
        <v>44637</v>
      </c>
      <c r="K1843" s="486" t="s">
        <v>3827</v>
      </c>
      <c r="L1843" s="474" t="s">
        <v>3796</v>
      </c>
      <c r="M1843" s="475">
        <v>44622</v>
      </c>
      <c r="N1843" s="475">
        <v>44622</v>
      </c>
      <c r="O1843" s="475" t="s">
        <v>3797</v>
      </c>
      <c r="P1843" s="475">
        <v>44637</v>
      </c>
      <c r="Q1843" s="475">
        <v>44637</v>
      </c>
      <c r="R1843" s="475">
        <v>44641</v>
      </c>
      <c r="S1843" s="474" t="s">
        <v>1102</v>
      </c>
      <c r="T1843" s="474">
        <v>60</v>
      </c>
      <c r="U1843" s="474" t="s">
        <v>1281</v>
      </c>
      <c r="V1843" s="474" t="s">
        <v>973</v>
      </c>
      <c r="W1843" s="476">
        <v>400</v>
      </c>
      <c r="X1843" s="402">
        <v>832</v>
      </c>
      <c r="Y1843" s="491">
        <f>W1843*X1843</f>
        <v>332800</v>
      </c>
      <c r="Z1843" s="478">
        <v>0.48499999999999999</v>
      </c>
      <c r="AA1843" s="479">
        <f>Y1843*Z1843</f>
        <v>161408</v>
      </c>
      <c r="AB1843" s="480"/>
      <c r="AC1843" s="481"/>
      <c r="AD1843" s="490"/>
      <c r="AE1843" s="482"/>
      <c r="AF1843" s="493"/>
      <c r="AG1843" s="474" t="s">
        <v>1071</v>
      </c>
      <c r="AH1843" s="474"/>
      <c r="AI1843" s="474">
        <v>60</v>
      </c>
      <c r="AJ1843" s="474" t="s">
        <v>3807</v>
      </c>
      <c r="AK1843" s="474" t="s">
        <v>1347</v>
      </c>
      <c r="AL1843" s="494">
        <v>19605</v>
      </c>
      <c r="AM1843" s="474" t="s">
        <v>52</v>
      </c>
      <c r="AN1843" s="474" t="s">
        <v>50</v>
      </c>
      <c r="AO1843" s="474"/>
      <c r="AP1843" s="482" t="s">
        <v>92</v>
      </c>
      <c r="AQ1843" s="482"/>
      <c r="AR1843" s="474"/>
      <c r="AS1843" s="436"/>
      <c r="AT1843" s="281"/>
      <c r="AU1843" s="472"/>
    </row>
    <row r="1844" spans="1:55" s="471" customFormat="1">
      <c r="A1844" s="643">
        <v>10</v>
      </c>
      <c r="B1844" s="279"/>
      <c r="C1844" s="279"/>
      <c r="D1844" s="394" t="s">
        <v>3678</v>
      </c>
      <c r="E1844" s="280" t="s">
        <v>3826</v>
      </c>
      <c r="F1844" s="474"/>
      <c r="G1844" s="474">
        <v>2022</v>
      </c>
      <c r="H1844" s="474">
        <v>3</v>
      </c>
      <c r="I1844" s="485">
        <v>127534</v>
      </c>
      <c r="J1844" s="475">
        <v>44637</v>
      </c>
      <c r="K1844" s="486" t="s">
        <v>3827</v>
      </c>
      <c r="L1844" s="474" t="s">
        <v>3796</v>
      </c>
      <c r="M1844" s="475">
        <v>44622</v>
      </c>
      <c r="N1844" s="475">
        <v>44622</v>
      </c>
      <c r="O1844" s="475" t="s">
        <v>3797</v>
      </c>
      <c r="P1844" s="475">
        <v>44637</v>
      </c>
      <c r="Q1844" s="475">
        <v>44637</v>
      </c>
      <c r="R1844" s="475">
        <v>44641</v>
      </c>
      <c r="S1844" s="474" t="s">
        <v>1102</v>
      </c>
      <c r="T1844" s="474">
        <v>60</v>
      </c>
      <c r="U1844" s="474" t="s">
        <v>1760</v>
      </c>
      <c r="V1844" s="474" t="s">
        <v>973</v>
      </c>
      <c r="W1844" s="476">
        <v>400</v>
      </c>
      <c r="X1844" s="402">
        <v>832</v>
      </c>
      <c r="Y1844" s="491">
        <f>W1844*X1844</f>
        <v>332800</v>
      </c>
      <c r="Z1844" s="478">
        <v>0.48499999999999999</v>
      </c>
      <c r="AA1844" s="479">
        <f>Y1844*Z1844</f>
        <v>161408</v>
      </c>
      <c r="AB1844" s="480"/>
      <c r="AC1844" s="481"/>
      <c r="AD1844" s="490"/>
      <c r="AE1844" s="482"/>
      <c r="AF1844" s="493"/>
      <c r="AG1844" s="474" t="s">
        <v>1071</v>
      </c>
      <c r="AH1844" s="474"/>
      <c r="AI1844" s="474">
        <v>60</v>
      </c>
      <c r="AJ1844" s="474" t="s">
        <v>3807</v>
      </c>
      <c r="AK1844" s="474" t="s">
        <v>1347</v>
      </c>
      <c r="AL1844" s="494">
        <v>19605</v>
      </c>
      <c r="AM1844" s="474" t="s">
        <v>52</v>
      </c>
      <c r="AN1844" s="474" t="s">
        <v>50</v>
      </c>
      <c r="AO1844" s="474"/>
      <c r="AP1844" s="482" t="s">
        <v>92</v>
      </c>
      <c r="AQ1844" s="482"/>
      <c r="AR1844" s="474"/>
      <c r="AS1844" s="436"/>
      <c r="AT1844" s="281"/>
      <c r="AU1844" s="472"/>
    </row>
    <row r="1845" spans="1:55" s="471" customFormat="1">
      <c r="A1845" s="278"/>
      <c r="B1845" s="279"/>
      <c r="C1845" s="279"/>
      <c r="D1845" s="394" t="s">
        <v>3678</v>
      </c>
      <c r="E1845" s="280" t="s">
        <v>3683</v>
      </c>
      <c r="F1845" s="474"/>
      <c r="G1845" s="474">
        <v>2022</v>
      </c>
      <c r="H1845" s="474">
        <v>3</v>
      </c>
      <c r="I1845" s="485">
        <v>127733</v>
      </c>
      <c r="J1845" s="475">
        <v>44645</v>
      </c>
      <c r="K1845" s="474" t="s">
        <v>3828</v>
      </c>
      <c r="L1845" s="474" t="s">
        <v>3796</v>
      </c>
      <c r="M1845" s="475">
        <v>44622</v>
      </c>
      <c r="N1845" s="475">
        <v>44622</v>
      </c>
      <c r="O1845" s="475" t="s">
        <v>3797</v>
      </c>
      <c r="P1845" s="475">
        <v>44637</v>
      </c>
      <c r="Q1845" s="475">
        <v>44645</v>
      </c>
      <c r="R1845" s="475">
        <v>44650</v>
      </c>
      <c r="S1845" s="474" t="s">
        <v>1102</v>
      </c>
      <c r="T1845" s="474">
        <v>60</v>
      </c>
      <c r="U1845" s="474" t="s">
        <v>1281</v>
      </c>
      <c r="V1845" s="474" t="s">
        <v>973</v>
      </c>
      <c r="W1845" s="476">
        <v>400</v>
      </c>
      <c r="X1845" s="402">
        <v>832</v>
      </c>
      <c r="Y1845" s="491">
        <f>X1845*W1845</f>
        <v>332800</v>
      </c>
      <c r="Z1845" s="478">
        <v>0.48499999999999999</v>
      </c>
      <c r="AA1845" s="479">
        <f>Y1845*Z1845</f>
        <v>161408</v>
      </c>
      <c r="AB1845" s="480"/>
      <c r="AC1845" s="481"/>
      <c r="AD1845" s="490"/>
      <c r="AE1845" s="482"/>
      <c r="AF1845" s="493"/>
      <c r="AG1845" s="474" t="s">
        <v>1071</v>
      </c>
      <c r="AH1845" s="474"/>
      <c r="AI1845" s="474">
        <v>60</v>
      </c>
      <c r="AJ1845" s="474" t="s">
        <v>3810</v>
      </c>
      <c r="AK1845" s="474" t="s">
        <v>1096</v>
      </c>
      <c r="AL1845" s="494">
        <v>1040</v>
      </c>
      <c r="AM1845" s="474" t="s">
        <v>52</v>
      </c>
      <c r="AN1845" s="474" t="s">
        <v>50</v>
      </c>
      <c r="AO1845" s="474"/>
      <c r="AP1845" s="482" t="s">
        <v>92</v>
      </c>
      <c r="AQ1845" s="482"/>
      <c r="AR1845" s="474"/>
      <c r="AS1845" s="436"/>
      <c r="AT1845" s="281"/>
      <c r="AU1845" s="472"/>
    </row>
    <row r="1846" spans="1:55" s="471" customFormat="1">
      <c r="A1846" s="278"/>
      <c r="B1846" s="279"/>
      <c r="C1846" s="279"/>
      <c r="D1846" s="394" t="s">
        <v>3678</v>
      </c>
      <c r="E1846" s="288" t="s">
        <v>3829</v>
      </c>
      <c r="F1846" s="474"/>
      <c r="G1846" s="474">
        <v>2022</v>
      </c>
      <c r="H1846" s="474">
        <v>3</v>
      </c>
      <c r="I1846" s="474">
        <v>127729</v>
      </c>
      <c r="J1846" s="475">
        <v>44651</v>
      </c>
      <c r="K1846" s="474" t="s">
        <v>3830</v>
      </c>
      <c r="L1846" s="475" t="s">
        <v>3796</v>
      </c>
      <c r="M1846" s="475">
        <v>44641</v>
      </c>
      <c r="N1846" s="475">
        <v>44641</v>
      </c>
      <c r="O1846" s="475"/>
      <c r="P1846" s="475">
        <v>44620</v>
      </c>
      <c r="Q1846" s="475">
        <v>44651</v>
      </c>
      <c r="R1846" s="475">
        <v>44656</v>
      </c>
      <c r="S1846" s="474" t="s">
        <v>1102</v>
      </c>
      <c r="T1846" s="474">
        <v>60</v>
      </c>
      <c r="U1846" s="474" t="s">
        <v>1281</v>
      </c>
      <c r="V1846" s="486" t="s">
        <v>3729</v>
      </c>
      <c r="W1846" s="474">
        <v>400</v>
      </c>
      <c r="X1846" s="402">
        <v>832</v>
      </c>
      <c r="Y1846" s="477">
        <f t="shared" ref="Y1846:Y1884" si="301">W1846*X1846</f>
        <v>332800</v>
      </c>
      <c r="Z1846" s="478">
        <v>0.48499999999999999</v>
      </c>
      <c r="AA1846" s="479">
        <f>Z1846*Y1846</f>
        <v>161408</v>
      </c>
      <c r="AB1846" s="480"/>
      <c r="AC1846" s="481">
        <f>AB1846*Y1846</f>
        <v>0</v>
      </c>
      <c r="AD1846" s="490"/>
      <c r="AE1846" s="482"/>
      <c r="AF1846" s="493">
        <f t="shared" ref="AF1846:AF1884" si="302">AE1846+AD1846+AA1846</f>
        <v>161408</v>
      </c>
      <c r="AG1846" s="474" t="s">
        <v>1071</v>
      </c>
      <c r="AH1846" s="474"/>
      <c r="AI1846" s="474">
        <v>60</v>
      </c>
      <c r="AJ1846" s="474" t="s">
        <v>3810</v>
      </c>
      <c r="AK1846" s="474" t="s">
        <v>1096</v>
      </c>
      <c r="AL1846" s="494">
        <v>1040</v>
      </c>
      <c r="AM1846" s="474" t="s">
        <v>52</v>
      </c>
      <c r="AN1846" s="474" t="s">
        <v>50</v>
      </c>
      <c r="AO1846" s="474"/>
      <c r="AP1846" s="482" t="s">
        <v>92</v>
      </c>
      <c r="AQ1846" s="482" t="s">
        <v>37</v>
      </c>
      <c r="AR1846" s="474"/>
      <c r="AS1846" s="436" t="s">
        <v>1076</v>
      </c>
      <c r="AT1846" s="281" t="s">
        <v>1076</v>
      </c>
      <c r="AU1846" s="472"/>
    </row>
    <row r="1847" spans="1:55" s="471" customFormat="1">
      <c r="A1847" s="278"/>
      <c r="B1847" s="279"/>
      <c r="C1847" s="279"/>
      <c r="D1847" s="394" t="s">
        <v>3678</v>
      </c>
      <c r="E1847" s="280" t="s">
        <v>3831</v>
      </c>
      <c r="F1847" s="474"/>
      <c r="G1847" s="474">
        <v>2022</v>
      </c>
      <c r="H1847" s="474">
        <v>5</v>
      </c>
      <c r="I1847" s="485">
        <v>2005135</v>
      </c>
      <c r="J1847" s="475"/>
      <c r="K1847" s="519" t="s">
        <v>3832</v>
      </c>
      <c r="L1847" s="519" t="s">
        <v>1089</v>
      </c>
      <c r="M1847" s="521">
        <v>44505</v>
      </c>
      <c r="N1847" s="521">
        <v>44652</v>
      </c>
      <c r="O1847" s="521"/>
      <c r="P1847" s="521" t="s">
        <v>3833</v>
      </c>
      <c r="Q1847" s="521"/>
      <c r="R1847" s="521"/>
      <c r="S1847" s="519" t="s">
        <v>1102</v>
      </c>
      <c r="T1847" s="519">
        <v>60</v>
      </c>
      <c r="U1847" s="519">
        <v>49201132</v>
      </c>
      <c r="V1847" s="519" t="s">
        <v>986</v>
      </c>
      <c r="W1847" s="522">
        <v>360</v>
      </c>
      <c r="X1847" s="411">
        <v>768</v>
      </c>
      <c r="Y1847" s="470">
        <f t="shared" si="301"/>
        <v>276480</v>
      </c>
      <c r="Z1847" s="478">
        <v>0.53</v>
      </c>
      <c r="AA1847" s="479">
        <f>Y1847*Z1847</f>
        <v>146534.39999999999</v>
      </c>
      <c r="AB1847" s="480"/>
      <c r="AC1847" s="481">
        <v>0</v>
      </c>
      <c r="AD1847" s="490"/>
      <c r="AE1847" s="482"/>
      <c r="AF1847" s="493">
        <f t="shared" si="302"/>
        <v>146534.39999999999</v>
      </c>
      <c r="AG1847" s="474" t="s">
        <v>1071</v>
      </c>
      <c r="AH1847" s="474"/>
      <c r="AI1847" s="474">
        <v>30</v>
      </c>
      <c r="AJ1847" s="474" t="s">
        <v>1095</v>
      </c>
      <c r="AK1847" s="474" t="s">
        <v>1096</v>
      </c>
      <c r="AL1847" s="494">
        <v>1719</v>
      </c>
      <c r="AM1847" s="474" t="s">
        <v>52</v>
      </c>
      <c r="AN1847" s="474" t="s">
        <v>1074</v>
      </c>
      <c r="AO1847" s="474"/>
      <c r="AP1847" s="482"/>
      <c r="AQ1847" s="482" t="s">
        <v>37</v>
      </c>
      <c r="AR1847" s="474"/>
      <c r="AS1847" s="436"/>
      <c r="AT1847" s="281"/>
      <c r="AU1847" s="472"/>
    </row>
    <row r="1848" spans="1:55" s="471" customFormat="1">
      <c r="A1848" s="278"/>
      <c r="B1848" s="279"/>
      <c r="C1848" s="279"/>
      <c r="D1848" s="394" t="s">
        <v>3678</v>
      </c>
      <c r="E1848" s="280" t="s">
        <v>3834</v>
      </c>
      <c r="F1848" s="474"/>
      <c r="G1848" s="474">
        <v>2022</v>
      </c>
      <c r="H1848" s="474">
        <v>5</v>
      </c>
      <c r="I1848" s="485">
        <v>2005137</v>
      </c>
      <c r="J1848" s="475"/>
      <c r="K1848" s="519" t="s">
        <v>3835</v>
      </c>
      <c r="L1848" s="519" t="s">
        <v>1089</v>
      </c>
      <c r="M1848" s="521">
        <v>44505</v>
      </c>
      <c r="N1848" s="521">
        <v>44652</v>
      </c>
      <c r="O1848" s="521"/>
      <c r="P1848" s="521" t="s">
        <v>3833</v>
      </c>
      <c r="Q1848" s="521"/>
      <c r="R1848" s="521"/>
      <c r="S1848" s="519" t="s">
        <v>1102</v>
      </c>
      <c r="T1848" s="519">
        <v>60</v>
      </c>
      <c r="U1848" s="519">
        <v>49201132</v>
      </c>
      <c r="V1848" s="519" t="s">
        <v>986</v>
      </c>
      <c r="W1848" s="522">
        <v>360</v>
      </c>
      <c r="X1848" s="411">
        <v>768</v>
      </c>
      <c r="Y1848" s="470">
        <f t="shared" si="301"/>
        <v>276480</v>
      </c>
      <c r="Z1848" s="478">
        <v>0.53</v>
      </c>
      <c r="AA1848" s="479">
        <f>Y1848*Z1848</f>
        <v>146534.39999999999</v>
      </c>
      <c r="AB1848" s="480"/>
      <c r="AC1848" s="481">
        <v>0</v>
      </c>
      <c r="AD1848" s="490"/>
      <c r="AE1848" s="482"/>
      <c r="AF1848" s="493">
        <f t="shared" si="302"/>
        <v>146534.39999999999</v>
      </c>
      <c r="AG1848" s="474" t="s">
        <v>1071</v>
      </c>
      <c r="AH1848" s="474"/>
      <c r="AI1848" s="474">
        <v>30</v>
      </c>
      <c r="AJ1848" s="474" t="s">
        <v>1090</v>
      </c>
      <c r="AK1848" s="474" t="s">
        <v>50</v>
      </c>
      <c r="AL1848" s="494">
        <v>95482</v>
      </c>
      <c r="AM1848" s="474" t="s">
        <v>52</v>
      </c>
      <c r="AN1848" s="474" t="s">
        <v>1074</v>
      </c>
      <c r="AO1848" s="474"/>
      <c r="AP1848" s="482"/>
      <c r="AQ1848" s="482" t="s">
        <v>37</v>
      </c>
      <c r="AR1848" s="474"/>
      <c r="AS1848" s="436"/>
      <c r="AT1848" s="281"/>
      <c r="AU1848" s="472"/>
    </row>
    <row r="1849" spans="1:55" s="471" customFormat="1">
      <c r="A1849" s="278"/>
      <c r="B1849" s="279"/>
      <c r="C1849" s="279"/>
      <c r="D1849" s="394" t="s">
        <v>3678</v>
      </c>
      <c r="E1849" s="280" t="s">
        <v>3958</v>
      </c>
      <c r="F1849" s="474"/>
      <c r="G1849" s="474">
        <v>2022</v>
      </c>
      <c r="H1849" s="474">
        <v>5</v>
      </c>
      <c r="I1849" s="485">
        <v>2005138</v>
      </c>
      <c r="J1849" s="475"/>
      <c r="K1849" s="474" t="s">
        <v>3959</v>
      </c>
      <c r="L1849" s="474" t="s">
        <v>1089</v>
      </c>
      <c r="M1849" s="475">
        <v>44505</v>
      </c>
      <c r="N1849" s="475">
        <v>44682</v>
      </c>
      <c r="O1849" s="475"/>
      <c r="P1849" s="475"/>
      <c r="Q1849" s="475"/>
      <c r="R1849" s="475"/>
      <c r="S1849" s="474" t="s">
        <v>1102</v>
      </c>
      <c r="T1849" s="474">
        <v>60</v>
      </c>
      <c r="U1849" s="474">
        <v>49201132</v>
      </c>
      <c r="V1849" s="474" t="s">
        <v>986</v>
      </c>
      <c r="W1849" s="476">
        <v>360</v>
      </c>
      <c r="X1849" s="402">
        <v>1536</v>
      </c>
      <c r="Y1849" s="491">
        <f t="shared" si="301"/>
        <v>552960</v>
      </c>
      <c r="Z1849" s="478">
        <v>0.55000000000000004</v>
      </c>
      <c r="AA1849" s="479">
        <f>Y1849*Z1849</f>
        <v>304128</v>
      </c>
      <c r="AB1849" s="480"/>
      <c r="AC1849" s="481">
        <v>0</v>
      </c>
      <c r="AD1849" s="490"/>
      <c r="AE1849" s="482"/>
      <c r="AF1849" s="493">
        <f t="shared" si="302"/>
        <v>304128</v>
      </c>
      <c r="AG1849" s="474" t="s">
        <v>1071</v>
      </c>
      <c r="AH1849" s="474"/>
      <c r="AI1849" s="474">
        <v>30</v>
      </c>
      <c r="AJ1849" s="474" t="s">
        <v>1095</v>
      </c>
      <c r="AK1849" s="474" t="s">
        <v>1096</v>
      </c>
      <c r="AL1849" s="494">
        <v>1719</v>
      </c>
      <c r="AM1849" s="474" t="s">
        <v>52</v>
      </c>
      <c r="AN1849" s="474" t="s">
        <v>1074</v>
      </c>
      <c r="AO1849" s="474"/>
      <c r="AP1849" s="482"/>
      <c r="AQ1849" s="482" t="s">
        <v>37</v>
      </c>
      <c r="AR1849" s="474"/>
      <c r="AS1849" s="436"/>
      <c r="AT1849" s="281"/>
      <c r="AU1849" s="472"/>
    </row>
    <row r="1850" spans="1:55" s="471" customFormat="1">
      <c r="A1850" s="278"/>
      <c r="B1850" s="279"/>
      <c r="C1850" s="279"/>
      <c r="D1850" s="394" t="s">
        <v>3678</v>
      </c>
      <c r="E1850" s="280" t="s">
        <v>3958</v>
      </c>
      <c r="F1850" s="474"/>
      <c r="G1850" s="474">
        <v>2022</v>
      </c>
      <c r="H1850" s="474">
        <v>5</v>
      </c>
      <c r="I1850" s="485">
        <v>2005139</v>
      </c>
      <c r="J1850" s="475"/>
      <c r="K1850" s="474" t="s">
        <v>3960</v>
      </c>
      <c r="L1850" s="474" t="s">
        <v>1089</v>
      </c>
      <c r="M1850" s="475">
        <v>44505</v>
      </c>
      <c r="N1850" s="475">
        <v>44682</v>
      </c>
      <c r="O1850" s="475"/>
      <c r="P1850" s="475"/>
      <c r="Q1850" s="475"/>
      <c r="R1850" s="475"/>
      <c r="S1850" s="474" t="s">
        <v>1102</v>
      </c>
      <c r="T1850" s="474">
        <v>60</v>
      </c>
      <c r="U1850" s="474">
        <v>49201132</v>
      </c>
      <c r="V1850" s="474" t="s">
        <v>986</v>
      </c>
      <c r="W1850" s="476">
        <v>360</v>
      </c>
      <c r="X1850" s="402">
        <v>768</v>
      </c>
      <c r="Y1850" s="491">
        <f t="shared" si="301"/>
        <v>276480</v>
      </c>
      <c r="Z1850" s="478">
        <v>0.55000000000000004</v>
      </c>
      <c r="AA1850" s="479">
        <f>Y1850*Z1850</f>
        <v>152064</v>
      </c>
      <c r="AB1850" s="480"/>
      <c r="AC1850" s="481">
        <v>0</v>
      </c>
      <c r="AD1850" s="490"/>
      <c r="AE1850" s="482"/>
      <c r="AF1850" s="493">
        <f t="shared" si="302"/>
        <v>152064</v>
      </c>
      <c r="AG1850" s="474" t="s">
        <v>1071</v>
      </c>
      <c r="AH1850" s="474"/>
      <c r="AI1850" s="474">
        <v>30</v>
      </c>
      <c r="AJ1850" s="474" t="s">
        <v>1090</v>
      </c>
      <c r="AK1850" s="474" t="s">
        <v>50</v>
      </c>
      <c r="AL1850" s="494">
        <v>95482</v>
      </c>
      <c r="AM1850" s="474" t="s">
        <v>52</v>
      </c>
      <c r="AN1850" s="474" t="s">
        <v>1074</v>
      </c>
      <c r="AO1850" s="474"/>
      <c r="AP1850" s="482"/>
      <c r="AQ1850" s="482" t="s">
        <v>37</v>
      </c>
      <c r="AR1850" s="474"/>
      <c r="AS1850" s="436"/>
      <c r="AT1850" s="281"/>
      <c r="AU1850" s="472"/>
    </row>
    <row r="1851" spans="1:55" s="471" customFormat="1">
      <c r="A1851" s="278"/>
      <c r="B1851" s="279"/>
      <c r="C1851" s="279" t="s">
        <v>1211</v>
      </c>
      <c r="D1851" s="394" t="s">
        <v>3678</v>
      </c>
      <c r="E1851" s="280" t="s">
        <v>5604</v>
      </c>
      <c r="F1851" s="474"/>
      <c r="G1851" s="474">
        <v>2022</v>
      </c>
      <c r="H1851" s="474">
        <v>4</v>
      </c>
      <c r="I1851" s="474"/>
      <c r="J1851" s="475"/>
      <c r="K1851" s="516" t="s">
        <v>3836</v>
      </c>
      <c r="L1851" s="474" t="s">
        <v>1120</v>
      </c>
      <c r="M1851" s="475">
        <v>44564</v>
      </c>
      <c r="N1851" s="475">
        <v>44641</v>
      </c>
      <c r="O1851" s="475"/>
      <c r="P1851" s="475">
        <v>44670</v>
      </c>
      <c r="Q1851" s="475"/>
      <c r="R1851" s="475">
        <v>44680</v>
      </c>
      <c r="S1851" s="474" t="s">
        <v>1102</v>
      </c>
      <c r="T1851" s="474">
        <v>60</v>
      </c>
      <c r="U1851" s="474" t="s">
        <v>1760</v>
      </c>
      <c r="V1851" s="474" t="s">
        <v>973</v>
      </c>
      <c r="W1851" s="476">
        <v>400</v>
      </c>
      <c r="X1851" s="402">
        <v>832</v>
      </c>
      <c r="Y1851" s="491">
        <f t="shared" si="301"/>
        <v>332800</v>
      </c>
      <c r="Z1851" s="478">
        <v>0.55000000000000004</v>
      </c>
      <c r="AA1851" s="479">
        <f>Z1851*Y1851</f>
        <v>183040.00000000003</v>
      </c>
      <c r="AB1851" s="480"/>
      <c r="AC1851" s="481">
        <f>AB1851*Y1851</f>
        <v>0</v>
      </c>
      <c r="AD1851" s="490"/>
      <c r="AE1851" s="482"/>
      <c r="AF1851" s="493">
        <f t="shared" si="302"/>
        <v>183040.00000000003</v>
      </c>
      <c r="AG1851" s="474" t="s">
        <v>47</v>
      </c>
      <c r="AH1851" s="474"/>
      <c r="AI1851" s="474">
        <v>45</v>
      </c>
      <c r="AJ1851" s="474" t="s">
        <v>1124</v>
      </c>
      <c r="AK1851" s="474" t="s">
        <v>1125</v>
      </c>
      <c r="AL1851" s="494">
        <v>55122</v>
      </c>
      <c r="AM1851" s="474" t="s">
        <v>52</v>
      </c>
      <c r="AN1851" s="474" t="s">
        <v>50</v>
      </c>
      <c r="AO1851" s="474"/>
      <c r="AP1851" s="482" t="s">
        <v>38</v>
      </c>
      <c r="AQ1851" s="482" t="s">
        <v>37</v>
      </c>
      <c r="AR1851" s="474"/>
      <c r="AS1851" s="436"/>
      <c r="AT1851" s="281"/>
      <c r="AU1851" s="472"/>
    </row>
    <row r="1852" spans="1:55" s="471" customFormat="1">
      <c r="A1852" s="278"/>
      <c r="B1852" s="279"/>
      <c r="C1852" s="289" t="s">
        <v>1211</v>
      </c>
      <c r="D1852" s="394" t="s">
        <v>3678</v>
      </c>
      <c r="E1852" s="280" t="s">
        <v>5407</v>
      </c>
      <c r="F1852" s="474"/>
      <c r="G1852" s="474">
        <v>2022</v>
      </c>
      <c r="H1852" s="474">
        <v>4</v>
      </c>
      <c r="I1852" s="474"/>
      <c r="J1852" s="475"/>
      <c r="K1852" s="474" t="s">
        <v>3838</v>
      </c>
      <c r="L1852" s="475" t="s">
        <v>1120</v>
      </c>
      <c r="M1852" s="475">
        <v>44564</v>
      </c>
      <c r="N1852" s="475">
        <v>44641</v>
      </c>
      <c r="O1852" s="475"/>
      <c r="P1852" s="475">
        <v>44669</v>
      </c>
      <c r="Q1852" s="475">
        <v>44679</v>
      </c>
      <c r="R1852" s="475">
        <v>44679</v>
      </c>
      <c r="S1852" s="474" t="s">
        <v>1102</v>
      </c>
      <c r="T1852" s="474">
        <v>60</v>
      </c>
      <c r="U1852" s="474" t="s">
        <v>1760</v>
      </c>
      <c r="V1852" s="474" t="s">
        <v>973</v>
      </c>
      <c r="W1852" s="476">
        <v>400</v>
      </c>
      <c r="X1852" s="402">
        <v>1664</v>
      </c>
      <c r="Y1852" s="477">
        <f t="shared" si="301"/>
        <v>665600</v>
      </c>
      <c r="Z1852" s="478">
        <v>0.55000000000000004</v>
      </c>
      <c r="AA1852" s="479">
        <f>Z1852*Y1852</f>
        <v>366080.00000000006</v>
      </c>
      <c r="AB1852" s="480"/>
      <c r="AC1852" s="481">
        <f>AB1852*Y1852</f>
        <v>0</v>
      </c>
      <c r="AD1852" s="490"/>
      <c r="AE1852" s="482"/>
      <c r="AF1852" s="493">
        <f t="shared" si="302"/>
        <v>366080.00000000006</v>
      </c>
      <c r="AG1852" s="474" t="s">
        <v>47</v>
      </c>
      <c r="AH1852" s="474"/>
      <c r="AI1852" s="474">
        <v>45</v>
      </c>
      <c r="AJ1852" s="474" t="s">
        <v>1839</v>
      </c>
      <c r="AK1852" s="474" t="s">
        <v>50</v>
      </c>
      <c r="AL1852" s="494">
        <v>91304</v>
      </c>
      <c r="AM1852" s="474" t="s">
        <v>52</v>
      </c>
      <c r="AN1852" s="474" t="s">
        <v>50</v>
      </c>
      <c r="AO1852" s="474"/>
      <c r="AP1852" s="482"/>
      <c r="AQ1852" s="482" t="s">
        <v>37</v>
      </c>
      <c r="AR1852" s="474"/>
      <c r="AS1852" s="436"/>
      <c r="AT1852" s="281"/>
      <c r="AU1852" s="472"/>
      <c r="AV1852" s="471" t="str">
        <f>U1852</f>
        <v>30390156H</v>
      </c>
      <c r="AW1852" s="471" cm="1">
        <f t="array" ref="AW1852">SUM(MID(0&amp;AV1852,LARGE(INDEX(ISNUMBER(--MID(AV1852,ROW($1:$8),1))*ROW($1:$8),),ROW($1:$8))+1,1)*10^ROW($1:$8)/10)</f>
        <v>30390156</v>
      </c>
      <c r="AX1852" s="471" t="str">
        <f>VLOOKUP($AW1852,'Item Master Data'!$A:$F,3,FALSE)</f>
        <v>Q.PEAK DUO BLK ML G10+</v>
      </c>
      <c r="AY1852" s="471">
        <f>VLOOKUP($AW1852,'Item Master Data'!$A:$F,6,FALSE)</f>
        <v>400</v>
      </c>
      <c r="AZ1852" s="471">
        <f>X1852/BA1852</f>
        <v>52</v>
      </c>
      <c r="BA1852" s="471">
        <f>VLOOKUP(AW1852,'Item Master Data'!$A:$G,7,FALSE)</f>
        <v>32</v>
      </c>
      <c r="BC1852" s="471">
        <f>W1852-AY1852</f>
        <v>0</v>
      </c>
    </row>
    <row r="1853" spans="1:55" s="471" customFormat="1">
      <c r="A1853" s="278"/>
      <c r="B1853" s="279"/>
      <c r="C1853" s="279"/>
      <c r="D1853" s="394" t="s">
        <v>3678</v>
      </c>
      <c r="E1853" s="280" t="s">
        <v>5553</v>
      </c>
      <c r="F1853" s="474"/>
      <c r="G1853" s="474">
        <v>2022</v>
      </c>
      <c r="H1853" s="474">
        <v>5</v>
      </c>
      <c r="I1853" s="485"/>
      <c r="J1853" s="475"/>
      <c r="K1853" s="516" t="s">
        <v>3845</v>
      </c>
      <c r="L1853" s="474" t="s">
        <v>1120</v>
      </c>
      <c r="M1853" s="475">
        <v>44519</v>
      </c>
      <c r="N1853" s="475">
        <v>44652</v>
      </c>
      <c r="O1853" s="475"/>
      <c r="P1853" s="475">
        <v>44670</v>
      </c>
      <c r="Q1853" s="475">
        <v>44680</v>
      </c>
      <c r="R1853" s="475">
        <v>44683</v>
      </c>
      <c r="S1853" s="474" t="s">
        <v>1102</v>
      </c>
      <c r="T1853" s="474">
        <v>60</v>
      </c>
      <c r="U1853" s="474">
        <v>49203132</v>
      </c>
      <c r="V1853" s="474" t="s">
        <v>986</v>
      </c>
      <c r="W1853" s="476">
        <v>360</v>
      </c>
      <c r="X1853" s="402">
        <v>768</v>
      </c>
      <c r="Y1853" s="491">
        <f t="shared" si="301"/>
        <v>276480</v>
      </c>
      <c r="Z1853" s="478">
        <f>183.6/360</f>
        <v>0.51</v>
      </c>
      <c r="AA1853" s="479">
        <f>Y1853*Z1853</f>
        <v>141004.79999999999</v>
      </c>
      <c r="AB1853" s="480"/>
      <c r="AC1853" s="481">
        <v>0</v>
      </c>
      <c r="AD1853" s="490"/>
      <c r="AE1853" s="482"/>
      <c r="AF1853" s="493">
        <f t="shared" si="302"/>
        <v>141004.79999999999</v>
      </c>
      <c r="AG1853" s="474" t="s">
        <v>47</v>
      </c>
      <c r="AH1853" s="474"/>
      <c r="AI1853" s="474">
        <v>45</v>
      </c>
      <c r="AJ1853" s="474" t="s">
        <v>1132</v>
      </c>
      <c r="AK1853" s="474" t="s">
        <v>1133</v>
      </c>
      <c r="AL1853" s="494">
        <v>85215</v>
      </c>
      <c r="AM1853" s="474" t="s">
        <v>52</v>
      </c>
      <c r="AN1853" s="474" t="s">
        <v>1106</v>
      </c>
      <c r="AO1853" s="474"/>
      <c r="AP1853" s="482"/>
      <c r="AQ1853" s="482"/>
      <c r="AR1853" s="474"/>
      <c r="AS1853" s="436"/>
      <c r="AT1853" s="281" t="s">
        <v>1076</v>
      </c>
      <c r="AU1853" s="472"/>
      <c r="AV1853" s="471">
        <f>U1853</f>
        <v>49203132</v>
      </c>
      <c r="AW1853" s="471" cm="1">
        <f t="array" ref="AW1853">SUM(MID(0&amp;AV1853,LARGE(INDEX(ISNUMBER(--MID(AV1853,ROW($1:$8),1))*ROW($1:$8),),ROW($1:$8))+1,1)*10^ROW($1:$8)/10)</f>
        <v>49203132</v>
      </c>
      <c r="AX1853" s="471" t="str">
        <f>VLOOKUP($AW1853,'Item Master Data'!$A:$F,3,FALSE)</f>
        <v>Q.PEAK DUO BLK G10+</v>
      </c>
      <c r="AY1853" s="471">
        <f>VLOOKUP($AW1853,'Item Master Data'!$A:$F,6,FALSE)</f>
        <v>360</v>
      </c>
      <c r="AZ1853" s="471">
        <f>X1853/BA1853</f>
        <v>24</v>
      </c>
      <c r="BA1853" s="471">
        <f>VLOOKUP(AW1853,'Item Master Data'!$A:$G,7,FALSE)</f>
        <v>32</v>
      </c>
      <c r="BC1853" s="471">
        <f>W1853-AY1853</f>
        <v>0</v>
      </c>
    </row>
    <row r="1854" spans="1:55" s="471" customFormat="1">
      <c r="A1854" s="278"/>
      <c r="B1854" s="279"/>
      <c r="C1854" s="279"/>
      <c r="D1854" s="394" t="s">
        <v>3678</v>
      </c>
      <c r="E1854" s="280" t="s">
        <v>5605</v>
      </c>
      <c r="F1854" s="474">
        <v>1</v>
      </c>
      <c r="G1854" s="474">
        <v>2022</v>
      </c>
      <c r="H1854" s="474">
        <v>4</v>
      </c>
      <c r="I1854" s="485">
        <v>128133</v>
      </c>
      <c r="J1854" s="475">
        <v>44657</v>
      </c>
      <c r="K1854" s="474" t="s">
        <v>3839</v>
      </c>
      <c r="L1854" s="474" t="s">
        <v>1120</v>
      </c>
      <c r="M1854" s="475">
        <v>44519</v>
      </c>
      <c r="N1854" s="475">
        <v>44652</v>
      </c>
      <c r="O1854" s="475"/>
      <c r="P1854" s="475">
        <v>44645</v>
      </c>
      <c r="Q1854" s="475">
        <v>44656</v>
      </c>
      <c r="R1854" s="475">
        <v>44657</v>
      </c>
      <c r="S1854" s="474" t="s">
        <v>1102</v>
      </c>
      <c r="T1854" s="474">
        <v>60</v>
      </c>
      <c r="U1854" s="474">
        <v>49203132</v>
      </c>
      <c r="V1854" s="474" t="s">
        <v>986</v>
      </c>
      <c r="W1854" s="476">
        <v>360</v>
      </c>
      <c r="X1854" s="402">
        <v>768</v>
      </c>
      <c r="Y1854" s="491">
        <f t="shared" si="301"/>
        <v>276480</v>
      </c>
      <c r="Z1854" s="478">
        <v>0.51</v>
      </c>
      <c r="AA1854" s="479">
        <f>Y1854*Z1854</f>
        <v>141004.79999999999</v>
      </c>
      <c r="AB1854" s="480"/>
      <c r="AC1854" s="481">
        <v>0</v>
      </c>
      <c r="AD1854" s="490"/>
      <c r="AE1854" s="482"/>
      <c r="AF1854" s="493">
        <f t="shared" si="302"/>
        <v>141004.79999999999</v>
      </c>
      <c r="AG1854" s="474" t="s">
        <v>47</v>
      </c>
      <c r="AH1854" s="474"/>
      <c r="AI1854" s="474">
        <v>45</v>
      </c>
      <c r="AJ1854" s="474" t="s">
        <v>1137</v>
      </c>
      <c r="AK1854" s="474" t="s">
        <v>1138</v>
      </c>
      <c r="AL1854" s="494">
        <v>11416</v>
      </c>
      <c r="AM1854" s="474" t="s">
        <v>52</v>
      </c>
      <c r="AN1854" s="474" t="s">
        <v>1106</v>
      </c>
      <c r="AO1854" s="474"/>
      <c r="AP1854" s="482"/>
      <c r="AQ1854" s="482"/>
      <c r="AR1854" s="474"/>
      <c r="AS1854" s="436"/>
      <c r="AT1854" s="281" t="s">
        <v>1076</v>
      </c>
      <c r="AU1854" s="472"/>
      <c r="AV1854" s="471">
        <f>U1854</f>
        <v>49203132</v>
      </c>
      <c r="AW1854" s="471" cm="1">
        <f t="array" ref="AW1854">SUM(MID(0&amp;AV1854,LARGE(INDEX(ISNUMBER(--MID(AV1854,ROW($1:$8),1))*ROW($1:$8),),ROW($1:$8))+1,1)*10^ROW($1:$8)/10)</f>
        <v>49203132</v>
      </c>
      <c r="AX1854" s="471" t="str">
        <f>VLOOKUP($AW1854,'Item Master Data'!$A:$F,3,FALSE)</f>
        <v>Q.PEAK DUO BLK G10+</v>
      </c>
      <c r="AY1854" s="471">
        <f>VLOOKUP($AW1854,'Item Master Data'!$A:$F,6,FALSE)</f>
        <v>360</v>
      </c>
      <c r="AZ1854" s="471">
        <f>X1854/BA1854</f>
        <v>24</v>
      </c>
      <c r="BA1854" s="471">
        <f>VLOOKUP(AW1854,'Item Master Data'!$A:$G,7,FALSE)</f>
        <v>32</v>
      </c>
      <c r="BC1854" s="471">
        <f>W1854-AY1854</f>
        <v>0</v>
      </c>
    </row>
    <row r="1855" spans="1:55" s="471" customFormat="1">
      <c r="A1855" s="278"/>
      <c r="B1855" s="279"/>
      <c r="C1855" s="279"/>
      <c r="D1855" s="394" t="s">
        <v>3678</v>
      </c>
      <c r="E1855" s="280" t="s">
        <v>5605</v>
      </c>
      <c r="F1855" s="474">
        <v>2</v>
      </c>
      <c r="G1855" s="474">
        <v>2022</v>
      </c>
      <c r="H1855" s="474">
        <v>4</v>
      </c>
      <c r="I1855" s="485">
        <v>128134</v>
      </c>
      <c r="J1855" s="475">
        <v>44657</v>
      </c>
      <c r="K1855" s="474" t="s">
        <v>3840</v>
      </c>
      <c r="L1855" s="474" t="s">
        <v>1120</v>
      </c>
      <c r="M1855" s="475">
        <v>44519</v>
      </c>
      <c r="N1855" s="475">
        <v>44666</v>
      </c>
      <c r="O1855" s="475"/>
      <c r="P1855" s="475">
        <v>44644</v>
      </c>
      <c r="Q1855" s="475">
        <v>44656</v>
      </c>
      <c r="R1855" s="475">
        <v>44657</v>
      </c>
      <c r="S1855" s="474" t="s">
        <v>1102</v>
      </c>
      <c r="T1855" s="474">
        <v>60</v>
      </c>
      <c r="U1855" s="474">
        <v>49203132</v>
      </c>
      <c r="V1855" s="474" t="s">
        <v>986</v>
      </c>
      <c r="W1855" s="476">
        <v>360</v>
      </c>
      <c r="X1855" s="402">
        <v>768</v>
      </c>
      <c r="Y1855" s="491">
        <f t="shared" si="301"/>
        <v>276480</v>
      </c>
      <c r="Z1855" s="478">
        <v>0.53</v>
      </c>
      <c r="AA1855" s="479">
        <f>Y1855*Z1855</f>
        <v>146534.39999999999</v>
      </c>
      <c r="AB1855" s="480"/>
      <c r="AC1855" s="481">
        <v>0</v>
      </c>
      <c r="AD1855" s="490"/>
      <c r="AE1855" s="482"/>
      <c r="AF1855" s="493">
        <f t="shared" si="302"/>
        <v>146534.39999999999</v>
      </c>
      <c r="AG1855" s="474" t="s">
        <v>47</v>
      </c>
      <c r="AH1855" s="474"/>
      <c r="AI1855" s="474">
        <v>45</v>
      </c>
      <c r="AJ1855" s="474" t="s">
        <v>1137</v>
      </c>
      <c r="AK1855" s="474" t="s">
        <v>1138</v>
      </c>
      <c r="AL1855" s="494">
        <v>11416</v>
      </c>
      <c r="AM1855" s="474" t="s">
        <v>52</v>
      </c>
      <c r="AN1855" s="474" t="s">
        <v>1106</v>
      </c>
      <c r="AO1855" s="474"/>
      <c r="AP1855" s="482"/>
      <c r="AQ1855" s="482"/>
      <c r="AR1855" s="474"/>
      <c r="AS1855" s="436"/>
      <c r="AT1855" s="281" t="s">
        <v>1076</v>
      </c>
      <c r="AU1855" s="472"/>
    </row>
    <row r="1856" spans="1:55" s="471" customFormat="1">
      <c r="A1856" s="278"/>
      <c r="B1856" s="279"/>
      <c r="C1856" s="279"/>
      <c r="D1856" s="394" t="s">
        <v>3678</v>
      </c>
      <c r="E1856" s="280" t="s">
        <v>5552</v>
      </c>
      <c r="F1856" s="474"/>
      <c r="G1856" s="474">
        <v>2022</v>
      </c>
      <c r="H1856" s="474">
        <v>4</v>
      </c>
      <c r="I1856" s="677"/>
      <c r="J1856" s="475"/>
      <c r="K1856" s="516" t="s">
        <v>3842</v>
      </c>
      <c r="L1856" s="474" t="s">
        <v>1120</v>
      </c>
      <c r="M1856" s="475">
        <v>44519</v>
      </c>
      <c r="N1856" s="475">
        <v>44652</v>
      </c>
      <c r="O1856" s="475"/>
      <c r="P1856" s="475">
        <v>44671</v>
      </c>
      <c r="Q1856" s="475"/>
      <c r="R1856" s="475"/>
      <c r="S1856" s="474" t="s">
        <v>1102</v>
      </c>
      <c r="T1856" s="474">
        <v>60</v>
      </c>
      <c r="U1856" s="474">
        <v>49203132</v>
      </c>
      <c r="V1856" s="474" t="s">
        <v>986</v>
      </c>
      <c r="W1856" s="476">
        <v>360</v>
      </c>
      <c r="X1856" s="402">
        <v>768</v>
      </c>
      <c r="Y1856" s="491">
        <f t="shared" si="301"/>
        <v>276480</v>
      </c>
      <c r="Z1856" s="478">
        <f>183.6/360</f>
        <v>0.51</v>
      </c>
      <c r="AA1856" s="479">
        <f>Y1856*Z1856</f>
        <v>141004.79999999999</v>
      </c>
      <c r="AB1856" s="480"/>
      <c r="AC1856" s="481">
        <v>0</v>
      </c>
      <c r="AD1856" s="490"/>
      <c r="AE1856" s="482"/>
      <c r="AF1856" s="493">
        <f t="shared" si="302"/>
        <v>141004.79999999999</v>
      </c>
      <c r="AG1856" s="474" t="s">
        <v>47</v>
      </c>
      <c r="AH1856" s="474"/>
      <c r="AI1856" s="474">
        <v>45</v>
      </c>
      <c r="AJ1856" s="474" t="s">
        <v>1128</v>
      </c>
      <c r="AK1856" s="474" t="s">
        <v>1085</v>
      </c>
      <c r="AL1856" s="494">
        <v>8505</v>
      </c>
      <c r="AM1856" s="474" t="s">
        <v>52</v>
      </c>
      <c r="AN1856" s="474" t="s">
        <v>1106</v>
      </c>
      <c r="AO1856" s="474"/>
      <c r="AP1856" s="482"/>
      <c r="AQ1856" s="482"/>
      <c r="AR1856" s="474"/>
      <c r="AS1856" s="436"/>
      <c r="AT1856" s="281" t="s">
        <v>1076</v>
      </c>
      <c r="AU1856" s="472"/>
      <c r="AV1856" s="471">
        <f t="shared" ref="AV1856:AV1887" si="303">U1856</f>
        <v>49203132</v>
      </c>
      <c r="AW1856" s="471" cm="1">
        <f t="array" ref="AW1856">SUM(MID(0&amp;AV1856,LARGE(INDEX(ISNUMBER(--MID(AV1856,ROW($1:$8),1))*ROW($1:$8),),ROW($1:$8))+1,1)*10^ROW($1:$8)/10)</f>
        <v>49203132</v>
      </c>
      <c r="AX1856" s="471" t="str">
        <f>VLOOKUP($AW1856,'Item Master Data'!$A:$F,3,FALSE)</f>
        <v>Q.PEAK DUO BLK G10+</v>
      </c>
      <c r="AY1856" s="471">
        <f>VLOOKUP($AW1856,'Item Master Data'!$A:$F,6,FALSE)</f>
        <v>360</v>
      </c>
      <c r="AZ1856" s="471">
        <f t="shared" ref="AZ1856:AZ1887" si="304">X1856/BA1856</f>
        <v>24</v>
      </c>
      <c r="BA1856" s="471">
        <f>VLOOKUP(AW1856,'Item Master Data'!$A:$G,7,FALSE)</f>
        <v>32</v>
      </c>
      <c r="BC1856" s="471">
        <f t="shared" ref="BC1856:BC1887" si="305">W1856-AY1856</f>
        <v>0</v>
      </c>
    </row>
    <row r="1857" spans="1:55" s="471" customFormat="1">
      <c r="A1857" s="278"/>
      <c r="B1857" s="279"/>
      <c r="C1857" s="279"/>
      <c r="D1857" s="394" t="s">
        <v>3678</v>
      </c>
      <c r="E1857" s="280" t="s">
        <v>5605</v>
      </c>
      <c r="F1857" s="474"/>
      <c r="G1857" s="474">
        <v>2022</v>
      </c>
      <c r="H1857" s="474">
        <v>4</v>
      </c>
      <c r="I1857" s="485">
        <v>128088</v>
      </c>
      <c r="J1857" s="475">
        <v>44659</v>
      </c>
      <c r="K1857" s="474" t="s">
        <v>3850</v>
      </c>
      <c r="L1857" s="475" t="s">
        <v>3697</v>
      </c>
      <c r="M1857" s="475">
        <v>44614</v>
      </c>
      <c r="N1857" s="475">
        <v>44614</v>
      </c>
      <c r="O1857" s="475"/>
      <c r="P1857" s="475">
        <v>44652</v>
      </c>
      <c r="Q1857" s="475">
        <v>44657</v>
      </c>
      <c r="R1857" s="475">
        <v>44659</v>
      </c>
      <c r="S1857" s="474" t="s">
        <v>1102</v>
      </c>
      <c r="T1857" s="474">
        <v>60</v>
      </c>
      <c r="U1857" s="474">
        <v>49203132</v>
      </c>
      <c r="V1857" s="474" t="s">
        <v>986</v>
      </c>
      <c r="W1857" s="476">
        <v>360</v>
      </c>
      <c r="X1857" s="402">
        <v>768</v>
      </c>
      <c r="Y1857" s="477">
        <f t="shared" si="301"/>
        <v>276480</v>
      </c>
      <c r="Z1857" s="478">
        <v>0.47</v>
      </c>
      <c r="AA1857" s="479">
        <f>Z1857*Y1857</f>
        <v>129945.59999999999</v>
      </c>
      <c r="AB1857" s="480"/>
      <c r="AC1857" s="481">
        <f>AB1857*Y1857</f>
        <v>0</v>
      </c>
      <c r="AD1857" s="490"/>
      <c r="AE1857" s="482"/>
      <c r="AF1857" s="493">
        <f t="shared" si="302"/>
        <v>129945.59999999999</v>
      </c>
      <c r="AG1857" s="474" t="s">
        <v>47</v>
      </c>
      <c r="AH1857" s="474"/>
      <c r="AI1857" s="474">
        <v>45</v>
      </c>
      <c r="AJ1857" s="474" t="s">
        <v>3723</v>
      </c>
      <c r="AK1857" s="474" t="s">
        <v>1085</v>
      </c>
      <c r="AL1857" s="494">
        <v>7444</v>
      </c>
      <c r="AM1857" s="474" t="s">
        <v>52</v>
      </c>
      <c r="AN1857" s="474" t="s">
        <v>1106</v>
      </c>
      <c r="AO1857" s="474"/>
      <c r="AP1857" s="482"/>
      <c r="AQ1857" s="482" t="s">
        <v>37</v>
      </c>
      <c r="AR1857" s="474"/>
      <c r="AS1857" s="436" t="s">
        <v>1076</v>
      </c>
      <c r="AT1857" s="281" t="s">
        <v>1076</v>
      </c>
      <c r="AU1857" s="472"/>
      <c r="AV1857" s="471">
        <f t="shared" si="303"/>
        <v>49203132</v>
      </c>
      <c r="AW1857" s="471" cm="1">
        <f t="array" ref="AW1857">SUM(MID(0&amp;AV1857,LARGE(INDEX(ISNUMBER(--MID(AV1857,ROW($1:$8),1))*ROW($1:$8),),ROW($1:$8))+1,1)*10^ROW($1:$8)/10)</f>
        <v>49203132</v>
      </c>
      <c r="AX1857" s="471" t="str">
        <f>VLOOKUP($AW1857,'Item Master Data'!$A:$F,3,FALSE)</f>
        <v>Q.PEAK DUO BLK G10+</v>
      </c>
      <c r="AY1857" s="471">
        <f>VLOOKUP($AW1857,'Item Master Data'!$A:$F,6,FALSE)</f>
        <v>360</v>
      </c>
      <c r="AZ1857" s="471">
        <f t="shared" si="304"/>
        <v>24</v>
      </c>
      <c r="BA1857" s="471">
        <f>VLOOKUP(AW1857,'Item Master Data'!$A:$G,7,FALSE)</f>
        <v>32</v>
      </c>
      <c r="BC1857" s="471">
        <f t="shared" si="305"/>
        <v>0</v>
      </c>
    </row>
    <row r="1858" spans="1:55" s="471" customFormat="1">
      <c r="A1858" s="278"/>
      <c r="B1858" s="279"/>
      <c r="C1858" s="279"/>
      <c r="D1858" s="394" t="s">
        <v>3678</v>
      </c>
      <c r="E1858" s="280" t="s">
        <v>5552</v>
      </c>
      <c r="F1858" s="474"/>
      <c r="G1858" s="474">
        <v>2022</v>
      </c>
      <c r="H1858" s="474">
        <v>4</v>
      </c>
      <c r="I1858" s="485"/>
      <c r="J1858" s="475"/>
      <c r="K1858" s="474" t="s">
        <v>3843</v>
      </c>
      <c r="L1858" s="474" t="s">
        <v>1120</v>
      </c>
      <c r="M1858" s="475">
        <v>44519</v>
      </c>
      <c r="N1858" s="475">
        <v>44652</v>
      </c>
      <c r="O1858" s="475"/>
      <c r="P1858" s="475">
        <v>44670</v>
      </c>
      <c r="Q1858" s="475">
        <v>44677</v>
      </c>
      <c r="R1858" s="475">
        <v>44679</v>
      </c>
      <c r="S1858" s="474" t="s">
        <v>1102</v>
      </c>
      <c r="T1858" s="474">
        <v>60</v>
      </c>
      <c r="U1858" s="474">
        <v>49203132</v>
      </c>
      <c r="V1858" s="474" t="s">
        <v>986</v>
      </c>
      <c r="W1858" s="476">
        <v>360</v>
      </c>
      <c r="X1858" s="402">
        <v>768</v>
      </c>
      <c r="Y1858" s="491">
        <f t="shared" si="301"/>
        <v>276480</v>
      </c>
      <c r="Z1858" s="478">
        <f>183.6/360</f>
        <v>0.51</v>
      </c>
      <c r="AA1858" s="479">
        <f>Y1858*Z1858</f>
        <v>141004.79999999999</v>
      </c>
      <c r="AB1858" s="480"/>
      <c r="AC1858" s="481">
        <v>0</v>
      </c>
      <c r="AD1858" s="490"/>
      <c r="AE1858" s="482"/>
      <c r="AF1858" s="493">
        <f t="shared" si="302"/>
        <v>141004.79999999999</v>
      </c>
      <c r="AG1858" s="474" t="s">
        <v>47</v>
      </c>
      <c r="AH1858" s="474"/>
      <c r="AI1858" s="474">
        <v>45</v>
      </c>
      <c r="AJ1858" s="474" t="s">
        <v>1128</v>
      </c>
      <c r="AK1858" s="474" t="s">
        <v>1085</v>
      </c>
      <c r="AL1858" s="494">
        <v>8505</v>
      </c>
      <c r="AM1858" s="474" t="s">
        <v>52</v>
      </c>
      <c r="AN1858" s="474" t="s">
        <v>1106</v>
      </c>
      <c r="AO1858" s="474"/>
      <c r="AP1858" s="482"/>
      <c r="AQ1858" s="482"/>
      <c r="AR1858" s="474"/>
      <c r="AS1858" s="436"/>
      <c r="AT1858" s="281" t="s">
        <v>1076</v>
      </c>
      <c r="AU1858" s="472"/>
      <c r="AV1858" s="471">
        <f t="shared" si="303"/>
        <v>49203132</v>
      </c>
      <c r="AW1858" s="471" cm="1">
        <f t="array" ref="AW1858">SUM(MID(0&amp;AV1858,LARGE(INDEX(ISNUMBER(--MID(AV1858,ROW($1:$8),1))*ROW($1:$8),),ROW($1:$8))+1,1)*10^ROW($1:$8)/10)</f>
        <v>49203132</v>
      </c>
      <c r="AX1858" s="471" t="str">
        <f>VLOOKUP($AW1858,'Item Master Data'!$A:$F,3,FALSE)</f>
        <v>Q.PEAK DUO BLK G10+</v>
      </c>
      <c r="AY1858" s="471">
        <f>VLOOKUP($AW1858,'Item Master Data'!$A:$F,6,FALSE)</f>
        <v>360</v>
      </c>
      <c r="AZ1858" s="471">
        <f t="shared" si="304"/>
        <v>24</v>
      </c>
      <c r="BA1858" s="471">
        <f>VLOOKUP(AW1858,'Item Master Data'!$A:$G,7,FALSE)</f>
        <v>32</v>
      </c>
      <c r="BC1858" s="471">
        <f t="shared" si="305"/>
        <v>0</v>
      </c>
    </row>
    <row r="1859" spans="1:55" s="471" customFormat="1">
      <c r="A1859" s="278"/>
      <c r="B1859" s="279"/>
      <c r="C1859" s="279"/>
      <c r="D1859" s="394" t="s">
        <v>3678</v>
      </c>
      <c r="E1859" s="280" t="s">
        <v>5553</v>
      </c>
      <c r="F1859" s="474"/>
      <c r="G1859" s="474">
        <v>2022</v>
      </c>
      <c r="H1859" s="474">
        <v>4</v>
      </c>
      <c r="I1859" s="485"/>
      <c r="J1859" s="475"/>
      <c r="K1859" s="474" t="s">
        <v>3846</v>
      </c>
      <c r="L1859" s="474" t="s">
        <v>1120</v>
      </c>
      <c r="M1859" s="475">
        <v>44519</v>
      </c>
      <c r="N1859" s="475">
        <v>44652</v>
      </c>
      <c r="O1859" s="475"/>
      <c r="P1859" s="475">
        <v>44670</v>
      </c>
      <c r="Q1859" s="475"/>
      <c r="R1859" s="475"/>
      <c r="S1859" s="474" t="s">
        <v>1102</v>
      </c>
      <c r="T1859" s="474">
        <v>60</v>
      </c>
      <c r="U1859" s="474">
        <v>49203132</v>
      </c>
      <c r="V1859" s="474" t="s">
        <v>986</v>
      </c>
      <c r="W1859" s="476">
        <v>360</v>
      </c>
      <c r="X1859" s="402">
        <v>768</v>
      </c>
      <c r="Y1859" s="491">
        <f t="shared" si="301"/>
        <v>276480</v>
      </c>
      <c r="Z1859" s="478">
        <f>183.6/360</f>
        <v>0.51</v>
      </c>
      <c r="AA1859" s="479">
        <f>Y1859*Z1859</f>
        <v>141004.79999999999</v>
      </c>
      <c r="AB1859" s="480"/>
      <c r="AC1859" s="481">
        <v>0</v>
      </c>
      <c r="AD1859" s="490"/>
      <c r="AE1859" s="482"/>
      <c r="AF1859" s="493">
        <f t="shared" si="302"/>
        <v>141004.79999999999</v>
      </c>
      <c r="AG1859" s="474" t="s">
        <v>47</v>
      </c>
      <c r="AH1859" s="474"/>
      <c r="AI1859" s="474">
        <v>45</v>
      </c>
      <c r="AJ1859" s="474" t="s">
        <v>1132</v>
      </c>
      <c r="AK1859" s="474" t="s">
        <v>1133</v>
      </c>
      <c r="AL1859" s="494">
        <v>85215</v>
      </c>
      <c r="AM1859" s="474" t="s">
        <v>52</v>
      </c>
      <c r="AN1859" s="474" t="s">
        <v>1106</v>
      </c>
      <c r="AO1859" s="474"/>
      <c r="AP1859" s="482"/>
      <c r="AQ1859" s="482"/>
      <c r="AR1859" s="474"/>
      <c r="AS1859" s="436"/>
      <c r="AT1859" s="281" t="s">
        <v>1076</v>
      </c>
      <c r="AU1859" s="472"/>
      <c r="AV1859" s="471">
        <f t="shared" si="303"/>
        <v>49203132</v>
      </c>
      <c r="AW1859" s="471" cm="1">
        <f t="array" ref="AW1859">SUM(MID(0&amp;AV1859,LARGE(INDEX(ISNUMBER(--MID(AV1859,ROW($1:$8),1))*ROW($1:$8),),ROW($1:$8))+1,1)*10^ROW($1:$8)/10)</f>
        <v>49203132</v>
      </c>
      <c r="AX1859" s="471" t="str">
        <f>VLOOKUP($AW1859,'Item Master Data'!$A:$F,3,FALSE)</f>
        <v>Q.PEAK DUO BLK G10+</v>
      </c>
      <c r="AY1859" s="471">
        <f>VLOOKUP($AW1859,'Item Master Data'!$A:$F,6,FALSE)</f>
        <v>360</v>
      </c>
      <c r="AZ1859" s="471">
        <f t="shared" si="304"/>
        <v>24</v>
      </c>
      <c r="BA1859" s="471">
        <f>VLOOKUP(AW1859,'Item Master Data'!$A:$G,7,FALSE)</f>
        <v>32</v>
      </c>
      <c r="BC1859" s="471">
        <f t="shared" si="305"/>
        <v>0</v>
      </c>
    </row>
    <row r="1860" spans="1:55" s="471" customFormat="1">
      <c r="A1860" s="278"/>
      <c r="B1860" s="279"/>
      <c r="C1860" s="279"/>
      <c r="D1860" s="394" t="s">
        <v>3678</v>
      </c>
      <c r="E1860" s="280" t="s">
        <v>5411</v>
      </c>
      <c r="F1860" s="474"/>
      <c r="G1860" s="474">
        <v>2022</v>
      </c>
      <c r="H1860" s="474">
        <v>4</v>
      </c>
      <c r="I1860" s="485"/>
      <c r="J1860" s="475"/>
      <c r="K1860" s="516" t="s">
        <v>3973</v>
      </c>
      <c r="L1860" s="474" t="s">
        <v>1120</v>
      </c>
      <c r="M1860" s="475">
        <v>44519</v>
      </c>
      <c r="N1860" s="475">
        <v>44652</v>
      </c>
      <c r="O1860" s="475"/>
      <c r="P1860" s="475">
        <v>44671</v>
      </c>
      <c r="Q1860" s="475">
        <v>44676</v>
      </c>
      <c r="R1860" s="475">
        <v>44678</v>
      </c>
      <c r="S1860" s="474" t="s">
        <v>1102</v>
      </c>
      <c r="T1860" s="474">
        <v>60</v>
      </c>
      <c r="U1860" s="474">
        <v>49203132</v>
      </c>
      <c r="V1860" s="474" t="s">
        <v>986</v>
      </c>
      <c r="W1860" s="476">
        <v>360</v>
      </c>
      <c r="X1860" s="402">
        <v>768</v>
      </c>
      <c r="Y1860" s="491">
        <f t="shared" si="301"/>
        <v>276480</v>
      </c>
      <c r="Z1860" s="478">
        <v>0.53</v>
      </c>
      <c r="AA1860" s="479">
        <f>Y1860*Z1860</f>
        <v>146534.39999999999</v>
      </c>
      <c r="AB1860" s="480"/>
      <c r="AC1860" s="481">
        <v>0</v>
      </c>
      <c r="AD1860" s="490"/>
      <c r="AE1860" s="482"/>
      <c r="AF1860" s="493">
        <f t="shared" si="302"/>
        <v>146534.39999999999</v>
      </c>
      <c r="AG1860" s="474" t="s">
        <v>47</v>
      </c>
      <c r="AH1860" s="474"/>
      <c r="AI1860" s="474">
        <v>45</v>
      </c>
      <c r="AJ1860" s="474" t="s">
        <v>3974</v>
      </c>
      <c r="AK1860" s="474" t="s">
        <v>1096</v>
      </c>
      <c r="AL1860" s="494">
        <v>1583</v>
      </c>
      <c r="AM1860" s="474" t="s">
        <v>52</v>
      </c>
      <c r="AN1860" s="474" t="s">
        <v>1106</v>
      </c>
      <c r="AO1860" s="474"/>
      <c r="AP1860" s="482"/>
      <c r="AQ1860" s="482"/>
      <c r="AR1860" s="474"/>
      <c r="AS1860" s="436"/>
      <c r="AT1860" s="281" t="s">
        <v>1076</v>
      </c>
      <c r="AU1860" s="472"/>
      <c r="AV1860" s="471">
        <f t="shared" si="303"/>
        <v>49203132</v>
      </c>
      <c r="AW1860" s="471" cm="1">
        <f t="array" ref="AW1860">SUM(MID(0&amp;AV1860,LARGE(INDEX(ISNUMBER(--MID(AV1860,ROW($1:$8),1))*ROW($1:$8),),ROW($1:$8))+1,1)*10^ROW($1:$8)/10)</f>
        <v>49203132</v>
      </c>
      <c r="AX1860" s="471" t="str">
        <f>VLOOKUP($AW1860,'Item Master Data'!$A:$F,3,FALSE)</f>
        <v>Q.PEAK DUO BLK G10+</v>
      </c>
      <c r="AY1860" s="471">
        <f>VLOOKUP($AW1860,'Item Master Data'!$A:$F,6,FALSE)</f>
        <v>360</v>
      </c>
      <c r="AZ1860" s="471">
        <f t="shared" si="304"/>
        <v>24</v>
      </c>
      <c r="BA1860" s="471">
        <f>VLOOKUP(AW1860,'Item Master Data'!$A:$G,7,FALSE)</f>
        <v>32</v>
      </c>
      <c r="BC1860" s="471">
        <f t="shared" si="305"/>
        <v>0</v>
      </c>
    </row>
    <row r="1861" spans="1:55" s="471" customFormat="1">
      <c r="A1861" s="278"/>
      <c r="B1861" s="279"/>
      <c r="C1861" s="279"/>
      <c r="D1861" s="394" t="s">
        <v>3678</v>
      </c>
      <c r="E1861" s="280" t="s">
        <v>5410</v>
      </c>
      <c r="F1861" s="474"/>
      <c r="G1861" s="474">
        <v>2022</v>
      </c>
      <c r="H1861" s="474">
        <v>4</v>
      </c>
      <c r="I1861" s="485"/>
      <c r="J1861" s="475"/>
      <c r="K1861" s="663" t="s">
        <v>3847</v>
      </c>
      <c r="L1861" s="474" t="s">
        <v>1120</v>
      </c>
      <c r="M1861" s="475">
        <v>44522</v>
      </c>
      <c r="N1861" s="475">
        <v>44652</v>
      </c>
      <c r="O1861" s="475"/>
      <c r="P1861" s="475">
        <v>44671</v>
      </c>
      <c r="Q1861" s="475">
        <v>44678</v>
      </c>
      <c r="R1861" s="475">
        <v>44679</v>
      </c>
      <c r="S1861" s="474" t="s">
        <v>1102</v>
      </c>
      <c r="T1861" s="474">
        <v>60</v>
      </c>
      <c r="U1861" s="474" t="s">
        <v>1760</v>
      </c>
      <c r="V1861" s="474" t="s">
        <v>973</v>
      </c>
      <c r="W1861" s="476">
        <v>400</v>
      </c>
      <c r="X1861" s="402">
        <v>832</v>
      </c>
      <c r="Y1861" s="491">
        <f t="shared" si="301"/>
        <v>332800</v>
      </c>
      <c r="Z1861" s="478">
        <v>0.55000000000000004</v>
      </c>
      <c r="AA1861" s="479">
        <f>Y1861*Z1861</f>
        <v>183040.00000000003</v>
      </c>
      <c r="AB1861" s="480"/>
      <c r="AC1861" s="481">
        <v>0</v>
      </c>
      <c r="AD1861" s="490"/>
      <c r="AE1861" s="482"/>
      <c r="AF1861" s="493">
        <f t="shared" si="302"/>
        <v>183040.00000000003</v>
      </c>
      <c r="AG1861" s="474" t="s">
        <v>47</v>
      </c>
      <c r="AH1861" s="474"/>
      <c r="AI1861" s="474">
        <v>45</v>
      </c>
      <c r="AJ1861" s="474" t="s">
        <v>1146</v>
      </c>
      <c r="AK1861" s="474" t="s">
        <v>50</v>
      </c>
      <c r="AL1861" s="494">
        <v>94577</v>
      </c>
      <c r="AM1861" s="474" t="s">
        <v>52</v>
      </c>
      <c r="AN1861" s="474" t="s">
        <v>50</v>
      </c>
      <c r="AO1861" s="474"/>
      <c r="AP1861" s="482"/>
      <c r="AQ1861" s="482"/>
      <c r="AR1861" s="474"/>
      <c r="AS1861" s="436"/>
      <c r="AT1861" s="281" t="s">
        <v>1076</v>
      </c>
      <c r="AU1861" s="472"/>
      <c r="AV1861" s="471" t="str">
        <f t="shared" si="303"/>
        <v>30390156H</v>
      </c>
      <c r="AW1861" s="471" cm="1">
        <f t="array" ref="AW1861">SUM(MID(0&amp;AV1861,LARGE(INDEX(ISNUMBER(--MID(AV1861,ROW($1:$8),1))*ROW($1:$8),),ROW($1:$8))+1,1)*10^ROW($1:$8)/10)</f>
        <v>30390156</v>
      </c>
      <c r="AX1861" s="471" t="str">
        <f>VLOOKUP($AW1861,'Item Master Data'!$A:$F,3,FALSE)</f>
        <v>Q.PEAK DUO BLK ML G10+</v>
      </c>
      <c r="AY1861" s="471">
        <f>VLOOKUP($AW1861,'Item Master Data'!$A:$F,6,FALSE)</f>
        <v>400</v>
      </c>
      <c r="AZ1861" s="471">
        <f t="shared" si="304"/>
        <v>26</v>
      </c>
      <c r="BA1861" s="471">
        <f>VLOOKUP(AW1861,'Item Master Data'!$A:$G,7,FALSE)</f>
        <v>32</v>
      </c>
      <c r="BC1861" s="471">
        <f t="shared" si="305"/>
        <v>0</v>
      </c>
    </row>
    <row r="1862" spans="1:55" s="471" customFormat="1">
      <c r="A1862" s="278"/>
      <c r="B1862" s="279"/>
      <c r="C1862" s="279"/>
      <c r="D1862" s="394" t="s">
        <v>3678</v>
      </c>
      <c r="E1862" s="280" t="s">
        <v>5605</v>
      </c>
      <c r="F1862" s="474"/>
      <c r="G1862" s="474">
        <v>2022</v>
      </c>
      <c r="H1862" s="474">
        <v>4</v>
      </c>
      <c r="I1862" s="485">
        <v>128089</v>
      </c>
      <c r="J1862" s="475">
        <v>44662</v>
      </c>
      <c r="K1862" s="474" t="s">
        <v>3851</v>
      </c>
      <c r="L1862" s="475" t="s">
        <v>3697</v>
      </c>
      <c r="M1862" s="475">
        <v>44614</v>
      </c>
      <c r="N1862" s="475">
        <v>44614</v>
      </c>
      <c r="O1862" s="475"/>
      <c r="P1862" s="475">
        <v>44652</v>
      </c>
      <c r="Q1862" s="475">
        <v>44657</v>
      </c>
      <c r="R1862" s="475">
        <v>44662</v>
      </c>
      <c r="S1862" s="474" t="s">
        <v>1102</v>
      </c>
      <c r="T1862" s="474">
        <v>60</v>
      </c>
      <c r="U1862" s="474">
        <v>49203132</v>
      </c>
      <c r="V1862" s="474" t="s">
        <v>986</v>
      </c>
      <c r="W1862" s="476">
        <v>360</v>
      </c>
      <c r="X1862" s="402">
        <v>768</v>
      </c>
      <c r="Y1862" s="477">
        <f t="shared" si="301"/>
        <v>276480</v>
      </c>
      <c r="Z1862" s="478">
        <v>0.47</v>
      </c>
      <c r="AA1862" s="479">
        <f>Z1862*Y1862</f>
        <v>129945.59999999999</v>
      </c>
      <c r="AB1862" s="480"/>
      <c r="AC1862" s="481">
        <f t="shared" ref="AC1862:AC1869" si="306">AB1862*Y1862</f>
        <v>0</v>
      </c>
      <c r="AD1862" s="490"/>
      <c r="AE1862" s="482"/>
      <c r="AF1862" s="493">
        <f t="shared" si="302"/>
        <v>129945.59999999999</v>
      </c>
      <c r="AG1862" s="474" t="s">
        <v>47</v>
      </c>
      <c r="AH1862" s="474"/>
      <c r="AI1862" s="474">
        <v>45</v>
      </c>
      <c r="AJ1862" s="474" t="s">
        <v>1777</v>
      </c>
      <c r="AK1862" s="474" t="s">
        <v>50</v>
      </c>
      <c r="AL1862" s="494">
        <v>93308</v>
      </c>
      <c r="AM1862" s="474" t="s">
        <v>52</v>
      </c>
      <c r="AN1862" s="474" t="s">
        <v>1106</v>
      </c>
      <c r="AO1862" s="474"/>
      <c r="AP1862" s="482"/>
      <c r="AQ1862" s="482" t="s">
        <v>37</v>
      </c>
      <c r="AR1862" s="474"/>
      <c r="AS1862" s="436" t="s">
        <v>1076</v>
      </c>
      <c r="AT1862" s="281" t="s">
        <v>1076</v>
      </c>
      <c r="AU1862" s="472"/>
      <c r="AV1862" s="471">
        <f t="shared" si="303"/>
        <v>49203132</v>
      </c>
      <c r="AW1862" s="471" cm="1">
        <f t="array" ref="AW1862">SUM(MID(0&amp;AV1862,LARGE(INDEX(ISNUMBER(--MID(AV1862,ROW($1:$8),1))*ROW($1:$8),),ROW($1:$8))+1,1)*10^ROW($1:$8)/10)</f>
        <v>49203132</v>
      </c>
      <c r="AX1862" s="471" t="str">
        <f>VLOOKUP($AW1862,'Item Master Data'!$A:$F,3,FALSE)</f>
        <v>Q.PEAK DUO BLK G10+</v>
      </c>
      <c r="AY1862" s="471">
        <f>VLOOKUP($AW1862,'Item Master Data'!$A:$F,6,FALSE)</f>
        <v>360</v>
      </c>
      <c r="AZ1862" s="471">
        <f t="shared" si="304"/>
        <v>24</v>
      </c>
      <c r="BA1862" s="471">
        <f>VLOOKUP(AW1862,'Item Master Data'!$A:$G,7,FALSE)</f>
        <v>32</v>
      </c>
      <c r="BC1862" s="471">
        <f t="shared" si="305"/>
        <v>0</v>
      </c>
    </row>
    <row r="1863" spans="1:55" s="471" customFormat="1">
      <c r="A1863" s="278"/>
      <c r="B1863" s="279"/>
      <c r="C1863" s="279"/>
      <c r="D1863" s="394" t="s">
        <v>3678</v>
      </c>
      <c r="E1863" s="280" t="s">
        <v>5776</v>
      </c>
      <c r="F1863" s="474"/>
      <c r="G1863" s="474">
        <v>2022</v>
      </c>
      <c r="H1863" s="474">
        <v>4</v>
      </c>
      <c r="I1863" s="485">
        <v>128253</v>
      </c>
      <c r="J1863" s="475">
        <v>44673</v>
      </c>
      <c r="K1863" s="474" t="s">
        <v>3853</v>
      </c>
      <c r="L1863" s="475" t="s">
        <v>3697</v>
      </c>
      <c r="M1863" s="475">
        <v>44614</v>
      </c>
      <c r="N1863" s="475">
        <v>44614</v>
      </c>
      <c r="O1863" s="475"/>
      <c r="P1863" s="475">
        <v>44652</v>
      </c>
      <c r="Q1863" s="475">
        <v>44669</v>
      </c>
      <c r="R1863" s="475">
        <v>44673</v>
      </c>
      <c r="S1863" s="474" t="s">
        <v>1102</v>
      </c>
      <c r="T1863" s="474">
        <v>60</v>
      </c>
      <c r="U1863" s="474">
        <v>49203132</v>
      </c>
      <c r="V1863" s="474" t="s">
        <v>986</v>
      </c>
      <c r="W1863" s="476">
        <v>360</v>
      </c>
      <c r="X1863" s="402">
        <v>768</v>
      </c>
      <c r="Y1863" s="477">
        <f t="shared" si="301"/>
        <v>276480</v>
      </c>
      <c r="Z1863" s="478">
        <v>0.47</v>
      </c>
      <c r="AA1863" s="479">
        <f>Z1863*Y1863</f>
        <v>129945.59999999999</v>
      </c>
      <c r="AB1863" s="480"/>
      <c r="AC1863" s="481">
        <f t="shared" si="306"/>
        <v>0</v>
      </c>
      <c r="AD1863" s="490"/>
      <c r="AE1863" s="482"/>
      <c r="AF1863" s="493">
        <f t="shared" si="302"/>
        <v>129945.59999999999</v>
      </c>
      <c r="AG1863" s="474" t="s">
        <v>47</v>
      </c>
      <c r="AH1863" s="474"/>
      <c r="AI1863" s="474">
        <v>45</v>
      </c>
      <c r="AJ1863" s="474" t="s">
        <v>1954</v>
      </c>
      <c r="AK1863" s="474" t="s">
        <v>50</v>
      </c>
      <c r="AL1863" s="494">
        <v>92121</v>
      </c>
      <c r="AM1863" s="474" t="s">
        <v>52</v>
      </c>
      <c r="AN1863" s="474" t="s">
        <v>1106</v>
      </c>
      <c r="AO1863" s="474"/>
      <c r="AP1863" s="482"/>
      <c r="AQ1863" s="482" t="s">
        <v>37</v>
      </c>
      <c r="AR1863" s="474"/>
      <c r="AS1863" s="436" t="s">
        <v>1076</v>
      </c>
      <c r="AT1863" s="281" t="s">
        <v>1076</v>
      </c>
      <c r="AU1863" s="472"/>
      <c r="AV1863" s="471">
        <f t="shared" si="303"/>
        <v>49203132</v>
      </c>
      <c r="AW1863" s="471" cm="1">
        <f t="array" ref="AW1863">SUM(MID(0&amp;AV1863,LARGE(INDEX(ISNUMBER(--MID(AV1863,ROW($1:$8),1))*ROW($1:$8),),ROW($1:$8))+1,1)*10^ROW($1:$8)/10)</f>
        <v>49203132</v>
      </c>
      <c r="AX1863" s="471" t="str">
        <f>VLOOKUP($AW1863,'Item Master Data'!$A:$F,3,FALSE)</f>
        <v>Q.PEAK DUO BLK G10+</v>
      </c>
      <c r="AY1863" s="471">
        <f>VLOOKUP($AW1863,'Item Master Data'!$A:$F,6,FALSE)</f>
        <v>360</v>
      </c>
      <c r="AZ1863" s="471">
        <f t="shared" si="304"/>
        <v>24</v>
      </c>
      <c r="BA1863" s="471">
        <f>VLOOKUP(AW1863,'Item Master Data'!$A:$G,7,FALSE)</f>
        <v>32</v>
      </c>
      <c r="BC1863" s="471">
        <f t="shared" si="305"/>
        <v>0</v>
      </c>
    </row>
    <row r="1864" spans="1:55" s="471" customFormat="1">
      <c r="A1864" s="278">
        <v>10</v>
      </c>
      <c r="B1864" s="279"/>
      <c r="C1864" s="279"/>
      <c r="D1864" s="394" t="s">
        <v>3678</v>
      </c>
      <c r="E1864" s="280" t="s">
        <v>5777</v>
      </c>
      <c r="F1864" s="474"/>
      <c r="G1864" s="474">
        <v>2022</v>
      </c>
      <c r="H1864" s="474">
        <v>4</v>
      </c>
      <c r="I1864" s="485">
        <v>120083</v>
      </c>
      <c r="J1864" s="475">
        <v>44662</v>
      </c>
      <c r="K1864" s="474" t="s">
        <v>3910</v>
      </c>
      <c r="L1864" s="474" t="s">
        <v>3762</v>
      </c>
      <c r="M1864" s="475">
        <v>44503</v>
      </c>
      <c r="N1864" s="475">
        <v>44595</v>
      </c>
      <c r="O1864" s="475"/>
      <c r="P1864" s="475">
        <v>44650</v>
      </c>
      <c r="Q1864" s="475">
        <v>44656</v>
      </c>
      <c r="R1864" s="475">
        <v>44662</v>
      </c>
      <c r="S1864" s="474" t="s">
        <v>1102</v>
      </c>
      <c r="T1864" s="474">
        <v>60</v>
      </c>
      <c r="U1864" s="474" t="s">
        <v>1281</v>
      </c>
      <c r="V1864" s="474" t="s">
        <v>973</v>
      </c>
      <c r="W1864" s="476">
        <v>400</v>
      </c>
      <c r="X1864" s="402">
        <v>896</v>
      </c>
      <c r="Y1864" s="491">
        <f t="shared" si="301"/>
        <v>358400</v>
      </c>
      <c r="Z1864" s="478">
        <v>0.49</v>
      </c>
      <c r="AA1864" s="582">
        <f>Y1864*Z1864</f>
        <v>175616</v>
      </c>
      <c r="AB1864" s="480"/>
      <c r="AC1864" s="481">
        <f t="shared" si="306"/>
        <v>0</v>
      </c>
      <c r="AD1864" s="490"/>
      <c r="AE1864" s="482"/>
      <c r="AF1864" s="493">
        <f t="shared" si="302"/>
        <v>175616</v>
      </c>
      <c r="AG1864" s="474" t="s">
        <v>47</v>
      </c>
      <c r="AH1864" s="474">
        <v>0</v>
      </c>
      <c r="AI1864" s="474">
        <v>60</v>
      </c>
      <c r="AJ1864" s="474" t="s">
        <v>3767</v>
      </c>
      <c r="AK1864" s="474" t="s">
        <v>1138</v>
      </c>
      <c r="AL1864" s="494">
        <v>11803</v>
      </c>
      <c r="AM1864" s="474" t="s">
        <v>52</v>
      </c>
      <c r="AN1864" s="474" t="s">
        <v>50</v>
      </c>
      <c r="AO1864" s="474"/>
      <c r="AP1864" s="482"/>
      <c r="AQ1864" s="482" t="s">
        <v>37</v>
      </c>
      <c r="AR1864" s="474"/>
      <c r="AS1864" s="436" t="s">
        <v>3763</v>
      </c>
      <c r="AT1864" s="281" t="s">
        <v>1076</v>
      </c>
      <c r="AU1864" s="472"/>
      <c r="AV1864" s="471" t="str">
        <f t="shared" si="303"/>
        <v>30390456H</v>
      </c>
      <c r="AW1864" s="471" cm="1">
        <f t="array" ref="AW1864">SUM(MID(0&amp;AV1864,LARGE(INDEX(ISNUMBER(--MID(AV1864,ROW($1:$8),1))*ROW($1:$8),),ROW($1:$8))+1,1)*10^ROW($1:$8)/10)</f>
        <v>30390456</v>
      </c>
      <c r="AX1864" s="471" t="str">
        <f>VLOOKUP($AW1864,'Item Master Data'!$A:$F,3,FALSE)</f>
        <v>Q.PEAK DUO BLK ML G10+</v>
      </c>
      <c r="AY1864" s="471">
        <f>VLOOKUP($AW1864,'Item Master Data'!$A:$F,6,FALSE)</f>
        <v>400</v>
      </c>
      <c r="AZ1864" s="471">
        <f t="shared" si="304"/>
        <v>28</v>
      </c>
      <c r="BA1864" s="471">
        <f>VLOOKUP(AW1864,'Item Master Data'!$A:$G,7,FALSE)</f>
        <v>32</v>
      </c>
      <c r="BC1864" s="471">
        <f t="shared" si="305"/>
        <v>0</v>
      </c>
    </row>
    <row r="1865" spans="1:55" s="471" customFormat="1">
      <c r="A1865" s="278"/>
      <c r="B1865" s="279"/>
      <c r="C1865" s="279"/>
      <c r="D1865" s="394" t="s">
        <v>3678</v>
      </c>
      <c r="E1865" s="280" t="s">
        <v>5605</v>
      </c>
      <c r="F1865" s="474"/>
      <c r="G1865" s="474">
        <v>2022</v>
      </c>
      <c r="H1865" s="474">
        <v>4</v>
      </c>
      <c r="I1865" s="650">
        <v>128090</v>
      </c>
      <c r="J1865" s="475">
        <v>44666</v>
      </c>
      <c r="K1865" s="474" t="s">
        <v>3854</v>
      </c>
      <c r="L1865" s="475" t="s">
        <v>3697</v>
      </c>
      <c r="M1865" s="475">
        <v>44614</v>
      </c>
      <c r="N1865" s="475">
        <v>44614</v>
      </c>
      <c r="O1865" s="475"/>
      <c r="P1865" s="475">
        <v>44652</v>
      </c>
      <c r="Q1865" s="475">
        <v>44659</v>
      </c>
      <c r="R1865" s="475">
        <v>44666</v>
      </c>
      <c r="S1865" s="474" t="s">
        <v>1102</v>
      </c>
      <c r="T1865" s="474">
        <v>60</v>
      </c>
      <c r="U1865" s="474">
        <v>49203132</v>
      </c>
      <c r="V1865" s="474" t="s">
        <v>986</v>
      </c>
      <c r="W1865" s="476">
        <v>360</v>
      </c>
      <c r="X1865" s="402">
        <v>768</v>
      </c>
      <c r="Y1865" s="477">
        <f t="shared" si="301"/>
        <v>276480</v>
      </c>
      <c r="Z1865" s="478">
        <v>0.47</v>
      </c>
      <c r="AA1865" s="479">
        <f>Z1865*Y1865</f>
        <v>129945.59999999999</v>
      </c>
      <c r="AB1865" s="480"/>
      <c r="AC1865" s="481">
        <f t="shared" si="306"/>
        <v>0</v>
      </c>
      <c r="AD1865" s="490"/>
      <c r="AE1865" s="482"/>
      <c r="AF1865" s="493">
        <f t="shared" si="302"/>
        <v>129945.59999999999</v>
      </c>
      <c r="AG1865" s="474" t="s">
        <v>47</v>
      </c>
      <c r="AH1865" s="474"/>
      <c r="AI1865" s="474">
        <v>45</v>
      </c>
      <c r="AJ1865" s="474" t="s">
        <v>1790</v>
      </c>
      <c r="AK1865" s="474" t="s">
        <v>50</v>
      </c>
      <c r="AL1865" s="494">
        <v>95827</v>
      </c>
      <c r="AM1865" s="474" t="s">
        <v>52</v>
      </c>
      <c r="AN1865" s="474" t="s">
        <v>1106</v>
      </c>
      <c r="AO1865" s="474"/>
      <c r="AP1865" s="482"/>
      <c r="AQ1865" s="482" t="s">
        <v>37</v>
      </c>
      <c r="AR1865" s="474"/>
      <c r="AS1865" s="436" t="s">
        <v>1076</v>
      </c>
      <c r="AT1865" s="281" t="s">
        <v>1076</v>
      </c>
      <c r="AU1865" s="472"/>
      <c r="AV1865" s="471">
        <f t="shared" si="303"/>
        <v>49203132</v>
      </c>
      <c r="AW1865" s="471" cm="1">
        <f t="array" ref="AW1865">SUM(MID(0&amp;AV1865,LARGE(INDEX(ISNUMBER(--MID(AV1865,ROW($1:$8),1))*ROW($1:$8),),ROW($1:$8))+1,1)*10^ROW($1:$8)/10)</f>
        <v>49203132</v>
      </c>
      <c r="AX1865" s="471" t="str">
        <f>VLOOKUP($AW1865,'Item Master Data'!$A:$F,3,FALSE)</f>
        <v>Q.PEAK DUO BLK G10+</v>
      </c>
      <c r="AY1865" s="471">
        <f>VLOOKUP($AW1865,'Item Master Data'!$A:$F,6,FALSE)</f>
        <v>360</v>
      </c>
      <c r="AZ1865" s="471">
        <f t="shared" si="304"/>
        <v>24</v>
      </c>
      <c r="BA1865" s="471">
        <f>VLOOKUP(AW1865,'Item Master Data'!$A:$G,7,FALSE)</f>
        <v>32</v>
      </c>
      <c r="BC1865" s="471">
        <f t="shared" si="305"/>
        <v>0</v>
      </c>
    </row>
    <row r="1866" spans="1:55" s="471" customFormat="1">
      <c r="A1866" s="278"/>
      <c r="B1866" s="279"/>
      <c r="C1866" s="279"/>
      <c r="D1866" s="394" t="s">
        <v>3678</v>
      </c>
      <c r="E1866" s="280" t="s">
        <v>5778</v>
      </c>
      <c r="F1866" s="474"/>
      <c r="G1866" s="474">
        <v>2022</v>
      </c>
      <c r="H1866" s="474">
        <v>4</v>
      </c>
      <c r="I1866" s="485" t="s">
        <v>3023</v>
      </c>
      <c r="J1866" s="475">
        <v>44663</v>
      </c>
      <c r="K1866" s="474" t="s">
        <v>3855</v>
      </c>
      <c r="L1866" s="475" t="s">
        <v>3697</v>
      </c>
      <c r="M1866" s="475">
        <v>44614</v>
      </c>
      <c r="N1866" s="475">
        <v>44614</v>
      </c>
      <c r="O1866" s="475"/>
      <c r="P1866" s="475">
        <v>44652</v>
      </c>
      <c r="Q1866" s="475">
        <v>44658</v>
      </c>
      <c r="R1866" s="475">
        <v>44663</v>
      </c>
      <c r="S1866" s="474" t="s">
        <v>1102</v>
      </c>
      <c r="T1866" s="474">
        <v>60</v>
      </c>
      <c r="U1866" s="474">
        <v>49203132</v>
      </c>
      <c r="V1866" s="474" t="s">
        <v>986</v>
      </c>
      <c r="W1866" s="476">
        <v>360</v>
      </c>
      <c r="X1866" s="402">
        <v>768</v>
      </c>
      <c r="Y1866" s="477">
        <f t="shared" si="301"/>
        <v>276480</v>
      </c>
      <c r="Z1866" s="478">
        <v>0.47</v>
      </c>
      <c r="AA1866" s="479">
        <f>Z1866*Y1866</f>
        <v>129945.59999999999</v>
      </c>
      <c r="AB1866" s="480"/>
      <c r="AC1866" s="481">
        <f t="shared" si="306"/>
        <v>0</v>
      </c>
      <c r="AD1866" s="490"/>
      <c r="AE1866" s="482"/>
      <c r="AF1866" s="493">
        <f t="shared" si="302"/>
        <v>129945.59999999999</v>
      </c>
      <c r="AG1866" s="474" t="s">
        <v>47</v>
      </c>
      <c r="AH1866" s="474"/>
      <c r="AI1866" s="474">
        <v>45</v>
      </c>
      <c r="AJ1866" s="474" t="s">
        <v>3856</v>
      </c>
      <c r="AK1866" s="474" t="s">
        <v>50</v>
      </c>
      <c r="AL1866" s="494">
        <v>91761</v>
      </c>
      <c r="AM1866" s="474" t="s">
        <v>52</v>
      </c>
      <c r="AN1866" s="474" t="s">
        <v>1106</v>
      </c>
      <c r="AO1866" s="474"/>
      <c r="AP1866" s="482"/>
      <c r="AQ1866" s="482" t="s">
        <v>37</v>
      </c>
      <c r="AR1866" s="474"/>
      <c r="AS1866" s="436" t="s">
        <v>1076</v>
      </c>
      <c r="AT1866" s="281" t="s">
        <v>1076</v>
      </c>
      <c r="AU1866" s="472"/>
      <c r="AV1866" s="471">
        <f t="shared" si="303"/>
        <v>49203132</v>
      </c>
      <c r="AW1866" s="471" cm="1">
        <f t="array" ref="AW1866">SUM(MID(0&amp;AV1866,LARGE(INDEX(ISNUMBER(--MID(AV1866,ROW($1:$8),1))*ROW($1:$8),),ROW($1:$8))+1,1)*10^ROW($1:$8)/10)</f>
        <v>49203132</v>
      </c>
      <c r="AX1866" s="471" t="str">
        <f>VLOOKUP($AW1866,'Item Master Data'!$A:$F,3,FALSE)</f>
        <v>Q.PEAK DUO BLK G10+</v>
      </c>
      <c r="AY1866" s="471">
        <f>VLOOKUP($AW1866,'Item Master Data'!$A:$F,6,FALSE)</f>
        <v>360</v>
      </c>
      <c r="AZ1866" s="471">
        <f t="shared" si="304"/>
        <v>24</v>
      </c>
      <c r="BA1866" s="471">
        <f>VLOOKUP(AW1866,'Item Master Data'!$A:$G,7,FALSE)</f>
        <v>32</v>
      </c>
      <c r="BC1866" s="471">
        <f t="shared" si="305"/>
        <v>0</v>
      </c>
    </row>
    <row r="1867" spans="1:55" s="471" customFormat="1">
      <c r="A1867" s="278"/>
      <c r="B1867" s="279"/>
      <c r="C1867" s="279"/>
      <c r="D1867" s="394" t="s">
        <v>3678</v>
      </c>
      <c r="E1867" s="280" t="s">
        <v>5778</v>
      </c>
      <c r="F1867" s="474"/>
      <c r="G1867" s="474">
        <v>2022</v>
      </c>
      <c r="H1867" s="474">
        <v>4</v>
      </c>
      <c r="I1867" s="485" t="s">
        <v>3023</v>
      </c>
      <c r="J1867" s="475">
        <v>44663</v>
      </c>
      <c r="K1867" s="474" t="s">
        <v>3859</v>
      </c>
      <c r="L1867" s="475" t="s">
        <v>3697</v>
      </c>
      <c r="M1867" s="475">
        <v>44614</v>
      </c>
      <c r="N1867" s="475">
        <v>44614</v>
      </c>
      <c r="O1867" s="475"/>
      <c r="P1867" s="475">
        <v>44652</v>
      </c>
      <c r="Q1867" s="475">
        <v>44658</v>
      </c>
      <c r="R1867" s="475">
        <v>44663</v>
      </c>
      <c r="S1867" s="474" t="s">
        <v>1102</v>
      </c>
      <c r="T1867" s="474">
        <v>60</v>
      </c>
      <c r="U1867" s="474">
        <v>49203132</v>
      </c>
      <c r="V1867" s="474" t="s">
        <v>986</v>
      </c>
      <c r="W1867" s="476">
        <v>360</v>
      </c>
      <c r="X1867" s="402">
        <v>768</v>
      </c>
      <c r="Y1867" s="477">
        <f t="shared" si="301"/>
        <v>276480</v>
      </c>
      <c r="Z1867" s="478">
        <v>0.47</v>
      </c>
      <c r="AA1867" s="479">
        <f>Z1867*Y1867</f>
        <v>129945.59999999999</v>
      </c>
      <c r="AB1867" s="480"/>
      <c r="AC1867" s="481">
        <f t="shared" si="306"/>
        <v>0</v>
      </c>
      <c r="AD1867" s="490"/>
      <c r="AE1867" s="482"/>
      <c r="AF1867" s="493">
        <f t="shared" si="302"/>
        <v>129945.59999999999</v>
      </c>
      <c r="AG1867" s="474" t="s">
        <v>47</v>
      </c>
      <c r="AH1867" s="474"/>
      <c r="AI1867" s="474">
        <v>45</v>
      </c>
      <c r="AJ1867" s="474" t="s">
        <v>1764</v>
      </c>
      <c r="AK1867" s="474" t="s">
        <v>50</v>
      </c>
      <c r="AL1867" s="494">
        <v>93308</v>
      </c>
      <c r="AM1867" s="474" t="s">
        <v>52</v>
      </c>
      <c r="AN1867" s="474" t="s">
        <v>1106</v>
      </c>
      <c r="AO1867" s="474"/>
      <c r="AP1867" s="482"/>
      <c r="AQ1867" s="482" t="s">
        <v>37</v>
      </c>
      <c r="AR1867" s="474"/>
      <c r="AS1867" s="436" t="s">
        <v>1076</v>
      </c>
      <c r="AT1867" s="281" t="s">
        <v>1076</v>
      </c>
      <c r="AU1867" s="472"/>
      <c r="AV1867" s="471">
        <f t="shared" si="303"/>
        <v>49203132</v>
      </c>
      <c r="AW1867" s="471" cm="1">
        <f t="array" ref="AW1867">SUM(MID(0&amp;AV1867,LARGE(INDEX(ISNUMBER(--MID(AV1867,ROW($1:$8),1))*ROW($1:$8),),ROW($1:$8))+1,1)*10^ROW($1:$8)/10)</f>
        <v>49203132</v>
      </c>
      <c r="AX1867" s="471" t="str">
        <f>VLOOKUP($AW1867,'Item Master Data'!$A:$F,3,FALSE)</f>
        <v>Q.PEAK DUO BLK G10+</v>
      </c>
      <c r="AY1867" s="471">
        <f>VLOOKUP($AW1867,'Item Master Data'!$A:$F,6,FALSE)</f>
        <v>360</v>
      </c>
      <c r="AZ1867" s="471">
        <f t="shared" si="304"/>
        <v>24</v>
      </c>
      <c r="BA1867" s="471">
        <f>VLOOKUP(AW1867,'Item Master Data'!$A:$G,7,FALSE)</f>
        <v>32</v>
      </c>
      <c r="BC1867" s="471">
        <f t="shared" si="305"/>
        <v>0</v>
      </c>
    </row>
    <row r="1868" spans="1:55" s="471" customFormat="1">
      <c r="A1868" s="278"/>
      <c r="B1868" s="279"/>
      <c r="C1868" s="279"/>
      <c r="D1868" s="394" t="s">
        <v>3678</v>
      </c>
      <c r="E1868" s="280" t="s">
        <v>5234</v>
      </c>
      <c r="F1868" s="474"/>
      <c r="G1868" s="474">
        <v>2022</v>
      </c>
      <c r="H1868" s="474">
        <v>4</v>
      </c>
      <c r="I1868" s="474"/>
      <c r="J1868" s="475"/>
      <c r="K1868" s="474" t="s">
        <v>3868</v>
      </c>
      <c r="L1868" s="475" t="s">
        <v>3697</v>
      </c>
      <c r="M1868" s="475">
        <v>44656</v>
      </c>
      <c r="N1868" s="475">
        <v>44656</v>
      </c>
      <c r="O1868" s="475"/>
      <c r="P1868" s="475">
        <v>44666</v>
      </c>
      <c r="Q1868" s="475">
        <v>44676</v>
      </c>
      <c r="R1868" s="475">
        <v>44680</v>
      </c>
      <c r="S1868" s="474" t="s">
        <v>1102</v>
      </c>
      <c r="T1868" s="474">
        <v>60</v>
      </c>
      <c r="U1868" s="474">
        <v>49203132</v>
      </c>
      <c r="V1868" s="474" t="s">
        <v>986</v>
      </c>
      <c r="W1868" s="476">
        <v>360</v>
      </c>
      <c r="X1868" s="402">
        <v>832</v>
      </c>
      <c r="Y1868" s="477">
        <f t="shared" si="301"/>
        <v>299520</v>
      </c>
      <c r="Z1868" s="478">
        <v>0.47</v>
      </c>
      <c r="AA1868" s="479">
        <f>Z1868*Y1868</f>
        <v>140774.39999999999</v>
      </c>
      <c r="AB1868" s="480"/>
      <c r="AC1868" s="481">
        <f t="shared" si="306"/>
        <v>0</v>
      </c>
      <c r="AD1868" s="490"/>
      <c r="AE1868" s="482"/>
      <c r="AF1868" s="493">
        <f t="shared" si="302"/>
        <v>140774.39999999999</v>
      </c>
      <c r="AG1868" s="474" t="s">
        <v>47</v>
      </c>
      <c r="AH1868" s="474"/>
      <c r="AI1868" s="474">
        <v>45</v>
      </c>
      <c r="AJ1868" s="474" t="s">
        <v>1777</v>
      </c>
      <c r="AK1868" s="474" t="s">
        <v>50</v>
      </c>
      <c r="AL1868" s="494">
        <v>93308</v>
      </c>
      <c r="AM1868" s="474" t="s">
        <v>52</v>
      </c>
      <c r="AN1868" s="474" t="s">
        <v>1106</v>
      </c>
      <c r="AO1868" s="474"/>
      <c r="AP1868" s="482"/>
      <c r="AQ1868" s="482" t="s">
        <v>37</v>
      </c>
      <c r="AR1868" s="474"/>
      <c r="AS1868" s="436" t="s">
        <v>1076</v>
      </c>
      <c r="AT1868" s="281" t="s">
        <v>1076</v>
      </c>
      <c r="AU1868" s="472"/>
      <c r="AV1868" s="471">
        <f t="shared" si="303"/>
        <v>49203132</v>
      </c>
      <c r="AW1868" s="471" cm="1">
        <f t="array" ref="AW1868">SUM(MID(0&amp;AV1868,LARGE(INDEX(ISNUMBER(--MID(AV1868,ROW($1:$8),1))*ROW($1:$8),),ROW($1:$8))+1,1)*10^ROW($1:$8)/10)</f>
        <v>49203132</v>
      </c>
      <c r="AX1868" s="471" t="str">
        <f>VLOOKUP($AW1868,'Item Master Data'!$A:$F,3,FALSE)</f>
        <v>Q.PEAK DUO BLK G10+</v>
      </c>
      <c r="AY1868" s="471">
        <f>VLOOKUP($AW1868,'Item Master Data'!$A:$F,6,FALSE)</f>
        <v>360</v>
      </c>
      <c r="AZ1868" s="471">
        <f t="shared" si="304"/>
        <v>26</v>
      </c>
      <c r="BA1868" s="471">
        <f>VLOOKUP(AW1868,'Item Master Data'!$A:$G,7,FALSE)</f>
        <v>32</v>
      </c>
      <c r="BC1868" s="471">
        <f t="shared" si="305"/>
        <v>0</v>
      </c>
    </row>
    <row r="1869" spans="1:55" s="471" customFormat="1">
      <c r="A1869" s="278"/>
      <c r="B1869" s="279"/>
      <c r="C1869" s="279"/>
      <c r="D1869" s="394" t="s">
        <v>3678</v>
      </c>
      <c r="E1869" s="280" t="s">
        <v>5779</v>
      </c>
      <c r="F1869" s="474"/>
      <c r="G1869" s="474">
        <v>2022</v>
      </c>
      <c r="H1869" s="474">
        <v>4</v>
      </c>
      <c r="I1869" s="485" t="s">
        <v>3023</v>
      </c>
      <c r="J1869" s="475"/>
      <c r="K1869" s="474" t="s">
        <v>3857</v>
      </c>
      <c r="L1869" s="475" t="s">
        <v>3697</v>
      </c>
      <c r="M1869" s="475">
        <v>44614</v>
      </c>
      <c r="N1869" s="475">
        <v>44614</v>
      </c>
      <c r="O1869" s="475"/>
      <c r="P1869" s="475">
        <v>44652</v>
      </c>
      <c r="Q1869" s="475">
        <v>44670</v>
      </c>
      <c r="R1869" s="475">
        <v>44678</v>
      </c>
      <c r="S1869" s="474" t="s">
        <v>1102</v>
      </c>
      <c r="T1869" s="474">
        <v>60</v>
      </c>
      <c r="U1869" s="474">
        <v>49203132</v>
      </c>
      <c r="V1869" s="474" t="s">
        <v>986</v>
      </c>
      <c r="W1869" s="476">
        <v>360</v>
      </c>
      <c r="X1869" s="402">
        <v>64</v>
      </c>
      <c r="Y1869" s="477">
        <f t="shared" si="301"/>
        <v>23040</v>
      </c>
      <c r="Z1869" s="478">
        <v>0.47</v>
      </c>
      <c r="AA1869" s="479">
        <f>Z1869*Y1869</f>
        <v>10828.8</v>
      </c>
      <c r="AB1869" s="480"/>
      <c r="AC1869" s="481">
        <f t="shared" si="306"/>
        <v>0</v>
      </c>
      <c r="AD1869" s="490"/>
      <c r="AE1869" s="482"/>
      <c r="AF1869" s="493">
        <f t="shared" si="302"/>
        <v>10828.8</v>
      </c>
      <c r="AG1869" s="474" t="s">
        <v>47</v>
      </c>
      <c r="AH1869" s="474"/>
      <c r="AI1869" s="474">
        <v>45</v>
      </c>
      <c r="AJ1869" s="474" t="s">
        <v>3858</v>
      </c>
      <c r="AK1869" s="474" t="s">
        <v>1085</v>
      </c>
      <c r="AL1869" s="494">
        <v>7444</v>
      </c>
      <c r="AM1869" s="474" t="s">
        <v>52</v>
      </c>
      <c r="AN1869" s="474" t="s">
        <v>1106</v>
      </c>
      <c r="AO1869" s="474"/>
      <c r="AP1869" s="482"/>
      <c r="AQ1869" s="482" t="s">
        <v>37</v>
      </c>
      <c r="AR1869" s="474"/>
      <c r="AS1869" s="436" t="s">
        <v>1076</v>
      </c>
      <c r="AT1869" s="281" t="s">
        <v>1076</v>
      </c>
      <c r="AU1869" s="472"/>
      <c r="AV1869" s="471">
        <f t="shared" si="303"/>
        <v>49203132</v>
      </c>
      <c r="AW1869" s="471" cm="1">
        <f t="array" ref="AW1869">SUM(MID(0&amp;AV1869,LARGE(INDEX(ISNUMBER(--MID(AV1869,ROW($1:$8),1))*ROW($1:$8),),ROW($1:$8))+1,1)*10^ROW($1:$8)/10)</f>
        <v>49203132</v>
      </c>
      <c r="AX1869" s="471" t="str">
        <f>VLOOKUP($AW1869,'Item Master Data'!$A:$F,3,FALSE)</f>
        <v>Q.PEAK DUO BLK G10+</v>
      </c>
      <c r="AY1869" s="471">
        <f>VLOOKUP($AW1869,'Item Master Data'!$A:$F,6,FALSE)</f>
        <v>360</v>
      </c>
      <c r="AZ1869" s="471">
        <f t="shared" si="304"/>
        <v>2</v>
      </c>
      <c r="BA1869" s="471">
        <f>VLOOKUP(AW1869,'Item Master Data'!$A:$G,7,FALSE)</f>
        <v>32</v>
      </c>
      <c r="BC1869" s="471">
        <f t="shared" si="305"/>
        <v>0</v>
      </c>
    </row>
    <row r="1870" spans="1:55" s="471" customFormat="1">
      <c r="A1870" s="495"/>
      <c r="B1870" s="407" t="s">
        <v>1211</v>
      </c>
      <c r="C1870" s="407" t="s">
        <v>1211</v>
      </c>
      <c r="D1870" s="474" t="s">
        <v>3678</v>
      </c>
      <c r="E1870" s="283" t="s">
        <v>5780</v>
      </c>
      <c r="F1870" s="474"/>
      <c r="G1870" s="474">
        <v>2022</v>
      </c>
      <c r="H1870" s="474">
        <v>4</v>
      </c>
      <c r="I1870" s="485" t="s">
        <v>3023</v>
      </c>
      <c r="J1870" s="475">
        <v>44657</v>
      </c>
      <c r="K1870" s="474" t="s">
        <v>3878</v>
      </c>
      <c r="L1870" s="475" t="s">
        <v>1187</v>
      </c>
      <c r="M1870" s="475">
        <v>44644</v>
      </c>
      <c r="N1870" s="475">
        <v>44644</v>
      </c>
      <c r="O1870" s="475"/>
      <c r="P1870" s="475">
        <v>44648</v>
      </c>
      <c r="Q1870" s="475">
        <v>44657</v>
      </c>
      <c r="R1870" s="475">
        <v>44659</v>
      </c>
      <c r="S1870" s="474" t="s">
        <v>1102</v>
      </c>
      <c r="T1870" s="474">
        <v>60</v>
      </c>
      <c r="U1870" s="474">
        <v>49204132</v>
      </c>
      <c r="V1870" s="474" t="s">
        <v>1223</v>
      </c>
      <c r="W1870" s="476">
        <v>360</v>
      </c>
      <c r="X1870" s="402">
        <v>1352</v>
      </c>
      <c r="Y1870" s="477">
        <f t="shared" si="301"/>
        <v>486720</v>
      </c>
      <c r="Z1870" s="478">
        <v>0.83</v>
      </c>
      <c r="AA1870" s="492">
        <f t="shared" ref="AA1870:AA1876" si="307">Y1870*Z1870</f>
        <v>403977.6</v>
      </c>
      <c r="AB1870" s="386"/>
      <c r="AC1870" s="481">
        <v>0</v>
      </c>
      <c r="AD1870" s="474"/>
      <c r="AE1870" s="482"/>
      <c r="AF1870" s="493">
        <f t="shared" si="302"/>
        <v>403977.6</v>
      </c>
      <c r="AG1870" s="474" t="s">
        <v>1071</v>
      </c>
      <c r="AH1870" s="447"/>
      <c r="AI1870" s="474">
        <v>60</v>
      </c>
      <c r="AJ1870" s="474" t="s">
        <v>1210</v>
      </c>
      <c r="AK1870" s="474" t="s">
        <v>1096</v>
      </c>
      <c r="AL1870" s="494">
        <v>1501</v>
      </c>
      <c r="AM1870" s="474" t="s">
        <v>52</v>
      </c>
      <c r="AN1870" s="474" t="s">
        <v>1106</v>
      </c>
      <c r="AO1870" s="474"/>
      <c r="AP1870" s="474"/>
      <c r="AQ1870" s="474" t="s">
        <v>37</v>
      </c>
      <c r="AR1870" s="474"/>
      <c r="AS1870" s="387" t="s">
        <v>1076</v>
      </c>
      <c r="AT1870" s="356" t="s">
        <v>1076</v>
      </c>
      <c r="AU1870" s="472"/>
      <c r="AV1870" s="471">
        <f t="shared" si="303"/>
        <v>49204132</v>
      </c>
      <c r="AW1870" s="471" cm="1">
        <f t="array" ref="AW1870">SUM(MID(0&amp;AV1870,LARGE(INDEX(ISNUMBER(--MID(AV1870,ROW($1:$8),1))*ROW($1:$8),),ROW($1:$8))+1,1)*10^ROW($1:$8)/10)</f>
        <v>49204132</v>
      </c>
      <c r="AX1870" s="471" t="str">
        <f>VLOOKUP($AW1870,'Item Master Data'!$A:$F,3,FALSE)</f>
        <v>Q.PEAK DUO BLK G10+/AC</v>
      </c>
      <c r="AY1870" s="471">
        <f>VLOOKUP($AW1870,'Item Master Data'!$A:$F,6,FALSE)</f>
        <v>360</v>
      </c>
      <c r="AZ1870" s="471">
        <f t="shared" si="304"/>
        <v>52</v>
      </c>
      <c r="BA1870" s="471">
        <f>VLOOKUP(AW1870,'Item Master Data'!$A:$G,7,FALSE)</f>
        <v>26</v>
      </c>
      <c r="BC1870" s="471">
        <f t="shared" si="305"/>
        <v>0</v>
      </c>
    </row>
    <row r="1871" spans="1:55" s="471" customFormat="1">
      <c r="A1871" s="278">
        <v>10</v>
      </c>
      <c r="B1871" s="279"/>
      <c r="C1871" s="279">
        <v>44601</v>
      </c>
      <c r="D1871" s="394" t="s">
        <v>3678</v>
      </c>
      <c r="E1871" s="280" t="s">
        <v>5781</v>
      </c>
      <c r="F1871" s="474"/>
      <c r="G1871" s="474">
        <v>2022</v>
      </c>
      <c r="H1871" s="474">
        <v>4</v>
      </c>
      <c r="I1871" s="485" t="s">
        <v>3023</v>
      </c>
      <c r="J1871" s="475">
        <v>44656</v>
      </c>
      <c r="K1871" s="474" t="s">
        <v>3896</v>
      </c>
      <c r="L1871" s="474" t="s">
        <v>3747</v>
      </c>
      <c r="M1871" s="475">
        <v>44512</v>
      </c>
      <c r="N1871" s="475">
        <v>44593</v>
      </c>
      <c r="O1871" s="475" t="s">
        <v>1280</v>
      </c>
      <c r="P1871" s="475">
        <v>44652</v>
      </c>
      <c r="Q1871" s="475">
        <v>44656</v>
      </c>
      <c r="R1871" s="475">
        <v>44658</v>
      </c>
      <c r="S1871" s="474" t="s">
        <v>1102</v>
      </c>
      <c r="T1871" s="474">
        <v>60</v>
      </c>
      <c r="U1871" s="474">
        <v>49405140</v>
      </c>
      <c r="V1871" s="474" t="s">
        <v>973</v>
      </c>
      <c r="W1871" s="476">
        <v>400</v>
      </c>
      <c r="X1871" s="402">
        <v>1536</v>
      </c>
      <c r="Y1871" s="491">
        <f t="shared" si="301"/>
        <v>614400</v>
      </c>
      <c r="Z1871" s="478">
        <v>0.55000000000000004</v>
      </c>
      <c r="AA1871" s="583">
        <f t="shared" si="307"/>
        <v>337920</v>
      </c>
      <c r="AB1871" s="480"/>
      <c r="AC1871" s="481">
        <v>0</v>
      </c>
      <c r="AD1871" s="490"/>
      <c r="AE1871" s="482"/>
      <c r="AF1871" s="493">
        <f t="shared" si="302"/>
        <v>337920</v>
      </c>
      <c r="AG1871" s="474" t="s">
        <v>1071</v>
      </c>
      <c r="AH1871" s="474"/>
      <c r="AI1871" s="474">
        <v>60</v>
      </c>
      <c r="AJ1871" s="474" t="s">
        <v>3748</v>
      </c>
      <c r="AK1871" s="474" t="s">
        <v>1138</v>
      </c>
      <c r="AL1871" s="494" t="s">
        <v>3749</v>
      </c>
      <c r="AM1871" s="474" t="s">
        <v>52</v>
      </c>
      <c r="AN1871" s="474" t="s">
        <v>1106</v>
      </c>
      <c r="AO1871" s="474"/>
      <c r="AP1871" s="482"/>
      <c r="AQ1871" s="482" t="s">
        <v>37</v>
      </c>
      <c r="AR1871" s="474" t="s">
        <v>3897</v>
      </c>
      <c r="AS1871" s="436" t="s">
        <v>1076</v>
      </c>
      <c r="AT1871" s="281" t="s">
        <v>1076</v>
      </c>
      <c r="AU1871" s="472">
        <v>0.51</v>
      </c>
      <c r="AV1871" s="471">
        <f t="shared" si="303"/>
        <v>49405140</v>
      </c>
      <c r="AW1871" s="471" cm="1">
        <f t="array" ref="AW1871">SUM(MID(0&amp;AV1871,LARGE(INDEX(ISNUMBER(--MID(AV1871,ROW($1:$8),1))*ROW($1:$8),),ROW($1:$8))+1,1)*10^ROW($1:$8)/10)</f>
        <v>49405140</v>
      </c>
      <c r="AX1871" s="471" t="str">
        <f>VLOOKUP($AW1871,'Item Master Data'!$A:$F,3,FALSE)</f>
        <v>Q.PEAK DUO BLK ML G10+</v>
      </c>
      <c r="AY1871" s="471">
        <f>VLOOKUP($AW1871,'Item Master Data'!$A:$F,6,FALSE)</f>
        <v>400</v>
      </c>
      <c r="AZ1871" s="471">
        <f t="shared" si="304"/>
        <v>48</v>
      </c>
      <c r="BA1871" s="471">
        <f>VLOOKUP(AW1871,'Item Master Data'!$A:$G,7,FALSE)</f>
        <v>32</v>
      </c>
      <c r="BC1871" s="471">
        <f t="shared" si="305"/>
        <v>0</v>
      </c>
    </row>
    <row r="1872" spans="1:55" s="471" customFormat="1">
      <c r="A1872" s="278"/>
      <c r="B1872" s="279"/>
      <c r="C1872" s="279"/>
      <c r="D1872" s="394" t="s">
        <v>3678</v>
      </c>
      <c r="E1872" s="280" t="s">
        <v>5782</v>
      </c>
      <c r="F1872" s="474"/>
      <c r="G1872" s="474">
        <v>2022</v>
      </c>
      <c r="H1872" s="474">
        <v>4</v>
      </c>
      <c r="I1872" s="485" t="s">
        <v>3023</v>
      </c>
      <c r="J1872" s="475">
        <v>44676</v>
      </c>
      <c r="K1872" s="474" t="s">
        <v>3898</v>
      </c>
      <c r="L1872" s="474" t="s">
        <v>3747</v>
      </c>
      <c r="M1872" s="475">
        <v>44512</v>
      </c>
      <c r="N1872" s="475">
        <v>44593</v>
      </c>
      <c r="O1872" s="475"/>
      <c r="P1872" s="475">
        <v>44628</v>
      </c>
      <c r="Q1872" s="475">
        <v>44655</v>
      </c>
      <c r="R1872" s="475">
        <v>44658</v>
      </c>
      <c r="S1872" s="474" t="s">
        <v>1102</v>
      </c>
      <c r="T1872" s="474">
        <v>60</v>
      </c>
      <c r="U1872" s="474">
        <v>49202132</v>
      </c>
      <c r="V1872" s="474" t="s">
        <v>1223</v>
      </c>
      <c r="W1872" s="476">
        <v>360</v>
      </c>
      <c r="X1872" s="402">
        <v>260</v>
      </c>
      <c r="Y1872" s="477">
        <f t="shared" si="301"/>
        <v>93600</v>
      </c>
      <c r="Z1872" s="478">
        <v>0.76</v>
      </c>
      <c r="AA1872" s="479">
        <f t="shared" si="307"/>
        <v>71136</v>
      </c>
      <c r="AB1872" s="480"/>
      <c r="AC1872" s="481">
        <v>0</v>
      </c>
      <c r="AD1872" s="490"/>
      <c r="AE1872" s="482"/>
      <c r="AF1872" s="493">
        <f t="shared" si="302"/>
        <v>71136</v>
      </c>
      <c r="AG1872" s="474" t="s">
        <v>1071</v>
      </c>
      <c r="AH1872" s="474"/>
      <c r="AI1872" s="474">
        <v>60</v>
      </c>
      <c r="AJ1872" s="474" t="s">
        <v>3748</v>
      </c>
      <c r="AK1872" s="474" t="s">
        <v>1138</v>
      </c>
      <c r="AL1872" s="494" t="s">
        <v>3749</v>
      </c>
      <c r="AM1872" s="474" t="s">
        <v>52</v>
      </c>
      <c r="AN1872" s="474" t="s">
        <v>1106</v>
      </c>
      <c r="AO1872" s="474"/>
      <c r="AP1872" s="482"/>
      <c r="AQ1872" s="482" t="s">
        <v>37</v>
      </c>
      <c r="AR1872" s="474"/>
      <c r="AS1872" s="436" t="s">
        <v>1076</v>
      </c>
      <c r="AT1872" s="281" t="s">
        <v>1076</v>
      </c>
      <c r="AU1872" s="472"/>
      <c r="AV1872" s="471">
        <f t="shared" si="303"/>
        <v>49202132</v>
      </c>
      <c r="AW1872" s="471" cm="1">
        <f t="array" ref="AW1872">SUM(MID(0&amp;AV1872,LARGE(INDEX(ISNUMBER(--MID(AV1872,ROW($1:$8),1))*ROW($1:$8),),ROW($1:$8))+1,1)*10^ROW($1:$8)/10)</f>
        <v>49202132</v>
      </c>
      <c r="AX1872" s="471" t="str">
        <f>VLOOKUP($AW1872,'Item Master Data'!$A:$F,3,FALSE)</f>
        <v>Q.PEAK DUO BLK G10+/AC</v>
      </c>
      <c r="AY1872" s="471">
        <f>VLOOKUP($AW1872,'Item Master Data'!$A:$F,6,FALSE)</f>
        <v>360</v>
      </c>
      <c r="AZ1872" s="471">
        <f t="shared" si="304"/>
        <v>10</v>
      </c>
      <c r="BA1872" s="471">
        <f>VLOOKUP(AW1872,'Item Master Data'!$A:$G,7,FALSE)</f>
        <v>26</v>
      </c>
      <c r="BC1872" s="471">
        <f t="shared" si="305"/>
        <v>0</v>
      </c>
    </row>
    <row r="1873" spans="1:55" s="471" customFormat="1">
      <c r="A1873" s="278"/>
      <c r="B1873" s="279"/>
      <c r="C1873" s="279"/>
      <c r="D1873" s="394" t="s">
        <v>3678</v>
      </c>
      <c r="E1873" s="280" t="s">
        <v>5610</v>
      </c>
      <c r="F1873" s="474"/>
      <c r="G1873" s="474">
        <v>2022</v>
      </c>
      <c r="H1873" s="474">
        <v>4</v>
      </c>
      <c r="I1873" s="485" t="s">
        <v>3023</v>
      </c>
      <c r="J1873" s="475">
        <v>44655</v>
      </c>
      <c r="K1873" s="474" t="s">
        <v>3898</v>
      </c>
      <c r="L1873" s="474" t="s">
        <v>3747</v>
      </c>
      <c r="M1873" s="475">
        <v>44512</v>
      </c>
      <c r="N1873" s="475">
        <v>44593</v>
      </c>
      <c r="O1873" s="475"/>
      <c r="P1873" s="475">
        <v>44673</v>
      </c>
      <c r="Q1873" s="475">
        <v>44655</v>
      </c>
      <c r="R1873" s="475">
        <v>44658</v>
      </c>
      <c r="S1873" s="474" t="s">
        <v>1102</v>
      </c>
      <c r="T1873" s="474">
        <v>60</v>
      </c>
      <c r="U1873" s="474">
        <v>49203132</v>
      </c>
      <c r="V1873" s="474" t="s">
        <v>986</v>
      </c>
      <c r="W1873" s="476">
        <v>360</v>
      </c>
      <c r="X1873" s="402">
        <v>512</v>
      </c>
      <c r="Y1873" s="491">
        <f t="shared" si="301"/>
        <v>184320</v>
      </c>
      <c r="Z1873" s="478">
        <v>0.53</v>
      </c>
      <c r="AA1873" s="492">
        <f t="shared" si="307"/>
        <v>97689.600000000006</v>
      </c>
      <c r="AB1873" s="480"/>
      <c r="AC1873" s="481">
        <v>0</v>
      </c>
      <c r="AD1873" s="490"/>
      <c r="AE1873" s="482"/>
      <c r="AF1873" s="493">
        <f t="shared" si="302"/>
        <v>97689.600000000006</v>
      </c>
      <c r="AG1873" s="474" t="s">
        <v>1071</v>
      </c>
      <c r="AH1873" s="474"/>
      <c r="AI1873" s="474">
        <v>60</v>
      </c>
      <c r="AJ1873" s="474" t="s">
        <v>3748</v>
      </c>
      <c r="AK1873" s="474" t="s">
        <v>1138</v>
      </c>
      <c r="AL1873" s="494" t="s">
        <v>3749</v>
      </c>
      <c r="AM1873" s="474" t="s">
        <v>52</v>
      </c>
      <c r="AN1873" s="474" t="s">
        <v>1106</v>
      </c>
      <c r="AO1873" s="474"/>
      <c r="AP1873" s="482"/>
      <c r="AQ1873" s="482" t="s">
        <v>37</v>
      </c>
      <c r="AR1873" s="474"/>
      <c r="AS1873" s="436" t="s">
        <v>1076</v>
      </c>
      <c r="AT1873" s="281" t="s">
        <v>1076</v>
      </c>
      <c r="AU1873" s="472"/>
      <c r="AV1873" s="471">
        <f t="shared" si="303"/>
        <v>49203132</v>
      </c>
      <c r="AW1873" s="471" cm="1">
        <f t="array" ref="AW1873">SUM(MID(0&amp;AV1873,LARGE(INDEX(ISNUMBER(--MID(AV1873,ROW($1:$8),1))*ROW($1:$8),),ROW($1:$8))+1,1)*10^ROW($1:$8)/10)</f>
        <v>49203132</v>
      </c>
      <c r="AX1873" s="471" t="str">
        <f>VLOOKUP($AW1873,'Item Master Data'!$A:$F,3,FALSE)</f>
        <v>Q.PEAK DUO BLK G10+</v>
      </c>
      <c r="AY1873" s="471">
        <f>VLOOKUP($AW1873,'Item Master Data'!$A:$F,6,FALSE)</f>
        <v>360</v>
      </c>
      <c r="AZ1873" s="471">
        <f t="shared" si="304"/>
        <v>16</v>
      </c>
      <c r="BA1873" s="471">
        <f>VLOOKUP(AW1873,'Item Master Data'!$A:$G,7,FALSE)</f>
        <v>32</v>
      </c>
      <c r="BC1873" s="471">
        <f t="shared" si="305"/>
        <v>0</v>
      </c>
    </row>
    <row r="1874" spans="1:55" s="471" customFormat="1">
      <c r="A1874" s="278"/>
      <c r="B1874" s="279"/>
      <c r="C1874" s="279"/>
      <c r="D1874" s="394" t="s">
        <v>3678</v>
      </c>
      <c r="E1874" s="280" t="s">
        <v>5412</v>
      </c>
      <c r="F1874" s="474" t="s">
        <v>1147</v>
      </c>
      <c r="G1874" s="474">
        <v>2022</v>
      </c>
      <c r="H1874" s="474">
        <v>4</v>
      </c>
      <c r="I1874" s="485" t="s">
        <v>3023</v>
      </c>
      <c r="J1874" s="475">
        <v>44656</v>
      </c>
      <c r="K1874" s="474" t="s">
        <v>3900</v>
      </c>
      <c r="L1874" s="474" t="s">
        <v>1368</v>
      </c>
      <c r="M1874" s="475">
        <v>44532</v>
      </c>
      <c r="N1874" s="475">
        <v>44621</v>
      </c>
      <c r="O1874" s="475"/>
      <c r="P1874" s="475">
        <v>44652</v>
      </c>
      <c r="Q1874" s="475">
        <v>44656</v>
      </c>
      <c r="R1874" s="475">
        <v>44658</v>
      </c>
      <c r="S1874" s="474" t="s">
        <v>1102</v>
      </c>
      <c r="T1874" s="474">
        <v>60</v>
      </c>
      <c r="U1874" s="474">
        <v>49201132</v>
      </c>
      <c r="V1874" s="474" t="s">
        <v>986</v>
      </c>
      <c r="W1874" s="476">
        <v>360</v>
      </c>
      <c r="X1874" s="402">
        <v>832</v>
      </c>
      <c r="Y1874" s="491">
        <f t="shared" si="301"/>
        <v>299520</v>
      </c>
      <c r="Z1874" s="478">
        <v>0.53</v>
      </c>
      <c r="AA1874" s="492">
        <f t="shared" si="307"/>
        <v>158745.60000000001</v>
      </c>
      <c r="AB1874" s="480"/>
      <c r="AC1874" s="481">
        <v>0</v>
      </c>
      <c r="AD1874" s="490"/>
      <c r="AE1874" s="482"/>
      <c r="AF1874" s="493">
        <f t="shared" si="302"/>
        <v>158745.60000000001</v>
      </c>
      <c r="AG1874" s="474" t="s">
        <v>1071</v>
      </c>
      <c r="AH1874" s="474"/>
      <c r="AI1874" s="474">
        <v>60</v>
      </c>
      <c r="AJ1874" s="474" t="s">
        <v>1369</v>
      </c>
      <c r="AK1874" s="474" t="s">
        <v>1370</v>
      </c>
      <c r="AL1874" s="494">
        <v>5401</v>
      </c>
      <c r="AM1874" s="474" t="s">
        <v>52</v>
      </c>
      <c r="AN1874" s="474" t="s">
        <v>1074</v>
      </c>
      <c r="AO1874" s="474"/>
      <c r="AP1874" s="482"/>
      <c r="AQ1874" s="482" t="s">
        <v>37</v>
      </c>
      <c r="AR1874" s="474"/>
      <c r="AS1874" s="436"/>
      <c r="AT1874" s="281"/>
      <c r="AU1874" s="472"/>
      <c r="AV1874" s="471">
        <f t="shared" si="303"/>
        <v>49201132</v>
      </c>
      <c r="AW1874" s="471" cm="1">
        <f t="array" ref="AW1874">SUM(MID(0&amp;AV1874,LARGE(INDEX(ISNUMBER(--MID(AV1874,ROW($1:$8),1))*ROW($1:$8),),ROW($1:$8))+1,1)*10^ROW($1:$8)/10)</f>
        <v>49201132</v>
      </c>
      <c r="AX1874" s="471" t="str">
        <f>VLOOKUP($AW1874,'Item Master Data'!$A:$F,3,FALSE)</f>
        <v>Q.PEAK DUO BLK G10+</v>
      </c>
      <c r="AY1874" s="471">
        <f>VLOOKUP($AW1874,'Item Master Data'!$A:$F,6,FALSE)</f>
        <v>360</v>
      </c>
      <c r="AZ1874" s="471">
        <f t="shared" si="304"/>
        <v>26</v>
      </c>
      <c r="BA1874" s="471">
        <f>VLOOKUP(AW1874,'Item Master Data'!$A:$G,7,FALSE)</f>
        <v>32</v>
      </c>
      <c r="BC1874" s="471">
        <f t="shared" si="305"/>
        <v>0</v>
      </c>
    </row>
    <row r="1875" spans="1:55" s="471" customFormat="1">
      <c r="A1875" s="278"/>
      <c r="B1875" s="279"/>
      <c r="C1875" s="279"/>
      <c r="D1875" s="394" t="s">
        <v>3678</v>
      </c>
      <c r="E1875" s="280" t="s">
        <v>5783</v>
      </c>
      <c r="F1875" s="474"/>
      <c r="G1875" s="474">
        <v>2022</v>
      </c>
      <c r="H1875" s="474">
        <v>4</v>
      </c>
      <c r="I1875" s="485" t="s">
        <v>3023</v>
      </c>
      <c r="J1875" s="475">
        <v>44655</v>
      </c>
      <c r="K1875" s="474" t="s">
        <v>3902</v>
      </c>
      <c r="L1875" s="474" t="s">
        <v>1373</v>
      </c>
      <c r="M1875" s="475">
        <v>44517</v>
      </c>
      <c r="N1875" s="475">
        <v>44517</v>
      </c>
      <c r="O1875" s="475"/>
      <c r="P1875" s="475">
        <v>44630</v>
      </c>
      <c r="Q1875" s="475">
        <v>44655</v>
      </c>
      <c r="R1875" s="475">
        <v>44656</v>
      </c>
      <c r="S1875" s="474" t="s">
        <v>1102</v>
      </c>
      <c r="T1875" s="474">
        <v>60</v>
      </c>
      <c r="U1875" s="474">
        <v>49202132</v>
      </c>
      <c r="V1875" s="474" t="s">
        <v>1223</v>
      </c>
      <c r="W1875" s="476">
        <v>360</v>
      </c>
      <c r="X1875" s="402">
        <v>728</v>
      </c>
      <c r="Y1875" s="491">
        <f t="shared" si="301"/>
        <v>262080</v>
      </c>
      <c r="Z1875" s="478">
        <v>0.83</v>
      </c>
      <c r="AA1875" s="583">
        <f t="shared" si="307"/>
        <v>217526.39999999999</v>
      </c>
      <c r="AB1875" s="480"/>
      <c r="AC1875" s="481">
        <f t="shared" ref="AC1875:AC1884" si="308">AB1875*Y1875</f>
        <v>0</v>
      </c>
      <c r="AD1875" s="490"/>
      <c r="AE1875" s="482"/>
      <c r="AF1875" s="493">
        <f t="shared" si="302"/>
        <v>217526.39999999999</v>
      </c>
      <c r="AG1875" s="474" t="s">
        <v>1071</v>
      </c>
      <c r="AH1875" s="474">
        <v>0</v>
      </c>
      <c r="AI1875" s="474">
        <v>60</v>
      </c>
      <c r="AJ1875" s="474" t="s">
        <v>1374</v>
      </c>
      <c r="AK1875" s="474" t="s">
        <v>1375</v>
      </c>
      <c r="AL1875" s="494" t="s">
        <v>3760</v>
      </c>
      <c r="AM1875" s="474" t="s">
        <v>52</v>
      </c>
      <c r="AN1875" s="474" t="s">
        <v>1074</v>
      </c>
      <c r="AO1875" s="474"/>
      <c r="AP1875" s="482"/>
      <c r="AQ1875" s="482" t="s">
        <v>1086</v>
      </c>
      <c r="AR1875" s="474"/>
      <c r="AS1875" s="436" t="s">
        <v>1087</v>
      </c>
      <c r="AT1875" s="281" t="s">
        <v>1076</v>
      </c>
      <c r="AU1875" s="472"/>
      <c r="AV1875" s="471">
        <f t="shared" si="303"/>
        <v>49202132</v>
      </c>
      <c r="AW1875" s="471" cm="1">
        <f t="array" ref="AW1875">SUM(MID(0&amp;AV1875,LARGE(INDEX(ISNUMBER(--MID(AV1875,ROW($1:$8),1))*ROW($1:$8),),ROW($1:$8))+1,1)*10^ROW($1:$8)/10)</f>
        <v>49202132</v>
      </c>
      <c r="AX1875" s="471" t="str">
        <f>VLOOKUP($AW1875,'Item Master Data'!$A:$F,3,FALSE)</f>
        <v>Q.PEAK DUO BLK G10+/AC</v>
      </c>
      <c r="AY1875" s="471">
        <f>VLOOKUP($AW1875,'Item Master Data'!$A:$F,6,FALSE)</f>
        <v>360</v>
      </c>
      <c r="AZ1875" s="471">
        <f t="shared" si="304"/>
        <v>28</v>
      </c>
      <c r="BA1875" s="471">
        <f>VLOOKUP(AW1875,'Item Master Data'!$A:$G,7,FALSE)</f>
        <v>26</v>
      </c>
      <c r="BC1875" s="471">
        <f t="shared" si="305"/>
        <v>0</v>
      </c>
    </row>
    <row r="1876" spans="1:55" s="471" customFormat="1">
      <c r="A1876" s="278"/>
      <c r="B1876" s="279"/>
      <c r="C1876" s="279"/>
      <c r="D1876" s="394" t="s">
        <v>3678</v>
      </c>
      <c r="E1876" s="280" t="s">
        <v>5616</v>
      </c>
      <c r="F1876" s="474" t="s">
        <v>1147</v>
      </c>
      <c r="G1876" s="474">
        <v>2022</v>
      </c>
      <c r="H1876" s="474">
        <v>4</v>
      </c>
      <c r="I1876" s="485" t="s">
        <v>3023</v>
      </c>
      <c r="J1876" s="475">
        <v>44673</v>
      </c>
      <c r="K1876" s="474" t="s">
        <v>5241</v>
      </c>
      <c r="L1876" s="474" t="s">
        <v>3792</v>
      </c>
      <c r="M1876" s="475">
        <v>44657</v>
      </c>
      <c r="N1876" s="475">
        <v>44655</v>
      </c>
      <c r="O1876" s="475"/>
      <c r="P1876" s="475">
        <v>44666</v>
      </c>
      <c r="Q1876" s="475">
        <v>44672</v>
      </c>
      <c r="R1876" s="475">
        <v>44673</v>
      </c>
      <c r="S1876" s="474" t="s">
        <v>1102</v>
      </c>
      <c r="T1876" s="474">
        <v>60</v>
      </c>
      <c r="U1876" s="474">
        <v>49203132</v>
      </c>
      <c r="V1876" s="474" t="s">
        <v>986</v>
      </c>
      <c r="W1876" s="476">
        <v>360</v>
      </c>
      <c r="X1876" s="402">
        <v>768</v>
      </c>
      <c r="Y1876" s="491">
        <f t="shared" si="301"/>
        <v>276480</v>
      </c>
      <c r="Z1876" s="478">
        <v>0.5</v>
      </c>
      <c r="AA1876" s="479">
        <f t="shared" si="307"/>
        <v>138240</v>
      </c>
      <c r="AB1876" s="480"/>
      <c r="AC1876" s="481">
        <f t="shared" si="308"/>
        <v>0</v>
      </c>
      <c r="AD1876" s="490"/>
      <c r="AE1876" s="482"/>
      <c r="AF1876" s="493">
        <f t="shared" si="302"/>
        <v>138240</v>
      </c>
      <c r="AG1876" s="474" t="s">
        <v>47</v>
      </c>
      <c r="AH1876" s="474">
        <v>10</v>
      </c>
      <c r="AI1876" s="474">
        <v>30</v>
      </c>
      <c r="AJ1876" s="474" t="s">
        <v>3793</v>
      </c>
      <c r="AK1876" s="474" t="s">
        <v>1085</v>
      </c>
      <c r="AL1876" s="494" t="s">
        <v>4016</v>
      </c>
      <c r="AM1876" s="474" t="s">
        <v>52</v>
      </c>
      <c r="AN1876" s="474" t="s">
        <v>1074</v>
      </c>
      <c r="AO1876" s="474"/>
      <c r="AP1876" s="482"/>
      <c r="AQ1876" s="482"/>
      <c r="AR1876" s="474"/>
      <c r="AS1876" s="436"/>
      <c r="AT1876" s="281"/>
      <c r="AU1876" s="472"/>
      <c r="AV1876" s="471">
        <f t="shared" si="303"/>
        <v>49203132</v>
      </c>
      <c r="AW1876" s="471" cm="1">
        <f t="array" ref="AW1876">SUM(MID(0&amp;AV1876,LARGE(INDEX(ISNUMBER(--MID(AV1876,ROW($1:$8),1))*ROW($1:$8),),ROW($1:$8))+1,1)*10^ROW($1:$8)/10)</f>
        <v>49203132</v>
      </c>
      <c r="AX1876" s="471" t="str">
        <f>VLOOKUP($AW1876,'Item Master Data'!$A:$F,3,FALSE)</f>
        <v>Q.PEAK DUO BLK G10+</v>
      </c>
      <c r="AY1876" s="471">
        <f>VLOOKUP($AW1876,'Item Master Data'!$A:$F,6,FALSE)</f>
        <v>360</v>
      </c>
      <c r="AZ1876" s="471">
        <f t="shared" si="304"/>
        <v>24</v>
      </c>
      <c r="BA1876" s="471">
        <f>VLOOKUP(AW1876,'Item Master Data'!$A:$G,7,FALSE)</f>
        <v>32</v>
      </c>
      <c r="BC1876" s="471">
        <f t="shared" si="305"/>
        <v>0</v>
      </c>
    </row>
    <row r="1877" spans="1:55" s="471" customFormat="1">
      <c r="A1877" s="278"/>
      <c r="B1877" s="279"/>
      <c r="C1877" s="279"/>
      <c r="D1877" s="394" t="s">
        <v>3678</v>
      </c>
      <c r="E1877" s="288" t="s">
        <v>5784</v>
      </c>
      <c r="F1877" s="474"/>
      <c r="G1877" s="474">
        <v>2022</v>
      </c>
      <c r="H1877" s="474">
        <v>4</v>
      </c>
      <c r="I1877" s="485" t="s">
        <v>3023</v>
      </c>
      <c r="J1877" s="475">
        <v>44662</v>
      </c>
      <c r="K1877" s="474" t="s">
        <v>3950</v>
      </c>
      <c r="L1877" s="475" t="s">
        <v>3796</v>
      </c>
      <c r="M1877" s="475">
        <v>44641</v>
      </c>
      <c r="N1877" s="475">
        <v>44641</v>
      </c>
      <c r="O1877" s="475"/>
      <c r="P1877" s="475">
        <v>44656</v>
      </c>
      <c r="Q1877" s="475">
        <v>44662</v>
      </c>
      <c r="R1877" s="475">
        <v>44664</v>
      </c>
      <c r="S1877" s="474" t="s">
        <v>1102</v>
      </c>
      <c r="T1877" s="474">
        <v>60</v>
      </c>
      <c r="U1877" s="474">
        <v>49405140</v>
      </c>
      <c r="V1877" s="474" t="s">
        <v>973</v>
      </c>
      <c r="W1877" s="474">
        <v>400</v>
      </c>
      <c r="X1877" s="402">
        <v>832</v>
      </c>
      <c r="Y1877" s="477">
        <f t="shared" si="301"/>
        <v>332800</v>
      </c>
      <c r="Z1877" s="478">
        <v>0.48499999999999999</v>
      </c>
      <c r="AA1877" s="479">
        <f t="shared" ref="AA1877:AA1884" si="309">Z1877*Y1877</f>
        <v>161408</v>
      </c>
      <c r="AB1877" s="480"/>
      <c r="AC1877" s="481">
        <f t="shared" si="308"/>
        <v>0</v>
      </c>
      <c r="AD1877" s="490"/>
      <c r="AE1877" s="482"/>
      <c r="AF1877" s="493">
        <f t="shared" si="302"/>
        <v>161408</v>
      </c>
      <c r="AG1877" s="474" t="s">
        <v>1071</v>
      </c>
      <c r="AH1877" s="474"/>
      <c r="AI1877" s="474">
        <v>60</v>
      </c>
      <c r="AJ1877" s="474" t="s">
        <v>3804</v>
      </c>
      <c r="AK1877" s="474" t="s">
        <v>1085</v>
      </c>
      <c r="AL1877" s="494">
        <v>7719</v>
      </c>
      <c r="AM1877" s="474" t="s">
        <v>52</v>
      </c>
      <c r="AN1877" s="474" t="s">
        <v>1106</v>
      </c>
      <c r="AO1877" s="474"/>
      <c r="AP1877" s="482"/>
      <c r="AQ1877" s="482" t="s">
        <v>37</v>
      </c>
      <c r="AR1877" s="474"/>
      <c r="AS1877" s="436" t="s">
        <v>1076</v>
      </c>
      <c r="AT1877" s="281" t="s">
        <v>1076</v>
      </c>
      <c r="AU1877" s="472"/>
      <c r="AV1877" s="471">
        <f t="shared" si="303"/>
        <v>49405140</v>
      </c>
      <c r="AW1877" s="471" cm="1">
        <f t="array" ref="AW1877">SUM(MID(0&amp;AV1877,LARGE(INDEX(ISNUMBER(--MID(AV1877,ROW($1:$8),1))*ROW($1:$8),),ROW($1:$8))+1,1)*10^ROW($1:$8)/10)</f>
        <v>49405140</v>
      </c>
      <c r="AX1877" s="471" t="str">
        <f>VLOOKUP($AW1877,'Item Master Data'!$A:$F,3,FALSE)</f>
        <v>Q.PEAK DUO BLK ML G10+</v>
      </c>
      <c r="AY1877" s="471">
        <f>VLOOKUP($AW1877,'Item Master Data'!$A:$F,6,FALSE)</f>
        <v>400</v>
      </c>
      <c r="AZ1877" s="471">
        <f t="shared" si="304"/>
        <v>26</v>
      </c>
      <c r="BA1877" s="471">
        <f>VLOOKUP(AW1877,'Item Master Data'!$A:$G,7,FALSE)</f>
        <v>32</v>
      </c>
      <c r="BC1877" s="471">
        <f t="shared" si="305"/>
        <v>0</v>
      </c>
    </row>
    <row r="1878" spans="1:55" s="471" customFormat="1">
      <c r="A1878" s="278"/>
      <c r="B1878" s="279"/>
      <c r="C1878" s="279"/>
      <c r="D1878" s="394" t="s">
        <v>3678</v>
      </c>
      <c r="E1878" s="280" t="s">
        <v>5785</v>
      </c>
      <c r="F1878" s="474"/>
      <c r="G1878" s="474">
        <v>2022</v>
      </c>
      <c r="H1878" s="474">
        <v>4</v>
      </c>
      <c r="I1878" s="485" t="s">
        <v>5389</v>
      </c>
      <c r="J1878" s="475"/>
      <c r="K1878" s="474" t="s">
        <v>3857</v>
      </c>
      <c r="L1878" s="475" t="s">
        <v>3697</v>
      </c>
      <c r="M1878" s="475">
        <v>44614</v>
      </c>
      <c r="N1878" s="475">
        <v>44614</v>
      </c>
      <c r="O1878" s="475"/>
      <c r="P1878" s="475">
        <v>44652</v>
      </c>
      <c r="Q1878" s="475">
        <v>44657</v>
      </c>
      <c r="R1878" s="475">
        <v>44662</v>
      </c>
      <c r="S1878" s="474" t="s">
        <v>1102</v>
      </c>
      <c r="T1878" s="474">
        <v>60</v>
      </c>
      <c r="U1878" s="474">
        <v>49203132</v>
      </c>
      <c r="V1878" s="474" t="s">
        <v>986</v>
      </c>
      <c r="W1878" s="476">
        <v>360</v>
      </c>
      <c r="X1878" s="402">
        <v>704</v>
      </c>
      <c r="Y1878" s="477">
        <f t="shared" si="301"/>
        <v>253440</v>
      </c>
      <c r="Z1878" s="478">
        <v>0.47</v>
      </c>
      <c r="AA1878" s="479">
        <f t="shared" si="309"/>
        <v>119116.79999999999</v>
      </c>
      <c r="AB1878" s="480"/>
      <c r="AC1878" s="481">
        <f t="shared" si="308"/>
        <v>0</v>
      </c>
      <c r="AD1878" s="490"/>
      <c r="AE1878" s="482"/>
      <c r="AF1878" s="493">
        <f t="shared" si="302"/>
        <v>119116.79999999999</v>
      </c>
      <c r="AG1878" s="474" t="s">
        <v>47</v>
      </c>
      <c r="AH1878" s="474"/>
      <c r="AI1878" s="474">
        <v>45</v>
      </c>
      <c r="AJ1878" s="474" t="s">
        <v>1950</v>
      </c>
      <c r="AK1878" s="474" t="s">
        <v>50</v>
      </c>
      <c r="AL1878" s="494">
        <v>91761</v>
      </c>
      <c r="AM1878" s="474" t="s">
        <v>52</v>
      </c>
      <c r="AN1878" s="474" t="s">
        <v>1106</v>
      </c>
      <c r="AO1878" s="474"/>
      <c r="AP1878" s="482"/>
      <c r="AQ1878" s="482" t="s">
        <v>37</v>
      </c>
      <c r="AR1878" s="474"/>
      <c r="AS1878" s="436" t="s">
        <v>1076</v>
      </c>
      <c r="AT1878" s="281" t="s">
        <v>1076</v>
      </c>
      <c r="AU1878" s="472"/>
      <c r="AV1878" s="471">
        <f t="shared" si="303"/>
        <v>49203132</v>
      </c>
      <c r="AW1878" s="471" cm="1">
        <f t="array" ref="AW1878">SUM(MID(0&amp;AV1878,LARGE(INDEX(ISNUMBER(--MID(AV1878,ROW($1:$8),1))*ROW($1:$8),),ROW($1:$8))+1,1)*10^ROW($1:$8)/10)</f>
        <v>49203132</v>
      </c>
      <c r="AX1878" s="471" t="str">
        <f>VLOOKUP($AW1878,'Item Master Data'!$A:$F,3,FALSE)</f>
        <v>Q.PEAK DUO BLK G10+</v>
      </c>
      <c r="AY1878" s="471">
        <f>VLOOKUP($AW1878,'Item Master Data'!$A:$F,6,FALSE)</f>
        <v>360</v>
      </c>
      <c r="AZ1878" s="471">
        <f t="shared" si="304"/>
        <v>22</v>
      </c>
      <c r="BA1878" s="471">
        <f>VLOOKUP(AW1878,'Item Master Data'!$A:$G,7,FALSE)</f>
        <v>32</v>
      </c>
      <c r="BC1878" s="471">
        <f t="shared" si="305"/>
        <v>0</v>
      </c>
    </row>
    <row r="1879" spans="1:55" s="471" customFormat="1">
      <c r="A1879" s="278"/>
      <c r="B1879" s="279"/>
      <c r="C1879" s="279"/>
      <c r="D1879" s="394" t="s">
        <v>3678</v>
      </c>
      <c r="E1879" s="288" t="s">
        <v>5786</v>
      </c>
      <c r="F1879" s="474"/>
      <c r="G1879" s="474">
        <v>2022</v>
      </c>
      <c r="H1879" s="474">
        <v>4</v>
      </c>
      <c r="I1879" s="485" t="s">
        <v>3023</v>
      </c>
      <c r="J1879" s="475">
        <v>44658</v>
      </c>
      <c r="K1879" s="474" t="s">
        <v>3951</v>
      </c>
      <c r="L1879" s="475" t="s">
        <v>3796</v>
      </c>
      <c r="M1879" s="475">
        <v>44641</v>
      </c>
      <c r="N1879" s="475">
        <v>44641</v>
      </c>
      <c r="O1879" s="475"/>
      <c r="P1879" s="475">
        <v>44656</v>
      </c>
      <c r="Q1879" s="475">
        <v>44658</v>
      </c>
      <c r="R1879" s="475">
        <v>44662</v>
      </c>
      <c r="S1879" s="474" t="s">
        <v>1102</v>
      </c>
      <c r="T1879" s="474">
        <v>60</v>
      </c>
      <c r="U1879" s="474">
        <v>49405140</v>
      </c>
      <c r="V1879" s="474" t="s">
        <v>973</v>
      </c>
      <c r="W1879" s="474">
        <v>400</v>
      </c>
      <c r="X1879" s="402">
        <v>832</v>
      </c>
      <c r="Y1879" s="477">
        <f t="shared" si="301"/>
        <v>332800</v>
      </c>
      <c r="Z1879" s="478">
        <v>0.48499999999999999</v>
      </c>
      <c r="AA1879" s="479">
        <f t="shared" si="309"/>
        <v>161408</v>
      </c>
      <c r="AB1879" s="480"/>
      <c r="AC1879" s="481">
        <f t="shared" si="308"/>
        <v>0</v>
      </c>
      <c r="AD1879" s="490"/>
      <c r="AE1879" s="482"/>
      <c r="AF1879" s="493">
        <f t="shared" si="302"/>
        <v>161408</v>
      </c>
      <c r="AG1879" s="474" t="s">
        <v>1071</v>
      </c>
      <c r="AH1879" s="474"/>
      <c r="AI1879" s="474">
        <v>60</v>
      </c>
      <c r="AJ1879" s="474" t="s">
        <v>3807</v>
      </c>
      <c r="AK1879" s="474" t="s">
        <v>1347</v>
      </c>
      <c r="AL1879" s="494">
        <v>19605</v>
      </c>
      <c r="AM1879" s="474" t="s">
        <v>52</v>
      </c>
      <c r="AN1879" s="474" t="s">
        <v>1106</v>
      </c>
      <c r="AO1879" s="474"/>
      <c r="AP1879" s="482"/>
      <c r="AQ1879" s="482" t="s">
        <v>37</v>
      </c>
      <c r="AR1879" s="474"/>
      <c r="AS1879" s="436" t="s">
        <v>1076</v>
      </c>
      <c r="AT1879" s="281" t="s">
        <v>1076</v>
      </c>
      <c r="AU1879" s="472"/>
      <c r="AV1879" s="471">
        <f t="shared" si="303"/>
        <v>49405140</v>
      </c>
      <c r="AW1879" s="471" cm="1">
        <f t="array" ref="AW1879">SUM(MID(0&amp;AV1879,LARGE(INDEX(ISNUMBER(--MID(AV1879,ROW($1:$8),1))*ROW($1:$8),),ROW($1:$8))+1,1)*10^ROW($1:$8)/10)</f>
        <v>49405140</v>
      </c>
      <c r="AX1879" s="471" t="str">
        <f>VLOOKUP($AW1879,'Item Master Data'!$A:$F,3,FALSE)</f>
        <v>Q.PEAK DUO BLK ML G10+</v>
      </c>
      <c r="AY1879" s="471">
        <f>VLOOKUP($AW1879,'Item Master Data'!$A:$F,6,FALSE)</f>
        <v>400</v>
      </c>
      <c r="AZ1879" s="471">
        <f t="shared" si="304"/>
        <v>26</v>
      </c>
      <c r="BA1879" s="471">
        <f>VLOOKUP(AW1879,'Item Master Data'!$A:$G,7,FALSE)</f>
        <v>32</v>
      </c>
      <c r="BC1879" s="471">
        <f t="shared" si="305"/>
        <v>0</v>
      </c>
    </row>
    <row r="1880" spans="1:55" s="471" customFormat="1">
      <c r="A1880" s="278"/>
      <c r="B1880" s="279"/>
      <c r="C1880" s="279"/>
      <c r="D1880" s="394" t="s">
        <v>3678</v>
      </c>
      <c r="E1880" s="280" t="s">
        <v>5607</v>
      </c>
      <c r="F1880" s="474"/>
      <c r="G1880" s="474">
        <v>2022</v>
      </c>
      <c r="H1880" s="474">
        <v>4</v>
      </c>
      <c r="I1880" s="474"/>
      <c r="J1880" s="475"/>
      <c r="K1880" s="474" t="s">
        <v>3871</v>
      </c>
      <c r="L1880" s="475" t="s">
        <v>3697</v>
      </c>
      <c r="M1880" s="475">
        <v>44656</v>
      </c>
      <c r="N1880" s="475">
        <v>44656</v>
      </c>
      <c r="O1880" s="475"/>
      <c r="P1880" s="475">
        <v>44666</v>
      </c>
      <c r="Q1880" s="475">
        <v>44676</v>
      </c>
      <c r="R1880" s="475">
        <v>44680</v>
      </c>
      <c r="S1880" s="474" t="s">
        <v>1102</v>
      </c>
      <c r="T1880" s="474">
        <v>60</v>
      </c>
      <c r="U1880" s="474">
        <v>49203132</v>
      </c>
      <c r="V1880" s="474" t="s">
        <v>986</v>
      </c>
      <c r="W1880" s="476">
        <v>360</v>
      </c>
      <c r="X1880" s="402">
        <v>832</v>
      </c>
      <c r="Y1880" s="477">
        <f t="shared" si="301"/>
        <v>299520</v>
      </c>
      <c r="Z1880" s="478">
        <v>0.47</v>
      </c>
      <c r="AA1880" s="479">
        <f t="shared" si="309"/>
        <v>140774.39999999999</v>
      </c>
      <c r="AB1880" s="480"/>
      <c r="AC1880" s="481">
        <f t="shared" si="308"/>
        <v>0</v>
      </c>
      <c r="AD1880" s="490"/>
      <c r="AE1880" s="482"/>
      <c r="AF1880" s="493">
        <f t="shared" si="302"/>
        <v>140774.39999999999</v>
      </c>
      <c r="AG1880" s="474" t="s">
        <v>47</v>
      </c>
      <c r="AH1880" s="474"/>
      <c r="AI1880" s="474">
        <v>45</v>
      </c>
      <c r="AJ1880" s="474" t="s">
        <v>1950</v>
      </c>
      <c r="AK1880" s="474" t="s">
        <v>50</v>
      </c>
      <c r="AL1880" s="494">
        <v>91761</v>
      </c>
      <c r="AM1880" s="474" t="s">
        <v>52</v>
      </c>
      <c r="AN1880" s="474" t="s">
        <v>1106</v>
      </c>
      <c r="AO1880" s="474"/>
      <c r="AP1880" s="482"/>
      <c r="AQ1880" s="482" t="s">
        <v>37</v>
      </c>
      <c r="AR1880" s="474"/>
      <c r="AS1880" s="436" t="s">
        <v>1076</v>
      </c>
      <c r="AT1880" s="281" t="s">
        <v>1076</v>
      </c>
      <c r="AU1880" s="472"/>
      <c r="AV1880" s="471">
        <f t="shared" si="303"/>
        <v>49203132</v>
      </c>
      <c r="AW1880" s="471" cm="1">
        <f t="array" ref="AW1880">SUM(MID(0&amp;AV1880,LARGE(INDEX(ISNUMBER(--MID(AV1880,ROW($1:$8),1))*ROW($1:$8),),ROW($1:$8))+1,1)*10^ROW($1:$8)/10)</f>
        <v>49203132</v>
      </c>
      <c r="AX1880" s="471" t="str">
        <f>VLOOKUP($AW1880,'Item Master Data'!$A:$F,3,FALSE)</f>
        <v>Q.PEAK DUO BLK G10+</v>
      </c>
      <c r="AY1880" s="471">
        <f>VLOOKUP($AW1880,'Item Master Data'!$A:$F,6,FALSE)</f>
        <v>360</v>
      </c>
      <c r="AZ1880" s="471">
        <f t="shared" si="304"/>
        <v>26</v>
      </c>
      <c r="BA1880" s="471">
        <f>VLOOKUP(AW1880,'Item Master Data'!$A:$G,7,FALSE)</f>
        <v>32</v>
      </c>
      <c r="BC1880" s="471">
        <f t="shared" si="305"/>
        <v>0</v>
      </c>
    </row>
    <row r="1881" spans="1:55" s="471" customFormat="1">
      <c r="A1881" s="278"/>
      <c r="B1881" s="279"/>
      <c r="C1881" s="279"/>
      <c r="D1881" s="394" t="s">
        <v>3678</v>
      </c>
      <c r="E1881" s="280" t="s">
        <v>5776</v>
      </c>
      <c r="F1881" s="474"/>
      <c r="G1881" s="474">
        <v>2022</v>
      </c>
      <c r="H1881" s="474">
        <v>4</v>
      </c>
      <c r="I1881" s="485">
        <v>128252</v>
      </c>
      <c r="J1881" s="475">
        <v>44663</v>
      </c>
      <c r="K1881" s="474" t="s">
        <v>3852</v>
      </c>
      <c r="L1881" s="475" t="s">
        <v>3697</v>
      </c>
      <c r="M1881" s="475">
        <v>44614</v>
      </c>
      <c r="N1881" s="475">
        <v>44614</v>
      </c>
      <c r="O1881" s="475"/>
      <c r="P1881" s="475">
        <v>44652</v>
      </c>
      <c r="Q1881" s="475">
        <v>44658</v>
      </c>
      <c r="R1881" s="475">
        <v>44663</v>
      </c>
      <c r="S1881" s="474" t="s">
        <v>1102</v>
      </c>
      <c r="T1881" s="474">
        <v>60</v>
      </c>
      <c r="U1881" s="474">
        <v>49203132</v>
      </c>
      <c r="V1881" s="474" t="s">
        <v>986</v>
      </c>
      <c r="W1881" s="476">
        <v>360</v>
      </c>
      <c r="X1881" s="402">
        <v>768</v>
      </c>
      <c r="Y1881" s="477">
        <f t="shared" si="301"/>
        <v>276480</v>
      </c>
      <c r="Z1881" s="478">
        <v>0.47</v>
      </c>
      <c r="AA1881" s="479">
        <f t="shared" si="309"/>
        <v>129945.59999999999</v>
      </c>
      <c r="AB1881" s="480"/>
      <c r="AC1881" s="481">
        <f t="shared" si="308"/>
        <v>0</v>
      </c>
      <c r="AD1881" s="490"/>
      <c r="AE1881" s="482"/>
      <c r="AF1881" s="493">
        <f t="shared" si="302"/>
        <v>129945.59999999999</v>
      </c>
      <c r="AG1881" s="474" t="s">
        <v>47</v>
      </c>
      <c r="AH1881" s="474"/>
      <c r="AI1881" s="474">
        <v>45</v>
      </c>
      <c r="AJ1881" s="474" t="s">
        <v>1954</v>
      </c>
      <c r="AK1881" s="474" t="s">
        <v>50</v>
      </c>
      <c r="AL1881" s="494">
        <v>92121</v>
      </c>
      <c r="AM1881" s="474" t="s">
        <v>52</v>
      </c>
      <c r="AN1881" s="474" t="s">
        <v>1106</v>
      </c>
      <c r="AO1881" s="474"/>
      <c r="AP1881" s="482"/>
      <c r="AQ1881" s="482" t="s">
        <v>37</v>
      </c>
      <c r="AR1881" s="474"/>
      <c r="AS1881" s="436" t="s">
        <v>1076</v>
      </c>
      <c r="AT1881" s="281" t="s">
        <v>1076</v>
      </c>
      <c r="AU1881" s="472"/>
      <c r="AV1881" s="471">
        <f t="shared" si="303"/>
        <v>49203132</v>
      </c>
      <c r="AW1881" s="471" cm="1">
        <f t="array" ref="AW1881">SUM(MID(0&amp;AV1881,LARGE(INDEX(ISNUMBER(--MID(AV1881,ROW($1:$8),1))*ROW($1:$8),),ROW($1:$8))+1,1)*10^ROW($1:$8)/10)</f>
        <v>49203132</v>
      </c>
      <c r="AX1881" s="471" t="str">
        <f>VLOOKUP($AW1881,'Item Master Data'!$A:$F,3,FALSE)</f>
        <v>Q.PEAK DUO BLK G10+</v>
      </c>
      <c r="AY1881" s="471">
        <f>VLOOKUP($AW1881,'Item Master Data'!$A:$F,6,FALSE)</f>
        <v>360</v>
      </c>
      <c r="AZ1881" s="471">
        <f t="shared" si="304"/>
        <v>24</v>
      </c>
      <c r="BA1881" s="471">
        <f>VLOOKUP(AW1881,'Item Master Data'!$A:$G,7,FALSE)</f>
        <v>32</v>
      </c>
      <c r="BC1881" s="471">
        <f t="shared" si="305"/>
        <v>0</v>
      </c>
    </row>
    <row r="1882" spans="1:55" s="471" customFormat="1">
      <c r="A1882" s="278"/>
      <c r="B1882" s="279"/>
      <c r="C1882" s="279"/>
      <c r="D1882" s="394" t="s">
        <v>3678</v>
      </c>
      <c r="E1882" s="280" t="s">
        <v>5776</v>
      </c>
      <c r="F1882" s="474"/>
      <c r="G1882" s="474">
        <v>2022</v>
      </c>
      <c r="H1882" s="474">
        <v>4</v>
      </c>
      <c r="I1882" s="678" t="s">
        <v>5408</v>
      </c>
      <c r="J1882" s="475">
        <v>44676</v>
      </c>
      <c r="K1882" s="474" t="s">
        <v>3869</v>
      </c>
      <c r="L1882" s="475" t="s">
        <v>3697</v>
      </c>
      <c r="M1882" s="475">
        <v>44656</v>
      </c>
      <c r="N1882" s="475">
        <v>44656</v>
      </c>
      <c r="O1882" s="475"/>
      <c r="P1882" s="475">
        <v>44666</v>
      </c>
      <c r="Q1882" s="475">
        <v>44676</v>
      </c>
      <c r="R1882" s="475">
        <v>44676</v>
      </c>
      <c r="S1882" s="474" t="s">
        <v>1102</v>
      </c>
      <c r="T1882" s="474">
        <v>60</v>
      </c>
      <c r="U1882" s="474">
        <v>49203132</v>
      </c>
      <c r="V1882" s="474" t="s">
        <v>986</v>
      </c>
      <c r="W1882" s="476">
        <v>360</v>
      </c>
      <c r="X1882" s="402">
        <v>832</v>
      </c>
      <c r="Y1882" s="477">
        <f t="shared" si="301"/>
        <v>299520</v>
      </c>
      <c r="Z1882" s="478">
        <v>0.47</v>
      </c>
      <c r="AA1882" s="479">
        <f t="shared" si="309"/>
        <v>140774.39999999999</v>
      </c>
      <c r="AB1882" s="480"/>
      <c r="AC1882" s="481">
        <f t="shared" si="308"/>
        <v>0</v>
      </c>
      <c r="AD1882" s="490"/>
      <c r="AE1882" s="482"/>
      <c r="AF1882" s="493">
        <f t="shared" si="302"/>
        <v>140774.39999999999</v>
      </c>
      <c r="AG1882" s="474" t="s">
        <v>47</v>
      </c>
      <c r="AH1882" s="474"/>
      <c r="AI1882" s="474">
        <v>45</v>
      </c>
      <c r="AJ1882" s="474" t="s">
        <v>1790</v>
      </c>
      <c r="AK1882" s="474" t="s">
        <v>50</v>
      </c>
      <c r="AL1882" s="494">
        <v>95827</v>
      </c>
      <c r="AM1882" s="474" t="s">
        <v>52</v>
      </c>
      <c r="AN1882" s="474" t="s">
        <v>1106</v>
      </c>
      <c r="AO1882" s="474"/>
      <c r="AP1882" s="482"/>
      <c r="AQ1882" s="482" t="s">
        <v>37</v>
      </c>
      <c r="AR1882" s="474"/>
      <c r="AS1882" s="436" t="s">
        <v>1076</v>
      </c>
      <c r="AT1882" s="281" t="s">
        <v>1076</v>
      </c>
      <c r="AU1882" s="472"/>
      <c r="AV1882" s="471">
        <f t="shared" si="303"/>
        <v>49203132</v>
      </c>
      <c r="AW1882" s="471" cm="1">
        <f t="array" ref="AW1882">SUM(MID(0&amp;AV1882,LARGE(INDEX(ISNUMBER(--MID(AV1882,ROW($1:$8),1))*ROW($1:$8),),ROW($1:$8))+1,1)*10^ROW($1:$8)/10)</f>
        <v>49203132</v>
      </c>
      <c r="AX1882" s="471" t="str">
        <f>VLOOKUP($AW1882,'Item Master Data'!$A:$F,3,FALSE)</f>
        <v>Q.PEAK DUO BLK G10+</v>
      </c>
      <c r="AY1882" s="471">
        <f>VLOOKUP($AW1882,'Item Master Data'!$A:$F,6,FALSE)</f>
        <v>360</v>
      </c>
      <c r="AZ1882" s="471">
        <f t="shared" si="304"/>
        <v>26</v>
      </c>
      <c r="BA1882" s="471">
        <f>VLOOKUP(AW1882,'Item Master Data'!$A:$G,7,FALSE)</f>
        <v>32</v>
      </c>
      <c r="BC1882" s="471">
        <f t="shared" si="305"/>
        <v>0</v>
      </c>
    </row>
    <row r="1883" spans="1:55" s="471" customFormat="1">
      <c r="A1883" s="278"/>
      <c r="B1883" s="279"/>
      <c r="C1883" s="279"/>
      <c r="D1883" s="394" t="s">
        <v>3678</v>
      </c>
      <c r="E1883" s="280" t="s">
        <v>5776</v>
      </c>
      <c r="F1883" s="474"/>
      <c r="G1883" s="474">
        <v>2022</v>
      </c>
      <c r="H1883" s="474">
        <v>4</v>
      </c>
      <c r="I1883" s="679" t="s">
        <v>5408</v>
      </c>
      <c r="J1883" s="475">
        <v>44676</v>
      </c>
      <c r="K1883" s="474" t="s">
        <v>3870</v>
      </c>
      <c r="L1883" s="475" t="s">
        <v>3697</v>
      </c>
      <c r="M1883" s="475">
        <v>44656</v>
      </c>
      <c r="N1883" s="475">
        <v>44656</v>
      </c>
      <c r="O1883" s="475"/>
      <c r="P1883" s="475">
        <v>44663</v>
      </c>
      <c r="Q1883" s="475">
        <v>44671</v>
      </c>
      <c r="R1883" s="475">
        <v>44676</v>
      </c>
      <c r="S1883" s="474" t="s">
        <v>1102</v>
      </c>
      <c r="T1883" s="474">
        <v>60</v>
      </c>
      <c r="U1883" s="474">
        <v>49403132</v>
      </c>
      <c r="V1883" s="474" t="s">
        <v>986</v>
      </c>
      <c r="W1883" s="476">
        <v>360</v>
      </c>
      <c r="X1883" s="402">
        <v>832</v>
      </c>
      <c r="Y1883" s="477">
        <f t="shared" si="301"/>
        <v>299520</v>
      </c>
      <c r="Z1883" s="478">
        <v>0.47</v>
      </c>
      <c r="AA1883" s="479">
        <f t="shared" si="309"/>
        <v>140774.39999999999</v>
      </c>
      <c r="AB1883" s="480"/>
      <c r="AC1883" s="481">
        <f t="shared" si="308"/>
        <v>0</v>
      </c>
      <c r="AD1883" s="490"/>
      <c r="AE1883" s="482"/>
      <c r="AF1883" s="493">
        <f t="shared" si="302"/>
        <v>140774.39999999999</v>
      </c>
      <c r="AG1883" s="474" t="s">
        <v>47</v>
      </c>
      <c r="AH1883" s="474"/>
      <c r="AI1883" s="474">
        <v>45</v>
      </c>
      <c r="AJ1883" s="474" t="s">
        <v>3708</v>
      </c>
      <c r="AK1883" s="474" t="s">
        <v>50</v>
      </c>
      <c r="AL1883" s="494">
        <v>94551</v>
      </c>
      <c r="AM1883" s="474" t="s">
        <v>52</v>
      </c>
      <c r="AN1883" s="474" t="s">
        <v>1106</v>
      </c>
      <c r="AO1883" s="474"/>
      <c r="AP1883" s="482"/>
      <c r="AQ1883" s="482" t="s">
        <v>37</v>
      </c>
      <c r="AR1883" s="474"/>
      <c r="AS1883" s="436" t="s">
        <v>1076</v>
      </c>
      <c r="AT1883" s="281" t="s">
        <v>1076</v>
      </c>
      <c r="AU1883" s="472"/>
      <c r="AV1883" s="471">
        <f t="shared" si="303"/>
        <v>49403132</v>
      </c>
      <c r="AW1883" s="471" cm="1">
        <f t="array" ref="AW1883">SUM(MID(0&amp;AV1883,LARGE(INDEX(ISNUMBER(--MID(AV1883,ROW($1:$8),1))*ROW($1:$8),),ROW($1:$8))+1,1)*10^ROW($1:$8)/10)</f>
        <v>49403132</v>
      </c>
      <c r="AX1883" s="471" t="e">
        <f>VLOOKUP($AW1883,'Item Master Data'!$A:$F,3,FALSE)</f>
        <v>#N/A</v>
      </c>
      <c r="AY1883" s="471" t="e">
        <f>VLOOKUP($AW1883,'Item Master Data'!$A:$F,6,FALSE)</f>
        <v>#N/A</v>
      </c>
      <c r="AZ1883" s="471" t="e">
        <f t="shared" si="304"/>
        <v>#N/A</v>
      </c>
      <c r="BA1883" s="471" t="e">
        <f>VLOOKUP(AW1883,'Item Master Data'!$A:$G,7,FALSE)</f>
        <v>#N/A</v>
      </c>
      <c r="BC1883" s="471" t="e">
        <f t="shared" si="305"/>
        <v>#N/A</v>
      </c>
    </row>
    <row r="1884" spans="1:55" s="471" customFormat="1">
      <c r="A1884" s="292"/>
      <c r="B1884" s="289"/>
      <c r="C1884" s="289" t="s">
        <v>1211</v>
      </c>
      <c r="D1884" s="394" t="s">
        <v>3678</v>
      </c>
      <c r="E1884" s="280" t="s">
        <v>3961</v>
      </c>
      <c r="F1884" s="474"/>
      <c r="G1884" s="474">
        <v>2022</v>
      </c>
      <c r="H1884" s="404">
        <v>5</v>
      </c>
      <c r="I1884" s="404" t="s">
        <v>1286</v>
      </c>
      <c r="J1884" s="475"/>
      <c r="K1884" s="474" t="s">
        <v>3836</v>
      </c>
      <c r="L1884" s="475" t="s">
        <v>1120</v>
      </c>
      <c r="M1884" s="475">
        <v>44564</v>
      </c>
      <c r="N1884" s="475">
        <v>44641</v>
      </c>
      <c r="O1884" s="475"/>
      <c r="P1884" s="475"/>
      <c r="Q1884" s="475"/>
      <c r="R1884" s="475"/>
      <c r="S1884" s="474" t="s">
        <v>1102</v>
      </c>
      <c r="T1884" s="474">
        <v>60</v>
      </c>
      <c r="U1884" s="474"/>
      <c r="V1884" s="474" t="s">
        <v>986</v>
      </c>
      <c r="W1884" s="476">
        <v>360</v>
      </c>
      <c r="X1884" s="402">
        <v>768</v>
      </c>
      <c r="Y1884" s="477">
        <f t="shared" si="301"/>
        <v>276480</v>
      </c>
      <c r="Z1884" s="478">
        <v>0.53</v>
      </c>
      <c r="AA1884" s="480">
        <f t="shared" si="309"/>
        <v>146534.39999999999</v>
      </c>
      <c r="AB1884" s="480"/>
      <c r="AC1884" s="481">
        <f t="shared" si="308"/>
        <v>0</v>
      </c>
      <c r="AD1884" s="490"/>
      <c r="AE1884" s="482"/>
      <c r="AF1884" s="493">
        <f t="shared" si="302"/>
        <v>146534.39999999999</v>
      </c>
      <c r="AG1884" s="474" t="s">
        <v>47</v>
      </c>
      <c r="AH1884" s="474"/>
      <c r="AI1884" s="474">
        <v>45</v>
      </c>
      <c r="AJ1884" s="474" t="s">
        <v>1124</v>
      </c>
      <c r="AK1884" s="474" t="s">
        <v>1125</v>
      </c>
      <c r="AL1884" s="494">
        <v>55122</v>
      </c>
      <c r="AM1884" s="474" t="s">
        <v>52</v>
      </c>
      <c r="AN1884" s="474"/>
      <c r="AO1884" s="474"/>
      <c r="AP1884" s="482"/>
      <c r="AQ1884" s="482" t="s">
        <v>37</v>
      </c>
      <c r="AR1884" s="474"/>
      <c r="AS1884" s="293"/>
      <c r="AT1884" s="294"/>
      <c r="AU1884" s="488"/>
      <c r="AV1884" s="471">
        <f t="shared" si="303"/>
        <v>0</v>
      </c>
      <c r="AW1884" s="471" cm="1">
        <f t="array" ref="AW1884">SUM(MID(0&amp;AV1884,LARGE(INDEX(ISNUMBER(--MID(AV1884,ROW($1:$8),1))*ROW($1:$8),),ROW($1:$8))+1,1)*10^ROW($1:$8)/10)</f>
        <v>0</v>
      </c>
      <c r="AX1884" s="471" t="e">
        <f>VLOOKUP($AW1884,'Item Master Data'!$A:$F,3,FALSE)</f>
        <v>#N/A</v>
      </c>
      <c r="AY1884" s="471" t="e">
        <f>VLOOKUP($AW1884,'Item Master Data'!$A:$F,6,FALSE)</f>
        <v>#N/A</v>
      </c>
      <c r="AZ1884" s="471" t="e">
        <f t="shared" si="304"/>
        <v>#N/A</v>
      </c>
      <c r="BA1884" s="471" t="e">
        <f>VLOOKUP(AW1884,'Item Master Data'!$A:$G,7,FALSE)</f>
        <v>#N/A</v>
      </c>
      <c r="BC1884" s="471" t="e">
        <f t="shared" si="305"/>
        <v>#N/A</v>
      </c>
    </row>
    <row r="1885" spans="1:55" s="471" customFormat="1">
      <c r="A1885" s="278"/>
      <c r="B1885" s="279"/>
      <c r="C1885" s="289" t="s">
        <v>1211</v>
      </c>
      <c r="D1885" s="394" t="s">
        <v>3678</v>
      </c>
      <c r="E1885" s="280" t="s">
        <v>3837</v>
      </c>
      <c r="F1885" s="474"/>
      <c r="G1885" s="474">
        <v>2022</v>
      </c>
      <c r="H1885" s="474">
        <v>5</v>
      </c>
      <c r="I1885" s="404" t="s">
        <v>1286</v>
      </c>
      <c r="J1885" s="475"/>
      <c r="K1885" s="474" t="s">
        <v>3962</v>
      </c>
      <c r="L1885" s="475" t="s">
        <v>1120</v>
      </c>
      <c r="M1885" s="475">
        <v>44564</v>
      </c>
      <c r="N1885" s="475">
        <v>44641</v>
      </c>
      <c r="O1885" s="475"/>
      <c r="P1885" s="475"/>
      <c r="Q1885" s="475"/>
      <c r="R1885" s="475"/>
      <c r="S1885" s="474" t="s">
        <v>1102</v>
      </c>
      <c r="T1885" s="474">
        <v>60</v>
      </c>
      <c r="U1885" s="474"/>
      <c r="V1885" s="474" t="s">
        <v>973</v>
      </c>
      <c r="W1885" s="476">
        <v>400</v>
      </c>
      <c r="X1885" s="402">
        <v>832</v>
      </c>
      <c r="Y1885" s="477">
        <v>332800</v>
      </c>
      <c r="Z1885" s="478">
        <v>0.55000000000000004</v>
      </c>
      <c r="AA1885" s="479">
        <v>183040.00000000003</v>
      </c>
      <c r="AB1885" s="480"/>
      <c r="AC1885" s="481"/>
      <c r="AD1885" s="490"/>
      <c r="AE1885" s="482"/>
      <c r="AF1885" s="493">
        <v>183040.00000000003</v>
      </c>
      <c r="AG1885" s="474" t="s">
        <v>47</v>
      </c>
      <c r="AH1885" s="474"/>
      <c r="AI1885" s="474">
        <v>45</v>
      </c>
      <c r="AJ1885" s="474" t="s">
        <v>3963</v>
      </c>
      <c r="AK1885" s="474" t="s">
        <v>1084</v>
      </c>
      <c r="AL1885" s="494">
        <v>33442</v>
      </c>
      <c r="AM1885" s="474" t="s">
        <v>52</v>
      </c>
      <c r="AN1885" s="474"/>
      <c r="AO1885" s="474"/>
      <c r="AP1885" s="482"/>
      <c r="AQ1885" s="482" t="s">
        <v>37</v>
      </c>
      <c r="AR1885" s="474"/>
      <c r="AS1885" s="436"/>
      <c r="AT1885" s="281"/>
      <c r="AU1885" s="472"/>
      <c r="AV1885" s="471">
        <f t="shared" si="303"/>
        <v>0</v>
      </c>
      <c r="AW1885" s="471" cm="1">
        <f t="array" ref="AW1885">SUM(MID(0&amp;AV1885,LARGE(INDEX(ISNUMBER(--MID(AV1885,ROW($1:$8),1))*ROW($1:$8),),ROW($1:$8))+1,1)*10^ROW($1:$8)/10)</f>
        <v>0</v>
      </c>
      <c r="AX1885" s="471" t="e">
        <f>VLOOKUP($AW1885,'Item Master Data'!$A:$F,3,FALSE)</f>
        <v>#N/A</v>
      </c>
      <c r="AY1885" s="471" t="e">
        <f>VLOOKUP($AW1885,'Item Master Data'!$A:$F,6,FALSE)</f>
        <v>#N/A</v>
      </c>
      <c r="AZ1885" s="471" t="e">
        <f t="shared" si="304"/>
        <v>#N/A</v>
      </c>
      <c r="BA1885" s="471" t="e">
        <f>VLOOKUP(AW1885,'Item Master Data'!$A:$G,7,FALSE)</f>
        <v>#N/A</v>
      </c>
      <c r="BC1885" s="471" t="e">
        <f t="shared" si="305"/>
        <v>#N/A</v>
      </c>
    </row>
    <row r="1886" spans="1:55" s="471" customFormat="1">
      <c r="A1886" s="278"/>
      <c r="B1886" s="279"/>
      <c r="C1886" s="289" t="s">
        <v>1211</v>
      </c>
      <c r="D1886" s="394" t="s">
        <v>3678</v>
      </c>
      <c r="E1886" s="280" t="s">
        <v>3964</v>
      </c>
      <c r="F1886" s="474"/>
      <c r="G1886" s="474">
        <v>2022</v>
      </c>
      <c r="H1886" s="404">
        <v>5</v>
      </c>
      <c r="I1886" s="404" t="s">
        <v>1286</v>
      </c>
      <c r="J1886" s="475"/>
      <c r="K1886" s="474" t="s">
        <v>3965</v>
      </c>
      <c r="L1886" s="475" t="s">
        <v>1120</v>
      </c>
      <c r="M1886" s="475">
        <v>44564</v>
      </c>
      <c r="N1886" s="475">
        <v>44657</v>
      </c>
      <c r="O1886" s="475"/>
      <c r="P1886" s="475"/>
      <c r="Q1886" s="475"/>
      <c r="R1886" s="475"/>
      <c r="S1886" s="474" t="s">
        <v>1102</v>
      </c>
      <c r="T1886" s="474">
        <v>60</v>
      </c>
      <c r="U1886" s="474"/>
      <c r="V1886" s="474" t="s">
        <v>986</v>
      </c>
      <c r="W1886" s="474">
        <v>360</v>
      </c>
      <c r="X1886" s="406">
        <v>768</v>
      </c>
      <c r="Y1886" s="477">
        <f>W1886*X1886</f>
        <v>276480</v>
      </c>
      <c r="Z1886" s="478">
        <v>0.53</v>
      </c>
      <c r="AA1886" s="479">
        <f>Z1886*Y1886</f>
        <v>146534.39999999999</v>
      </c>
      <c r="AB1886" s="386"/>
      <c r="AC1886" s="481"/>
      <c r="AD1886" s="474"/>
      <c r="AE1886" s="482"/>
      <c r="AF1886" s="493">
        <f>AE1886+AD1886+AA1886</f>
        <v>146534.39999999999</v>
      </c>
      <c r="AG1886" s="474" t="s">
        <v>47</v>
      </c>
      <c r="AH1886" s="447"/>
      <c r="AI1886" s="474">
        <v>45</v>
      </c>
      <c r="AJ1886" s="474" t="s">
        <v>3963</v>
      </c>
      <c r="AK1886" s="474" t="s">
        <v>1084</v>
      </c>
      <c r="AL1886" s="494">
        <v>33442</v>
      </c>
      <c r="AM1886" s="474" t="s">
        <v>52</v>
      </c>
      <c r="AN1886" s="474"/>
      <c r="AO1886" s="474"/>
      <c r="AP1886" s="474"/>
      <c r="AQ1886" s="482" t="s">
        <v>37</v>
      </c>
      <c r="AR1886" s="474"/>
      <c r="AS1886" s="387"/>
      <c r="AT1886" s="356"/>
      <c r="AU1886" s="472"/>
      <c r="AV1886" s="471">
        <f t="shared" si="303"/>
        <v>0</v>
      </c>
      <c r="AW1886" s="471" cm="1">
        <f t="array" ref="AW1886">SUM(MID(0&amp;AV1886,LARGE(INDEX(ISNUMBER(--MID(AV1886,ROW($1:$8),1))*ROW($1:$8),),ROW($1:$8))+1,1)*10^ROW($1:$8)/10)</f>
        <v>0</v>
      </c>
      <c r="AX1886" s="471" t="e">
        <f>VLOOKUP($AW1886,'Item Master Data'!$A:$F,3,FALSE)</f>
        <v>#N/A</v>
      </c>
      <c r="AY1886" s="471" t="e">
        <f>VLOOKUP($AW1886,'Item Master Data'!$A:$F,6,FALSE)</f>
        <v>#N/A</v>
      </c>
      <c r="AZ1886" s="471" t="e">
        <f t="shared" si="304"/>
        <v>#N/A</v>
      </c>
      <c r="BA1886" s="471" t="e">
        <f>VLOOKUP(AW1886,'Item Master Data'!$A:$G,7,FALSE)</f>
        <v>#N/A</v>
      </c>
      <c r="BC1886" s="471" t="e">
        <f t="shared" si="305"/>
        <v>#N/A</v>
      </c>
    </row>
    <row r="1887" spans="1:55" s="471" customFormat="1">
      <c r="A1887" s="278"/>
      <c r="B1887" s="279"/>
      <c r="C1887" s="289" t="s">
        <v>1211</v>
      </c>
      <c r="D1887" s="394" t="s">
        <v>3678</v>
      </c>
      <c r="E1887" s="280" t="s">
        <v>3837</v>
      </c>
      <c r="F1887" s="474"/>
      <c r="G1887" s="474">
        <v>2022</v>
      </c>
      <c r="H1887" s="474">
        <v>5</v>
      </c>
      <c r="I1887" s="404" t="s">
        <v>1286</v>
      </c>
      <c r="J1887" s="475"/>
      <c r="K1887" s="474" t="s">
        <v>3966</v>
      </c>
      <c r="L1887" s="475" t="s">
        <v>1120</v>
      </c>
      <c r="M1887" s="475">
        <v>44564</v>
      </c>
      <c r="N1887" s="475">
        <v>44657</v>
      </c>
      <c r="O1887" s="475"/>
      <c r="P1887" s="475"/>
      <c r="Q1887" s="475"/>
      <c r="R1887" s="475"/>
      <c r="S1887" s="474" t="s">
        <v>1102</v>
      </c>
      <c r="T1887" s="474">
        <v>60</v>
      </c>
      <c r="U1887" s="474"/>
      <c r="V1887" s="474" t="s">
        <v>973</v>
      </c>
      <c r="W1887" s="476">
        <v>400</v>
      </c>
      <c r="X1887" s="402">
        <v>832</v>
      </c>
      <c r="Y1887" s="477">
        <v>332800</v>
      </c>
      <c r="Z1887" s="478">
        <v>0.55000000000000004</v>
      </c>
      <c r="AA1887" s="479">
        <v>183040.00000000003</v>
      </c>
      <c r="AB1887" s="480"/>
      <c r="AC1887" s="481"/>
      <c r="AD1887" s="490"/>
      <c r="AE1887" s="482"/>
      <c r="AF1887" s="493">
        <v>183040.00000000003</v>
      </c>
      <c r="AG1887" s="474" t="s">
        <v>47</v>
      </c>
      <c r="AH1887" s="474"/>
      <c r="AI1887" s="474">
        <v>45</v>
      </c>
      <c r="AJ1887" s="474" t="s">
        <v>1121</v>
      </c>
      <c r="AK1887" s="474" t="s">
        <v>1117</v>
      </c>
      <c r="AL1887" s="494">
        <v>60433</v>
      </c>
      <c r="AM1887" s="474" t="s">
        <v>52</v>
      </c>
      <c r="AN1887" s="474"/>
      <c r="AO1887" s="474"/>
      <c r="AP1887" s="482"/>
      <c r="AQ1887" s="482" t="s">
        <v>37</v>
      </c>
      <c r="AR1887" s="474"/>
      <c r="AS1887" s="436"/>
      <c r="AT1887" s="281"/>
      <c r="AU1887" s="472"/>
      <c r="AV1887" s="471">
        <f t="shared" si="303"/>
        <v>0</v>
      </c>
      <c r="AW1887" s="471" cm="1">
        <f t="array" ref="AW1887">SUM(MID(0&amp;AV1887,LARGE(INDEX(ISNUMBER(--MID(AV1887,ROW($1:$8),1))*ROW($1:$8),),ROW($1:$8))+1,1)*10^ROW($1:$8)/10)</f>
        <v>0</v>
      </c>
      <c r="AX1887" s="471" t="e">
        <f>VLOOKUP($AW1887,'Item Master Data'!$A:$F,3,FALSE)</f>
        <v>#N/A</v>
      </c>
      <c r="AY1887" s="471" t="e">
        <f>VLOOKUP($AW1887,'Item Master Data'!$A:$F,6,FALSE)</f>
        <v>#N/A</v>
      </c>
      <c r="AZ1887" s="471" t="e">
        <f t="shared" si="304"/>
        <v>#N/A</v>
      </c>
      <c r="BA1887" s="471" t="e">
        <f>VLOOKUP(AW1887,'Item Master Data'!$A:$G,7,FALSE)</f>
        <v>#N/A</v>
      </c>
      <c r="BC1887" s="471" t="e">
        <f t="shared" si="305"/>
        <v>#N/A</v>
      </c>
    </row>
    <row r="1888" spans="1:55" s="471" customFormat="1">
      <c r="A1888" s="278"/>
      <c r="B1888" s="279"/>
      <c r="C1888" s="289" t="s">
        <v>1211</v>
      </c>
      <c r="D1888" s="394" t="s">
        <v>3678</v>
      </c>
      <c r="E1888" s="280" t="s">
        <v>3837</v>
      </c>
      <c r="F1888" s="474"/>
      <c r="G1888" s="474">
        <v>2022</v>
      </c>
      <c r="H1888" s="474">
        <v>5</v>
      </c>
      <c r="I1888" s="404" t="s">
        <v>1286</v>
      </c>
      <c r="J1888" s="475"/>
      <c r="K1888" s="474" t="s">
        <v>3967</v>
      </c>
      <c r="L1888" s="475" t="s">
        <v>1120</v>
      </c>
      <c r="M1888" s="475">
        <v>44565</v>
      </c>
      <c r="N1888" s="475">
        <v>44657</v>
      </c>
      <c r="O1888" s="475"/>
      <c r="P1888" s="475"/>
      <c r="Q1888" s="475"/>
      <c r="R1888" s="475"/>
      <c r="S1888" s="474" t="s">
        <v>1102</v>
      </c>
      <c r="T1888" s="474">
        <v>60</v>
      </c>
      <c r="U1888" s="474"/>
      <c r="V1888" s="474" t="s">
        <v>973</v>
      </c>
      <c r="W1888" s="476">
        <v>400</v>
      </c>
      <c r="X1888" s="402">
        <v>832</v>
      </c>
      <c r="Y1888" s="477">
        <v>332800</v>
      </c>
      <c r="Z1888" s="478">
        <v>0.55000000000000004</v>
      </c>
      <c r="AA1888" s="479">
        <v>183040.00000000003</v>
      </c>
      <c r="AB1888" s="386"/>
      <c r="AC1888" s="481"/>
      <c r="AD1888" s="474"/>
      <c r="AE1888" s="482"/>
      <c r="AF1888" s="493">
        <v>183040.00000000003</v>
      </c>
      <c r="AG1888" s="474" t="s">
        <v>47</v>
      </c>
      <c r="AH1888" s="447"/>
      <c r="AI1888" s="474">
        <v>45</v>
      </c>
      <c r="AJ1888" s="474" t="s">
        <v>1839</v>
      </c>
      <c r="AK1888" s="474" t="s">
        <v>50</v>
      </c>
      <c r="AL1888" s="494">
        <v>91304</v>
      </c>
      <c r="AM1888" s="474" t="s">
        <v>52</v>
      </c>
      <c r="AN1888" s="474"/>
      <c r="AO1888" s="474"/>
      <c r="AP1888" s="474"/>
      <c r="AQ1888" s="482" t="s">
        <v>37</v>
      </c>
      <c r="AR1888" s="474"/>
      <c r="AS1888" s="387"/>
      <c r="AT1888" s="356"/>
      <c r="AU1888" s="472"/>
      <c r="AV1888" s="471">
        <f t="shared" ref="AV1888:AV1904" si="310">U1888</f>
        <v>0</v>
      </c>
      <c r="AW1888" s="471" cm="1">
        <f t="array" ref="AW1888">SUM(MID(0&amp;AV1888,LARGE(INDEX(ISNUMBER(--MID(AV1888,ROW($1:$8),1))*ROW($1:$8),),ROW($1:$8))+1,1)*10^ROW($1:$8)/10)</f>
        <v>0</v>
      </c>
      <c r="AX1888" s="471" t="e">
        <f>VLOOKUP($AW1888,'Item Master Data'!$A:$F,3,FALSE)</f>
        <v>#N/A</v>
      </c>
      <c r="AY1888" s="471" t="e">
        <f>VLOOKUP($AW1888,'Item Master Data'!$A:$F,6,FALSE)</f>
        <v>#N/A</v>
      </c>
      <c r="AZ1888" s="471" t="e">
        <f t="shared" ref="AZ1888:AZ1919" si="311">X1888/BA1888</f>
        <v>#N/A</v>
      </c>
      <c r="BA1888" s="471" t="e">
        <f>VLOOKUP(AW1888,'Item Master Data'!$A:$G,7,FALSE)</f>
        <v>#N/A</v>
      </c>
      <c r="BC1888" s="471" t="e">
        <f t="shared" ref="BC1888:BC1904" si="312">W1888-AY1888</f>
        <v>#N/A</v>
      </c>
    </row>
    <row r="1889" spans="1:55" s="471" customFormat="1">
      <c r="A1889" s="278"/>
      <c r="B1889" s="279"/>
      <c r="C1889" s="289" t="s">
        <v>1211</v>
      </c>
      <c r="D1889" s="394" t="s">
        <v>3678</v>
      </c>
      <c r="E1889" s="280" t="s">
        <v>3837</v>
      </c>
      <c r="F1889" s="474"/>
      <c r="G1889" s="474">
        <v>2022</v>
      </c>
      <c r="H1889" s="474">
        <v>5</v>
      </c>
      <c r="I1889" s="404" t="s">
        <v>1286</v>
      </c>
      <c r="J1889" s="475"/>
      <c r="K1889" s="474" t="s">
        <v>3968</v>
      </c>
      <c r="L1889" s="475" t="s">
        <v>1120</v>
      </c>
      <c r="M1889" s="475">
        <v>44565</v>
      </c>
      <c r="N1889" s="475">
        <v>44657</v>
      </c>
      <c r="O1889" s="475"/>
      <c r="P1889" s="475"/>
      <c r="Q1889" s="475"/>
      <c r="R1889" s="475"/>
      <c r="S1889" s="474" t="s">
        <v>1102</v>
      </c>
      <c r="T1889" s="474">
        <v>60</v>
      </c>
      <c r="U1889" s="474"/>
      <c r="V1889" s="474" t="s">
        <v>973</v>
      </c>
      <c r="W1889" s="476">
        <v>400</v>
      </c>
      <c r="X1889" s="402">
        <v>832</v>
      </c>
      <c r="Y1889" s="477">
        <v>332800</v>
      </c>
      <c r="Z1889" s="478">
        <v>0.55000000000000004</v>
      </c>
      <c r="AA1889" s="479">
        <v>183040.00000000003</v>
      </c>
      <c r="AB1889" s="480"/>
      <c r="AC1889" s="481"/>
      <c r="AD1889" s="490"/>
      <c r="AE1889" s="482"/>
      <c r="AF1889" s="493">
        <v>183040.00000000003</v>
      </c>
      <c r="AG1889" s="474" t="s">
        <v>47</v>
      </c>
      <c r="AH1889" s="474"/>
      <c r="AI1889" s="474">
        <v>45</v>
      </c>
      <c r="AJ1889" s="474" t="s">
        <v>1137</v>
      </c>
      <c r="AK1889" s="474" t="s">
        <v>1138</v>
      </c>
      <c r="AL1889" s="494">
        <v>11416</v>
      </c>
      <c r="AM1889" s="474" t="s">
        <v>52</v>
      </c>
      <c r="AN1889" s="474"/>
      <c r="AO1889" s="474"/>
      <c r="AP1889" s="482"/>
      <c r="AQ1889" s="482" t="s">
        <v>37</v>
      </c>
      <c r="AR1889" s="474"/>
      <c r="AS1889" s="436"/>
      <c r="AT1889" s="281"/>
      <c r="AU1889" s="472"/>
      <c r="AV1889" s="471">
        <f t="shared" si="310"/>
        <v>0</v>
      </c>
      <c r="AW1889" s="471" cm="1">
        <f t="array" ref="AW1889">SUM(MID(0&amp;AV1889,LARGE(INDEX(ISNUMBER(--MID(AV1889,ROW($1:$8),1))*ROW($1:$8),),ROW($1:$8))+1,1)*10^ROW($1:$8)/10)</f>
        <v>0</v>
      </c>
      <c r="AX1889" s="471" t="e">
        <f>VLOOKUP($AW1889,'Item Master Data'!$A:$F,3,FALSE)</f>
        <v>#N/A</v>
      </c>
      <c r="AY1889" s="471" t="e">
        <f>VLOOKUP($AW1889,'Item Master Data'!$A:$F,6,FALSE)</f>
        <v>#N/A</v>
      </c>
      <c r="AZ1889" s="471" t="e">
        <f t="shared" si="311"/>
        <v>#N/A</v>
      </c>
      <c r="BA1889" s="471" t="e">
        <f>VLOOKUP(AW1889,'Item Master Data'!$A:$G,7,FALSE)</f>
        <v>#N/A</v>
      </c>
      <c r="BC1889" s="471" t="e">
        <f t="shared" si="312"/>
        <v>#N/A</v>
      </c>
    </row>
    <row r="1890" spans="1:55" s="471" customFormat="1">
      <c r="A1890" s="278"/>
      <c r="B1890" s="279"/>
      <c r="C1890" s="289" t="s">
        <v>1211</v>
      </c>
      <c r="D1890" s="394" t="s">
        <v>3678</v>
      </c>
      <c r="E1890" s="280" t="s">
        <v>3837</v>
      </c>
      <c r="F1890" s="474"/>
      <c r="G1890" s="474">
        <v>2022</v>
      </c>
      <c r="H1890" s="474">
        <v>5</v>
      </c>
      <c r="I1890" s="404" t="s">
        <v>1286</v>
      </c>
      <c r="J1890" s="475"/>
      <c r="K1890" s="474" t="s">
        <v>3969</v>
      </c>
      <c r="L1890" s="475" t="s">
        <v>1120</v>
      </c>
      <c r="M1890" s="475">
        <v>44565</v>
      </c>
      <c r="N1890" s="475">
        <v>44685</v>
      </c>
      <c r="O1890" s="475"/>
      <c r="P1890" s="475"/>
      <c r="Q1890" s="475"/>
      <c r="R1890" s="475"/>
      <c r="S1890" s="474" t="s">
        <v>1102</v>
      </c>
      <c r="T1890" s="474">
        <v>60</v>
      </c>
      <c r="U1890" s="474"/>
      <c r="V1890" s="474" t="s">
        <v>973</v>
      </c>
      <c r="W1890" s="476">
        <v>400</v>
      </c>
      <c r="X1890" s="402">
        <v>832</v>
      </c>
      <c r="Y1890" s="477">
        <v>332800</v>
      </c>
      <c r="Z1890" s="478">
        <v>0.55000000000000004</v>
      </c>
      <c r="AA1890" s="479">
        <v>183040.00000000003</v>
      </c>
      <c r="AB1890" s="386"/>
      <c r="AC1890" s="481"/>
      <c r="AD1890" s="474"/>
      <c r="AE1890" s="482"/>
      <c r="AF1890" s="493">
        <v>183040.00000000003</v>
      </c>
      <c r="AG1890" s="474" t="s">
        <v>47</v>
      </c>
      <c r="AH1890" s="447"/>
      <c r="AI1890" s="474">
        <v>45</v>
      </c>
      <c r="AJ1890" s="474" t="s">
        <v>1839</v>
      </c>
      <c r="AK1890" s="474" t="s">
        <v>50</v>
      </c>
      <c r="AL1890" s="494">
        <v>91304</v>
      </c>
      <c r="AM1890" s="474" t="s">
        <v>52</v>
      </c>
      <c r="AN1890" s="474"/>
      <c r="AO1890" s="474"/>
      <c r="AP1890" s="474"/>
      <c r="AQ1890" s="482" t="s">
        <v>37</v>
      </c>
      <c r="AR1890" s="474"/>
      <c r="AS1890" s="387"/>
      <c r="AT1890" s="356"/>
      <c r="AU1890" s="472"/>
      <c r="AV1890" s="471">
        <f t="shared" si="310"/>
        <v>0</v>
      </c>
      <c r="AW1890" s="471" cm="1">
        <f t="array" ref="AW1890">SUM(MID(0&amp;AV1890,LARGE(INDEX(ISNUMBER(--MID(AV1890,ROW($1:$8),1))*ROW($1:$8),),ROW($1:$8))+1,1)*10^ROW($1:$8)/10)</f>
        <v>0</v>
      </c>
      <c r="AX1890" s="471" t="e">
        <f>VLOOKUP($AW1890,'Item Master Data'!$A:$F,3,FALSE)</f>
        <v>#N/A</v>
      </c>
      <c r="AY1890" s="471" t="e">
        <f>VLOOKUP($AW1890,'Item Master Data'!$A:$F,6,FALSE)</f>
        <v>#N/A</v>
      </c>
      <c r="AZ1890" s="471" t="e">
        <f t="shared" si="311"/>
        <v>#N/A</v>
      </c>
      <c r="BA1890" s="471" t="e">
        <f>VLOOKUP(AW1890,'Item Master Data'!$A:$G,7,FALSE)</f>
        <v>#N/A</v>
      </c>
      <c r="BC1890" s="471" t="e">
        <f t="shared" si="312"/>
        <v>#N/A</v>
      </c>
    </row>
    <row r="1891" spans="1:55" s="471" customFormat="1">
      <c r="A1891" s="278"/>
      <c r="B1891" s="279"/>
      <c r="C1891" s="289" t="s">
        <v>1211</v>
      </c>
      <c r="D1891" s="394" t="s">
        <v>3678</v>
      </c>
      <c r="E1891" s="280" t="s">
        <v>3970</v>
      </c>
      <c r="F1891" s="474"/>
      <c r="G1891" s="474">
        <v>2022</v>
      </c>
      <c r="H1891" s="474">
        <v>5</v>
      </c>
      <c r="I1891" s="404" t="s">
        <v>1286</v>
      </c>
      <c r="J1891" s="475"/>
      <c r="K1891" s="474" t="s">
        <v>3971</v>
      </c>
      <c r="L1891" s="475" t="s">
        <v>1120</v>
      </c>
      <c r="M1891" s="475">
        <v>44565</v>
      </c>
      <c r="N1891" s="475">
        <v>44685</v>
      </c>
      <c r="O1891" s="475"/>
      <c r="P1891" s="475"/>
      <c r="Q1891" s="475"/>
      <c r="R1891" s="475"/>
      <c r="S1891" s="474" t="s">
        <v>1102</v>
      </c>
      <c r="T1891" s="474">
        <v>60</v>
      </c>
      <c r="U1891" s="474"/>
      <c r="V1891" s="474" t="s">
        <v>973</v>
      </c>
      <c r="W1891" s="476">
        <v>400</v>
      </c>
      <c r="X1891" s="402">
        <v>832</v>
      </c>
      <c r="Y1891" s="477">
        <v>332800</v>
      </c>
      <c r="Z1891" s="478">
        <v>0.55000000000000004</v>
      </c>
      <c r="AA1891" s="479">
        <v>183040.00000000003</v>
      </c>
      <c r="AB1891" s="480"/>
      <c r="AC1891" s="481"/>
      <c r="AD1891" s="490"/>
      <c r="AE1891" s="482"/>
      <c r="AF1891" s="493">
        <v>183040.00000000003</v>
      </c>
      <c r="AG1891" s="474" t="s">
        <v>47</v>
      </c>
      <c r="AH1891" s="474"/>
      <c r="AI1891" s="474">
        <v>45</v>
      </c>
      <c r="AJ1891" s="474" t="s">
        <v>1124</v>
      </c>
      <c r="AK1891" s="474" t="s">
        <v>1125</v>
      </c>
      <c r="AL1891" s="494">
        <v>55122</v>
      </c>
      <c r="AM1891" s="474" t="s">
        <v>52</v>
      </c>
      <c r="AN1891" s="474"/>
      <c r="AO1891" s="474"/>
      <c r="AP1891" s="482"/>
      <c r="AQ1891" s="482" t="s">
        <v>37</v>
      </c>
      <c r="AR1891" s="474"/>
      <c r="AS1891" s="436"/>
      <c r="AT1891" s="281"/>
      <c r="AU1891" s="472"/>
      <c r="AV1891" s="471">
        <f t="shared" si="310"/>
        <v>0</v>
      </c>
      <c r="AW1891" s="471" cm="1">
        <f t="array" ref="AW1891">SUM(MID(0&amp;AV1891,LARGE(INDEX(ISNUMBER(--MID(AV1891,ROW($1:$8),1))*ROW($1:$8),),ROW($1:$8))+1,1)*10^ROW($1:$8)/10)</f>
        <v>0</v>
      </c>
      <c r="AX1891" s="471" t="e">
        <f>VLOOKUP($AW1891,'Item Master Data'!$A:$F,3,FALSE)</f>
        <v>#N/A</v>
      </c>
      <c r="AY1891" s="471" t="e">
        <f>VLOOKUP($AW1891,'Item Master Data'!$A:$F,6,FALSE)</f>
        <v>#N/A</v>
      </c>
      <c r="AZ1891" s="471" t="e">
        <f t="shared" si="311"/>
        <v>#N/A</v>
      </c>
      <c r="BA1891" s="471" t="e">
        <f>VLOOKUP(AW1891,'Item Master Data'!$A:$G,7,FALSE)</f>
        <v>#N/A</v>
      </c>
      <c r="BC1891" s="471" t="e">
        <f t="shared" si="312"/>
        <v>#N/A</v>
      </c>
    </row>
    <row r="1892" spans="1:55" s="471" customFormat="1">
      <c r="A1892" s="278"/>
      <c r="B1892" s="279"/>
      <c r="C1892" s="289" t="s">
        <v>1211</v>
      </c>
      <c r="D1892" s="394" t="s">
        <v>3678</v>
      </c>
      <c r="E1892" s="280" t="s">
        <v>3964</v>
      </c>
      <c r="F1892" s="474"/>
      <c r="G1892" s="474">
        <v>2022</v>
      </c>
      <c r="H1892" s="404">
        <v>5</v>
      </c>
      <c r="I1892" s="404" t="s">
        <v>1286</v>
      </c>
      <c r="J1892" s="475"/>
      <c r="K1892" s="474" t="s">
        <v>3972</v>
      </c>
      <c r="L1892" s="475" t="s">
        <v>1120</v>
      </c>
      <c r="M1892" s="475">
        <v>44575</v>
      </c>
      <c r="N1892" s="475">
        <v>44636</v>
      </c>
      <c r="O1892" s="475"/>
      <c r="P1892" s="475"/>
      <c r="Q1892" s="475"/>
      <c r="R1892" s="475"/>
      <c r="S1892" s="474" t="s">
        <v>1102</v>
      </c>
      <c r="T1892" s="474">
        <v>60</v>
      </c>
      <c r="U1892" s="474"/>
      <c r="V1892" s="474" t="s">
        <v>986</v>
      </c>
      <c r="W1892" s="476">
        <v>360</v>
      </c>
      <c r="X1892" s="402">
        <v>768</v>
      </c>
      <c r="Y1892" s="477">
        <f t="shared" ref="Y1892:Y1926" si="313">W1892*X1892</f>
        <v>276480</v>
      </c>
      <c r="Z1892" s="478">
        <v>0.53</v>
      </c>
      <c r="AA1892" s="479">
        <f>Z1892*Y1892</f>
        <v>146534.39999999999</v>
      </c>
      <c r="AB1892" s="480"/>
      <c r="AC1892" s="481"/>
      <c r="AD1892" s="490"/>
      <c r="AE1892" s="482"/>
      <c r="AF1892" s="493">
        <f t="shared" ref="AF1892:AF1955" si="314">AE1892+AD1892+AA1892</f>
        <v>146534.39999999999</v>
      </c>
      <c r="AG1892" s="474" t="s">
        <v>47</v>
      </c>
      <c r="AH1892" s="474"/>
      <c r="AI1892" s="474">
        <v>45</v>
      </c>
      <c r="AJ1892" s="474" t="s">
        <v>1121</v>
      </c>
      <c r="AK1892" s="474" t="s">
        <v>1117</v>
      </c>
      <c r="AL1892" s="494">
        <v>60433</v>
      </c>
      <c r="AM1892" s="474" t="s">
        <v>52</v>
      </c>
      <c r="AN1892" s="474"/>
      <c r="AO1892" s="474"/>
      <c r="AP1892" s="482"/>
      <c r="AQ1892" s="482" t="s">
        <v>37</v>
      </c>
      <c r="AR1892" s="474"/>
      <c r="AS1892" s="436"/>
      <c r="AT1892" s="281"/>
      <c r="AU1892" s="472"/>
      <c r="AV1892" s="471">
        <f t="shared" si="310"/>
        <v>0</v>
      </c>
      <c r="AW1892" s="471" cm="1">
        <f t="array" ref="AW1892">SUM(MID(0&amp;AV1892,LARGE(INDEX(ISNUMBER(--MID(AV1892,ROW($1:$8),1))*ROW($1:$8),),ROW($1:$8))+1,1)*10^ROW($1:$8)/10)</f>
        <v>0</v>
      </c>
      <c r="AX1892" s="471" t="e">
        <f>VLOOKUP($AW1892,'Item Master Data'!$A:$F,3,FALSE)</f>
        <v>#N/A</v>
      </c>
      <c r="AY1892" s="471" t="e">
        <f>VLOOKUP($AW1892,'Item Master Data'!$A:$F,6,FALSE)</f>
        <v>#N/A</v>
      </c>
      <c r="AZ1892" s="471" t="e">
        <f t="shared" si="311"/>
        <v>#N/A</v>
      </c>
      <c r="BA1892" s="471" t="e">
        <f>VLOOKUP(AW1892,'Item Master Data'!$A:$G,7,FALSE)</f>
        <v>#N/A</v>
      </c>
      <c r="BC1892" s="471" t="e">
        <f t="shared" si="312"/>
        <v>#N/A</v>
      </c>
    </row>
    <row r="1893" spans="1:55" s="471" customFormat="1">
      <c r="A1893" s="278"/>
      <c r="B1893" s="279"/>
      <c r="C1893" s="289" t="s">
        <v>1211</v>
      </c>
      <c r="D1893" s="394" t="s">
        <v>3678</v>
      </c>
      <c r="E1893" s="280" t="s">
        <v>3964</v>
      </c>
      <c r="F1893" s="474"/>
      <c r="G1893" s="474">
        <v>2022</v>
      </c>
      <c r="H1893" s="404">
        <v>5</v>
      </c>
      <c r="I1893" s="404" t="s">
        <v>1286</v>
      </c>
      <c r="J1893" s="475"/>
      <c r="K1893" s="474" t="s">
        <v>3972</v>
      </c>
      <c r="L1893" s="475" t="s">
        <v>1120</v>
      </c>
      <c r="M1893" s="475">
        <v>44575</v>
      </c>
      <c r="N1893" s="475">
        <v>44636</v>
      </c>
      <c r="O1893" s="475"/>
      <c r="P1893" s="475"/>
      <c r="Q1893" s="475"/>
      <c r="R1893" s="475"/>
      <c r="S1893" s="474" t="s">
        <v>1102</v>
      </c>
      <c r="T1893" s="474">
        <v>60</v>
      </c>
      <c r="U1893" s="474"/>
      <c r="V1893" s="474" t="s">
        <v>986</v>
      </c>
      <c r="W1893" s="476">
        <v>360</v>
      </c>
      <c r="X1893" s="402">
        <v>768</v>
      </c>
      <c r="Y1893" s="477">
        <f t="shared" si="313"/>
        <v>276480</v>
      </c>
      <c r="Z1893" s="478">
        <v>0.53</v>
      </c>
      <c r="AA1893" s="479">
        <f>Z1893*Y1893</f>
        <v>146534.39999999999</v>
      </c>
      <c r="AB1893" s="480"/>
      <c r="AC1893" s="481"/>
      <c r="AD1893" s="490"/>
      <c r="AE1893" s="482"/>
      <c r="AF1893" s="493">
        <f t="shared" si="314"/>
        <v>146534.39999999999</v>
      </c>
      <c r="AG1893" s="474" t="s">
        <v>47</v>
      </c>
      <c r="AH1893" s="474"/>
      <c r="AI1893" s="474">
        <v>45</v>
      </c>
      <c r="AJ1893" s="474" t="s">
        <v>1121</v>
      </c>
      <c r="AK1893" s="474" t="s">
        <v>1117</v>
      </c>
      <c r="AL1893" s="494">
        <v>60433</v>
      </c>
      <c r="AM1893" s="474" t="s">
        <v>52</v>
      </c>
      <c r="AN1893" s="474"/>
      <c r="AO1893" s="474"/>
      <c r="AP1893" s="482"/>
      <c r="AQ1893" s="482" t="s">
        <v>37</v>
      </c>
      <c r="AR1893" s="474"/>
      <c r="AS1893" s="436"/>
      <c r="AT1893" s="281"/>
      <c r="AU1893" s="472"/>
      <c r="AV1893" s="471">
        <f t="shared" si="310"/>
        <v>0</v>
      </c>
      <c r="AW1893" s="471" cm="1">
        <f t="array" ref="AW1893">SUM(MID(0&amp;AV1893,LARGE(INDEX(ISNUMBER(--MID(AV1893,ROW($1:$8),1))*ROW($1:$8),),ROW($1:$8))+1,1)*10^ROW($1:$8)/10)</f>
        <v>0</v>
      </c>
      <c r="AX1893" s="471" t="e">
        <f>VLOOKUP($AW1893,'Item Master Data'!$A:$F,3,FALSE)</f>
        <v>#N/A</v>
      </c>
      <c r="AY1893" s="471" t="e">
        <f>VLOOKUP($AW1893,'Item Master Data'!$A:$F,6,FALSE)</f>
        <v>#N/A</v>
      </c>
      <c r="AZ1893" s="471" t="e">
        <f t="shared" si="311"/>
        <v>#N/A</v>
      </c>
      <c r="BA1893" s="471" t="e">
        <f>VLOOKUP(AW1893,'Item Master Data'!$A:$G,7,FALSE)</f>
        <v>#N/A</v>
      </c>
      <c r="BC1893" s="471" t="e">
        <f t="shared" si="312"/>
        <v>#N/A</v>
      </c>
    </row>
    <row r="1894" spans="1:55" s="471" customFormat="1">
      <c r="A1894" s="278"/>
      <c r="B1894" s="279"/>
      <c r="C1894" s="279"/>
      <c r="D1894" s="394" t="s">
        <v>3678</v>
      </c>
      <c r="E1894" s="280" t="s">
        <v>5258</v>
      </c>
      <c r="F1894" s="474"/>
      <c r="G1894" s="474">
        <v>2022</v>
      </c>
      <c r="H1894" s="516">
        <v>5</v>
      </c>
      <c r="I1894" s="485"/>
      <c r="J1894" s="475"/>
      <c r="K1894" s="474" t="s">
        <v>3844</v>
      </c>
      <c r="L1894" s="474" t="s">
        <v>1120</v>
      </c>
      <c r="M1894" s="475">
        <v>44519</v>
      </c>
      <c r="N1894" s="475">
        <v>44666</v>
      </c>
      <c r="O1894" s="475"/>
      <c r="P1894" s="475" t="s">
        <v>1445</v>
      </c>
      <c r="Q1894" s="475"/>
      <c r="R1894" s="475"/>
      <c r="S1894" s="474" t="s">
        <v>1102</v>
      </c>
      <c r="T1894" s="474">
        <v>60</v>
      </c>
      <c r="U1894" s="474">
        <v>49203132</v>
      </c>
      <c r="V1894" s="474" t="s">
        <v>986</v>
      </c>
      <c r="W1894" s="476">
        <v>360</v>
      </c>
      <c r="X1894" s="402">
        <v>768</v>
      </c>
      <c r="Y1894" s="491">
        <f t="shared" si="313"/>
        <v>276480</v>
      </c>
      <c r="Z1894" s="478">
        <f>183.6/360</f>
        <v>0.51</v>
      </c>
      <c r="AA1894" s="479">
        <f>Y1894*Z1894</f>
        <v>141004.79999999999</v>
      </c>
      <c r="AB1894" s="480"/>
      <c r="AC1894" s="481">
        <v>0</v>
      </c>
      <c r="AD1894" s="490"/>
      <c r="AE1894" s="482"/>
      <c r="AF1894" s="493">
        <f t="shared" si="314"/>
        <v>141004.79999999999</v>
      </c>
      <c r="AG1894" s="474" t="s">
        <v>47</v>
      </c>
      <c r="AH1894" s="474"/>
      <c r="AI1894" s="474">
        <v>45</v>
      </c>
      <c r="AJ1894" s="474" t="s">
        <v>1128</v>
      </c>
      <c r="AK1894" s="474" t="s">
        <v>1085</v>
      </c>
      <c r="AL1894" s="494">
        <v>8505</v>
      </c>
      <c r="AM1894" s="474" t="s">
        <v>52</v>
      </c>
      <c r="AN1894" s="474" t="s">
        <v>1106</v>
      </c>
      <c r="AO1894" s="474"/>
      <c r="AP1894" s="482"/>
      <c r="AQ1894" s="482"/>
      <c r="AR1894" s="474"/>
      <c r="AS1894" s="436"/>
      <c r="AT1894" s="281" t="s">
        <v>1076</v>
      </c>
      <c r="AU1894" s="472"/>
      <c r="AV1894" s="471">
        <f t="shared" si="310"/>
        <v>49203132</v>
      </c>
      <c r="AW1894" s="471" cm="1">
        <f t="array" ref="AW1894">SUM(MID(0&amp;AV1894,LARGE(INDEX(ISNUMBER(--MID(AV1894,ROW($1:$8),1))*ROW($1:$8),),ROW($1:$8))+1,1)*10^ROW($1:$8)/10)</f>
        <v>49203132</v>
      </c>
      <c r="AX1894" s="471" t="str">
        <f>VLOOKUP($AW1894,'Item Master Data'!$A:$F,3,FALSE)</f>
        <v>Q.PEAK DUO BLK G10+</v>
      </c>
      <c r="AY1894" s="471">
        <f>VLOOKUP($AW1894,'Item Master Data'!$A:$F,6,FALSE)</f>
        <v>360</v>
      </c>
      <c r="AZ1894" s="471">
        <f t="shared" si="311"/>
        <v>24</v>
      </c>
      <c r="BA1894" s="471">
        <f>VLOOKUP(AW1894,'Item Master Data'!$A:$G,7,FALSE)</f>
        <v>32</v>
      </c>
      <c r="BC1894" s="471">
        <f t="shared" si="312"/>
        <v>0</v>
      </c>
    </row>
    <row r="1895" spans="1:55" s="471" customFormat="1">
      <c r="A1895" s="278"/>
      <c r="B1895" s="279"/>
      <c r="C1895" s="279"/>
      <c r="D1895" s="394" t="s">
        <v>3678</v>
      </c>
      <c r="E1895" s="280" t="s">
        <v>3841</v>
      </c>
      <c r="F1895" s="474"/>
      <c r="G1895" s="474">
        <v>2022</v>
      </c>
      <c r="H1895" s="474">
        <v>5</v>
      </c>
      <c r="I1895" s="485"/>
      <c r="J1895" s="475"/>
      <c r="K1895" s="474" t="s">
        <v>3975</v>
      </c>
      <c r="L1895" s="474" t="s">
        <v>1120</v>
      </c>
      <c r="M1895" s="475">
        <v>44519</v>
      </c>
      <c r="N1895" s="475">
        <v>44666</v>
      </c>
      <c r="O1895" s="475"/>
      <c r="P1895" s="475"/>
      <c r="Q1895" s="475"/>
      <c r="R1895" s="475"/>
      <c r="S1895" s="474" t="s">
        <v>1102</v>
      </c>
      <c r="T1895" s="474">
        <v>60</v>
      </c>
      <c r="U1895" s="474">
        <v>49201132</v>
      </c>
      <c r="V1895" s="474" t="s">
        <v>986</v>
      </c>
      <c r="W1895" s="476">
        <v>360</v>
      </c>
      <c r="X1895" s="402">
        <v>768</v>
      </c>
      <c r="Y1895" s="491">
        <f t="shared" si="313"/>
        <v>276480</v>
      </c>
      <c r="Z1895" s="478">
        <v>0.53</v>
      </c>
      <c r="AA1895" s="479">
        <f>Y1895*Z1895</f>
        <v>146534.39999999999</v>
      </c>
      <c r="AB1895" s="480"/>
      <c r="AC1895" s="481">
        <v>0</v>
      </c>
      <c r="AD1895" s="490"/>
      <c r="AE1895" s="482"/>
      <c r="AF1895" s="493">
        <f t="shared" si="314"/>
        <v>146534.39999999999</v>
      </c>
      <c r="AG1895" s="474" t="s">
        <v>47</v>
      </c>
      <c r="AH1895" s="474"/>
      <c r="AI1895" s="474">
        <v>45</v>
      </c>
      <c r="AJ1895" s="474" t="s">
        <v>3974</v>
      </c>
      <c r="AK1895" s="474" t="s">
        <v>1096</v>
      </c>
      <c r="AL1895" s="494">
        <v>1583</v>
      </c>
      <c r="AM1895" s="474" t="s">
        <v>52</v>
      </c>
      <c r="AN1895" s="474" t="s">
        <v>1074</v>
      </c>
      <c r="AO1895" s="474"/>
      <c r="AP1895" s="482"/>
      <c r="AQ1895" s="482"/>
      <c r="AR1895" s="474"/>
      <c r="AS1895" s="436"/>
      <c r="AT1895" s="281" t="s">
        <v>1076</v>
      </c>
      <c r="AU1895" s="472"/>
      <c r="AV1895" s="471">
        <f t="shared" si="310"/>
        <v>49201132</v>
      </c>
      <c r="AW1895" s="471" cm="1">
        <f t="array" ref="AW1895">SUM(MID(0&amp;AV1895,LARGE(INDEX(ISNUMBER(--MID(AV1895,ROW($1:$8),1))*ROW($1:$8),),ROW($1:$8))+1,1)*10^ROW($1:$8)/10)</f>
        <v>49201132</v>
      </c>
      <c r="AX1895" s="471" t="str">
        <f>VLOOKUP($AW1895,'Item Master Data'!$A:$F,3,FALSE)</f>
        <v>Q.PEAK DUO BLK G10+</v>
      </c>
      <c r="AY1895" s="471">
        <f>VLOOKUP($AW1895,'Item Master Data'!$A:$F,6,FALSE)</f>
        <v>360</v>
      </c>
      <c r="AZ1895" s="471">
        <f t="shared" si="311"/>
        <v>24</v>
      </c>
      <c r="BA1895" s="471">
        <f>VLOOKUP(AW1895,'Item Master Data'!$A:$G,7,FALSE)</f>
        <v>32</v>
      </c>
      <c r="BC1895" s="471">
        <f t="shared" si="312"/>
        <v>0</v>
      </c>
    </row>
    <row r="1896" spans="1:55" s="471" customFormat="1">
      <c r="A1896" s="278"/>
      <c r="B1896" s="279"/>
      <c r="C1896" s="279"/>
      <c r="D1896" s="394" t="s">
        <v>3678</v>
      </c>
      <c r="E1896" s="280" t="s">
        <v>3976</v>
      </c>
      <c r="F1896" s="474"/>
      <c r="G1896" s="474">
        <v>2022</v>
      </c>
      <c r="H1896" s="474">
        <v>5</v>
      </c>
      <c r="I1896" s="485"/>
      <c r="J1896" s="475"/>
      <c r="K1896" s="474" t="s">
        <v>3977</v>
      </c>
      <c r="L1896" s="474" t="s">
        <v>1120</v>
      </c>
      <c r="M1896" s="475">
        <v>44519</v>
      </c>
      <c r="N1896" s="475">
        <v>44652</v>
      </c>
      <c r="O1896" s="475"/>
      <c r="P1896" s="475"/>
      <c r="Q1896" s="475" t="s">
        <v>1093</v>
      </c>
      <c r="R1896" s="475"/>
      <c r="S1896" s="474" t="s">
        <v>1102</v>
      </c>
      <c r="T1896" s="474">
        <v>60</v>
      </c>
      <c r="U1896" s="474">
        <v>49201132</v>
      </c>
      <c r="V1896" s="474" t="s">
        <v>986</v>
      </c>
      <c r="W1896" s="476">
        <v>360</v>
      </c>
      <c r="X1896" s="402">
        <v>768</v>
      </c>
      <c r="Y1896" s="491">
        <f t="shared" si="313"/>
        <v>276480</v>
      </c>
      <c r="Z1896" s="478">
        <v>0.53</v>
      </c>
      <c r="AA1896" s="479">
        <f>Y1896*Z1896</f>
        <v>146534.39999999999</v>
      </c>
      <c r="AB1896" s="480"/>
      <c r="AC1896" s="481">
        <v>0</v>
      </c>
      <c r="AD1896" s="490"/>
      <c r="AE1896" s="482"/>
      <c r="AF1896" s="493">
        <f t="shared" si="314"/>
        <v>146534.39999999999</v>
      </c>
      <c r="AG1896" s="474" t="s">
        <v>47</v>
      </c>
      <c r="AH1896" s="474"/>
      <c r="AI1896" s="474">
        <v>45</v>
      </c>
      <c r="AJ1896" s="474" t="s">
        <v>1146</v>
      </c>
      <c r="AK1896" s="474" t="s">
        <v>50</v>
      </c>
      <c r="AL1896" s="494">
        <v>94577</v>
      </c>
      <c r="AM1896" s="474" t="s">
        <v>52</v>
      </c>
      <c r="AN1896" s="474" t="s">
        <v>1074</v>
      </c>
      <c r="AO1896" s="474"/>
      <c r="AP1896" s="482"/>
      <c r="AQ1896" s="482"/>
      <c r="AR1896" s="474"/>
      <c r="AS1896" s="436"/>
      <c r="AT1896" s="281" t="s">
        <v>1076</v>
      </c>
      <c r="AU1896" s="472"/>
      <c r="AV1896" s="471">
        <f t="shared" si="310"/>
        <v>49201132</v>
      </c>
      <c r="AW1896" s="471" cm="1">
        <f t="array" ref="AW1896">SUM(MID(0&amp;AV1896,LARGE(INDEX(ISNUMBER(--MID(AV1896,ROW($1:$8),1))*ROW($1:$8),),ROW($1:$8))+1,1)*10^ROW($1:$8)/10)</f>
        <v>49201132</v>
      </c>
      <c r="AX1896" s="471" t="str">
        <f>VLOOKUP($AW1896,'Item Master Data'!$A:$F,3,FALSE)</f>
        <v>Q.PEAK DUO BLK G10+</v>
      </c>
      <c r="AY1896" s="471">
        <f>VLOOKUP($AW1896,'Item Master Data'!$A:$F,6,FALSE)</f>
        <v>360</v>
      </c>
      <c r="AZ1896" s="471">
        <f t="shared" si="311"/>
        <v>24</v>
      </c>
      <c r="BA1896" s="471">
        <f>VLOOKUP(AW1896,'Item Master Data'!$A:$G,7,FALSE)</f>
        <v>32</v>
      </c>
      <c r="BC1896" s="471">
        <f t="shared" si="312"/>
        <v>0</v>
      </c>
    </row>
    <row r="1897" spans="1:55" s="471" customFormat="1">
      <c r="A1897" s="278"/>
      <c r="B1897" s="279"/>
      <c r="C1897" s="279"/>
      <c r="D1897" s="394" t="s">
        <v>3678</v>
      </c>
      <c r="E1897" s="280" t="s">
        <v>3978</v>
      </c>
      <c r="F1897" s="474"/>
      <c r="G1897" s="474">
        <v>2022</v>
      </c>
      <c r="H1897" s="474">
        <v>5</v>
      </c>
      <c r="I1897" s="485"/>
      <c r="J1897" s="475"/>
      <c r="K1897" s="474" t="s">
        <v>3979</v>
      </c>
      <c r="L1897" s="474" t="s">
        <v>1120</v>
      </c>
      <c r="M1897" s="475">
        <v>44606</v>
      </c>
      <c r="N1897" s="475">
        <v>44683</v>
      </c>
      <c r="O1897" s="475"/>
      <c r="P1897" s="475"/>
      <c r="Q1897" s="475"/>
      <c r="R1897" s="475"/>
      <c r="S1897" s="474" t="s">
        <v>1102</v>
      </c>
      <c r="T1897" s="474">
        <v>60</v>
      </c>
      <c r="U1897" s="474">
        <v>49201132</v>
      </c>
      <c r="V1897" s="474" t="s">
        <v>986</v>
      </c>
      <c r="W1897" s="476">
        <v>360</v>
      </c>
      <c r="X1897" s="402">
        <v>768</v>
      </c>
      <c r="Y1897" s="491">
        <f t="shared" si="313"/>
        <v>276480</v>
      </c>
      <c r="Z1897" s="478">
        <v>0.51</v>
      </c>
      <c r="AA1897" s="479">
        <f>Y1897*Z1897</f>
        <v>141004.79999999999</v>
      </c>
      <c r="AB1897" s="480"/>
      <c r="AC1897" s="481">
        <v>0</v>
      </c>
      <c r="AD1897" s="490"/>
      <c r="AE1897" s="482"/>
      <c r="AF1897" s="493">
        <f t="shared" si="314"/>
        <v>141004.79999999999</v>
      </c>
      <c r="AG1897" s="474" t="s">
        <v>47</v>
      </c>
      <c r="AH1897" s="474"/>
      <c r="AI1897" s="474">
        <v>45</v>
      </c>
      <c r="AJ1897" s="474" t="s">
        <v>1146</v>
      </c>
      <c r="AK1897" s="474" t="s">
        <v>50</v>
      </c>
      <c r="AL1897" s="494">
        <v>94577</v>
      </c>
      <c r="AM1897" s="474" t="s">
        <v>52</v>
      </c>
      <c r="AN1897" s="474" t="s">
        <v>1074</v>
      </c>
      <c r="AO1897" s="474"/>
      <c r="AP1897" s="482"/>
      <c r="AQ1897" s="482"/>
      <c r="AR1897" s="474"/>
      <c r="AS1897" s="436"/>
      <c r="AT1897" s="281" t="s">
        <v>1076</v>
      </c>
      <c r="AU1897" s="472"/>
      <c r="AV1897" s="471">
        <f t="shared" si="310"/>
        <v>49201132</v>
      </c>
      <c r="AW1897" s="471" cm="1">
        <f t="array" ref="AW1897">SUM(MID(0&amp;AV1897,LARGE(INDEX(ISNUMBER(--MID(AV1897,ROW($1:$8),1))*ROW($1:$8),),ROW($1:$8))+1,1)*10^ROW($1:$8)/10)</f>
        <v>49201132</v>
      </c>
      <c r="AX1897" s="471" t="str">
        <f>VLOOKUP($AW1897,'Item Master Data'!$A:$F,3,FALSE)</f>
        <v>Q.PEAK DUO BLK G10+</v>
      </c>
      <c r="AY1897" s="471">
        <f>VLOOKUP($AW1897,'Item Master Data'!$A:$F,6,FALSE)</f>
        <v>360</v>
      </c>
      <c r="AZ1897" s="471">
        <f t="shared" si="311"/>
        <v>24</v>
      </c>
      <c r="BA1897" s="471">
        <f>VLOOKUP(AW1897,'Item Master Data'!$A:$G,7,FALSE)</f>
        <v>32</v>
      </c>
      <c r="BC1897" s="471">
        <f t="shared" si="312"/>
        <v>0</v>
      </c>
    </row>
    <row r="1898" spans="1:55" s="471" customFormat="1">
      <c r="A1898" s="278"/>
      <c r="B1898" s="279"/>
      <c r="C1898" s="279"/>
      <c r="D1898" s="394" t="s">
        <v>3678</v>
      </c>
      <c r="E1898" s="280" t="s">
        <v>5778</v>
      </c>
      <c r="F1898" s="474"/>
      <c r="G1898" s="474">
        <v>2022</v>
      </c>
      <c r="H1898" s="474">
        <v>4</v>
      </c>
      <c r="I1898" s="485" t="s">
        <v>3023</v>
      </c>
      <c r="J1898" s="475">
        <v>44673</v>
      </c>
      <c r="K1898" s="474" t="s">
        <v>3860</v>
      </c>
      <c r="L1898" s="475" t="s">
        <v>3697</v>
      </c>
      <c r="M1898" s="475">
        <v>44656</v>
      </c>
      <c r="N1898" s="475">
        <v>44656</v>
      </c>
      <c r="O1898" s="475"/>
      <c r="P1898" s="475">
        <v>44663</v>
      </c>
      <c r="Q1898" s="475">
        <v>44672</v>
      </c>
      <c r="R1898" s="475">
        <v>44676</v>
      </c>
      <c r="S1898" s="474" t="s">
        <v>1102</v>
      </c>
      <c r="T1898" s="474">
        <v>60</v>
      </c>
      <c r="U1898" s="474">
        <v>49405140</v>
      </c>
      <c r="V1898" s="474" t="s">
        <v>973</v>
      </c>
      <c r="W1898" s="476">
        <v>400</v>
      </c>
      <c r="X1898" s="402">
        <v>768</v>
      </c>
      <c r="Y1898" s="477">
        <f t="shared" si="313"/>
        <v>307200</v>
      </c>
      <c r="Z1898" s="478">
        <v>0.48</v>
      </c>
      <c r="AA1898" s="479">
        <f>Z1898*Y1898</f>
        <v>147456</v>
      </c>
      <c r="AB1898" s="480"/>
      <c r="AC1898" s="481">
        <f>AB1898*Y1898</f>
        <v>0</v>
      </c>
      <c r="AD1898" s="490"/>
      <c r="AE1898" s="482"/>
      <c r="AF1898" s="493">
        <f t="shared" si="314"/>
        <v>147456</v>
      </c>
      <c r="AG1898" s="474" t="s">
        <v>47</v>
      </c>
      <c r="AH1898" s="474"/>
      <c r="AI1898" s="474">
        <v>45</v>
      </c>
      <c r="AJ1898" s="474" t="s">
        <v>1210</v>
      </c>
      <c r="AK1898" s="474" t="s">
        <v>1096</v>
      </c>
      <c r="AL1898" s="494">
        <v>1501</v>
      </c>
      <c r="AM1898" s="474" t="s">
        <v>52</v>
      </c>
      <c r="AN1898" s="474" t="s">
        <v>1106</v>
      </c>
      <c r="AO1898" s="474"/>
      <c r="AP1898" s="482"/>
      <c r="AQ1898" s="482" t="s">
        <v>37</v>
      </c>
      <c r="AR1898" s="474"/>
      <c r="AS1898" s="436" t="s">
        <v>1076</v>
      </c>
      <c r="AT1898" s="281" t="s">
        <v>1076</v>
      </c>
      <c r="AU1898" s="472"/>
      <c r="AV1898" s="471">
        <f t="shared" si="310"/>
        <v>49405140</v>
      </c>
      <c r="AW1898" s="471" cm="1">
        <f t="array" ref="AW1898">SUM(MID(0&amp;AV1898,LARGE(INDEX(ISNUMBER(--MID(AV1898,ROW($1:$8),1))*ROW($1:$8),),ROW($1:$8))+1,1)*10^ROW($1:$8)/10)</f>
        <v>49405140</v>
      </c>
      <c r="AX1898" s="471" t="str">
        <f>VLOOKUP($AW1898,'Item Master Data'!$A:$F,3,FALSE)</f>
        <v>Q.PEAK DUO BLK ML G10+</v>
      </c>
      <c r="AY1898" s="471">
        <f>VLOOKUP($AW1898,'Item Master Data'!$A:$F,6,FALSE)</f>
        <v>400</v>
      </c>
      <c r="AZ1898" s="471">
        <f t="shared" si="311"/>
        <v>24</v>
      </c>
      <c r="BA1898" s="471">
        <f>VLOOKUP(AW1898,'Item Master Data'!$A:$G,7,FALSE)</f>
        <v>32</v>
      </c>
      <c r="BC1898" s="471">
        <f t="shared" si="312"/>
        <v>0</v>
      </c>
    </row>
    <row r="1899" spans="1:55" s="471" customFormat="1">
      <c r="A1899" s="278"/>
      <c r="B1899" s="279"/>
      <c r="C1899" s="279"/>
      <c r="D1899" s="394" t="s">
        <v>3678</v>
      </c>
      <c r="E1899" s="280" t="s">
        <v>5554</v>
      </c>
      <c r="F1899" s="474"/>
      <c r="G1899" s="474">
        <v>2022</v>
      </c>
      <c r="H1899" s="474">
        <v>4</v>
      </c>
      <c r="I1899" s="474"/>
      <c r="J1899" s="475"/>
      <c r="K1899" s="474" t="s">
        <v>3867</v>
      </c>
      <c r="L1899" s="475" t="s">
        <v>3697</v>
      </c>
      <c r="M1899" s="475">
        <v>44656</v>
      </c>
      <c r="N1899" s="475">
        <v>44656</v>
      </c>
      <c r="O1899" s="475"/>
      <c r="P1899" s="475">
        <v>44671</v>
      </c>
      <c r="Q1899" s="475">
        <v>44677</v>
      </c>
      <c r="R1899" s="475">
        <v>44680</v>
      </c>
      <c r="S1899" s="474" t="s">
        <v>1102</v>
      </c>
      <c r="T1899" s="474">
        <v>60</v>
      </c>
      <c r="U1899" s="474" t="s">
        <v>1760</v>
      </c>
      <c r="V1899" s="474" t="s">
        <v>973</v>
      </c>
      <c r="W1899" s="476">
        <v>400</v>
      </c>
      <c r="X1899" s="402">
        <v>768</v>
      </c>
      <c r="Y1899" s="477">
        <f t="shared" si="313"/>
        <v>307200</v>
      </c>
      <c r="Z1899" s="478">
        <v>0.48</v>
      </c>
      <c r="AA1899" s="479">
        <f>Z1899*Y1899</f>
        <v>147456</v>
      </c>
      <c r="AB1899" s="480"/>
      <c r="AC1899" s="481">
        <f>AB1899*Y1899</f>
        <v>0</v>
      </c>
      <c r="AD1899" s="490"/>
      <c r="AE1899" s="482"/>
      <c r="AF1899" s="493">
        <f t="shared" si="314"/>
        <v>147456</v>
      </c>
      <c r="AG1899" s="474" t="s">
        <v>47</v>
      </c>
      <c r="AH1899" s="474"/>
      <c r="AI1899" s="474">
        <v>45</v>
      </c>
      <c r="AJ1899" s="474" t="s">
        <v>3723</v>
      </c>
      <c r="AK1899" s="474" t="s">
        <v>1085</v>
      </c>
      <c r="AL1899" s="494">
        <v>7444</v>
      </c>
      <c r="AM1899" s="474" t="s">
        <v>52</v>
      </c>
      <c r="AN1899" s="474"/>
      <c r="AO1899" s="474"/>
      <c r="AP1899" s="482"/>
      <c r="AQ1899" s="482" t="s">
        <v>37</v>
      </c>
      <c r="AR1899" s="474"/>
      <c r="AS1899" s="436" t="s">
        <v>1076</v>
      </c>
      <c r="AT1899" s="281" t="s">
        <v>1076</v>
      </c>
      <c r="AU1899" s="472"/>
      <c r="AV1899" s="471" t="str">
        <f t="shared" si="310"/>
        <v>30390156H</v>
      </c>
      <c r="AW1899" s="471" cm="1">
        <f t="array" ref="AW1899">SUM(MID(0&amp;AV1899,LARGE(INDEX(ISNUMBER(--MID(AV1899,ROW($1:$8),1))*ROW($1:$8),),ROW($1:$8))+1,1)*10^ROW($1:$8)/10)</f>
        <v>30390156</v>
      </c>
      <c r="AX1899" s="471" t="str">
        <f>VLOOKUP($AW1899,'Item Master Data'!$A:$F,3,FALSE)</f>
        <v>Q.PEAK DUO BLK ML G10+</v>
      </c>
      <c r="AY1899" s="471">
        <f>VLOOKUP($AW1899,'Item Master Data'!$A:$F,6,FALSE)</f>
        <v>400</v>
      </c>
      <c r="AZ1899" s="471">
        <f t="shared" si="311"/>
        <v>24</v>
      </c>
      <c r="BA1899" s="471">
        <f>VLOOKUP(AW1899,'Item Master Data'!$A:$G,7,FALSE)</f>
        <v>32</v>
      </c>
      <c r="BC1899" s="471">
        <f t="shared" si="312"/>
        <v>0</v>
      </c>
    </row>
    <row r="1900" spans="1:55" s="471" customFormat="1">
      <c r="A1900" s="278"/>
      <c r="B1900" s="279"/>
      <c r="C1900" s="279"/>
      <c r="D1900" s="394" t="s">
        <v>3678</v>
      </c>
      <c r="E1900" s="280" t="s">
        <v>5305</v>
      </c>
      <c r="F1900" s="474"/>
      <c r="G1900" s="474">
        <v>2022</v>
      </c>
      <c r="H1900" s="474">
        <v>4</v>
      </c>
      <c r="I1900" s="474"/>
      <c r="J1900" s="475"/>
      <c r="K1900" s="474" t="s">
        <v>3872</v>
      </c>
      <c r="L1900" s="475" t="s">
        <v>3697</v>
      </c>
      <c r="M1900" s="475">
        <v>44665</v>
      </c>
      <c r="N1900" s="475">
        <v>44665</v>
      </c>
      <c r="O1900" s="475"/>
      <c r="P1900" s="475">
        <v>44671</v>
      </c>
      <c r="Q1900" s="475">
        <v>44678</v>
      </c>
      <c r="R1900" s="475">
        <v>44678</v>
      </c>
      <c r="S1900" s="474" t="s">
        <v>1102</v>
      </c>
      <c r="T1900" s="474">
        <v>60</v>
      </c>
      <c r="U1900" s="474" t="s">
        <v>1281</v>
      </c>
      <c r="V1900" s="474" t="s">
        <v>986</v>
      </c>
      <c r="W1900" s="476">
        <v>400</v>
      </c>
      <c r="X1900" s="402">
        <v>768</v>
      </c>
      <c r="Y1900" s="477">
        <f t="shared" si="313"/>
        <v>307200</v>
      </c>
      <c r="Z1900" s="478">
        <v>0.48</v>
      </c>
      <c r="AA1900" s="479">
        <f>Z1900*Y1900</f>
        <v>147456</v>
      </c>
      <c r="AB1900" s="480"/>
      <c r="AC1900" s="481">
        <f>AB1900*Y1900</f>
        <v>0</v>
      </c>
      <c r="AD1900" s="490"/>
      <c r="AE1900" s="482"/>
      <c r="AF1900" s="493">
        <f t="shared" si="314"/>
        <v>147456</v>
      </c>
      <c r="AG1900" s="474" t="s">
        <v>47</v>
      </c>
      <c r="AH1900" s="474"/>
      <c r="AI1900" s="474">
        <v>45</v>
      </c>
      <c r="AJ1900" s="474" t="s">
        <v>1950</v>
      </c>
      <c r="AK1900" s="474" t="s">
        <v>50</v>
      </c>
      <c r="AL1900" s="494">
        <v>91761</v>
      </c>
      <c r="AM1900" s="474" t="s">
        <v>52</v>
      </c>
      <c r="AN1900" s="474" t="s">
        <v>50</v>
      </c>
      <c r="AO1900" s="474"/>
      <c r="AP1900" s="482"/>
      <c r="AQ1900" s="482" t="s">
        <v>37</v>
      </c>
      <c r="AR1900" s="474"/>
      <c r="AS1900" s="436" t="s">
        <v>1076</v>
      </c>
      <c r="AT1900" s="281" t="s">
        <v>1076</v>
      </c>
      <c r="AU1900" s="472"/>
      <c r="AV1900" s="471" t="str">
        <f t="shared" si="310"/>
        <v>30390456H</v>
      </c>
      <c r="AW1900" s="471" cm="1">
        <f t="array" ref="AW1900">SUM(MID(0&amp;AV1900,LARGE(INDEX(ISNUMBER(--MID(AV1900,ROW($1:$8),1))*ROW($1:$8),),ROW($1:$8))+1,1)*10^ROW($1:$8)/10)</f>
        <v>30390456</v>
      </c>
      <c r="AX1900" s="471" t="str">
        <f>VLOOKUP($AW1900,'Item Master Data'!$A:$F,3,FALSE)</f>
        <v>Q.PEAK DUO BLK ML G10+</v>
      </c>
      <c r="AY1900" s="471">
        <f>VLOOKUP($AW1900,'Item Master Data'!$A:$F,6,FALSE)</f>
        <v>400</v>
      </c>
      <c r="AZ1900" s="471">
        <f t="shared" si="311"/>
        <v>24</v>
      </c>
      <c r="BA1900" s="471">
        <f>VLOOKUP(AW1900,'Item Master Data'!$A:$G,7,FALSE)</f>
        <v>32</v>
      </c>
      <c r="BC1900" s="471">
        <f t="shared" si="312"/>
        <v>0</v>
      </c>
    </row>
    <row r="1901" spans="1:55" s="471" customFormat="1">
      <c r="A1901" s="278"/>
      <c r="B1901" s="279"/>
      <c r="C1901" s="279"/>
      <c r="D1901" s="394" t="s">
        <v>3678</v>
      </c>
      <c r="E1901" s="280" t="s">
        <v>5776</v>
      </c>
      <c r="F1901" s="474"/>
      <c r="G1901" s="474">
        <v>2022</v>
      </c>
      <c r="H1901" s="474">
        <v>4</v>
      </c>
      <c r="I1901" s="679" t="s">
        <v>5408</v>
      </c>
      <c r="J1901" s="475">
        <v>44676</v>
      </c>
      <c r="K1901" s="474" t="s">
        <v>3898</v>
      </c>
      <c r="L1901" s="474" t="s">
        <v>3747</v>
      </c>
      <c r="M1901" s="475">
        <v>44512</v>
      </c>
      <c r="N1901" s="475">
        <v>44593</v>
      </c>
      <c r="O1901" s="475"/>
      <c r="P1901" s="475">
        <v>44628</v>
      </c>
      <c r="Q1901" s="475">
        <v>44677</v>
      </c>
      <c r="R1901" s="475">
        <v>44678</v>
      </c>
      <c r="S1901" s="474" t="s">
        <v>1102</v>
      </c>
      <c r="T1901" s="474">
        <v>60</v>
      </c>
      <c r="U1901" s="474">
        <v>49202132</v>
      </c>
      <c r="V1901" s="474" t="s">
        <v>1223</v>
      </c>
      <c r="W1901" s="476">
        <v>360</v>
      </c>
      <c r="X1901" s="402">
        <v>572</v>
      </c>
      <c r="Y1901" s="491">
        <f t="shared" si="313"/>
        <v>205920</v>
      </c>
      <c r="Z1901" s="478">
        <v>0.76</v>
      </c>
      <c r="AA1901" s="479">
        <f>Y1901*Z1901</f>
        <v>156499.20000000001</v>
      </c>
      <c r="AB1901" s="480"/>
      <c r="AC1901" s="481">
        <v>0</v>
      </c>
      <c r="AD1901" s="490"/>
      <c r="AE1901" s="482"/>
      <c r="AF1901" s="493">
        <f t="shared" si="314"/>
        <v>156499.20000000001</v>
      </c>
      <c r="AG1901" s="474" t="s">
        <v>1071</v>
      </c>
      <c r="AH1901" s="474"/>
      <c r="AI1901" s="474">
        <v>60</v>
      </c>
      <c r="AJ1901" s="474" t="s">
        <v>3748</v>
      </c>
      <c r="AK1901" s="474" t="s">
        <v>1138</v>
      </c>
      <c r="AL1901" s="494" t="s">
        <v>3749</v>
      </c>
      <c r="AM1901" s="474" t="s">
        <v>52</v>
      </c>
      <c r="AN1901" s="474" t="s">
        <v>1106</v>
      </c>
      <c r="AO1901" s="474"/>
      <c r="AP1901" s="482"/>
      <c r="AQ1901" s="482" t="s">
        <v>37</v>
      </c>
      <c r="AR1901" s="474"/>
      <c r="AS1901" s="436" t="s">
        <v>1076</v>
      </c>
      <c r="AT1901" s="281" t="s">
        <v>1076</v>
      </c>
      <c r="AU1901" s="472"/>
      <c r="AV1901" s="471">
        <f t="shared" si="310"/>
        <v>49202132</v>
      </c>
      <c r="AW1901" s="471" cm="1">
        <f t="array" ref="AW1901">SUM(MID(0&amp;AV1901,LARGE(INDEX(ISNUMBER(--MID(AV1901,ROW($1:$8),1))*ROW($1:$8),),ROW($1:$8))+1,1)*10^ROW($1:$8)/10)</f>
        <v>49202132</v>
      </c>
      <c r="AX1901" s="471" t="str">
        <f>VLOOKUP($AW1901,'Item Master Data'!$A:$F,3,FALSE)</f>
        <v>Q.PEAK DUO BLK G10+/AC</v>
      </c>
      <c r="AY1901" s="471">
        <f>VLOOKUP($AW1901,'Item Master Data'!$A:$F,6,FALSE)</f>
        <v>360</v>
      </c>
      <c r="AZ1901" s="471">
        <f t="shared" si="311"/>
        <v>22</v>
      </c>
      <c r="BA1901" s="471">
        <f>VLOOKUP(AW1901,'Item Master Data'!$A:$G,7,FALSE)</f>
        <v>26</v>
      </c>
      <c r="BC1901" s="471">
        <f t="shared" si="312"/>
        <v>0</v>
      </c>
    </row>
    <row r="1902" spans="1:55" s="471" customFormat="1">
      <c r="A1902" s="278"/>
      <c r="B1902" s="279"/>
      <c r="C1902" s="279"/>
      <c r="D1902" s="394" t="s">
        <v>3678</v>
      </c>
      <c r="E1902" s="280" t="s">
        <v>5778</v>
      </c>
      <c r="F1902" s="474"/>
      <c r="G1902" s="474">
        <v>2022</v>
      </c>
      <c r="H1902" s="474">
        <v>4</v>
      </c>
      <c r="I1902" s="485" t="s">
        <v>3023</v>
      </c>
      <c r="J1902" s="475">
        <v>44659</v>
      </c>
      <c r="K1902" s="474" t="s">
        <v>3947</v>
      </c>
      <c r="L1902" s="475" t="s">
        <v>3796</v>
      </c>
      <c r="M1902" s="475">
        <v>44641</v>
      </c>
      <c r="N1902" s="475">
        <v>44641</v>
      </c>
      <c r="O1902" s="475"/>
      <c r="P1902" s="475">
        <v>44656</v>
      </c>
      <c r="Q1902" s="475">
        <v>44659</v>
      </c>
      <c r="R1902" s="475">
        <v>44662</v>
      </c>
      <c r="S1902" s="474" t="s">
        <v>1102</v>
      </c>
      <c r="T1902" s="474">
        <v>60</v>
      </c>
      <c r="U1902" s="474">
        <v>49405140</v>
      </c>
      <c r="V1902" s="474" t="s">
        <v>973</v>
      </c>
      <c r="W1902" s="474">
        <v>400</v>
      </c>
      <c r="X1902" s="402">
        <v>832</v>
      </c>
      <c r="Y1902" s="477">
        <f t="shared" si="313"/>
        <v>332800</v>
      </c>
      <c r="Z1902" s="478">
        <v>0.48499999999999999</v>
      </c>
      <c r="AA1902" s="479">
        <f>Z1902*Y1902</f>
        <v>161408</v>
      </c>
      <c r="AB1902" s="480"/>
      <c r="AC1902" s="481">
        <f>AB1902*Y1902</f>
        <v>0</v>
      </c>
      <c r="AD1902" s="490"/>
      <c r="AE1902" s="482"/>
      <c r="AF1902" s="493">
        <f t="shared" si="314"/>
        <v>161408</v>
      </c>
      <c r="AG1902" s="474" t="s">
        <v>1071</v>
      </c>
      <c r="AH1902" s="474"/>
      <c r="AI1902" s="474">
        <v>60</v>
      </c>
      <c r="AJ1902" s="474" t="s">
        <v>1473</v>
      </c>
      <c r="AK1902" s="474" t="s">
        <v>1190</v>
      </c>
      <c r="AL1902" s="494">
        <v>6410</v>
      </c>
      <c r="AM1902" s="474" t="s">
        <v>52</v>
      </c>
      <c r="AN1902" s="474" t="s">
        <v>1106</v>
      </c>
      <c r="AO1902" s="474"/>
      <c r="AP1902" s="482"/>
      <c r="AQ1902" s="482" t="s">
        <v>37</v>
      </c>
      <c r="AR1902" s="474"/>
      <c r="AS1902" s="436" t="s">
        <v>1076</v>
      </c>
      <c r="AT1902" s="281" t="s">
        <v>1076</v>
      </c>
      <c r="AU1902" s="472"/>
      <c r="AV1902" s="471">
        <f t="shared" si="310"/>
        <v>49405140</v>
      </c>
      <c r="AW1902" s="471" cm="1">
        <f t="array" ref="AW1902">SUM(MID(0&amp;AV1902,LARGE(INDEX(ISNUMBER(--MID(AV1902,ROW($1:$8),1))*ROW($1:$8),),ROW($1:$8))+1,1)*10^ROW($1:$8)/10)</f>
        <v>49405140</v>
      </c>
      <c r="AX1902" s="471" t="str">
        <f>VLOOKUP($AW1902,'Item Master Data'!$A:$F,3,FALSE)</f>
        <v>Q.PEAK DUO BLK ML G10+</v>
      </c>
      <c r="AY1902" s="471">
        <f>VLOOKUP($AW1902,'Item Master Data'!$A:$F,6,FALSE)</f>
        <v>400</v>
      </c>
      <c r="AZ1902" s="471">
        <f t="shared" si="311"/>
        <v>26</v>
      </c>
      <c r="BA1902" s="471">
        <f>VLOOKUP(AW1902,'Item Master Data'!$A:$G,7,FALSE)</f>
        <v>32</v>
      </c>
      <c r="BC1902" s="471">
        <f t="shared" si="312"/>
        <v>0</v>
      </c>
    </row>
    <row r="1903" spans="1:55" s="471" customFormat="1">
      <c r="A1903" s="495"/>
      <c r="B1903" s="407" t="s">
        <v>1211</v>
      </c>
      <c r="C1903" s="407" t="s">
        <v>1211</v>
      </c>
      <c r="D1903" s="474" t="s">
        <v>3678</v>
      </c>
      <c r="E1903" s="283" t="s">
        <v>5777</v>
      </c>
      <c r="F1903" s="474"/>
      <c r="G1903" s="474">
        <v>2022</v>
      </c>
      <c r="H1903" s="474">
        <v>4</v>
      </c>
      <c r="I1903" s="485">
        <v>128168</v>
      </c>
      <c r="J1903" s="475">
        <v>44652</v>
      </c>
      <c r="K1903" s="474" t="s">
        <v>3875</v>
      </c>
      <c r="L1903" s="475" t="s">
        <v>1187</v>
      </c>
      <c r="M1903" s="475">
        <v>44484</v>
      </c>
      <c r="N1903" s="475">
        <v>44621</v>
      </c>
      <c r="O1903" s="475"/>
      <c r="P1903" s="475">
        <v>44634</v>
      </c>
      <c r="Q1903" s="475">
        <v>44650</v>
      </c>
      <c r="R1903" s="475">
        <v>44652</v>
      </c>
      <c r="S1903" s="474" t="s">
        <v>1102</v>
      </c>
      <c r="T1903" s="474">
        <v>60</v>
      </c>
      <c r="U1903" s="474">
        <v>49405140</v>
      </c>
      <c r="V1903" s="474" t="s">
        <v>973</v>
      </c>
      <c r="W1903" s="476">
        <v>400</v>
      </c>
      <c r="X1903" s="402">
        <v>1664</v>
      </c>
      <c r="Y1903" s="477">
        <f t="shared" si="313"/>
        <v>665600</v>
      </c>
      <c r="Z1903" s="478">
        <v>0.55000000000000004</v>
      </c>
      <c r="AA1903" s="479">
        <f>Y1903*Z1903</f>
        <v>366080.00000000006</v>
      </c>
      <c r="AB1903" s="386"/>
      <c r="AC1903" s="481">
        <v>0</v>
      </c>
      <c r="AD1903" s="474"/>
      <c r="AE1903" s="482"/>
      <c r="AF1903" s="493">
        <f t="shared" si="314"/>
        <v>366080.00000000006</v>
      </c>
      <c r="AG1903" s="474" t="s">
        <v>1071</v>
      </c>
      <c r="AH1903" s="447"/>
      <c r="AI1903" s="474">
        <v>60</v>
      </c>
      <c r="AJ1903" s="474" t="s">
        <v>1210</v>
      </c>
      <c r="AK1903" s="474" t="s">
        <v>1096</v>
      </c>
      <c r="AL1903" s="494">
        <v>1501</v>
      </c>
      <c r="AM1903" s="474" t="s">
        <v>52</v>
      </c>
      <c r="AN1903" s="474" t="s">
        <v>1074</v>
      </c>
      <c r="AO1903" s="474"/>
      <c r="AP1903" s="474"/>
      <c r="AQ1903" s="474" t="s">
        <v>37</v>
      </c>
      <c r="AR1903" s="474"/>
      <c r="AS1903" s="356" t="s">
        <v>1076</v>
      </c>
      <c r="AT1903" s="387" t="s">
        <v>1076</v>
      </c>
      <c r="AU1903" s="472"/>
      <c r="AV1903" s="471">
        <f t="shared" si="310"/>
        <v>49405140</v>
      </c>
      <c r="AW1903" s="471" cm="1">
        <f t="array" ref="AW1903">SUM(MID(0&amp;AV1903,LARGE(INDEX(ISNUMBER(--MID(AV1903,ROW($1:$8),1))*ROW($1:$8),),ROW($1:$8))+1,1)*10^ROW($1:$8)/10)</f>
        <v>49405140</v>
      </c>
      <c r="AX1903" s="471" t="str">
        <f>VLOOKUP($AW1903,'Item Master Data'!$A:$F,3,FALSE)</f>
        <v>Q.PEAK DUO BLK ML G10+</v>
      </c>
      <c r="AY1903" s="471">
        <f>VLOOKUP($AW1903,'Item Master Data'!$A:$F,6,FALSE)</f>
        <v>400</v>
      </c>
      <c r="AZ1903" s="471">
        <f t="shared" si="311"/>
        <v>52</v>
      </c>
      <c r="BA1903" s="471">
        <f>VLOOKUP(AW1903,'Item Master Data'!$A:$G,7,FALSE)</f>
        <v>32</v>
      </c>
      <c r="BC1903" s="471">
        <f t="shared" si="312"/>
        <v>0</v>
      </c>
    </row>
    <row r="1904" spans="1:55" s="471" customFormat="1">
      <c r="A1904" s="495"/>
      <c r="B1904" s="407" t="s">
        <v>1211</v>
      </c>
      <c r="C1904" s="407" t="s">
        <v>1211</v>
      </c>
      <c r="D1904" s="474" t="s">
        <v>3678</v>
      </c>
      <c r="E1904" s="283" t="s">
        <v>5777</v>
      </c>
      <c r="F1904" s="474"/>
      <c r="G1904" s="474">
        <v>2022</v>
      </c>
      <c r="H1904" s="474">
        <v>4</v>
      </c>
      <c r="I1904" s="485">
        <v>128168</v>
      </c>
      <c r="J1904" s="475">
        <v>44652</v>
      </c>
      <c r="K1904" s="474" t="s">
        <v>3875</v>
      </c>
      <c r="L1904" s="475" t="s">
        <v>1187</v>
      </c>
      <c r="M1904" s="475">
        <v>44484</v>
      </c>
      <c r="N1904" s="475">
        <v>44621</v>
      </c>
      <c r="O1904" s="475"/>
      <c r="P1904" s="475">
        <v>44634</v>
      </c>
      <c r="Q1904" s="475">
        <v>44652</v>
      </c>
      <c r="R1904" s="475">
        <v>44655</v>
      </c>
      <c r="S1904" s="474" t="s">
        <v>1102</v>
      </c>
      <c r="T1904" s="474">
        <v>60</v>
      </c>
      <c r="U1904" s="474">
        <v>49405140</v>
      </c>
      <c r="V1904" s="474" t="s">
        <v>973</v>
      </c>
      <c r="W1904" s="476">
        <v>400</v>
      </c>
      <c r="X1904" s="402">
        <v>2496</v>
      </c>
      <c r="Y1904" s="477">
        <f t="shared" si="313"/>
        <v>998400</v>
      </c>
      <c r="Z1904" s="478">
        <v>0.55000000000000004</v>
      </c>
      <c r="AA1904" s="492">
        <f>Y1904*Z1904</f>
        <v>549120</v>
      </c>
      <c r="AB1904" s="386"/>
      <c r="AC1904" s="481">
        <v>0</v>
      </c>
      <c r="AD1904" s="474"/>
      <c r="AE1904" s="482"/>
      <c r="AF1904" s="493">
        <f t="shared" si="314"/>
        <v>549120</v>
      </c>
      <c r="AG1904" s="474" t="s">
        <v>1071</v>
      </c>
      <c r="AH1904" s="447"/>
      <c r="AI1904" s="474">
        <v>60</v>
      </c>
      <c r="AJ1904" s="474" t="s">
        <v>1210</v>
      </c>
      <c r="AK1904" s="474" t="s">
        <v>1096</v>
      </c>
      <c r="AL1904" s="494">
        <v>1501</v>
      </c>
      <c r="AM1904" s="474" t="s">
        <v>52</v>
      </c>
      <c r="AN1904" s="474" t="s">
        <v>1074</v>
      </c>
      <c r="AO1904" s="474"/>
      <c r="AP1904" s="474"/>
      <c r="AQ1904" s="474" t="s">
        <v>37</v>
      </c>
      <c r="AR1904" s="474"/>
      <c r="AS1904" s="356" t="s">
        <v>1076</v>
      </c>
      <c r="AT1904" s="387" t="s">
        <v>1076</v>
      </c>
      <c r="AU1904" s="472"/>
      <c r="AV1904" s="471">
        <f t="shared" si="310"/>
        <v>49405140</v>
      </c>
      <c r="AW1904" s="471" cm="1">
        <f t="array" ref="AW1904">SUM(MID(0&amp;AV1904,LARGE(INDEX(ISNUMBER(--MID(AV1904,ROW($1:$8),1))*ROW($1:$8),),ROW($1:$8))+1,1)*10^ROW($1:$8)/10)</f>
        <v>49405140</v>
      </c>
      <c r="AX1904" s="471" t="str">
        <f>VLOOKUP($AW1904,'Item Master Data'!$A:$F,3,FALSE)</f>
        <v>Q.PEAK DUO BLK ML G10+</v>
      </c>
      <c r="AY1904" s="471">
        <f>VLOOKUP($AW1904,'Item Master Data'!$A:$F,6,FALSE)</f>
        <v>400</v>
      </c>
      <c r="AZ1904" s="471">
        <f t="shared" si="311"/>
        <v>78</v>
      </c>
      <c r="BA1904" s="471">
        <f>VLOOKUP(AW1904,'Item Master Data'!$A:$G,7,FALSE)</f>
        <v>32</v>
      </c>
      <c r="BC1904" s="471">
        <f t="shared" si="312"/>
        <v>0</v>
      </c>
    </row>
    <row r="1905" spans="1:55" s="471" customFormat="1">
      <c r="A1905" s="495"/>
      <c r="B1905" s="407" t="s">
        <v>1211</v>
      </c>
      <c r="C1905" s="407" t="s">
        <v>1211</v>
      </c>
      <c r="D1905" s="474" t="s">
        <v>3678</v>
      </c>
      <c r="E1905" s="283" t="s">
        <v>5555</v>
      </c>
      <c r="F1905" s="474"/>
      <c r="G1905" s="474">
        <v>2022</v>
      </c>
      <c r="H1905" s="474">
        <v>4</v>
      </c>
      <c r="I1905" s="485"/>
      <c r="J1905" s="475"/>
      <c r="K1905" s="474" t="s">
        <v>3877</v>
      </c>
      <c r="L1905" s="475" t="s">
        <v>1187</v>
      </c>
      <c r="M1905" s="475">
        <v>44484</v>
      </c>
      <c r="N1905" s="475">
        <v>44621</v>
      </c>
      <c r="O1905" s="475"/>
      <c r="P1905" s="475">
        <v>44673</v>
      </c>
      <c r="Q1905" s="475"/>
      <c r="R1905" s="475">
        <v>44680</v>
      </c>
      <c r="S1905" s="474" t="s">
        <v>1102</v>
      </c>
      <c r="T1905" s="474">
        <v>60</v>
      </c>
      <c r="U1905" s="474" t="s">
        <v>1760</v>
      </c>
      <c r="V1905" s="474" t="s">
        <v>973</v>
      </c>
      <c r="W1905" s="476">
        <v>400</v>
      </c>
      <c r="X1905" s="402">
        <v>832</v>
      </c>
      <c r="Y1905" s="491">
        <f t="shared" si="313"/>
        <v>332800</v>
      </c>
      <c r="Z1905" s="478">
        <v>0.55000000000000004</v>
      </c>
      <c r="AA1905" s="492">
        <f>Y1905*Z1905</f>
        <v>183040.00000000003</v>
      </c>
      <c r="AB1905" s="386"/>
      <c r="AC1905" s="481">
        <v>0</v>
      </c>
      <c r="AD1905" s="474"/>
      <c r="AE1905" s="482"/>
      <c r="AF1905" s="493">
        <f t="shared" si="314"/>
        <v>183040.00000000003</v>
      </c>
      <c r="AG1905" s="474" t="s">
        <v>1071</v>
      </c>
      <c r="AH1905" s="447"/>
      <c r="AI1905" s="474">
        <v>60</v>
      </c>
      <c r="AJ1905" s="474" t="s">
        <v>1210</v>
      </c>
      <c r="AK1905" s="474" t="s">
        <v>1096</v>
      </c>
      <c r="AL1905" s="494">
        <v>1501</v>
      </c>
      <c r="AM1905" s="474" t="s">
        <v>52</v>
      </c>
      <c r="AN1905" s="474" t="s">
        <v>1074</v>
      </c>
      <c r="AO1905" s="474"/>
      <c r="AP1905" s="474"/>
      <c r="AQ1905" s="474" t="s">
        <v>37</v>
      </c>
      <c r="AR1905" s="474"/>
      <c r="AS1905" s="356" t="s">
        <v>1076</v>
      </c>
      <c r="AT1905" s="387" t="s">
        <v>1076</v>
      </c>
      <c r="AU1905" s="472"/>
    </row>
    <row r="1906" spans="1:55" s="471" customFormat="1">
      <c r="A1906" s="278"/>
      <c r="B1906" s="279"/>
      <c r="C1906" s="279"/>
      <c r="D1906" s="394" t="s">
        <v>3678</v>
      </c>
      <c r="E1906" s="280" t="s">
        <v>5787</v>
      </c>
      <c r="F1906" s="474"/>
      <c r="G1906" s="474">
        <v>2022</v>
      </c>
      <c r="H1906" s="474">
        <v>4</v>
      </c>
      <c r="I1906" s="485">
        <v>128223</v>
      </c>
      <c r="J1906" s="475">
        <v>44658</v>
      </c>
      <c r="K1906" s="474" t="s">
        <v>3951</v>
      </c>
      <c r="L1906" s="475" t="s">
        <v>3796</v>
      </c>
      <c r="M1906" s="475">
        <v>44641</v>
      </c>
      <c r="N1906" s="475">
        <v>44641</v>
      </c>
      <c r="O1906" s="475"/>
      <c r="P1906" s="475">
        <v>44656</v>
      </c>
      <c r="Q1906" s="475">
        <v>44658</v>
      </c>
      <c r="R1906" s="475">
        <v>44662</v>
      </c>
      <c r="S1906" s="474" t="s">
        <v>1102</v>
      </c>
      <c r="T1906" s="474">
        <v>60</v>
      </c>
      <c r="U1906" s="474">
        <v>49405140</v>
      </c>
      <c r="V1906" s="474" t="s">
        <v>973</v>
      </c>
      <c r="W1906" s="474">
        <v>400</v>
      </c>
      <c r="X1906" s="402">
        <v>832</v>
      </c>
      <c r="Y1906" s="477">
        <f t="shared" si="313"/>
        <v>332800</v>
      </c>
      <c r="Z1906" s="478">
        <v>0.48499999999999999</v>
      </c>
      <c r="AA1906" s="479">
        <f>Z1906*Y1906</f>
        <v>161408</v>
      </c>
      <c r="AB1906" s="480"/>
      <c r="AC1906" s="481">
        <f>AB1906*Y1906</f>
        <v>0</v>
      </c>
      <c r="AD1906" s="490"/>
      <c r="AE1906" s="482"/>
      <c r="AF1906" s="493">
        <f t="shared" si="314"/>
        <v>161408</v>
      </c>
      <c r="AG1906" s="474" t="s">
        <v>1071</v>
      </c>
      <c r="AH1906" s="474"/>
      <c r="AI1906" s="474">
        <v>60</v>
      </c>
      <c r="AJ1906" s="474" t="s">
        <v>3807</v>
      </c>
      <c r="AK1906" s="474" t="s">
        <v>1347</v>
      </c>
      <c r="AL1906" s="494">
        <v>19605</v>
      </c>
      <c r="AM1906" s="474" t="s">
        <v>52</v>
      </c>
      <c r="AN1906" s="474" t="s">
        <v>1106</v>
      </c>
      <c r="AO1906" s="474"/>
      <c r="AP1906" s="482"/>
      <c r="AQ1906" s="482" t="s">
        <v>37</v>
      </c>
      <c r="AR1906" s="474"/>
      <c r="AS1906" s="281" t="s">
        <v>1076</v>
      </c>
      <c r="AT1906" s="436" t="s">
        <v>1076</v>
      </c>
      <c r="AU1906" s="472"/>
      <c r="AV1906" s="471">
        <f t="shared" ref="AV1906:AV1925" si="315">U1906</f>
        <v>49405140</v>
      </c>
      <c r="AW1906" s="471" cm="1">
        <f t="array" ref="AW1906">SUM(MID(0&amp;AV1906,LARGE(INDEX(ISNUMBER(--MID(AV1906,ROW($1:$8),1))*ROW($1:$8),),ROW($1:$8))+1,1)*10^ROW($1:$8)/10)</f>
        <v>49405140</v>
      </c>
      <c r="AX1906" s="471" t="str">
        <f>VLOOKUP($AW1906,'Item Master Data'!$A:$F,3,FALSE)</f>
        <v>Q.PEAK DUO BLK ML G10+</v>
      </c>
      <c r="AY1906" s="471">
        <f>VLOOKUP($AW1906,'Item Master Data'!$A:$F,6,FALSE)</f>
        <v>400</v>
      </c>
      <c r="AZ1906" s="471">
        <f t="shared" ref="AZ1906:AZ1925" si="316">X1906/BA1906</f>
        <v>26</v>
      </c>
      <c r="BA1906" s="471">
        <f>VLOOKUP(AW1906,'Item Master Data'!$A:$G,7,FALSE)</f>
        <v>32</v>
      </c>
      <c r="BC1906" s="471">
        <f t="shared" ref="BC1906:BC1925" si="317">W1906-AY1906</f>
        <v>0</v>
      </c>
    </row>
    <row r="1907" spans="1:55" s="471" customFormat="1">
      <c r="A1907" s="278"/>
      <c r="B1907" s="279"/>
      <c r="C1907" s="279"/>
      <c r="D1907" s="394" t="s">
        <v>3678</v>
      </c>
      <c r="E1907" s="280" t="s">
        <v>5556</v>
      </c>
      <c r="F1907" s="485">
        <v>2</v>
      </c>
      <c r="G1907" s="474">
        <v>2022</v>
      </c>
      <c r="H1907" s="474">
        <v>4</v>
      </c>
      <c r="I1907" s="485"/>
      <c r="J1907" s="475"/>
      <c r="K1907" s="474" t="s">
        <v>3879</v>
      </c>
      <c r="L1907" s="474" t="s">
        <v>1228</v>
      </c>
      <c r="M1907" s="475">
        <v>44511</v>
      </c>
      <c r="N1907" s="475" t="s">
        <v>3880</v>
      </c>
      <c r="O1907" s="475"/>
      <c r="P1907" s="475">
        <v>44673</v>
      </c>
      <c r="Q1907" s="475"/>
      <c r="R1907" s="475"/>
      <c r="S1907" s="474" t="s">
        <v>1102</v>
      </c>
      <c r="T1907" s="474">
        <v>60</v>
      </c>
      <c r="U1907" s="474">
        <v>49203132</v>
      </c>
      <c r="V1907" s="474" t="s">
        <v>986</v>
      </c>
      <c r="W1907" s="476">
        <v>360</v>
      </c>
      <c r="X1907" s="402">
        <v>832</v>
      </c>
      <c r="Y1907" s="470">
        <f t="shared" si="313"/>
        <v>299520</v>
      </c>
      <c r="Z1907" s="478">
        <v>0.53</v>
      </c>
      <c r="AA1907" s="583">
        <f>Y1907*Z1907</f>
        <v>158745.60000000001</v>
      </c>
      <c r="AB1907" s="480"/>
      <c r="AC1907" s="481">
        <v>0</v>
      </c>
      <c r="AD1907" s="490"/>
      <c r="AE1907" s="482"/>
      <c r="AF1907" s="493">
        <f t="shared" si="314"/>
        <v>158745.60000000001</v>
      </c>
      <c r="AG1907" s="474" t="s">
        <v>1071</v>
      </c>
      <c r="AH1907" s="474"/>
      <c r="AI1907" s="474">
        <v>60</v>
      </c>
      <c r="AJ1907" s="474" t="s">
        <v>1233</v>
      </c>
      <c r="AK1907" s="474" t="s">
        <v>1190</v>
      </c>
      <c r="AL1907" s="494" t="s">
        <v>1234</v>
      </c>
      <c r="AM1907" s="474" t="s">
        <v>52</v>
      </c>
      <c r="AN1907" s="474" t="s">
        <v>1106</v>
      </c>
      <c r="AO1907" s="474"/>
      <c r="AP1907" s="482"/>
      <c r="AQ1907" s="482" t="s">
        <v>37</v>
      </c>
      <c r="AR1907" s="474"/>
      <c r="AS1907" s="436"/>
      <c r="AT1907" s="281"/>
      <c r="AU1907" s="472"/>
      <c r="AV1907" s="471">
        <f t="shared" si="315"/>
        <v>49203132</v>
      </c>
      <c r="AW1907" s="471" cm="1">
        <f t="array" ref="AW1907">SUM(MID(0&amp;AV1907,LARGE(INDEX(ISNUMBER(--MID(AV1907,ROW($1:$8),1))*ROW($1:$8),),ROW($1:$8))+1,1)*10^ROW($1:$8)/10)</f>
        <v>49203132</v>
      </c>
      <c r="AX1907" s="471" t="str">
        <f>VLOOKUP($AW1907,'Item Master Data'!$A:$F,3,FALSE)</f>
        <v>Q.PEAK DUO BLK G10+</v>
      </c>
      <c r="AY1907" s="471">
        <f>VLOOKUP($AW1907,'Item Master Data'!$A:$F,6,FALSE)</f>
        <v>360</v>
      </c>
      <c r="AZ1907" s="471">
        <f t="shared" si="316"/>
        <v>26</v>
      </c>
      <c r="BA1907" s="471">
        <f>VLOOKUP(AW1907,'Item Master Data'!$A:$G,7,FALSE)</f>
        <v>32</v>
      </c>
      <c r="BC1907" s="471">
        <f t="shared" si="317"/>
        <v>0</v>
      </c>
    </row>
    <row r="1908" spans="1:55" s="471" customFormat="1">
      <c r="A1908" s="278"/>
      <c r="B1908" s="279"/>
      <c r="C1908" s="279"/>
      <c r="D1908" s="394" t="s">
        <v>3678</v>
      </c>
      <c r="E1908" s="280" t="s">
        <v>5698</v>
      </c>
      <c r="F1908" s="474"/>
      <c r="G1908" s="474">
        <v>2022</v>
      </c>
      <c r="H1908" s="474">
        <v>4</v>
      </c>
      <c r="I1908" s="485"/>
      <c r="J1908" s="475"/>
      <c r="K1908" s="474" t="s">
        <v>3889</v>
      </c>
      <c r="L1908" s="474" t="s">
        <v>1309</v>
      </c>
      <c r="M1908" s="475">
        <v>44477</v>
      </c>
      <c r="N1908" s="475">
        <v>44652</v>
      </c>
      <c r="O1908" s="475"/>
      <c r="P1908" s="475">
        <v>44678</v>
      </c>
      <c r="Q1908" s="475">
        <v>44680</v>
      </c>
      <c r="R1908" s="475">
        <v>44685</v>
      </c>
      <c r="S1908" s="474" t="s">
        <v>1102</v>
      </c>
      <c r="T1908" s="474">
        <v>60</v>
      </c>
      <c r="U1908" s="474" t="s">
        <v>1760</v>
      </c>
      <c r="V1908" s="474" t="s">
        <v>973</v>
      </c>
      <c r="W1908" s="476">
        <v>400</v>
      </c>
      <c r="X1908" s="402">
        <v>768</v>
      </c>
      <c r="Y1908" s="491">
        <f t="shared" si="313"/>
        <v>307200</v>
      </c>
      <c r="Z1908" s="478">
        <v>0.46500000000000002</v>
      </c>
      <c r="AA1908" s="583">
        <f>Y1908*Z1908</f>
        <v>142848</v>
      </c>
      <c r="AB1908" s="480"/>
      <c r="AC1908" s="481">
        <v>0</v>
      </c>
      <c r="AD1908" s="490"/>
      <c r="AE1908" s="482"/>
      <c r="AF1908" s="493">
        <f t="shared" si="314"/>
        <v>142848</v>
      </c>
      <c r="AG1908" s="474" t="s">
        <v>1071</v>
      </c>
      <c r="AH1908" s="474"/>
      <c r="AI1908" s="474">
        <v>60</v>
      </c>
      <c r="AJ1908" s="474" t="s">
        <v>1194</v>
      </c>
      <c r="AK1908" s="474" t="s">
        <v>1073</v>
      </c>
      <c r="AL1908" s="494">
        <v>21046</v>
      </c>
      <c r="AM1908" s="474" t="s">
        <v>52</v>
      </c>
      <c r="AN1908" s="474" t="s">
        <v>50</v>
      </c>
      <c r="AO1908" s="474"/>
      <c r="AP1908" s="482" t="s">
        <v>92</v>
      </c>
      <c r="AQ1908" s="482"/>
      <c r="AR1908" s="474"/>
      <c r="AS1908" s="436"/>
      <c r="AT1908" s="281" t="s">
        <v>1076</v>
      </c>
      <c r="AU1908" s="472">
        <v>0.46500000000000002</v>
      </c>
      <c r="AV1908" s="471" t="str">
        <f t="shared" si="315"/>
        <v>30390156H</v>
      </c>
      <c r="AW1908" s="471" cm="1">
        <f t="array" ref="AW1908">SUM(MID(0&amp;AV1908,LARGE(INDEX(ISNUMBER(--MID(AV1908,ROW($1:$8),1))*ROW($1:$8),),ROW($1:$8))+1,1)*10^ROW($1:$8)/10)</f>
        <v>30390156</v>
      </c>
      <c r="AX1908" s="471" t="str">
        <f>VLOOKUP($AW1908,'Item Master Data'!$A:$F,3,FALSE)</f>
        <v>Q.PEAK DUO BLK ML G10+</v>
      </c>
      <c r="AY1908" s="471">
        <f>VLOOKUP($AW1908,'Item Master Data'!$A:$F,6,FALSE)</f>
        <v>400</v>
      </c>
      <c r="AZ1908" s="471">
        <f t="shared" si="316"/>
        <v>24</v>
      </c>
      <c r="BA1908" s="471">
        <f>VLOOKUP(AW1908,'Item Master Data'!$A:$G,7,FALSE)</f>
        <v>32</v>
      </c>
      <c r="BC1908" s="471">
        <f t="shared" si="317"/>
        <v>0</v>
      </c>
    </row>
    <row r="1909" spans="1:55" s="471" customFormat="1">
      <c r="A1909" s="278"/>
      <c r="B1909" s="279"/>
      <c r="C1909" s="279"/>
      <c r="D1909" s="394" t="s">
        <v>3678</v>
      </c>
      <c r="E1909" s="280" t="s">
        <v>5557</v>
      </c>
      <c r="F1909" s="474"/>
      <c r="G1909" s="474">
        <v>2022</v>
      </c>
      <c r="H1909" s="474">
        <v>4</v>
      </c>
      <c r="I1909" s="485"/>
      <c r="J1909" s="475"/>
      <c r="K1909" s="474" t="s">
        <v>3883</v>
      </c>
      <c r="L1909" s="474" t="s">
        <v>1228</v>
      </c>
      <c r="M1909" s="475">
        <v>44518</v>
      </c>
      <c r="N1909" s="475">
        <v>44648</v>
      </c>
      <c r="O1909" s="475">
        <v>44652</v>
      </c>
      <c r="P1909" s="475">
        <v>44673</v>
      </c>
      <c r="Q1909" s="475"/>
      <c r="R1909" s="475"/>
      <c r="S1909" s="474" t="s">
        <v>1102</v>
      </c>
      <c r="T1909" s="474">
        <v>60</v>
      </c>
      <c r="U1909" s="474" t="s">
        <v>1760</v>
      </c>
      <c r="V1909" s="474" t="s">
        <v>973</v>
      </c>
      <c r="W1909" s="476">
        <v>400</v>
      </c>
      <c r="X1909" s="402">
        <v>768</v>
      </c>
      <c r="Y1909" s="491">
        <f t="shared" si="313"/>
        <v>307200</v>
      </c>
      <c r="Z1909" s="478">
        <v>0.55000000000000004</v>
      </c>
      <c r="AA1909" s="583">
        <f>Y1909*Z1909</f>
        <v>168960</v>
      </c>
      <c r="AB1909" s="480"/>
      <c r="AC1909" s="481">
        <f>AB1909*Y1909</f>
        <v>0</v>
      </c>
      <c r="AD1909" s="490"/>
      <c r="AE1909" s="482"/>
      <c r="AF1909" s="493">
        <f t="shared" si="314"/>
        <v>168960</v>
      </c>
      <c r="AG1909" s="474" t="s">
        <v>1071</v>
      </c>
      <c r="AH1909" s="474"/>
      <c r="AI1909" s="474">
        <v>60</v>
      </c>
      <c r="AJ1909" s="474" t="s">
        <v>3735</v>
      </c>
      <c r="AK1909" s="474" t="s">
        <v>1190</v>
      </c>
      <c r="AL1909" s="494">
        <v>6492</v>
      </c>
      <c r="AM1909" s="474" t="s">
        <v>52</v>
      </c>
      <c r="AN1909" s="474" t="s">
        <v>1568</v>
      </c>
      <c r="AO1909" s="474"/>
      <c r="AP1909" s="482"/>
      <c r="AQ1909" s="482" t="s">
        <v>37</v>
      </c>
      <c r="AR1909" s="474" t="s">
        <v>3884</v>
      </c>
      <c r="AS1909" s="436" t="s">
        <v>1076</v>
      </c>
      <c r="AT1909" s="281" t="s">
        <v>1076</v>
      </c>
      <c r="AU1909" s="472">
        <v>0.52</v>
      </c>
      <c r="AV1909" s="471" t="str">
        <f t="shared" si="315"/>
        <v>30390156H</v>
      </c>
      <c r="AW1909" s="471" cm="1">
        <f t="array" ref="AW1909">SUM(MID(0&amp;AV1909,LARGE(INDEX(ISNUMBER(--MID(AV1909,ROW($1:$8),1))*ROW($1:$8),),ROW($1:$8))+1,1)*10^ROW($1:$8)/10)</f>
        <v>30390156</v>
      </c>
      <c r="AX1909" s="471" t="str">
        <f>VLOOKUP($AW1909,'Item Master Data'!$A:$F,3,FALSE)</f>
        <v>Q.PEAK DUO BLK ML G10+</v>
      </c>
      <c r="AY1909" s="471">
        <f>VLOOKUP($AW1909,'Item Master Data'!$A:$F,6,FALSE)</f>
        <v>400</v>
      </c>
      <c r="AZ1909" s="471">
        <f t="shared" si="316"/>
        <v>24</v>
      </c>
      <c r="BA1909" s="471">
        <f>VLOOKUP(AW1909,'Item Master Data'!$A:$G,7,FALSE)</f>
        <v>32</v>
      </c>
      <c r="BC1909" s="471">
        <f t="shared" si="317"/>
        <v>0</v>
      </c>
    </row>
    <row r="1910" spans="1:55" s="471" customFormat="1">
      <c r="A1910" s="278"/>
      <c r="B1910" s="279"/>
      <c r="C1910" s="279"/>
      <c r="D1910" s="394" t="s">
        <v>3678</v>
      </c>
      <c r="E1910" s="280" t="s">
        <v>5558</v>
      </c>
      <c r="F1910" s="474"/>
      <c r="G1910" s="474">
        <v>2022</v>
      </c>
      <c r="H1910" s="474">
        <v>4</v>
      </c>
      <c r="I1910" s="485"/>
      <c r="J1910" s="475"/>
      <c r="K1910" s="474" t="s">
        <v>3885</v>
      </c>
      <c r="L1910" s="474" t="s">
        <v>1295</v>
      </c>
      <c r="M1910" s="475">
        <v>44522</v>
      </c>
      <c r="N1910" s="475">
        <v>44606</v>
      </c>
      <c r="O1910" s="475"/>
      <c r="P1910" s="475">
        <v>44676</v>
      </c>
      <c r="Q1910" s="475"/>
      <c r="R1910" s="475"/>
      <c r="S1910" s="474" t="s">
        <v>1102</v>
      </c>
      <c r="T1910" s="474">
        <v>60</v>
      </c>
      <c r="U1910" s="474" t="s">
        <v>1760</v>
      </c>
      <c r="V1910" s="474" t="s">
        <v>973</v>
      </c>
      <c r="W1910" s="476">
        <v>400</v>
      </c>
      <c r="X1910" s="402">
        <v>768</v>
      </c>
      <c r="Y1910" s="491">
        <f t="shared" si="313"/>
        <v>307200</v>
      </c>
      <c r="Z1910" s="478">
        <v>0.55000000000000004</v>
      </c>
      <c r="AA1910" s="583">
        <f>Y1910*Z1910</f>
        <v>168960</v>
      </c>
      <c r="AB1910" s="480"/>
      <c r="AC1910" s="481">
        <v>0</v>
      </c>
      <c r="AD1910" s="490"/>
      <c r="AE1910" s="482"/>
      <c r="AF1910" s="493">
        <f t="shared" si="314"/>
        <v>168960</v>
      </c>
      <c r="AG1910" s="474" t="s">
        <v>1071</v>
      </c>
      <c r="AH1910" s="474"/>
      <c r="AI1910" s="474">
        <v>60</v>
      </c>
      <c r="AJ1910" s="474" t="s">
        <v>1296</v>
      </c>
      <c r="AK1910" s="474" t="s">
        <v>1297</v>
      </c>
      <c r="AL1910" s="494" t="s">
        <v>1298</v>
      </c>
      <c r="AM1910" s="474" t="s">
        <v>52</v>
      </c>
      <c r="AN1910" s="474" t="s">
        <v>50</v>
      </c>
      <c r="AO1910" s="474"/>
      <c r="AP1910" s="482"/>
      <c r="AQ1910" s="482" t="s">
        <v>37</v>
      </c>
      <c r="AR1910" s="474"/>
      <c r="AS1910" s="436"/>
      <c r="AT1910" s="281"/>
      <c r="AU1910" s="472"/>
      <c r="AV1910" s="471" t="str">
        <f t="shared" si="315"/>
        <v>30390156H</v>
      </c>
      <c r="AW1910" s="471" cm="1">
        <f t="array" ref="AW1910">SUM(MID(0&amp;AV1910,LARGE(INDEX(ISNUMBER(--MID(AV1910,ROW($1:$8),1))*ROW($1:$8),),ROW($1:$8))+1,1)*10^ROW($1:$8)/10)</f>
        <v>30390156</v>
      </c>
      <c r="AX1910" s="471" t="str">
        <f>VLOOKUP($AW1910,'Item Master Data'!$A:$F,3,FALSE)</f>
        <v>Q.PEAK DUO BLK ML G10+</v>
      </c>
      <c r="AY1910" s="471">
        <f>VLOOKUP($AW1910,'Item Master Data'!$A:$F,6,FALSE)</f>
        <v>400</v>
      </c>
      <c r="AZ1910" s="471">
        <f t="shared" si="316"/>
        <v>24</v>
      </c>
      <c r="BA1910" s="471">
        <f>VLOOKUP(AW1910,'Item Master Data'!$A:$G,7,FALSE)</f>
        <v>32</v>
      </c>
      <c r="BC1910" s="471">
        <f t="shared" si="317"/>
        <v>0</v>
      </c>
    </row>
    <row r="1911" spans="1:55" s="471" customFormat="1">
      <c r="A1911" s="278"/>
      <c r="B1911" s="279"/>
      <c r="C1911" s="279"/>
      <c r="D1911" s="394" t="s">
        <v>3678</v>
      </c>
      <c r="E1911" s="280" t="s">
        <v>5305</v>
      </c>
      <c r="F1911" s="474"/>
      <c r="G1911" s="474">
        <v>2022</v>
      </c>
      <c r="H1911" s="474">
        <v>4</v>
      </c>
      <c r="I1911" s="474"/>
      <c r="J1911" s="475"/>
      <c r="K1911" s="474" t="s">
        <v>3873</v>
      </c>
      <c r="L1911" s="475" t="s">
        <v>3697</v>
      </c>
      <c r="M1911" s="475">
        <v>44665</v>
      </c>
      <c r="N1911" s="475">
        <v>44665</v>
      </c>
      <c r="O1911" s="475"/>
      <c r="P1911" s="475">
        <v>44669</v>
      </c>
      <c r="Q1911" s="475">
        <v>44678</v>
      </c>
      <c r="R1911" s="475">
        <v>44678</v>
      </c>
      <c r="S1911" s="474" t="s">
        <v>1102</v>
      </c>
      <c r="T1911" s="474">
        <v>60</v>
      </c>
      <c r="U1911" s="474" t="s">
        <v>1281</v>
      </c>
      <c r="V1911" s="474" t="s">
        <v>986</v>
      </c>
      <c r="W1911" s="476">
        <v>400</v>
      </c>
      <c r="X1911" s="402">
        <v>768</v>
      </c>
      <c r="Y1911" s="477">
        <f t="shared" si="313"/>
        <v>307200</v>
      </c>
      <c r="Z1911" s="478">
        <v>0.48</v>
      </c>
      <c r="AA1911" s="479">
        <f>Z1911*Y1911</f>
        <v>147456</v>
      </c>
      <c r="AB1911" s="480"/>
      <c r="AC1911" s="481">
        <f>AB1911*Y1911</f>
        <v>0</v>
      </c>
      <c r="AD1911" s="490"/>
      <c r="AE1911" s="482"/>
      <c r="AF1911" s="493">
        <f t="shared" si="314"/>
        <v>147456</v>
      </c>
      <c r="AG1911" s="474" t="s">
        <v>47</v>
      </c>
      <c r="AH1911" s="474"/>
      <c r="AI1911" s="474">
        <v>45</v>
      </c>
      <c r="AJ1911" s="474" t="s">
        <v>1954</v>
      </c>
      <c r="AK1911" s="474" t="s">
        <v>50</v>
      </c>
      <c r="AL1911" s="494">
        <v>92121</v>
      </c>
      <c r="AM1911" s="474" t="s">
        <v>52</v>
      </c>
      <c r="AN1911" s="474" t="s">
        <v>50</v>
      </c>
      <c r="AO1911" s="474"/>
      <c r="AP1911" s="482"/>
      <c r="AQ1911" s="482" t="s">
        <v>37</v>
      </c>
      <c r="AR1911" s="474"/>
      <c r="AS1911" s="436" t="s">
        <v>1076</v>
      </c>
      <c r="AT1911" s="281" t="s">
        <v>1076</v>
      </c>
      <c r="AU1911" s="472"/>
      <c r="AV1911" s="471" t="str">
        <f t="shared" si="315"/>
        <v>30390456H</v>
      </c>
      <c r="AW1911" s="471" cm="1">
        <f t="array" ref="AW1911">SUM(MID(0&amp;AV1911,LARGE(INDEX(ISNUMBER(--MID(AV1911,ROW($1:$8),1))*ROW($1:$8),),ROW($1:$8))+1,1)*10^ROW($1:$8)/10)</f>
        <v>30390456</v>
      </c>
      <c r="AX1911" s="471" t="str">
        <f>VLOOKUP($AW1911,'Item Master Data'!$A:$F,3,FALSE)</f>
        <v>Q.PEAK DUO BLK ML G10+</v>
      </c>
      <c r="AY1911" s="471">
        <f>VLOOKUP($AW1911,'Item Master Data'!$A:$F,6,FALSE)</f>
        <v>400</v>
      </c>
      <c r="AZ1911" s="471">
        <f t="shared" si="316"/>
        <v>24</v>
      </c>
      <c r="BA1911" s="471">
        <f>VLOOKUP(AW1911,'Item Master Data'!$A:$G,7,FALSE)</f>
        <v>32</v>
      </c>
      <c r="BC1911" s="471">
        <f t="shared" si="317"/>
        <v>0</v>
      </c>
    </row>
    <row r="1912" spans="1:55" s="471" customFormat="1">
      <c r="A1912" s="278"/>
      <c r="B1912" s="279"/>
      <c r="C1912" s="279"/>
      <c r="D1912" s="394" t="s">
        <v>3678</v>
      </c>
      <c r="E1912" s="280" t="s">
        <v>5608</v>
      </c>
      <c r="F1912" s="381" t="s">
        <v>1147</v>
      </c>
      <c r="G1912" s="474">
        <v>2022</v>
      </c>
      <c r="H1912" s="474">
        <v>4</v>
      </c>
      <c r="I1912" s="485"/>
      <c r="J1912" s="475"/>
      <c r="K1912" s="474" t="s">
        <v>3886</v>
      </c>
      <c r="L1912" s="474" t="s">
        <v>1309</v>
      </c>
      <c r="M1912" s="475">
        <v>44477</v>
      </c>
      <c r="N1912" s="475">
        <v>44627</v>
      </c>
      <c r="O1912" s="475"/>
      <c r="P1912" s="475">
        <v>44678</v>
      </c>
      <c r="Q1912" s="475"/>
      <c r="R1912" s="475"/>
      <c r="S1912" s="474" t="s">
        <v>1102</v>
      </c>
      <c r="T1912" s="474">
        <v>60</v>
      </c>
      <c r="U1912" s="474">
        <v>49203132</v>
      </c>
      <c r="V1912" s="474" t="s">
        <v>986</v>
      </c>
      <c r="W1912" s="476">
        <v>360</v>
      </c>
      <c r="X1912" s="402">
        <v>2496</v>
      </c>
      <c r="Y1912" s="491">
        <f t="shared" si="313"/>
        <v>898560</v>
      </c>
      <c r="Z1912" s="478">
        <v>0.53</v>
      </c>
      <c r="AA1912" s="583">
        <f>Y1912*Z1912</f>
        <v>476236.80000000005</v>
      </c>
      <c r="AB1912" s="480"/>
      <c r="AC1912" s="481">
        <v>0</v>
      </c>
      <c r="AD1912" s="490"/>
      <c r="AE1912" s="482"/>
      <c r="AF1912" s="493">
        <f t="shared" si="314"/>
        <v>476236.80000000005</v>
      </c>
      <c r="AG1912" s="474" t="s">
        <v>1071</v>
      </c>
      <c r="AH1912" s="474"/>
      <c r="AI1912" s="474">
        <v>60</v>
      </c>
      <c r="AJ1912" s="474" t="s">
        <v>1194</v>
      </c>
      <c r="AK1912" s="474" t="s">
        <v>1073</v>
      </c>
      <c r="AL1912" s="494">
        <v>21046</v>
      </c>
      <c r="AM1912" s="474" t="s">
        <v>52</v>
      </c>
      <c r="AN1912" s="474" t="s">
        <v>1106</v>
      </c>
      <c r="AO1912" s="474"/>
      <c r="AP1912" s="482"/>
      <c r="AQ1912" s="482"/>
      <c r="AR1912" s="474"/>
      <c r="AS1912" s="436"/>
      <c r="AT1912" s="281" t="s">
        <v>1076</v>
      </c>
      <c r="AU1912" s="472"/>
      <c r="AV1912" s="471">
        <f t="shared" si="315"/>
        <v>49203132</v>
      </c>
      <c r="AW1912" s="471" cm="1">
        <f t="array" ref="AW1912">SUM(MID(0&amp;AV1912,LARGE(INDEX(ISNUMBER(--MID(AV1912,ROW($1:$8),1))*ROW($1:$8),),ROW($1:$8))+1,1)*10^ROW($1:$8)/10)</f>
        <v>49203132</v>
      </c>
      <c r="AX1912" s="471" t="str">
        <f>VLOOKUP($AW1912,'Item Master Data'!$A:$F,3,FALSE)</f>
        <v>Q.PEAK DUO BLK G10+</v>
      </c>
      <c r="AY1912" s="471">
        <f>VLOOKUP($AW1912,'Item Master Data'!$A:$F,6,FALSE)</f>
        <v>360</v>
      </c>
      <c r="AZ1912" s="471">
        <f t="shared" si="316"/>
        <v>78</v>
      </c>
      <c r="BA1912" s="471">
        <f>VLOOKUP(AW1912,'Item Master Data'!$A:$G,7,FALSE)</f>
        <v>32</v>
      </c>
      <c r="BC1912" s="471">
        <f t="shared" si="317"/>
        <v>0</v>
      </c>
    </row>
    <row r="1913" spans="1:55" s="471" customFormat="1">
      <c r="A1913" s="278"/>
      <c r="B1913" s="279"/>
      <c r="C1913" s="279"/>
      <c r="D1913" s="394" t="s">
        <v>3678</v>
      </c>
      <c r="E1913" s="280" t="s">
        <v>5787</v>
      </c>
      <c r="F1913" s="381"/>
      <c r="G1913" s="474">
        <v>2022</v>
      </c>
      <c r="H1913" s="474">
        <v>4</v>
      </c>
      <c r="I1913" s="485">
        <v>128225</v>
      </c>
      <c r="J1913" s="475">
        <v>44662</v>
      </c>
      <c r="K1913" s="474" t="s">
        <v>3950</v>
      </c>
      <c r="L1913" s="475" t="s">
        <v>3796</v>
      </c>
      <c r="M1913" s="475">
        <v>44641</v>
      </c>
      <c r="N1913" s="475">
        <v>44641</v>
      </c>
      <c r="O1913" s="475"/>
      <c r="P1913" s="475">
        <v>44656</v>
      </c>
      <c r="Q1913" s="475">
        <v>44662</v>
      </c>
      <c r="R1913" s="475">
        <v>44664</v>
      </c>
      <c r="S1913" s="474" t="s">
        <v>1102</v>
      </c>
      <c r="T1913" s="474">
        <v>60</v>
      </c>
      <c r="U1913" s="474">
        <v>49405140</v>
      </c>
      <c r="V1913" s="474" t="s">
        <v>973</v>
      </c>
      <c r="W1913" s="474">
        <v>400</v>
      </c>
      <c r="X1913" s="402">
        <v>832</v>
      </c>
      <c r="Y1913" s="477">
        <f t="shared" si="313"/>
        <v>332800</v>
      </c>
      <c r="Z1913" s="478">
        <v>0.48499999999999999</v>
      </c>
      <c r="AA1913" s="479">
        <f>Z1913*Y1913</f>
        <v>161408</v>
      </c>
      <c r="AB1913" s="480"/>
      <c r="AC1913" s="481">
        <f>AB1913*Y1913</f>
        <v>0</v>
      </c>
      <c r="AD1913" s="490"/>
      <c r="AE1913" s="482"/>
      <c r="AF1913" s="493">
        <f t="shared" si="314"/>
        <v>161408</v>
      </c>
      <c r="AG1913" s="474" t="s">
        <v>1071</v>
      </c>
      <c r="AH1913" s="474"/>
      <c r="AI1913" s="474">
        <v>60</v>
      </c>
      <c r="AJ1913" s="474" t="s">
        <v>3804</v>
      </c>
      <c r="AK1913" s="474" t="s">
        <v>1085</v>
      </c>
      <c r="AL1913" s="494">
        <v>7719</v>
      </c>
      <c r="AM1913" s="474" t="s">
        <v>52</v>
      </c>
      <c r="AN1913" s="474" t="s">
        <v>1106</v>
      </c>
      <c r="AO1913" s="474"/>
      <c r="AP1913" s="482"/>
      <c r="AQ1913" s="482" t="s">
        <v>37</v>
      </c>
      <c r="AR1913" s="474"/>
      <c r="AS1913" s="436" t="s">
        <v>1076</v>
      </c>
      <c r="AT1913" s="281" t="s">
        <v>1076</v>
      </c>
      <c r="AU1913" s="472"/>
      <c r="AV1913" s="471">
        <f t="shared" si="315"/>
        <v>49405140</v>
      </c>
      <c r="AW1913" s="471" cm="1">
        <f t="array" ref="AW1913">SUM(MID(0&amp;AV1913,LARGE(INDEX(ISNUMBER(--MID(AV1913,ROW($1:$8),1))*ROW($1:$8),),ROW($1:$8))+1,1)*10^ROW($1:$8)/10)</f>
        <v>49405140</v>
      </c>
      <c r="AX1913" s="471" t="str">
        <f>VLOOKUP($AW1913,'Item Master Data'!$A:$F,3,FALSE)</f>
        <v>Q.PEAK DUO BLK ML G10+</v>
      </c>
      <c r="AY1913" s="471">
        <f>VLOOKUP($AW1913,'Item Master Data'!$A:$F,6,FALSE)</f>
        <v>400</v>
      </c>
      <c r="AZ1913" s="471">
        <f t="shared" si="316"/>
        <v>26</v>
      </c>
      <c r="BA1913" s="471">
        <f>VLOOKUP(AW1913,'Item Master Data'!$A:$G,7,FALSE)</f>
        <v>32</v>
      </c>
      <c r="BC1913" s="471">
        <f t="shared" si="317"/>
        <v>0</v>
      </c>
    </row>
    <row r="1914" spans="1:55" s="471" customFormat="1">
      <c r="A1914" s="278"/>
      <c r="B1914" s="279"/>
      <c r="C1914" s="279"/>
      <c r="D1914" s="394" t="s">
        <v>3678</v>
      </c>
      <c r="E1914" s="280" t="s">
        <v>5609</v>
      </c>
      <c r="F1914" s="381"/>
      <c r="G1914" s="474">
        <v>2022</v>
      </c>
      <c r="H1914" s="474">
        <v>4</v>
      </c>
      <c r="I1914" s="485"/>
      <c r="J1914" s="475"/>
      <c r="K1914" s="474" t="s">
        <v>3890</v>
      </c>
      <c r="L1914" s="474" t="s">
        <v>1309</v>
      </c>
      <c r="M1914" s="475">
        <v>44504</v>
      </c>
      <c r="N1914" s="475">
        <v>44621</v>
      </c>
      <c r="O1914" s="475"/>
      <c r="P1914" s="475">
        <v>44678</v>
      </c>
      <c r="Q1914" s="475"/>
      <c r="R1914" s="475"/>
      <c r="S1914" s="474" t="s">
        <v>1102</v>
      </c>
      <c r="T1914" s="474">
        <v>60</v>
      </c>
      <c r="U1914" s="474">
        <v>49203132</v>
      </c>
      <c r="V1914" s="474" t="s">
        <v>986</v>
      </c>
      <c r="W1914" s="476">
        <v>360</v>
      </c>
      <c r="X1914" s="402">
        <v>1664</v>
      </c>
      <c r="Y1914" s="491">
        <f t="shared" si="313"/>
        <v>599040</v>
      </c>
      <c r="Z1914" s="478">
        <v>0.53</v>
      </c>
      <c r="AA1914" s="583">
        <f>Y1914*Z1914</f>
        <v>317491.20000000001</v>
      </c>
      <c r="AB1914" s="480"/>
      <c r="AC1914" s="481">
        <v>0</v>
      </c>
      <c r="AD1914" s="490"/>
      <c r="AE1914" s="482"/>
      <c r="AF1914" s="493">
        <f t="shared" si="314"/>
        <v>317491.20000000001</v>
      </c>
      <c r="AG1914" s="474" t="s">
        <v>1071</v>
      </c>
      <c r="AH1914" s="474"/>
      <c r="AI1914" s="474">
        <v>60</v>
      </c>
      <c r="AJ1914" s="474" t="s">
        <v>1194</v>
      </c>
      <c r="AK1914" s="474" t="s">
        <v>1073</v>
      </c>
      <c r="AL1914" s="494">
        <v>21046</v>
      </c>
      <c r="AM1914" s="474" t="s">
        <v>52</v>
      </c>
      <c r="AN1914" s="474" t="s">
        <v>1106</v>
      </c>
      <c r="AO1914" s="474"/>
      <c r="AP1914" s="482"/>
      <c r="AQ1914" s="482"/>
      <c r="AR1914" s="474"/>
      <c r="AS1914" s="436"/>
      <c r="AT1914" s="281" t="s">
        <v>1076</v>
      </c>
      <c r="AU1914" s="472"/>
      <c r="AV1914" s="471">
        <f t="shared" si="315"/>
        <v>49203132</v>
      </c>
      <c r="AW1914" s="471" cm="1">
        <f t="array" ref="AW1914">SUM(MID(0&amp;AV1914,LARGE(INDEX(ISNUMBER(--MID(AV1914,ROW($1:$8),1))*ROW($1:$8),),ROW($1:$8))+1,1)*10^ROW($1:$8)/10)</f>
        <v>49203132</v>
      </c>
      <c r="AX1914" s="471" t="str">
        <f>VLOOKUP($AW1914,'Item Master Data'!$A:$F,3,FALSE)</f>
        <v>Q.PEAK DUO BLK G10+</v>
      </c>
      <c r="AY1914" s="471">
        <f>VLOOKUP($AW1914,'Item Master Data'!$A:$F,6,FALSE)</f>
        <v>360</v>
      </c>
      <c r="AZ1914" s="471">
        <f t="shared" si="316"/>
        <v>52</v>
      </c>
      <c r="BA1914" s="471">
        <f>VLOOKUP(AW1914,'Item Master Data'!$A:$G,7,FALSE)</f>
        <v>32</v>
      </c>
      <c r="BC1914" s="471">
        <f t="shared" si="317"/>
        <v>0</v>
      </c>
    </row>
    <row r="1915" spans="1:55" s="471" customFormat="1">
      <c r="A1915" s="278"/>
      <c r="B1915" s="279"/>
      <c r="C1915" s="279"/>
      <c r="D1915" s="394" t="s">
        <v>3678</v>
      </c>
      <c r="E1915" s="280" t="s">
        <v>5700</v>
      </c>
      <c r="F1915" s="485"/>
      <c r="G1915" s="474">
        <v>2022</v>
      </c>
      <c r="H1915" s="474">
        <v>4</v>
      </c>
      <c r="I1915" s="485" t="s">
        <v>5701</v>
      </c>
      <c r="J1915" s="475"/>
      <c r="K1915" s="474" t="s">
        <v>3891</v>
      </c>
      <c r="L1915" s="474" t="s">
        <v>1340</v>
      </c>
      <c r="M1915" s="475">
        <v>44504</v>
      </c>
      <c r="N1915" s="475">
        <v>44621</v>
      </c>
      <c r="O1915" s="475"/>
      <c r="P1915" s="475">
        <v>44679</v>
      </c>
      <c r="Q1915" s="475"/>
      <c r="R1915" s="475"/>
      <c r="S1915" s="474" t="s">
        <v>1102</v>
      </c>
      <c r="T1915" s="474">
        <v>60</v>
      </c>
      <c r="U1915" s="474">
        <v>49203132</v>
      </c>
      <c r="V1915" s="474" t="s">
        <v>986</v>
      </c>
      <c r="W1915" s="476">
        <v>360</v>
      </c>
      <c r="X1915" s="402">
        <v>832</v>
      </c>
      <c r="Y1915" s="491">
        <f t="shared" si="313"/>
        <v>299520</v>
      </c>
      <c r="Z1915" s="478">
        <v>0.53</v>
      </c>
      <c r="AA1915" s="583">
        <f>Y1915*Z1915</f>
        <v>158745.60000000001</v>
      </c>
      <c r="AB1915" s="480"/>
      <c r="AC1915" s="481">
        <v>0</v>
      </c>
      <c r="AD1915" s="490"/>
      <c r="AE1915" s="482"/>
      <c r="AF1915" s="493">
        <f t="shared" si="314"/>
        <v>158745.60000000001</v>
      </c>
      <c r="AG1915" s="474" t="s">
        <v>1071</v>
      </c>
      <c r="AH1915" s="474"/>
      <c r="AI1915" s="474">
        <v>60</v>
      </c>
      <c r="AJ1915" s="474" t="s">
        <v>1342</v>
      </c>
      <c r="AK1915" s="474" t="s">
        <v>1085</v>
      </c>
      <c r="AL1915" s="494">
        <v>8110</v>
      </c>
      <c r="AM1915" s="474" t="s">
        <v>52</v>
      </c>
      <c r="AN1915" s="474" t="s">
        <v>1106</v>
      </c>
      <c r="AO1915" s="474"/>
      <c r="AP1915" s="482"/>
      <c r="AQ1915" s="482"/>
      <c r="AR1915" s="474"/>
      <c r="AS1915" s="436"/>
      <c r="AT1915" s="281" t="s">
        <v>1076</v>
      </c>
      <c r="AU1915" s="472"/>
      <c r="AV1915" s="471">
        <f t="shared" si="315"/>
        <v>49203132</v>
      </c>
      <c r="AW1915" s="471" cm="1">
        <f t="array" ref="AW1915">SUM(MID(0&amp;AV1915,LARGE(INDEX(ISNUMBER(--MID(AV1915,ROW($1:$8),1))*ROW($1:$8),),ROW($1:$8))+1,1)*10^ROW($1:$8)/10)</f>
        <v>49203132</v>
      </c>
      <c r="AX1915" s="471" t="str">
        <f>VLOOKUP($AW1915,'Item Master Data'!$A:$F,3,FALSE)</f>
        <v>Q.PEAK DUO BLK G10+</v>
      </c>
      <c r="AY1915" s="471">
        <f>VLOOKUP($AW1915,'Item Master Data'!$A:$F,6,FALSE)</f>
        <v>360</v>
      </c>
      <c r="AZ1915" s="471">
        <f t="shared" si="316"/>
        <v>26</v>
      </c>
      <c r="BA1915" s="471">
        <f>VLOOKUP(AW1915,'Item Master Data'!$A:$G,7,FALSE)</f>
        <v>32</v>
      </c>
      <c r="BC1915" s="471">
        <f t="shared" si="317"/>
        <v>0</v>
      </c>
    </row>
    <row r="1916" spans="1:55" s="471" customFormat="1">
      <c r="A1916" s="278"/>
      <c r="B1916" s="279"/>
      <c r="C1916" s="279"/>
      <c r="D1916" s="394" t="s">
        <v>3678</v>
      </c>
      <c r="E1916" s="280" t="s">
        <v>5305</v>
      </c>
      <c r="F1916" s="474"/>
      <c r="G1916" s="474">
        <v>2022</v>
      </c>
      <c r="H1916" s="474">
        <v>4</v>
      </c>
      <c r="I1916" s="474"/>
      <c r="J1916" s="475"/>
      <c r="K1916" s="474" t="s">
        <v>3874</v>
      </c>
      <c r="L1916" s="475" t="s">
        <v>3697</v>
      </c>
      <c r="M1916" s="475">
        <v>44665</v>
      </c>
      <c r="N1916" s="475">
        <v>44665</v>
      </c>
      <c r="O1916" s="475"/>
      <c r="P1916" s="475">
        <v>44671</v>
      </c>
      <c r="Q1916" s="475">
        <v>44679</v>
      </c>
      <c r="R1916" s="475">
        <v>44679</v>
      </c>
      <c r="S1916" s="474" t="s">
        <v>1102</v>
      </c>
      <c r="T1916" s="474">
        <v>60</v>
      </c>
      <c r="U1916" s="474" t="s">
        <v>1281</v>
      </c>
      <c r="V1916" s="474" t="s">
        <v>986</v>
      </c>
      <c r="W1916" s="476">
        <v>400</v>
      </c>
      <c r="X1916" s="402">
        <v>768</v>
      </c>
      <c r="Y1916" s="477">
        <f t="shared" si="313"/>
        <v>307200</v>
      </c>
      <c r="Z1916" s="478">
        <v>0.48</v>
      </c>
      <c r="AA1916" s="479">
        <f t="shared" ref="AA1916:AA1922" si="318">Z1916*Y1916</f>
        <v>147456</v>
      </c>
      <c r="AB1916" s="480"/>
      <c r="AC1916" s="481">
        <f t="shared" ref="AC1916:AC1922" si="319">AB1916*Y1916</f>
        <v>0</v>
      </c>
      <c r="AD1916" s="490"/>
      <c r="AE1916" s="482"/>
      <c r="AF1916" s="493">
        <f t="shared" si="314"/>
        <v>147456</v>
      </c>
      <c r="AG1916" s="474" t="s">
        <v>47</v>
      </c>
      <c r="AH1916" s="474"/>
      <c r="AI1916" s="474">
        <v>45</v>
      </c>
      <c r="AJ1916" s="474" t="s">
        <v>1950</v>
      </c>
      <c r="AK1916" s="474" t="s">
        <v>50</v>
      </c>
      <c r="AL1916" s="494">
        <v>91761</v>
      </c>
      <c r="AM1916" s="474" t="s">
        <v>52</v>
      </c>
      <c r="AN1916" s="474" t="s">
        <v>50</v>
      </c>
      <c r="AO1916" s="474"/>
      <c r="AP1916" s="482"/>
      <c r="AQ1916" s="482" t="s">
        <v>37</v>
      </c>
      <c r="AR1916" s="474"/>
      <c r="AS1916" s="436" t="s">
        <v>1076</v>
      </c>
      <c r="AT1916" s="281" t="s">
        <v>1076</v>
      </c>
      <c r="AU1916" s="472"/>
      <c r="AV1916" s="471" t="str">
        <f t="shared" si="315"/>
        <v>30390456H</v>
      </c>
      <c r="AW1916" s="471" cm="1">
        <f t="array" ref="AW1916">SUM(MID(0&amp;AV1916,LARGE(INDEX(ISNUMBER(--MID(AV1916,ROW($1:$8),1))*ROW($1:$8),),ROW($1:$8))+1,1)*10^ROW($1:$8)/10)</f>
        <v>30390456</v>
      </c>
      <c r="AX1916" s="471" t="str">
        <f>VLOOKUP($AW1916,'Item Master Data'!$A:$F,3,FALSE)</f>
        <v>Q.PEAK DUO BLK ML G10+</v>
      </c>
      <c r="AY1916" s="471">
        <f>VLOOKUP($AW1916,'Item Master Data'!$A:$F,6,FALSE)</f>
        <v>400</v>
      </c>
      <c r="AZ1916" s="471">
        <f t="shared" si="316"/>
        <v>24</v>
      </c>
      <c r="BA1916" s="471">
        <f>VLOOKUP(AW1916,'Item Master Data'!$A:$G,7,FALSE)</f>
        <v>32</v>
      </c>
      <c r="BC1916" s="471">
        <f t="shared" si="317"/>
        <v>0</v>
      </c>
    </row>
    <row r="1917" spans="1:55" s="471" customFormat="1">
      <c r="A1917" s="278"/>
      <c r="B1917" s="279"/>
      <c r="C1917" s="279"/>
      <c r="D1917" s="394" t="s">
        <v>3678</v>
      </c>
      <c r="E1917" s="280" t="s">
        <v>5776</v>
      </c>
      <c r="F1917" s="474"/>
      <c r="G1917" s="474">
        <v>2022</v>
      </c>
      <c r="H1917" s="474">
        <v>4</v>
      </c>
      <c r="I1917" s="678" t="s">
        <v>5408</v>
      </c>
      <c r="J1917" s="475">
        <v>44673</v>
      </c>
      <c r="K1917" s="474" t="s">
        <v>3862</v>
      </c>
      <c r="L1917" s="475" t="s">
        <v>3697</v>
      </c>
      <c r="M1917" s="475">
        <v>44656</v>
      </c>
      <c r="N1917" s="475">
        <v>44656</v>
      </c>
      <c r="O1917" s="475"/>
      <c r="P1917" s="475">
        <v>44663</v>
      </c>
      <c r="Q1917" s="475">
        <v>44671</v>
      </c>
      <c r="R1917" s="475">
        <v>44673</v>
      </c>
      <c r="S1917" s="474" t="s">
        <v>1102</v>
      </c>
      <c r="T1917" s="474">
        <v>60</v>
      </c>
      <c r="U1917" s="474">
        <v>49405140</v>
      </c>
      <c r="V1917" s="474" t="s">
        <v>973</v>
      </c>
      <c r="W1917" s="476">
        <v>400</v>
      </c>
      <c r="X1917" s="402">
        <v>768</v>
      </c>
      <c r="Y1917" s="477">
        <f t="shared" si="313"/>
        <v>307200</v>
      </c>
      <c r="Z1917" s="478">
        <v>0.48</v>
      </c>
      <c r="AA1917" s="479">
        <f t="shared" si="318"/>
        <v>147456</v>
      </c>
      <c r="AB1917" s="480"/>
      <c r="AC1917" s="481">
        <f t="shared" si="319"/>
        <v>0</v>
      </c>
      <c r="AD1917" s="490"/>
      <c r="AE1917" s="482"/>
      <c r="AF1917" s="493">
        <f t="shared" si="314"/>
        <v>147456</v>
      </c>
      <c r="AG1917" s="474" t="s">
        <v>47</v>
      </c>
      <c r="AH1917" s="474"/>
      <c r="AI1917" s="474">
        <v>45</v>
      </c>
      <c r="AJ1917" s="474" t="s">
        <v>3700</v>
      </c>
      <c r="AK1917" s="474" t="s">
        <v>1117</v>
      </c>
      <c r="AL1917" s="494">
        <v>60517</v>
      </c>
      <c r="AM1917" s="474" t="s">
        <v>52</v>
      </c>
      <c r="AN1917" s="474" t="s">
        <v>1106</v>
      </c>
      <c r="AO1917" s="474"/>
      <c r="AP1917" s="606"/>
      <c r="AQ1917" s="482" t="s">
        <v>37</v>
      </c>
      <c r="AR1917" s="474"/>
      <c r="AS1917" s="436" t="s">
        <v>1076</v>
      </c>
      <c r="AT1917" s="281" t="s">
        <v>1076</v>
      </c>
      <c r="AU1917" s="472"/>
      <c r="AV1917" s="471">
        <f t="shared" si="315"/>
        <v>49405140</v>
      </c>
      <c r="AW1917" s="471" cm="1">
        <f t="array" ref="AW1917">SUM(MID(0&amp;AV1917,LARGE(INDEX(ISNUMBER(--MID(AV1917,ROW($1:$8),1))*ROW($1:$8),),ROW($1:$8))+1,1)*10^ROW($1:$8)/10)</f>
        <v>49405140</v>
      </c>
      <c r="AX1917" s="471" t="str">
        <f>VLOOKUP($AW1917,'Item Master Data'!$A:$F,3,FALSE)</f>
        <v>Q.PEAK DUO BLK ML G10+</v>
      </c>
      <c r="AY1917" s="471">
        <f>VLOOKUP($AW1917,'Item Master Data'!$A:$F,6,FALSE)</f>
        <v>400</v>
      </c>
      <c r="AZ1917" s="471">
        <f t="shared" si="316"/>
        <v>24</v>
      </c>
      <c r="BA1917" s="471">
        <f>VLOOKUP(AW1917,'Item Master Data'!$A:$G,7,FALSE)</f>
        <v>32</v>
      </c>
      <c r="BC1917" s="471">
        <f t="shared" si="317"/>
        <v>0</v>
      </c>
    </row>
    <row r="1918" spans="1:55" s="471" customFormat="1">
      <c r="A1918" s="278"/>
      <c r="B1918" s="279"/>
      <c r="C1918" s="279"/>
      <c r="D1918" s="394" t="s">
        <v>3678</v>
      </c>
      <c r="E1918" s="280" t="s">
        <v>5776</v>
      </c>
      <c r="F1918" s="474"/>
      <c r="G1918" s="474">
        <v>2022</v>
      </c>
      <c r="H1918" s="474">
        <v>4</v>
      </c>
      <c r="I1918" s="678" t="s">
        <v>5408</v>
      </c>
      <c r="J1918" s="475">
        <v>44672</v>
      </c>
      <c r="K1918" s="474" t="s">
        <v>3864</v>
      </c>
      <c r="L1918" s="475" t="s">
        <v>3697</v>
      </c>
      <c r="M1918" s="475">
        <v>44656</v>
      </c>
      <c r="N1918" s="475">
        <v>44656</v>
      </c>
      <c r="O1918" s="475"/>
      <c r="P1918" s="475">
        <v>44666</v>
      </c>
      <c r="Q1918" s="475">
        <v>44672</v>
      </c>
      <c r="R1918" s="475">
        <v>44672</v>
      </c>
      <c r="S1918" s="474" t="s">
        <v>1102</v>
      </c>
      <c r="T1918" s="474">
        <v>60</v>
      </c>
      <c r="U1918" s="474" t="s">
        <v>1281</v>
      </c>
      <c r="V1918" s="474" t="s">
        <v>973</v>
      </c>
      <c r="W1918" s="476">
        <v>400</v>
      </c>
      <c r="X1918" s="402">
        <v>768</v>
      </c>
      <c r="Y1918" s="477">
        <f t="shared" si="313"/>
        <v>307200</v>
      </c>
      <c r="Z1918" s="478">
        <v>0.48</v>
      </c>
      <c r="AA1918" s="479">
        <f t="shared" si="318"/>
        <v>147456</v>
      </c>
      <c r="AB1918" s="480"/>
      <c r="AC1918" s="481">
        <f t="shared" si="319"/>
        <v>0</v>
      </c>
      <c r="AD1918" s="490"/>
      <c r="AE1918" s="482"/>
      <c r="AF1918" s="493">
        <f t="shared" si="314"/>
        <v>147456</v>
      </c>
      <c r="AG1918" s="474" t="s">
        <v>47</v>
      </c>
      <c r="AH1918" s="474"/>
      <c r="AI1918" s="474">
        <v>45</v>
      </c>
      <c r="AJ1918" s="474" t="s">
        <v>1950</v>
      </c>
      <c r="AK1918" s="474" t="s">
        <v>50</v>
      </c>
      <c r="AL1918" s="494">
        <v>91761</v>
      </c>
      <c r="AM1918" s="474" t="s">
        <v>52</v>
      </c>
      <c r="AN1918" s="474" t="s">
        <v>50</v>
      </c>
      <c r="AO1918" s="474"/>
      <c r="AP1918" s="482" t="s">
        <v>38</v>
      </c>
      <c r="AQ1918" s="482" t="s">
        <v>37</v>
      </c>
      <c r="AR1918" s="474"/>
      <c r="AS1918" s="436" t="s">
        <v>1076</v>
      </c>
      <c r="AT1918" s="281" t="s">
        <v>1076</v>
      </c>
      <c r="AU1918" s="472"/>
      <c r="AV1918" s="471" t="str">
        <f t="shared" si="315"/>
        <v>30390456H</v>
      </c>
      <c r="AW1918" s="471" cm="1">
        <f t="array" ref="AW1918">SUM(MID(0&amp;AV1918,LARGE(INDEX(ISNUMBER(--MID(AV1918,ROW($1:$8),1))*ROW($1:$8),),ROW($1:$8))+1,1)*10^ROW($1:$8)/10)</f>
        <v>30390456</v>
      </c>
      <c r="AX1918" s="471" t="str">
        <f>VLOOKUP($AW1918,'Item Master Data'!$A:$F,3,FALSE)</f>
        <v>Q.PEAK DUO BLK ML G10+</v>
      </c>
      <c r="AY1918" s="471">
        <f>VLOOKUP($AW1918,'Item Master Data'!$A:$F,6,FALSE)</f>
        <v>400</v>
      </c>
      <c r="AZ1918" s="471">
        <f t="shared" si="316"/>
        <v>24</v>
      </c>
      <c r="BA1918" s="471">
        <f>VLOOKUP(AW1918,'Item Master Data'!$A:$G,7,FALSE)</f>
        <v>32</v>
      </c>
      <c r="BC1918" s="471">
        <f t="shared" si="317"/>
        <v>0</v>
      </c>
    </row>
    <row r="1919" spans="1:55" s="471" customFormat="1">
      <c r="A1919" s="278"/>
      <c r="B1919" s="279"/>
      <c r="C1919" s="279"/>
      <c r="D1919" s="394" t="s">
        <v>3678</v>
      </c>
      <c r="E1919" s="280" t="s">
        <v>5776</v>
      </c>
      <c r="F1919" s="474"/>
      <c r="G1919" s="474">
        <v>2022</v>
      </c>
      <c r="H1919" s="474">
        <v>4</v>
      </c>
      <c r="I1919" s="678" t="s">
        <v>5408</v>
      </c>
      <c r="J1919" s="475">
        <v>44672</v>
      </c>
      <c r="K1919" s="474" t="s">
        <v>3865</v>
      </c>
      <c r="L1919" s="475" t="s">
        <v>3697</v>
      </c>
      <c r="M1919" s="475">
        <v>44656</v>
      </c>
      <c r="N1919" s="475">
        <v>44656</v>
      </c>
      <c r="O1919" s="475"/>
      <c r="P1919" s="475">
        <v>44666</v>
      </c>
      <c r="Q1919" s="475">
        <v>44672</v>
      </c>
      <c r="R1919" s="475">
        <v>44672</v>
      </c>
      <c r="S1919" s="474" t="s">
        <v>1102</v>
      </c>
      <c r="T1919" s="474">
        <v>60</v>
      </c>
      <c r="U1919" s="474" t="s">
        <v>1281</v>
      </c>
      <c r="V1919" s="474" t="s">
        <v>973</v>
      </c>
      <c r="W1919" s="476">
        <v>400</v>
      </c>
      <c r="X1919" s="402">
        <v>768</v>
      </c>
      <c r="Y1919" s="477">
        <f t="shared" si="313"/>
        <v>307200</v>
      </c>
      <c r="Z1919" s="478">
        <v>0.48</v>
      </c>
      <c r="AA1919" s="479">
        <f t="shared" si="318"/>
        <v>147456</v>
      </c>
      <c r="AB1919" s="480"/>
      <c r="AC1919" s="481">
        <f t="shared" si="319"/>
        <v>0</v>
      </c>
      <c r="AD1919" s="490"/>
      <c r="AE1919" s="482"/>
      <c r="AF1919" s="493">
        <f t="shared" si="314"/>
        <v>147456</v>
      </c>
      <c r="AG1919" s="474" t="s">
        <v>47</v>
      </c>
      <c r="AH1919" s="474"/>
      <c r="AI1919" s="474">
        <v>45</v>
      </c>
      <c r="AJ1919" s="474" t="s">
        <v>1954</v>
      </c>
      <c r="AK1919" s="474" t="s">
        <v>50</v>
      </c>
      <c r="AL1919" s="494">
        <v>92121</v>
      </c>
      <c r="AM1919" s="474" t="s">
        <v>52</v>
      </c>
      <c r="AN1919" s="474" t="s">
        <v>50</v>
      </c>
      <c r="AO1919" s="474"/>
      <c r="AP1919" s="482" t="s">
        <v>38</v>
      </c>
      <c r="AQ1919" s="482" t="s">
        <v>37</v>
      </c>
      <c r="AR1919" s="474"/>
      <c r="AS1919" s="436" t="s">
        <v>1076</v>
      </c>
      <c r="AT1919" s="281" t="s">
        <v>1076</v>
      </c>
      <c r="AU1919" s="472"/>
      <c r="AV1919" s="471" t="str">
        <f t="shared" si="315"/>
        <v>30390456H</v>
      </c>
      <c r="AW1919" s="471" cm="1">
        <f t="array" ref="AW1919">SUM(MID(0&amp;AV1919,LARGE(INDEX(ISNUMBER(--MID(AV1919,ROW($1:$8),1))*ROW($1:$8),),ROW($1:$8))+1,1)*10^ROW($1:$8)/10)</f>
        <v>30390456</v>
      </c>
      <c r="AX1919" s="471" t="str">
        <f>VLOOKUP($AW1919,'Item Master Data'!$A:$F,3,FALSE)</f>
        <v>Q.PEAK DUO BLK ML G10+</v>
      </c>
      <c r="AY1919" s="471">
        <f>VLOOKUP($AW1919,'Item Master Data'!$A:$F,6,FALSE)</f>
        <v>400</v>
      </c>
      <c r="AZ1919" s="471">
        <f t="shared" si="316"/>
        <v>24</v>
      </c>
      <c r="BA1919" s="471">
        <f>VLOOKUP(AW1919,'Item Master Data'!$A:$G,7,FALSE)</f>
        <v>32</v>
      </c>
      <c r="BC1919" s="471">
        <f t="shared" si="317"/>
        <v>0</v>
      </c>
    </row>
    <row r="1920" spans="1:55" s="471" customFormat="1">
      <c r="A1920" s="278"/>
      <c r="B1920" s="279"/>
      <c r="C1920" s="279"/>
      <c r="D1920" s="394" t="s">
        <v>3678</v>
      </c>
      <c r="E1920" s="280" t="s">
        <v>5776</v>
      </c>
      <c r="F1920" s="474"/>
      <c r="G1920" s="474">
        <v>2022</v>
      </c>
      <c r="H1920" s="474">
        <v>4</v>
      </c>
      <c r="I1920" s="678" t="s">
        <v>5408</v>
      </c>
      <c r="J1920" s="475">
        <v>44672</v>
      </c>
      <c r="K1920" s="474" t="s">
        <v>3863</v>
      </c>
      <c r="L1920" s="475" t="s">
        <v>3697</v>
      </c>
      <c r="M1920" s="475">
        <v>44656</v>
      </c>
      <c r="N1920" s="475">
        <v>44656</v>
      </c>
      <c r="O1920" s="475"/>
      <c r="P1920" s="475">
        <v>44666</v>
      </c>
      <c r="Q1920" s="475">
        <v>44672</v>
      </c>
      <c r="R1920" s="475">
        <v>44672</v>
      </c>
      <c r="S1920" s="474" t="s">
        <v>1102</v>
      </c>
      <c r="T1920" s="474">
        <v>60</v>
      </c>
      <c r="U1920" s="474" t="s">
        <v>1281</v>
      </c>
      <c r="V1920" s="474" t="s">
        <v>973</v>
      </c>
      <c r="W1920" s="476">
        <v>400</v>
      </c>
      <c r="X1920" s="402">
        <v>768</v>
      </c>
      <c r="Y1920" s="477">
        <f t="shared" si="313"/>
        <v>307200</v>
      </c>
      <c r="Z1920" s="478">
        <v>0.48</v>
      </c>
      <c r="AA1920" s="479">
        <f t="shared" si="318"/>
        <v>147456</v>
      </c>
      <c r="AB1920" s="480"/>
      <c r="AC1920" s="481">
        <f t="shared" si="319"/>
        <v>0</v>
      </c>
      <c r="AD1920" s="490"/>
      <c r="AE1920" s="482"/>
      <c r="AF1920" s="493">
        <f t="shared" si="314"/>
        <v>147456</v>
      </c>
      <c r="AG1920" s="474" t="s">
        <v>47</v>
      </c>
      <c r="AH1920" s="474"/>
      <c r="AI1920" s="474">
        <v>45</v>
      </c>
      <c r="AJ1920" s="474" t="s">
        <v>1777</v>
      </c>
      <c r="AK1920" s="474" t="s">
        <v>50</v>
      </c>
      <c r="AL1920" s="494">
        <v>93308</v>
      </c>
      <c r="AM1920" s="474" t="s">
        <v>52</v>
      </c>
      <c r="AN1920" s="474" t="s">
        <v>50</v>
      </c>
      <c r="AO1920" s="474"/>
      <c r="AP1920" s="482" t="s">
        <v>38</v>
      </c>
      <c r="AQ1920" s="482" t="s">
        <v>37</v>
      </c>
      <c r="AR1920" s="474"/>
      <c r="AS1920" s="436" t="s">
        <v>1076</v>
      </c>
      <c r="AT1920" s="281" t="s">
        <v>1076</v>
      </c>
      <c r="AU1920" s="472"/>
      <c r="AV1920" s="471" t="str">
        <f t="shared" si="315"/>
        <v>30390456H</v>
      </c>
      <c r="AW1920" s="471" cm="1">
        <f t="array" ref="AW1920">SUM(MID(0&amp;AV1920,LARGE(INDEX(ISNUMBER(--MID(AV1920,ROW($1:$8),1))*ROW($1:$8),),ROW($1:$8))+1,1)*10^ROW($1:$8)/10)</f>
        <v>30390456</v>
      </c>
      <c r="AX1920" s="471" t="str">
        <f>VLOOKUP($AW1920,'Item Master Data'!$A:$F,3,FALSE)</f>
        <v>Q.PEAK DUO BLK ML G10+</v>
      </c>
      <c r="AY1920" s="471">
        <f>VLOOKUP($AW1920,'Item Master Data'!$A:$F,6,FALSE)</f>
        <v>400</v>
      </c>
      <c r="AZ1920" s="471">
        <f t="shared" si="316"/>
        <v>24</v>
      </c>
      <c r="BA1920" s="471">
        <f>VLOOKUP(AW1920,'Item Master Data'!$A:$G,7,FALSE)</f>
        <v>32</v>
      </c>
      <c r="BC1920" s="471">
        <f t="shared" si="317"/>
        <v>0</v>
      </c>
    </row>
    <row r="1921" spans="1:55" s="471" customFormat="1">
      <c r="A1921" s="278"/>
      <c r="B1921" s="279"/>
      <c r="C1921" s="279"/>
      <c r="D1921" s="394" t="s">
        <v>3678</v>
      </c>
      <c r="E1921" s="280" t="s">
        <v>5698</v>
      </c>
      <c r="F1921" s="474"/>
      <c r="G1921" s="474">
        <v>2022</v>
      </c>
      <c r="H1921" s="474">
        <v>4</v>
      </c>
      <c r="I1921" s="475"/>
      <c r="J1921" s="475"/>
      <c r="K1921" s="474" t="s">
        <v>3861</v>
      </c>
      <c r="L1921" s="475" t="s">
        <v>3697</v>
      </c>
      <c r="M1921" s="475">
        <v>44656</v>
      </c>
      <c r="N1921" s="475">
        <v>44656</v>
      </c>
      <c r="O1921" s="475"/>
      <c r="P1921" s="475">
        <v>44679</v>
      </c>
      <c r="Q1921" s="475">
        <v>44680</v>
      </c>
      <c r="R1921" s="475">
        <v>44680</v>
      </c>
      <c r="S1921" s="474" t="s">
        <v>1102</v>
      </c>
      <c r="T1921" s="474">
        <v>60</v>
      </c>
      <c r="U1921" s="474" t="s">
        <v>1281</v>
      </c>
      <c r="V1921" s="474" t="s">
        <v>973</v>
      </c>
      <c r="W1921" s="476">
        <v>400</v>
      </c>
      <c r="X1921" s="402">
        <v>768</v>
      </c>
      <c r="Y1921" s="477">
        <f t="shared" si="313"/>
        <v>307200</v>
      </c>
      <c r="Z1921" s="478">
        <v>0.48</v>
      </c>
      <c r="AA1921" s="479">
        <f t="shared" si="318"/>
        <v>147456</v>
      </c>
      <c r="AB1921" s="480"/>
      <c r="AC1921" s="481">
        <f t="shared" si="319"/>
        <v>0</v>
      </c>
      <c r="AD1921" s="490"/>
      <c r="AE1921" s="482"/>
      <c r="AF1921" s="493">
        <f t="shared" si="314"/>
        <v>147456</v>
      </c>
      <c r="AG1921" s="474" t="s">
        <v>47</v>
      </c>
      <c r="AH1921" s="474"/>
      <c r="AI1921" s="474">
        <v>45</v>
      </c>
      <c r="AJ1921" s="474" t="s">
        <v>3723</v>
      </c>
      <c r="AK1921" s="474" t="s">
        <v>1085</v>
      </c>
      <c r="AL1921" s="494">
        <v>7444</v>
      </c>
      <c r="AM1921" s="474" t="s">
        <v>52</v>
      </c>
      <c r="AN1921" s="474" t="s">
        <v>1085</v>
      </c>
      <c r="AO1921" s="474"/>
      <c r="AP1921" s="482"/>
      <c r="AQ1921" s="482" t="s">
        <v>37</v>
      </c>
      <c r="AR1921" s="474"/>
      <c r="AS1921" s="436" t="s">
        <v>1076</v>
      </c>
      <c r="AT1921" s="281" t="s">
        <v>1076</v>
      </c>
      <c r="AU1921" s="472"/>
      <c r="AV1921" s="471" t="str">
        <f t="shared" si="315"/>
        <v>30390456H</v>
      </c>
      <c r="AW1921" s="471" cm="1">
        <f t="array" ref="AW1921">SUM(MID(0&amp;AV1921,LARGE(INDEX(ISNUMBER(--MID(AV1921,ROW($1:$8),1))*ROW($1:$8),),ROW($1:$8))+1,1)*10^ROW($1:$8)/10)</f>
        <v>30390456</v>
      </c>
      <c r="AX1921" s="471" t="str">
        <f>VLOOKUP($AW1921,'Item Master Data'!$A:$F,3,FALSE)</f>
        <v>Q.PEAK DUO BLK ML G10+</v>
      </c>
      <c r="AY1921" s="471">
        <f>VLOOKUP($AW1921,'Item Master Data'!$A:$F,6,FALSE)</f>
        <v>400</v>
      </c>
      <c r="AZ1921" s="471">
        <f t="shared" si="316"/>
        <v>24</v>
      </c>
      <c r="BA1921" s="471">
        <f>VLOOKUP(AW1921,'Item Master Data'!$A:$G,7,FALSE)</f>
        <v>32</v>
      </c>
      <c r="BC1921" s="471">
        <f t="shared" si="317"/>
        <v>0</v>
      </c>
    </row>
    <row r="1922" spans="1:55" s="471" customFormat="1">
      <c r="A1922" s="278"/>
      <c r="B1922" s="279"/>
      <c r="C1922" s="279"/>
      <c r="D1922" s="394" t="s">
        <v>3678</v>
      </c>
      <c r="E1922" s="280" t="s">
        <v>5788</v>
      </c>
      <c r="F1922" s="474"/>
      <c r="G1922" s="474">
        <v>2022</v>
      </c>
      <c r="H1922" s="474">
        <v>5</v>
      </c>
      <c r="I1922" s="474"/>
      <c r="J1922" s="475"/>
      <c r="K1922" s="474" t="s">
        <v>5789</v>
      </c>
      <c r="L1922" s="475" t="s">
        <v>3697</v>
      </c>
      <c r="M1922" s="475">
        <v>44680</v>
      </c>
      <c r="N1922" s="475">
        <v>44680</v>
      </c>
      <c r="O1922" s="475"/>
      <c r="P1922" s="475"/>
      <c r="Q1922" s="475"/>
      <c r="R1922" s="475"/>
      <c r="S1922" s="474" t="s">
        <v>1102</v>
      </c>
      <c r="T1922" s="474">
        <v>60</v>
      </c>
      <c r="U1922" s="474"/>
      <c r="V1922" s="474" t="s">
        <v>986</v>
      </c>
      <c r="W1922" s="476">
        <v>360</v>
      </c>
      <c r="X1922" s="402">
        <v>768</v>
      </c>
      <c r="Y1922" s="477">
        <f t="shared" si="313"/>
        <v>276480</v>
      </c>
      <c r="Z1922" s="478">
        <v>0.47</v>
      </c>
      <c r="AA1922" s="479">
        <f t="shared" si="318"/>
        <v>129945.59999999999</v>
      </c>
      <c r="AB1922" s="480"/>
      <c r="AC1922" s="481">
        <f t="shared" si="319"/>
        <v>0</v>
      </c>
      <c r="AD1922" s="490"/>
      <c r="AE1922" s="482"/>
      <c r="AF1922" s="493">
        <f t="shared" si="314"/>
        <v>129945.59999999999</v>
      </c>
      <c r="AG1922" s="474" t="s">
        <v>47</v>
      </c>
      <c r="AH1922" s="474"/>
      <c r="AI1922" s="474">
        <v>45</v>
      </c>
      <c r="AJ1922" s="474" t="s">
        <v>1777</v>
      </c>
      <c r="AK1922" s="474" t="s">
        <v>50</v>
      </c>
      <c r="AL1922" s="494">
        <v>93308</v>
      </c>
      <c r="AM1922" s="474" t="s">
        <v>52</v>
      </c>
      <c r="AN1922" s="474"/>
      <c r="AO1922" s="474"/>
      <c r="AP1922" s="482"/>
      <c r="AQ1922" s="482" t="s">
        <v>37</v>
      </c>
      <c r="AR1922" s="474"/>
      <c r="AS1922" s="281" t="s">
        <v>1076</v>
      </c>
      <c r="AT1922" s="436" t="s">
        <v>1076</v>
      </c>
      <c r="AU1922" s="472"/>
      <c r="AV1922" s="471">
        <f t="shared" si="315"/>
        <v>0</v>
      </c>
      <c r="AW1922" s="471" cm="1">
        <f t="array" ref="AW1922">SUM(MID(0&amp;AV1922,LARGE(INDEX(ISNUMBER(--MID(AV1922,ROW($1:$8),1))*ROW($1:$8),),ROW($1:$8))+1,1)*10^ROW($1:$8)/10)</f>
        <v>0</v>
      </c>
      <c r="AX1922" s="471" t="e">
        <f>VLOOKUP($AW1922,'Item Master Data'!$A:$F,3,FALSE)</f>
        <v>#N/A</v>
      </c>
      <c r="AY1922" s="471" t="e">
        <f>VLOOKUP($AW1922,'Item Master Data'!$A:$F,6,FALSE)</f>
        <v>#N/A</v>
      </c>
      <c r="AZ1922" s="471" t="e">
        <f t="shared" si="316"/>
        <v>#N/A</v>
      </c>
      <c r="BA1922" s="471" t="e">
        <f>VLOOKUP(AW1922,'Item Master Data'!$A:$G,7,FALSE)</f>
        <v>#N/A</v>
      </c>
      <c r="BC1922" s="471" t="e">
        <f t="shared" si="317"/>
        <v>#N/A</v>
      </c>
    </row>
    <row r="1923" spans="1:55" s="471" customFormat="1">
      <c r="A1923" s="278"/>
      <c r="B1923" s="279"/>
      <c r="C1923" s="279"/>
      <c r="D1923" s="394" t="s">
        <v>3678</v>
      </c>
      <c r="E1923" s="280" t="s">
        <v>5776</v>
      </c>
      <c r="F1923" s="474" t="s">
        <v>1147</v>
      </c>
      <c r="G1923" s="474">
        <v>2022</v>
      </c>
      <c r="H1923" s="474">
        <v>4</v>
      </c>
      <c r="I1923" s="678" t="s">
        <v>5408</v>
      </c>
      <c r="J1923" s="475">
        <v>44673</v>
      </c>
      <c r="K1923" s="474" t="s">
        <v>5413</v>
      </c>
      <c r="L1923" s="474" t="s">
        <v>1174</v>
      </c>
      <c r="M1923" s="475">
        <v>44505</v>
      </c>
      <c r="N1923" s="475">
        <v>44652</v>
      </c>
      <c r="O1923" s="475" t="s">
        <v>2365</v>
      </c>
      <c r="P1923" s="475">
        <v>44671</v>
      </c>
      <c r="Q1923" s="475">
        <v>44673</v>
      </c>
      <c r="R1923" s="475">
        <v>44678</v>
      </c>
      <c r="S1923" s="474" t="s">
        <v>1102</v>
      </c>
      <c r="T1923" s="474">
        <v>60</v>
      </c>
      <c r="U1923" s="474" t="s">
        <v>1760</v>
      </c>
      <c r="V1923" s="474" t="s">
        <v>973</v>
      </c>
      <c r="W1923" s="476">
        <v>400</v>
      </c>
      <c r="X1923" s="402">
        <v>1536</v>
      </c>
      <c r="Y1923" s="491">
        <f t="shared" si="313"/>
        <v>614400</v>
      </c>
      <c r="Z1923" s="478">
        <v>0.55000000000000004</v>
      </c>
      <c r="AA1923" s="492">
        <f t="shared" ref="AA1923:AA1931" si="320">Y1923*Z1923</f>
        <v>337920</v>
      </c>
      <c r="AB1923" s="480"/>
      <c r="AC1923" s="481">
        <v>0</v>
      </c>
      <c r="AD1923" s="490"/>
      <c r="AE1923" s="482"/>
      <c r="AF1923" s="493">
        <f t="shared" si="314"/>
        <v>337920</v>
      </c>
      <c r="AG1923" s="474" t="s">
        <v>1071</v>
      </c>
      <c r="AH1923" s="474"/>
      <c r="AI1923" s="474">
        <v>60</v>
      </c>
      <c r="AJ1923" s="474" t="s">
        <v>1175</v>
      </c>
      <c r="AK1923" s="474" t="s">
        <v>1138</v>
      </c>
      <c r="AL1923" s="494" t="s">
        <v>1176</v>
      </c>
      <c r="AM1923" s="474" t="s">
        <v>52</v>
      </c>
      <c r="AN1923" s="474" t="s">
        <v>50</v>
      </c>
      <c r="AO1923" s="474"/>
      <c r="AP1923" s="482"/>
      <c r="AQ1923" s="482" t="s">
        <v>37</v>
      </c>
      <c r="AR1923" s="474"/>
      <c r="AS1923" s="436"/>
      <c r="AT1923" s="281"/>
      <c r="AU1923" s="472">
        <v>0.5</v>
      </c>
      <c r="AV1923" s="471" t="str">
        <f t="shared" si="315"/>
        <v>30390156H</v>
      </c>
      <c r="AW1923" s="471" cm="1">
        <f t="array" ref="AW1923">SUM(MID(0&amp;AV1923,LARGE(INDEX(ISNUMBER(--MID(AV1923,ROW($1:$8),1))*ROW($1:$8),),ROW($1:$8))+1,1)*10^ROW($1:$8)/10)</f>
        <v>30390156</v>
      </c>
      <c r="AX1923" s="471" t="str">
        <f>VLOOKUP($AW1923,'Item Master Data'!$A:$F,3,FALSE)</f>
        <v>Q.PEAK DUO BLK ML G10+</v>
      </c>
      <c r="AY1923" s="471">
        <f>VLOOKUP($AW1923,'Item Master Data'!$A:$F,6,FALSE)</f>
        <v>400</v>
      </c>
      <c r="AZ1923" s="471">
        <f t="shared" si="316"/>
        <v>48</v>
      </c>
      <c r="BA1923" s="471">
        <f>VLOOKUP(AW1923,'Item Master Data'!$A:$G,7,FALSE)</f>
        <v>32</v>
      </c>
      <c r="BC1923" s="471">
        <f t="shared" si="317"/>
        <v>0</v>
      </c>
    </row>
    <row r="1924" spans="1:55" s="471" customFormat="1">
      <c r="A1924" s="278"/>
      <c r="B1924" s="279"/>
      <c r="C1924" s="279"/>
      <c r="D1924" s="394" t="s">
        <v>3678</v>
      </c>
      <c r="E1924" s="280" t="s">
        <v>5698</v>
      </c>
      <c r="F1924" s="474"/>
      <c r="G1924" s="474">
        <v>2022</v>
      </c>
      <c r="H1924" s="474">
        <v>4</v>
      </c>
      <c r="I1924" s="485"/>
      <c r="J1924" s="475">
        <v>44680</v>
      </c>
      <c r="K1924" s="474" t="s">
        <v>5546</v>
      </c>
      <c r="L1924" s="474" t="s">
        <v>3747</v>
      </c>
      <c r="M1924" s="475">
        <v>44512</v>
      </c>
      <c r="N1924" s="475">
        <v>44621</v>
      </c>
      <c r="O1924" s="475"/>
      <c r="P1924" s="475">
        <v>44677</v>
      </c>
      <c r="Q1924" s="475">
        <v>44677</v>
      </c>
      <c r="R1924" s="475">
        <v>44683</v>
      </c>
      <c r="S1924" s="474" t="s">
        <v>1102</v>
      </c>
      <c r="T1924" s="474">
        <v>60</v>
      </c>
      <c r="U1924" s="474">
        <v>49204132</v>
      </c>
      <c r="V1924" s="474" t="s">
        <v>1223</v>
      </c>
      <c r="W1924" s="476">
        <v>360</v>
      </c>
      <c r="X1924" s="402">
        <v>1664</v>
      </c>
      <c r="Y1924" s="491">
        <f t="shared" si="313"/>
        <v>599040</v>
      </c>
      <c r="Z1924" s="478">
        <v>0.8</v>
      </c>
      <c r="AA1924" s="583">
        <f t="shared" si="320"/>
        <v>479232</v>
      </c>
      <c r="AB1924" s="480"/>
      <c r="AC1924" s="481">
        <v>0</v>
      </c>
      <c r="AD1924" s="490"/>
      <c r="AE1924" s="482"/>
      <c r="AF1924" s="493">
        <f t="shared" si="314"/>
        <v>479232</v>
      </c>
      <c r="AG1924" s="474" t="s">
        <v>1071</v>
      </c>
      <c r="AH1924" s="474"/>
      <c r="AI1924" s="474">
        <v>60</v>
      </c>
      <c r="AJ1924" s="474" t="s">
        <v>3748</v>
      </c>
      <c r="AK1924" s="474" t="s">
        <v>1138</v>
      </c>
      <c r="AL1924" s="494" t="s">
        <v>3749</v>
      </c>
      <c r="AM1924" s="474" t="s">
        <v>52</v>
      </c>
      <c r="AN1924" s="474" t="s">
        <v>1106</v>
      </c>
      <c r="AO1924" s="474"/>
      <c r="AP1924" s="482"/>
      <c r="AQ1924" s="482" t="s">
        <v>37</v>
      </c>
      <c r="AR1924" s="474"/>
      <c r="AS1924" s="436" t="s">
        <v>1076</v>
      </c>
      <c r="AT1924" s="281" t="s">
        <v>1076</v>
      </c>
      <c r="AU1924" s="472"/>
      <c r="AV1924" s="471">
        <f t="shared" si="315"/>
        <v>49204132</v>
      </c>
      <c r="AW1924" s="471" cm="1">
        <f t="array" ref="AW1924">SUM(MID(0&amp;AV1924,LARGE(INDEX(ISNUMBER(--MID(AV1924,ROW($1:$8),1))*ROW($1:$8),),ROW($1:$8))+1,1)*10^ROW($1:$8)/10)</f>
        <v>49204132</v>
      </c>
      <c r="AX1924" s="471" t="str">
        <f>VLOOKUP($AW1924,'Item Master Data'!$A:$F,3,FALSE)</f>
        <v>Q.PEAK DUO BLK G10+/AC</v>
      </c>
      <c r="AY1924" s="471">
        <f>VLOOKUP($AW1924,'Item Master Data'!$A:$F,6,FALSE)</f>
        <v>360</v>
      </c>
      <c r="AZ1924" s="471">
        <f t="shared" si="316"/>
        <v>64</v>
      </c>
      <c r="BA1924" s="471">
        <f>VLOOKUP(AW1924,'Item Master Data'!$A:$G,7,FALSE)</f>
        <v>26</v>
      </c>
      <c r="BC1924" s="471">
        <f t="shared" si="317"/>
        <v>0</v>
      </c>
    </row>
    <row r="1925" spans="1:55" s="471" customFormat="1">
      <c r="A1925" s="278">
        <v>10</v>
      </c>
      <c r="B1925" s="279"/>
      <c r="C1925" s="279"/>
      <c r="D1925" s="394" t="s">
        <v>3678</v>
      </c>
      <c r="E1925" s="280" t="s">
        <v>5776</v>
      </c>
      <c r="F1925" s="474" t="s">
        <v>1147</v>
      </c>
      <c r="G1925" s="474">
        <v>2022</v>
      </c>
      <c r="H1925" s="474">
        <v>4</v>
      </c>
      <c r="I1925" s="678" t="s">
        <v>5408</v>
      </c>
      <c r="J1925" s="475">
        <v>44673</v>
      </c>
      <c r="K1925" s="474" t="s">
        <v>3887</v>
      </c>
      <c r="L1925" s="474" t="s">
        <v>1309</v>
      </c>
      <c r="M1925" s="475">
        <v>44477</v>
      </c>
      <c r="N1925" s="475">
        <v>44621</v>
      </c>
      <c r="O1925" s="475"/>
      <c r="P1925" s="475">
        <v>44628</v>
      </c>
      <c r="Q1925" s="475">
        <v>44671</v>
      </c>
      <c r="R1925" s="475">
        <v>44673</v>
      </c>
      <c r="S1925" s="474" t="s">
        <v>1102</v>
      </c>
      <c r="T1925" s="474">
        <v>60</v>
      </c>
      <c r="U1925" s="474">
        <v>49405140</v>
      </c>
      <c r="V1925" s="474" t="s">
        <v>973</v>
      </c>
      <c r="W1925" s="476">
        <v>400</v>
      </c>
      <c r="X1925" s="402">
        <v>768</v>
      </c>
      <c r="Y1925" s="491">
        <f t="shared" si="313"/>
        <v>307200</v>
      </c>
      <c r="Z1925" s="478">
        <v>0.55000000000000004</v>
      </c>
      <c r="AA1925" s="584">
        <f t="shared" si="320"/>
        <v>168960</v>
      </c>
      <c r="AB1925" s="480"/>
      <c r="AC1925" s="481">
        <v>0</v>
      </c>
      <c r="AD1925" s="490"/>
      <c r="AE1925" s="482"/>
      <c r="AF1925" s="493">
        <f t="shared" si="314"/>
        <v>168960</v>
      </c>
      <c r="AG1925" s="474" t="s">
        <v>1071</v>
      </c>
      <c r="AH1925" s="474"/>
      <c r="AI1925" s="474">
        <v>60</v>
      </c>
      <c r="AJ1925" s="474" t="s">
        <v>1194</v>
      </c>
      <c r="AK1925" s="474" t="s">
        <v>1073</v>
      </c>
      <c r="AL1925" s="494">
        <v>21046</v>
      </c>
      <c r="AM1925" s="474" t="s">
        <v>52</v>
      </c>
      <c r="AN1925" s="474" t="s">
        <v>1106</v>
      </c>
      <c r="AO1925" s="474"/>
      <c r="AP1925" s="482"/>
      <c r="AQ1925" s="482"/>
      <c r="AR1925" s="474"/>
      <c r="AS1925" s="436"/>
      <c r="AT1925" s="281" t="s">
        <v>1076</v>
      </c>
      <c r="AU1925" s="472">
        <v>0.46500000000000002</v>
      </c>
      <c r="AV1925" s="471">
        <f t="shared" si="315"/>
        <v>49405140</v>
      </c>
      <c r="AW1925" s="471" cm="1">
        <f t="array" ref="AW1925">SUM(MID(0&amp;AV1925,LARGE(INDEX(ISNUMBER(--MID(AV1925,ROW($1:$8),1))*ROW($1:$8),),ROW($1:$8))+1,1)*10^ROW($1:$8)/10)</f>
        <v>49405140</v>
      </c>
      <c r="AX1925" s="471" t="str">
        <f>VLOOKUP($AW1925,'Item Master Data'!$A:$F,3,FALSE)</f>
        <v>Q.PEAK DUO BLK ML G10+</v>
      </c>
      <c r="AY1925" s="471">
        <f>VLOOKUP($AW1925,'Item Master Data'!$A:$F,6,FALSE)</f>
        <v>400</v>
      </c>
      <c r="AZ1925" s="471">
        <f t="shared" si="316"/>
        <v>24</v>
      </c>
      <c r="BA1925" s="471">
        <f>VLOOKUP(AW1925,'Item Master Data'!$A:$G,7,FALSE)</f>
        <v>32</v>
      </c>
      <c r="BC1925" s="471">
        <f t="shared" si="317"/>
        <v>0</v>
      </c>
    </row>
    <row r="1926" spans="1:55" s="471" customFormat="1">
      <c r="A1926" s="278">
        <v>10</v>
      </c>
      <c r="B1926" s="279"/>
      <c r="C1926" s="279"/>
      <c r="D1926" s="394" t="s">
        <v>3678</v>
      </c>
      <c r="E1926" s="280" t="s">
        <v>5776</v>
      </c>
      <c r="F1926" s="474"/>
      <c r="G1926" s="474">
        <v>2022</v>
      </c>
      <c r="H1926" s="474">
        <v>4</v>
      </c>
      <c r="I1926" s="678" t="s">
        <v>5408</v>
      </c>
      <c r="J1926" s="475">
        <v>44676</v>
      </c>
      <c r="K1926" s="474" t="s">
        <v>3904</v>
      </c>
      <c r="L1926" s="474" t="s">
        <v>1468</v>
      </c>
      <c r="M1926" s="475">
        <v>44503</v>
      </c>
      <c r="N1926" s="475">
        <v>44562</v>
      </c>
      <c r="O1926" s="475"/>
      <c r="P1926" s="475">
        <v>44666</v>
      </c>
      <c r="Q1926" s="475">
        <v>44673</v>
      </c>
      <c r="R1926" s="475">
        <v>44676</v>
      </c>
      <c r="S1926" s="474" t="s">
        <v>1102</v>
      </c>
      <c r="T1926" s="474">
        <v>60</v>
      </c>
      <c r="U1926" s="474">
        <v>49405140</v>
      </c>
      <c r="V1926" s="474" t="s">
        <v>973</v>
      </c>
      <c r="W1926" s="476">
        <v>400</v>
      </c>
      <c r="X1926" s="402">
        <v>384</v>
      </c>
      <c r="Y1926" s="491">
        <f t="shared" si="313"/>
        <v>153600</v>
      </c>
      <c r="Z1926" s="478">
        <v>0.56999999999999995</v>
      </c>
      <c r="AA1926" s="582">
        <f t="shared" si="320"/>
        <v>87551.999999999985</v>
      </c>
      <c r="AB1926" s="480"/>
      <c r="AC1926" s="481">
        <f t="shared" ref="AC1926:AC1949" si="321">AB1926*Y1926</f>
        <v>0</v>
      </c>
      <c r="AD1926" s="490"/>
      <c r="AE1926" s="482"/>
      <c r="AF1926" s="493">
        <f t="shared" si="314"/>
        <v>87551.999999999985</v>
      </c>
      <c r="AG1926" s="474" t="s">
        <v>47</v>
      </c>
      <c r="AH1926" s="474">
        <v>100</v>
      </c>
      <c r="AI1926" s="474">
        <v>0</v>
      </c>
      <c r="AJ1926" s="474" t="s">
        <v>1469</v>
      </c>
      <c r="AK1926" s="474" t="s">
        <v>1138</v>
      </c>
      <c r="AL1926" s="494">
        <v>12065</v>
      </c>
      <c r="AM1926" s="474" t="s">
        <v>52</v>
      </c>
      <c r="AN1926" s="474" t="s">
        <v>1106</v>
      </c>
      <c r="AO1926" s="474"/>
      <c r="AP1926" s="482"/>
      <c r="AQ1926" s="482" t="s">
        <v>37</v>
      </c>
      <c r="AR1926" s="474"/>
      <c r="AS1926" s="436" t="s">
        <v>1076</v>
      </c>
      <c r="AT1926" s="281" t="s">
        <v>1076</v>
      </c>
      <c r="AU1926" s="472"/>
    </row>
    <row r="1927" spans="1:55" s="471" customFormat="1">
      <c r="A1927" s="278"/>
      <c r="B1927" s="279"/>
      <c r="C1927" s="279"/>
      <c r="D1927" s="394" t="s">
        <v>3678</v>
      </c>
      <c r="E1927" s="280" t="s">
        <v>5776</v>
      </c>
      <c r="F1927" s="474"/>
      <c r="G1927" s="474">
        <v>2022</v>
      </c>
      <c r="H1927" s="474">
        <v>4</v>
      </c>
      <c r="I1927" s="678" t="s">
        <v>5408</v>
      </c>
      <c r="J1927" s="475">
        <v>44676</v>
      </c>
      <c r="K1927" s="474" t="s">
        <v>3906</v>
      </c>
      <c r="L1927" s="474" t="s">
        <v>1468</v>
      </c>
      <c r="M1927" s="475">
        <v>44503</v>
      </c>
      <c r="N1927" s="475">
        <v>44621</v>
      </c>
      <c r="O1927" s="475"/>
      <c r="P1927" s="475">
        <v>44666</v>
      </c>
      <c r="Q1927" s="475">
        <v>44673</v>
      </c>
      <c r="R1927" s="475">
        <v>44676</v>
      </c>
      <c r="S1927" s="474" t="s">
        <v>1102</v>
      </c>
      <c r="T1927" s="474">
        <v>60</v>
      </c>
      <c r="U1927" s="474">
        <v>49405140</v>
      </c>
      <c r="V1927" s="474" t="s">
        <v>973</v>
      </c>
      <c r="W1927" s="476">
        <v>400</v>
      </c>
      <c r="X1927" s="402">
        <v>768</v>
      </c>
      <c r="Y1927" s="491">
        <f>X1927*W1927</f>
        <v>307200</v>
      </c>
      <c r="Z1927" s="478">
        <v>0.56999999999999995</v>
      </c>
      <c r="AA1927" s="479">
        <f t="shared" si="320"/>
        <v>175103.99999999997</v>
      </c>
      <c r="AB1927" s="480"/>
      <c r="AC1927" s="481">
        <f t="shared" si="321"/>
        <v>0</v>
      </c>
      <c r="AD1927" s="490"/>
      <c r="AE1927" s="482"/>
      <c r="AF1927" s="493">
        <f t="shared" si="314"/>
        <v>175103.99999999997</v>
      </c>
      <c r="AG1927" s="474" t="s">
        <v>47</v>
      </c>
      <c r="AH1927" s="474">
        <v>100</v>
      </c>
      <c r="AI1927" s="474">
        <v>0</v>
      </c>
      <c r="AJ1927" s="474" t="s">
        <v>3907</v>
      </c>
      <c r="AK1927" s="474" t="s">
        <v>1138</v>
      </c>
      <c r="AL1927" s="494">
        <v>12065</v>
      </c>
      <c r="AM1927" s="474" t="s">
        <v>52</v>
      </c>
      <c r="AN1927" s="474" t="s">
        <v>1106</v>
      </c>
      <c r="AO1927" s="474"/>
      <c r="AP1927" s="482"/>
      <c r="AQ1927" s="482" t="s">
        <v>37</v>
      </c>
      <c r="AR1927" s="474"/>
      <c r="AS1927" s="436" t="s">
        <v>1076</v>
      </c>
      <c r="AT1927" s="281" t="s">
        <v>1076</v>
      </c>
      <c r="AU1927" s="472"/>
    </row>
    <row r="1928" spans="1:55" s="471" customFormat="1">
      <c r="A1928" s="278">
        <v>10</v>
      </c>
      <c r="B1928" s="279"/>
      <c r="C1928" s="279"/>
      <c r="D1928" s="394" t="s">
        <v>3678</v>
      </c>
      <c r="E1928" s="280" t="s">
        <v>5776</v>
      </c>
      <c r="F1928" s="474"/>
      <c r="G1928" s="474">
        <v>2022</v>
      </c>
      <c r="H1928" s="474">
        <v>4</v>
      </c>
      <c r="I1928" s="679" t="s">
        <v>5408</v>
      </c>
      <c r="J1928" s="475">
        <v>44676</v>
      </c>
      <c r="K1928" s="474" t="s">
        <v>3914</v>
      </c>
      <c r="L1928" s="474" t="s">
        <v>3762</v>
      </c>
      <c r="M1928" s="475">
        <v>44503</v>
      </c>
      <c r="N1928" s="475">
        <v>44595</v>
      </c>
      <c r="O1928" s="475"/>
      <c r="P1928" s="475">
        <v>44666</v>
      </c>
      <c r="Q1928" s="475">
        <v>44673</v>
      </c>
      <c r="R1928" s="475">
        <v>44676</v>
      </c>
      <c r="S1928" s="474" t="s">
        <v>1102</v>
      </c>
      <c r="T1928" s="474">
        <v>60</v>
      </c>
      <c r="U1928" s="474">
        <v>49405140</v>
      </c>
      <c r="V1928" s="474" t="s">
        <v>973</v>
      </c>
      <c r="W1928" s="476">
        <v>400</v>
      </c>
      <c r="X1928" s="402">
        <v>768</v>
      </c>
      <c r="Y1928" s="491">
        <f t="shared" ref="Y1928:Y1935" si="322">W1928*X1928</f>
        <v>307200</v>
      </c>
      <c r="Z1928" s="478">
        <v>0.49</v>
      </c>
      <c r="AA1928" s="582">
        <f t="shared" si="320"/>
        <v>150528</v>
      </c>
      <c r="AB1928" s="480"/>
      <c r="AC1928" s="481">
        <f t="shared" si="321"/>
        <v>0</v>
      </c>
      <c r="AD1928" s="490"/>
      <c r="AE1928" s="482"/>
      <c r="AF1928" s="493">
        <f t="shared" si="314"/>
        <v>150528</v>
      </c>
      <c r="AG1928" s="474" t="s">
        <v>47</v>
      </c>
      <c r="AH1928" s="474">
        <v>0</v>
      </c>
      <c r="AI1928" s="474">
        <v>60</v>
      </c>
      <c r="AJ1928" s="474" t="s">
        <v>3767</v>
      </c>
      <c r="AK1928" s="474" t="s">
        <v>1138</v>
      </c>
      <c r="AL1928" s="494">
        <v>11803</v>
      </c>
      <c r="AM1928" s="474" t="s">
        <v>52</v>
      </c>
      <c r="AN1928" s="474" t="s">
        <v>1106</v>
      </c>
      <c r="AO1928" s="474"/>
      <c r="AP1928" s="482"/>
      <c r="AQ1928" s="482" t="s">
        <v>37</v>
      </c>
      <c r="AR1928" s="474"/>
      <c r="AS1928" s="436" t="s">
        <v>3763</v>
      </c>
      <c r="AT1928" s="281" t="s">
        <v>1076</v>
      </c>
      <c r="AU1928" s="472"/>
    </row>
    <row r="1929" spans="1:55" s="471" customFormat="1">
      <c r="A1929" s="278">
        <v>10</v>
      </c>
      <c r="B1929" s="279"/>
      <c r="C1929" s="279"/>
      <c r="D1929" s="394" t="s">
        <v>3678</v>
      </c>
      <c r="E1929" s="280" t="s">
        <v>5416</v>
      </c>
      <c r="F1929" s="474"/>
      <c r="G1929" s="474">
        <v>2022</v>
      </c>
      <c r="H1929" s="474">
        <v>4</v>
      </c>
      <c r="I1929" s="485"/>
      <c r="J1929" s="475"/>
      <c r="K1929" s="474" t="s">
        <v>3911</v>
      </c>
      <c r="L1929" s="474" t="s">
        <v>3762</v>
      </c>
      <c r="M1929" s="475">
        <v>44652</v>
      </c>
      <c r="N1929" s="475">
        <v>44666</v>
      </c>
      <c r="O1929" s="475"/>
      <c r="P1929" s="475">
        <v>44671</v>
      </c>
      <c r="Q1929" s="475">
        <v>44676</v>
      </c>
      <c r="R1929" s="475">
        <v>44680</v>
      </c>
      <c r="S1929" s="474" t="s">
        <v>1102</v>
      </c>
      <c r="T1929" s="474">
        <v>60</v>
      </c>
      <c r="U1929" s="474" t="s">
        <v>1760</v>
      </c>
      <c r="V1929" s="474" t="s">
        <v>973</v>
      </c>
      <c r="W1929" s="476">
        <v>400</v>
      </c>
      <c r="X1929" s="402">
        <v>768</v>
      </c>
      <c r="Y1929" s="491">
        <f t="shared" si="322"/>
        <v>307200</v>
      </c>
      <c r="Z1929" s="478">
        <v>0.49</v>
      </c>
      <c r="AA1929" s="582">
        <f t="shared" si="320"/>
        <v>150528</v>
      </c>
      <c r="AB1929" s="480"/>
      <c r="AC1929" s="481">
        <f t="shared" si="321"/>
        <v>0</v>
      </c>
      <c r="AD1929" s="490"/>
      <c r="AE1929" s="482"/>
      <c r="AF1929" s="493">
        <f t="shared" si="314"/>
        <v>150528</v>
      </c>
      <c r="AG1929" s="474" t="s">
        <v>47</v>
      </c>
      <c r="AH1929" s="474">
        <v>0</v>
      </c>
      <c r="AI1929" s="474">
        <v>60</v>
      </c>
      <c r="AJ1929" s="474" t="s">
        <v>3767</v>
      </c>
      <c r="AK1929" s="474" t="s">
        <v>1138</v>
      </c>
      <c r="AL1929" s="494">
        <v>11803</v>
      </c>
      <c r="AM1929" s="474" t="s">
        <v>52</v>
      </c>
      <c r="AN1929" s="474" t="s">
        <v>50</v>
      </c>
      <c r="AO1929" s="474"/>
      <c r="AP1929" s="482"/>
      <c r="AQ1929" s="482" t="s">
        <v>37</v>
      </c>
      <c r="AR1929" s="474"/>
      <c r="AS1929" s="436" t="s">
        <v>3763</v>
      </c>
      <c r="AT1929" s="281" t="s">
        <v>1076</v>
      </c>
      <c r="AU1929" s="472"/>
    </row>
    <row r="1930" spans="1:55" s="471" customFormat="1">
      <c r="A1930" s="278">
        <v>10</v>
      </c>
      <c r="B1930" s="279"/>
      <c r="C1930" s="279"/>
      <c r="D1930" s="394" t="s">
        <v>3678</v>
      </c>
      <c r="E1930" s="280" t="s">
        <v>5417</v>
      </c>
      <c r="F1930" s="381"/>
      <c r="G1930" s="474">
        <v>2022</v>
      </c>
      <c r="H1930" s="474">
        <v>4</v>
      </c>
      <c r="I1930" s="485"/>
      <c r="J1930" s="475"/>
      <c r="K1930" s="474" t="s">
        <v>3912</v>
      </c>
      <c r="L1930" s="474" t="s">
        <v>3762</v>
      </c>
      <c r="M1930" s="475">
        <v>44652</v>
      </c>
      <c r="N1930" s="475">
        <v>44666</v>
      </c>
      <c r="O1930" s="475"/>
      <c r="P1930" s="475">
        <v>44671</v>
      </c>
      <c r="Q1930" s="475">
        <v>44673</v>
      </c>
      <c r="R1930" s="475">
        <v>44678</v>
      </c>
      <c r="S1930" s="474" t="s">
        <v>1102</v>
      </c>
      <c r="T1930" s="474">
        <v>60</v>
      </c>
      <c r="U1930" s="474" t="s">
        <v>1760</v>
      </c>
      <c r="V1930" s="474" t="s">
        <v>973</v>
      </c>
      <c r="W1930" s="476">
        <v>400</v>
      </c>
      <c r="X1930" s="402">
        <v>768</v>
      </c>
      <c r="Y1930" s="491">
        <f t="shared" si="322"/>
        <v>307200</v>
      </c>
      <c r="Z1930" s="478">
        <v>0.49</v>
      </c>
      <c r="AA1930" s="582">
        <f t="shared" si="320"/>
        <v>150528</v>
      </c>
      <c r="AB1930" s="480"/>
      <c r="AC1930" s="481">
        <f t="shared" si="321"/>
        <v>0</v>
      </c>
      <c r="AD1930" s="490"/>
      <c r="AE1930" s="482"/>
      <c r="AF1930" s="493">
        <f t="shared" si="314"/>
        <v>150528</v>
      </c>
      <c r="AG1930" s="474" t="s">
        <v>47</v>
      </c>
      <c r="AH1930" s="474">
        <v>0</v>
      </c>
      <c r="AI1930" s="474">
        <v>60</v>
      </c>
      <c r="AJ1930" s="474" t="s">
        <v>2277</v>
      </c>
      <c r="AK1930" s="474" t="s">
        <v>1084</v>
      </c>
      <c r="AL1930" s="494">
        <v>32822</v>
      </c>
      <c r="AM1930" s="474" t="s">
        <v>52</v>
      </c>
      <c r="AN1930" s="474" t="s">
        <v>50</v>
      </c>
      <c r="AO1930" s="474"/>
      <c r="AP1930" s="482"/>
      <c r="AQ1930" s="482" t="s">
        <v>37</v>
      </c>
      <c r="AR1930" s="474"/>
      <c r="AS1930" s="436" t="s">
        <v>3763</v>
      </c>
      <c r="AT1930" s="281" t="s">
        <v>1076</v>
      </c>
      <c r="AU1930" s="472"/>
    </row>
    <row r="1931" spans="1:55" s="471" customFormat="1">
      <c r="A1931" s="278">
        <v>10</v>
      </c>
      <c r="B1931" s="279"/>
      <c r="C1931" s="279"/>
      <c r="D1931" s="394" t="s">
        <v>3678</v>
      </c>
      <c r="E1931" s="280" t="s">
        <v>5417</v>
      </c>
      <c r="F1931" s="474"/>
      <c r="G1931" s="474">
        <v>2022</v>
      </c>
      <c r="H1931" s="474">
        <v>4</v>
      </c>
      <c r="I1931" s="485"/>
      <c r="J1931" s="475"/>
      <c r="K1931" s="474" t="s">
        <v>3913</v>
      </c>
      <c r="L1931" s="474" t="s">
        <v>3762</v>
      </c>
      <c r="M1931" s="475">
        <v>44503</v>
      </c>
      <c r="N1931" s="475">
        <v>44595</v>
      </c>
      <c r="O1931" s="475"/>
      <c r="P1931" s="475">
        <v>44671</v>
      </c>
      <c r="Q1931" s="475">
        <v>44676</v>
      </c>
      <c r="R1931" s="475">
        <v>44680</v>
      </c>
      <c r="S1931" s="474" t="s">
        <v>1102</v>
      </c>
      <c r="T1931" s="474">
        <v>60</v>
      </c>
      <c r="U1931" s="474" t="s">
        <v>1760</v>
      </c>
      <c r="V1931" s="474" t="s">
        <v>973</v>
      </c>
      <c r="W1931" s="476">
        <v>400</v>
      </c>
      <c r="X1931" s="402">
        <v>768</v>
      </c>
      <c r="Y1931" s="491">
        <f t="shared" si="322"/>
        <v>307200</v>
      </c>
      <c r="Z1931" s="478">
        <v>0.49</v>
      </c>
      <c r="AA1931" s="582">
        <f t="shared" si="320"/>
        <v>150528</v>
      </c>
      <c r="AB1931" s="480"/>
      <c r="AC1931" s="481">
        <f t="shared" si="321"/>
        <v>0</v>
      </c>
      <c r="AD1931" s="490"/>
      <c r="AE1931" s="482"/>
      <c r="AF1931" s="493">
        <f t="shared" si="314"/>
        <v>150528</v>
      </c>
      <c r="AG1931" s="474" t="s">
        <v>47</v>
      </c>
      <c r="AH1931" s="474">
        <v>0</v>
      </c>
      <c r="AI1931" s="474">
        <v>60</v>
      </c>
      <c r="AJ1931" s="474" t="s">
        <v>3767</v>
      </c>
      <c r="AK1931" s="474" t="s">
        <v>1138</v>
      </c>
      <c r="AL1931" s="494">
        <v>11803</v>
      </c>
      <c r="AM1931" s="474" t="s">
        <v>52</v>
      </c>
      <c r="AN1931" s="474" t="s">
        <v>50</v>
      </c>
      <c r="AO1931" s="474"/>
      <c r="AP1931" s="482"/>
      <c r="AQ1931" s="482" t="s">
        <v>37</v>
      </c>
      <c r="AR1931" s="474"/>
      <c r="AS1931" s="436" t="s">
        <v>3763</v>
      </c>
      <c r="AT1931" s="281" t="s">
        <v>1076</v>
      </c>
      <c r="AU1931" s="472"/>
    </row>
    <row r="1932" spans="1:55" s="471" customFormat="1">
      <c r="A1932" s="278"/>
      <c r="B1932" s="279"/>
      <c r="C1932" s="279" t="s">
        <v>1211</v>
      </c>
      <c r="D1932" s="394" t="s">
        <v>3678</v>
      </c>
      <c r="E1932" s="280" t="s">
        <v>5776</v>
      </c>
      <c r="F1932" s="474"/>
      <c r="G1932" s="486">
        <v>2022</v>
      </c>
      <c r="H1932" s="474">
        <v>4</v>
      </c>
      <c r="I1932" s="679" t="s">
        <v>5408</v>
      </c>
      <c r="J1932" s="475">
        <v>44676</v>
      </c>
      <c r="K1932" s="474" t="s">
        <v>3920</v>
      </c>
      <c r="L1932" s="474" t="s">
        <v>3762</v>
      </c>
      <c r="M1932" s="475">
        <v>44599</v>
      </c>
      <c r="N1932" s="475">
        <v>44610</v>
      </c>
      <c r="O1932" s="475"/>
      <c r="P1932" s="475">
        <v>44669</v>
      </c>
      <c r="Q1932" s="475">
        <v>44673</v>
      </c>
      <c r="R1932" s="475">
        <v>44676</v>
      </c>
      <c r="S1932" s="486" t="s">
        <v>1102</v>
      </c>
      <c r="T1932" s="474">
        <v>60</v>
      </c>
      <c r="U1932" s="474">
        <v>49405140</v>
      </c>
      <c r="V1932" s="486" t="s">
        <v>973</v>
      </c>
      <c r="W1932" s="474">
        <v>400</v>
      </c>
      <c r="X1932" s="402">
        <v>768</v>
      </c>
      <c r="Y1932" s="477">
        <f t="shared" si="322"/>
        <v>307200</v>
      </c>
      <c r="Z1932" s="478">
        <v>0.49</v>
      </c>
      <c r="AA1932" s="479">
        <f>Z1932*Y1932</f>
        <v>150528</v>
      </c>
      <c r="AB1932" s="480"/>
      <c r="AC1932" s="481">
        <f t="shared" si="321"/>
        <v>0</v>
      </c>
      <c r="AD1932" s="490"/>
      <c r="AE1932" s="482"/>
      <c r="AF1932" s="493">
        <f t="shared" si="314"/>
        <v>150528</v>
      </c>
      <c r="AG1932" s="474" t="s">
        <v>47</v>
      </c>
      <c r="AH1932" s="474">
        <v>0</v>
      </c>
      <c r="AI1932" s="474">
        <v>60</v>
      </c>
      <c r="AJ1932" s="474" t="s">
        <v>3765</v>
      </c>
      <c r="AK1932" s="474" t="s">
        <v>1085</v>
      </c>
      <c r="AL1932" s="494">
        <v>8840</v>
      </c>
      <c r="AM1932" s="474" t="s">
        <v>52</v>
      </c>
      <c r="AN1932" s="474" t="s">
        <v>1106</v>
      </c>
      <c r="AO1932" s="474"/>
      <c r="AP1932" s="482"/>
      <c r="AQ1932" s="482" t="s">
        <v>37</v>
      </c>
      <c r="AR1932" s="474"/>
      <c r="AS1932" s="436" t="s">
        <v>3763</v>
      </c>
      <c r="AT1932" s="281" t="s">
        <v>1076</v>
      </c>
      <c r="AU1932" s="472" t="s">
        <v>5613</v>
      </c>
    </row>
    <row r="1933" spans="1:55" s="471" customFormat="1">
      <c r="A1933" s="278"/>
      <c r="B1933" s="279"/>
      <c r="C1933" s="279"/>
      <c r="D1933" s="394" t="s">
        <v>3678</v>
      </c>
      <c r="E1933" s="280" t="s">
        <v>5417</v>
      </c>
      <c r="F1933" s="474"/>
      <c r="G1933" s="474">
        <v>2022</v>
      </c>
      <c r="H1933" s="474">
        <v>4</v>
      </c>
      <c r="I1933" s="485"/>
      <c r="J1933" s="475"/>
      <c r="K1933" s="474" t="s">
        <v>3916</v>
      </c>
      <c r="L1933" s="474" t="s">
        <v>3762</v>
      </c>
      <c r="M1933" s="475">
        <v>44652</v>
      </c>
      <c r="N1933" s="475">
        <v>44666</v>
      </c>
      <c r="O1933" s="475"/>
      <c r="P1933" s="475">
        <v>44671</v>
      </c>
      <c r="Q1933" s="475">
        <v>44676</v>
      </c>
      <c r="R1933" s="475">
        <v>44679</v>
      </c>
      <c r="S1933" s="474" t="s">
        <v>1102</v>
      </c>
      <c r="T1933" s="474">
        <v>60</v>
      </c>
      <c r="U1933" s="474" t="s">
        <v>1760</v>
      </c>
      <c r="V1933" s="474" t="s">
        <v>973</v>
      </c>
      <c r="W1933" s="476">
        <v>400</v>
      </c>
      <c r="X1933" s="402">
        <v>768</v>
      </c>
      <c r="Y1933" s="491">
        <f t="shared" si="322"/>
        <v>307200</v>
      </c>
      <c r="Z1933" s="478">
        <v>0.49</v>
      </c>
      <c r="AA1933" s="582">
        <f t="shared" ref="AA1933:AA1945" si="323">Y1933*Z1933</f>
        <v>150528</v>
      </c>
      <c r="AB1933" s="480"/>
      <c r="AC1933" s="481">
        <f t="shared" si="321"/>
        <v>0</v>
      </c>
      <c r="AD1933" s="490"/>
      <c r="AE1933" s="482"/>
      <c r="AF1933" s="493">
        <f t="shared" si="314"/>
        <v>150528</v>
      </c>
      <c r="AG1933" s="474" t="s">
        <v>47</v>
      </c>
      <c r="AH1933" s="474">
        <v>0</v>
      </c>
      <c r="AI1933" s="474">
        <v>60</v>
      </c>
      <c r="AJ1933" s="474" t="s">
        <v>3304</v>
      </c>
      <c r="AK1933" s="474" t="s">
        <v>1144</v>
      </c>
      <c r="AL1933" s="494">
        <v>75261</v>
      </c>
      <c r="AM1933" s="474" t="s">
        <v>52</v>
      </c>
      <c r="AN1933" s="474" t="s">
        <v>50</v>
      </c>
      <c r="AO1933" s="474"/>
      <c r="AP1933" s="482"/>
      <c r="AQ1933" s="482" t="s">
        <v>37</v>
      </c>
      <c r="AR1933" s="474"/>
      <c r="AS1933" s="436" t="s">
        <v>3763</v>
      </c>
      <c r="AT1933" s="281" t="s">
        <v>1076</v>
      </c>
      <c r="AU1933" s="472"/>
    </row>
    <row r="1934" spans="1:55" s="471" customFormat="1">
      <c r="A1934" s="278"/>
      <c r="B1934" s="279"/>
      <c r="C1934" s="279"/>
      <c r="D1934" s="394" t="s">
        <v>3678</v>
      </c>
      <c r="E1934" s="280" t="s">
        <v>5414</v>
      </c>
      <c r="F1934" s="474"/>
      <c r="G1934" s="474">
        <v>2022</v>
      </c>
      <c r="H1934" s="474">
        <v>4</v>
      </c>
      <c r="I1934" s="485"/>
      <c r="J1934" s="475"/>
      <c r="K1934" s="474" t="s">
        <v>3917</v>
      </c>
      <c r="L1934" s="474" t="s">
        <v>3762</v>
      </c>
      <c r="M1934" s="475">
        <v>44503</v>
      </c>
      <c r="N1934" s="475">
        <v>44595</v>
      </c>
      <c r="O1934" s="475"/>
      <c r="P1934" s="475">
        <v>44666</v>
      </c>
      <c r="Q1934" s="475">
        <v>44673</v>
      </c>
      <c r="R1934" s="475">
        <v>44678</v>
      </c>
      <c r="S1934" s="474" t="s">
        <v>1102</v>
      </c>
      <c r="T1934" s="474">
        <v>60</v>
      </c>
      <c r="U1934" s="474">
        <v>49405140</v>
      </c>
      <c r="V1934" s="474" t="s">
        <v>973</v>
      </c>
      <c r="W1934" s="476">
        <v>400</v>
      </c>
      <c r="X1934" s="402">
        <v>768</v>
      </c>
      <c r="Y1934" s="491">
        <f t="shared" si="322"/>
        <v>307200</v>
      </c>
      <c r="Z1934" s="478">
        <v>0.49</v>
      </c>
      <c r="AA1934" s="582">
        <f t="shared" si="323"/>
        <v>150528</v>
      </c>
      <c r="AB1934" s="480"/>
      <c r="AC1934" s="481">
        <f t="shared" si="321"/>
        <v>0</v>
      </c>
      <c r="AD1934" s="490"/>
      <c r="AE1934" s="482"/>
      <c r="AF1934" s="493">
        <f t="shared" si="314"/>
        <v>150528</v>
      </c>
      <c r="AG1934" s="474" t="s">
        <v>47</v>
      </c>
      <c r="AH1934" s="474">
        <v>0</v>
      </c>
      <c r="AI1934" s="474">
        <v>60</v>
      </c>
      <c r="AJ1934" s="474" t="s">
        <v>2277</v>
      </c>
      <c r="AK1934" s="474" t="s">
        <v>1084</v>
      </c>
      <c r="AL1934" s="494">
        <v>32822</v>
      </c>
      <c r="AM1934" s="474" t="s">
        <v>52</v>
      </c>
      <c r="AN1934" s="474" t="s">
        <v>1106</v>
      </c>
      <c r="AO1934" s="474"/>
      <c r="AP1934" s="482"/>
      <c r="AQ1934" s="482" t="s">
        <v>37</v>
      </c>
      <c r="AR1934" s="474"/>
      <c r="AS1934" s="436" t="s">
        <v>3763</v>
      </c>
      <c r="AT1934" s="281" t="s">
        <v>1076</v>
      </c>
      <c r="AU1934" s="472"/>
    </row>
    <row r="1935" spans="1:55" s="471" customFormat="1">
      <c r="A1935" s="278"/>
      <c r="B1935" s="279"/>
      <c r="C1935" s="279"/>
      <c r="D1935" s="394" t="s">
        <v>3678</v>
      </c>
      <c r="E1935" s="280" t="s">
        <v>5416</v>
      </c>
      <c r="F1935" s="474"/>
      <c r="G1935" s="474">
        <v>2022</v>
      </c>
      <c r="H1935" s="474">
        <v>4</v>
      </c>
      <c r="I1935" s="485"/>
      <c r="J1935" s="475"/>
      <c r="K1935" s="474" t="s">
        <v>3918</v>
      </c>
      <c r="L1935" s="474" t="s">
        <v>3762</v>
      </c>
      <c r="M1935" s="475">
        <v>44503</v>
      </c>
      <c r="N1935" s="475">
        <v>44595</v>
      </c>
      <c r="O1935" s="475"/>
      <c r="P1935" s="475">
        <v>44671</v>
      </c>
      <c r="Q1935" s="475">
        <v>44676</v>
      </c>
      <c r="R1935" s="475">
        <v>44679</v>
      </c>
      <c r="S1935" s="474" t="s">
        <v>1102</v>
      </c>
      <c r="T1935" s="474">
        <v>60</v>
      </c>
      <c r="U1935" s="474" t="s">
        <v>1760</v>
      </c>
      <c r="V1935" s="474" t="s">
        <v>973</v>
      </c>
      <c r="W1935" s="476">
        <v>400</v>
      </c>
      <c r="X1935" s="402">
        <v>768</v>
      </c>
      <c r="Y1935" s="491">
        <f t="shared" si="322"/>
        <v>307200</v>
      </c>
      <c r="Z1935" s="478">
        <v>0.49</v>
      </c>
      <c r="AA1935" s="582">
        <f t="shared" si="323"/>
        <v>150528</v>
      </c>
      <c r="AB1935" s="480"/>
      <c r="AC1935" s="481">
        <f t="shared" si="321"/>
        <v>0</v>
      </c>
      <c r="AD1935" s="490"/>
      <c r="AE1935" s="482"/>
      <c r="AF1935" s="493">
        <f t="shared" si="314"/>
        <v>150528</v>
      </c>
      <c r="AG1935" s="474" t="s">
        <v>47</v>
      </c>
      <c r="AH1935" s="474">
        <v>0</v>
      </c>
      <c r="AI1935" s="474">
        <v>60</v>
      </c>
      <c r="AJ1935" s="474" t="s">
        <v>3919</v>
      </c>
      <c r="AK1935" s="474" t="s">
        <v>50</v>
      </c>
      <c r="AL1935" s="494">
        <v>92868</v>
      </c>
      <c r="AM1935" s="474" t="s">
        <v>52</v>
      </c>
      <c r="AN1935" s="474" t="s">
        <v>50</v>
      </c>
      <c r="AO1935" s="474"/>
      <c r="AP1935" s="482"/>
      <c r="AQ1935" s="482" t="s">
        <v>37</v>
      </c>
      <c r="AR1935" s="474"/>
      <c r="AS1935" s="436" t="s">
        <v>3763</v>
      </c>
      <c r="AT1935" s="436" t="s">
        <v>1076</v>
      </c>
    </row>
    <row r="1936" spans="1:55" s="471" customFormat="1">
      <c r="A1936" s="278"/>
      <c r="B1936" s="279"/>
      <c r="C1936" s="279"/>
      <c r="D1936" s="394" t="s">
        <v>3678</v>
      </c>
      <c r="E1936" s="280" t="s">
        <v>5776</v>
      </c>
      <c r="F1936" s="474"/>
      <c r="G1936" s="474">
        <v>2022</v>
      </c>
      <c r="H1936" s="474">
        <v>4</v>
      </c>
      <c r="I1936" s="679" t="s">
        <v>5408</v>
      </c>
      <c r="J1936" s="475">
        <v>44673</v>
      </c>
      <c r="K1936" s="679" t="s">
        <v>3924</v>
      </c>
      <c r="L1936" s="474" t="s">
        <v>3762</v>
      </c>
      <c r="M1936" s="475">
        <v>44615</v>
      </c>
      <c r="N1936" s="475">
        <v>44621</v>
      </c>
      <c r="O1936" s="475"/>
      <c r="P1936" s="475">
        <v>44663</v>
      </c>
      <c r="Q1936" s="475">
        <v>44671</v>
      </c>
      <c r="R1936" s="475">
        <v>44673</v>
      </c>
      <c r="S1936" s="474" t="s">
        <v>1102</v>
      </c>
      <c r="T1936" s="474">
        <v>60</v>
      </c>
      <c r="U1936" s="474">
        <v>49203132</v>
      </c>
      <c r="V1936" s="474" t="s">
        <v>986</v>
      </c>
      <c r="W1936" s="476">
        <v>360</v>
      </c>
      <c r="X1936" s="402">
        <v>832</v>
      </c>
      <c r="Y1936" s="491">
        <f t="shared" ref="Y1936:Y1943" si="324">X1936*W1936</f>
        <v>299520</v>
      </c>
      <c r="Z1936" s="478">
        <v>0.47499999999999998</v>
      </c>
      <c r="AA1936" s="479">
        <f t="shared" si="323"/>
        <v>142272</v>
      </c>
      <c r="AB1936" s="480"/>
      <c r="AC1936" s="481">
        <f t="shared" si="321"/>
        <v>0</v>
      </c>
      <c r="AD1936" s="490"/>
      <c r="AE1936" s="482"/>
      <c r="AF1936" s="493">
        <f t="shared" si="314"/>
        <v>142272</v>
      </c>
      <c r="AG1936" s="474" t="s">
        <v>47</v>
      </c>
      <c r="AH1936" s="474">
        <v>0</v>
      </c>
      <c r="AI1936" s="474">
        <v>60</v>
      </c>
      <c r="AJ1936" s="474" t="s">
        <v>3767</v>
      </c>
      <c r="AK1936" s="474" t="s">
        <v>1138</v>
      </c>
      <c r="AL1936" s="494">
        <v>11803</v>
      </c>
      <c r="AM1936" s="474" t="s">
        <v>52</v>
      </c>
      <c r="AN1936" s="474" t="s">
        <v>1106</v>
      </c>
      <c r="AO1936" s="474"/>
      <c r="AP1936" s="482"/>
      <c r="AQ1936" s="482" t="s">
        <v>37</v>
      </c>
      <c r="AR1936" s="474"/>
      <c r="AS1936" s="436" t="s">
        <v>3763</v>
      </c>
      <c r="AT1936" s="436" t="s">
        <v>1076</v>
      </c>
    </row>
    <row r="1937" spans="1:55" s="471" customFormat="1">
      <c r="A1937" s="278"/>
      <c r="B1937" s="279"/>
      <c r="C1937" s="279"/>
      <c r="D1937" s="394" t="s">
        <v>3678</v>
      </c>
      <c r="E1937" s="280" t="s">
        <v>5790</v>
      </c>
      <c r="F1937" s="474"/>
      <c r="G1937" s="474">
        <v>2022</v>
      </c>
      <c r="H1937" s="474">
        <v>4</v>
      </c>
      <c r="I1937" s="485">
        <v>128085</v>
      </c>
      <c r="J1937" s="475">
        <v>44662</v>
      </c>
      <c r="K1937" s="474" t="s">
        <v>3923</v>
      </c>
      <c r="L1937" s="474" t="s">
        <v>3762</v>
      </c>
      <c r="M1937" s="475">
        <v>44615</v>
      </c>
      <c r="N1937" s="475">
        <v>44621</v>
      </c>
      <c r="O1937" s="475"/>
      <c r="P1937" s="475">
        <v>44657</v>
      </c>
      <c r="Q1937" s="475">
        <v>44662</v>
      </c>
      <c r="R1937" s="475">
        <v>44664</v>
      </c>
      <c r="S1937" s="474" t="s">
        <v>1102</v>
      </c>
      <c r="T1937" s="474">
        <v>60</v>
      </c>
      <c r="U1937" s="474">
        <v>49203132</v>
      </c>
      <c r="V1937" s="474" t="s">
        <v>986</v>
      </c>
      <c r="W1937" s="476">
        <v>360</v>
      </c>
      <c r="X1937" s="402">
        <v>896</v>
      </c>
      <c r="Y1937" s="491">
        <f t="shared" si="324"/>
        <v>322560</v>
      </c>
      <c r="Z1937" s="478">
        <v>0.47499999999999998</v>
      </c>
      <c r="AA1937" s="479">
        <f t="shared" si="323"/>
        <v>153216</v>
      </c>
      <c r="AB1937" s="480"/>
      <c r="AC1937" s="481">
        <f t="shared" si="321"/>
        <v>0</v>
      </c>
      <c r="AD1937" s="490"/>
      <c r="AE1937" s="482"/>
      <c r="AF1937" s="493">
        <f t="shared" si="314"/>
        <v>153216</v>
      </c>
      <c r="AG1937" s="474" t="s">
        <v>47</v>
      </c>
      <c r="AH1937" s="474">
        <v>0</v>
      </c>
      <c r="AI1937" s="474">
        <v>60</v>
      </c>
      <c r="AJ1937" s="474" t="s">
        <v>3767</v>
      </c>
      <c r="AK1937" s="474" t="s">
        <v>1138</v>
      </c>
      <c r="AL1937" s="494">
        <v>11803</v>
      </c>
      <c r="AM1937" s="474" t="s">
        <v>52</v>
      </c>
      <c r="AN1937" s="474" t="s">
        <v>1074</v>
      </c>
      <c r="AO1937" s="474"/>
      <c r="AP1937" s="482"/>
      <c r="AQ1937" s="482" t="s">
        <v>37</v>
      </c>
      <c r="AR1937" s="474"/>
      <c r="AS1937" s="436" t="s">
        <v>3763</v>
      </c>
      <c r="AT1937" s="281" t="s">
        <v>1076</v>
      </c>
      <c r="AU1937" s="472"/>
    </row>
    <row r="1938" spans="1:55" s="471" customFormat="1">
      <c r="A1938" s="278"/>
      <c r="B1938" s="279"/>
      <c r="C1938" s="279"/>
      <c r="D1938" s="394" t="s">
        <v>3678</v>
      </c>
      <c r="E1938" s="280" t="s">
        <v>5776</v>
      </c>
      <c r="F1938" s="474"/>
      <c r="G1938" s="474">
        <v>2022</v>
      </c>
      <c r="H1938" s="474">
        <v>4</v>
      </c>
      <c r="I1938" s="679" t="s">
        <v>5408</v>
      </c>
      <c r="J1938" s="475">
        <v>44673</v>
      </c>
      <c r="K1938" s="474" t="s">
        <v>3928</v>
      </c>
      <c r="L1938" s="474" t="s">
        <v>3762</v>
      </c>
      <c r="M1938" s="475">
        <v>44615</v>
      </c>
      <c r="N1938" s="475">
        <v>44621</v>
      </c>
      <c r="O1938" s="475"/>
      <c r="P1938" s="475">
        <v>44662</v>
      </c>
      <c r="Q1938" s="475">
        <v>44671</v>
      </c>
      <c r="R1938" s="475">
        <v>44673</v>
      </c>
      <c r="S1938" s="474" t="s">
        <v>1102</v>
      </c>
      <c r="T1938" s="474">
        <v>60</v>
      </c>
      <c r="U1938" s="474">
        <v>49203132</v>
      </c>
      <c r="V1938" s="474" t="s">
        <v>986</v>
      </c>
      <c r="W1938" s="476">
        <v>360</v>
      </c>
      <c r="X1938" s="402">
        <v>832</v>
      </c>
      <c r="Y1938" s="491">
        <f t="shared" si="324"/>
        <v>299520</v>
      </c>
      <c r="Z1938" s="478">
        <v>0.47499999999999998</v>
      </c>
      <c r="AA1938" s="479">
        <f t="shared" si="323"/>
        <v>142272</v>
      </c>
      <c r="AB1938" s="480"/>
      <c r="AC1938" s="481">
        <f t="shared" si="321"/>
        <v>0</v>
      </c>
      <c r="AD1938" s="490"/>
      <c r="AE1938" s="482"/>
      <c r="AF1938" s="493">
        <f t="shared" si="314"/>
        <v>142272</v>
      </c>
      <c r="AG1938" s="474" t="s">
        <v>47</v>
      </c>
      <c r="AH1938" s="474">
        <v>0</v>
      </c>
      <c r="AI1938" s="474">
        <v>60</v>
      </c>
      <c r="AJ1938" s="474" t="s">
        <v>3304</v>
      </c>
      <c r="AK1938" s="474" t="s">
        <v>1144</v>
      </c>
      <c r="AL1938" s="494">
        <v>75261</v>
      </c>
      <c r="AM1938" s="474" t="s">
        <v>52</v>
      </c>
      <c r="AN1938" s="474" t="s">
        <v>1106</v>
      </c>
      <c r="AO1938" s="474"/>
      <c r="AP1938" s="482"/>
      <c r="AQ1938" s="482" t="s">
        <v>37</v>
      </c>
      <c r="AR1938" s="474"/>
      <c r="AS1938" s="436" t="s">
        <v>3763</v>
      </c>
      <c r="AT1938" s="281" t="s">
        <v>1076</v>
      </c>
      <c r="AU1938" s="472"/>
    </row>
    <row r="1939" spans="1:55" s="471" customFormat="1">
      <c r="A1939" s="278"/>
      <c r="B1939" s="279"/>
      <c r="C1939" s="279"/>
      <c r="D1939" s="394" t="s">
        <v>3678</v>
      </c>
      <c r="E1939" s="280" t="s">
        <v>5790</v>
      </c>
      <c r="F1939" s="474"/>
      <c r="G1939" s="474">
        <v>2022</v>
      </c>
      <c r="H1939" s="474">
        <v>4</v>
      </c>
      <c r="I1939" s="485">
        <v>128084</v>
      </c>
      <c r="J1939" s="475">
        <v>44659</v>
      </c>
      <c r="K1939" s="474" t="s">
        <v>3925</v>
      </c>
      <c r="L1939" s="474" t="s">
        <v>3762</v>
      </c>
      <c r="M1939" s="475">
        <v>44615</v>
      </c>
      <c r="N1939" s="475">
        <v>44621</v>
      </c>
      <c r="O1939" s="475"/>
      <c r="P1939" s="475">
        <v>44657</v>
      </c>
      <c r="Q1939" s="475">
        <v>44659</v>
      </c>
      <c r="R1939" s="475">
        <v>44662</v>
      </c>
      <c r="S1939" s="474" t="s">
        <v>1102</v>
      </c>
      <c r="T1939" s="474">
        <v>60</v>
      </c>
      <c r="U1939" s="474">
        <v>49203132</v>
      </c>
      <c r="V1939" s="474" t="s">
        <v>986</v>
      </c>
      <c r="W1939" s="476">
        <v>360</v>
      </c>
      <c r="X1939" s="402">
        <v>896</v>
      </c>
      <c r="Y1939" s="491">
        <f t="shared" si="324"/>
        <v>322560</v>
      </c>
      <c r="Z1939" s="478">
        <v>0.47499999999999998</v>
      </c>
      <c r="AA1939" s="479">
        <f t="shared" si="323"/>
        <v>153216</v>
      </c>
      <c r="AB1939" s="480"/>
      <c r="AC1939" s="481">
        <f t="shared" si="321"/>
        <v>0</v>
      </c>
      <c r="AD1939" s="490"/>
      <c r="AE1939" s="482"/>
      <c r="AF1939" s="493">
        <f t="shared" si="314"/>
        <v>153216</v>
      </c>
      <c r="AG1939" s="474" t="s">
        <v>47</v>
      </c>
      <c r="AH1939" s="474">
        <v>0</v>
      </c>
      <c r="AI1939" s="474">
        <v>60</v>
      </c>
      <c r="AJ1939" s="474" t="s">
        <v>2277</v>
      </c>
      <c r="AK1939" s="474" t="s">
        <v>1084</v>
      </c>
      <c r="AL1939" s="494">
        <v>32822</v>
      </c>
      <c r="AM1939" s="474" t="s">
        <v>52</v>
      </c>
      <c r="AN1939" s="474" t="s">
        <v>1074</v>
      </c>
      <c r="AO1939" s="474"/>
      <c r="AP1939" s="482"/>
      <c r="AQ1939" s="482" t="s">
        <v>37</v>
      </c>
      <c r="AR1939" s="474"/>
      <c r="AS1939" s="436" t="s">
        <v>3763</v>
      </c>
      <c r="AT1939" s="281" t="s">
        <v>1076</v>
      </c>
      <c r="AU1939" s="472"/>
    </row>
    <row r="1940" spans="1:55" s="471" customFormat="1">
      <c r="A1940" s="278"/>
      <c r="B1940" s="279"/>
      <c r="C1940" s="279"/>
      <c r="D1940" s="394" t="s">
        <v>3678</v>
      </c>
      <c r="E1940" s="280" t="s">
        <v>5704</v>
      </c>
      <c r="F1940" s="474"/>
      <c r="G1940" s="474">
        <v>2022</v>
      </c>
      <c r="H1940" s="474">
        <v>4</v>
      </c>
      <c r="I1940" s="485">
        <v>128193</v>
      </c>
      <c r="J1940" s="475">
        <v>44669</v>
      </c>
      <c r="K1940" s="474" t="s">
        <v>3926</v>
      </c>
      <c r="L1940" s="474" t="s">
        <v>3762</v>
      </c>
      <c r="M1940" s="475">
        <v>44615</v>
      </c>
      <c r="N1940" s="475">
        <v>44621</v>
      </c>
      <c r="O1940" s="475"/>
      <c r="P1940" s="475">
        <v>44657</v>
      </c>
      <c r="Q1940" s="475">
        <v>44669</v>
      </c>
      <c r="R1940" s="475">
        <v>44670</v>
      </c>
      <c r="S1940" s="474" t="s">
        <v>1102</v>
      </c>
      <c r="T1940" s="474">
        <v>60</v>
      </c>
      <c r="U1940" s="474">
        <v>49203132</v>
      </c>
      <c r="V1940" s="474" t="s">
        <v>986</v>
      </c>
      <c r="W1940" s="476">
        <v>360</v>
      </c>
      <c r="X1940" s="402">
        <v>896</v>
      </c>
      <c r="Y1940" s="491">
        <f t="shared" si="324"/>
        <v>322560</v>
      </c>
      <c r="Z1940" s="478">
        <v>0.47499999999999998</v>
      </c>
      <c r="AA1940" s="479">
        <f t="shared" si="323"/>
        <v>153216</v>
      </c>
      <c r="AB1940" s="480"/>
      <c r="AC1940" s="481">
        <f t="shared" si="321"/>
        <v>0</v>
      </c>
      <c r="AD1940" s="490"/>
      <c r="AE1940" s="482"/>
      <c r="AF1940" s="493">
        <f t="shared" si="314"/>
        <v>153216</v>
      </c>
      <c r="AG1940" s="474" t="s">
        <v>47</v>
      </c>
      <c r="AH1940" s="474">
        <v>0</v>
      </c>
      <c r="AI1940" s="474">
        <v>60</v>
      </c>
      <c r="AJ1940" s="474" t="s">
        <v>2277</v>
      </c>
      <c r="AK1940" s="474" t="s">
        <v>1084</v>
      </c>
      <c r="AL1940" s="494">
        <v>32822</v>
      </c>
      <c r="AM1940" s="474" t="s">
        <v>52</v>
      </c>
      <c r="AN1940" s="474" t="s">
        <v>1106</v>
      </c>
      <c r="AO1940" s="474"/>
      <c r="AP1940" s="482"/>
      <c r="AQ1940" s="482" t="s">
        <v>37</v>
      </c>
      <c r="AR1940" s="474"/>
      <c r="AS1940" s="436" t="s">
        <v>3763</v>
      </c>
      <c r="AT1940" s="281" t="s">
        <v>1076</v>
      </c>
      <c r="AU1940" s="472"/>
    </row>
    <row r="1941" spans="1:55" s="471" customFormat="1">
      <c r="A1941" s="278"/>
      <c r="B1941" s="279"/>
      <c r="C1941" s="279"/>
      <c r="D1941" s="394" t="s">
        <v>3678</v>
      </c>
      <c r="E1941" s="280" t="s">
        <v>5704</v>
      </c>
      <c r="F1941" s="474"/>
      <c r="G1941" s="474">
        <v>2022</v>
      </c>
      <c r="H1941" s="474">
        <v>4</v>
      </c>
      <c r="I1941" s="485">
        <v>128194</v>
      </c>
      <c r="J1941" s="475">
        <v>44669</v>
      </c>
      <c r="K1941" s="474" t="s">
        <v>3927</v>
      </c>
      <c r="L1941" s="474" t="s">
        <v>3762</v>
      </c>
      <c r="M1941" s="475">
        <v>44615</v>
      </c>
      <c r="N1941" s="475">
        <v>44621</v>
      </c>
      <c r="O1941" s="475"/>
      <c r="P1941" s="475">
        <v>44657</v>
      </c>
      <c r="Q1941" s="475">
        <v>44669</v>
      </c>
      <c r="R1941" s="475">
        <v>44671</v>
      </c>
      <c r="S1941" s="474" t="s">
        <v>1102</v>
      </c>
      <c r="T1941" s="474">
        <v>60</v>
      </c>
      <c r="U1941" s="474">
        <v>49203132</v>
      </c>
      <c r="V1941" s="474" t="s">
        <v>986</v>
      </c>
      <c r="W1941" s="476">
        <v>360</v>
      </c>
      <c r="X1941" s="402">
        <v>896</v>
      </c>
      <c r="Y1941" s="491">
        <f t="shared" si="324"/>
        <v>322560</v>
      </c>
      <c r="Z1941" s="478">
        <v>0.47499999999999998</v>
      </c>
      <c r="AA1941" s="479">
        <f t="shared" si="323"/>
        <v>153216</v>
      </c>
      <c r="AB1941" s="480"/>
      <c r="AC1941" s="481">
        <f t="shared" si="321"/>
        <v>0</v>
      </c>
      <c r="AD1941" s="490"/>
      <c r="AE1941" s="482"/>
      <c r="AF1941" s="493">
        <f t="shared" si="314"/>
        <v>153216</v>
      </c>
      <c r="AG1941" s="474" t="s">
        <v>47</v>
      </c>
      <c r="AH1941" s="474">
        <v>0</v>
      </c>
      <c r="AI1941" s="474">
        <v>60</v>
      </c>
      <c r="AJ1941" s="474" t="s">
        <v>3765</v>
      </c>
      <c r="AK1941" s="474" t="s">
        <v>1085</v>
      </c>
      <c r="AL1941" s="494">
        <v>8840</v>
      </c>
      <c r="AM1941" s="474" t="s">
        <v>52</v>
      </c>
      <c r="AN1941" s="474" t="s">
        <v>1106</v>
      </c>
      <c r="AO1941" s="474"/>
      <c r="AP1941" s="482"/>
      <c r="AQ1941" s="482" t="s">
        <v>37</v>
      </c>
      <c r="AR1941" s="474"/>
      <c r="AS1941" s="281" t="s">
        <v>3763</v>
      </c>
      <c r="AT1941" s="436" t="s">
        <v>1076</v>
      </c>
      <c r="AU1941" s="472"/>
    </row>
    <row r="1942" spans="1:55" s="471" customFormat="1">
      <c r="A1942" s="278"/>
      <c r="B1942" s="279"/>
      <c r="C1942" s="279"/>
      <c r="D1942" s="394" t="s">
        <v>3678</v>
      </c>
      <c r="E1942" s="280" t="s">
        <v>5776</v>
      </c>
      <c r="F1942" s="474"/>
      <c r="G1942" s="474">
        <v>2022</v>
      </c>
      <c r="H1942" s="474">
        <v>4</v>
      </c>
      <c r="I1942" s="679" t="s">
        <v>5408</v>
      </c>
      <c r="J1942" s="475">
        <v>44673</v>
      </c>
      <c r="K1942" s="474" t="s">
        <v>3929</v>
      </c>
      <c r="L1942" s="474" t="s">
        <v>3762</v>
      </c>
      <c r="M1942" s="475">
        <v>44624</v>
      </c>
      <c r="N1942" s="475">
        <v>44631</v>
      </c>
      <c r="O1942" s="475"/>
      <c r="P1942" s="475">
        <v>44663</v>
      </c>
      <c r="Q1942" s="475">
        <v>44671</v>
      </c>
      <c r="R1942" s="475">
        <v>44673</v>
      </c>
      <c r="S1942" s="474" t="s">
        <v>1102</v>
      </c>
      <c r="T1942" s="474">
        <v>60</v>
      </c>
      <c r="U1942" s="474">
        <v>49203132</v>
      </c>
      <c r="V1942" s="474" t="s">
        <v>986</v>
      </c>
      <c r="W1942" s="476">
        <v>360</v>
      </c>
      <c r="X1942" s="402">
        <v>832</v>
      </c>
      <c r="Y1942" s="491">
        <f t="shared" si="324"/>
        <v>299520</v>
      </c>
      <c r="Z1942" s="478">
        <v>0.47499999999999998</v>
      </c>
      <c r="AA1942" s="479">
        <f t="shared" si="323"/>
        <v>142272</v>
      </c>
      <c r="AB1942" s="480"/>
      <c r="AC1942" s="481">
        <f t="shared" si="321"/>
        <v>0</v>
      </c>
      <c r="AD1942" s="490"/>
      <c r="AE1942" s="482"/>
      <c r="AF1942" s="493">
        <f t="shared" si="314"/>
        <v>142272</v>
      </c>
      <c r="AG1942" s="474" t="s">
        <v>47</v>
      </c>
      <c r="AH1942" s="474">
        <v>0</v>
      </c>
      <c r="AI1942" s="474">
        <v>60</v>
      </c>
      <c r="AJ1942" s="474" t="s">
        <v>3930</v>
      </c>
      <c r="AK1942" s="474" t="s">
        <v>1190</v>
      </c>
      <c r="AL1942" s="494">
        <v>6023</v>
      </c>
      <c r="AM1942" s="474" t="s">
        <v>52</v>
      </c>
      <c r="AN1942" s="474" t="s">
        <v>1106</v>
      </c>
      <c r="AO1942" s="474"/>
      <c r="AP1942" s="482"/>
      <c r="AQ1942" s="482" t="s">
        <v>37</v>
      </c>
      <c r="AR1942" s="474"/>
      <c r="AS1942" s="281" t="s">
        <v>3763</v>
      </c>
      <c r="AT1942" s="436" t="s">
        <v>1076</v>
      </c>
      <c r="AU1942" s="472"/>
    </row>
    <row r="1943" spans="1:55" s="471" customFormat="1">
      <c r="A1943" s="278"/>
      <c r="B1943" s="279"/>
      <c r="C1943" s="279"/>
      <c r="D1943" s="394" t="s">
        <v>3678</v>
      </c>
      <c r="E1943" s="280" t="s">
        <v>5776</v>
      </c>
      <c r="F1943" s="474"/>
      <c r="G1943" s="474">
        <v>2022</v>
      </c>
      <c r="H1943" s="474">
        <v>4</v>
      </c>
      <c r="I1943" s="679" t="s">
        <v>5408</v>
      </c>
      <c r="J1943" s="475">
        <v>44676</v>
      </c>
      <c r="K1943" s="474" t="s">
        <v>3933</v>
      </c>
      <c r="L1943" s="474" t="s">
        <v>3762</v>
      </c>
      <c r="M1943" s="475">
        <v>44624</v>
      </c>
      <c r="N1943" s="475">
        <v>44631</v>
      </c>
      <c r="O1943" s="475"/>
      <c r="P1943" s="475">
        <v>44662</v>
      </c>
      <c r="Q1943" s="475">
        <v>44673</v>
      </c>
      <c r="R1943" s="475">
        <v>44676</v>
      </c>
      <c r="S1943" s="474" t="s">
        <v>1102</v>
      </c>
      <c r="T1943" s="474">
        <v>60</v>
      </c>
      <c r="U1943" s="474">
        <v>49203132</v>
      </c>
      <c r="V1943" s="474" t="s">
        <v>986</v>
      </c>
      <c r="W1943" s="476">
        <v>360</v>
      </c>
      <c r="X1943" s="402">
        <v>832</v>
      </c>
      <c r="Y1943" s="491">
        <f t="shared" si="324"/>
        <v>299520</v>
      </c>
      <c r="Z1943" s="478">
        <v>0.47499999999999998</v>
      </c>
      <c r="AA1943" s="479">
        <f t="shared" si="323"/>
        <v>142272</v>
      </c>
      <c r="AB1943" s="480"/>
      <c r="AC1943" s="481">
        <f t="shared" si="321"/>
        <v>0</v>
      </c>
      <c r="AD1943" s="490"/>
      <c r="AE1943" s="482"/>
      <c r="AF1943" s="493">
        <f t="shared" si="314"/>
        <v>142272</v>
      </c>
      <c r="AG1943" s="474" t="s">
        <v>47</v>
      </c>
      <c r="AH1943" s="474">
        <v>0</v>
      </c>
      <c r="AI1943" s="474">
        <v>60</v>
      </c>
      <c r="AJ1943" s="474" t="s">
        <v>2506</v>
      </c>
      <c r="AK1943" s="474" t="s">
        <v>1084</v>
      </c>
      <c r="AL1943" s="494">
        <v>33634</v>
      </c>
      <c r="AM1943" s="474" t="s">
        <v>52</v>
      </c>
      <c r="AN1943" s="474" t="s">
        <v>1106</v>
      </c>
      <c r="AO1943" s="474"/>
      <c r="AP1943" s="482"/>
      <c r="AQ1943" s="482" t="s">
        <v>37</v>
      </c>
      <c r="AR1943" s="474"/>
      <c r="AS1943" s="281" t="s">
        <v>3763</v>
      </c>
      <c r="AT1943" s="436" t="s">
        <v>1076</v>
      </c>
      <c r="AU1943" s="472"/>
    </row>
    <row r="1944" spans="1:55" s="471" customFormat="1">
      <c r="A1944" s="278"/>
      <c r="B1944" s="279"/>
      <c r="C1944" s="279"/>
      <c r="D1944" s="394" t="s">
        <v>3678</v>
      </c>
      <c r="E1944" s="280" t="s">
        <v>5776</v>
      </c>
      <c r="F1944" s="474" t="s">
        <v>1147</v>
      </c>
      <c r="G1944" s="474">
        <v>2022</v>
      </c>
      <c r="H1944" s="474">
        <v>4</v>
      </c>
      <c r="I1944" s="679" t="s">
        <v>5408</v>
      </c>
      <c r="J1944" s="475">
        <v>44674</v>
      </c>
      <c r="K1944" s="474" t="s">
        <v>5240</v>
      </c>
      <c r="L1944" s="474" t="s">
        <v>3792</v>
      </c>
      <c r="M1944" s="475">
        <v>44655</v>
      </c>
      <c r="N1944" s="475">
        <v>44655</v>
      </c>
      <c r="O1944" s="475"/>
      <c r="P1944" s="475">
        <v>44666</v>
      </c>
      <c r="Q1944" s="475">
        <v>44672</v>
      </c>
      <c r="R1944" s="475">
        <v>44674</v>
      </c>
      <c r="S1944" s="474" t="s">
        <v>1102</v>
      </c>
      <c r="T1944" s="474">
        <v>60</v>
      </c>
      <c r="U1944" s="474">
        <v>49203132</v>
      </c>
      <c r="V1944" s="474" t="s">
        <v>986</v>
      </c>
      <c r="W1944" s="476">
        <v>360</v>
      </c>
      <c r="X1944" s="402">
        <v>768</v>
      </c>
      <c r="Y1944" s="491">
        <f>W1944*X1944</f>
        <v>276480</v>
      </c>
      <c r="Z1944" s="478">
        <v>0.5</v>
      </c>
      <c r="AA1944" s="479">
        <f t="shared" si="323"/>
        <v>138240</v>
      </c>
      <c r="AB1944" s="480"/>
      <c r="AC1944" s="481">
        <f t="shared" si="321"/>
        <v>0</v>
      </c>
      <c r="AD1944" s="490"/>
      <c r="AE1944" s="482"/>
      <c r="AF1944" s="493">
        <f t="shared" si="314"/>
        <v>138240</v>
      </c>
      <c r="AG1944" s="474" t="s">
        <v>47</v>
      </c>
      <c r="AH1944" s="474">
        <v>10</v>
      </c>
      <c r="AI1944" s="474">
        <v>30</v>
      </c>
      <c r="AJ1944" s="474" t="s">
        <v>3793</v>
      </c>
      <c r="AK1944" s="474" t="s">
        <v>1085</v>
      </c>
      <c r="AL1944" s="494" t="s">
        <v>4016</v>
      </c>
      <c r="AM1944" s="474" t="s">
        <v>52</v>
      </c>
      <c r="AN1944" s="474" t="s">
        <v>1074</v>
      </c>
      <c r="AO1944" s="474"/>
      <c r="AP1944" s="482"/>
      <c r="AQ1944" s="482"/>
      <c r="AR1944" s="474"/>
      <c r="AS1944" s="281"/>
      <c r="AT1944" s="436"/>
      <c r="AU1944" s="472"/>
    </row>
    <row r="1945" spans="1:55" s="471" customFormat="1">
      <c r="A1945" s="278"/>
      <c r="B1945" s="279"/>
      <c r="C1945" s="279"/>
      <c r="D1945" s="394" t="s">
        <v>3678</v>
      </c>
      <c r="E1945" s="280" t="s">
        <v>5776</v>
      </c>
      <c r="F1945" s="474"/>
      <c r="G1945" s="474">
        <v>2022</v>
      </c>
      <c r="H1945" s="474">
        <v>4</v>
      </c>
      <c r="I1945" s="679" t="s">
        <v>5408</v>
      </c>
      <c r="J1945" s="475">
        <v>44672</v>
      </c>
      <c r="K1945" s="474" t="s">
        <v>3936</v>
      </c>
      <c r="L1945" s="474" t="s">
        <v>3762</v>
      </c>
      <c r="M1945" s="475">
        <v>44624</v>
      </c>
      <c r="N1945" s="475">
        <v>44631</v>
      </c>
      <c r="O1945" s="475"/>
      <c r="P1945" s="475">
        <v>44664</v>
      </c>
      <c r="Q1945" s="475">
        <v>44669</v>
      </c>
      <c r="R1945" s="475">
        <v>44671</v>
      </c>
      <c r="S1945" s="474" t="s">
        <v>1102</v>
      </c>
      <c r="T1945" s="474">
        <v>60</v>
      </c>
      <c r="U1945" s="474">
        <v>49203132</v>
      </c>
      <c r="V1945" s="474" t="s">
        <v>986</v>
      </c>
      <c r="W1945" s="476">
        <v>360</v>
      </c>
      <c r="X1945" s="402">
        <v>896</v>
      </c>
      <c r="Y1945" s="491">
        <f>X1945*W1945</f>
        <v>322560</v>
      </c>
      <c r="Z1945" s="478">
        <v>0.47499999999999998</v>
      </c>
      <c r="AA1945" s="479">
        <f t="shared" si="323"/>
        <v>153216</v>
      </c>
      <c r="AB1945" s="480"/>
      <c r="AC1945" s="481">
        <f t="shared" si="321"/>
        <v>0</v>
      </c>
      <c r="AD1945" s="490"/>
      <c r="AE1945" s="482"/>
      <c r="AF1945" s="493">
        <f t="shared" si="314"/>
        <v>153216</v>
      </c>
      <c r="AG1945" s="474" t="s">
        <v>47</v>
      </c>
      <c r="AH1945" s="474">
        <v>0</v>
      </c>
      <c r="AI1945" s="474">
        <v>60</v>
      </c>
      <c r="AJ1945" s="474" t="s">
        <v>3767</v>
      </c>
      <c r="AK1945" s="474" t="s">
        <v>1138</v>
      </c>
      <c r="AL1945" s="494">
        <v>11803</v>
      </c>
      <c r="AM1945" s="474" t="s">
        <v>52</v>
      </c>
      <c r="AN1945" s="474" t="s">
        <v>1106</v>
      </c>
      <c r="AO1945" s="474"/>
      <c r="AP1945" s="482"/>
      <c r="AQ1945" s="482" t="s">
        <v>37</v>
      </c>
      <c r="AR1945" s="474"/>
      <c r="AS1945" s="281" t="s">
        <v>3763</v>
      </c>
      <c r="AT1945" s="436" t="s">
        <v>1076</v>
      </c>
      <c r="AU1945" s="472"/>
    </row>
    <row r="1946" spans="1:55" s="471" customFormat="1">
      <c r="A1946" s="278"/>
      <c r="B1946" s="279"/>
      <c r="C1946" s="279"/>
      <c r="D1946" s="394" t="s">
        <v>3678</v>
      </c>
      <c r="E1946" s="280" t="s">
        <v>5788</v>
      </c>
      <c r="F1946" s="474"/>
      <c r="G1946" s="474">
        <v>2022</v>
      </c>
      <c r="H1946" s="474">
        <v>5</v>
      </c>
      <c r="I1946" s="474"/>
      <c r="J1946" s="475"/>
      <c r="K1946" s="474" t="s">
        <v>5791</v>
      </c>
      <c r="L1946" s="475" t="s">
        <v>3697</v>
      </c>
      <c r="M1946" s="475">
        <v>44680</v>
      </c>
      <c r="N1946" s="475">
        <v>44680</v>
      </c>
      <c r="O1946" s="475"/>
      <c r="P1946" s="475"/>
      <c r="Q1946" s="475"/>
      <c r="R1946" s="475"/>
      <c r="S1946" s="474" t="s">
        <v>1102</v>
      </c>
      <c r="T1946" s="474">
        <v>60</v>
      </c>
      <c r="U1946" s="474"/>
      <c r="V1946" s="474" t="s">
        <v>986</v>
      </c>
      <c r="W1946" s="476">
        <v>360</v>
      </c>
      <c r="X1946" s="402">
        <v>768</v>
      </c>
      <c r="Y1946" s="477">
        <f>W1946*X1946</f>
        <v>276480</v>
      </c>
      <c r="Z1946" s="478">
        <v>0.47</v>
      </c>
      <c r="AA1946" s="479">
        <f>Z1946*Y1946</f>
        <v>129945.59999999999</v>
      </c>
      <c r="AB1946" s="480"/>
      <c r="AC1946" s="481">
        <f t="shared" si="321"/>
        <v>0</v>
      </c>
      <c r="AD1946" s="490"/>
      <c r="AE1946" s="482"/>
      <c r="AF1946" s="493">
        <f t="shared" si="314"/>
        <v>129945.59999999999</v>
      </c>
      <c r="AG1946" s="474" t="s">
        <v>47</v>
      </c>
      <c r="AH1946" s="474"/>
      <c r="AI1946" s="474">
        <v>45</v>
      </c>
      <c r="AJ1946" s="474" t="s">
        <v>1777</v>
      </c>
      <c r="AK1946" s="474" t="s">
        <v>50</v>
      </c>
      <c r="AL1946" s="494">
        <v>93308</v>
      </c>
      <c r="AM1946" s="474" t="s">
        <v>52</v>
      </c>
      <c r="AN1946" s="474"/>
      <c r="AO1946" s="474"/>
      <c r="AP1946" s="482"/>
      <c r="AQ1946" s="482" t="s">
        <v>37</v>
      </c>
      <c r="AR1946" s="474"/>
      <c r="AS1946" s="281" t="s">
        <v>1076</v>
      </c>
      <c r="AT1946" s="436" t="s">
        <v>1076</v>
      </c>
      <c r="AU1946" s="472"/>
    </row>
    <row r="1947" spans="1:55" s="471" customFormat="1">
      <c r="A1947" s="278"/>
      <c r="B1947" s="279"/>
      <c r="C1947" s="279"/>
      <c r="D1947" s="394" t="s">
        <v>3678</v>
      </c>
      <c r="E1947" s="280" t="s">
        <v>5449</v>
      </c>
      <c r="F1947" s="474"/>
      <c r="G1947" s="474">
        <v>2022</v>
      </c>
      <c r="H1947" s="474">
        <v>4</v>
      </c>
      <c r="I1947" s="485"/>
      <c r="J1947" s="475"/>
      <c r="K1947" s="474" t="s">
        <v>3934</v>
      </c>
      <c r="L1947" s="474" t="s">
        <v>3762</v>
      </c>
      <c r="M1947" s="475">
        <v>44624</v>
      </c>
      <c r="N1947" s="475">
        <v>44631</v>
      </c>
      <c r="O1947" s="475"/>
      <c r="P1947" s="475">
        <v>44657</v>
      </c>
      <c r="Q1947" s="475">
        <v>44677</v>
      </c>
      <c r="R1947" s="475">
        <v>44679</v>
      </c>
      <c r="S1947" s="474" t="s">
        <v>1102</v>
      </c>
      <c r="T1947" s="474">
        <v>60</v>
      </c>
      <c r="U1947" s="474">
        <v>49203132</v>
      </c>
      <c r="V1947" s="474" t="s">
        <v>986</v>
      </c>
      <c r="W1947" s="476">
        <v>360</v>
      </c>
      <c r="X1947" s="402">
        <v>896</v>
      </c>
      <c r="Y1947" s="491">
        <f>X1947*W1947</f>
        <v>322560</v>
      </c>
      <c r="Z1947" s="478">
        <v>0.47499999999999998</v>
      </c>
      <c r="AA1947" s="479">
        <f>Y1947*Z1947</f>
        <v>153216</v>
      </c>
      <c r="AB1947" s="480"/>
      <c r="AC1947" s="481">
        <f t="shared" si="321"/>
        <v>0</v>
      </c>
      <c r="AD1947" s="490"/>
      <c r="AE1947" s="482"/>
      <c r="AF1947" s="493">
        <f t="shared" si="314"/>
        <v>153216</v>
      </c>
      <c r="AG1947" s="474" t="s">
        <v>47</v>
      </c>
      <c r="AH1947" s="474">
        <v>0</v>
      </c>
      <c r="AI1947" s="474">
        <v>60</v>
      </c>
      <c r="AJ1947" s="474" t="s">
        <v>1593</v>
      </c>
      <c r="AK1947" s="474" t="s">
        <v>1144</v>
      </c>
      <c r="AL1947" s="494">
        <v>78764</v>
      </c>
      <c r="AM1947" s="474" t="s">
        <v>52</v>
      </c>
      <c r="AN1947" s="474" t="s">
        <v>1106</v>
      </c>
      <c r="AO1947" s="474"/>
      <c r="AP1947" s="482"/>
      <c r="AQ1947" s="482" t="s">
        <v>37</v>
      </c>
      <c r="AR1947" s="474"/>
      <c r="AS1947" s="281" t="s">
        <v>3763</v>
      </c>
      <c r="AT1947" s="436" t="s">
        <v>1076</v>
      </c>
      <c r="AU1947" s="472"/>
      <c r="AV1947" s="471">
        <f t="shared" ref="AV1947:AV1978" si="325">U1947</f>
        <v>49203132</v>
      </c>
      <c r="AW1947" s="471" cm="1">
        <f t="array" ref="AW1947">SUM(MID(0&amp;AV1947,LARGE(INDEX(ISNUMBER(--MID(AV1947,ROW($1:$8),1))*ROW($1:$8),),ROW($1:$8))+1,1)*10^ROW($1:$8)/10)</f>
        <v>49203132</v>
      </c>
      <c r="AX1947" s="471" t="str">
        <f>VLOOKUP($AW1947,'Item Master Data'!$A:$F,3,FALSE)</f>
        <v>Q.PEAK DUO BLK G10+</v>
      </c>
      <c r="AY1947" s="471">
        <f>VLOOKUP($AW1947,'Item Master Data'!$A:$F,6,FALSE)</f>
        <v>360</v>
      </c>
      <c r="AZ1947" s="471">
        <f t="shared" ref="AZ1947:AZ1978" si="326">X1947/BA1947</f>
        <v>28</v>
      </c>
      <c r="BA1947" s="471">
        <f>VLOOKUP(AW1947,'Item Master Data'!$A:$G,7,FALSE)</f>
        <v>32</v>
      </c>
      <c r="BC1947" s="471">
        <f t="shared" ref="BC1947:BC1978" si="327">W1947-AY1947</f>
        <v>0</v>
      </c>
    </row>
    <row r="1948" spans="1:55" s="471" customFormat="1">
      <c r="A1948" s="278"/>
      <c r="B1948" s="279"/>
      <c r="C1948" s="279"/>
      <c r="D1948" s="394" t="s">
        <v>3678</v>
      </c>
      <c r="E1948" s="280" t="s">
        <v>5776</v>
      </c>
      <c r="F1948" s="474"/>
      <c r="G1948" s="474">
        <v>2022</v>
      </c>
      <c r="H1948" s="474">
        <v>4</v>
      </c>
      <c r="I1948" s="679" t="s">
        <v>5408</v>
      </c>
      <c r="J1948" s="475">
        <v>44672</v>
      </c>
      <c r="K1948" s="474" t="s">
        <v>3940</v>
      </c>
      <c r="L1948" s="474" t="s">
        <v>3762</v>
      </c>
      <c r="M1948" s="475">
        <v>44637</v>
      </c>
      <c r="N1948" s="475">
        <v>44641</v>
      </c>
      <c r="O1948" s="475"/>
      <c r="P1948" s="475">
        <v>44663</v>
      </c>
      <c r="Q1948" s="475">
        <v>44671</v>
      </c>
      <c r="R1948" s="475">
        <v>44672</v>
      </c>
      <c r="S1948" s="486" t="s">
        <v>1102</v>
      </c>
      <c r="T1948" s="474">
        <v>60</v>
      </c>
      <c r="U1948" s="474">
        <v>49203132</v>
      </c>
      <c r="V1948" s="486" t="s">
        <v>986</v>
      </c>
      <c r="W1948" s="474">
        <v>360</v>
      </c>
      <c r="X1948" s="485">
        <v>832</v>
      </c>
      <c r="Y1948" s="477">
        <f t="shared" ref="Y1948:Y1963" si="328">W1948*X1948</f>
        <v>299520</v>
      </c>
      <c r="Z1948" s="478">
        <v>0.47499999999999998</v>
      </c>
      <c r="AA1948" s="479">
        <f>Z1948*Y1948</f>
        <v>142272</v>
      </c>
      <c r="AB1948" s="480"/>
      <c r="AC1948" s="481">
        <f t="shared" si="321"/>
        <v>0</v>
      </c>
      <c r="AD1948" s="490"/>
      <c r="AE1948" s="482"/>
      <c r="AF1948" s="493">
        <f t="shared" si="314"/>
        <v>142272</v>
      </c>
      <c r="AG1948" s="474" t="s">
        <v>47</v>
      </c>
      <c r="AH1948" s="474">
        <v>0</v>
      </c>
      <c r="AI1948" s="474">
        <v>60</v>
      </c>
      <c r="AJ1948" s="474" t="s">
        <v>2277</v>
      </c>
      <c r="AK1948" s="474" t="s">
        <v>1084</v>
      </c>
      <c r="AL1948" s="494">
        <v>32822</v>
      </c>
      <c r="AM1948" s="474" t="s">
        <v>52</v>
      </c>
      <c r="AN1948" s="474" t="s">
        <v>1106</v>
      </c>
      <c r="AO1948" s="474"/>
      <c r="AP1948" s="482"/>
      <c r="AQ1948" s="482" t="s">
        <v>37</v>
      </c>
      <c r="AR1948" s="474"/>
      <c r="AS1948" s="436" t="s">
        <v>3763</v>
      </c>
      <c r="AT1948" s="281" t="s">
        <v>1076</v>
      </c>
      <c r="AU1948" s="472" t="s">
        <v>5613</v>
      </c>
      <c r="AV1948" s="471">
        <f t="shared" si="325"/>
        <v>49203132</v>
      </c>
      <c r="AW1948" s="471" cm="1">
        <f t="array" ref="AW1948">SUM(MID(0&amp;AV1948,LARGE(INDEX(ISNUMBER(--MID(AV1948,ROW($1:$8),1))*ROW($1:$8),),ROW($1:$8))+1,1)*10^ROW($1:$8)/10)</f>
        <v>49203132</v>
      </c>
      <c r="AX1948" s="471" t="str">
        <f>VLOOKUP($AW1948,'Item Master Data'!$A:$F,3,FALSE)</f>
        <v>Q.PEAK DUO BLK G10+</v>
      </c>
      <c r="AY1948" s="471">
        <f>VLOOKUP($AW1948,'Item Master Data'!$A:$F,6,FALSE)</f>
        <v>360</v>
      </c>
      <c r="AZ1948" s="471">
        <f t="shared" si="326"/>
        <v>26</v>
      </c>
      <c r="BA1948" s="471">
        <f>VLOOKUP(AW1948,'Item Master Data'!$A:$G,7,FALSE)</f>
        <v>32</v>
      </c>
      <c r="BC1948" s="471">
        <f t="shared" si="327"/>
        <v>0</v>
      </c>
    </row>
    <row r="1949" spans="1:55" s="471" customFormat="1">
      <c r="A1949" s="278"/>
      <c r="B1949" s="279"/>
      <c r="C1949" s="279"/>
      <c r="D1949" s="394" t="s">
        <v>3678</v>
      </c>
      <c r="E1949" s="280" t="s">
        <v>5788</v>
      </c>
      <c r="F1949" s="474"/>
      <c r="G1949" s="474">
        <v>2022</v>
      </c>
      <c r="H1949" s="474">
        <v>5</v>
      </c>
      <c r="I1949" s="474"/>
      <c r="J1949" s="475"/>
      <c r="K1949" s="474" t="s">
        <v>5792</v>
      </c>
      <c r="L1949" s="475" t="s">
        <v>3697</v>
      </c>
      <c r="M1949" s="475">
        <v>44680</v>
      </c>
      <c r="N1949" s="475">
        <v>44680</v>
      </c>
      <c r="O1949" s="475"/>
      <c r="P1949" s="475"/>
      <c r="Q1949" s="475"/>
      <c r="R1949" s="475"/>
      <c r="S1949" s="474" t="s">
        <v>1102</v>
      </c>
      <c r="T1949" s="474">
        <v>60</v>
      </c>
      <c r="U1949" s="474"/>
      <c r="V1949" s="474" t="s">
        <v>986</v>
      </c>
      <c r="W1949" s="476">
        <v>360</v>
      </c>
      <c r="X1949" s="402">
        <v>768</v>
      </c>
      <c r="Y1949" s="477">
        <f t="shared" si="328"/>
        <v>276480</v>
      </c>
      <c r="Z1949" s="478">
        <v>0.47</v>
      </c>
      <c r="AA1949" s="479">
        <f>Z1949*Y1949</f>
        <v>129945.59999999999</v>
      </c>
      <c r="AB1949" s="480"/>
      <c r="AC1949" s="481">
        <f t="shared" si="321"/>
        <v>0</v>
      </c>
      <c r="AD1949" s="490"/>
      <c r="AE1949" s="482"/>
      <c r="AF1949" s="493">
        <f t="shared" si="314"/>
        <v>129945.59999999999</v>
      </c>
      <c r="AG1949" s="474" t="s">
        <v>47</v>
      </c>
      <c r="AH1949" s="474"/>
      <c r="AI1949" s="474">
        <v>45</v>
      </c>
      <c r="AJ1949" s="474" t="s">
        <v>1777</v>
      </c>
      <c r="AK1949" s="474" t="s">
        <v>50</v>
      </c>
      <c r="AL1949" s="494">
        <v>93308</v>
      </c>
      <c r="AM1949" s="474" t="s">
        <v>52</v>
      </c>
      <c r="AN1949" s="474"/>
      <c r="AO1949" s="474"/>
      <c r="AP1949" s="482"/>
      <c r="AQ1949" s="482" t="s">
        <v>37</v>
      </c>
      <c r="AR1949" s="474"/>
      <c r="AS1949" s="436" t="s">
        <v>1076</v>
      </c>
      <c r="AT1949" s="281" t="s">
        <v>1076</v>
      </c>
      <c r="AU1949" s="472"/>
      <c r="AV1949" s="471">
        <f t="shared" si="325"/>
        <v>0</v>
      </c>
      <c r="AW1949" s="471" cm="1">
        <f t="array" ref="AW1949">SUM(MID(0&amp;AV1949,LARGE(INDEX(ISNUMBER(--MID(AV1949,ROW($1:$8),1))*ROW($1:$8),),ROW($1:$8))+1,1)*10^ROW($1:$8)/10)</f>
        <v>0</v>
      </c>
      <c r="AX1949" s="471" t="e">
        <f>VLOOKUP($AW1949,'Item Master Data'!$A:$F,3,FALSE)</f>
        <v>#N/A</v>
      </c>
      <c r="AY1949" s="471" t="e">
        <f>VLOOKUP($AW1949,'Item Master Data'!$A:$F,6,FALSE)</f>
        <v>#N/A</v>
      </c>
      <c r="AZ1949" s="471" t="e">
        <f t="shared" si="326"/>
        <v>#N/A</v>
      </c>
      <c r="BA1949" s="471" t="e">
        <f>VLOOKUP(AW1949,'Item Master Data'!$A:$G,7,FALSE)</f>
        <v>#N/A</v>
      </c>
      <c r="BC1949" s="471" t="e">
        <f t="shared" si="327"/>
        <v>#N/A</v>
      </c>
    </row>
    <row r="1950" spans="1:55" s="471" customFormat="1">
      <c r="A1950" s="278">
        <v>10</v>
      </c>
      <c r="B1950" s="279"/>
      <c r="C1950" s="279"/>
      <c r="D1950" s="394" t="s">
        <v>3678</v>
      </c>
      <c r="E1950" s="280" t="s">
        <v>5699</v>
      </c>
      <c r="F1950" s="474"/>
      <c r="G1950" s="474">
        <v>2022</v>
      </c>
      <c r="H1950" s="474">
        <v>4</v>
      </c>
      <c r="I1950" s="485"/>
      <c r="J1950" s="475"/>
      <c r="K1950" s="474" t="s">
        <v>3894</v>
      </c>
      <c r="L1950" s="474" t="s">
        <v>1340</v>
      </c>
      <c r="M1950" s="475">
        <v>44523</v>
      </c>
      <c r="N1950" s="475">
        <v>44523</v>
      </c>
      <c r="O1950" s="475"/>
      <c r="P1950" s="475">
        <v>44679</v>
      </c>
      <c r="Q1950" s="475">
        <v>44680</v>
      </c>
      <c r="R1950" s="475">
        <v>44680</v>
      </c>
      <c r="S1950" s="474" t="s">
        <v>1102</v>
      </c>
      <c r="T1950" s="474">
        <v>60</v>
      </c>
      <c r="U1950" s="474" t="s">
        <v>1281</v>
      </c>
      <c r="V1950" s="474" t="s">
        <v>973</v>
      </c>
      <c r="W1950" s="476">
        <v>400</v>
      </c>
      <c r="X1950" s="402">
        <v>768</v>
      </c>
      <c r="Y1950" s="491">
        <f t="shared" si="328"/>
        <v>307200</v>
      </c>
      <c r="Z1950" s="478">
        <v>0.55000000000000004</v>
      </c>
      <c r="AA1950" s="584">
        <f>Y1950*Z1950</f>
        <v>168960</v>
      </c>
      <c r="AB1950" s="480"/>
      <c r="AC1950" s="481">
        <v>0</v>
      </c>
      <c r="AD1950" s="490"/>
      <c r="AE1950" s="482"/>
      <c r="AF1950" s="493">
        <f t="shared" si="314"/>
        <v>168960</v>
      </c>
      <c r="AG1950" s="474" t="s">
        <v>1071</v>
      </c>
      <c r="AH1950" s="474"/>
      <c r="AI1950" s="474">
        <v>60</v>
      </c>
      <c r="AJ1950" s="474" t="s">
        <v>1342</v>
      </c>
      <c r="AK1950" s="474" t="s">
        <v>1085</v>
      </c>
      <c r="AL1950" s="494">
        <v>8110</v>
      </c>
      <c r="AM1950" s="474" t="s">
        <v>52</v>
      </c>
      <c r="AN1950" s="474" t="s">
        <v>1085</v>
      </c>
      <c r="AO1950" s="474"/>
      <c r="AP1950" s="482" t="s">
        <v>92</v>
      </c>
      <c r="AQ1950" s="482" t="s">
        <v>37</v>
      </c>
      <c r="AR1950" s="474" t="s">
        <v>3895</v>
      </c>
      <c r="AS1950" s="436"/>
      <c r="AT1950" s="281"/>
      <c r="AU1950" s="472">
        <v>0.46500000000000002</v>
      </c>
      <c r="AV1950" s="471" t="str">
        <f t="shared" si="325"/>
        <v>30390456H</v>
      </c>
      <c r="AW1950" s="471" cm="1">
        <f t="array" ref="AW1950">SUM(MID(0&amp;AV1950,LARGE(INDEX(ISNUMBER(--MID(AV1950,ROW($1:$8),1))*ROW($1:$8),),ROW($1:$8))+1,1)*10^ROW($1:$8)/10)</f>
        <v>30390456</v>
      </c>
      <c r="AX1950" s="471" t="str">
        <f>VLOOKUP($AW1950,'Item Master Data'!$A:$F,3,FALSE)</f>
        <v>Q.PEAK DUO BLK ML G10+</v>
      </c>
      <c r="AY1950" s="471">
        <f>VLOOKUP($AW1950,'Item Master Data'!$A:$F,6,FALSE)</f>
        <v>400</v>
      </c>
      <c r="AZ1950" s="471">
        <f t="shared" si="326"/>
        <v>24</v>
      </c>
      <c r="BA1950" s="471">
        <f>VLOOKUP(AW1950,'Item Master Data'!$A:$G,7,FALSE)</f>
        <v>32</v>
      </c>
      <c r="BC1950" s="471">
        <f t="shared" si="327"/>
        <v>0</v>
      </c>
    </row>
    <row r="1951" spans="1:55" s="471" customFormat="1">
      <c r="A1951" s="278"/>
      <c r="B1951" s="279"/>
      <c r="C1951" s="279"/>
      <c r="D1951" s="394" t="s">
        <v>3678</v>
      </c>
      <c r="E1951" s="280" t="s">
        <v>5788</v>
      </c>
      <c r="F1951" s="474"/>
      <c r="G1951" s="474">
        <v>2022</v>
      </c>
      <c r="H1951" s="474">
        <v>5</v>
      </c>
      <c r="I1951" s="474"/>
      <c r="J1951" s="475"/>
      <c r="K1951" s="474" t="s">
        <v>5793</v>
      </c>
      <c r="L1951" s="475" t="s">
        <v>3697</v>
      </c>
      <c r="M1951" s="475">
        <v>44680</v>
      </c>
      <c r="N1951" s="475">
        <v>44680</v>
      </c>
      <c r="O1951" s="475"/>
      <c r="P1951" s="475"/>
      <c r="Q1951" s="475"/>
      <c r="R1951" s="475"/>
      <c r="S1951" s="474" t="s">
        <v>1102</v>
      </c>
      <c r="T1951" s="474">
        <v>60</v>
      </c>
      <c r="U1951" s="474"/>
      <c r="V1951" s="474" t="s">
        <v>986</v>
      </c>
      <c r="W1951" s="476">
        <v>360</v>
      </c>
      <c r="X1951" s="402">
        <v>768</v>
      </c>
      <c r="Y1951" s="477">
        <f t="shared" si="328"/>
        <v>276480</v>
      </c>
      <c r="Z1951" s="478">
        <v>0.47</v>
      </c>
      <c r="AA1951" s="479">
        <f t="shared" ref="AA1951:AA1963" si="329">Z1951*Y1951</f>
        <v>129945.59999999999</v>
      </c>
      <c r="AB1951" s="480"/>
      <c r="AC1951" s="481">
        <f t="shared" ref="AC1951:AC1963" si="330">AB1951*Y1951</f>
        <v>0</v>
      </c>
      <c r="AD1951" s="490"/>
      <c r="AE1951" s="482"/>
      <c r="AF1951" s="493">
        <f t="shared" si="314"/>
        <v>129945.59999999999</v>
      </c>
      <c r="AG1951" s="474" t="s">
        <v>47</v>
      </c>
      <c r="AH1951" s="474"/>
      <c r="AI1951" s="474">
        <v>45</v>
      </c>
      <c r="AJ1951" s="474" t="s">
        <v>1954</v>
      </c>
      <c r="AK1951" s="474" t="s">
        <v>50</v>
      </c>
      <c r="AL1951" s="494">
        <v>92121</v>
      </c>
      <c r="AM1951" s="474" t="s">
        <v>52</v>
      </c>
      <c r="AN1951" s="474"/>
      <c r="AO1951" s="474"/>
      <c r="AP1951" s="482"/>
      <c r="AQ1951" s="482" t="s">
        <v>37</v>
      </c>
      <c r="AR1951" s="474"/>
      <c r="AS1951" s="436" t="s">
        <v>1076</v>
      </c>
      <c r="AT1951" s="281" t="s">
        <v>1076</v>
      </c>
      <c r="AU1951" s="472"/>
      <c r="AV1951" s="471">
        <f t="shared" si="325"/>
        <v>0</v>
      </c>
      <c r="AW1951" s="471" cm="1">
        <f t="array" ref="AW1951">SUM(MID(0&amp;AV1951,LARGE(INDEX(ISNUMBER(--MID(AV1951,ROW($1:$8),1))*ROW($1:$8),),ROW($1:$8))+1,1)*10^ROW($1:$8)/10)</f>
        <v>0</v>
      </c>
      <c r="AX1951" s="471" t="e">
        <f>VLOOKUP($AW1951,'Item Master Data'!$A:$F,3,FALSE)</f>
        <v>#N/A</v>
      </c>
      <c r="AY1951" s="471" t="e">
        <f>VLOOKUP($AW1951,'Item Master Data'!$A:$F,6,FALSE)</f>
        <v>#N/A</v>
      </c>
      <c r="AZ1951" s="471" t="e">
        <f t="shared" si="326"/>
        <v>#N/A</v>
      </c>
      <c r="BA1951" s="471" t="e">
        <f>VLOOKUP(AW1951,'Item Master Data'!$A:$G,7,FALSE)</f>
        <v>#N/A</v>
      </c>
      <c r="BC1951" s="471" t="e">
        <f t="shared" si="327"/>
        <v>#N/A</v>
      </c>
    </row>
    <row r="1952" spans="1:55" s="471" customFormat="1">
      <c r="A1952" s="278"/>
      <c r="B1952" s="279"/>
      <c r="C1952" s="279"/>
      <c r="D1952" s="394" t="s">
        <v>3678</v>
      </c>
      <c r="E1952" s="280" t="s">
        <v>5788</v>
      </c>
      <c r="F1952" s="474"/>
      <c r="G1952" s="474">
        <v>2022</v>
      </c>
      <c r="H1952" s="474">
        <v>5</v>
      </c>
      <c r="I1952" s="474"/>
      <c r="J1952" s="475"/>
      <c r="K1952" s="474" t="s">
        <v>5794</v>
      </c>
      <c r="L1952" s="475" t="s">
        <v>3697</v>
      </c>
      <c r="M1952" s="475">
        <v>44680</v>
      </c>
      <c r="N1952" s="475">
        <v>44680</v>
      </c>
      <c r="O1952" s="475"/>
      <c r="P1952" s="475"/>
      <c r="Q1952" s="475"/>
      <c r="R1952" s="475"/>
      <c r="S1952" s="474" t="s">
        <v>1102</v>
      </c>
      <c r="T1952" s="474">
        <v>60</v>
      </c>
      <c r="U1952" s="474"/>
      <c r="V1952" s="474" t="s">
        <v>986</v>
      </c>
      <c r="W1952" s="476">
        <v>360</v>
      </c>
      <c r="X1952" s="402">
        <v>768</v>
      </c>
      <c r="Y1952" s="477">
        <f t="shared" si="328"/>
        <v>276480</v>
      </c>
      <c r="Z1952" s="478">
        <v>0.47</v>
      </c>
      <c r="AA1952" s="479">
        <f t="shared" si="329"/>
        <v>129945.59999999999</v>
      </c>
      <c r="AB1952" s="480"/>
      <c r="AC1952" s="481">
        <f t="shared" si="330"/>
        <v>0</v>
      </c>
      <c r="AD1952" s="490"/>
      <c r="AE1952" s="482"/>
      <c r="AF1952" s="493">
        <f t="shared" si="314"/>
        <v>129945.59999999999</v>
      </c>
      <c r="AG1952" s="474" t="s">
        <v>47</v>
      </c>
      <c r="AH1952" s="474"/>
      <c r="AI1952" s="474">
        <v>45</v>
      </c>
      <c r="AJ1952" s="474" t="s">
        <v>1954</v>
      </c>
      <c r="AK1952" s="474" t="s">
        <v>50</v>
      </c>
      <c r="AL1952" s="494">
        <v>92121</v>
      </c>
      <c r="AM1952" s="474" t="s">
        <v>52</v>
      </c>
      <c r="AN1952" s="474"/>
      <c r="AO1952" s="474"/>
      <c r="AP1952" s="482"/>
      <c r="AQ1952" s="482" t="s">
        <v>37</v>
      </c>
      <c r="AR1952" s="474"/>
      <c r="AS1952" s="436" t="s">
        <v>1076</v>
      </c>
      <c r="AT1952" s="281" t="s">
        <v>1076</v>
      </c>
      <c r="AU1952" s="472"/>
      <c r="AV1952" s="471">
        <f t="shared" si="325"/>
        <v>0</v>
      </c>
      <c r="AW1952" s="471" cm="1">
        <f t="array" ref="AW1952">SUM(MID(0&amp;AV1952,LARGE(INDEX(ISNUMBER(--MID(AV1952,ROW($1:$8),1))*ROW($1:$8),),ROW($1:$8))+1,1)*10^ROW($1:$8)/10)</f>
        <v>0</v>
      </c>
      <c r="AX1952" s="471" t="e">
        <f>VLOOKUP($AW1952,'Item Master Data'!$A:$F,3,FALSE)</f>
        <v>#N/A</v>
      </c>
      <c r="AY1952" s="471" t="e">
        <f>VLOOKUP($AW1952,'Item Master Data'!$A:$F,6,FALSE)</f>
        <v>#N/A</v>
      </c>
      <c r="AZ1952" s="471" t="e">
        <f t="shared" si="326"/>
        <v>#N/A</v>
      </c>
      <c r="BA1952" s="471" t="e">
        <f>VLOOKUP(AW1952,'Item Master Data'!$A:$G,7,FALSE)</f>
        <v>#N/A</v>
      </c>
      <c r="BC1952" s="471" t="e">
        <f t="shared" si="327"/>
        <v>#N/A</v>
      </c>
    </row>
    <row r="1953" spans="1:55" s="471" customFormat="1">
      <c r="A1953" s="278"/>
      <c r="B1953" s="279"/>
      <c r="C1953" s="279"/>
      <c r="D1953" s="394" t="s">
        <v>3678</v>
      </c>
      <c r="E1953" s="280" t="s">
        <v>5788</v>
      </c>
      <c r="F1953" s="474"/>
      <c r="G1953" s="474">
        <v>2022</v>
      </c>
      <c r="H1953" s="474">
        <v>5</v>
      </c>
      <c r="I1953" s="474"/>
      <c r="J1953" s="475"/>
      <c r="K1953" s="474" t="s">
        <v>5795</v>
      </c>
      <c r="L1953" s="475" t="s">
        <v>3697</v>
      </c>
      <c r="M1953" s="475">
        <v>44680</v>
      </c>
      <c r="N1953" s="475">
        <v>44680</v>
      </c>
      <c r="O1953" s="475"/>
      <c r="P1953" s="475"/>
      <c r="Q1953" s="475"/>
      <c r="R1953" s="475"/>
      <c r="S1953" s="474" t="s">
        <v>1102</v>
      </c>
      <c r="T1953" s="474">
        <v>60</v>
      </c>
      <c r="U1953" s="474"/>
      <c r="V1953" s="474" t="s">
        <v>986</v>
      </c>
      <c r="W1953" s="476">
        <v>360</v>
      </c>
      <c r="X1953" s="402">
        <v>768</v>
      </c>
      <c r="Y1953" s="477">
        <f t="shared" si="328"/>
        <v>276480</v>
      </c>
      <c r="Z1953" s="478">
        <v>0.47</v>
      </c>
      <c r="AA1953" s="479">
        <f t="shared" si="329"/>
        <v>129945.59999999999</v>
      </c>
      <c r="AB1953" s="480"/>
      <c r="AC1953" s="481">
        <f t="shared" si="330"/>
        <v>0</v>
      </c>
      <c r="AD1953" s="490"/>
      <c r="AE1953" s="482"/>
      <c r="AF1953" s="493">
        <f t="shared" si="314"/>
        <v>129945.59999999999</v>
      </c>
      <c r="AG1953" s="474" t="s">
        <v>47</v>
      </c>
      <c r="AH1953" s="474"/>
      <c r="AI1953" s="474">
        <v>45</v>
      </c>
      <c r="AJ1953" s="474" t="s">
        <v>1954</v>
      </c>
      <c r="AK1953" s="474" t="s">
        <v>50</v>
      </c>
      <c r="AL1953" s="494">
        <v>92121</v>
      </c>
      <c r="AM1953" s="474" t="s">
        <v>52</v>
      </c>
      <c r="AN1953" s="474"/>
      <c r="AO1953" s="474"/>
      <c r="AP1953" s="482"/>
      <c r="AQ1953" s="482" t="s">
        <v>37</v>
      </c>
      <c r="AR1953" s="474"/>
      <c r="AS1953" s="436" t="s">
        <v>1076</v>
      </c>
      <c r="AT1953" s="281" t="s">
        <v>1076</v>
      </c>
      <c r="AU1953" s="472"/>
      <c r="AV1953" s="471">
        <f t="shared" si="325"/>
        <v>0</v>
      </c>
      <c r="AW1953" s="471" cm="1">
        <f t="array" ref="AW1953">SUM(MID(0&amp;AV1953,LARGE(INDEX(ISNUMBER(--MID(AV1953,ROW($1:$8),1))*ROW($1:$8),),ROW($1:$8))+1,1)*10^ROW($1:$8)/10)</f>
        <v>0</v>
      </c>
      <c r="AX1953" s="471" t="e">
        <f>VLOOKUP($AW1953,'Item Master Data'!$A:$F,3,FALSE)</f>
        <v>#N/A</v>
      </c>
      <c r="AY1953" s="471" t="e">
        <f>VLOOKUP($AW1953,'Item Master Data'!$A:$F,6,FALSE)</f>
        <v>#N/A</v>
      </c>
      <c r="AZ1953" s="471" t="e">
        <f t="shared" si="326"/>
        <v>#N/A</v>
      </c>
      <c r="BA1953" s="471" t="e">
        <f>VLOOKUP(AW1953,'Item Master Data'!$A:$G,7,FALSE)</f>
        <v>#N/A</v>
      </c>
      <c r="BC1953" s="471" t="e">
        <f t="shared" si="327"/>
        <v>#N/A</v>
      </c>
    </row>
    <row r="1954" spans="1:55" s="471" customFormat="1">
      <c r="A1954" s="278"/>
      <c r="B1954" s="279"/>
      <c r="C1954" s="279"/>
      <c r="D1954" s="394" t="s">
        <v>3678</v>
      </c>
      <c r="E1954" s="280" t="s">
        <v>5788</v>
      </c>
      <c r="F1954" s="474"/>
      <c r="G1954" s="474">
        <v>2022</v>
      </c>
      <c r="H1954" s="474">
        <v>5</v>
      </c>
      <c r="I1954" s="474"/>
      <c r="J1954" s="475"/>
      <c r="K1954" s="474" t="s">
        <v>5796</v>
      </c>
      <c r="L1954" s="475" t="s">
        <v>3697</v>
      </c>
      <c r="M1954" s="475">
        <v>44680</v>
      </c>
      <c r="N1954" s="475">
        <v>44680</v>
      </c>
      <c r="O1954" s="475"/>
      <c r="P1954" s="475"/>
      <c r="Q1954" s="475"/>
      <c r="R1954" s="475"/>
      <c r="S1954" s="474" t="s">
        <v>1102</v>
      </c>
      <c r="T1954" s="474">
        <v>60</v>
      </c>
      <c r="U1954" s="474"/>
      <c r="V1954" s="474" t="s">
        <v>986</v>
      </c>
      <c r="W1954" s="476">
        <v>360</v>
      </c>
      <c r="X1954" s="402">
        <v>768</v>
      </c>
      <c r="Y1954" s="477">
        <f t="shared" si="328"/>
        <v>276480</v>
      </c>
      <c r="Z1954" s="478">
        <v>0.47</v>
      </c>
      <c r="AA1954" s="479">
        <f t="shared" si="329"/>
        <v>129945.59999999999</v>
      </c>
      <c r="AB1954" s="480"/>
      <c r="AC1954" s="481">
        <f t="shared" si="330"/>
        <v>0</v>
      </c>
      <c r="AD1954" s="490"/>
      <c r="AE1954" s="482"/>
      <c r="AF1954" s="493">
        <f t="shared" si="314"/>
        <v>129945.59999999999</v>
      </c>
      <c r="AG1954" s="474" t="s">
        <v>47</v>
      </c>
      <c r="AH1954" s="474"/>
      <c r="AI1954" s="474">
        <v>45</v>
      </c>
      <c r="AJ1954" s="474" t="s">
        <v>1950</v>
      </c>
      <c r="AK1954" s="474" t="s">
        <v>50</v>
      </c>
      <c r="AL1954" s="494">
        <v>91761</v>
      </c>
      <c r="AM1954" s="474" t="s">
        <v>52</v>
      </c>
      <c r="AN1954" s="474"/>
      <c r="AO1954" s="474"/>
      <c r="AP1954" s="482"/>
      <c r="AQ1954" s="482" t="s">
        <v>37</v>
      </c>
      <c r="AR1954" s="474"/>
      <c r="AS1954" s="436" t="s">
        <v>1076</v>
      </c>
      <c r="AT1954" s="281" t="s">
        <v>1076</v>
      </c>
      <c r="AU1954" s="472"/>
      <c r="AV1954" s="471">
        <f t="shared" si="325"/>
        <v>0</v>
      </c>
      <c r="AW1954" s="471" cm="1">
        <f t="array" ref="AW1954">SUM(MID(0&amp;AV1954,LARGE(INDEX(ISNUMBER(--MID(AV1954,ROW($1:$8),1))*ROW($1:$8),),ROW($1:$8))+1,1)*10^ROW($1:$8)/10)</f>
        <v>0</v>
      </c>
      <c r="AX1954" s="471" t="e">
        <f>VLOOKUP($AW1954,'Item Master Data'!$A:$F,3,FALSE)</f>
        <v>#N/A</v>
      </c>
      <c r="AY1954" s="471" t="e">
        <f>VLOOKUP($AW1954,'Item Master Data'!$A:$F,6,FALSE)</f>
        <v>#N/A</v>
      </c>
      <c r="AZ1954" s="471" t="e">
        <f t="shared" si="326"/>
        <v>#N/A</v>
      </c>
      <c r="BA1954" s="471" t="e">
        <f>VLOOKUP(AW1954,'Item Master Data'!$A:$G,7,FALSE)</f>
        <v>#N/A</v>
      </c>
      <c r="BC1954" s="471" t="e">
        <f t="shared" si="327"/>
        <v>#N/A</v>
      </c>
    </row>
    <row r="1955" spans="1:55" s="471" customFormat="1">
      <c r="A1955" s="278"/>
      <c r="B1955" s="279"/>
      <c r="C1955" s="279"/>
      <c r="D1955" s="394" t="s">
        <v>3678</v>
      </c>
      <c r="E1955" s="280" t="s">
        <v>5788</v>
      </c>
      <c r="F1955" s="474"/>
      <c r="G1955" s="474">
        <v>2022</v>
      </c>
      <c r="H1955" s="474">
        <v>5</v>
      </c>
      <c r="I1955" s="474"/>
      <c r="J1955" s="475"/>
      <c r="K1955" s="474" t="s">
        <v>5797</v>
      </c>
      <c r="L1955" s="475" t="s">
        <v>3697</v>
      </c>
      <c r="M1955" s="475">
        <v>44680</v>
      </c>
      <c r="N1955" s="475">
        <v>44680</v>
      </c>
      <c r="O1955" s="475"/>
      <c r="P1955" s="475"/>
      <c r="Q1955" s="475"/>
      <c r="R1955" s="475"/>
      <c r="S1955" s="474" t="s">
        <v>1102</v>
      </c>
      <c r="T1955" s="474">
        <v>60</v>
      </c>
      <c r="U1955" s="474"/>
      <c r="V1955" s="474" t="s">
        <v>986</v>
      </c>
      <c r="W1955" s="476">
        <v>360</v>
      </c>
      <c r="X1955" s="402">
        <v>768</v>
      </c>
      <c r="Y1955" s="477">
        <f t="shared" si="328"/>
        <v>276480</v>
      </c>
      <c r="Z1955" s="478">
        <v>0.47</v>
      </c>
      <c r="AA1955" s="479">
        <f t="shared" si="329"/>
        <v>129945.59999999999</v>
      </c>
      <c r="AB1955" s="480"/>
      <c r="AC1955" s="481">
        <f t="shared" si="330"/>
        <v>0</v>
      </c>
      <c r="AD1955" s="490"/>
      <c r="AE1955" s="482"/>
      <c r="AF1955" s="493">
        <f t="shared" si="314"/>
        <v>129945.59999999999</v>
      </c>
      <c r="AG1955" s="474" t="s">
        <v>47</v>
      </c>
      <c r="AH1955" s="474"/>
      <c r="AI1955" s="474">
        <v>45</v>
      </c>
      <c r="AJ1955" s="474" t="s">
        <v>1950</v>
      </c>
      <c r="AK1955" s="474" t="s">
        <v>50</v>
      </c>
      <c r="AL1955" s="494">
        <v>91761</v>
      </c>
      <c r="AM1955" s="474" t="s">
        <v>52</v>
      </c>
      <c r="AN1955" s="474"/>
      <c r="AO1955" s="474"/>
      <c r="AP1955" s="482"/>
      <c r="AQ1955" s="482" t="s">
        <v>37</v>
      </c>
      <c r="AR1955" s="474"/>
      <c r="AS1955" s="436" t="s">
        <v>1076</v>
      </c>
      <c r="AT1955" s="281" t="s">
        <v>1076</v>
      </c>
      <c r="AU1955" s="472"/>
      <c r="AV1955" s="471">
        <f t="shared" si="325"/>
        <v>0</v>
      </c>
      <c r="AW1955" s="471" cm="1">
        <f t="array" ref="AW1955">SUM(MID(0&amp;AV1955,LARGE(INDEX(ISNUMBER(--MID(AV1955,ROW($1:$8),1))*ROW($1:$8),),ROW($1:$8))+1,1)*10^ROW($1:$8)/10)</f>
        <v>0</v>
      </c>
      <c r="AX1955" s="471" t="e">
        <f>VLOOKUP($AW1955,'Item Master Data'!$A:$F,3,FALSE)</f>
        <v>#N/A</v>
      </c>
      <c r="AY1955" s="471" t="e">
        <f>VLOOKUP($AW1955,'Item Master Data'!$A:$F,6,FALSE)</f>
        <v>#N/A</v>
      </c>
      <c r="AZ1955" s="471" t="e">
        <f t="shared" si="326"/>
        <v>#N/A</v>
      </c>
      <c r="BA1955" s="471" t="e">
        <f>VLOOKUP(AW1955,'Item Master Data'!$A:$G,7,FALSE)</f>
        <v>#N/A</v>
      </c>
      <c r="BC1955" s="471" t="e">
        <f t="shared" si="327"/>
        <v>#N/A</v>
      </c>
    </row>
    <row r="1956" spans="1:55" s="471" customFormat="1">
      <c r="A1956" s="278"/>
      <c r="B1956" s="279"/>
      <c r="C1956" s="279"/>
      <c r="D1956" s="394" t="s">
        <v>3678</v>
      </c>
      <c r="E1956" s="280" t="s">
        <v>5788</v>
      </c>
      <c r="F1956" s="474"/>
      <c r="G1956" s="474">
        <v>2022</v>
      </c>
      <c r="H1956" s="474">
        <v>5</v>
      </c>
      <c r="I1956" s="474"/>
      <c r="J1956" s="475"/>
      <c r="K1956" s="474" t="s">
        <v>5798</v>
      </c>
      <c r="L1956" s="475" t="s">
        <v>3697</v>
      </c>
      <c r="M1956" s="475">
        <v>44680</v>
      </c>
      <c r="N1956" s="475">
        <v>44680</v>
      </c>
      <c r="O1956" s="475"/>
      <c r="P1956" s="475"/>
      <c r="Q1956" s="475"/>
      <c r="R1956" s="475"/>
      <c r="S1956" s="474" t="s">
        <v>1102</v>
      </c>
      <c r="T1956" s="474">
        <v>60</v>
      </c>
      <c r="U1956" s="474"/>
      <c r="V1956" s="474" t="s">
        <v>986</v>
      </c>
      <c r="W1956" s="476">
        <v>360</v>
      </c>
      <c r="X1956" s="402">
        <v>768</v>
      </c>
      <c r="Y1956" s="477">
        <f t="shared" si="328"/>
        <v>276480</v>
      </c>
      <c r="Z1956" s="478">
        <v>0.47</v>
      </c>
      <c r="AA1956" s="479">
        <f t="shared" si="329"/>
        <v>129945.59999999999</v>
      </c>
      <c r="AB1956" s="480"/>
      <c r="AC1956" s="481">
        <f t="shared" si="330"/>
        <v>0</v>
      </c>
      <c r="AD1956" s="490"/>
      <c r="AE1956" s="482"/>
      <c r="AF1956" s="493">
        <f t="shared" ref="AF1956:AF1963" si="331">AE1956+AD1956+AA1956</f>
        <v>129945.59999999999</v>
      </c>
      <c r="AG1956" s="474" t="s">
        <v>47</v>
      </c>
      <c r="AH1956" s="474"/>
      <c r="AI1956" s="474">
        <v>45</v>
      </c>
      <c r="AJ1956" s="474" t="s">
        <v>1950</v>
      </c>
      <c r="AK1956" s="474" t="s">
        <v>50</v>
      </c>
      <c r="AL1956" s="494">
        <v>91761</v>
      </c>
      <c r="AM1956" s="474" t="s">
        <v>52</v>
      </c>
      <c r="AN1956" s="474"/>
      <c r="AO1956" s="474"/>
      <c r="AP1956" s="482"/>
      <c r="AQ1956" s="482" t="s">
        <v>37</v>
      </c>
      <c r="AR1956" s="474"/>
      <c r="AS1956" s="436" t="s">
        <v>1076</v>
      </c>
      <c r="AT1956" s="281" t="s">
        <v>1076</v>
      </c>
      <c r="AU1956" s="472"/>
      <c r="AV1956" s="471">
        <f t="shared" si="325"/>
        <v>0</v>
      </c>
      <c r="AW1956" s="471" cm="1">
        <f t="array" ref="AW1956">SUM(MID(0&amp;AV1956,LARGE(INDEX(ISNUMBER(--MID(AV1956,ROW($1:$8),1))*ROW($1:$8),),ROW($1:$8))+1,1)*10^ROW($1:$8)/10)</f>
        <v>0</v>
      </c>
      <c r="AX1956" s="471" t="e">
        <f>VLOOKUP($AW1956,'Item Master Data'!$A:$F,3,FALSE)</f>
        <v>#N/A</v>
      </c>
      <c r="AY1956" s="471" t="e">
        <f>VLOOKUP($AW1956,'Item Master Data'!$A:$F,6,FALSE)</f>
        <v>#N/A</v>
      </c>
      <c r="AZ1956" s="471" t="e">
        <f t="shared" si="326"/>
        <v>#N/A</v>
      </c>
      <c r="BA1956" s="471" t="e">
        <f>VLOOKUP(AW1956,'Item Master Data'!$A:$G,7,FALSE)</f>
        <v>#N/A</v>
      </c>
      <c r="BC1956" s="471" t="e">
        <f t="shared" si="327"/>
        <v>#N/A</v>
      </c>
    </row>
    <row r="1957" spans="1:55" s="471" customFormat="1">
      <c r="A1957" s="278"/>
      <c r="B1957" s="279"/>
      <c r="C1957" s="279"/>
      <c r="D1957" s="394" t="s">
        <v>3678</v>
      </c>
      <c r="E1957" s="280" t="s">
        <v>5788</v>
      </c>
      <c r="F1957" s="474"/>
      <c r="G1957" s="474">
        <v>2022</v>
      </c>
      <c r="H1957" s="474">
        <v>5</v>
      </c>
      <c r="I1957" s="474"/>
      <c r="J1957" s="475"/>
      <c r="K1957" s="474" t="s">
        <v>5799</v>
      </c>
      <c r="L1957" s="475" t="s">
        <v>3697</v>
      </c>
      <c r="M1957" s="475">
        <v>44680</v>
      </c>
      <c r="N1957" s="475">
        <v>44680</v>
      </c>
      <c r="O1957" s="475"/>
      <c r="P1957" s="475"/>
      <c r="Q1957" s="475"/>
      <c r="R1957" s="475"/>
      <c r="S1957" s="474" t="s">
        <v>1102</v>
      </c>
      <c r="T1957" s="474">
        <v>60</v>
      </c>
      <c r="U1957" s="474"/>
      <c r="V1957" s="474" t="s">
        <v>986</v>
      </c>
      <c r="W1957" s="476">
        <v>360</v>
      </c>
      <c r="X1957" s="402">
        <v>768</v>
      </c>
      <c r="Y1957" s="477">
        <f t="shared" si="328"/>
        <v>276480</v>
      </c>
      <c r="Z1957" s="478">
        <v>0.47</v>
      </c>
      <c r="AA1957" s="479">
        <f t="shared" si="329"/>
        <v>129945.59999999999</v>
      </c>
      <c r="AB1957" s="480"/>
      <c r="AC1957" s="481">
        <f t="shared" si="330"/>
        <v>0</v>
      </c>
      <c r="AD1957" s="490"/>
      <c r="AE1957" s="482"/>
      <c r="AF1957" s="493">
        <f t="shared" si="331"/>
        <v>129945.59999999999</v>
      </c>
      <c r="AG1957" s="474" t="s">
        <v>47</v>
      </c>
      <c r="AH1957" s="474"/>
      <c r="AI1957" s="474">
        <v>45</v>
      </c>
      <c r="AJ1957" s="474" t="s">
        <v>1790</v>
      </c>
      <c r="AK1957" s="474" t="s">
        <v>50</v>
      </c>
      <c r="AL1957" s="494">
        <v>95827</v>
      </c>
      <c r="AM1957" s="474" t="s">
        <v>52</v>
      </c>
      <c r="AN1957" s="474"/>
      <c r="AO1957" s="474"/>
      <c r="AP1957" s="482"/>
      <c r="AQ1957" s="482" t="s">
        <v>37</v>
      </c>
      <c r="AR1957" s="474"/>
      <c r="AS1957" s="436" t="s">
        <v>1076</v>
      </c>
      <c r="AT1957" s="281" t="s">
        <v>1076</v>
      </c>
      <c r="AU1957" s="472"/>
      <c r="AV1957" s="471">
        <f t="shared" si="325"/>
        <v>0</v>
      </c>
      <c r="AW1957" s="471" cm="1">
        <f t="array" ref="AW1957">SUM(MID(0&amp;AV1957,LARGE(INDEX(ISNUMBER(--MID(AV1957,ROW($1:$8),1))*ROW($1:$8),),ROW($1:$8))+1,1)*10^ROW($1:$8)/10)</f>
        <v>0</v>
      </c>
      <c r="AX1957" s="471" t="e">
        <f>VLOOKUP($AW1957,'Item Master Data'!$A:$F,3,FALSE)</f>
        <v>#N/A</v>
      </c>
      <c r="AY1957" s="471" t="e">
        <f>VLOOKUP($AW1957,'Item Master Data'!$A:$F,6,FALSE)</f>
        <v>#N/A</v>
      </c>
      <c r="AZ1957" s="471" t="e">
        <f t="shared" si="326"/>
        <v>#N/A</v>
      </c>
      <c r="BA1957" s="471" t="e">
        <f>VLOOKUP(AW1957,'Item Master Data'!$A:$G,7,FALSE)</f>
        <v>#N/A</v>
      </c>
      <c r="BC1957" s="471" t="e">
        <f t="shared" si="327"/>
        <v>#N/A</v>
      </c>
    </row>
    <row r="1958" spans="1:55" s="471" customFormat="1">
      <c r="A1958" s="278"/>
      <c r="B1958" s="279"/>
      <c r="C1958" s="279"/>
      <c r="D1958" s="394" t="s">
        <v>3678</v>
      </c>
      <c r="E1958" s="280" t="s">
        <v>5788</v>
      </c>
      <c r="F1958" s="474"/>
      <c r="G1958" s="474">
        <v>2022</v>
      </c>
      <c r="H1958" s="474">
        <v>5</v>
      </c>
      <c r="I1958" s="474"/>
      <c r="J1958" s="475"/>
      <c r="K1958" s="474" t="s">
        <v>5800</v>
      </c>
      <c r="L1958" s="475" t="s">
        <v>3697</v>
      </c>
      <c r="M1958" s="475">
        <v>44680</v>
      </c>
      <c r="N1958" s="475">
        <v>44680</v>
      </c>
      <c r="O1958" s="475"/>
      <c r="P1958" s="475"/>
      <c r="Q1958" s="475"/>
      <c r="R1958" s="475"/>
      <c r="S1958" s="474" t="s">
        <v>1102</v>
      </c>
      <c r="T1958" s="474">
        <v>60</v>
      </c>
      <c r="U1958" s="474"/>
      <c r="V1958" s="474" t="s">
        <v>986</v>
      </c>
      <c r="W1958" s="476">
        <v>360</v>
      </c>
      <c r="X1958" s="402">
        <v>768</v>
      </c>
      <c r="Y1958" s="477">
        <f t="shared" si="328"/>
        <v>276480</v>
      </c>
      <c r="Z1958" s="478">
        <v>0.47</v>
      </c>
      <c r="AA1958" s="479">
        <f t="shared" si="329"/>
        <v>129945.59999999999</v>
      </c>
      <c r="AB1958" s="480"/>
      <c r="AC1958" s="481">
        <f t="shared" si="330"/>
        <v>0</v>
      </c>
      <c r="AD1958" s="490"/>
      <c r="AE1958" s="482"/>
      <c r="AF1958" s="493">
        <f t="shared" si="331"/>
        <v>129945.59999999999</v>
      </c>
      <c r="AG1958" s="474" t="s">
        <v>47</v>
      </c>
      <c r="AH1958" s="474"/>
      <c r="AI1958" s="474">
        <v>45</v>
      </c>
      <c r="AJ1958" s="474" t="s">
        <v>1790</v>
      </c>
      <c r="AK1958" s="474" t="s">
        <v>50</v>
      </c>
      <c r="AL1958" s="494">
        <v>95827</v>
      </c>
      <c r="AM1958" s="474" t="s">
        <v>52</v>
      </c>
      <c r="AN1958" s="474"/>
      <c r="AO1958" s="474"/>
      <c r="AP1958" s="482"/>
      <c r="AQ1958" s="482" t="s">
        <v>37</v>
      </c>
      <c r="AR1958" s="474"/>
      <c r="AS1958" s="436" t="s">
        <v>1076</v>
      </c>
      <c r="AT1958" s="281" t="s">
        <v>1076</v>
      </c>
      <c r="AU1958" s="472"/>
      <c r="AV1958" s="471">
        <f t="shared" si="325"/>
        <v>0</v>
      </c>
      <c r="AW1958" s="471" cm="1">
        <f t="array" ref="AW1958">SUM(MID(0&amp;AV1958,LARGE(INDEX(ISNUMBER(--MID(AV1958,ROW($1:$8),1))*ROW($1:$8),),ROW($1:$8))+1,1)*10^ROW($1:$8)/10)</f>
        <v>0</v>
      </c>
      <c r="AX1958" s="471" t="e">
        <f>VLOOKUP($AW1958,'Item Master Data'!$A:$F,3,FALSE)</f>
        <v>#N/A</v>
      </c>
      <c r="AY1958" s="471" t="e">
        <f>VLOOKUP($AW1958,'Item Master Data'!$A:$F,6,FALSE)</f>
        <v>#N/A</v>
      </c>
      <c r="AZ1958" s="471" t="e">
        <f t="shared" si="326"/>
        <v>#N/A</v>
      </c>
      <c r="BA1958" s="471" t="e">
        <f>VLOOKUP(AW1958,'Item Master Data'!$A:$G,7,FALSE)</f>
        <v>#N/A</v>
      </c>
      <c r="BC1958" s="471" t="e">
        <f t="shared" si="327"/>
        <v>#N/A</v>
      </c>
    </row>
    <row r="1959" spans="1:55" s="471" customFormat="1">
      <c r="A1959" s="278"/>
      <c r="B1959" s="279"/>
      <c r="C1959" s="279"/>
      <c r="D1959" s="394" t="s">
        <v>3678</v>
      </c>
      <c r="E1959" s="280" t="s">
        <v>5788</v>
      </c>
      <c r="F1959" s="474"/>
      <c r="G1959" s="474">
        <v>2022</v>
      </c>
      <c r="H1959" s="474">
        <v>5</v>
      </c>
      <c r="I1959" s="474"/>
      <c r="J1959" s="475"/>
      <c r="K1959" s="474" t="s">
        <v>5801</v>
      </c>
      <c r="L1959" s="475" t="s">
        <v>3697</v>
      </c>
      <c r="M1959" s="475">
        <v>44680</v>
      </c>
      <c r="N1959" s="475">
        <v>44680</v>
      </c>
      <c r="O1959" s="475"/>
      <c r="P1959" s="475"/>
      <c r="Q1959" s="475"/>
      <c r="R1959" s="475"/>
      <c r="S1959" s="474" t="s">
        <v>1102</v>
      </c>
      <c r="T1959" s="474">
        <v>60</v>
      </c>
      <c r="U1959" s="474"/>
      <c r="V1959" s="474" t="s">
        <v>986</v>
      </c>
      <c r="W1959" s="476">
        <v>360</v>
      </c>
      <c r="X1959" s="402">
        <v>768</v>
      </c>
      <c r="Y1959" s="477">
        <f t="shared" si="328"/>
        <v>276480</v>
      </c>
      <c r="Z1959" s="478">
        <v>0.47</v>
      </c>
      <c r="AA1959" s="479">
        <f t="shared" si="329"/>
        <v>129945.59999999999</v>
      </c>
      <c r="AB1959" s="480"/>
      <c r="AC1959" s="481">
        <f t="shared" si="330"/>
        <v>0</v>
      </c>
      <c r="AD1959" s="490"/>
      <c r="AE1959" s="482"/>
      <c r="AF1959" s="493">
        <f t="shared" si="331"/>
        <v>129945.59999999999</v>
      </c>
      <c r="AG1959" s="474" t="s">
        <v>47</v>
      </c>
      <c r="AH1959" s="474"/>
      <c r="AI1959" s="474">
        <v>45</v>
      </c>
      <c r="AJ1959" s="474" t="s">
        <v>3708</v>
      </c>
      <c r="AK1959" s="474" t="s">
        <v>50</v>
      </c>
      <c r="AL1959" s="494">
        <v>94551</v>
      </c>
      <c r="AM1959" s="474" t="s">
        <v>52</v>
      </c>
      <c r="AN1959" s="474"/>
      <c r="AO1959" s="474"/>
      <c r="AP1959" s="482"/>
      <c r="AQ1959" s="482" t="s">
        <v>37</v>
      </c>
      <c r="AR1959" s="474"/>
      <c r="AS1959" s="436" t="s">
        <v>1076</v>
      </c>
      <c r="AT1959" s="281" t="s">
        <v>1076</v>
      </c>
      <c r="AU1959" s="472"/>
      <c r="AV1959" s="471">
        <f t="shared" si="325"/>
        <v>0</v>
      </c>
      <c r="AW1959" s="471" cm="1">
        <f t="array" ref="AW1959">SUM(MID(0&amp;AV1959,LARGE(INDEX(ISNUMBER(--MID(AV1959,ROW($1:$8),1))*ROW($1:$8),),ROW($1:$8))+1,1)*10^ROW($1:$8)/10)</f>
        <v>0</v>
      </c>
      <c r="AX1959" s="471" t="e">
        <f>VLOOKUP($AW1959,'Item Master Data'!$A:$F,3,FALSE)</f>
        <v>#N/A</v>
      </c>
      <c r="AY1959" s="471" t="e">
        <f>VLOOKUP($AW1959,'Item Master Data'!$A:$F,6,FALSE)</f>
        <v>#N/A</v>
      </c>
      <c r="AZ1959" s="471" t="e">
        <f t="shared" si="326"/>
        <v>#N/A</v>
      </c>
      <c r="BA1959" s="471" t="e">
        <f>VLOOKUP(AW1959,'Item Master Data'!$A:$G,7,FALSE)</f>
        <v>#N/A</v>
      </c>
      <c r="BC1959" s="471" t="e">
        <f t="shared" si="327"/>
        <v>#N/A</v>
      </c>
    </row>
    <row r="1960" spans="1:55" s="471" customFormat="1" ht="15" customHeight="1">
      <c r="A1960" s="278"/>
      <c r="B1960" s="279"/>
      <c r="C1960" s="279"/>
      <c r="D1960" s="394" t="s">
        <v>3678</v>
      </c>
      <c r="E1960" s="280" t="s">
        <v>5788</v>
      </c>
      <c r="F1960" s="474"/>
      <c r="G1960" s="474">
        <v>2022</v>
      </c>
      <c r="H1960" s="474">
        <v>5</v>
      </c>
      <c r="I1960" s="474"/>
      <c r="J1960" s="475"/>
      <c r="K1960" s="474" t="s">
        <v>5802</v>
      </c>
      <c r="L1960" s="475" t="s">
        <v>3697</v>
      </c>
      <c r="M1960" s="475">
        <v>44680</v>
      </c>
      <c r="N1960" s="475">
        <v>44680</v>
      </c>
      <c r="O1960" s="475"/>
      <c r="P1960" s="475"/>
      <c r="Q1960" s="475"/>
      <c r="R1960" s="475"/>
      <c r="S1960" s="474" t="s">
        <v>1102</v>
      </c>
      <c r="T1960" s="474">
        <v>60</v>
      </c>
      <c r="U1960" s="474"/>
      <c r="V1960" s="474" t="s">
        <v>986</v>
      </c>
      <c r="W1960" s="476">
        <v>360</v>
      </c>
      <c r="X1960" s="402">
        <v>768</v>
      </c>
      <c r="Y1960" s="477">
        <f t="shared" si="328"/>
        <v>276480</v>
      </c>
      <c r="Z1960" s="478">
        <v>0.47</v>
      </c>
      <c r="AA1960" s="479">
        <f t="shared" si="329"/>
        <v>129945.59999999999</v>
      </c>
      <c r="AB1960" s="480"/>
      <c r="AC1960" s="481">
        <f t="shared" si="330"/>
        <v>0</v>
      </c>
      <c r="AD1960" s="490"/>
      <c r="AE1960" s="482"/>
      <c r="AF1960" s="493">
        <f t="shared" si="331"/>
        <v>129945.59999999999</v>
      </c>
      <c r="AG1960" s="474" t="s">
        <v>47</v>
      </c>
      <c r="AH1960" s="474"/>
      <c r="AI1960" s="474">
        <v>45</v>
      </c>
      <c r="AJ1960" s="474" t="s">
        <v>3708</v>
      </c>
      <c r="AK1960" s="474" t="s">
        <v>50</v>
      </c>
      <c r="AL1960" s="494">
        <v>94551</v>
      </c>
      <c r="AM1960" s="474" t="s">
        <v>52</v>
      </c>
      <c r="AN1960" s="474"/>
      <c r="AO1960" s="474"/>
      <c r="AP1960" s="482"/>
      <c r="AQ1960" s="482" t="s">
        <v>37</v>
      </c>
      <c r="AR1960" s="474"/>
      <c r="AS1960" s="436" t="s">
        <v>1076</v>
      </c>
      <c r="AT1960" s="281" t="s">
        <v>1076</v>
      </c>
      <c r="AU1960" s="472"/>
      <c r="AV1960" s="471">
        <f t="shared" si="325"/>
        <v>0</v>
      </c>
      <c r="AW1960" s="471" cm="1">
        <f t="array" ref="AW1960">SUM(MID(0&amp;AV1960,LARGE(INDEX(ISNUMBER(--MID(AV1960,ROW($1:$8),1))*ROW($1:$8),),ROW($1:$8))+1,1)*10^ROW($1:$8)/10)</f>
        <v>0</v>
      </c>
      <c r="AX1960" s="471" t="e">
        <f>VLOOKUP($AW1960,'Item Master Data'!$A:$F,3,FALSE)</f>
        <v>#N/A</v>
      </c>
      <c r="AY1960" s="471" t="e">
        <f>VLOOKUP($AW1960,'Item Master Data'!$A:$F,6,FALSE)</f>
        <v>#N/A</v>
      </c>
      <c r="AZ1960" s="471" t="e">
        <f t="shared" si="326"/>
        <v>#N/A</v>
      </c>
      <c r="BA1960" s="471" t="e">
        <f>VLOOKUP(AW1960,'Item Master Data'!$A:$G,7,FALSE)</f>
        <v>#N/A</v>
      </c>
      <c r="BC1960" s="471" t="e">
        <f t="shared" si="327"/>
        <v>#N/A</v>
      </c>
    </row>
    <row r="1961" spans="1:55" s="471" customFormat="1" ht="15" customHeight="1">
      <c r="A1961" s="278"/>
      <c r="B1961" s="279"/>
      <c r="C1961" s="279"/>
      <c r="D1961" s="394" t="s">
        <v>3678</v>
      </c>
      <c r="E1961" s="280" t="s">
        <v>5704</v>
      </c>
      <c r="F1961" s="474"/>
      <c r="G1961" s="474">
        <v>2022</v>
      </c>
      <c r="H1961" s="474">
        <v>4</v>
      </c>
      <c r="I1961" s="485">
        <v>128189</v>
      </c>
      <c r="J1961" s="475">
        <v>44673</v>
      </c>
      <c r="K1961" s="474" t="s">
        <v>3952</v>
      </c>
      <c r="L1961" s="475" t="s">
        <v>3796</v>
      </c>
      <c r="M1961" s="475">
        <v>44641</v>
      </c>
      <c r="N1961" s="475">
        <v>44641</v>
      </c>
      <c r="O1961" s="475"/>
      <c r="P1961" s="475">
        <v>44669</v>
      </c>
      <c r="Q1961" s="475">
        <v>44673</v>
      </c>
      <c r="R1961" s="475">
        <v>44678</v>
      </c>
      <c r="S1961" s="474" t="s">
        <v>1102</v>
      </c>
      <c r="T1961" s="474">
        <v>60</v>
      </c>
      <c r="U1961" s="474" t="s">
        <v>1760</v>
      </c>
      <c r="V1961" s="486" t="s">
        <v>973</v>
      </c>
      <c r="W1961" s="474">
        <v>400</v>
      </c>
      <c r="X1961" s="402">
        <v>3328</v>
      </c>
      <c r="Y1961" s="477">
        <f t="shared" si="328"/>
        <v>1331200</v>
      </c>
      <c r="Z1961" s="478">
        <v>0.48499999999999999</v>
      </c>
      <c r="AA1961" s="479">
        <f t="shared" si="329"/>
        <v>645632</v>
      </c>
      <c r="AB1961" s="480"/>
      <c r="AC1961" s="481">
        <f t="shared" si="330"/>
        <v>0</v>
      </c>
      <c r="AD1961" s="490"/>
      <c r="AE1961" s="482"/>
      <c r="AF1961" s="493">
        <f t="shared" si="331"/>
        <v>645632</v>
      </c>
      <c r="AG1961" s="474" t="s">
        <v>1071</v>
      </c>
      <c r="AH1961" s="474"/>
      <c r="AI1961" s="474">
        <v>60</v>
      </c>
      <c r="AJ1961" s="474" t="s">
        <v>1473</v>
      </c>
      <c r="AK1961" s="474" t="s">
        <v>1190</v>
      </c>
      <c r="AL1961" s="494">
        <v>6410</v>
      </c>
      <c r="AM1961" s="474" t="s">
        <v>52</v>
      </c>
      <c r="AN1961" s="474" t="s">
        <v>50</v>
      </c>
      <c r="AO1961" s="474"/>
      <c r="AP1961" s="482"/>
      <c r="AQ1961" s="482" t="s">
        <v>37</v>
      </c>
      <c r="AR1961" s="474"/>
      <c r="AS1961" s="436" t="s">
        <v>1076</v>
      </c>
      <c r="AT1961" s="281" t="s">
        <v>1076</v>
      </c>
      <c r="AU1961" s="472"/>
      <c r="AV1961" s="471" t="str">
        <f t="shared" si="325"/>
        <v>30390156H</v>
      </c>
      <c r="AW1961" s="471" cm="1">
        <f t="array" ref="AW1961">SUM(MID(0&amp;AV1961,LARGE(INDEX(ISNUMBER(--MID(AV1961,ROW($1:$8),1))*ROW($1:$8),),ROW($1:$8))+1,1)*10^ROW($1:$8)/10)</f>
        <v>30390156</v>
      </c>
      <c r="AX1961" s="471" t="str">
        <f>VLOOKUP($AW1961,'Item Master Data'!$A:$F,3,FALSE)</f>
        <v>Q.PEAK DUO BLK ML G10+</v>
      </c>
      <c r="AY1961" s="471">
        <f>VLOOKUP($AW1961,'Item Master Data'!$A:$F,6,FALSE)</f>
        <v>400</v>
      </c>
      <c r="AZ1961" s="471">
        <f t="shared" si="326"/>
        <v>104</v>
      </c>
      <c r="BA1961" s="471">
        <f>VLOOKUP(AW1961,'Item Master Data'!$A:$G,7,FALSE)</f>
        <v>32</v>
      </c>
      <c r="BC1961" s="471">
        <f t="shared" si="327"/>
        <v>0</v>
      </c>
    </row>
    <row r="1962" spans="1:55" s="471" customFormat="1" ht="15" customHeight="1">
      <c r="A1962" s="278"/>
      <c r="B1962" s="279"/>
      <c r="C1962" s="279"/>
      <c r="D1962" s="394" t="s">
        <v>3678</v>
      </c>
      <c r="E1962" s="280" t="s">
        <v>5615</v>
      </c>
      <c r="F1962" s="474"/>
      <c r="G1962" s="474">
        <v>2022</v>
      </c>
      <c r="H1962" s="474">
        <v>4</v>
      </c>
      <c r="I1962" s="485">
        <v>128086</v>
      </c>
      <c r="J1962" s="475">
        <v>44659</v>
      </c>
      <c r="K1962" s="474" t="s">
        <v>3947</v>
      </c>
      <c r="L1962" s="475" t="s">
        <v>3796</v>
      </c>
      <c r="M1962" s="475">
        <v>44641</v>
      </c>
      <c r="N1962" s="475">
        <v>44641</v>
      </c>
      <c r="O1962" s="475"/>
      <c r="P1962" s="475">
        <v>44656</v>
      </c>
      <c r="Q1962" s="475">
        <v>44659</v>
      </c>
      <c r="R1962" s="475">
        <v>44662</v>
      </c>
      <c r="S1962" s="474" t="s">
        <v>1102</v>
      </c>
      <c r="T1962" s="474">
        <v>60</v>
      </c>
      <c r="U1962" s="474">
        <v>49405140</v>
      </c>
      <c r="V1962" s="474" t="s">
        <v>973</v>
      </c>
      <c r="W1962" s="474">
        <v>400</v>
      </c>
      <c r="X1962" s="402">
        <v>1664</v>
      </c>
      <c r="Y1962" s="477">
        <f t="shared" si="328"/>
        <v>665600</v>
      </c>
      <c r="Z1962" s="478">
        <v>0.48499999999999999</v>
      </c>
      <c r="AA1962" s="479">
        <f t="shared" si="329"/>
        <v>322816</v>
      </c>
      <c r="AB1962" s="480"/>
      <c r="AC1962" s="481">
        <f t="shared" si="330"/>
        <v>0</v>
      </c>
      <c r="AD1962" s="490"/>
      <c r="AE1962" s="482"/>
      <c r="AF1962" s="493">
        <f t="shared" si="331"/>
        <v>322816</v>
      </c>
      <c r="AG1962" s="474" t="s">
        <v>1071</v>
      </c>
      <c r="AH1962" s="474"/>
      <c r="AI1962" s="474">
        <v>60</v>
      </c>
      <c r="AJ1962" s="474" t="s">
        <v>1473</v>
      </c>
      <c r="AK1962" s="474" t="s">
        <v>1190</v>
      </c>
      <c r="AL1962" s="494">
        <v>6410</v>
      </c>
      <c r="AM1962" s="474" t="s">
        <v>52</v>
      </c>
      <c r="AN1962" s="474" t="s">
        <v>1074</v>
      </c>
      <c r="AO1962" s="474"/>
      <c r="AP1962" s="482"/>
      <c r="AQ1962" s="482" t="s">
        <v>37</v>
      </c>
      <c r="AR1962" s="474"/>
      <c r="AS1962" s="436" t="s">
        <v>1076</v>
      </c>
      <c r="AT1962" s="281" t="s">
        <v>1076</v>
      </c>
      <c r="AU1962" s="472"/>
      <c r="AV1962" s="471">
        <f t="shared" si="325"/>
        <v>49405140</v>
      </c>
      <c r="AW1962" s="471" cm="1">
        <f t="array" ref="AW1962">SUM(MID(0&amp;AV1962,LARGE(INDEX(ISNUMBER(--MID(AV1962,ROW($1:$8),1))*ROW($1:$8),),ROW($1:$8))+1,1)*10^ROW($1:$8)/10)</f>
        <v>49405140</v>
      </c>
      <c r="AX1962" s="471" t="str">
        <f>VLOOKUP($AW1962,'Item Master Data'!$A:$F,3,FALSE)</f>
        <v>Q.PEAK DUO BLK ML G10+</v>
      </c>
      <c r="AY1962" s="471">
        <f>VLOOKUP($AW1962,'Item Master Data'!$A:$F,6,FALSE)</f>
        <v>400</v>
      </c>
      <c r="AZ1962" s="471">
        <f t="shared" si="326"/>
        <v>52</v>
      </c>
      <c r="BA1962" s="471">
        <f>VLOOKUP(AW1962,'Item Master Data'!$A:$G,7,FALSE)</f>
        <v>32</v>
      </c>
      <c r="BC1962" s="471">
        <f t="shared" si="327"/>
        <v>0</v>
      </c>
    </row>
    <row r="1963" spans="1:55" s="471" customFormat="1" ht="15" customHeight="1">
      <c r="A1963" s="278"/>
      <c r="B1963" s="279"/>
      <c r="C1963" s="279"/>
      <c r="D1963" s="394" t="s">
        <v>3678</v>
      </c>
      <c r="E1963" s="288" t="s">
        <v>1283</v>
      </c>
      <c r="F1963" s="474"/>
      <c r="G1963" s="474">
        <v>2022</v>
      </c>
      <c r="H1963" s="474">
        <v>5</v>
      </c>
      <c r="I1963" s="474"/>
      <c r="J1963" s="475"/>
      <c r="K1963" s="474">
        <v>1069</v>
      </c>
      <c r="L1963" s="475" t="s">
        <v>3697</v>
      </c>
      <c r="M1963" s="475">
        <v>44551</v>
      </c>
      <c r="N1963" s="475" t="s">
        <v>1631</v>
      </c>
      <c r="O1963" s="475"/>
      <c r="P1963" s="475"/>
      <c r="Q1963" s="475"/>
      <c r="R1963" s="475"/>
      <c r="S1963" s="474" t="s">
        <v>1102</v>
      </c>
      <c r="T1963" s="474">
        <v>60</v>
      </c>
      <c r="U1963" s="474"/>
      <c r="V1963" s="474" t="s">
        <v>986</v>
      </c>
      <c r="W1963" s="476">
        <v>360</v>
      </c>
      <c r="X1963" s="402">
        <f>9984+8320-8320</f>
        <v>9984</v>
      </c>
      <c r="Y1963" s="477">
        <f t="shared" si="328"/>
        <v>3594240</v>
      </c>
      <c r="Z1963" s="478">
        <v>0.47</v>
      </c>
      <c r="AA1963" s="479">
        <f t="shared" si="329"/>
        <v>1689292.7999999998</v>
      </c>
      <c r="AB1963" s="480"/>
      <c r="AC1963" s="481">
        <f t="shared" si="330"/>
        <v>0</v>
      </c>
      <c r="AD1963" s="490"/>
      <c r="AE1963" s="482"/>
      <c r="AF1963" s="493">
        <f t="shared" si="331"/>
        <v>1689292.7999999998</v>
      </c>
      <c r="AG1963" s="474" t="s">
        <v>47</v>
      </c>
      <c r="AH1963" s="474"/>
      <c r="AI1963" s="474">
        <v>45</v>
      </c>
      <c r="AJ1963" s="474" t="s">
        <v>1109</v>
      </c>
      <c r="AK1963" s="474" t="s">
        <v>1109</v>
      </c>
      <c r="AL1963" s="494" t="s">
        <v>3849</v>
      </c>
      <c r="AM1963" s="474" t="s">
        <v>52</v>
      </c>
      <c r="AN1963" s="474" t="s">
        <v>1074</v>
      </c>
      <c r="AO1963" s="474"/>
      <c r="AP1963" s="482"/>
      <c r="AQ1963" s="482" t="s">
        <v>37</v>
      </c>
      <c r="AR1963" s="474"/>
      <c r="AS1963" s="436" t="s">
        <v>1076</v>
      </c>
      <c r="AT1963" s="281" t="s">
        <v>1076</v>
      </c>
      <c r="AU1963" s="472"/>
      <c r="AV1963" s="471">
        <f t="shared" si="325"/>
        <v>0</v>
      </c>
      <c r="AW1963" s="471" cm="1">
        <f t="array" ref="AW1963">SUM(MID(0&amp;AV1963,LARGE(INDEX(ISNUMBER(--MID(AV1963,ROW($1:$8),1))*ROW($1:$8),),ROW($1:$8))+1,1)*10^ROW($1:$8)/10)</f>
        <v>0</v>
      </c>
      <c r="AX1963" s="471" t="e">
        <f>VLOOKUP($AW1963,'Item Master Data'!$A:$F,3,FALSE)</f>
        <v>#N/A</v>
      </c>
      <c r="AY1963" s="471" t="e">
        <f>VLOOKUP($AW1963,'Item Master Data'!$A:$F,6,FALSE)</f>
        <v>#N/A</v>
      </c>
      <c r="AZ1963" s="471" t="e">
        <f t="shared" si="326"/>
        <v>#N/A</v>
      </c>
      <c r="BA1963" s="471" t="e">
        <f>VLOOKUP(AW1963,'Item Master Data'!$A:$G,7,FALSE)</f>
        <v>#N/A</v>
      </c>
      <c r="BC1963" s="471" t="e">
        <f t="shared" si="327"/>
        <v>#N/A</v>
      </c>
    </row>
    <row r="1964" spans="1:55" s="471" customFormat="1" ht="15" customHeight="1">
      <c r="A1964" s="278"/>
      <c r="B1964" s="279"/>
      <c r="C1964" s="279"/>
      <c r="D1964" s="394" t="s">
        <v>3678</v>
      </c>
      <c r="E1964" s="280" t="s">
        <v>5615</v>
      </c>
      <c r="F1964" s="474"/>
      <c r="G1964" s="474">
        <v>2022</v>
      </c>
      <c r="H1964" s="474">
        <v>4</v>
      </c>
      <c r="I1964" s="485">
        <v>128145</v>
      </c>
      <c r="J1964" s="475">
        <v>44652</v>
      </c>
      <c r="K1964" s="474" t="s">
        <v>3948</v>
      </c>
      <c r="L1964" s="474" t="s">
        <v>3796</v>
      </c>
      <c r="M1964" s="475">
        <v>44622</v>
      </c>
      <c r="N1964" s="475">
        <v>44622</v>
      </c>
      <c r="O1964" s="475" t="s">
        <v>3797</v>
      </c>
      <c r="P1964" s="475">
        <v>44637</v>
      </c>
      <c r="Q1964" s="475">
        <v>44652</v>
      </c>
      <c r="R1964" s="475">
        <v>44657</v>
      </c>
      <c r="S1964" s="474" t="s">
        <v>1102</v>
      </c>
      <c r="T1964" s="474">
        <v>60</v>
      </c>
      <c r="U1964" s="474" t="s">
        <v>1281</v>
      </c>
      <c r="V1964" s="474" t="s">
        <v>973</v>
      </c>
      <c r="W1964" s="476">
        <v>400</v>
      </c>
      <c r="X1964" s="402">
        <v>1664</v>
      </c>
      <c r="Y1964" s="491">
        <f>X1964*W1964</f>
        <v>665600</v>
      </c>
      <c r="Z1964" s="478">
        <v>0.48499999999999999</v>
      </c>
      <c r="AA1964" s="479">
        <f>Y1964*Z1964</f>
        <v>322816</v>
      </c>
      <c r="AB1964" s="480"/>
      <c r="AC1964" s="481"/>
      <c r="AD1964" s="490"/>
      <c r="AE1964" s="482"/>
      <c r="AF1964" s="493"/>
      <c r="AG1964" s="474" t="s">
        <v>1071</v>
      </c>
      <c r="AH1964" s="474"/>
      <c r="AI1964" s="474">
        <v>60</v>
      </c>
      <c r="AJ1964" s="474" t="s">
        <v>3800</v>
      </c>
      <c r="AK1964" s="474" t="s">
        <v>1096</v>
      </c>
      <c r="AL1964" s="494">
        <v>2576</v>
      </c>
      <c r="AM1964" s="474" t="s">
        <v>52</v>
      </c>
      <c r="AN1964" s="474"/>
      <c r="AO1964" s="474"/>
      <c r="AP1964" s="482"/>
      <c r="AQ1964" s="482"/>
      <c r="AR1964" s="474"/>
      <c r="AS1964" s="436"/>
      <c r="AT1964" s="281"/>
      <c r="AU1964" s="472"/>
      <c r="AV1964" s="471" t="str">
        <f t="shared" si="325"/>
        <v>30390456H</v>
      </c>
      <c r="AW1964" s="471" cm="1">
        <f t="array" ref="AW1964">SUM(MID(0&amp;AV1964,LARGE(INDEX(ISNUMBER(--MID(AV1964,ROW($1:$8),1))*ROW($1:$8),),ROW($1:$8))+1,1)*10^ROW($1:$8)/10)</f>
        <v>30390456</v>
      </c>
      <c r="AX1964" s="471" t="str">
        <f>VLOOKUP($AW1964,'Item Master Data'!$A:$F,3,FALSE)</f>
        <v>Q.PEAK DUO BLK ML G10+</v>
      </c>
      <c r="AY1964" s="471">
        <f>VLOOKUP($AW1964,'Item Master Data'!$A:$F,6,FALSE)</f>
        <v>400</v>
      </c>
      <c r="AZ1964" s="471">
        <f t="shared" si="326"/>
        <v>52</v>
      </c>
      <c r="BA1964" s="471">
        <f>VLOOKUP(AW1964,'Item Master Data'!$A:$G,7,FALSE)</f>
        <v>32</v>
      </c>
      <c r="BC1964" s="471">
        <f t="shared" si="327"/>
        <v>0</v>
      </c>
    </row>
    <row r="1965" spans="1:55" s="471" customFormat="1" ht="15" customHeight="1">
      <c r="A1965" s="278"/>
      <c r="B1965" s="279"/>
      <c r="C1965" s="279"/>
      <c r="D1965" s="394" t="s">
        <v>3678</v>
      </c>
      <c r="E1965" s="280" t="s">
        <v>5615</v>
      </c>
      <c r="F1965" s="474"/>
      <c r="G1965" s="474">
        <v>2022</v>
      </c>
      <c r="H1965" s="474">
        <v>4</v>
      </c>
      <c r="I1965" s="485">
        <v>128087</v>
      </c>
      <c r="J1965" s="475">
        <v>44658</v>
      </c>
      <c r="K1965" s="474" t="s">
        <v>3949</v>
      </c>
      <c r="L1965" s="475" t="s">
        <v>3796</v>
      </c>
      <c r="M1965" s="475">
        <v>44641</v>
      </c>
      <c r="N1965" s="475">
        <v>44641</v>
      </c>
      <c r="O1965" s="475"/>
      <c r="P1965" s="475">
        <v>44656</v>
      </c>
      <c r="Q1965" s="475">
        <v>44658</v>
      </c>
      <c r="R1965" s="475">
        <v>44662</v>
      </c>
      <c r="S1965" s="474" t="s">
        <v>1102</v>
      </c>
      <c r="T1965" s="474">
        <v>60</v>
      </c>
      <c r="U1965" s="474">
        <v>49405140</v>
      </c>
      <c r="V1965" s="474" t="s">
        <v>973</v>
      </c>
      <c r="W1965" s="474">
        <v>400</v>
      </c>
      <c r="X1965" s="402">
        <v>832</v>
      </c>
      <c r="Y1965" s="477">
        <f t="shared" ref="Y1965:Y2002" si="332">W1965*X1965</f>
        <v>332800</v>
      </c>
      <c r="Z1965" s="478">
        <v>0.48499999999999999</v>
      </c>
      <c r="AA1965" s="479">
        <f>Z1965*Y1965</f>
        <v>161408</v>
      </c>
      <c r="AB1965" s="480"/>
      <c r="AC1965" s="481">
        <f t="shared" ref="AC1965:AC1983" si="333">AB1965*Y1965</f>
        <v>0</v>
      </c>
      <c r="AD1965" s="490"/>
      <c r="AE1965" s="482"/>
      <c r="AF1965" s="493">
        <f t="shared" ref="AF1965:AF2028" si="334">AE1965+AD1965+AA1965</f>
        <v>161408</v>
      </c>
      <c r="AG1965" s="474" t="s">
        <v>1071</v>
      </c>
      <c r="AH1965" s="474"/>
      <c r="AI1965" s="474">
        <v>60</v>
      </c>
      <c r="AJ1965" s="474" t="s">
        <v>3816</v>
      </c>
      <c r="AK1965" s="474" t="s">
        <v>1138</v>
      </c>
      <c r="AL1965" s="494">
        <v>11779</v>
      </c>
      <c r="AM1965" s="474" t="s">
        <v>52</v>
      </c>
      <c r="AN1965" s="474" t="s">
        <v>1074</v>
      </c>
      <c r="AO1965" s="474"/>
      <c r="AP1965" s="482"/>
      <c r="AQ1965" s="482" t="s">
        <v>37</v>
      </c>
      <c r="AR1965" s="474"/>
      <c r="AS1965" s="436" t="s">
        <v>1076</v>
      </c>
      <c r="AT1965" s="281" t="s">
        <v>1076</v>
      </c>
      <c r="AU1965" s="472"/>
      <c r="AV1965" s="471">
        <f t="shared" si="325"/>
        <v>49405140</v>
      </c>
      <c r="AW1965" s="471" cm="1">
        <f t="array" ref="AW1965">SUM(MID(0&amp;AV1965,LARGE(INDEX(ISNUMBER(--MID(AV1965,ROW($1:$8),1))*ROW($1:$8),),ROW($1:$8))+1,1)*10^ROW($1:$8)/10)</f>
        <v>49405140</v>
      </c>
      <c r="AX1965" s="471" t="str">
        <f>VLOOKUP($AW1965,'Item Master Data'!$A:$F,3,FALSE)</f>
        <v>Q.PEAK DUO BLK ML G10+</v>
      </c>
      <c r="AY1965" s="471">
        <f>VLOOKUP($AW1965,'Item Master Data'!$A:$F,6,FALSE)</f>
        <v>400</v>
      </c>
      <c r="AZ1965" s="471">
        <f t="shared" si="326"/>
        <v>26</v>
      </c>
      <c r="BA1965" s="471">
        <f>VLOOKUP(AW1965,'Item Master Data'!$A:$G,7,FALSE)</f>
        <v>32</v>
      </c>
      <c r="BC1965" s="471">
        <f t="shared" si="327"/>
        <v>0</v>
      </c>
    </row>
    <row r="1966" spans="1:55" s="471" customFormat="1" ht="15" customHeight="1">
      <c r="A1966" s="278"/>
      <c r="B1966" s="279"/>
      <c r="C1966" s="279"/>
      <c r="D1966" s="394" t="s">
        <v>3678</v>
      </c>
      <c r="E1966" s="288" t="s">
        <v>1283</v>
      </c>
      <c r="F1966" s="474"/>
      <c r="G1966" s="474">
        <v>2022</v>
      </c>
      <c r="H1966" s="474">
        <v>5</v>
      </c>
      <c r="I1966" s="474"/>
      <c r="J1966" s="475"/>
      <c r="K1966" s="474">
        <v>1069</v>
      </c>
      <c r="L1966" s="475" t="s">
        <v>3697</v>
      </c>
      <c r="M1966" s="475">
        <v>44551</v>
      </c>
      <c r="N1966" s="475" t="s">
        <v>1588</v>
      </c>
      <c r="O1966" s="475"/>
      <c r="P1966" s="475" t="s">
        <v>5606</v>
      </c>
      <c r="Q1966" s="475"/>
      <c r="R1966" s="475"/>
      <c r="S1966" s="474" t="s">
        <v>1102</v>
      </c>
      <c r="T1966" s="474">
        <v>60</v>
      </c>
      <c r="U1966" s="474"/>
      <c r="V1966" s="474" t="s">
        <v>973</v>
      </c>
      <c r="W1966" s="476">
        <v>400</v>
      </c>
      <c r="X1966" s="402">
        <v>768</v>
      </c>
      <c r="Y1966" s="470">
        <f t="shared" si="332"/>
        <v>307200</v>
      </c>
      <c r="Z1966" s="478">
        <v>0.48</v>
      </c>
      <c r="AA1966" s="479">
        <f>Z1966*Y1966</f>
        <v>147456</v>
      </c>
      <c r="AB1966" s="480"/>
      <c r="AC1966" s="481">
        <f t="shared" si="333"/>
        <v>0</v>
      </c>
      <c r="AD1966" s="490"/>
      <c r="AE1966" s="482"/>
      <c r="AF1966" s="493">
        <f t="shared" si="334"/>
        <v>147456</v>
      </c>
      <c r="AG1966" s="474" t="s">
        <v>47</v>
      </c>
      <c r="AH1966" s="474"/>
      <c r="AI1966" s="474">
        <v>45</v>
      </c>
      <c r="AJ1966" s="474" t="s">
        <v>1109</v>
      </c>
      <c r="AK1966" s="474" t="s">
        <v>1109</v>
      </c>
      <c r="AL1966" s="494" t="s">
        <v>3849</v>
      </c>
      <c r="AM1966" s="474" t="s">
        <v>52</v>
      </c>
      <c r="AN1966" s="474" t="s">
        <v>1074</v>
      </c>
      <c r="AO1966" s="474"/>
      <c r="AP1966" s="482"/>
      <c r="AQ1966" s="482" t="s">
        <v>37</v>
      </c>
      <c r="AR1966" s="474"/>
      <c r="AS1966" s="436" t="s">
        <v>1076</v>
      </c>
      <c r="AT1966" s="281" t="s">
        <v>1076</v>
      </c>
      <c r="AU1966" s="472"/>
      <c r="AV1966" s="471">
        <f t="shared" si="325"/>
        <v>0</v>
      </c>
      <c r="AW1966" s="471" cm="1">
        <f t="array" ref="AW1966">SUM(MID(0&amp;AV1966,LARGE(INDEX(ISNUMBER(--MID(AV1966,ROW($1:$8),1))*ROW($1:$8),),ROW($1:$8))+1,1)*10^ROW($1:$8)/10)</f>
        <v>0</v>
      </c>
      <c r="AX1966" s="471" t="e">
        <f>VLOOKUP($AW1966,'Item Master Data'!$A:$F,3,FALSE)</f>
        <v>#N/A</v>
      </c>
      <c r="AY1966" s="471" t="e">
        <f>VLOOKUP($AW1966,'Item Master Data'!$A:$F,6,FALSE)</f>
        <v>#N/A</v>
      </c>
      <c r="AZ1966" s="471" t="e">
        <f t="shared" si="326"/>
        <v>#N/A</v>
      </c>
      <c r="BA1966" s="471" t="e">
        <f>VLOOKUP(AW1966,'Item Master Data'!$A:$G,7,FALSE)</f>
        <v>#N/A</v>
      </c>
      <c r="BC1966" s="471" t="e">
        <f t="shared" si="327"/>
        <v>#N/A</v>
      </c>
    </row>
    <row r="1967" spans="1:55" s="471" customFormat="1" ht="15" customHeight="1">
      <c r="A1967" s="278"/>
      <c r="B1967" s="279"/>
      <c r="C1967" s="279"/>
      <c r="D1967" s="394" t="s">
        <v>3678</v>
      </c>
      <c r="E1967" s="280" t="s">
        <v>5615</v>
      </c>
      <c r="F1967" s="474"/>
      <c r="G1967" s="474">
        <v>2022</v>
      </c>
      <c r="H1967" s="474">
        <v>4</v>
      </c>
      <c r="I1967" s="485">
        <v>128082</v>
      </c>
      <c r="J1967" s="475">
        <v>44655</v>
      </c>
      <c r="K1967" s="474" t="s">
        <v>3941</v>
      </c>
      <c r="L1967" s="474" t="s">
        <v>3762</v>
      </c>
      <c r="M1967" s="475">
        <v>44503</v>
      </c>
      <c r="N1967" s="475">
        <v>44595</v>
      </c>
      <c r="O1967" s="475"/>
      <c r="P1967" s="475">
        <v>44649</v>
      </c>
      <c r="Q1967" s="475">
        <v>44652</v>
      </c>
      <c r="R1967" s="475">
        <v>44655</v>
      </c>
      <c r="S1967" s="474" t="s">
        <v>1102</v>
      </c>
      <c r="T1967" s="474">
        <v>60</v>
      </c>
      <c r="U1967" s="474" t="s">
        <v>1281</v>
      </c>
      <c r="V1967" s="474" t="s">
        <v>973</v>
      </c>
      <c r="W1967" s="476">
        <v>400</v>
      </c>
      <c r="X1967" s="402">
        <v>896</v>
      </c>
      <c r="Y1967" s="491">
        <f t="shared" si="332"/>
        <v>358400</v>
      </c>
      <c r="Z1967" s="478">
        <v>0.49</v>
      </c>
      <c r="AA1967" s="582">
        <f>Y1967*Z1967</f>
        <v>175616</v>
      </c>
      <c r="AB1967" s="480"/>
      <c r="AC1967" s="481">
        <f t="shared" si="333"/>
        <v>0</v>
      </c>
      <c r="AD1967" s="490"/>
      <c r="AE1967" s="482"/>
      <c r="AF1967" s="493">
        <f t="shared" si="334"/>
        <v>175616</v>
      </c>
      <c r="AG1967" s="474" t="s">
        <v>47</v>
      </c>
      <c r="AH1967" s="474">
        <v>0</v>
      </c>
      <c r="AI1967" s="474">
        <v>60</v>
      </c>
      <c r="AJ1967" s="474" t="s">
        <v>3304</v>
      </c>
      <c r="AK1967" s="474" t="s">
        <v>1144</v>
      </c>
      <c r="AL1967" s="494">
        <v>75261</v>
      </c>
      <c r="AM1967" s="474" t="s">
        <v>52</v>
      </c>
      <c r="AN1967" s="474" t="s">
        <v>50</v>
      </c>
      <c r="AO1967" s="474"/>
      <c r="AP1967" s="482"/>
      <c r="AQ1967" s="482" t="s">
        <v>37</v>
      </c>
      <c r="AR1967" s="474"/>
      <c r="AS1967" s="436" t="s">
        <v>3763</v>
      </c>
      <c r="AT1967" s="281" t="s">
        <v>1076</v>
      </c>
      <c r="AU1967" s="472"/>
      <c r="AV1967" s="471" t="str">
        <f t="shared" si="325"/>
        <v>30390456H</v>
      </c>
      <c r="AW1967" s="471" cm="1">
        <f t="array" ref="AW1967">SUM(MID(0&amp;AV1967,LARGE(INDEX(ISNUMBER(--MID(AV1967,ROW($1:$8),1))*ROW($1:$8),),ROW($1:$8))+1,1)*10^ROW($1:$8)/10)</f>
        <v>30390456</v>
      </c>
      <c r="AX1967" s="471" t="str">
        <f>VLOOKUP($AW1967,'Item Master Data'!$A:$F,3,FALSE)</f>
        <v>Q.PEAK DUO BLK ML G10+</v>
      </c>
      <c r="AY1967" s="471">
        <f>VLOOKUP($AW1967,'Item Master Data'!$A:$F,6,FALSE)</f>
        <v>400</v>
      </c>
      <c r="AZ1967" s="471">
        <f t="shared" si="326"/>
        <v>28</v>
      </c>
      <c r="BA1967" s="471">
        <f>VLOOKUP(AW1967,'Item Master Data'!$A:$G,7,FALSE)</f>
        <v>32</v>
      </c>
      <c r="BC1967" s="471">
        <f t="shared" si="327"/>
        <v>0</v>
      </c>
    </row>
    <row r="1968" spans="1:55" s="471" customFormat="1" ht="15" customHeight="1">
      <c r="A1968" s="278"/>
      <c r="B1968" s="279"/>
      <c r="C1968" s="279"/>
      <c r="D1968" s="394" t="s">
        <v>3678</v>
      </c>
      <c r="E1968" s="280" t="s">
        <v>5704</v>
      </c>
      <c r="F1968" s="474"/>
      <c r="G1968" s="474">
        <v>2022</v>
      </c>
      <c r="H1968" s="474">
        <v>4</v>
      </c>
      <c r="I1968" s="485">
        <v>128213</v>
      </c>
      <c r="J1968" s="475">
        <v>44673</v>
      </c>
      <c r="K1968" s="474" t="s">
        <v>3953</v>
      </c>
      <c r="L1968" s="475" t="s">
        <v>3796</v>
      </c>
      <c r="M1968" s="475">
        <v>44641</v>
      </c>
      <c r="N1968" s="475">
        <v>44641</v>
      </c>
      <c r="O1968" s="475"/>
      <c r="P1968" s="475">
        <v>44669</v>
      </c>
      <c r="Q1968" s="475">
        <v>44673</v>
      </c>
      <c r="R1968" s="475">
        <v>44678</v>
      </c>
      <c r="S1968" s="474" t="s">
        <v>1102</v>
      </c>
      <c r="T1968" s="474">
        <v>60</v>
      </c>
      <c r="U1968" s="474" t="s">
        <v>1760</v>
      </c>
      <c r="V1968" s="486" t="s">
        <v>973</v>
      </c>
      <c r="W1968" s="474">
        <v>400</v>
      </c>
      <c r="X1968" s="402">
        <v>1664</v>
      </c>
      <c r="Y1968" s="477">
        <f t="shared" si="332"/>
        <v>665600</v>
      </c>
      <c r="Z1968" s="478">
        <v>0.48499999999999999</v>
      </c>
      <c r="AA1968" s="479">
        <f t="shared" ref="AA1968:AA1983" si="335">Z1968*Y1968</f>
        <v>322816</v>
      </c>
      <c r="AB1968" s="480"/>
      <c r="AC1968" s="481">
        <f t="shared" si="333"/>
        <v>0</v>
      </c>
      <c r="AD1968" s="490"/>
      <c r="AE1968" s="482"/>
      <c r="AF1968" s="493">
        <f t="shared" si="334"/>
        <v>322816</v>
      </c>
      <c r="AG1968" s="474" t="s">
        <v>1071</v>
      </c>
      <c r="AH1968" s="474"/>
      <c r="AI1968" s="474">
        <v>60</v>
      </c>
      <c r="AJ1968" s="474" t="s">
        <v>3800</v>
      </c>
      <c r="AK1968" s="474" t="s">
        <v>1096</v>
      </c>
      <c r="AL1968" s="494">
        <v>2576</v>
      </c>
      <c r="AM1968" s="474" t="s">
        <v>52</v>
      </c>
      <c r="AN1968" s="474" t="s">
        <v>50</v>
      </c>
      <c r="AO1968" s="474"/>
      <c r="AP1968" s="482"/>
      <c r="AQ1968" s="482" t="s">
        <v>37</v>
      </c>
      <c r="AR1968" s="474"/>
      <c r="AS1968" s="436" t="s">
        <v>1076</v>
      </c>
      <c r="AT1968" s="281" t="s">
        <v>1076</v>
      </c>
      <c r="AU1968" s="472"/>
      <c r="AV1968" s="471" t="str">
        <f t="shared" si="325"/>
        <v>30390156H</v>
      </c>
      <c r="AW1968" s="471" cm="1">
        <f t="array" ref="AW1968">SUM(MID(0&amp;AV1968,LARGE(INDEX(ISNUMBER(--MID(AV1968,ROW($1:$8),1))*ROW($1:$8),),ROW($1:$8))+1,1)*10^ROW($1:$8)/10)</f>
        <v>30390156</v>
      </c>
      <c r="AX1968" s="471" t="str">
        <f>VLOOKUP($AW1968,'Item Master Data'!$A:$F,3,FALSE)</f>
        <v>Q.PEAK DUO BLK ML G10+</v>
      </c>
      <c r="AY1968" s="471">
        <f>VLOOKUP($AW1968,'Item Master Data'!$A:$F,6,FALSE)</f>
        <v>400</v>
      </c>
      <c r="AZ1968" s="471">
        <f t="shared" si="326"/>
        <v>52</v>
      </c>
      <c r="BA1968" s="471">
        <f>VLOOKUP(AW1968,'Item Master Data'!$A:$G,7,FALSE)</f>
        <v>32</v>
      </c>
      <c r="BC1968" s="471">
        <f t="shared" si="327"/>
        <v>0</v>
      </c>
    </row>
    <row r="1969" spans="1:55" s="471" customFormat="1" ht="15" customHeight="1">
      <c r="A1969" s="278"/>
      <c r="B1969" s="279"/>
      <c r="C1969" s="279"/>
      <c r="D1969" s="394" t="s">
        <v>3678</v>
      </c>
      <c r="E1969" s="280" t="s">
        <v>5704</v>
      </c>
      <c r="F1969" s="474"/>
      <c r="G1969" s="474">
        <v>2022</v>
      </c>
      <c r="H1969" s="474">
        <v>4</v>
      </c>
      <c r="I1969" s="485">
        <v>128214</v>
      </c>
      <c r="J1969" s="475">
        <v>44673</v>
      </c>
      <c r="K1969" s="474" t="s">
        <v>3954</v>
      </c>
      <c r="L1969" s="475" t="s">
        <v>3796</v>
      </c>
      <c r="M1969" s="475">
        <v>44641</v>
      </c>
      <c r="N1969" s="475">
        <v>44641</v>
      </c>
      <c r="O1969" s="475"/>
      <c r="P1969" s="475">
        <v>44669</v>
      </c>
      <c r="Q1969" s="475">
        <v>44673</v>
      </c>
      <c r="R1969" s="475">
        <v>44676</v>
      </c>
      <c r="S1969" s="474" t="s">
        <v>1102</v>
      </c>
      <c r="T1969" s="474">
        <v>60</v>
      </c>
      <c r="U1969" s="474" t="s">
        <v>1760</v>
      </c>
      <c r="V1969" s="486" t="s">
        <v>973</v>
      </c>
      <c r="W1969" s="474">
        <v>400</v>
      </c>
      <c r="X1969" s="402">
        <v>832</v>
      </c>
      <c r="Y1969" s="477">
        <f t="shared" si="332"/>
        <v>332800</v>
      </c>
      <c r="Z1969" s="478">
        <v>0.48499999999999999</v>
      </c>
      <c r="AA1969" s="479">
        <f t="shared" si="335"/>
        <v>161408</v>
      </c>
      <c r="AB1969" s="480"/>
      <c r="AC1969" s="481">
        <f t="shared" si="333"/>
        <v>0</v>
      </c>
      <c r="AD1969" s="490"/>
      <c r="AE1969" s="482"/>
      <c r="AF1969" s="493">
        <f t="shared" si="334"/>
        <v>161408</v>
      </c>
      <c r="AG1969" s="474" t="s">
        <v>1071</v>
      </c>
      <c r="AH1969" s="474"/>
      <c r="AI1969" s="474">
        <v>60</v>
      </c>
      <c r="AJ1969" s="474" t="s">
        <v>3802</v>
      </c>
      <c r="AK1969" s="474" t="s">
        <v>1073</v>
      </c>
      <c r="AL1969" s="494">
        <v>21076</v>
      </c>
      <c r="AM1969" s="474" t="s">
        <v>52</v>
      </c>
      <c r="AN1969" s="474" t="s">
        <v>50</v>
      </c>
      <c r="AO1969" s="474"/>
      <c r="AP1969" s="482"/>
      <c r="AQ1969" s="482" t="s">
        <v>37</v>
      </c>
      <c r="AR1969" s="474"/>
      <c r="AS1969" s="436" t="s">
        <v>1076</v>
      </c>
      <c r="AT1969" s="281" t="s">
        <v>1076</v>
      </c>
      <c r="AU1969" s="472"/>
      <c r="AV1969" s="471" t="str">
        <f t="shared" si="325"/>
        <v>30390156H</v>
      </c>
      <c r="AW1969" s="471" cm="1">
        <f t="array" ref="AW1969">SUM(MID(0&amp;AV1969,LARGE(INDEX(ISNUMBER(--MID(AV1969,ROW($1:$8),1))*ROW($1:$8),),ROW($1:$8))+1,1)*10^ROW($1:$8)/10)</f>
        <v>30390156</v>
      </c>
      <c r="AX1969" s="471" t="str">
        <f>VLOOKUP($AW1969,'Item Master Data'!$A:$F,3,FALSE)</f>
        <v>Q.PEAK DUO BLK ML G10+</v>
      </c>
      <c r="AY1969" s="471">
        <f>VLOOKUP($AW1969,'Item Master Data'!$A:$F,6,FALSE)</f>
        <v>400</v>
      </c>
      <c r="AZ1969" s="471">
        <f t="shared" si="326"/>
        <v>26</v>
      </c>
      <c r="BA1969" s="471">
        <f>VLOOKUP(AW1969,'Item Master Data'!$A:$G,7,FALSE)</f>
        <v>32</v>
      </c>
      <c r="BC1969" s="471">
        <f t="shared" si="327"/>
        <v>0</v>
      </c>
    </row>
    <row r="1970" spans="1:55" s="471" customFormat="1" ht="15" customHeight="1">
      <c r="A1970" s="278"/>
      <c r="B1970" s="279"/>
      <c r="C1970" s="279"/>
      <c r="D1970" s="394" t="s">
        <v>3678</v>
      </c>
      <c r="E1970" s="280" t="s">
        <v>5704</v>
      </c>
      <c r="F1970" s="474"/>
      <c r="G1970" s="474">
        <v>2022</v>
      </c>
      <c r="H1970" s="474">
        <v>4</v>
      </c>
      <c r="I1970" s="485">
        <v>128190</v>
      </c>
      <c r="J1970" s="475">
        <v>44673</v>
      </c>
      <c r="K1970" s="474" t="s">
        <v>3955</v>
      </c>
      <c r="L1970" s="475" t="s">
        <v>3796</v>
      </c>
      <c r="M1970" s="475">
        <v>44641</v>
      </c>
      <c r="N1970" s="475">
        <v>44641</v>
      </c>
      <c r="O1970" s="475"/>
      <c r="P1970" s="475">
        <v>44669</v>
      </c>
      <c r="Q1970" s="475">
        <v>44673</v>
      </c>
      <c r="R1970" s="475">
        <v>44678</v>
      </c>
      <c r="S1970" s="474" t="s">
        <v>1102</v>
      </c>
      <c r="T1970" s="474">
        <v>60</v>
      </c>
      <c r="U1970" s="474" t="s">
        <v>1760</v>
      </c>
      <c r="V1970" s="486" t="s">
        <v>973</v>
      </c>
      <c r="W1970" s="474">
        <v>400</v>
      </c>
      <c r="X1970" s="402">
        <v>2496</v>
      </c>
      <c r="Y1970" s="477">
        <f t="shared" si="332"/>
        <v>998400</v>
      </c>
      <c r="Z1970" s="478">
        <v>0.48499999999999999</v>
      </c>
      <c r="AA1970" s="479">
        <f t="shared" si="335"/>
        <v>484224</v>
      </c>
      <c r="AB1970" s="480"/>
      <c r="AC1970" s="481">
        <f t="shared" si="333"/>
        <v>0</v>
      </c>
      <c r="AD1970" s="490"/>
      <c r="AE1970" s="482"/>
      <c r="AF1970" s="493">
        <f t="shared" si="334"/>
        <v>484224</v>
      </c>
      <c r="AG1970" s="474" t="s">
        <v>1071</v>
      </c>
      <c r="AH1970" s="474"/>
      <c r="AI1970" s="474">
        <v>60</v>
      </c>
      <c r="AJ1970" s="474" t="s">
        <v>3804</v>
      </c>
      <c r="AK1970" s="474" t="s">
        <v>1085</v>
      </c>
      <c r="AL1970" s="494">
        <v>7719</v>
      </c>
      <c r="AM1970" s="474" t="s">
        <v>52</v>
      </c>
      <c r="AN1970" s="474" t="s">
        <v>50</v>
      </c>
      <c r="AO1970" s="474"/>
      <c r="AP1970" s="482"/>
      <c r="AQ1970" s="482" t="s">
        <v>37</v>
      </c>
      <c r="AR1970" s="474"/>
      <c r="AS1970" s="436" t="s">
        <v>1076</v>
      </c>
      <c r="AT1970" s="281" t="s">
        <v>1076</v>
      </c>
      <c r="AU1970" s="472"/>
      <c r="AV1970" s="471" t="str">
        <f t="shared" si="325"/>
        <v>30390156H</v>
      </c>
      <c r="AW1970" s="471" cm="1">
        <f t="array" ref="AW1970">SUM(MID(0&amp;AV1970,LARGE(INDEX(ISNUMBER(--MID(AV1970,ROW($1:$8),1))*ROW($1:$8),),ROW($1:$8))+1,1)*10^ROW($1:$8)/10)</f>
        <v>30390156</v>
      </c>
      <c r="AX1970" s="471" t="str">
        <f>VLOOKUP($AW1970,'Item Master Data'!$A:$F,3,FALSE)</f>
        <v>Q.PEAK DUO BLK ML G10+</v>
      </c>
      <c r="AY1970" s="471">
        <f>VLOOKUP($AW1970,'Item Master Data'!$A:$F,6,FALSE)</f>
        <v>400</v>
      </c>
      <c r="AZ1970" s="471">
        <f t="shared" si="326"/>
        <v>78</v>
      </c>
      <c r="BA1970" s="471">
        <f>VLOOKUP(AW1970,'Item Master Data'!$A:$G,7,FALSE)</f>
        <v>32</v>
      </c>
      <c r="BC1970" s="471">
        <f t="shared" si="327"/>
        <v>0</v>
      </c>
    </row>
    <row r="1971" spans="1:55" s="471" customFormat="1" ht="15" customHeight="1">
      <c r="A1971" s="278"/>
      <c r="B1971" s="279"/>
      <c r="C1971" s="279"/>
      <c r="D1971" s="394" t="s">
        <v>3678</v>
      </c>
      <c r="E1971" s="280" t="s">
        <v>5704</v>
      </c>
      <c r="F1971" s="474"/>
      <c r="G1971" s="474">
        <v>2022</v>
      </c>
      <c r="H1971" s="474">
        <v>4</v>
      </c>
      <c r="I1971" s="485">
        <v>128191</v>
      </c>
      <c r="J1971" s="475">
        <v>44673</v>
      </c>
      <c r="K1971" s="474" t="s">
        <v>3956</v>
      </c>
      <c r="L1971" s="475" t="s">
        <v>3796</v>
      </c>
      <c r="M1971" s="475">
        <v>44641</v>
      </c>
      <c r="N1971" s="475">
        <v>44641</v>
      </c>
      <c r="O1971" s="475"/>
      <c r="P1971" s="475">
        <v>44669</v>
      </c>
      <c r="Q1971" s="475">
        <v>44673</v>
      </c>
      <c r="R1971" s="475">
        <v>44677</v>
      </c>
      <c r="S1971" s="474" t="s">
        <v>1102</v>
      </c>
      <c r="T1971" s="474">
        <v>60</v>
      </c>
      <c r="U1971" s="474" t="s">
        <v>1760</v>
      </c>
      <c r="V1971" s="486" t="s">
        <v>973</v>
      </c>
      <c r="W1971" s="474">
        <v>400</v>
      </c>
      <c r="X1971" s="402">
        <v>1664</v>
      </c>
      <c r="Y1971" s="477">
        <f t="shared" si="332"/>
        <v>665600</v>
      </c>
      <c r="Z1971" s="478">
        <v>0.48499999999999999</v>
      </c>
      <c r="AA1971" s="479">
        <f t="shared" si="335"/>
        <v>322816</v>
      </c>
      <c r="AB1971" s="480"/>
      <c r="AC1971" s="481">
        <f t="shared" si="333"/>
        <v>0</v>
      </c>
      <c r="AD1971" s="490"/>
      <c r="AE1971" s="482"/>
      <c r="AF1971" s="493">
        <f t="shared" si="334"/>
        <v>322816</v>
      </c>
      <c r="AG1971" s="474" t="s">
        <v>1071</v>
      </c>
      <c r="AH1971" s="474"/>
      <c r="AI1971" s="474">
        <v>60</v>
      </c>
      <c r="AJ1971" s="474" t="s">
        <v>3807</v>
      </c>
      <c r="AK1971" s="474" t="s">
        <v>1347</v>
      </c>
      <c r="AL1971" s="494">
        <v>19605</v>
      </c>
      <c r="AM1971" s="474" t="s">
        <v>52</v>
      </c>
      <c r="AN1971" s="474" t="s">
        <v>50</v>
      </c>
      <c r="AO1971" s="474"/>
      <c r="AP1971" s="482"/>
      <c r="AQ1971" s="482" t="s">
        <v>37</v>
      </c>
      <c r="AR1971" s="474"/>
      <c r="AS1971" s="436" t="s">
        <v>1076</v>
      </c>
      <c r="AT1971" s="281" t="s">
        <v>1076</v>
      </c>
      <c r="AU1971" s="472"/>
      <c r="AV1971" s="471" t="str">
        <f t="shared" si="325"/>
        <v>30390156H</v>
      </c>
      <c r="AW1971" s="471" cm="1">
        <f t="array" ref="AW1971">SUM(MID(0&amp;AV1971,LARGE(INDEX(ISNUMBER(--MID(AV1971,ROW($1:$8),1))*ROW($1:$8),),ROW($1:$8))+1,1)*10^ROW($1:$8)/10)</f>
        <v>30390156</v>
      </c>
      <c r="AX1971" s="471" t="str">
        <f>VLOOKUP($AW1971,'Item Master Data'!$A:$F,3,FALSE)</f>
        <v>Q.PEAK DUO BLK ML G10+</v>
      </c>
      <c r="AY1971" s="471">
        <f>VLOOKUP($AW1971,'Item Master Data'!$A:$F,6,FALSE)</f>
        <v>400</v>
      </c>
      <c r="AZ1971" s="471">
        <f t="shared" si="326"/>
        <v>52</v>
      </c>
      <c r="BA1971" s="471">
        <f>VLOOKUP(AW1971,'Item Master Data'!$A:$G,7,FALSE)</f>
        <v>32</v>
      </c>
      <c r="BC1971" s="471">
        <f t="shared" si="327"/>
        <v>0</v>
      </c>
    </row>
    <row r="1972" spans="1:55" s="471" customFormat="1" ht="15" customHeight="1">
      <c r="A1972" s="278"/>
      <c r="B1972" s="279"/>
      <c r="C1972" s="279"/>
      <c r="D1972" s="394" t="s">
        <v>3678</v>
      </c>
      <c r="E1972" s="280" t="s">
        <v>5704</v>
      </c>
      <c r="F1972" s="474"/>
      <c r="G1972" s="474">
        <v>2022</v>
      </c>
      <c r="H1972" s="474">
        <v>4</v>
      </c>
      <c r="I1972" s="485">
        <v>128192</v>
      </c>
      <c r="J1972" s="475">
        <v>44672</v>
      </c>
      <c r="K1972" s="474" t="s">
        <v>3957</v>
      </c>
      <c r="L1972" s="475" t="s">
        <v>3796</v>
      </c>
      <c r="M1972" s="475">
        <v>44641</v>
      </c>
      <c r="N1972" s="475">
        <v>44641</v>
      </c>
      <c r="O1972" s="475"/>
      <c r="P1972" s="475">
        <v>44669</v>
      </c>
      <c r="Q1972" s="475">
        <v>44672</v>
      </c>
      <c r="R1972" s="475">
        <v>44677</v>
      </c>
      <c r="S1972" s="474" t="s">
        <v>1102</v>
      </c>
      <c r="T1972" s="474">
        <v>60</v>
      </c>
      <c r="U1972" s="474" t="s">
        <v>1760</v>
      </c>
      <c r="V1972" s="486" t="s">
        <v>973</v>
      </c>
      <c r="W1972" s="474">
        <v>400</v>
      </c>
      <c r="X1972" s="402">
        <v>832</v>
      </c>
      <c r="Y1972" s="477">
        <f t="shared" si="332"/>
        <v>332800</v>
      </c>
      <c r="Z1972" s="478">
        <v>0.48499999999999999</v>
      </c>
      <c r="AA1972" s="479">
        <f t="shared" si="335"/>
        <v>161408</v>
      </c>
      <c r="AB1972" s="480"/>
      <c r="AC1972" s="481">
        <f t="shared" si="333"/>
        <v>0</v>
      </c>
      <c r="AD1972" s="490"/>
      <c r="AE1972" s="482"/>
      <c r="AF1972" s="493">
        <f t="shared" si="334"/>
        <v>161408</v>
      </c>
      <c r="AG1972" s="474" t="s">
        <v>1071</v>
      </c>
      <c r="AH1972" s="474"/>
      <c r="AI1972" s="474">
        <v>60</v>
      </c>
      <c r="AJ1972" s="474" t="s">
        <v>3810</v>
      </c>
      <c r="AK1972" s="474" t="s">
        <v>1096</v>
      </c>
      <c r="AL1972" s="494">
        <v>1040</v>
      </c>
      <c r="AM1972" s="474" t="s">
        <v>52</v>
      </c>
      <c r="AN1972" s="474" t="s">
        <v>50</v>
      </c>
      <c r="AO1972" s="474"/>
      <c r="AP1972" s="482"/>
      <c r="AQ1972" s="482" t="s">
        <v>37</v>
      </c>
      <c r="AR1972" s="474"/>
      <c r="AS1972" s="436" t="s">
        <v>1076</v>
      </c>
      <c r="AT1972" s="281" t="s">
        <v>1076</v>
      </c>
      <c r="AU1972" s="472"/>
      <c r="AV1972" s="471" t="str">
        <f t="shared" si="325"/>
        <v>30390156H</v>
      </c>
      <c r="AW1972" s="471" cm="1">
        <f t="array" ref="AW1972">SUM(MID(0&amp;AV1972,LARGE(INDEX(ISNUMBER(--MID(AV1972,ROW($1:$8),1))*ROW($1:$8),),ROW($1:$8))+1,1)*10^ROW($1:$8)/10)</f>
        <v>30390156</v>
      </c>
      <c r="AX1972" s="471" t="str">
        <f>VLOOKUP($AW1972,'Item Master Data'!$A:$F,3,FALSE)</f>
        <v>Q.PEAK DUO BLK ML G10+</v>
      </c>
      <c r="AY1972" s="471">
        <f>VLOOKUP($AW1972,'Item Master Data'!$A:$F,6,FALSE)</f>
        <v>400</v>
      </c>
      <c r="AZ1972" s="471">
        <f t="shared" si="326"/>
        <v>26</v>
      </c>
      <c r="BA1972" s="471">
        <f>VLOOKUP(AW1972,'Item Master Data'!$A:$G,7,FALSE)</f>
        <v>32</v>
      </c>
      <c r="BC1972" s="471">
        <f t="shared" si="327"/>
        <v>0</v>
      </c>
    </row>
    <row r="1973" spans="1:55" s="471" customFormat="1" ht="15" customHeight="1">
      <c r="A1973" s="278"/>
      <c r="B1973" s="279"/>
      <c r="C1973" s="279"/>
      <c r="D1973" s="394" t="s">
        <v>3678</v>
      </c>
      <c r="E1973" s="280" t="s">
        <v>5788</v>
      </c>
      <c r="F1973" s="474"/>
      <c r="G1973" s="474">
        <v>2022</v>
      </c>
      <c r="H1973" s="474">
        <v>5</v>
      </c>
      <c r="I1973" s="475"/>
      <c r="J1973" s="475"/>
      <c r="K1973" s="474" t="s">
        <v>5803</v>
      </c>
      <c r="L1973" s="475" t="s">
        <v>3697</v>
      </c>
      <c r="M1973" s="475">
        <v>44680</v>
      </c>
      <c r="N1973" s="475">
        <v>44680</v>
      </c>
      <c r="O1973" s="475"/>
      <c r="P1973" s="475"/>
      <c r="Q1973" s="475"/>
      <c r="R1973" s="475"/>
      <c r="S1973" s="474" t="s">
        <v>1102</v>
      </c>
      <c r="T1973" s="474">
        <v>60</v>
      </c>
      <c r="U1973" s="474"/>
      <c r="V1973" s="474" t="s">
        <v>973</v>
      </c>
      <c r="W1973" s="476">
        <v>400</v>
      </c>
      <c r="X1973" s="402">
        <v>768</v>
      </c>
      <c r="Y1973" s="477">
        <f t="shared" si="332"/>
        <v>307200</v>
      </c>
      <c r="Z1973" s="478">
        <v>0.48</v>
      </c>
      <c r="AA1973" s="479">
        <f t="shared" si="335"/>
        <v>147456</v>
      </c>
      <c r="AB1973" s="480"/>
      <c r="AC1973" s="481">
        <f t="shared" si="333"/>
        <v>0</v>
      </c>
      <c r="AD1973" s="490"/>
      <c r="AE1973" s="482"/>
      <c r="AF1973" s="493">
        <f t="shared" si="334"/>
        <v>147456</v>
      </c>
      <c r="AG1973" s="474" t="s">
        <v>47</v>
      </c>
      <c r="AH1973" s="474"/>
      <c r="AI1973" s="474">
        <v>45</v>
      </c>
      <c r="AJ1973" s="474" t="s">
        <v>1210</v>
      </c>
      <c r="AK1973" s="474" t="s">
        <v>1096</v>
      </c>
      <c r="AL1973" s="494">
        <v>1501</v>
      </c>
      <c r="AM1973" s="474" t="s">
        <v>52</v>
      </c>
      <c r="AN1973" s="474"/>
      <c r="AO1973" s="474"/>
      <c r="AP1973" s="482"/>
      <c r="AQ1973" s="482" t="s">
        <v>37</v>
      </c>
      <c r="AR1973" s="474"/>
      <c r="AS1973" s="436" t="s">
        <v>1076</v>
      </c>
      <c r="AT1973" s="281" t="s">
        <v>1076</v>
      </c>
      <c r="AU1973" s="472"/>
      <c r="AV1973" s="471">
        <f t="shared" si="325"/>
        <v>0</v>
      </c>
      <c r="AW1973" s="471" cm="1">
        <f t="array" ref="AW1973">SUM(MID(0&amp;AV1973,LARGE(INDEX(ISNUMBER(--MID(AV1973,ROW($1:$8),1))*ROW($1:$8),),ROW($1:$8))+1,1)*10^ROW($1:$8)/10)</f>
        <v>0</v>
      </c>
      <c r="AX1973" s="471" t="e">
        <f>VLOOKUP($AW1973,'Item Master Data'!$A:$F,3,FALSE)</f>
        <v>#N/A</v>
      </c>
      <c r="AY1973" s="471" t="e">
        <f>VLOOKUP($AW1973,'Item Master Data'!$A:$F,6,FALSE)</f>
        <v>#N/A</v>
      </c>
      <c r="AZ1973" s="471" t="e">
        <f t="shared" si="326"/>
        <v>#N/A</v>
      </c>
      <c r="BA1973" s="471" t="e">
        <f>VLOOKUP(AW1973,'Item Master Data'!$A:$G,7,FALSE)</f>
        <v>#N/A</v>
      </c>
      <c r="BC1973" s="471" t="e">
        <f t="shared" si="327"/>
        <v>#N/A</v>
      </c>
    </row>
    <row r="1974" spans="1:55" s="471" customFormat="1" ht="15" customHeight="1">
      <c r="A1974" s="278"/>
      <c r="B1974" s="279"/>
      <c r="C1974" s="279"/>
      <c r="D1974" s="394" t="s">
        <v>3678</v>
      </c>
      <c r="E1974" s="280" t="s">
        <v>5788</v>
      </c>
      <c r="F1974" s="474"/>
      <c r="G1974" s="474">
        <v>2022</v>
      </c>
      <c r="H1974" s="474">
        <v>5</v>
      </c>
      <c r="I1974" s="475"/>
      <c r="J1974" s="475"/>
      <c r="K1974" s="474" t="s">
        <v>5804</v>
      </c>
      <c r="L1974" s="475" t="s">
        <v>3697</v>
      </c>
      <c r="M1974" s="475">
        <v>44680</v>
      </c>
      <c r="N1974" s="475">
        <v>44680</v>
      </c>
      <c r="O1974" s="475"/>
      <c r="P1974" s="475"/>
      <c r="Q1974" s="475"/>
      <c r="R1974" s="475"/>
      <c r="S1974" s="474" t="s">
        <v>1102</v>
      </c>
      <c r="T1974" s="474">
        <v>60</v>
      </c>
      <c r="U1974" s="474"/>
      <c r="V1974" s="474" t="s">
        <v>973</v>
      </c>
      <c r="W1974" s="476">
        <v>400</v>
      </c>
      <c r="X1974" s="402">
        <v>768</v>
      </c>
      <c r="Y1974" s="477">
        <f t="shared" si="332"/>
        <v>307200</v>
      </c>
      <c r="Z1974" s="478">
        <v>0.48</v>
      </c>
      <c r="AA1974" s="479">
        <f t="shared" si="335"/>
        <v>147456</v>
      </c>
      <c r="AB1974" s="480"/>
      <c r="AC1974" s="481">
        <f t="shared" si="333"/>
        <v>0</v>
      </c>
      <c r="AD1974" s="490"/>
      <c r="AE1974" s="482"/>
      <c r="AF1974" s="493">
        <f t="shared" si="334"/>
        <v>147456</v>
      </c>
      <c r="AG1974" s="474" t="s">
        <v>47</v>
      </c>
      <c r="AH1974" s="474"/>
      <c r="AI1974" s="474">
        <v>45</v>
      </c>
      <c r="AJ1974" s="474" t="s">
        <v>1210</v>
      </c>
      <c r="AK1974" s="474" t="s">
        <v>1096</v>
      </c>
      <c r="AL1974" s="494">
        <v>1501</v>
      </c>
      <c r="AM1974" s="474" t="s">
        <v>52</v>
      </c>
      <c r="AN1974" s="474"/>
      <c r="AO1974" s="474"/>
      <c r="AP1974" s="482"/>
      <c r="AQ1974" s="482" t="s">
        <v>37</v>
      </c>
      <c r="AR1974" s="474"/>
      <c r="AS1974" s="436" t="s">
        <v>1076</v>
      </c>
      <c r="AT1974" s="281" t="s">
        <v>1076</v>
      </c>
      <c r="AU1974" s="472"/>
      <c r="AV1974" s="471">
        <f t="shared" si="325"/>
        <v>0</v>
      </c>
      <c r="AW1974" s="471" cm="1">
        <f t="array" ref="AW1974">SUM(MID(0&amp;AV1974,LARGE(INDEX(ISNUMBER(--MID(AV1974,ROW($1:$8),1))*ROW($1:$8),),ROW($1:$8))+1,1)*10^ROW($1:$8)/10)</f>
        <v>0</v>
      </c>
      <c r="AX1974" s="471" t="e">
        <f>VLOOKUP($AW1974,'Item Master Data'!$A:$F,3,FALSE)</f>
        <v>#N/A</v>
      </c>
      <c r="AY1974" s="471" t="e">
        <f>VLOOKUP($AW1974,'Item Master Data'!$A:$F,6,FALSE)</f>
        <v>#N/A</v>
      </c>
      <c r="AZ1974" s="471" t="e">
        <f t="shared" si="326"/>
        <v>#N/A</v>
      </c>
      <c r="BA1974" s="471" t="e">
        <f>VLOOKUP(AW1974,'Item Master Data'!$A:$G,7,FALSE)</f>
        <v>#N/A</v>
      </c>
      <c r="BC1974" s="471" t="e">
        <f t="shared" si="327"/>
        <v>#N/A</v>
      </c>
    </row>
    <row r="1975" spans="1:55" s="471" customFormat="1" ht="15" customHeight="1">
      <c r="A1975" s="278"/>
      <c r="B1975" s="279"/>
      <c r="C1975" s="279"/>
      <c r="D1975" s="394" t="s">
        <v>3678</v>
      </c>
      <c r="E1975" s="280" t="s">
        <v>5788</v>
      </c>
      <c r="F1975" s="474"/>
      <c r="G1975" s="474">
        <v>2022</v>
      </c>
      <c r="H1975" s="474">
        <v>5</v>
      </c>
      <c r="I1975" s="475"/>
      <c r="J1975" s="475"/>
      <c r="K1975" s="474" t="s">
        <v>5805</v>
      </c>
      <c r="L1975" s="475" t="s">
        <v>3697</v>
      </c>
      <c r="M1975" s="475">
        <v>44680</v>
      </c>
      <c r="N1975" s="475">
        <v>44680</v>
      </c>
      <c r="O1975" s="475"/>
      <c r="P1975" s="475"/>
      <c r="Q1975" s="475"/>
      <c r="R1975" s="475"/>
      <c r="S1975" s="474" t="s">
        <v>1102</v>
      </c>
      <c r="T1975" s="474">
        <v>60</v>
      </c>
      <c r="U1975" s="474"/>
      <c r="V1975" s="474" t="s">
        <v>973</v>
      </c>
      <c r="W1975" s="476">
        <v>400</v>
      </c>
      <c r="X1975" s="402">
        <v>768</v>
      </c>
      <c r="Y1975" s="477">
        <f t="shared" si="332"/>
        <v>307200</v>
      </c>
      <c r="Z1975" s="478">
        <v>0.48</v>
      </c>
      <c r="AA1975" s="479">
        <f t="shared" si="335"/>
        <v>147456</v>
      </c>
      <c r="AB1975" s="480"/>
      <c r="AC1975" s="481">
        <f t="shared" si="333"/>
        <v>0</v>
      </c>
      <c r="AD1975" s="490"/>
      <c r="AE1975" s="482"/>
      <c r="AF1975" s="493">
        <f t="shared" si="334"/>
        <v>147456</v>
      </c>
      <c r="AG1975" s="474" t="s">
        <v>47</v>
      </c>
      <c r="AH1975" s="474"/>
      <c r="AI1975" s="474">
        <v>45</v>
      </c>
      <c r="AJ1975" s="474" t="s">
        <v>1210</v>
      </c>
      <c r="AK1975" s="474" t="s">
        <v>1096</v>
      </c>
      <c r="AL1975" s="494">
        <v>1501</v>
      </c>
      <c r="AM1975" s="474" t="s">
        <v>52</v>
      </c>
      <c r="AN1975" s="474"/>
      <c r="AO1975" s="474"/>
      <c r="AP1975" s="482"/>
      <c r="AQ1975" s="482" t="s">
        <v>37</v>
      </c>
      <c r="AR1975" s="474"/>
      <c r="AS1975" s="436" t="s">
        <v>1076</v>
      </c>
      <c r="AT1975" s="281" t="s">
        <v>1076</v>
      </c>
      <c r="AU1975" s="472"/>
      <c r="AV1975" s="471">
        <f t="shared" si="325"/>
        <v>0</v>
      </c>
      <c r="AW1975" s="471" cm="1">
        <f t="array" ref="AW1975">SUM(MID(0&amp;AV1975,LARGE(INDEX(ISNUMBER(--MID(AV1975,ROW($1:$8),1))*ROW($1:$8),),ROW($1:$8))+1,1)*10^ROW($1:$8)/10)</f>
        <v>0</v>
      </c>
      <c r="AX1975" s="471" t="e">
        <f>VLOOKUP($AW1975,'Item Master Data'!$A:$F,3,FALSE)</f>
        <v>#N/A</v>
      </c>
      <c r="AY1975" s="471" t="e">
        <f>VLOOKUP($AW1975,'Item Master Data'!$A:$F,6,FALSE)</f>
        <v>#N/A</v>
      </c>
      <c r="AZ1975" s="471" t="e">
        <f t="shared" si="326"/>
        <v>#N/A</v>
      </c>
      <c r="BA1975" s="471" t="e">
        <f>VLOOKUP(AW1975,'Item Master Data'!$A:$G,7,FALSE)</f>
        <v>#N/A</v>
      </c>
      <c r="BC1975" s="471" t="e">
        <f t="shared" si="327"/>
        <v>#N/A</v>
      </c>
    </row>
    <row r="1976" spans="1:55" s="471" customFormat="1" ht="15" customHeight="1">
      <c r="A1976" s="278"/>
      <c r="B1976" s="279"/>
      <c r="C1976" s="279"/>
      <c r="D1976" s="394" t="s">
        <v>3678</v>
      </c>
      <c r="E1976" s="280" t="s">
        <v>5788</v>
      </c>
      <c r="F1976" s="474"/>
      <c r="G1976" s="474">
        <v>2022</v>
      </c>
      <c r="H1976" s="474">
        <v>5</v>
      </c>
      <c r="I1976" s="475"/>
      <c r="J1976" s="475"/>
      <c r="K1976" s="474" t="s">
        <v>5806</v>
      </c>
      <c r="L1976" s="475" t="s">
        <v>3697</v>
      </c>
      <c r="M1976" s="475">
        <v>44680</v>
      </c>
      <c r="N1976" s="475">
        <v>44680</v>
      </c>
      <c r="O1976" s="475"/>
      <c r="P1976" s="475"/>
      <c r="Q1976" s="475"/>
      <c r="R1976" s="475"/>
      <c r="S1976" s="474" t="s">
        <v>1102</v>
      </c>
      <c r="T1976" s="474">
        <v>60</v>
      </c>
      <c r="U1976" s="474"/>
      <c r="V1976" s="474" t="s">
        <v>973</v>
      </c>
      <c r="W1976" s="476">
        <v>400</v>
      </c>
      <c r="X1976" s="402">
        <v>768</v>
      </c>
      <c r="Y1976" s="477">
        <f t="shared" si="332"/>
        <v>307200</v>
      </c>
      <c r="Z1976" s="478">
        <v>0.48</v>
      </c>
      <c r="AA1976" s="479">
        <f t="shared" si="335"/>
        <v>147456</v>
      </c>
      <c r="AB1976" s="480"/>
      <c r="AC1976" s="481">
        <f t="shared" si="333"/>
        <v>0</v>
      </c>
      <c r="AD1976" s="490"/>
      <c r="AE1976" s="482"/>
      <c r="AF1976" s="493">
        <f t="shared" si="334"/>
        <v>147456</v>
      </c>
      <c r="AG1976" s="474" t="s">
        <v>47</v>
      </c>
      <c r="AH1976" s="474"/>
      <c r="AI1976" s="474">
        <v>45</v>
      </c>
      <c r="AJ1976" s="474" t="s">
        <v>3723</v>
      </c>
      <c r="AK1976" s="474" t="s">
        <v>1085</v>
      </c>
      <c r="AL1976" s="494">
        <v>7444</v>
      </c>
      <c r="AM1976" s="474" t="s">
        <v>52</v>
      </c>
      <c r="AN1976" s="474"/>
      <c r="AO1976" s="474"/>
      <c r="AP1976" s="482"/>
      <c r="AQ1976" s="482" t="s">
        <v>37</v>
      </c>
      <c r="AR1976" s="474"/>
      <c r="AS1976" s="436" t="s">
        <v>1076</v>
      </c>
      <c r="AT1976" s="281" t="s">
        <v>1076</v>
      </c>
      <c r="AU1976" s="472"/>
      <c r="AV1976" s="471">
        <f t="shared" si="325"/>
        <v>0</v>
      </c>
      <c r="AW1976" s="471" cm="1">
        <f t="array" ref="AW1976">SUM(MID(0&amp;AV1976,LARGE(INDEX(ISNUMBER(--MID(AV1976,ROW($1:$8),1))*ROW($1:$8),),ROW($1:$8))+1,1)*10^ROW($1:$8)/10)</f>
        <v>0</v>
      </c>
      <c r="AX1976" s="471" t="e">
        <f>VLOOKUP($AW1976,'Item Master Data'!$A:$F,3,FALSE)</f>
        <v>#N/A</v>
      </c>
      <c r="AY1976" s="471" t="e">
        <f>VLOOKUP($AW1976,'Item Master Data'!$A:$F,6,FALSE)</f>
        <v>#N/A</v>
      </c>
      <c r="AZ1976" s="471" t="e">
        <f t="shared" si="326"/>
        <v>#N/A</v>
      </c>
      <c r="BA1976" s="471" t="e">
        <f>VLOOKUP(AW1976,'Item Master Data'!$A:$G,7,FALSE)</f>
        <v>#N/A</v>
      </c>
      <c r="BC1976" s="471" t="e">
        <f t="shared" si="327"/>
        <v>#N/A</v>
      </c>
    </row>
    <row r="1977" spans="1:55" s="471" customFormat="1" ht="15" customHeight="1">
      <c r="A1977" s="278"/>
      <c r="B1977" s="279"/>
      <c r="C1977" s="279"/>
      <c r="D1977" s="394" t="s">
        <v>3678</v>
      </c>
      <c r="E1977" s="280" t="s">
        <v>5788</v>
      </c>
      <c r="F1977" s="474"/>
      <c r="G1977" s="474">
        <v>2022</v>
      </c>
      <c r="H1977" s="474">
        <v>5</v>
      </c>
      <c r="I1977" s="475"/>
      <c r="J1977" s="475"/>
      <c r="K1977" s="474" t="s">
        <v>5807</v>
      </c>
      <c r="L1977" s="475" t="s">
        <v>3697</v>
      </c>
      <c r="M1977" s="475">
        <v>44680</v>
      </c>
      <c r="N1977" s="475">
        <v>44680</v>
      </c>
      <c r="O1977" s="475"/>
      <c r="P1977" s="475"/>
      <c r="Q1977" s="475"/>
      <c r="R1977" s="475"/>
      <c r="S1977" s="474" t="s">
        <v>1102</v>
      </c>
      <c r="T1977" s="474">
        <v>60</v>
      </c>
      <c r="U1977" s="474"/>
      <c r="V1977" s="474" t="s">
        <v>973</v>
      </c>
      <c r="W1977" s="476">
        <v>400</v>
      </c>
      <c r="X1977" s="402">
        <v>768</v>
      </c>
      <c r="Y1977" s="477">
        <f t="shared" si="332"/>
        <v>307200</v>
      </c>
      <c r="Z1977" s="478">
        <v>0.48</v>
      </c>
      <c r="AA1977" s="479">
        <f t="shared" si="335"/>
        <v>147456</v>
      </c>
      <c r="AB1977" s="480"/>
      <c r="AC1977" s="481">
        <f t="shared" si="333"/>
        <v>0</v>
      </c>
      <c r="AD1977" s="490"/>
      <c r="AE1977" s="482"/>
      <c r="AF1977" s="493">
        <f t="shared" si="334"/>
        <v>147456</v>
      </c>
      <c r="AG1977" s="474" t="s">
        <v>47</v>
      </c>
      <c r="AH1977" s="474"/>
      <c r="AI1977" s="474">
        <v>45</v>
      </c>
      <c r="AJ1977" s="474" t="s">
        <v>3723</v>
      </c>
      <c r="AK1977" s="474" t="s">
        <v>1085</v>
      </c>
      <c r="AL1977" s="494">
        <v>7444</v>
      </c>
      <c r="AM1977" s="474" t="s">
        <v>52</v>
      </c>
      <c r="AN1977" s="474"/>
      <c r="AO1977" s="474"/>
      <c r="AP1977" s="482"/>
      <c r="AQ1977" s="482" t="s">
        <v>37</v>
      </c>
      <c r="AR1977" s="474"/>
      <c r="AS1977" s="436" t="s">
        <v>1076</v>
      </c>
      <c r="AT1977" s="281" t="s">
        <v>1076</v>
      </c>
      <c r="AU1977" s="472"/>
      <c r="AV1977" s="471">
        <f t="shared" si="325"/>
        <v>0</v>
      </c>
      <c r="AW1977" s="471" cm="1">
        <f t="array" ref="AW1977">SUM(MID(0&amp;AV1977,LARGE(INDEX(ISNUMBER(--MID(AV1977,ROW($1:$8),1))*ROW($1:$8),),ROW($1:$8))+1,1)*10^ROW($1:$8)/10)</f>
        <v>0</v>
      </c>
      <c r="AX1977" s="471" t="e">
        <f>VLOOKUP($AW1977,'Item Master Data'!$A:$F,3,FALSE)</f>
        <v>#N/A</v>
      </c>
      <c r="AY1977" s="471" t="e">
        <f>VLOOKUP($AW1977,'Item Master Data'!$A:$F,6,FALSE)</f>
        <v>#N/A</v>
      </c>
      <c r="AZ1977" s="471" t="e">
        <f t="shared" si="326"/>
        <v>#N/A</v>
      </c>
      <c r="BA1977" s="471" t="e">
        <f>VLOOKUP(AW1977,'Item Master Data'!$A:$G,7,FALSE)</f>
        <v>#N/A</v>
      </c>
      <c r="BC1977" s="471" t="e">
        <f t="shared" si="327"/>
        <v>#N/A</v>
      </c>
    </row>
    <row r="1978" spans="1:55" s="471" customFormat="1" ht="15" customHeight="1">
      <c r="A1978" s="278"/>
      <c r="B1978" s="279"/>
      <c r="C1978" s="279"/>
      <c r="D1978" s="394" t="s">
        <v>3678</v>
      </c>
      <c r="E1978" s="280" t="s">
        <v>5788</v>
      </c>
      <c r="F1978" s="474"/>
      <c r="G1978" s="474">
        <v>2022</v>
      </c>
      <c r="H1978" s="474">
        <v>5</v>
      </c>
      <c r="I1978" s="475"/>
      <c r="J1978" s="475"/>
      <c r="K1978" s="474" t="s">
        <v>5808</v>
      </c>
      <c r="L1978" s="475" t="s">
        <v>3697</v>
      </c>
      <c r="M1978" s="475">
        <v>44680</v>
      </c>
      <c r="N1978" s="475">
        <v>44680</v>
      </c>
      <c r="O1978" s="475"/>
      <c r="P1978" s="475"/>
      <c r="Q1978" s="475"/>
      <c r="R1978" s="475"/>
      <c r="S1978" s="474" t="s">
        <v>1102</v>
      </c>
      <c r="T1978" s="474">
        <v>60</v>
      </c>
      <c r="U1978" s="474"/>
      <c r="V1978" s="474" t="s">
        <v>973</v>
      </c>
      <c r="W1978" s="476">
        <v>400</v>
      </c>
      <c r="X1978" s="402">
        <v>768</v>
      </c>
      <c r="Y1978" s="477">
        <f t="shared" si="332"/>
        <v>307200</v>
      </c>
      <c r="Z1978" s="478">
        <v>0.48</v>
      </c>
      <c r="AA1978" s="479">
        <f t="shared" si="335"/>
        <v>147456</v>
      </c>
      <c r="AB1978" s="480"/>
      <c r="AC1978" s="481">
        <f t="shared" si="333"/>
        <v>0</v>
      </c>
      <c r="AD1978" s="490"/>
      <c r="AE1978" s="482"/>
      <c r="AF1978" s="493">
        <f t="shared" si="334"/>
        <v>147456</v>
      </c>
      <c r="AG1978" s="474" t="s">
        <v>47</v>
      </c>
      <c r="AH1978" s="474"/>
      <c r="AI1978" s="474">
        <v>45</v>
      </c>
      <c r="AJ1978" s="474" t="s">
        <v>3723</v>
      </c>
      <c r="AK1978" s="474" t="s">
        <v>1085</v>
      </c>
      <c r="AL1978" s="494">
        <v>7444</v>
      </c>
      <c r="AM1978" s="474" t="s">
        <v>52</v>
      </c>
      <c r="AN1978" s="474"/>
      <c r="AO1978" s="474"/>
      <c r="AP1978" s="482"/>
      <c r="AQ1978" s="482" t="s">
        <v>37</v>
      </c>
      <c r="AR1978" s="474"/>
      <c r="AS1978" s="436" t="s">
        <v>1076</v>
      </c>
      <c r="AT1978" s="281" t="s">
        <v>1076</v>
      </c>
      <c r="AU1978" s="472"/>
      <c r="AV1978" s="471">
        <f t="shared" si="325"/>
        <v>0</v>
      </c>
      <c r="AW1978" s="471" cm="1">
        <f t="array" ref="AW1978">SUM(MID(0&amp;AV1978,LARGE(INDEX(ISNUMBER(--MID(AV1978,ROW($1:$8),1))*ROW($1:$8),),ROW($1:$8))+1,1)*10^ROW($1:$8)/10)</f>
        <v>0</v>
      </c>
      <c r="AX1978" s="471" t="e">
        <f>VLOOKUP($AW1978,'Item Master Data'!$A:$F,3,FALSE)</f>
        <v>#N/A</v>
      </c>
      <c r="AY1978" s="471" t="e">
        <f>VLOOKUP($AW1978,'Item Master Data'!$A:$F,6,FALSE)</f>
        <v>#N/A</v>
      </c>
      <c r="AZ1978" s="471" t="e">
        <f t="shared" si="326"/>
        <v>#N/A</v>
      </c>
      <c r="BA1978" s="471" t="e">
        <f>VLOOKUP(AW1978,'Item Master Data'!$A:$G,7,FALSE)</f>
        <v>#N/A</v>
      </c>
      <c r="BC1978" s="471" t="e">
        <f t="shared" si="327"/>
        <v>#N/A</v>
      </c>
    </row>
    <row r="1979" spans="1:55" s="471" customFormat="1" ht="15" customHeight="1">
      <c r="A1979" s="278"/>
      <c r="B1979" s="279"/>
      <c r="C1979" s="279"/>
      <c r="D1979" s="394" t="s">
        <v>3678</v>
      </c>
      <c r="E1979" s="280" t="s">
        <v>5788</v>
      </c>
      <c r="F1979" s="474"/>
      <c r="G1979" s="474">
        <v>2022</v>
      </c>
      <c r="H1979" s="474">
        <v>5</v>
      </c>
      <c r="I1979" s="475"/>
      <c r="J1979" s="475"/>
      <c r="K1979" s="474" t="s">
        <v>5809</v>
      </c>
      <c r="L1979" s="475" t="s">
        <v>3697</v>
      </c>
      <c r="M1979" s="475">
        <v>44680</v>
      </c>
      <c r="N1979" s="475">
        <v>44680</v>
      </c>
      <c r="O1979" s="475"/>
      <c r="P1979" s="680"/>
      <c r="Q1979" s="475"/>
      <c r="R1979" s="475"/>
      <c r="S1979" s="474" t="s">
        <v>1102</v>
      </c>
      <c r="T1979" s="474">
        <v>60</v>
      </c>
      <c r="U1979" s="474"/>
      <c r="V1979" s="474" t="s">
        <v>973</v>
      </c>
      <c r="W1979" s="476">
        <v>400</v>
      </c>
      <c r="X1979" s="402">
        <v>768</v>
      </c>
      <c r="Y1979" s="477">
        <f t="shared" si="332"/>
        <v>307200</v>
      </c>
      <c r="Z1979" s="478">
        <v>0.48</v>
      </c>
      <c r="AA1979" s="479">
        <f t="shared" si="335"/>
        <v>147456</v>
      </c>
      <c r="AB1979" s="480"/>
      <c r="AC1979" s="481">
        <f t="shared" si="333"/>
        <v>0</v>
      </c>
      <c r="AD1979" s="490"/>
      <c r="AE1979" s="482"/>
      <c r="AF1979" s="493">
        <f t="shared" si="334"/>
        <v>147456</v>
      </c>
      <c r="AG1979" s="474" t="s">
        <v>47</v>
      </c>
      <c r="AH1979" s="474"/>
      <c r="AI1979" s="474">
        <v>45</v>
      </c>
      <c r="AJ1979" s="474" t="s">
        <v>3700</v>
      </c>
      <c r="AK1979" s="474" t="s">
        <v>1117</v>
      </c>
      <c r="AL1979" s="494">
        <v>60517</v>
      </c>
      <c r="AM1979" s="474" t="s">
        <v>52</v>
      </c>
      <c r="AN1979" s="474"/>
      <c r="AO1979" s="474"/>
      <c r="AP1979" s="482"/>
      <c r="AQ1979" s="482" t="s">
        <v>37</v>
      </c>
      <c r="AR1979" s="474"/>
      <c r="AS1979" s="436" t="s">
        <v>1076</v>
      </c>
      <c r="AT1979" s="281" t="s">
        <v>1076</v>
      </c>
      <c r="AU1979" s="472"/>
      <c r="AV1979" s="471">
        <f t="shared" ref="AV1979:AV2010" si="336">U1979</f>
        <v>0</v>
      </c>
      <c r="AW1979" s="471" cm="1">
        <f t="array" ref="AW1979">SUM(MID(0&amp;AV1979,LARGE(INDEX(ISNUMBER(--MID(AV1979,ROW($1:$8),1))*ROW($1:$8),),ROW($1:$8))+1,1)*10^ROW($1:$8)/10)</f>
        <v>0</v>
      </c>
      <c r="AX1979" s="471" t="e">
        <f>VLOOKUP($AW1979,'Item Master Data'!$A:$F,3,FALSE)</f>
        <v>#N/A</v>
      </c>
      <c r="AY1979" s="471" t="e">
        <f>VLOOKUP($AW1979,'Item Master Data'!$A:$F,6,FALSE)</f>
        <v>#N/A</v>
      </c>
      <c r="AZ1979" s="471" t="e">
        <f t="shared" ref="AZ1979:AZ2010" si="337">X1979/BA1979</f>
        <v>#N/A</v>
      </c>
      <c r="BA1979" s="471" t="e">
        <f>VLOOKUP(AW1979,'Item Master Data'!$A:$G,7,FALSE)</f>
        <v>#N/A</v>
      </c>
      <c r="BC1979" s="471" t="e">
        <f t="shared" ref="BC1979:BC2010" si="338">W1979-AY1979</f>
        <v>#N/A</v>
      </c>
    </row>
    <row r="1980" spans="1:55" s="471" customFormat="1" ht="15" customHeight="1">
      <c r="A1980" s="278"/>
      <c r="B1980" s="279"/>
      <c r="C1980" s="279"/>
      <c r="D1980" s="394" t="s">
        <v>3678</v>
      </c>
      <c r="E1980" s="280" t="s">
        <v>5788</v>
      </c>
      <c r="F1980" s="474"/>
      <c r="G1980" s="474">
        <v>2022</v>
      </c>
      <c r="H1980" s="474">
        <v>5</v>
      </c>
      <c r="I1980" s="475"/>
      <c r="J1980" s="475"/>
      <c r="K1980" s="474" t="s">
        <v>5810</v>
      </c>
      <c r="L1980" s="475" t="s">
        <v>3697</v>
      </c>
      <c r="M1980" s="475">
        <v>44680</v>
      </c>
      <c r="N1980" s="475">
        <v>44680</v>
      </c>
      <c r="O1980" s="475"/>
      <c r="P1980" s="475"/>
      <c r="Q1980" s="475"/>
      <c r="R1980" s="475"/>
      <c r="S1980" s="474" t="s">
        <v>1102</v>
      </c>
      <c r="T1980" s="474">
        <v>60</v>
      </c>
      <c r="U1980" s="474"/>
      <c r="V1980" s="474" t="s">
        <v>973</v>
      </c>
      <c r="W1980" s="476">
        <v>400</v>
      </c>
      <c r="X1980" s="402">
        <v>768</v>
      </c>
      <c r="Y1980" s="477">
        <f t="shared" si="332"/>
        <v>307200</v>
      </c>
      <c r="Z1980" s="478">
        <v>0.48</v>
      </c>
      <c r="AA1980" s="479">
        <f t="shared" si="335"/>
        <v>147456</v>
      </c>
      <c r="AB1980" s="480"/>
      <c r="AC1980" s="481">
        <f t="shared" si="333"/>
        <v>0</v>
      </c>
      <c r="AD1980" s="490"/>
      <c r="AE1980" s="482"/>
      <c r="AF1980" s="493">
        <f t="shared" si="334"/>
        <v>147456</v>
      </c>
      <c r="AG1980" s="474" t="s">
        <v>47</v>
      </c>
      <c r="AH1980" s="474"/>
      <c r="AI1980" s="474">
        <v>45</v>
      </c>
      <c r="AJ1980" s="474" t="s">
        <v>3700</v>
      </c>
      <c r="AK1980" s="474" t="s">
        <v>1117</v>
      </c>
      <c r="AL1980" s="494">
        <v>60517</v>
      </c>
      <c r="AM1980" s="474" t="s">
        <v>52</v>
      </c>
      <c r="AN1980" s="474"/>
      <c r="AO1980" s="474"/>
      <c r="AP1980" s="482"/>
      <c r="AQ1980" s="482" t="s">
        <v>37</v>
      </c>
      <c r="AR1980" s="474"/>
      <c r="AS1980" s="436" t="s">
        <v>1076</v>
      </c>
      <c r="AT1980" s="281" t="s">
        <v>1076</v>
      </c>
      <c r="AU1980" s="472"/>
      <c r="AV1980" s="471">
        <f t="shared" si="336"/>
        <v>0</v>
      </c>
      <c r="AW1980" s="471" cm="1">
        <f t="array" ref="AW1980">SUM(MID(0&amp;AV1980,LARGE(INDEX(ISNUMBER(--MID(AV1980,ROW($1:$8),1))*ROW($1:$8),),ROW($1:$8))+1,1)*10^ROW($1:$8)/10)</f>
        <v>0</v>
      </c>
      <c r="AX1980" s="471" t="e">
        <f>VLOOKUP($AW1980,'Item Master Data'!$A:$F,3,FALSE)</f>
        <v>#N/A</v>
      </c>
      <c r="AY1980" s="471" t="e">
        <f>VLOOKUP($AW1980,'Item Master Data'!$A:$F,6,FALSE)</f>
        <v>#N/A</v>
      </c>
      <c r="AZ1980" s="471" t="e">
        <f t="shared" si="337"/>
        <v>#N/A</v>
      </c>
      <c r="BA1980" s="471" t="e">
        <f>VLOOKUP(AW1980,'Item Master Data'!$A:$G,7,FALSE)</f>
        <v>#N/A</v>
      </c>
      <c r="BC1980" s="471" t="e">
        <f t="shared" si="338"/>
        <v>#N/A</v>
      </c>
    </row>
    <row r="1981" spans="1:55" s="471" customFormat="1" ht="15" customHeight="1">
      <c r="A1981" s="278"/>
      <c r="B1981" s="279"/>
      <c r="C1981" s="279"/>
      <c r="D1981" s="394" t="s">
        <v>3678</v>
      </c>
      <c r="E1981" s="280" t="s">
        <v>5705</v>
      </c>
      <c r="F1981" s="474"/>
      <c r="G1981" s="474">
        <v>2022</v>
      </c>
      <c r="H1981" s="474">
        <v>5</v>
      </c>
      <c r="I1981" s="474"/>
      <c r="J1981" s="475"/>
      <c r="K1981" s="519" t="s">
        <v>3866</v>
      </c>
      <c r="L1981" s="521" t="s">
        <v>3697</v>
      </c>
      <c r="M1981" s="521">
        <v>44656</v>
      </c>
      <c r="N1981" s="521">
        <v>44656</v>
      </c>
      <c r="O1981" s="521"/>
      <c r="P1981" s="521">
        <v>44676</v>
      </c>
      <c r="Q1981" s="521"/>
      <c r="R1981" s="521">
        <v>44685</v>
      </c>
      <c r="S1981" s="519" t="s">
        <v>1102</v>
      </c>
      <c r="T1981" s="519">
        <v>60</v>
      </c>
      <c r="U1981" s="519" t="s">
        <v>1760</v>
      </c>
      <c r="V1981" s="519" t="s">
        <v>973</v>
      </c>
      <c r="W1981" s="522">
        <v>400</v>
      </c>
      <c r="X1981" s="411">
        <v>768</v>
      </c>
      <c r="Y1981" s="470">
        <f t="shared" si="332"/>
        <v>307200</v>
      </c>
      <c r="Z1981" s="478">
        <v>0.48</v>
      </c>
      <c r="AA1981" s="479">
        <f t="shared" si="335"/>
        <v>147456</v>
      </c>
      <c r="AB1981" s="480"/>
      <c r="AC1981" s="481">
        <f t="shared" si="333"/>
        <v>0</v>
      </c>
      <c r="AD1981" s="490"/>
      <c r="AE1981" s="482"/>
      <c r="AF1981" s="493">
        <f t="shared" si="334"/>
        <v>147456</v>
      </c>
      <c r="AG1981" s="474" t="s">
        <v>47</v>
      </c>
      <c r="AH1981" s="474"/>
      <c r="AI1981" s="474">
        <v>45</v>
      </c>
      <c r="AJ1981" s="474" t="s">
        <v>1210</v>
      </c>
      <c r="AK1981" s="474" t="s">
        <v>1096</v>
      </c>
      <c r="AL1981" s="494">
        <v>1501</v>
      </c>
      <c r="AM1981" s="474" t="s">
        <v>52</v>
      </c>
      <c r="AN1981" s="474" t="s">
        <v>50</v>
      </c>
      <c r="AO1981" s="474"/>
      <c r="AP1981" s="482"/>
      <c r="AQ1981" s="482" t="s">
        <v>37</v>
      </c>
      <c r="AR1981" s="474"/>
      <c r="AS1981" s="436" t="s">
        <v>1076</v>
      </c>
      <c r="AT1981" s="281" t="s">
        <v>1076</v>
      </c>
      <c r="AU1981" s="472"/>
      <c r="AV1981" s="471" t="str">
        <f t="shared" si="336"/>
        <v>30390156H</v>
      </c>
      <c r="AW1981" s="471" cm="1">
        <f t="array" ref="AW1981">SUM(MID(0&amp;AV1981,LARGE(INDEX(ISNUMBER(--MID(AV1981,ROW($1:$8),1))*ROW($1:$8),),ROW($1:$8))+1,1)*10^ROW($1:$8)/10)</f>
        <v>30390156</v>
      </c>
      <c r="AX1981" s="471" t="str">
        <f>VLOOKUP($AW1981,'Item Master Data'!$A:$F,3,FALSE)</f>
        <v>Q.PEAK DUO BLK ML G10+</v>
      </c>
      <c r="AY1981" s="471">
        <f>VLOOKUP($AW1981,'Item Master Data'!$A:$F,6,FALSE)</f>
        <v>400</v>
      </c>
      <c r="AZ1981" s="471">
        <f t="shared" si="337"/>
        <v>24</v>
      </c>
      <c r="BA1981" s="471">
        <f>VLOOKUP(AW1981,'Item Master Data'!$A:$G,7,FALSE)</f>
        <v>32</v>
      </c>
      <c r="BC1981" s="471">
        <f t="shared" si="338"/>
        <v>0</v>
      </c>
    </row>
    <row r="1982" spans="1:55" s="471" customFormat="1" ht="15" customHeight="1">
      <c r="A1982" s="278"/>
      <c r="B1982" s="279"/>
      <c r="C1982" s="279"/>
      <c r="D1982" s="394" t="s">
        <v>3678</v>
      </c>
      <c r="E1982" s="280" t="s">
        <v>5705</v>
      </c>
      <c r="F1982" s="474"/>
      <c r="G1982" s="474">
        <v>2022</v>
      </c>
      <c r="H1982" s="474">
        <v>5</v>
      </c>
      <c r="I1982" s="474"/>
      <c r="J1982" s="475"/>
      <c r="K1982" s="519" t="s">
        <v>3980</v>
      </c>
      <c r="L1982" s="521" t="s">
        <v>3697</v>
      </c>
      <c r="M1982" s="521">
        <v>44614</v>
      </c>
      <c r="N1982" s="521"/>
      <c r="O1982" s="521"/>
      <c r="P1982" s="521">
        <v>44676</v>
      </c>
      <c r="Q1982" s="521"/>
      <c r="R1982" s="521">
        <v>44684</v>
      </c>
      <c r="S1982" s="519" t="s">
        <v>1102</v>
      </c>
      <c r="T1982" s="519">
        <v>60</v>
      </c>
      <c r="U1982" s="519" t="s">
        <v>1760</v>
      </c>
      <c r="V1982" s="519" t="s">
        <v>973</v>
      </c>
      <c r="W1982" s="522">
        <v>400</v>
      </c>
      <c r="X1982" s="411">
        <v>768</v>
      </c>
      <c r="Y1982" s="470">
        <f t="shared" si="332"/>
        <v>307200</v>
      </c>
      <c r="Z1982" s="478">
        <v>0.48</v>
      </c>
      <c r="AA1982" s="479">
        <f t="shared" si="335"/>
        <v>147456</v>
      </c>
      <c r="AB1982" s="480"/>
      <c r="AC1982" s="481">
        <f t="shared" si="333"/>
        <v>0</v>
      </c>
      <c r="AD1982" s="490"/>
      <c r="AE1982" s="482"/>
      <c r="AF1982" s="493">
        <f t="shared" si="334"/>
        <v>147456</v>
      </c>
      <c r="AG1982" s="474" t="s">
        <v>47</v>
      </c>
      <c r="AH1982" s="474"/>
      <c r="AI1982" s="474">
        <v>45</v>
      </c>
      <c r="AJ1982" s="474" t="s">
        <v>3700</v>
      </c>
      <c r="AK1982" s="474" t="s">
        <v>1117</v>
      </c>
      <c r="AL1982" s="494">
        <v>60517</v>
      </c>
      <c r="AM1982" s="474" t="s">
        <v>52</v>
      </c>
      <c r="AN1982" s="474" t="s">
        <v>50</v>
      </c>
      <c r="AO1982" s="474"/>
      <c r="AP1982" s="482"/>
      <c r="AQ1982" s="482" t="s">
        <v>37</v>
      </c>
      <c r="AR1982" s="474"/>
      <c r="AS1982" s="436" t="s">
        <v>1076</v>
      </c>
      <c r="AT1982" s="281" t="s">
        <v>1076</v>
      </c>
      <c r="AU1982" s="472"/>
      <c r="AV1982" s="471" t="str">
        <f t="shared" si="336"/>
        <v>30390156H</v>
      </c>
      <c r="AW1982" s="471" cm="1">
        <f t="array" ref="AW1982">SUM(MID(0&amp;AV1982,LARGE(INDEX(ISNUMBER(--MID(AV1982,ROW($1:$8),1))*ROW($1:$8),),ROW($1:$8))+1,1)*10^ROW($1:$8)/10)</f>
        <v>30390156</v>
      </c>
      <c r="AX1982" s="471" t="str">
        <f>VLOOKUP($AW1982,'Item Master Data'!$A:$F,3,FALSE)</f>
        <v>Q.PEAK DUO BLK ML G10+</v>
      </c>
      <c r="AY1982" s="471">
        <f>VLOOKUP($AW1982,'Item Master Data'!$A:$F,6,FALSE)</f>
        <v>400</v>
      </c>
      <c r="AZ1982" s="471">
        <f t="shared" si="337"/>
        <v>24</v>
      </c>
      <c r="BA1982" s="471">
        <f>VLOOKUP(AW1982,'Item Master Data'!$A:$G,7,FALSE)</f>
        <v>32</v>
      </c>
      <c r="BC1982" s="471">
        <f t="shared" si="338"/>
        <v>0</v>
      </c>
    </row>
    <row r="1983" spans="1:55" s="471" customFormat="1" ht="15" customHeight="1">
      <c r="A1983" s="278"/>
      <c r="B1983" s="279"/>
      <c r="C1983" s="279"/>
      <c r="D1983" s="394" t="s">
        <v>3678</v>
      </c>
      <c r="E1983" s="288"/>
      <c r="F1983" s="474"/>
      <c r="G1983" s="474">
        <v>2022</v>
      </c>
      <c r="H1983" s="474">
        <v>5</v>
      </c>
      <c r="I1983" s="474"/>
      <c r="J1983" s="475"/>
      <c r="K1983" s="474">
        <v>1069</v>
      </c>
      <c r="L1983" s="475" t="s">
        <v>3697</v>
      </c>
      <c r="M1983" s="475">
        <v>44551</v>
      </c>
      <c r="N1983" s="475" t="s">
        <v>1588</v>
      </c>
      <c r="O1983" s="475"/>
      <c r="P1983" s="475" t="s">
        <v>3833</v>
      </c>
      <c r="Q1983" s="475"/>
      <c r="R1983" s="475"/>
      <c r="S1983" s="474" t="s">
        <v>1102</v>
      </c>
      <c r="T1983" s="474">
        <v>60</v>
      </c>
      <c r="U1983" s="474"/>
      <c r="V1983" s="474" t="s">
        <v>973</v>
      </c>
      <c r="W1983" s="476">
        <v>400</v>
      </c>
      <c r="X1983" s="402">
        <f>5376</f>
        <v>5376</v>
      </c>
      <c r="Y1983" s="477">
        <f t="shared" si="332"/>
        <v>2150400</v>
      </c>
      <c r="Z1983" s="478">
        <v>0.48</v>
      </c>
      <c r="AA1983" s="479">
        <f t="shared" si="335"/>
        <v>1032192</v>
      </c>
      <c r="AB1983" s="480"/>
      <c r="AC1983" s="481">
        <f t="shared" si="333"/>
        <v>0</v>
      </c>
      <c r="AD1983" s="490"/>
      <c r="AE1983" s="482"/>
      <c r="AF1983" s="493">
        <f t="shared" si="334"/>
        <v>1032192</v>
      </c>
      <c r="AG1983" s="474" t="s">
        <v>47</v>
      </c>
      <c r="AH1983" s="474"/>
      <c r="AI1983" s="474">
        <v>45</v>
      </c>
      <c r="AJ1983" s="474" t="s">
        <v>1109</v>
      </c>
      <c r="AK1983" s="474" t="s">
        <v>1109</v>
      </c>
      <c r="AL1983" s="494" t="s">
        <v>3849</v>
      </c>
      <c r="AM1983" s="474" t="s">
        <v>52</v>
      </c>
      <c r="AN1983" s="474" t="s">
        <v>1074</v>
      </c>
      <c r="AO1983" s="474"/>
      <c r="AP1983" s="482"/>
      <c r="AQ1983" s="482" t="s">
        <v>37</v>
      </c>
      <c r="AR1983" s="474"/>
      <c r="AS1983" s="436" t="s">
        <v>1076</v>
      </c>
      <c r="AT1983" s="281" t="s">
        <v>1076</v>
      </c>
      <c r="AU1983" s="472"/>
      <c r="AV1983" s="471">
        <f t="shared" si="336"/>
        <v>0</v>
      </c>
      <c r="AW1983" s="471" cm="1">
        <f t="array" ref="AW1983">SUM(MID(0&amp;AV1983,LARGE(INDEX(ISNUMBER(--MID(AV1983,ROW($1:$8),1))*ROW($1:$8),),ROW($1:$8))+1,1)*10^ROW($1:$8)/10)</f>
        <v>0</v>
      </c>
      <c r="AX1983" s="471" t="e">
        <f>VLOOKUP($AW1983,'Item Master Data'!$A:$F,3,FALSE)</f>
        <v>#N/A</v>
      </c>
      <c r="AY1983" s="471" t="e">
        <f>VLOOKUP($AW1983,'Item Master Data'!$A:$F,6,FALSE)</f>
        <v>#N/A</v>
      </c>
      <c r="AZ1983" s="471" t="e">
        <f t="shared" si="337"/>
        <v>#N/A</v>
      </c>
      <c r="BA1983" s="471" t="e">
        <f>VLOOKUP(AW1983,'Item Master Data'!$A:$G,7,FALSE)</f>
        <v>#N/A</v>
      </c>
      <c r="BC1983" s="471" t="e">
        <f t="shared" si="338"/>
        <v>#N/A</v>
      </c>
    </row>
    <row r="1984" spans="1:55" s="471" customFormat="1" ht="15" customHeight="1">
      <c r="A1984" s="278"/>
      <c r="B1984" s="279"/>
      <c r="C1984" s="279"/>
      <c r="D1984" s="394" t="s">
        <v>3678</v>
      </c>
      <c r="E1984" s="280" t="s">
        <v>3981</v>
      </c>
      <c r="F1984" s="474" t="s">
        <v>1147</v>
      </c>
      <c r="G1984" s="474">
        <v>2022</v>
      </c>
      <c r="H1984" s="474">
        <v>5</v>
      </c>
      <c r="I1984" s="485"/>
      <c r="J1984" s="475"/>
      <c r="K1984" s="524" t="s">
        <v>5409</v>
      </c>
      <c r="L1984" s="524" t="s">
        <v>1174</v>
      </c>
      <c r="M1984" s="475">
        <v>44505</v>
      </c>
      <c r="N1984" s="475">
        <v>44682</v>
      </c>
      <c r="O1984" s="475" t="s">
        <v>2365</v>
      </c>
      <c r="P1984" s="475" t="s">
        <v>1093</v>
      </c>
      <c r="Q1984" s="475"/>
      <c r="R1984" s="475"/>
      <c r="S1984" s="474" t="s">
        <v>1102</v>
      </c>
      <c r="T1984" s="474">
        <v>60</v>
      </c>
      <c r="U1984" s="474">
        <v>49401140</v>
      </c>
      <c r="V1984" s="474" t="s">
        <v>973</v>
      </c>
      <c r="W1984" s="476">
        <v>400</v>
      </c>
      <c r="X1984" s="402">
        <v>1536</v>
      </c>
      <c r="Y1984" s="491">
        <f t="shared" si="332"/>
        <v>614400</v>
      </c>
      <c r="Z1984" s="478">
        <v>0.55000000000000004</v>
      </c>
      <c r="AA1984" s="492">
        <f t="shared" ref="AA1984:AA2010" si="339">Y1984*Z1984</f>
        <v>337920</v>
      </c>
      <c r="AB1984" s="480"/>
      <c r="AC1984" s="481">
        <v>0</v>
      </c>
      <c r="AD1984" s="490"/>
      <c r="AE1984" s="482"/>
      <c r="AF1984" s="493">
        <f t="shared" si="334"/>
        <v>337920</v>
      </c>
      <c r="AG1984" s="474" t="s">
        <v>1071</v>
      </c>
      <c r="AH1984" s="474"/>
      <c r="AI1984" s="474">
        <v>60</v>
      </c>
      <c r="AJ1984" s="474" t="s">
        <v>1175</v>
      </c>
      <c r="AK1984" s="474" t="s">
        <v>1138</v>
      </c>
      <c r="AL1984" s="494" t="s">
        <v>1176</v>
      </c>
      <c r="AM1984" s="474" t="s">
        <v>52</v>
      </c>
      <c r="AN1984" s="474" t="s">
        <v>1074</v>
      </c>
      <c r="AO1984" s="474"/>
      <c r="AP1984" s="482"/>
      <c r="AQ1984" s="482" t="s">
        <v>37</v>
      </c>
      <c r="AR1984" s="474" t="s">
        <v>3726</v>
      </c>
      <c r="AS1984" s="436"/>
      <c r="AT1984" s="281"/>
      <c r="AU1984" s="472">
        <v>0.5</v>
      </c>
      <c r="AV1984" s="471">
        <f t="shared" si="336"/>
        <v>49401140</v>
      </c>
      <c r="AW1984" s="471" cm="1">
        <f t="array" ref="AW1984">SUM(MID(0&amp;AV1984,LARGE(INDEX(ISNUMBER(--MID(AV1984,ROW($1:$8),1))*ROW($1:$8),),ROW($1:$8))+1,1)*10^ROW($1:$8)/10)</f>
        <v>49401140</v>
      </c>
      <c r="AX1984" s="471" t="str">
        <f>VLOOKUP($AW1984,'Item Master Data'!$A:$F,3,FALSE)</f>
        <v>Q.PEAK DUO BLK ML G10.a+</v>
      </c>
      <c r="AY1984" s="471">
        <f>VLOOKUP($AW1984,'Item Master Data'!$A:$F,6,FALSE)</f>
        <v>400</v>
      </c>
      <c r="AZ1984" s="471">
        <f t="shared" si="337"/>
        <v>48</v>
      </c>
      <c r="BA1984" s="471">
        <f>VLOOKUP(AW1984,'Item Master Data'!$A:$G,7,FALSE)</f>
        <v>32</v>
      </c>
      <c r="BC1984" s="471">
        <f t="shared" si="338"/>
        <v>0</v>
      </c>
    </row>
    <row r="1985" spans="1:55" s="471" customFormat="1" ht="15" customHeight="1">
      <c r="A1985" s="278"/>
      <c r="B1985" s="279"/>
      <c r="C1985" s="279"/>
      <c r="D1985" s="394" t="s">
        <v>3678</v>
      </c>
      <c r="E1985" s="280"/>
      <c r="F1985" s="474"/>
      <c r="G1985" s="474">
        <v>2022</v>
      </c>
      <c r="H1985" s="474">
        <v>5</v>
      </c>
      <c r="I1985" s="485" t="s">
        <v>5547</v>
      </c>
      <c r="J1985" s="475"/>
      <c r="K1985" s="524" t="s">
        <v>3982</v>
      </c>
      <c r="L1985" s="524" t="s">
        <v>1228</v>
      </c>
      <c r="M1985" s="475">
        <v>44531</v>
      </c>
      <c r="N1985" s="475">
        <v>44680</v>
      </c>
      <c r="O1985" s="475"/>
      <c r="P1985" s="475"/>
      <c r="Q1985" s="475"/>
      <c r="R1985" s="475"/>
      <c r="S1985" s="474" t="s">
        <v>1102</v>
      </c>
      <c r="T1985" s="474">
        <v>60</v>
      </c>
      <c r="U1985" s="474">
        <v>49201132</v>
      </c>
      <c r="V1985" s="474" t="s">
        <v>986</v>
      </c>
      <c r="W1985" s="476">
        <v>360</v>
      </c>
      <c r="X1985" s="411">
        <v>896</v>
      </c>
      <c r="Y1985" s="491">
        <f t="shared" si="332"/>
        <v>322560</v>
      </c>
      <c r="Z1985" s="478">
        <v>0.49</v>
      </c>
      <c r="AA1985" s="583">
        <f t="shared" si="339"/>
        <v>158054.39999999999</v>
      </c>
      <c r="AB1985" s="480"/>
      <c r="AC1985" s="481">
        <v>0</v>
      </c>
      <c r="AD1985" s="490"/>
      <c r="AE1985" s="482"/>
      <c r="AF1985" s="493">
        <f t="shared" si="334"/>
        <v>158054.39999999999</v>
      </c>
      <c r="AG1985" s="474" t="s">
        <v>1071</v>
      </c>
      <c r="AH1985" s="474"/>
      <c r="AI1985" s="474">
        <v>60</v>
      </c>
      <c r="AJ1985" s="474" t="s">
        <v>1233</v>
      </c>
      <c r="AK1985" s="474" t="s">
        <v>1190</v>
      </c>
      <c r="AL1985" s="494" t="s">
        <v>1234</v>
      </c>
      <c r="AM1985" s="474" t="s">
        <v>52</v>
      </c>
      <c r="AN1985" s="474" t="s">
        <v>1085</v>
      </c>
      <c r="AO1985" s="474"/>
      <c r="AP1985" s="482" t="s">
        <v>38</v>
      </c>
      <c r="AQ1985" s="482" t="s">
        <v>37</v>
      </c>
      <c r="AR1985" s="474"/>
      <c r="AS1985" s="436"/>
      <c r="AT1985" s="281"/>
      <c r="AU1985" s="472"/>
      <c r="AV1985" s="471">
        <f t="shared" si="336"/>
        <v>49201132</v>
      </c>
      <c r="AW1985" s="471" cm="1">
        <f t="array" ref="AW1985">SUM(MID(0&amp;AV1985,LARGE(INDEX(ISNUMBER(--MID(AV1985,ROW($1:$8),1))*ROW($1:$8),),ROW($1:$8))+1,1)*10^ROW($1:$8)/10)</f>
        <v>49201132</v>
      </c>
      <c r="AX1985" s="471" t="str">
        <f>VLOOKUP($AW1985,'Item Master Data'!$A:$F,3,FALSE)</f>
        <v>Q.PEAK DUO BLK G10+</v>
      </c>
      <c r="AY1985" s="471">
        <f>VLOOKUP($AW1985,'Item Master Data'!$A:$F,6,FALSE)</f>
        <v>360</v>
      </c>
      <c r="AZ1985" s="471">
        <f t="shared" si="337"/>
        <v>28</v>
      </c>
      <c r="BA1985" s="471">
        <f>VLOOKUP(AW1985,'Item Master Data'!$A:$G,7,FALSE)</f>
        <v>32</v>
      </c>
      <c r="BC1985" s="471">
        <f t="shared" si="338"/>
        <v>0</v>
      </c>
    </row>
    <row r="1986" spans="1:55" s="471" customFormat="1" ht="15" customHeight="1">
      <c r="A1986" s="278"/>
      <c r="B1986" s="279"/>
      <c r="C1986" s="279"/>
      <c r="D1986" s="394" t="s">
        <v>3678</v>
      </c>
      <c r="E1986" s="280" t="s">
        <v>5811</v>
      </c>
      <c r="F1986" s="474" t="s">
        <v>1147</v>
      </c>
      <c r="G1986" s="474">
        <v>2022</v>
      </c>
      <c r="H1986" s="474">
        <v>5</v>
      </c>
      <c r="I1986" s="485"/>
      <c r="J1986" s="475"/>
      <c r="K1986" s="290" t="s">
        <v>3983</v>
      </c>
      <c r="L1986" s="290" t="s">
        <v>1228</v>
      </c>
      <c r="M1986" s="475">
        <v>44503</v>
      </c>
      <c r="N1986" s="475">
        <v>44607</v>
      </c>
      <c r="O1986" s="475">
        <v>44683</v>
      </c>
      <c r="P1986" s="475">
        <v>44680</v>
      </c>
      <c r="Q1986" s="475"/>
      <c r="R1986" s="475"/>
      <c r="S1986" s="474" t="s">
        <v>1102</v>
      </c>
      <c r="T1986" s="474">
        <v>60</v>
      </c>
      <c r="U1986" s="474" t="s">
        <v>1281</v>
      </c>
      <c r="V1986" s="474" t="s">
        <v>973</v>
      </c>
      <c r="W1986" s="476">
        <v>400</v>
      </c>
      <c r="X1986" s="402">
        <v>768</v>
      </c>
      <c r="Y1986" s="491">
        <f t="shared" si="332"/>
        <v>307200</v>
      </c>
      <c r="Z1986" s="478">
        <v>0.55000000000000004</v>
      </c>
      <c r="AA1986" s="583">
        <f t="shared" si="339"/>
        <v>168960</v>
      </c>
      <c r="AB1986" s="480"/>
      <c r="AC1986" s="481">
        <f>AB1986*Y1986</f>
        <v>0</v>
      </c>
      <c r="AD1986" s="490"/>
      <c r="AE1986" s="482"/>
      <c r="AF1986" s="493">
        <f t="shared" si="334"/>
        <v>168960</v>
      </c>
      <c r="AG1986" s="474" t="s">
        <v>1071</v>
      </c>
      <c r="AH1986" s="474"/>
      <c r="AI1986" s="474">
        <v>60</v>
      </c>
      <c r="AJ1986" s="474" t="s">
        <v>3735</v>
      </c>
      <c r="AK1986" s="474" t="s">
        <v>1190</v>
      </c>
      <c r="AL1986" s="494">
        <v>6492</v>
      </c>
      <c r="AM1986" s="474" t="s">
        <v>52</v>
      </c>
      <c r="AN1986" s="474" t="s">
        <v>1085</v>
      </c>
      <c r="AO1986" s="474"/>
      <c r="AP1986" s="482" t="s">
        <v>92</v>
      </c>
      <c r="AQ1986" s="482" t="s">
        <v>37</v>
      </c>
      <c r="AR1986" s="474"/>
      <c r="AS1986" s="436" t="s">
        <v>1076</v>
      </c>
      <c r="AT1986" s="281" t="s">
        <v>1076</v>
      </c>
      <c r="AU1986" s="472">
        <v>0.46500000000000002</v>
      </c>
      <c r="AV1986" s="471" t="str">
        <f t="shared" si="336"/>
        <v>30390456H</v>
      </c>
      <c r="AW1986" s="471" cm="1">
        <f t="array" ref="AW1986">SUM(MID(0&amp;AV1986,LARGE(INDEX(ISNUMBER(--MID(AV1986,ROW($1:$8),1))*ROW($1:$8),),ROW($1:$8))+1,1)*10^ROW($1:$8)/10)</f>
        <v>30390456</v>
      </c>
      <c r="AX1986" s="471" t="str">
        <f>VLOOKUP($AW1986,'Item Master Data'!$A:$F,3,FALSE)</f>
        <v>Q.PEAK DUO BLK ML G10+</v>
      </c>
      <c r="AY1986" s="471">
        <f>VLOOKUP($AW1986,'Item Master Data'!$A:$F,6,FALSE)</f>
        <v>400</v>
      </c>
      <c r="AZ1986" s="471">
        <f t="shared" si="337"/>
        <v>24</v>
      </c>
      <c r="BA1986" s="471">
        <f>VLOOKUP(AW1986,'Item Master Data'!$A:$G,7,FALSE)</f>
        <v>32</v>
      </c>
      <c r="BC1986" s="471">
        <f t="shared" si="338"/>
        <v>0</v>
      </c>
    </row>
    <row r="1987" spans="1:55" s="471" customFormat="1" ht="15" customHeight="1">
      <c r="A1987" s="278"/>
      <c r="B1987" s="279"/>
      <c r="C1987" s="279"/>
      <c r="D1987" s="394" t="s">
        <v>3678</v>
      </c>
      <c r="E1987" s="280" t="s">
        <v>5811</v>
      </c>
      <c r="F1987" s="474"/>
      <c r="G1987" s="474">
        <v>2022</v>
      </c>
      <c r="H1987" s="474">
        <v>5</v>
      </c>
      <c r="I1987" s="485"/>
      <c r="J1987" s="475"/>
      <c r="K1987" s="290" t="s">
        <v>3984</v>
      </c>
      <c r="L1987" s="290" t="s">
        <v>1228</v>
      </c>
      <c r="M1987" s="475">
        <v>44518</v>
      </c>
      <c r="N1987" s="475">
        <v>44704</v>
      </c>
      <c r="O1987" s="475">
        <v>44683</v>
      </c>
      <c r="P1987" s="475">
        <v>44680</v>
      </c>
      <c r="Q1987" s="475"/>
      <c r="R1987" s="475"/>
      <c r="S1987" s="474" t="s">
        <v>1102</v>
      </c>
      <c r="T1987" s="474">
        <v>60</v>
      </c>
      <c r="U1987" s="474" t="s">
        <v>1281</v>
      </c>
      <c r="V1987" s="474" t="s">
        <v>973</v>
      </c>
      <c r="W1987" s="476">
        <v>400</v>
      </c>
      <c r="X1987" s="402">
        <v>768</v>
      </c>
      <c r="Y1987" s="491">
        <f t="shared" si="332"/>
        <v>307200</v>
      </c>
      <c r="Z1987" s="478">
        <v>0.55000000000000004</v>
      </c>
      <c r="AA1987" s="583">
        <f t="shared" si="339"/>
        <v>168960</v>
      </c>
      <c r="AB1987" s="480"/>
      <c r="AC1987" s="481">
        <f>AB1987*Y1987</f>
        <v>0</v>
      </c>
      <c r="AD1987" s="490"/>
      <c r="AE1987" s="482"/>
      <c r="AF1987" s="493">
        <f t="shared" si="334"/>
        <v>168960</v>
      </c>
      <c r="AG1987" s="474" t="s">
        <v>1071</v>
      </c>
      <c r="AH1987" s="474"/>
      <c r="AI1987" s="474">
        <v>60</v>
      </c>
      <c r="AJ1987" s="474" t="s">
        <v>3735</v>
      </c>
      <c r="AK1987" s="474" t="s">
        <v>1190</v>
      </c>
      <c r="AL1987" s="494">
        <v>6492</v>
      </c>
      <c r="AM1987" s="474" t="s">
        <v>52</v>
      </c>
      <c r="AN1987" s="474" t="s">
        <v>1085</v>
      </c>
      <c r="AO1987" s="474"/>
      <c r="AP1987" s="482" t="s">
        <v>92</v>
      </c>
      <c r="AQ1987" s="482" t="s">
        <v>37</v>
      </c>
      <c r="AR1987" s="474"/>
      <c r="AS1987" s="436" t="s">
        <v>1076</v>
      </c>
      <c r="AT1987" s="281" t="s">
        <v>1076</v>
      </c>
      <c r="AU1987" s="472">
        <v>0.52</v>
      </c>
      <c r="AV1987" s="471" t="str">
        <f t="shared" si="336"/>
        <v>30390456H</v>
      </c>
      <c r="AW1987" s="471" cm="1">
        <f t="array" ref="AW1987">SUM(MID(0&amp;AV1987,LARGE(INDEX(ISNUMBER(--MID(AV1987,ROW($1:$8),1))*ROW($1:$8),),ROW($1:$8))+1,1)*10^ROW($1:$8)/10)</f>
        <v>30390456</v>
      </c>
      <c r="AX1987" s="471" t="str">
        <f>VLOOKUP($AW1987,'Item Master Data'!$A:$F,3,FALSE)</f>
        <v>Q.PEAK DUO BLK ML G10+</v>
      </c>
      <c r="AY1987" s="471">
        <f>VLOOKUP($AW1987,'Item Master Data'!$A:$F,6,FALSE)</f>
        <v>400</v>
      </c>
      <c r="AZ1987" s="471">
        <f t="shared" si="337"/>
        <v>24</v>
      </c>
      <c r="BA1987" s="471">
        <f>VLOOKUP(AW1987,'Item Master Data'!$A:$G,7,FALSE)</f>
        <v>32</v>
      </c>
      <c r="BC1987" s="471">
        <f t="shared" si="338"/>
        <v>0</v>
      </c>
    </row>
    <row r="1988" spans="1:55" s="471" customFormat="1" ht="15" customHeight="1">
      <c r="A1988" s="278"/>
      <c r="B1988" s="279"/>
      <c r="C1988" s="279"/>
      <c r="D1988" s="394" t="s">
        <v>3678</v>
      </c>
      <c r="E1988" s="280"/>
      <c r="F1988" s="474"/>
      <c r="G1988" s="474">
        <v>2022</v>
      </c>
      <c r="H1988" s="474">
        <v>5</v>
      </c>
      <c r="I1988" s="485"/>
      <c r="J1988" s="475"/>
      <c r="K1988" s="524" t="s">
        <v>3985</v>
      </c>
      <c r="L1988" s="524" t="s">
        <v>1295</v>
      </c>
      <c r="M1988" s="475">
        <v>44522</v>
      </c>
      <c r="N1988" s="475">
        <v>44599</v>
      </c>
      <c r="O1988" s="475"/>
      <c r="P1988" s="475"/>
      <c r="Q1988" s="475"/>
      <c r="R1988" s="475"/>
      <c r="S1988" s="474" t="s">
        <v>1102</v>
      </c>
      <c r="T1988" s="474">
        <v>60</v>
      </c>
      <c r="U1988" s="474" t="s">
        <v>2315</v>
      </c>
      <c r="V1988" s="474" t="s">
        <v>986</v>
      </c>
      <c r="W1988" s="476">
        <v>360</v>
      </c>
      <c r="X1988" s="402">
        <v>832</v>
      </c>
      <c r="Y1988" s="491">
        <f t="shared" si="332"/>
        <v>299520</v>
      </c>
      <c r="Z1988" s="478">
        <v>0.5</v>
      </c>
      <c r="AA1988" s="583">
        <f t="shared" si="339"/>
        <v>149760</v>
      </c>
      <c r="AB1988" s="480"/>
      <c r="AC1988" s="481">
        <v>0</v>
      </c>
      <c r="AD1988" s="490"/>
      <c r="AE1988" s="482"/>
      <c r="AF1988" s="493">
        <f t="shared" si="334"/>
        <v>149760</v>
      </c>
      <c r="AG1988" s="474" t="s">
        <v>1071</v>
      </c>
      <c r="AH1988" s="474"/>
      <c r="AI1988" s="474">
        <v>60</v>
      </c>
      <c r="AJ1988" s="474" t="s">
        <v>1296</v>
      </c>
      <c r="AK1988" s="474" t="s">
        <v>1297</v>
      </c>
      <c r="AL1988" s="494" t="s">
        <v>1298</v>
      </c>
      <c r="AM1988" s="474" t="s">
        <v>52</v>
      </c>
      <c r="AN1988" s="474" t="s">
        <v>1074</v>
      </c>
      <c r="AO1988" s="474"/>
      <c r="AP1988" s="482"/>
      <c r="AQ1988" s="482" t="s">
        <v>37</v>
      </c>
      <c r="AR1988" s="474"/>
      <c r="AS1988" s="436"/>
      <c r="AT1988" s="281"/>
      <c r="AU1988" s="472"/>
      <c r="AV1988" s="471" t="str">
        <f t="shared" si="336"/>
        <v>30390156F</v>
      </c>
      <c r="AW1988" s="471" cm="1">
        <f t="array" ref="AW1988">SUM(MID(0&amp;AV1988,LARGE(INDEX(ISNUMBER(--MID(AV1988,ROW($1:$8),1))*ROW($1:$8),),ROW($1:$8))+1,1)*10^ROW($1:$8)/10)</f>
        <v>30390156</v>
      </c>
      <c r="AX1988" s="471" t="str">
        <f>VLOOKUP($AW1988,'Item Master Data'!$A:$F,3,FALSE)</f>
        <v>Q.PEAK DUO BLK ML G10+</v>
      </c>
      <c r="AY1988" s="471">
        <f>VLOOKUP($AW1988,'Item Master Data'!$A:$F,6,FALSE)</f>
        <v>400</v>
      </c>
      <c r="AZ1988" s="471">
        <f t="shared" si="337"/>
        <v>26</v>
      </c>
      <c r="BA1988" s="471">
        <f>VLOOKUP(AW1988,'Item Master Data'!$A:$G,7,FALSE)</f>
        <v>32</v>
      </c>
      <c r="BC1988" s="471">
        <f t="shared" si="338"/>
        <v>-40</v>
      </c>
    </row>
    <row r="1989" spans="1:55" s="471" customFormat="1" ht="15" customHeight="1">
      <c r="A1989" s="278"/>
      <c r="B1989" s="279"/>
      <c r="C1989" s="279"/>
      <c r="D1989" s="394" t="s">
        <v>3678</v>
      </c>
      <c r="E1989" s="280"/>
      <c r="F1989" s="474"/>
      <c r="G1989" s="474">
        <v>2022</v>
      </c>
      <c r="H1989" s="474">
        <v>5</v>
      </c>
      <c r="I1989" s="485"/>
      <c r="J1989" s="475"/>
      <c r="K1989" s="524" t="s">
        <v>3986</v>
      </c>
      <c r="L1989" s="524" t="s">
        <v>1309</v>
      </c>
      <c r="M1989" s="475">
        <v>44477</v>
      </c>
      <c r="N1989" s="475">
        <v>44655</v>
      </c>
      <c r="O1989" s="475"/>
      <c r="P1989" s="475"/>
      <c r="Q1989" s="475"/>
      <c r="R1989" s="475"/>
      <c r="S1989" s="474" t="s">
        <v>1102</v>
      </c>
      <c r="T1989" s="474">
        <v>60</v>
      </c>
      <c r="U1989" s="474">
        <v>49201132</v>
      </c>
      <c r="V1989" s="474" t="s">
        <v>986</v>
      </c>
      <c r="W1989" s="476">
        <v>360</v>
      </c>
      <c r="X1989" s="402">
        <v>1664</v>
      </c>
      <c r="Y1989" s="491">
        <f t="shared" si="332"/>
        <v>599040</v>
      </c>
      <c r="Z1989" s="478">
        <v>0.5</v>
      </c>
      <c r="AA1989" s="583">
        <f t="shared" si="339"/>
        <v>299520</v>
      </c>
      <c r="AB1989" s="480"/>
      <c r="AC1989" s="481">
        <v>0</v>
      </c>
      <c r="AD1989" s="490"/>
      <c r="AE1989" s="482"/>
      <c r="AF1989" s="493">
        <f t="shared" si="334"/>
        <v>299520</v>
      </c>
      <c r="AG1989" s="474" t="s">
        <v>1071</v>
      </c>
      <c r="AH1989" s="474"/>
      <c r="AI1989" s="474">
        <v>60</v>
      </c>
      <c r="AJ1989" s="474" t="s">
        <v>1194</v>
      </c>
      <c r="AK1989" s="474" t="s">
        <v>1073</v>
      </c>
      <c r="AL1989" s="494">
        <v>21046</v>
      </c>
      <c r="AM1989" s="474" t="s">
        <v>52</v>
      </c>
      <c r="AN1989" s="474" t="s">
        <v>1074</v>
      </c>
      <c r="AO1989" s="474"/>
      <c r="AP1989" s="482"/>
      <c r="AQ1989" s="482"/>
      <c r="AR1989" s="474"/>
      <c r="AS1989" s="436"/>
      <c r="AT1989" s="281" t="s">
        <v>1076</v>
      </c>
      <c r="AU1989" s="472"/>
      <c r="AV1989" s="471">
        <f t="shared" si="336"/>
        <v>49201132</v>
      </c>
      <c r="AW1989" s="471" cm="1">
        <f t="array" ref="AW1989">SUM(MID(0&amp;AV1989,LARGE(INDEX(ISNUMBER(--MID(AV1989,ROW($1:$8),1))*ROW($1:$8),),ROW($1:$8))+1,1)*10^ROW($1:$8)/10)</f>
        <v>49201132</v>
      </c>
      <c r="AX1989" s="471" t="str">
        <f>VLOOKUP($AW1989,'Item Master Data'!$A:$F,3,FALSE)</f>
        <v>Q.PEAK DUO BLK G10+</v>
      </c>
      <c r="AY1989" s="471">
        <f>VLOOKUP($AW1989,'Item Master Data'!$A:$F,6,FALSE)</f>
        <v>360</v>
      </c>
      <c r="AZ1989" s="471">
        <f t="shared" si="337"/>
        <v>52</v>
      </c>
      <c r="BA1989" s="471">
        <f>VLOOKUP(AW1989,'Item Master Data'!$A:$G,7,FALSE)</f>
        <v>32</v>
      </c>
      <c r="BC1989" s="471">
        <f t="shared" si="338"/>
        <v>0</v>
      </c>
    </row>
    <row r="1990" spans="1:55" s="471" customFormat="1" ht="15" customHeight="1">
      <c r="A1990" s="278"/>
      <c r="B1990" s="279"/>
      <c r="C1990" s="279"/>
      <c r="D1990" s="394" t="s">
        <v>3678</v>
      </c>
      <c r="E1990" s="280" t="s">
        <v>5702</v>
      </c>
      <c r="F1990" s="485"/>
      <c r="G1990" s="474">
        <v>2022</v>
      </c>
      <c r="H1990" s="474">
        <v>5</v>
      </c>
      <c r="I1990" s="485"/>
      <c r="J1990" s="475"/>
      <c r="K1990" s="474" t="s">
        <v>5703</v>
      </c>
      <c r="L1990" s="474" t="s">
        <v>1340</v>
      </c>
      <c r="M1990" s="475">
        <v>44504</v>
      </c>
      <c r="N1990" s="475">
        <v>44621</v>
      </c>
      <c r="O1990" s="475"/>
      <c r="P1990" s="475"/>
      <c r="Q1990" s="475"/>
      <c r="R1990" s="475"/>
      <c r="S1990" s="474" t="s">
        <v>1102</v>
      </c>
      <c r="T1990" s="474">
        <v>60</v>
      </c>
      <c r="U1990" s="474"/>
      <c r="V1990" s="474" t="s">
        <v>986</v>
      </c>
      <c r="W1990" s="476">
        <v>360</v>
      </c>
      <c r="X1990" s="402">
        <v>2496</v>
      </c>
      <c r="Y1990" s="491">
        <f t="shared" si="332"/>
        <v>898560</v>
      </c>
      <c r="Z1990" s="478">
        <v>0.53</v>
      </c>
      <c r="AA1990" s="583">
        <f t="shared" si="339"/>
        <v>476236.80000000005</v>
      </c>
      <c r="AB1990" s="480"/>
      <c r="AC1990" s="481">
        <v>0</v>
      </c>
      <c r="AD1990" s="490"/>
      <c r="AE1990" s="482"/>
      <c r="AF1990" s="493">
        <f t="shared" si="334"/>
        <v>476236.80000000005</v>
      </c>
      <c r="AG1990" s="474" t="s">
        <v>1071</v>
      </c>
      <c r="AH1990" s="474"/>
      <c r="AI1990" s="474">
        <v>60</v>
      </c>
      <c r="AJ1990" s="474" t="s">
        <v>1342</v>
      </c>
      <c r="AK1990" s="474" t="s">
        <v>1085</v>
      </c>
      <c r="AL1990" s="494">
        <v>8110</v>
      </c>
      <c r="AM1990" s="474" t="s">
        <v>52</v>
      </c>
      <c r="AN1990" s="474"/>
      <c r="AO1990" s="474"/>
      <c r="AP1990" s="482"/>
      <c r="AQ1990" s="482"/>
      <c r="AR1990" s="474"/>
      <c r="AS1990" s="436"/>
      <c r="AT1990" s="281" t="s">
        <v>1076</v>
      </c>
      <c r="AU1990" s="472"/>
      <c r="AV1990" s="471">
        <f t="shared" si="336"/>
        <v>0</v>
      </c>
      <c r="AW1990" s="471" cm="1">
        <f t="array" ref="AW1990">SUM(MID(0&amp;AV1990,LARGE(INDEX(ISNUMBER(--MID(AV1990,ROW($1:$8),1))*ROW($1:$8),),ROW($1:$8))+1,1)*10^ROW($1:$8)/10)</f>
        <v>0</v>
      </c>
      <c r="AX1990" s="471" t="e">
        <f>VLOOKUP($AW1990,'Item Master Data'!$A:$F,3,FALSE)</f>
        <v>#N/A</v>
      </c>
      <c r="AY1990" s="471" t="e">
        <f>VLOOKUP($AW1990,'Item Master Data'!$A:$F,6,FALSE)</f>
        <v>#N/A</v>
      </c>
      <c r="AZ1990" s="471" t="e">
        <f t="shared" si="337"/>
        <v>#N/A</v>
      </c>
      <c r="BA1990" s="471" t="e">
        <f>VLOOKUP(AW1990,'Item Master Data'!$A:$G,7,FALSE)</f>
        <v>#N/A</v>
      </c>
      <c r="BC1990" s="471" t="e">
        <f t="shared" si="338"/>
        <v>#N/A</v>
      </c>
    </row>
    <row r="1991" spans="1:55" s="471" customFormat="1" ht="15" customHeight="1">
      <c r="A1991" s="278"/>
      <c r="B1991" s="279"/>
      <c r="C1991" s="279"/>
      <c r="D1991" s="394" t="s">
        <v>3678</v>
      </c>
      <c r="E1991" s="280" t="s">
        <v>5559</v>
      </c>
      <c r="F1991" s="474" t="s">
        <v>1147</v>
      </c>
      <c r="G1991" s="474">
        <v>2022</v>
      </c>
      <c r="H1991" s="474">
        <v>5</v>
      </c>
      <c r="I1991" s="485"/>
      <c r="J1991" s="475"/>
      <c r="K1991" s="474" t="s">
        <v>3892</v>
      </c>
      <c r="L1991" s="474" t="s">
        <v>1340</v>
      </c>
      <c r="M1991" s="475">
        <v>44504</v>
      </c>
      <c r="N1991" s="475">
        <v>44652</v>
      </c>
      <c r="O1991" s="475"/>
      <c r="P1991" s="475"/>
      <c r="Q1991" s="475"/>
      <c r="R1991" s="475"/>
      <c r="S1991" s="474" t="s">
        <v>1102</v>
      </c>
      <c r="T1991" s="474">
        <v>60</v>
      </c>
      <c r="U1991" s="474"/>
      <c r="V1991" s="474" t="s">
        <v>986</v>
      </c>
      <c r="W1991" s="476">
        <v>360</v>
      </c>
      <c r="X1991" s="402">
        <v>4160</v>
      </c>
      <c r="Y1991" s="470">
        <f t="shared" si="332"/>
        <v>1497600</v>
      </c>
      <c r="Z1991" s="478">
        <v>0.53</v>
      </c>
      <c r="AA1991" s="583">
        <f t="shared" si="339"/>
        <v>793728</v>
      </c>
      <c r="AB1991" s="480"/>
      <c r="AC1991" s="481">
        <v>0</v>
      </c>
      <c r="AD1991" s="490"/>
      <c r="AE1991" s="482"/>
      <c r="AF1991" s="493">
        <f t="shared" si="334"/>
        <v>793728</v>
      </c>
      <c r="AG1991" s="474" t="s">
        <v>1071</v>
      </c>
      <c r="AH1991" s="474"/>
      <c r="AI1991" s="474">
        <v>60</v>
      </c>
      <c r="AJ1991" s="474" t="s">
        <v>1342</v>
      </c>
      <c r="AK1991" s="474" t="s">
        <v>1085</v>
      </c>
      <c r="AL1991" s="494">
        <v>8110</v>
      </c>
      <c r="AM1991" s="474" t="s">
        <v>52</v>
      </c>
      <c r="AN1991" s="474"/>
      <c r="AO1991" s="474"/>
      <c r="AP1991" s="482"/>
      <c r="AQ1991" s="482"/>
      <c r="AR1991" s="474"/>
      <c r="AS1991" s="436"/>
      <c r="AT1991" s="281" t="s">
        <v>1076</v>
      </c>
      <c r="AU1991" s="472"/>
      <c r="AV1991" s="471">
        <f t="shared" si="336"/>
        <v>0</v>
      </c>
      <c r="AW1991" s="471" cm="1">
        <f t="array" ref="AW1991">SUM(MID(0&amp;AV1991,LARGE(INDEX(ISNUMBER(--MID(AV1991,ROW($1:$8),1))*ROW($1:$8),),ROW($1:$8))+1,1)*10^ROW($1:$8)/10)</f>
        <v>0</v>
      </c>
      <c r="AX1991" s="471" t="e">
        <f>VLOOKUP($AW1991,'Item Master Data'!$A:$F,3,FALSE)</f>
        <v>#N/A</v>
      </c>
      <c r="AY1991" s="471" t="e">
        <f>VLOOKUP($AW1991,'Item Master Data'!$A:$F,6,FALSE)</f>
        <v>#N/A</v>
      </c>
      <c r="AZ1991" s="471" t="e">
        <f t="shared" si="337"/>
        <v>#N/A</v>
      </c>
      <c r="BA1991" s="471" t="e">
        <f>VLOOKUP(AW1991,'Item Master Data'!$A:$G,7,FALSE)</f>
        <v>#N/A</v>
      </c>
      <c r="BC1991" s="471" t="e">
        <f t="shared" si="338"/>
        <v>#N/A</v>
      </c>
    </row>
    <row r="1992" spans="1:55" s="471" customFormat="1" ht="15" customHeight="1">
      <c r="A1992" s="278"/>
      <c r="B1992" s="279"/>
      <c r="C1992" s="279"/>
      <c r="D1992" s="394" t="s">
        <v>3678</v>
      </c>
      <c r="E1992" s="280" t="s">
        <v>3987</v>
      </c>
      <c r="F1992" s="485" t="s">
        <v>1147</v>
      </c>
      <c r="G1992" s="474">
        <v>2022</v>
      </c>
      <c r="H1992" s="474">
        <v>5</v>
      </c>
      <c r="I1992" s="485"/>
      <c r="J1992" s="475"/>
      <c r="K1992" s="526" t="s">
        <v>3988</v>
      </c>
      <c r="L1992" s="526" t="s">
        <v>1340</v>
      </c>
      <c r="M1992" s="475">
        <v>44475</v>
      </c>
      <c r="N1992" s="475">
        <v>44522</v>
      </c>
      <c r="O1992" s="475" t="s">
        <v>1280</v>
      </c>
      <c r="P1992" s="475" t="s">
        <v>2531</v>
      </c>
      <c r="Q1992" s="475"/>
      <c r="R1992" s="475"/>
      <c r="S1992" s="474" t="s">
        <v>1102</v>
      </c>
      <c r="T1992" s="474">
        <v>60</v>
      </c>
      <c r="U1992" s="474"/>
      <c r="V1992" s="474" t="s">
        <v>973</v>
      </c>
      <c r="W1992" s="476">
        <v>400</v>
      </c>
      <c r="X1992" s="402">
        <v>768</v>
      </c>
      <c r="Y1992" s="491">
        <f t="shared" si="332"/>
        <v>307200</v>
      </c>
      <c r="Z1992" s="478">
        <v>0.55000000000000004</v>
      </c>
      <c r="AA1992" s="583">
        <f t="shared" si="339"/>
        <v>168960</v>
      </c>
      <c r="AB1992" s="480"/>
      <c r="AC1992" s="481">
        <v>0</v>
      </c>
      <c r="AD1992" s="490"/>
      <c r="AE1992" s="482"/>
      <c r="AF1992" s="493">
        <f t="shared" si="334"/>
        <v>168960</v>
      </c>
      <c r="AG1992" s="474" t="s">
        <v>1071</v>
      </c>
      <c r="AH1992" s="474"/>
      <c r="AI1992" s="474">
        <v>60</v>
      </c>
      <c r="AJ1992" s="474" t="s">
        <v>1342</v>
      </c>
      <c r="AK1992" s="474" t="s">
        <v>1085</v>
      </c>
      <c r="AL1992" s="494">
        <v>8110</v>
      </c>
      <c r="AM1992" s="474" t="s">
        <v>52</v>
      </c>
      <c r="AN1992" s="474"/>
      <c r="AO1992" s="474"/>
      <c r="AP1992" s="482"/>
      <c r="AQ1992" s="482" t="s">
        <v>37</v>
      </c>
      <c r="AR1992" s="474"/>
      <c r="AS1992" s="436"/>
      <c r="AT1992" s="281"/>
      <c r="AU1992" s="472"/>
      <c r="AV1992" s="471">
        <f t="shared" si="336"/>
        <v>0</v>
      </c>
      <c r="AW1992" s="471" cm="1">
        <f t="array" ref="AW1992">SUM(MID(0&amp;AV1992,LARGE(INDEX(ISNUMBER(--MID(AV1992,ROW($1:$8),1))*ROW($1:$8),),ROW($1:$8))+1,1)*10^ROW($1:$8)/10)</f>
        <v>0</v>
      </c>
      <c r="AX1992" s="471" t="e">
        <f>VLOOKUP($AW1992,'Item Master Data'!$A:$F,3,FALSE)</f>
        <v>#N/A</v>
      </c>
      <c r="AY1992" s="471" t="e">
        <f>VLOOKUP($AW1992,'Item Master Data'!$A:$F,6,FALSE)</f>
        <v>#N/A</v>
      </c>
      <c r="AZ1992" s="471" t="e">
        <f t="shared" si="337"/>
        <v>#N/A</v>
      </c>
      <c r="BA1992" s="471" t="e">
        <f>VLOOKUP(AW1992,'Item Master Data'!$A:$G,7,FALSE)</f>
        <v>#N/A</v>
      </c>
      <c r="BC1992" s="471" t="e">
        <f t="shared" si="338"/>
        <v>#N/A</v>
      </c>
    </row>
    <row r="1993" spans="1:55" s="471" customFormat="1" ht="15" customHeight="1">
      <c r="A1993" s="278"/>
      <c r="B1993" s="279"/>
      <c r="C1993" s="279"/>
      <c r="D1993" s="394" t="s">
        <v>3678</v>
      </c>
      <c r="E1993" s="280"/>
      <c r="F1993" s="474" t="s">
        <v>1147</v>
      </c>
      <c r="G1993" s="474">
        <v>2022</v>
      </c>
      <c r="H1993" s="474">
        <v>5</v>
      </c>
      <c r="I1993" s="485"/>
      <c r="J1993" s="475"/>
      <c r="K1993" s="474" t="s">
        <v>3893</v>
      </c>
      <c r="L1993" s="474" t="s">
        <v>1340</v>
      </c>
      <c r="M1993" s="475">
        <v>44504</v>
      </c>
      <c r="N1993" s="475">
        <v>44652</v>
      </c>
      <c r="O1993" s="475"/>
      <c r="P1993" s="475"/>
      <c r="Q1993" s="475"/>
      <c r="R1993" s="475"/>
      <c r="S1993" s="474" t="s">
        <v>1102</v>
      </c>
      <c r="T1993" s="474">
        <v>60</v>
      </c>
      <c r="U1993" s="474"/>
      <c r="V1993" s="474" t="s">
        <v>986</v>
      </c>
      <c r="W1993" s="476">
        <v>360</v>
      </c>
      <c r="X1993" s="402">
        <v>832</v>
      </c>
      <c r="Y1993" s="491">
        <f t="shared" si="332"/>
        <v>299520</v>
      </c>
      <c r="Z1993" s="478">
        <v>0.5</v>
      </c>
      <c r="AA1993" s="583">
        <f t="shared" si="339"/>
        <v>149760</v>
      </c>
      <c r="AB1993" s="480"/>
      <c r="AC1993" s="481">
        <v>0</v>
      </c>
      <c r="AD1993" s="490"/>
      <c r="AE1993" s="482"/>
      <c r="AF1993" s="493">
        <f t="shared" si="334"/>
        <v>149760</v>
      </c>
      <c r="AG1993" s="474" t="s">
        <v>1071</v>
      </c>
      <c r="AH1993" s="474"/>
      <c r="AI1993" s="474">
        <v>60</v>
      </c>
      <c r="AJ1993" s="474" t="s">
        <v>1342</v>
      </c>
      <c r="AK1993" s="474" t="s">
        <v>1085</v>
      </c>
      <c r="AL1993" s="494">
        <v>8110</v>
      </c>
      <c r="AM1993" s="474" t="s">
        <v>52</v>
      </c>
      <c r="AN1993" s="474"/>
      <c r="AO1993" s="474"/>
      <c r="AP1993" s="482"/>
      <c r="AQ1993" s="482"/>
      <c r="AR1993" s="474"/>
      <c r="AS1993" s="436"/>
      <c r="AT1993" s="281" t="s">
        <v>1076</v>
      </c>
      <c r="AU1993" s="472"/>
      <c r="AV1993" s="471">
        <f t="shared" si="336"/>
        <v>0</v>
      </c>
      <c r="AW1993" s="471" cm="1">
        <f t="array" ref="AW1993">SUM(MID(0&amp;AV1993,LARGE(INDEX(ISNUMBER(--MID(AV1993,ROW($1:$8),1))*ROW($1:$8),),ROW($1:$8))+1,1)*10^ROW($1:$8)/10)</f>
        <v>0</v>
      </c>
      <c r="AX1993" s="471" t="e">
        <f>VLOOKUP($AW1993,'Item Master Data'!$A:$F,3,FALSE)</f>
        <v>#N/A</v>
      </c>
      <c r="AY1993" s="471" t="e">
        <f>VLOOKUP($AW1993,'Item Master Data'!$A:$F,6,FALSE)</f>
        <v>#N/A</v>
      </c>
      <c r="AZ1993" s="471" t="e">
        <f t="shared" si="337"/>
        <v>#N/A</v>
      </c>
      <c r="BA1993" s="471" t="e">
        <f>VLOOKUP(AW1993,'Item Master Data'!$A:$G,7,FALSE)</f>
        <v>#N/A</v>
      </c>
      <c r="BC1993" s="471" t="e">
        <f t="shared" si="338"/>
        <v>#N/A</v>
      </c>
    </row>
    <row r="1994" spans="1:55" s="471" customFormat="1" ht="15" customHeight="1">
      <c r="A1994" s="278"/>
      <c r="B1994" s="279"/>
      <c r="C1994" s="279"/>
      <c r="D1994" s="394" t="s">
        <v>3678</v>
      </c>
      <c r="E1994" s="280"/>
      <c r="F1994" s="474" t="s">
        <v>1147</v>
      </c>
      <c r="G1994" s="474">
        <v>2022</v>
      </c>
      <c r="H1994" s="474">
        <v>5</v>
      </c>
      <c r="I1994" s="485"/>
      <c r="J1994" s="475"/>
      <c r="K1994" s="524" t="s">
        <v>3989</v>
      </c>
      <c r="L1994" s="524" t="s">
        <v>1340</v>
      </c>
      <c r="M1994" s="475">
        <v>44504</v>
      </c>
      <c r="N1994" s="475">
        <v>44652</v>
      </c>
      <c r="O1994" s="475"/>
      <c r="P1994" s="475"/>
      <c r="Q1994" s="475"/>
      <c r="R1994" s="475"/>
      <c r="S1994" s="474" t="s">
        <v>1102</v>
      </c>
      <c r="T1994" s="474">
        <v>60</v>
      </c>
      <c r="U1994" s="474"/>
      <c r="V1994" s="474" t="s">
        <v>986</v>
      </c>
      <c r="W1994" s="476">
        <v>360</v>
      </c>
      <c r="X1994" s="402">
        <v>832</v>
      </c>
      <c r="Y1994" s="491">
        <f t="shared" si="332"/>
        <v>299520</v>
      </c>
      <c r="Z1994" s="478">
        <v>0.5</v>
      </c>
      <c r="AA1994" s="583">
        <f t="shared" si="339"/>
        <v>149760</v>
      </c>
      <c r="AB1994" s="480"/>
      <c r="AC1994" s="481">
        <v>0</v>
      </c>
      <c r="AD1994" s="490"/>
      <c r="AE1994" s="482"/>
      <c r="AF1994" s="493">
        <f t="shared" si="334"/>
        <v>149760</v>
      </c>
      <c r="AG1994" s="474" t="s">
        <v>1071</v>
      </c>
      <c r="AH1994" s="474"/>
      <c r="AI1994" s="474">
        <v>60</v>
      </c>
      <c r="AJ1994" s="474" t="s">
        <v>1342</v>
      </c>
      <c r="AK1994" s="474" t="s">
        <v>1085</v>
      </c>
      <c r="AL1994" s="494">
        <v>8110</v>
      </c>
      <c r="AM1994" s="474" t="s">
        <v>52</v>
      </c>
      <c r="AN1994" s="474"/>
      <c r="AO1994" s="474"/>
      <c r="AP1994" s="482"/>
      <c r="AQ1994" s="482"/>
      <c r="AR1994" s="474"/>
      <c r="AS1994" s="436"/>
      <c r="AT1994" s="281" t="s">
        <v>1076</v>
      </c>
      <c r="AU1994" s="472"/>
      <c r="AV1994" s="471">
        <f t="shared" si="336"/>
        <v>0</v>
      </c>
      <c r="AW1994" s="471" cm="1">
        <f t="array" ref="AW1994">SUM(MID(0&amp;AV1994,LARGE(INDEX(ISNUMBER(--MID(AV1994,ROW($1:$8),1))*ROW($1:$8),),ROW($1:$8))+1,1)*10^ROW($1:$8)/10)</f>
        <v>0</v>
      </c>
      <c r="AX1994" s="471" t="e">
        <f>VLOOKUP($AW1994,'Item Master Data'!$A:$F,3,FALSE)</f>
        <v>#N/A</v>
      </c>
      <c r="AY1994" s="471" t="e">
        <f>VLOOKUP($AW1994,'Item Master Data'!$A:$F,6,FALSE)</f>
        <v>#N/A</v>
      </c>
      <c r="AZ1994" s="471" t="e">
        <f t="shared" si="337"/>
        <v>#N/A</v>
      </c>
      <c r="BA1994" s="471" t="e">
        <f>VLOOKUP(AW1994,'Item Master Data'!$A:$G,7,FALSE)</f>
        <v>#N/A</v>
      </c>
      <c r="BC1994" s="471" t="e">
        <f t="shared" si="338"/>
        <v>#N/A</v>
      </c>
    </row>
    <row r="1995" spans="1:55" s="471" customFormat="1" ht="15" customHeight="1">
      <c r="A1995" s="278"/>
      <c r="B1995" s="279"/>
      <c r="C1995" s="279"/>
      <c r="D1995" s="394" t="s">
        <v>3678</v>
      </c>
      <c r="E1995" s="280" t="s">
        <v>5812</v>
      </c>
      <c r="F1995" s="474"/>
      <c r="G1995" s="474">
        <v>2022</v>
      </c>
      <c r="H1995" s="474">
        <v>5</v>
      </c>
      <c r="I1995" s="485" t="s">
        <v>3990</v>
      </c>
      <c r="J1995" s="475"/>
      <c r="K1995" s="474" t="s">
        <v>3991</v>
      </c>
      <c r="L1995" s="474" t="s">
        <v>1353</v>
      </c>
      <c r="M1995" s="475">
        <v>44505</v>
      </c>
      <c r="N1995" s="475">
        <v>44607</v>
      </c>
      <c r="O1995" s="475"/>
      <c r="P1995" s="475"/>
      <c r="Q1995" s="475"/>
      <c r="R1995" s="475"/>
      <c r="S1995" s="474" t="s">
        <v>1102</v>
      </c>
      <c r="T1995" s="474">
        <v>60</v>
      </c>
      <c r="U1995" s="474"/>
      <c r="V1995" s="474" t="s">
        <v>1223</v>
      </c>
      <c r="W1995" s="474">
        <v>360</v>
      </c>
      <c r="X1995" s="476">
        <v>676</v>
      </c>
      <c r="Y1995" s="477">
        <f t="shared" si="332"/>
        <v>243360</v>
      </c>
      <c r="Z1995" s="478">
        <v>0.83</v>
      </c>
      <c r="AA1995" s="479">
        <f t="shared" si="339"/>
        <v>201988.8</v>
      </c>
      <c r="AB1995" s="386"/>
      <c r="AC1995" s="481">
        <v>0</v>
      </c>
      <c r="AD1995" s="474"/>
      <c r="AE1995" s="482"/>
      <c r="AF1995" s="493">
        <f t="shared" si="334"/>
        <v>201988.8</v>
      </c>
      <c r="AG1995" s="474" t="s">
        <v>1071</v>
      </c>
      <c r="AH1995" s="447"/>
      <c r="AI1995" s="474">
        <v>60</v>
      </c>
      <c r="AJ1995" s="474" t="s">
        <v>1205</v>
      </c>
      <c r="AK1995" s="474" t="s">
        <v>1138</v>
      </c>
      <c r="AL1995" s="494">
        <v>14624</v>
      </c>
      <c r="AM1995" s="474" t="s">
        <v>52</v>
      </c>
      <c r="AN1995" s="474" t="s">
        <v>1074</v>
      </c>
      <c r="AO1995" s="474"/>
      <c r="AP1995" s="474"/>
      <c r="AQ1995" s="474" t="s">
        <v>37</v>
      </c>
      <c r="AR1995" s="474"/>
      <c r="AS1995" s="387"/>
      <c r="AT1995" s="356"/>
      <c r="AU1995" s="472"/>
      <c r="AV1995" s="471">
        <f t="shared" si="336"/>
        <v>0</v>
      </c>
      <c r="AW1995" s="471" cm="1">
        <f t="array" ref="AW1995">SUM(MID(0&amp;AV1995,LARGE(INDEX(ISNUMBER(--MID(AV1995,ROW($1:$8),1))*ROW($1:$8),),ROW($1:$8))+1,1)*10^ROW($1:$8)/10)</f>
        <v>0</v>
      </c>
      <c r="AX1995" s="471" t="e">
        <f>VLOOKUP($AW1995,'Item Master Data'!$A:$F,3,FALSE)</f>
        <v>#N/A</v>
      </c>
      <c r="AY1995" s="471" t="e">
        <f>VLOOKUP($AW1995,'Item Master Data'!$A:$F,6,FALSE)</f>
        <v>#N/A</v>
      </c>
      <c r="AZ1995" s="471" t="e">
        <f t="shared" si="337"/>
        <v>#N/A</v>
      </c>
      <c r="BA1995" s="471" t="e">
        <f>VLOOKUP(AW1995,'Item Master Data'!$A:$G,7,FALSE)</f>
        <v>#N/A</v>
      </c>
      <c r="BC1995" s="471" t="e">
        <f t="shared" si="338"/>
        <v>#N/A</v>
      </c>
    </row>
    <row r="1996" spans="1:55" s="471" customFormat="1" ht="15" customHeight="1">
      <c r="A1996" s="278"/>
      <c r="B1996" s="279"/>
      <c r="C1996" s="279"/>
      <c r="D1996" s="394" t="s">
        <v>3678</v>
      </c>
      <c r="E1996" s="280" t="s">
        <v>5812</v>
      </c>
      <c r="F1996" s="474"/>
      <c r="G1996" s="474">
        <v>2022</v>
      </c>
      <c r="H1996" s="474">
        <v>5</v>
      </c>
      <c r="I1996" s="485"/>
      <c r="J1996" s="475"/>
      <c r="K1996" s="474" t="s">
        <v>3992</v>
      </c>
      <c r="L1996" s="474" t="s">
        <v>1353</v>
      </c>
      <c r="M1996" s="475">
        <v>44505</v>
      </c>
      <c r="N1996" s="475">
        <v>44648</v>
      </c>
      <c r="O1996" s="475"/>
      <c r="P1996" s="475"/>
      <c r="Q1996" s="475"/>
      <c r="R1996" s="475"/>
      <c r="S1996" s="474" t="s">
        <v>1102</v>
      </c>
      <c r="T1996" s="474">
        <v>60</v>
      </c>
      <c r="U1996" s="474"/>
      <c r="V1996" s="474" t="s">
        <v>2482</v>
      </c>
      <c r="W1996" s="474">
        <v>400</v>
      </c>
      <c r="X1996" s="476">
        <v>768</v>
      </c>
      <c r="Y1996" s="477">
        <f t="shared" si="332"/>
        <v>307200</v>
      </c>
      <c r="Z1996" s="478">
        <v>0.55000000000000004</v>
      </c>
      <c r="AA1996" s="479">
        <f t="shared" si="339"/>
        <v>168960</v>
      </c>
      <c r="AB1996" s="386"/>
      <c r="AC1996" s="481">
        <v>0</v>
      </c>
      <c r="AD1996" s="474"/>
      <c r="AE1996" s="482"/>
      <c r="AF1996" s="493">
        <f t="shared" si="334"/>
        <v>168960</v>
      </c>
      <c r="AG1996" s="474" t="s">
        <v>1071</v>
      </c>
      <c r="AH1996" s="447"/>
      <c r="AI1996" s="474">
        <v>60</v>
      </c>
      <c r="AJ1996" s="474" t="s">
        <v>1205</v>
      </c>
      <c r="AK1996" s="474" t="s">
        <v>1138</v>
      </c>
      <c r="AL1996" s="494">
        <v>14624</v>
      </c>
      <c r="AM1996" s="474" t="s">
        <v>52</v>
      </c>
      <c r="AN1996" s="474" t="s">
        <v>1074</v>
      </c>
      <c r="AO1996" s="474"/>
      <c r="AP1996" s="474"/>
      <c r="AQ1996" s="474" t="s">
        <v>37</v>
      </c>
      <c r="AR1996" s="474"/>
      <c r="AS1996" s="387"/>
      <c r="AT1996" s="356"/>
      <c r="AU1996" s="472"/>
      <c r="AV1996" s="471">
        <f t="shared" si="336"/>
        <v>0</v>
      </c>
      <c r="AW1996" s="471" cm="1">
        <f t="array" ref="AW1996">SUM(MID(0&amp;AV1996,LARGE(INDEX(ISNUMBER(--MID(AV1996,ROW($1:$8),1))*ROW($1:$8),),ROW($1:$8))+1,1)*10^ROW($1:$8)/10)</f>
        <v>0</v>
      </c>
      <c r="AX1996" s="471" t="e">
        <f>VLOOKUP($AW1996,'Item Master Data'!$A:$F,3,FALSE)</f>
        <v>#N/A</v>
      </c>
      <c r="AY1996" s="471" t="e">
        <f>VLOOKUP($AW1996,'Item Master Data'!$A:$F,6,FALSE)</f>
        <v>#N/A</v>
      </c>
      <c r="AZ1996" s="471" t="e">
        <f t="shared" si="337"/>
        <v>#N/A</v>
      </c>
      <c r="BA1996" s="471" t="e">
        <f>VLOOKUP(AW1996,'Item Master Data'!$A:$G,7,FALSE)</f>
        <v>#N/A</v>
      </c>
      <c r="BC1996" s="471" t="e">
        <f t="shared" si="338"/>
        <v>#N/A</v>
      </c>
    </row>
    <row r="1997" spans="1:55" s="471" customFormat="1" ht="15" customHeight="1">
      <c r="A1997" s="278"/>
      <c r="B1997" s="279"/>
      <c r="C1997" s="279"/>
      <c r="D1997" s="394" t="s">
        <v>3678</v>
      </c>
      <c r="E1997" s="280" t="s">
        <v>5611</v>
      </c>
      <c r="F1997" s="474"/>
      <c r="G1997" s="474">
        <v>2022</v>
      </c>
      <c r="H1997" s="474">
        <v>5</v>
      </c>
      <c r="I1997" s="485"/>
      <c r="J1997" s="475"/>
      <c r="K1997" s="474" t="s">
        <v>3899</v>
      </c>
      <c r="L1997" s="474" t="s">
        <v>3747</v>
      </c>
      <c r="M1997" s="475">
        <v>44512</v>
      </c>
      <c r="N1997" s="475">
        <v>44621</v>
      </c>
      <c r="O1997" s="475">
        <v>44652</v>
      </c>
      <c r="P1997" s="475" t="s">
        <v>5612</v>
      </c>
      <c r="Q1997" s="475"/>
      <c r="R1997" s="475"/>
      <c r="S1997" s="474" t="s">
        <v>1102</v>
      </c>
      <c r="T1997" s="474">
        <v>60</v>
      </c>
      <c r="U1997" s="474">
        <v>49401140</v>
      </c>
      <c r="V1997" s="474" t="s">
        <v>973</v>
      </c>
      <c r="W1997" s="476">
        <v>400</v>
      </c>
      <c r="X1997" s="402">
        <v>768</v>
      </c>
      <c r="Y1997" s="491">
        <f t="shared" si="332"/>
        <v>307200</v>
      </c>
      <c r="Z1997" s="478">
        <v>0.55000000000000004</v>
      </c>
      <c r="AA1997" s="583">
        <f t="shared" si="339"/>
        <v>168960</v>
      </c>
      <c r="AB1997" s="480"/>
      <c r="AC1997" s="481">
        <v>0</v>
      </c>
      <c r="AD1997" s="490"/>
      <c r="AE1997" s="482"/>
      <c r="AF1997" s="493">
        <f t="shared" si="334"/>
        <v>168960</v>
      </c>
      <c r="AG1997" s="474" t="s">
        <v>1071</v>
      </c>
      <c r="AH1997" s="474"/>
      <c r="AI1997" s="474">
        <v>60</v>
      </c>
      <c r="AJ1997" s="474" t="s">
        <v>3748</v>
      </c>
      <c r="AK1997" s="474" t="s">
        <v>1138</v>
      </c>
      <c r="AL1997" s="494" t="s">
        <v>3749</v>
      </c>
      <c r="AM1997" s="474" t="s">
        <v>52</v>
      </c>
      <c r="AN1997" s="474" t="s">
        <v>1074</v>
      </c>
      <c r="AO1997" s="474"/>
      <c r="AP1997" s="482"/>
      <c r="AQ1997" s="482" t="s">
        <v>37</v>
      </c>
      <c r="AR1997" s="474"/>
      <c r="AS1997" s="436" t="s">
        <v>1076</v>
      </c>
      <c r="AT1997" s="281" t="s">
        <v>1076</v>
      </c>
      <c r="AU1997" s="472"/>
      <c r="AV1997" s="471">
        <f t="shared" si="336"/>
        <v>49401140</v>
      </c>
      <c r="AW1997" s="471" cm="1">
        <f t="array" ref="AW1997">SUM(MID(0&amp;AV1997,LARGE(INDEX(ISNUMBER(--MID(AV1997,ROW($1:$8),1))*ROW($1:$8),),ROW($1:$8))+1,1)*10^ROW($1:$8)/10)</f>
        <v>49401140</v>
      </c>
      <c r="AX1997" s="471" t="str">
        <f>VLOOKUP($AW1997,'Item Master Data'!$A:$F,3,FALSE)</f>
        <v>Q.PEAK DUO BLK ML G10.a+</v>
      </c>
      <c r="AY1997" s="471">
        <f>VLOOKUP($AW1997,'Item Master Data'!$A:$F,6,FALSE)</f>
        <v>400</v>
      </c>
      <c r="AZ1997" s="471">
        <f t="shared" si="337"/>
        <v>24</v>
      </c>
      <c r="BA1997" s="471">
        <f>VLOOKUP(AW1997,'Item Master Data'!$A:$G,7,FALSE)</f>
        <v>32</v>
      </c>
      <c r="BC1997" s="471">
        <f t="shared" si="338"/>
        <v>0</v>
      </c>
    </row>
    <row r="1998" spans="1:55" s="471" customFormat="1" ht="15" customHeight="1">
      <c r="A1998" s="278"/>
      <c r="B1998" s="279"/>
      <c r="C1998" s="279"/>
      <c r="D1998" s="394" t="s">
        <v>3678</v>
      </c>
      <c r="E1998" s="280" t="s">
        <v>3881</v>
      </c>
      <c r="F1998" s="474"/>
      <c r="G1998" s="474">
        <v>2022</v>
      </c>
      <c r="H1998" s="474">
        <v>5</v>
      </c>
      <c r="I1998" s="485"/>
      <c r="J1998" s="475"/>
      <c r="K1998" s="524" t="s">
        <v>3899</v>
      </c>
      <c r="L1998" s="524" t="s">
        <v>3747</v>
      </c>
      <c r="M1998" s="475">
        <v>44512</v>
      </c>
      <c r="N1998" s="475">
        <v>44621</v>
      </c>
      <c r="O1998" s="475">
        <v>44652</v>
      </c>
      <c r="P1998" s="475"/>
      <c r="Q1998" s="475"/>
      <c r="R1998" s="475"/>
      <c r="S1998" s="474" t="s">
        <v>1102</v>
      </c>
      <c r="T1998" s="474">
        <v>60</v>
      </c>
      <c r="U1998" s="474">
        <v>49401140</v>
      </c>
      <c r="V1998" s="474" t="s">
        <v>973</v>
      </c>
      <c r="W1998" s="476">
        <v>400</v>
      </c>
      <c r="X1998" s="402">
        <v>1536</v>
      </c>
      <c r="Y1998" s="491">
        <f t="shared" si="332"/>
        <v>614400</v>
      </c>
      <c r="Z1998" s="478">
        <v>0.51</v>
      </c>
      <c r="AA1998" s="583">
        <f t="shared" si="339"/>
        <v>313344</v>
      </c>
      <c r="AB1998" s="480"/>
      <c r="AC1998" s="481">
        <v>0</v>
      </c>
      <c r="AD1998" s="490"/>
      <c r="AE1998" s="482"/>
      <c r="AF1998" s="493">
        <f t="shared" si="334"/>
        <v>313344</v>
      </c>
      <c r="AG1998" s="474" t="s">
        <v>1071</v>
      </c>
      <c r="AH1998" s="474"/>
      <c r="AI1998" s="474">
        <v>60</v>
      </c>
      <c r="AJ1998" s="474" t="s">
        <v>3748</v>
      </c>
      <c r="AK1998" s="474" t="s">
        <v>1138</v>
      </c>
      <c r="AL1998" s="494" t="s">
        <v>3749</v>
      </c>
      <c r="AM1998" s="474" t="s">
        <v>52</v>
      </c>
      <c r="AN1998" s="474" t="s">
        <v>1074</v>
      </c>
      <c r="AO1998" s="474"/>
      <c r="AP1998" s="482"/>
      <c r="AQ1998" s="482" t="s">
        <v>37</v>
      </c>
      <c r="AR1998" s="474" t="s">
        <v>3897</v>
      </c>
      <c r="AS1998" s="436" t="s">
        <v>1076</v>
      </c>
      <c r="AT1998" s="281" t="s">
        <v>1076</v>
      </c>
      <c r="AU1998" s="472">
        <v>0.51</v>
      </c>
      <c r="AV1998" s="471">
        <f t="shared" si="336"/>
        <v>49401140</v>
      </c>
      <c r="AW1998" s="471" cm="1">
        <f t="array" ref="AW1998">SUM(MID(0&amp;AV1998,LARGE(INDEX(ISNUMBER(--MID(AV1998,ROW($1:$8),1))*ROW($1:$8),),ROW($1:$8))+1,1)*10^ROW($1:$8)/10)</f>
        <v>49401140</v>
      </c>
      <c r="AX1998" s="471" t="str">
        <f>VLOOKUP($AW1998,'Item Master Data'!$A:$F,3,FALSE)</f>
        <v>Q.PEAK DUO BLK ML G10.a+</v>
      </c>
      <c r="AY1998" s="471">
        <f>VLOOKUP($AW1998,'Item Master Data'!$A:$F,6,FALSE)</f>
        <v>400</v>
      </c>
      <c r="AZ1998" s="471">
        <f t="shared" si="337"/>
        <v>48</v>
      </c>
      <c r="BA1998" s="471">
        <f>VLOOKUP(AW1998,'Item Master Data'!$A:$G,7,FALSE)</f>
        <v>32</v>
      </c>
      <c r="BC1998" s="471">
        <f t="shared" si="338"/>
        <v>0</v>
      </c>
    </row>
    <row r="1999" spans="1:55" s="471" customFormat="1" ht="15" customHeight="1">
      <c r="A1999" s="278"/>
      <c r="B1999" s="279"/>
      <c r="C1999" s="279"/>
      <c r="D1999" s="394" t="s">
        <v>3678</v>
      </c>
      <c r="E1999" s="280"/>
      <c r="F1999" s="474"/>
      <c r="G1999" s="474">
        <v>2022</v>
      </c>
      <c r="H1999" s="474">
        <v>5</v>
      </c>
      <c r="I1999" s="485"/>
      <c r="J1999" s="475"/>
      <c r="K1999" s="524" t="s">
        <v>3993</v>
      </c>
      <c r="L1999" s="524" t="s">
        <v>3747</v>
      </c>
      <c r="M1999" s="475">
        <v>44529</v>
      </c>
      <c r="N1999" s="475">
        <v>44682</v>
      </c>
      <c r="O1999" s="475"/>
      <c r="P1999" s="475"/>
      <c r="Q1999" s="475"/>
      <c r="R1999" s="475"/>
      <c r="S1999" s="474" t="s">
        <v>1102</v>
      </c>
      <c r="T1999" s="474">
        <v>60</v>
      </c>
      <c r="U1999" s="474">
        <v>49401140</v>
      </c>
      <c r="V1999" s="474" t="s">
        <v>973</v>
      </c>
      <c r="W1999" s="476">
        <v>400</v>
      </c>
      <c r="X1999" s="402">
        <v>1536</v>
      </c>
      <c r="Y1999" s="491">
        <f t="shared" si="332"/>
        <v>614400</v>
      </c>
      <c r="Z1999" s="478">
        <v>0.52</v>
      </c>
      <c r="AA1999" s="583">
        <f t="shared" si="339"/>
        <v>319488</v>
      </c>
      <c r="AB1999" s="480"/>
      <c r="AC1999" s="481">
        <v>0</v>
      </c>
      <c r="AD1999" s="490"/>
      <c r="AE1999" s="482"/>
      <c r="AF1999" s="493">
        <f t="shared" si="334"/>
        <v>319488</v>
      </c>
      <c r="AG1999" s="474" t="s">
        <v>1071</v>
      </c>
      <c r="AH1999" s="474"/>
      <c r="AI1999" s="474">
        <v>60</v>
      </c>
      <c r="AJ1999" s="474" t="s">
        <v>3748</v>
      </c>
      <c r="AK1999" s="474" t="s">
        <v>1138</v>
      </c>
      <c r="AL1999" s="494" t="s">
        <v>3749</v>
      </c>
      <c r="AM1999" s="474" t="s">
        <v>52</v>
      </c>
      <c r="AN1999" s="474" t="s">
        <v>1074</v>
      </c>
      <c r="AO1999" s="474"/>
      <c r="AP1999" s="482"/>
      <c r="AQ1999" s="482" t="s">
        <v>37</v>
      </c>
      <c r="AR1999" s="474"/>
      <c r="AS1999" s="436" t="s">
        <v>1076</v>
      </c>
      <c r="AT1999" s="281" t="s">
        <v>1076</v>
      </c>
      <c r="AU1999" s="472"/>
      <c r="AV1999" s="471">
        <f t="shared" si="336"/>
        <v>49401140</v>
      </c>
      <c r="AW1999" s="471" cm="1">
        <f t="array" ref="AW1999">SUM(MID(0&amp;AV1999,LARGE(INDEX(ISNUMBER(--MID(AV1999,ROW($1:$8),1))*ROW($1:$8),),ROW($1:$8))+1,1)*10^ROW($1:$8)/10)</f>
        <v>49401140</v>
      </c>
      <c r="AX1999" s="471" t="str">
        <f>VLOOKUP($AW1999,'Item Master Data'!$A:$F,3,FALSE)</f>
        <v>Q.PEAK DUO BLK ML G10.a+</v>
      </c>
      <c r="AY1999" s="471">
        <f>VLOOKUP($AW1999,'Item Master Data'!$A:$F,6,FALSE)</f>
        <v>400</v>
      </c>
      <c r="AZ1999" s="471">
        <f t="shared" si="337"/>
        <v>48</v>
      </c>
      <c r="BA1999" s="471">
        <f>VLOOKUP(AW1999,'Item Master Data'!$A:$G,7,FALSE)</f>
        <v>32</v>
      </c>
      <c r="BC1999" s="471">
        <f t="shared" si="338"/>
        <v>0</v>
      </c>
    </row>
    <row r="2000" spans="1:55" s="471" customFormat="1" ht="15" customHeight="1">
      <c r="A2000" s="278"/>
      <c r="B2000" s="279"/>
      <c r="C2000" s="279"/>
      <c r="D2000" s="394" t="s">
        <v>3678</v>
      </c>
      <c r="E2000" s="280"/>
      <c r="F2000" s="474"/>
      <c r="G2000" s="474">
        <v>2022</v>
      </c>
      <c r="H2000" s="474">
        <v>5</v>
      </c>
      <c r="I2000" s="485"/>
      <c r="J2000" s="475"/>
      <c r="K2000" s="524" t="s">
        <v>3994</v>
      </c>
      <c r="L2000" s="524" t="s">
        <v>3747</v>
      </c>
      <c r="M2000" s="475">
        <v>44529</v>
      </c>
      <c r="N2000" s="475">
        <v>44682</v>
      </c>
      <c r="O2000" s="475"/>
      <c r="P2000" s="475"/>
      <c r="Q2000" s="475"/>
      <c r="R2000" s="475"/>
      <c r="S2000" s="474" t="s">
        <v>1102</v>
      </c>
      <c r="T2000" s="474">
        <v>60</v>
      </c>
      <c r="U2000" s="474">
        <v>49201132</v>
      </c>
      <c r="V2000" s="474" t="s">
        <v>986</v>
      </c>
      <c r="W2000" s="476">
        <v>360</v>
      </c>
      <c r="X2000" s="402">
        <v>1664</v>
      </c>
      <c r="Y2000" s="491">
        <f t="shared" si="332"/>
        <v>599040</v>
      </c>
      <c r="Z2000" s="478">
        <v>0.5</v>
      </c>
      <c r="AA2000" s="583">
        <f t="shared" si="339"/>
        <v>299520</v>
      </c>
      <c r="AB2000" s="480"/>
      <c r="AC2000" s="481">
        <v>0</v>
      </c>
      <c r="AD2000" s="490"/>
      <c r="AE2000" s="482"/>
      <c r="AF2000" s="493">
        <f t="shared" si="334"/>
        <v>299520</v>
      </c>
      <c r="AG2000" s="474" t="s">
        <v>1071</v>
      </c>
      <c r="AH2000" s="474"/>
      <c r="AI2000" s="474">
        <v>60</v>
      </c>
      <c r="AJ2000" s="474" t="s">
        <v>3748</v>
      </c>
      <c r="AK2000" s="474" t="s">
        <v>1138</v>
      </c>
      <c r="AL2000" s="494" t="s">
        <v>3749</v>
      </c>
      <c r="AM2000" s="474" t="s">
        <v>52</v>
      </c>
      <c r="AN2000" s="474" t="s">
        <v>1074</v>
      </c>
      <c r="AO2000" s="474"/>
      <c r="AP2000" s="482"/>
      <c r="AQ2000" s="482" t="s">
        <v>37</v>
      </c>
      <c r="AR2000" s="474"/>
      <c r="AS2000" s="436" t="s">
        <v>1076</v>
      </c>
      <c r="AT2000" s="281" t="s">
        <v>1076</v>
      </c>
      <c r="AU2000" s="472"/>
      <c r="AV2000" s="471">
        <f t="shared" si="336"/>
        <v>49201132</v>
      </c>
      <c r="AW2000" s="471" cm="1">
        <f t="array" ref="AW2000">SUM(MID(0&amp;AV2000,LARGE(INDEX(ISNUMBER(--MID(AV2000,ROW($1:$8),1))*ROW($1:$8),),ROW($1:$8))+1,1)*10^ROW($1:$8)/10)</f>
        <v>49201132</v>
      </c>
      <c r="AX2000" s="471" t="str">
        <f>VLOOKUP($AW2000,'Item Master Data'!$A:$F,3,FALSE)</f>
        <v>Q.PEAK DUO BLK G10+</v>
      </c>
      <c r="AY2000" s="471">
        <f>VLOOKUP($AW2000,'Item Master Data'!$A:$F,6,FALSE)</f>
        <v>360</v>
      </c>
      <c r="AZ2000" s="471">
        <f t="shared" si="337"/>
        <v>52</v>
      </c>
      <c r="BA2000" s="471">
        <f>VLOOKUP(AW2000,'Item Master Data'!$A:$G,7,FALSE)</f>
        <v>32</v>
      </c>
      <c r="BC2000" s="471">
        <f t="shared" si="338"/>
        <v>0</v>
      </c>
    </row>
    <row r="2001" spans="1:1258" s="471" customFormat="1" ht="15" customHeight="1">
      <c r="A2001" s="278"/>
      <c r="B2001" s="279"/>
      <c r="C2001" s="279"/>
      <c r="D2001" s="394" t="s">
        <v>3678</v>
      </c>
      <c r="E2001" s="280" t="s">
        <v>5706</v>
      </c>
      <c r="F2001" s="474" t="s">
        <v>1147</v>
      </c>
      <c r="G2001" s="474">
        <v>2022</v>
      </c>
      <c r="H2001" s="474">
        <v>5</v>
      </c>
      <c r="I2001" s="485"/>
      <c r="J2001" s="475"/>
      <c r="K2001" s="524" t="s">
        <v>3995</v>
      </c>
      <c r="L2001" s="524" t="s">
        <v>1366</v>
      </c>
      <c r="M2001" s="475">
        <v>44473</v>
      </c>
      <c r="N2001" s="475">
        <v>44622</v>
      </c>
      <c r="O2001" s="475" t="s">
        <v>5707</v>
      </c>
      <c r="P2001" s="502" t="s">
        <v>5813</v>
      </c>
      <c r="Q2001" s="475"/>
      <c r="R2001" s="475"/>
      <c r="S2001" s="474" t="s">
        <v>1102</v>
      </c>
      <c r="T2001" s="474">
        <v>60</v>
      </c>
      <c r="U2001" s="474" t="s">
        <v>1281</v>
      </c>
      <c r="V2001" s="474" t="s">
        <v>973</v>
      </c>
      <c r="W2001" s="476">
        <v>400</v>
      </c>
      <c r="X2001" s="402">
        <v>768</v>
      </c>
      <c r="Y2001" s="491">
        <f t="shared" si="332"/>
        <v>307200</v>
      </c>
      <c r="Z2001" s="478">
        <v>0.55000000000000004</v>
      </c>
      <c r="AA2001" s="583">
        <f t="shared" si="339"/>
        <v>168960</v>
      </c>
      <c r="AB2001" s="480"/>
      <c r="AC2001" s="481">
        <v>0</v>
      </c>
      <c r="AD2001" s="490"/>
      <c r="AE2001" s="482"/>
      <c r="AF2001" s="493">
        <f t="shared" si="334"/>
        <v>168960</v>
      </c>
      <c r="AG2001" s="474" t="s">
        <v>1071</v>
      </c>
      <c r="AH2001" s="474"/>
      <c r="AI2001" s="474">
        <v>60</v>
      </c>
      <c r="AJ2001" s="474" t="s">
        <v>1346</v>
      </c>
      <c r="AK2001" s="474" t="s">
        <v>1347</v>
      </c>
      <c r="AL2001" s="494">
        <v>18360</v>
      </c>
      <c r="AM2001" s="474" t="s">
        <v>52</v>
      </c>
      <c r="AN2001" s="474" t="s">
        <v>1085</v>
      </c>
      <c r="AO2001" s="474"/>
      <c r="AP2001" s="482" t="s">
        <v>92</v>
      </c>
      <c r="AQ2001" s="482" t="s">
        <v>37</v>
      </c>
      <c r="AR2001" s="474"/>
      <c r="AS2001" s="436"/>
      <c r="AT2001" s="281"/>
      <c r="AU2001" s="472"/>
      <c r="AV2001" s="471" t="str">
        <f t="shared" si="336"/>
        <v>30390456H</v>
      </c>
      <c r="AW2001" s="471" cm="1">
        <f t="array" ref="AW2001">SUM(MID(0&amp;AV2001,LARGE(INDEX(ISNUMBER(--MID(AV2001,ROW($1:$8),1))*ROW($1:$8),),ROW($1:$8))+1,1)*10^ROW($1:$8)/10)</f>
        <v>30390456</v>
      </c>
      <c r="AX2001" s="471" t="str">
        <f>VLOOKUP($AW2001,'Item Master Data'!$A:$F,3,FALSE)</f>
        <v>Q.PEAK DUO BLK ML G10+</v>
      </c>
      <c r="AY2001" s="471">
        <f>VLOOKUP($AW2001,'Item Master Data'!$A:$F,6,FALSE)</f>
        <v>400</v>
      </c>
      <c r="AZ2001" s="471">
        <f t="shared" si="337"/>
        <v>24</v>
      </c>
      <c r="BA2001" s="471">
        <f>VLOOKUP(AW2001,'Item Master Data'!$A:$G,7,FALSE)</f>
        <v>32</v>
      </c>
      <c r="BC2001" s="471">
        <f t="shared" si="338"/>
        <v>0</v>
      </c>
    </row>
    <row r="2002" spans="1:1258" s="471" customFormat="1" ht="15" customHeight="1">
      <c r="A2002" s="278"/>
      <c r="B2002" s="279"/>
      <c r="C2002" s="279"/>
      <c r="D2002" s="394" t="s">
        <v>3678</v>
      </c>
      <c r="E2002" s="280" t="s">
        <v>3996</v>
      </c>
      <c r="F2002" s="474"/>
      <c r="G2002" s="474">
        <v>2022</v>
      </c>
      <c r="H2002" s="474">
        <v>5</v>
      </c>
      <c r="I2002" s="485"/>
      <c r="J2002" s="475"/>
      <c r="K2002" s="524" t="s">
        <v>3997</v>
      </c>
      <c r="L2002" s="524" t="s">
        <v>1366</v>
      </c>
      <c r="M2002" s="475">
        <v>44498</v>
      </c>
      <c r="N2002" s="475">
        <v>44621</v>
      </c>
      <c r="O2002" s="475"/>
      <c r="P2002" s="475"/>
      <c r="Q2002" s="475"/>
      <c r="R2002" s="475"/>
      <c r="S2002" s="474" t="s">
        <v>1102</v>
      </c>
      <c r="T2002" s="474">
        <v>60</v>
      </c>
      <c r="U2002" s="474"/>
      <c r="V2002" s="474" t="s">
        <v>986</v>
      </c>
      <c r="W2002" s="476">
        <v>360</v>
      </c>
      <c r="X2002" s="402">
        <v>2496</v>
      </c>
      <c r="Y2002" s="491">
        <f t="shared" si="332"/>
        <v>898560</v>
      </c>
      <c r="Z2002" s="478">
        <v>0.53</v>
      </c>
      <c r="AA2002" s="583">
        <f t="shared" si="339"/>
        <v>476236.80000000005</v>
      </c>
      <c r="AB2002" s="480"/>
      <c r="AC2002" s="481">
        <v>0</v>
      </c>
      <c r="AD2002" s="490"/>
      <c r="AE2002" s="482"/>
      <c r="AF2002" s="493">
        <f t="shared" si="334"/>
        <v>476236.80000000005</v>
      </c>
      <c r="AG2002" s="474" t="s">
        <v>1071</v>
      </c>
      <c r="AH2002" s="474"/>
      <c r="AI2002" s="474">
        <v>60</v>
      </c>
      <c r="AJ2002" s="474" t="s">
        <v>1346</v>
      </c>
      <c r="AK2002" s="474" t="s">
        <v>1347</v>
      </c>
      <c r="AL2002" s="494">
        <v>18360</v>
      </c>
      <c r="AM2002" s="474" t="s">
        <v>52</v>
      </c>
      <c r="AN2002" s="474"/>
      <c r="AO2002" s="474"/>
      <c r="AP2002" s="482"/>
      <c r="AQ2002" s="482" t="s">
        <v>37</v>
      </c>
      <c r="AR2002" s="474"/>
      <c r="AS2002" s="436"/>
      <c r="AT2002" s="281"/>
      <c r="AU2002" s="472"/>
      <c r="AV2002" s="471">
        <f t="shared" si="336"/>
        <v>0</v>
      </c>
      <c r="AW2002" s="471" cm="1">
        <f t="array" ref="AW2002">SUM(MID(0&amp;AV2002,LARGE(INDEX(ISNUMBER(--MID(AV2002,ROW($1:$8),1))*ROW($1:$8),),ROW($1:$8))+1,1)*10^ROW($1:$8)/10)</f>
        <v>0</v>
      </c>
      <c r="AX2002" s="471" t="e">
        <f>VLOOKUP($AW2002,'Item Master Data'!$A:$F,3,FALSE)</f>
        <v>#N/A</v>
      </c>
      <c r="AY2002" s="471" t="e">
        <f>VLOOKUP($AW2002,'Item Master Data'!$A:$F,6,FALSE)</f>
        <v>#N/A</v>
      </c>
      <c r="AZ2002" s="471" t="e">
        <f t="shared" si="337"/>
        <v>#N/A</v>
      </c>
      <c r="BA2002" s="471" t="e">
        <f>VLOOKUP(AW2002,'Item Master Data'!$A:$G,7,FALSE)</f>
        <v>#N/A</v>
      </c>
      <c r="BC2002" s="471" t="e">
        <f t="shared" si="338"/>
        <v>#N/A</v>
      </c>
    </row>
    <row r="2003" spans="1:1258" s="471" customFormat="1" ht="15" customHeight="1">
      <c r="A2003" s="278"/>
      <c r="B2003" s="279"/>
      <c r="C2003" s="279"/>
      <c r="D2003" s="394" t="s">
        <v>3678</v>
      </c>
      <c r="E2003" s="280" t="s">
        <v>5611</v>
      </c>
      <c r="F2003" s="474"/>
      <c r="G2003" s="474">
        <v>2022</v>
      </c>
      <c r="H2003" s="474">
        <v>5</v>
      </c>
      <c r="I2003" s="485"/>
      <c r="J2003" s="475"/>
      <c r="K2003" s="571" t="s">
        <v>3901</v>
      </c>
      <c r="L2003" s="571" t="s">
        <v>1373</v>
      </c>
      <c r="M2003" s="475">
        <v>44517</v>
      </c>
      <c r="N2003" s="475">
        <v>44652</v>
      </c>
      <c r="O2003" s="475"/>
      <c r="P2003" s="475" t="s">
        <v>5612</v>
      </c>
      <c r="Q2003" s="475"/>
      <c r="R2003" s="475"/>
      <c r="S2003" s="474" t="s">
        <v>1102</v>
      </c>
      <c r="T2003" s="474">
        <v>60</v>
      </c>
      <c r="U2003" s="474">
        <v>49203132</v>
      </c>
      <c r="V2003" s="474" t="s">
        <v>986</v>
      </c>
      <c r="W2003" s="476">
        <v>360</v>
      </c>
      <c r="X2003" s="402">
        <v>768</v>
      </c>
      <c r="Y2003" s="491">
        <f>X2003*W2003</f>
        <v>276480</v>
      </c>
      <c r="Z2003" s="478">
        <v>0.53</v>
      </c>
      <c r="AA2003" s="583">
        <f t="shared" si="339"/>
        <v>146534.39999999999</v>
      </c>
      <c r="AB2003" s="480"/>
      <c r="AC2003" s="481">
        <f t="shared" ref="AC2003:AC2040" si="340">AB2003*Y2003</f>
        <v>0</v>
      </c>
      <c r="AD2003" s="490"/>
      <c r="AE2003" s="482"/>
      <c r="AF2003" s="493">
        <f t="shared" si="334"/>
        <v>146534.39999999999</v>
      </c>
      <c r="AG2003" s="474" t="s">
        <v>1071</v>
      </c>
      <c r="AH2003" s="474">
        <v>0</v>
      </c>
      <c r="AI2003" s="474">
        <v>60</v>
      </c>
      <c r="AJ2003" s="474" t="s">
        <v>1374</v>
      </c>
      <c r="AK2003" s="474" t="s">
        <v>1375</v>
      </c>
      <c r="AL2003" s="494" t="s">
        <v>3760</v>
      </c>
      <c r="AM2003" s="474" t="s">
        <v>52</v>
      </c>
      <c r="AN2003" s="474" t="s">
        <v>1106</v>
      </c>
      <c r="AO2003" s="474"/>
      <c r="AP2003" s="482"/>
      <c r="AQ2003" s="482" t="s">
        <v>37</v>
      </c>
      <c r="AR2003" s="474"/>
      <c r="AS2003" s="436" t="s">
        <v>1087</v>
      </c>
      <c r="AT2003" s="281" t="s">
        <v>1076</v>
      </c>
      <c r="AU2003" s="472"/>
      <c r="AV2003" s="471">
        <f t="shared" si="336"/>
        <v>49203132</v>
      </c>
      <c r="AW2003" s="471" cm="1">
        <f t="array" ref="AW2003">SUM(MID(0&amp;AV2003,LARGE(INDEX(ISNUMBER(--MID(AV2003,ROW($1:$8),1))*ROW($1:$8),),ROW($1:$8))+1,1)*10^ROW($1:$8)/10)</f>
        <v>49203132</v>
      </c>
      <c r="AX2003" s="471" t="str">
        <f>VLOOKUP($AW2003,'Item Master Data'!$A:$F,3,FALSE)</f>
        <v>Q.PEAK DUO BLK G10+</v>
      </c>
      <c r="AY2003" s="471">
        <f>VLOOKUP($AW2003,'Item Master Data'!$A:$F,6,FALSE)</f>
        <v>360</v>
      </c>
      <c r="AZ2003" s="471">
        <f t="shared" si="337"/>
        <v>24</v>
      </c>
      <c r="BA2003" s="471">
        <f>VLOOKUP(AW2003,'Item Master Data'!$A:$G,7,FALSE)</f>
        <v>32</v>
      </c>
      <c r="BC2003" s="471">
        <f t="shared" si="338"/>
        <v>0</v>
      </c>
    </row>
    <row r="2004" spans="1:1258" s="471" customFormat="1" ht="15" customHeight="1">
      <c r="A2004" s="278"/>
      <c r="B2004" s="279"/>
      <c r="C2004" s="279"/>
      <c r="D2004" s="394" t="s">
        <v>3678</v>
      </c>
      <c r="E2004" s="280" t="s">
        <v>5545</v>
      </c>
      <c r="F2004" s="474"/>
      <c r="G2004" s="474">
        <v>2022</v>
      </c>
      <c r="H2004" s="474">
        <v>5</v>
      </c>
      <c r="I2004" s="485"/>
      <c r="J2004" s="475"/>
      <c r="K2004" s="524" t="s">
        <v>3998</v>
      </c>
      <c r="L2004" s="524" t="s">
        <v>1373</v>
      </c>
      <c r="M2004" s="475">
        <v>44517</v>
      </c>
      <c r="N2004" s="475">
        <v>44621</v>
      </c>
      <c r="O2004" s="475"/>
      <c r="P2004" s="475"/>
      <c r="Q2004" s="475"/>
      <c r="R2004" s="475"/>
      <c r="S2004" s="474" t="s">
        <v>1102</v>
      </c>
      <c r="T2004" s="474">
        <v>60</v>
      </c>
      <c r="U2004" s="474">
        <v>49201132</v>
      </c>
      <c r="V2004" s="474" t="s">
        <v>986</v>
      </c>
      <c r="W2004" s="476">
        <v>360</v>
      </c>
      <c r="X2004" s="402">
        <v>1536</v>
      </c>
      <c r="Y2004" s="491">
        <f>X2004*W2004</f>
        <v>552960</v>
      </c>
      <c r="Z2004" s="478">
        <v>0.53</v>
      </c>
      <c r="AA2004" s="583">
        <f t="shared" si="339"/>
        <v>293068.79999999999</v>
      </c>
      <c r="AB2004" s="480"/>
      <c r="AC2004" s="481">
        <f t="shared" si="340"/>
        <v>0</v>
      </c>
      <c r="AD2004" s="490"/>
      <c r="AE2004" s="482"/>
      <c r="AF2004" s="493">
        <f t="shared" si="334"/>
        <v>293068.79999999999</v>
      </c>
      <c r="AG2004" s="474" t="s">
        <v>1071</v>
      </c>
      <c r="AH2004" s="474">
        <v>0</v>
      </c>
      <c r="AI2004" s="474">
        <v>60</v>
      </c>
      <c r="AJ2004" s="474" t="s">
        <v>1374</v>
      </c>
      <c r="AK2004" s="474" t="s">
        <v>1375</v>
      </c>
      <c r="AL2004" s="494" t="s">
        <v>3760</v>
      </c>
      <c r="AM2004" s="474" t="s">
        <v>52</v>
      </c>
      <c r="AN2004" s="474" t="s">
        <v>1074</v>
      </c>
      <c r="AO2004" s="474"/>
      <c r="AP2004" s="482"/>
      <c r="AQ2004" s="482" t="s">
        <v>1086</v>
      </c>
      <c r="AR2004" s="474"/>
      <c r="AS2004" s="436" t="s">
        <v>1087</v>
      </c>
      <c r="AT2004" s="281" t="s">
        <v>1076</v>
      </c>
      <c r="AU2004" s="472"/>
      <c r="AV2004" s="471">
        <f t="shared" si="336"/>
        <v>49201132</v>
      </c>
      <c r="AW2004" s="471" cm="1">
        <f t="array" ref="AW2004">SUM(MID(0&amp;AV2004,LARGE(INDEX(ISNUMBER(--MID(AV2004,ROW($1:$8),1))*ROW($1:$8),),ROW($1:$8))+1,1)*10^ROW($1:$8)/10)</f>
        <v>49201132</v>
      </c>
      <c r="AX2004" s="471" t="str">
        <f>VLOOKUP($AW2004,'Item Master Data'!$A:$F,3,FALSE)</f>
        <v>Q.PEAK DUO BLK G10+</v>
      </c>
      <c r="AY2004" s="471">
        <f>VLOOKUP($AW2004,'Item Master Data'!$A:$F,6,FALSE)</f>
        <v>360</v>
      </c>
      <c r="AZ2004" s="471">
        <f t="shared" si="337"/>
        <v>48</v>
      </c>
      <c r="BA2004" s="471">
        <f>VLOOKUP(AW2004,'Item Master Data'!$A:$G,7,FALSE)</f>
        <v>32</v>
      </c>
      <c r="BC2004" s="471">
        <f t="shared" si="338"/>
        <v>0</v>
      </c>
    </row>
    <row r="2005" spans="1:1258" s="471" customFormat="1" ht="15" customHeight="1">
      <c r="A2005" s="278"/>
      <c r="B2005" s="279"/>
      <c r="C2005" s="279"/>
      <c r="D2005" s="394" t="s">
        <v>3678</v>
      </c>
      <c r="E2005" s="280"/>
      <c r="F2005" s="474"/>
      <c r="G2005" s="474">
        <v>2022</v>
      </c>
      <c r="H2005" s="474">
        <v>5</v>
      </c>
      <c r="I2005" s="485"/>
      <c r="J2005" s="475"/>
      <c r="K2005" s="524" t="s">
        <v>3999</v>
      </c>
      <c r="L2005" s="524" t="s">
        <v>1373</v>
      </c>
      <c r="M2005" s="475">
        <v>44519</v>
      </c>
      <c r="N2005" s="475">
        <v>44652</v>
      </c>
      <c r="O2005" s="475">
        <v>44682</v>
      </c>
      <c r="P2005" s="475"/>
      <c r="Q2005" s="475"/>
      <c r="R2005" s="475"/>
      <c r="S2005" s="474" t="s">
        <v>1102</v>
      </c>
      <c r="T2005" s="474">
        <v>60</v>
      </c>
      <c r="U2005" s="474">
        <v>49401140</v>
      </c>
      <c r="V2005" s="474" t="s">
        <v>985</v>
      </c>
      <c r="W2005" s="476">
        <v>400</v>
      </c>
      <c r="X2005" s="402">
        <v>768</v>
      </c>
      <c r="Y2005" s="491">
        <f>X2005*W2005</f>
        <v>307200</v>
      </c>
      <c r="Z2005" s="478">
        <v>0.52</v>
      </c>
      <c r="AA2005" s="583">
        <f t="shared" si="339"/>
        <v>159744</v>
      </c>
      <c r="AB2005" s="480"/>
      <c r="AC2005" s="481">
        <f t="shared" si="340"/>
        <v>0</v>
      </c>
      <c r="AD2005" s="490"/>
      <c r="AE2005" s="482"/>
      <c r="AF2005" s="493">
        <f t="shared" si="334"/>
        <v>159744</v>
      </c>
      <c r="AG2005" s="474" t="s">
        <v>1071</v>
      </c>
      <c r="AH2005" s="474">
        <v>0</v>
      </c>
      <c r="AI2005" s="474">
        <v>60</v>
      </c>
      <c r="AJ2005" s="474" t="s">
        <v>1374</v>
      </c>
      <c r="AK2005" s="474" t="s">
        <v>1375</v>
      </c>
      <c r="AL2005" s="494" t="s">
        <v>3760</v>
      </c>
      <c r="AM2005" s="474" t="s">
        <v>52</v>
      </c>
      <c r="AN2005" s="474" t="s">
        <v>1074</v>
      </c>
      <c r="AO2005" s="474"/>
      <c r="AP2005" s="482"/>
      <c r="AQ2005" s="482" t="s">
        <v>1086</v>
      </c>
      <c r="AR2005" s="474"/>
      <c r="AS2005" s="436" t="s">
        <v>1087</v>
      </c>
      <c r="AT2005" s="281" t="s">
        <v>1076</v>
      </c>
      <c r="AU2005" s="472"/>
      <c r="AV2005" s="471">
        <f t="shared" si="336"/>
        <v>49401140</v>
      </c>
      <c r="AW2005" s="471" cm="1">
        <f t="array" ref="AW2005">SUM(MID(0&amp;AV2005,LARGE(INDEX(ISNUMBER(--MID(AV2005,ROW($1:$8),1))*ROW($1:$8),),ROW($1:$8))+1,1)*10^ROW($1:$8)/10)</f>
        <v>49401140</v>
      </c>
      <c r="AX2005" s="471" t="str">
        <f>VLOOKUP($AW2005,'Item Master Data'!$A:$F,3,FALSE)</f>
        <v>Q.PEAK DUO BLK ML G10.a+</v>
      </c>
      <c r="AY2005" s="471">
        <f>VLOOKUP($AW2005,'Item Master Data'!$A:$F,6,FALSE)</f>
        <v>400</v>
      </c>
      <c r="AZ2005" s="471">
        <f t="shared" si="337"/>
        <v>24</v>
      </c>
      <c r="BA2005" s="471">
        <f>VLOOKUP(AW2005,'Item Master Data'!$A:$G,7,FALSE)</f>
        <v>32</v>
      </c>
      <c r="BC2005" s="471">
        <f t="shared" si="338"/>
        <v>0</v>
      </c>
    </row>
    <row r="2006" spans="1:1258" s="471" customFormat="1" ht="15" customHeight="1">
      <c r="A2006" s="278"/>
      <c r="B2006" s="279"/>
      <c r="C2006" s="279"/>
      <c r="D2006" s="394" t="s">
        <v>3678</v>
      </c>
      <c r="E2006" s="280"/>
      <c r="F2006" s="474"/>
      <c r="G2006" s="474">
        <v>2022</v>
      </c>
      <c r="H2006" s="474">
        <v>5</v>
      </c>
      <c r="I2006" s="485"/>
      <c r="J2006" s="475"/>
      <c r="K2006" s="524" t="s">
        <v>4000</v>
      </c>
      <c r="L2006" s="524" t="s">
        <v>1373</v>
      </c>
      <c r="M2006" s="475">
        <v>44519</v>
      </c>
      <c r="N2006" s="475">
        <v>44652</v>
      </c>
      <c r="O2006" s="475">
        <v>44682</v>
      </c>
      <c r="P2006" s="475"/>
      <c r="Q2006" s="475"/>
      <c r="R2006" s="475"/>
      <c r="S2006" s="474" t="s">
        <v>1102</v>
      </c>
      <c r="T2006" s="474">
        <v>60</v>
      </c>
      <c r="U2006" s="474">
        <v>49401140</v>
      </c>
      <c r="V2006" s="474" t="s">
        <v>985</v>
      </c>
      <c r="W2006" s="476">
        <v>400</v>
      </c>
      <c r="X2006" s="402">
        <v>768</v>
      </c>
      <c r="Y2006" s="491">
        <f>X2006*W2006</f>
        <v>307200</v>
      </c>
      <c r="Z2006" s="478">
        <v>0.52</v>
      </c>
      <c r="AA2006" s="583">
        <f t="shared" si="339"/>
        <v>159744</v>
      </c>
      <c r="AB2006" s="480"/>
      <c r="AC2006" s="481">
        <f t="shared" si="340"/>
        <v>0</v>
      </c>
      <c r="AD2006" s="490"/>
      <c r="AE2006" s="482"/>
      <c r="AF2006" s="493">
        <f t="shared" si="334"/>
        <v>159744</v>
      </c>
      <c r="AG2006" s="474" t="s">
        <v>1071</v>
      </c>
      <c r="AH2006" s="474">
        <v>0</v>
      </c>
      <c r="AI2006" s="474">
        <v>60</v>
      </c>
      <c r="AJ2006" s="474" t="s">
        <v>1374</v>
      </c>
      <c r="AK2006" s="474" t="s">
        <v>1375</v>
      </c>
      <c r="AL2006" s="494" t="s">
        <v>3760</v>
      </c>
      <c r="AM2006" s="474" t="s">
        <v>52</v>
      </c>
      <c r="AN2006" s="474" t="s">
        <v>1074</v>
      </c>
      <c r="AO2006" s="474"/>
      <c r="AP2006" s="482"/>
      <c r="AQ2006" s="482" t="s">
        <v>1086</v>
      </c>
      <c r="AR2006" s="474"/>
      <c r="AS2006" s="436" t="s">
        <v>1087</v>
      </c>
      <c r="AT2006" s="281" t="s">
        <v>1076</v>
      </c>
      <c r="AU2006" s="472"/>
      <c r="AV2006" s="471">
        <f t="shared" si="336"/>
        <v>49401140</v>
      </c>
      <c r="AW2006" s="471" cm="1">
        <f t="array" ref="AW2006">SUM(MID(0&amp;AV2006,LARGE(INDEX(ISNUMBER(--MID(AV2006,ROW($1:$8),1))*ROW($1:$8),),ROW($1:$8))+1,1)*10^ROW($1:$8)/10)</f>
        <v>49401140</v>
      </c>
      <c r="AX2006" s="471" t="str">
        <f>VLOOKUP($AW2006,'Item Master Data'!$A:$F,3,FALSE)</f>
        <v>Q.PEAK DUO BLK ML G10.a+</v>
      </c>
      <c r="AY2006" s="471">
        <f>VLOOKUP($AW2006,'Item Master Data'!$A:$F,6,FALSE)</f>
        <v>400</v>
      </c>
      <c r="AZ2006" s="471">
        <f t="shared" si="337"/>
        <v>24</v>
      </c>
      <c r="BA2006" s="471">
        <f>VLOOKUP(AW2006,'Item Master Data'!$A:$G,7,FALSE)</f>
        <v>32</v>
      </c>
      <c r="BC2006" s="471">
        <f t="shared" si="338"/>
        <v>0</v>
      </c>
    </row>
    <row r="2007" spans="1:1258" s="471" customFormat="1" ht="15" customHeight="1">
      <c r="A2007" s="278"/>
      <c r="B2007" s="279"/>
      <c r="C2007" s="279"/>
      <c r="D2007" s="394" t="s">
        <v>3678</v>
      </c>
      <c r="E2007" s="280" t="s">
        <v>3903</v>
      </c>
      <c r="F2007" s="474"/>
      <c r="G2007" s="474">
        <v>2022</v>
      </c>
      <c r="H2007" s="571">
        <v>5</v>
      </c>
      <c r="I2007" s="485" t="s">
        <v>3905</v>
      </c>
      <c r="J2007" s="475"/>
      <c r="K2007" s="474" t="s">
        <v>3904</v>
      </c>
      <c r="L2007" s="474" t="s">
        <v>1468</v>
      </c>
      <c r="M2007" s="475">
        <v>44503</v>
      </c>
      <c r="N2007" s="475">
        <v>44562</v>
      </c>
      <c r="O2007" s="475"/>
      <c r="P2007" s="475" t="s">
        <v>3833</v>
      </c>
      <c r="Q2007" s="475"/>
      <c r="R2007" s="475"/>
      <c r="S2007" s="474" t="s">
        <v>1102</v>
      </c>
      <c r="T2007" s="474">
        <v>60</v>
      </c>
      <c r="U2007" s="474">
        <v>49203132</v>
      </c>
      <c r="V2007" s="474" t="s">
        <v>986</v>
      </c>
      <c r="W2007" s="476">
        <v>360</v>
      </c>
      <c r="X2007" s="402">
        <v>448</v>
      </c>
      <c r="Y2007" s="491">
        <f>W2007*X2007</f>
        <v>161280</v>
      </c>
      <c r="Z2007" s="478">
        <v>0.55000000000000004</v>
      </c>
      <c r="AA2007" s="479">
        <f t="shared" si="339"/>
        <v>88704</v>
      </c>
      <c r="AB2007" s="480"/>
      <c r="AC2007" s="481">
        <f t="shared" si="340"/>
        <v>0</v>
      </c>
      <c r="AD2007" s="490"/>
      <c r="AE2007" s="482"/>
      <c r="AF2007" s="493">
        <f t="shared" si="334"/>
        <v>88704</v>
      </c>
      <c r="AG2007" s="474" t="s">
        <v>47</v>
      </c>
      <c r="AH2007" s="474">
        <v>100</v>
      </c>
      <c r="AI2007" s="474">
        <v>0</v>
      </c>
      <c r="AJ2007" s="474" t="s">
        <v>1469</v>
      </c>
      <c r="AK2007" s="474" t="s">
        <v>1138</v>
      </c>
      <c r="AL2007" s="494">
        <v>12065</v>
      </c>
      <c r="AM2007" s="474" t="s">
        <v>52</v>
      </c>
      <c r="AN2007" s="474" t="s">
        <v>1106</v>
      </c>
      <c r="AO2007" s="474"/>
      <c r="AP2007" s="482"/>
      <c r="AQ2007" s="482" t="s">
        <v>37</v>
      </c>
      <c r="AR2007" s="474"/>
      <c r="AS2007" s="436" t="s">
        <v>1076</v>
      </c>
      <c r="AT2007" s="281" t="s">
        <v>1076</v>
      </c>
      <c r="AU2007" s="472"/>
      <c r="AV2007" s="471">
        <f t="shared" si="336"/>
        <v>49203132</v>
      </c>
      <c r="AW2007" s="471" cm="1">
        <f t="array" ref="AW2007">SUM(MID(0&amp;AV2007,LARGE(INDEX(ISNUMBER(--MID(AV2007,ROW($1:$8),1))*ROW($1:$8),),ROW($1:$8))+1,1)*10^ROW($1:$8)/10)</f>
        <v>49203132</v>
      </c>
      <c r="AX2007" s="471" t="str">
        <f>VLOOKUP($AW2007,'Item Master Data'!$A:$F,3,FALSE)</f>
        <v>Q.PEAK DUO BLK G10+</v>
      </c>
      <c r="AY2007" s="471">
        <f>VLOOKUP($AW2007,'Item Master Data'!$A:$F,6,FALSE)</f>
        <v>360</v>
      </c>
      <c r="AZ2007" s="471">
        <f t="shared" si="337"/>
        <v>14</v>
      </c>
      <c r="BA2007" s="471">
        <f>VLOOKUP(AW2007,'Item Master Data'!$A:$G,7,FALSE)</f>
        <v>32</v>
      </c>
      <c r="BC2007" s="471">
        <f t="shared" si="338"/>
        <v>0</v>
      </c>
    </row>
    <row r="2008" spans="1:1258" s="471" customFormat="1" ht="15" customHeight="1">
      <c r="A2008" s="278">
        <v>10</v>
      </c>
      <c r="B2008" s="279"/>
      <c r="C2008" s="279"/>
      <c r="D2008" s="394" t="s">
        <v>3678</v>
      </c>
      <c r="E2008" s="280" t="s">
        <v>5694</v>
      </c>
      <c r="F2008" s="474"/>
      <c r="G2008" s="474">
        <v>2022</v>
      </c>
      <c r="H2008" s="474">
        <v>5</v>
      </c>
      <c r="I2008" s="485"/>
      <c r="J2008" s="475"/>
      <c r="K2008" s="474" t="s">
        <v>3915</v>
      </c>
      <c r="L2008" s="474" t="s">
        <v>3762</v>
      </c>
      <c r="M2008" s="475">
        <v>44503</v>
      </c>
      <c r="N2008" s="475">
        <v>44595</v>
      </c>
      <c r="O2008" s="475"/>
      <c r="P2008" s="475">
        <v>44679</v>
      </c>
      <c r="Q2008" s="475"/>
      <c r="R2008" s="475"/>
      <c r="S2008" s="474" t="s">
        <v>1102</v>
      </c>
      <c r="T2008" s="474">
        <v>60</v>
      </c>
      <c r="U2008" s="474" t="s">
        <v>1281</v>
      </c>
      <c r="V2008" s="474" t="s">
        <v>973</v>
      </c>
      <c r="W2008" s="476">
        <v>400</v>
      </c>
      <c r="X2008" s="402">
        <v>768</v>
      </c>
      <c r="Y2008" s="491">
        <f>W2008*X2008</f>
        <v>307200</v>
      </c>
      <c r="Z2008" s="478">
        <v>0.49</v>
      </c>
      <c r="AA2008" s="582">
        <f t="shared" si="339"/>
        <v>150528</v>
      </c>
      <c r="AB2008" s="480"/>
      <c r="AC2008" s="481">
        <f t="shared" si="340"/>
        <v>0</v>
      </c>
      <c r="AD2008" s="490"/>
      <c r="AE2008" s="482"/>
      <c r="AF2008" s="493">
        <f t="shared" si="334"/>
        <v>150528</v>
      </c>
      <c r="AG2008" s="474" t="s">
        <v>47</v>
      </c>
      <c r="AH2008" s="474">
        <v>0</v>
      </c>
      <c r="AI2008" s="474">
        <v>60</v>
      </c>
      <c r="AJ2008" s="474" t="s">
        <v>3767</v>
      </c>
      <c r="AK2008" s="474" t="s">
        <v>1138</v>
      </c>
      <c r="AL2008" s="494">
        <v>11803</v>
      </c>
      <c r="AM2008" s="474" t="s">
        <v>52</v>
      </c>
      <c r="AN2008" s="474" t="s">
        <v>1085</v>
      </c>
      <c r="AO2008" s="474"/>
      <c r="AP2008" s="482" t="s">
        <v>92</v>
      </c>
      <c r="AQ2008" s="482" t="s">
        <v>37</v>
      </c>
      <c r="AR2008" s="474"/>
      <c r="AS2008" s="436" t="s">
        <v>3763</v>
      </c>
      <c r="AT2008" s="281" t="s">
        <v>1076</v>
      </c>
      <c r="AU2008" s="472"/>
      <c r="AV2008" s="471" t="str">
        <f t="shared" si="336"/>
        <v>30390456H</v>
      </c>
      <c r="AW2008" s="471" cm="1">
        <f t="array" ref="AW2008">SUM(MID(0&amp;AV2008,LARGE(INDEX(ISNUMBER(--MID(AV2008,ROW($1:$8),1))*ROW($1:$8),),ROW($1:$8))+1,1)*10^ROW($1:$8)/10)</f>
        <v>30390456</v>
      </c>
      <c r="AX2008" s="471" t="str">
        <f>VLOOKUP($AW2008,'Item Master Data'!$A:$F,3,FALSE)</f>
        <v>Q.PEAK DUO BLK ML G10+</v>
      </c>
      <c r="AY2008" s="471">
        <f>VLOOKUP($AW2008,'Item Master Data'!$A:$F,6,FALSE)</f>
        <v>400</v>
      </c>
      <c r="AZ2008" s="471">
        <f t="shared" si="337"/>
        <v>24</v>
      </c>
      <c r="BA2008" s="471">
        <f>VLOOKUP(AW2008,'Item Master Data'!$A:$G,7,FALSE)</f>
        <v>32</v>
      </c>
      <c r="BC2008" s="471">
        <f t="shared" si="338"/>
        <v>0</v>
      </c>
    </row>
    <row r="2009" spans="1:1258" s="471" customFormat="1" ht="15" customHeight="1">
      <c r="A2009" s="278"/>
      <c r="B2009" s="279"/>
      <c r="C2009" s="279"/>
      <c r="D2009" s="394" t="s">
        <v>3678</v>
      </c>
      <c r="E2009" s="280" t="s">
        <v>5695</v>
      </c>
      <c r="F2009" s="474"/>
      <c r="G2009" s="474">
        <v>2022</v>
      </c>
      <c r="H2009" s="474">
        <v>5</v>
      </c>
      <c r="I2009" s="485"/>
      <c r="J2009" s="475"/>
      <c r="K2009" s="474" t="s">
        <v>5235</v>
      </c>
      <c r="L2009" s="474" t="s">
        <v>3762</v>
      </c>
      <c r="M2009" s="475">
        <v>44503</v>
      </c>
      <c r="N2009" s="475">
        <v>44602</v>
      </c>
      <c r="O2009" s="475"/>
      <c r="P2009" s="475">
        <v>44679</v>
      </c>
      <c r="Q2009" s="475"/>
      <c r="R2009" s="475"/>
      <c r="S2009" s="474" t="s">
        <v>1102</v>
      </c>
      <c r="T2009" s="474">
        <v>60</v>
      </c>
      <c r="U2009" s="474" t="s">
        <v>1760</v>
      </c>
      <c r="V2009" s="474" t="s">
        <v>973</v>
      </c>
      <c r="W2009" s="476">
        <v>400</v>
      </c>
      <c r="X2009" s="402">
        <v>768</v>
      </c>
      <c r="Y2009" s="491">
        <f>W2009*X2009</f>
        <v>307200</v>
      </c>
      <c r="Z2009" s="478">
        <v>0.49</v>
      </c>
      <c r="AA2009" s="582">
        <f t="shared" si="339"/>
        <v>150528</v>
      </c>
      <c r="AB2009" s="480"/>
      <c r="AC2009" s="481">
        <f t="shared" si="340"/>
        <v>0</v>
      </c>
      <c r="AD2009" s="490"/>
      <c r="AE2009" s="482"/>
      <c r="AF2009" s="493">
        <f t="shared" si="334"/>
        <v>150528</v>
      </c>
      <c r="AG2009" s="474" t="s">
        <v>47</v>
      </c>
      <c r="AH2009" s="474">
        <v>0</v>
      </c>
      <c r="AI2009" s="474">
        <v>60</v>
      </c>
      <c r="AJ2009" s="474" t="s">
        <v>1593</v>
      </c>
      <c r="AK2009" s="474" t="s">
        <v>1144</v>
      </c>
      <c r="AL2009" s="494">
        <v>78764</v>
      </c>
      <c r="AM2009" s="474" t="s">
        <v>52</v>
      </c>
      <c r="AN2009" s="474" t="s">
        <v>50</v>
      </c>
      <c r="AO2009" s="474"/>
      <c r="AP2009" s="482" t="s">
        <v>92</v>
      </c>
      <c r="AQ2009" s="482" t="s">
        <v>37</v>
      </c>
      <c r="AR2009" s="474"/>
      <c r="AS2009" s="436" t="s">
        <v>3763</v>
      </c>
      <c r="AT2009" s="281" t="s">
        <v>1076</v>
      </c>
      <c r="AU2009" s="472"/>
      <c r="AV2009" s="471" t="str">
        <f t="shared" si="336"/>
        <v>30390156H</v>
      </c>
      <c r="AW2009" s="471" cm="1">
        <f t="array" ref="AW2009">SUM(MID(0&amp;AV2009,LARGE(INDEX(ISNUMBER(--MID(AV2009,ROW($1:$8),1))*ROW($1:$8),),ROW($1:$8))+1,1)*10^ROW($1:$8)/10)</f>
        <v>30390156</v>
      </c>
      <c r="AX2009" s="471" t="str">
        <f>VLOOKUP($AW2009,'Item Master Data'!$A:$F,3,FALSE)</f>
        <v>Q.PEAK DUO BLK ML G10+</v>
      </c>
      <c r="AY2009" s="471">
        <f>VLOOKUP($AW2009,'Item Master Data'!$A:$F,6,FALSE)</f>
        <v>400</v>
      </c>
      <c r="AZ2009" s="471">
        <f t="shared" si="337"/>
        <v>24</v>
      </c>
      <c r="BA2009" s="471">
        <f>VLOOKUP(AW2009,'Item Master Data'!$A:$G,7,FALSE)</f>
        <v>32</v>
      </c>
      <c r="BC2009" s="471">
        <f t="shared" si="338"/>
        <v>0</v>
      </c>
    </row>
    <row r="2010" spans="1:1258" s="471" customFormat="1" ht="15" customHeight="1">
      <c r="A2010" s="278"/>
      <c r="B2010" s="279"/>
      <c r="C2010" s="279"/>
      <c r="D2010" s="394" t="s">
        <v>3678</v>
      </c>
      <c r="E2010" s="280" t="s">
        <v>5696</v>
      </c>
      <c r="F2010" s="474"/>
      <c r="G2010" s="474">
        <v>2022</v>
      </c>
      <c r="H2010" s="474">
        <v>5</v>
      </c>
      <c r="I2010" s="485"/>
      <c r="J2010" s="475"/>
      <c r="K2010" s="474" t="s">
        <v>5236</v>
      </c>
      <c r="L2010" s="474" t="s">
        <v>3762</v>
      </c>
      <c r="M2010" s="475">
        <v>44503</v>
      </c>
      <c r="N2010" s="475">
        <v>44602</v>
      </c>
      <c r="O2010" s="475"/>
      <c r="P2010" s="475">
        <v>44679</v>
      </c>
      <c r="Q2010" s="475"/>
      <c r="R2010" s="475"/>
      <c r="S2010" s="474" t="s">
        <v>1102</v>
      </c>
      <c r="T2010" s="474">
        <v>60</v>
      </c>
      <c r="U2010" s="474" t="s">
        <v>1760</v>
      </c>
      <c r="V2010" s="474" t="s">
        <v>973</v>
      </c>
      <c r="W2010" s="476">
        <v>400</v>
      </c>
      <c r="X2010" s="402">
        <v>768</v>
      </c>
      <c r="Y2010" s="491">
        <f>W2010*X2010</f>
        <v>307200</v>
      </c>
      <c r="Z2010" s="478">
        <v>0.49</v>
      </c>
      <c r="AA2010" s="582">
        <f t="shared" si="339"/>
        <v>150528</v>
      </c>
      <c r="AB2010" s="480"/>
      <c r="AC2010" s="481">
        <f t="shared" si="340"/>
        <v>0</v>
      </c>
      <c r="AD2010" s="490"/>
      <c r="AE2010" s="482"/>
      <c r="AF2010" s="493">
        <f t="shared" si="334"/>
        <v>150528</v>
      </c>
      <c r="AG2010" s="474" t="s">
        <v>47</v>
      </c>
      <c r="AH2010" s="474">
        <v>0</v>
      </c>
      <c r="AI2010" s="474">
        <v>60</v>
      </c>
      <c r="AJ2010" s="474" t="s">
        <v>1593</v>
      </c>
      <c r="AK2010" s="474" t="s">
        <v>1144</v>
      </c>
      <c r="AL2010" s="494">
        <v>78764</v>
      </c>
      <c r="AM2010" s="474" t="s">
        <v>52</v>
      </c>
      <c r="AN2010" s="474" t="s">
        <v>50</v>
      </c>
      <c r="AO2010" s="474"/>
      <c r="AP2010" s="482" t="s">
        <v>92</v>
      </c>
      <c r="AQ2010" s="482" t="s">
        <v>37</v>
      </c>
      <c r="AR2010" s="474"/>
      <c r="AS2010" s="436" t="s">
        <v>3763</v>
      </c>
      <c r="AT2010" s="281" t="s">
        <v>1076</v>
      </c>
      <c r="AU2010" s="472"/>
      <c r="AV2010" s="471" t="str">
        <f t="shared" si="336"/>
        <v>30390156H</v>
      </c>
      <c r="AW2010" s="471" cm="1">
        <f t="array" ref="AW2010">SUM(MID(0&amp;AV2010,LARGE(INDEX(ISNUMBER(--MID(AV2010,ROW($1:$8),1))*ROW($1:$8),),ROW($1:$8))+1,1)*10^ROW($1:$8)/10)</f>
        <v>30390156</v>
      </c>
      <c r="AX2010" s="471" t="str">
        <f>VLOOKUP($AW2010,'Item Master Data'!$A:$F,3,FALSE)</f>
        <v>Q.PEAK DUO BLK ML G10+</v>
      </c>
      <c r="AY2010" s="471">
        <f>VLOOKUP($AW2010,'Item Master Data'!$A:$F,6,FALSE)</f>
        <v>400</v>
      </c>
      <c r="AZ2010" s="471">
        <f t="shared" si="337"/>
        <v>24</v>
      </c>
      <c r="BA2010" s="471">
        <f>VLOOKUP(AW2010,'Item Master Data'!$A:$G,7,FALSE)</f>
        <v>32</v>
      </c>
      <c r="BC2010" s="471">
        <f t="shared" si="338"/>
        <v>0</v>
      </c>
    </row>
    <row r="2011" spans="1:1258" s="471" customFormat="1" ht="15" customHeight="1">
      <c r="A2011" s="278"/>
      <c r="B2011" s="279"/>
      <c r="C2011" s="279"/>
      <c r="D2011" s="394" t="s">
        <v>3678</v>
      </c>
      <c r="E2011" s="291" t="s">
        <v>5697</v>
      </c>
      <c r="F2011" s="474"/>
      <c r="G2011" s="474">
        <v>2022</v>
      </c>
      <c r="H2011" s="474">
        <v>5</v>
      </c>
      <c r="I2011" s="475"/>
      <c r="J2011" s="475"/>
      <c r="K2011" s="474" t="s">
        <v>3937</v>
      </c>
      <c r="L2011" s="474" t="s">
        <v>3762</v>
      </c>
      <c r="M2011" s="475">
        <v>44634</v>
      </c>
      <c r="N2011" s="475">
        <v>44638</v>
      </c>
      <c r="O2011" s="475"/>
      <c r="P2011" s="475">
        <v>44679</v>
      </c>
      <c r="Q2011" s="475"/>
      <c r="R2011" s="475"/>
      <c r="S2011" s="486" t="s">
        <v>1102</v>
      </c>
      <c r="T2011" s="474">
        <v>60</v>
      </c>
      <c r="U2011" s="474" t="s">
        <v>1281</v>
      </c>
      <c r="V2011" s="486" t="s">
        <v>973</v>
      </c>
      <c r="W2011" s="474">
        <v>400</v>
      </c>
      <c r="X2011" s="402">
        <v>768</v>
      </c>
      <c r="Y2011" s="477">
        <f>W2011*X2011</f>
        <v>307200</v>
      </c>
      <c r="Z2011" s="478">
        <v>0.49</v>
      </c>
      <c r="AA2011" s="479">
        <f>Z2011*Y2011</f>
        <v>150528</v>
      </c>
      <c r="AB2011" s="480"/>
      <c r="AC2011" s="481">
        <f t="shared" si="340"/>
        <v>0</v>
      </c>
      <c r="AD2011" s="490"/>
      <c r="AE2011" s="482"/>
      <c r="AF2011" s="493">
        <f t="shared" si="334"/>
        <v>150528</v>
      </c>
      <c r="AG2011" s="474" t="s">
        <v>47</v>
      </c>
      <c r="AH2011" s="474">
        <v>0</v>
      </c>
      <c r="AI2011" s="474">
        <v>60</v>
      </c>
      <c r="AJ2011" s="474" t="s">
        <v>3767</v>
      </c>
      <c r="AK2011" s="474" t="s">
        <v>1138</v>
      </c>
      <c r="AL2011" s="494">
        <v>11803</v>
      </c>
      <c r="AM2011" s="474" t="s">
        <v>52</v>
      </c>
      <c r="AN2011" s="474" t="s">
        <v>1085</v>
      </c>
      <c r="AO2011" s="474"/>
      <c r="AP2011" s="482" t="s">
        <v>92</v>
      </c>
      <c r="AQ2011" s="482" t="s">
        <v>37</v>
      </c>
      <c r="AR2011" s="474"/>
      <c r="AS2011" s="436" t="s">
        <v>3763</v>
      </c>
      <c r="AT2011" s="281" t="s">
        <v>1076</v>
      </c>
      <c r="AU2011" s="472" t="s">
        <v>5613</v>
      </c>
      <c r="AV2011" s="471" t="str">
        <f t="shared" ref="AV2011:AV2024" si="341">U2011</f>
        <v>30390456H</v>
      </c>
      <c r="AW2011" s="471" cm="1">
        <f t="array" ref="AW2011">SUM(MID(0&amp;AV2011,LARGE(INDEX(ISNUMBER(--MID(AV2011,ROW($1:$8),1))*ROW($1:$8),),ROW($1:$8))+1,1)*10^ROW($1:$8)/10)</f>
        <v>30390456</v>
      </c>
      <c r="AX2011" s="471" t="str">
        <f>VLOOKUP($AW2011,'Item Master Data'!$A:$F,3,FALSE)</f>
        <v>Q.PEAK DUO BLK ML G10+</v>
      </c>
      <c r="AY2011" s="471">
        <f>VLOOKUP($AW2011,'Item Master Data'!$A:$F,6,FALSE)</f>
        <v>400</v>
      </c>
      <c r="AZ2011" s="471">
        <f t="shared" ref="AZ2011:AZ2042" si="342">X2011/BA2011</f>
        <v>24</v>
      </c>
      <c r="BA2011" s="471">
        <f>VLOOKUP(AW2011,'Item Master Data'!$A:$G,7,FALSE)</f>
        <v>32</v>
      </c>
      <c r="BC2011" s="471">
        <f t="shared" ref="BC2011:BC2024" si="343">W2011-AY2011</f>
        <v>0</v>
      </c>
    </row>
    <row r="2012" spans="1:1258" s="471" customFormat="1" ht="15" customHeight="1">
      <c r="A2012" s="278"/>
      <c r="B2012" s="279"/>
      <c r="C2012" s="279"/>
      <c r="D2012" s="394" t="s">
        <v>3678</v>
      </c>
      <c r="E2012" s="280" t="s">
        <v>5415</v>
      </c>
      <c r="F2012" s="474"/>
      <c r="G2012" s="474">
        <v>2022</v>
      </c>
      <c r="H2012" s="474">
        <v>5</v>
      </c>
      <c r="I2012" s="485" t="s">
        <v>5614</v>
      </c>
      <c r="J2012" s="475"/>
      <c r="K2012" s="474" t="s">
        <v>3935</v>
      </c>
      <c r="L2012" s="474" t="s">
        <v>3762</v>
      </c>
      <c r="M2012" s="475">
        <v>44624</v>
      </c>
      <c r="N2012" s="475">
        <v>44631</v>
      </c>
      <c r="O2012" s="475"/>
      <c r="P2012" s="475">
        <v>44663</v>
      </c>
      <c r="Q2012" s="475">
        <v>44676</v>
      </c>
      <c r="R2012" s="475">
        <v>44683</v>
      </c>
      <c r="S2012" s="474" t="s">
        <v>1102</v>
      </c>
      <c r="T2012" s="474">
        <v>60</v>
      </c>
      <c r="U2012" s="474">
        <v>49203132</v>
      </c>
      <c r="V2012" s="474" t="s">
        <v>986</v>
      </c>
      <c r="W2012" s="476">
        <v>360</v>
      </c>
      <c r="X2012" s="402">
        <v>832</v>
      </c>
      <c r="Y2012" s="491">
        <f t="shared" ref="Y2012:Y2019" si="344">X2012*W2012</f>
        <v>299520</v>
      </c>
      <c r="Z2012" s="478">
        <v>0.47499999999999998</v>
      </c>
      <c r="AA2012" s="479">
        <f t="shared" ref="AA2012:AA2019" si="345">Y2012*Z2012</f>
        <v>142272</v>
      </c>
      <c r="AB2012" s="480"/>
      <c r="AC2012" s="481">
        <f t="shared" si="340"/>
        <v>0</v>
      </c>
      <c r="AD2012" s="490"/>
      <c r="AE2012" s="482"/>
      <c r="AF2012" s="493">
        <f t="shared" si="334"/>
        <v>142272</v>
      </c>
      <c r="AG2012" s="474" t="s">
        <v>47</v>
      </c>
      <c r="AH2012" s="474">
        <v>0</v>
      </c>
      <c r="AI2012" s="474">
        <v>60</v>
      </c>
      <c r="AJ2012" s="474" t="s">
        <v>2366</v>
      </c>
      <c r="AK2012" s="474" t="s">
        <v>1395</v>
      </c>
      <c r="AL2012" s="494"/>
      <c r="AM2012" s="474" t="s">
        <v>52</v>
      </c>
      <c r="AN2012" s="474" t="s">
        <v>1106</v>
      </c>
      <c r="AO2012" s="474"/>
      <c r="AP2012" s="482"/>
      <c r="AQ2012" s="482" t="s">
        <v>37</v>
      </c>
      <c r="AR2012" s="474"/>
      <c r="AS2012" s="436" t="s">
        <v>3763</v>
      </c>
      <c r="AT2012" s="281" t="s">
        <v>1076</v>
      </c>
      <c r="AU2012" s="472"/>
      <c r="AV2012" s="471">
        <f t="shared" si="341"/>
        <v>49203132</v>
      </c>
      <c r="AW2012" s="471" cm="1">
        <f t="array" ref="AW2012">SUM(MID(0&amp;AV2012,LARGE(INDEX(ISNUMBER(--MID(AV2012,ROW($1:$8),1))*ROW($1:$8),),ROW($1:$8))+1,1)*10^ROW($1:$8)/10)</f>
        <v>49203132</v>
      </c>
      <c r="AX2012" s="471" t="str">
        <f>VLOOKUP($AW2012,'Item Master Data'!$A:$F,3,FALSE)</f>
        <v>Q.PEAK DUO BLK G10+</v>
      </c>
      <c r="AY2012" s="471">
        <f>VLOOKUP($AW2012,'Item Master Data'!$A:$F,6,FALSE)</f>
        <v>360</v>
      </c>
      <c r="AZ2012" s="471">
        <f t="shared" si="342"/>
        <v>26</v>
      </c>
      <c r="BA2012" s="471">
        <f>VLOOKUP(AW2012,'Item Master Data'!$A:$G,7,FALSE)</f>
        <v>32</v>
      </c>
      <c r="BC2012" s="471">
        <f t="shared" si="343"/>
        <v>0</v>
      </c>
    </row>
    <row r="2013" spans="1:1258" s="511" customFormat="1" ht="15" customHeight="1">
      <c r="A2013" s="278"/>
      <c r="B2013" s="279"/>
      <c r="C2013" s="279"/>
      <c r="D2013" s="394" t="s">
        <v>3678</v>
      </c>
      <c r="E2013" s="288" t="s">
        <v>4001</v>
      </c>
      <c r="F2013" s="474"/>
      <c r="G2013" s="474">
        <v>2022</v>
      </c>
      <c r="H2013" s="474">
        <v>5</v>
      </c>
      <c r="I2013" s="474"/>
      <c r="J2013" s="475"/>
      <c r="K2013" s="474" t="s">
        <v>4002</v>
      </c>
      <c r="L2013" s="474" t="s">
        <v>3762</v>
      </c>
      <c r="M2013" s="475"/>
      <c r="N2013" s="475" t="s">
        <v>1631</v>
      </c>
      <c r="O2013" s="475"/>
      <c r="P2013" s="475"/>
      <c r="Q2013" s="475"/>
      <c r="R2013" s="475"/>
      <c r="S2013" s="474" t="s">
        <v>1102</v>
      </c>
      <c r="T2013" s="474">
        <v>60</v>
      </c>
      <c r="U2013" s="474"/>
      <c r="V2013" s="474" t="s">
        <v>986</v>
      </c>
      <c r="W2013" s="476">
        <v>360</v>
      </c>
      <c r="X2013" s="402">
        <f>14336-2688-4992</f>
        <v>6656</v>
      </c>
      <c r="Y2013" s="491">
        <f t="shared" si="344"/>
        <v>2396160</v>
      </c>
      <c r="Z2013" s="478">
        <v>0.47499999999999998</v>
      </c>
      <c r="AA2013" s="479">
        <f t="shared" si="345"/>
        <v>1138176</v>
      </c>
      <c r="AB2013" s="480"/>
      <c r="AC2013" s="481">
        <f t="shared" si="340"/>
        <v>0</v>
      </c>
      <c r="AD2013" s="490"/>
      <c r="AE2013" s="482"/>
      <c r="AF2013" s="493">
        <f t="shared" si="334"/>
        <v>1138176</v>
      </c>
      <c r="AG2013" s="474" t="s">
        <v>47</v>
      </c>
      <c r="AH2013" s="474">
        <v>0</v>
      </c>
      <c r="AI2013" s="474">
        <v>60</v>
      </c>
      <c r="AJ2013" s="474" t="s">
        <v>1109</v>
      </c>
      <c r="AK2013" s="474" t="s">
        <v>1109</v>
      </c>
      <c r="AL2013" s="474" t="s">
        <v>1109</v>
      </c>
      <c r="AM2013" s="474" t="s">
        <v>52</v>
      </c>
      <c r="AN2013" s="474"/>
      <c r="AO2013" s="474"/>
      <c r="AP2013" s="482"/>
      <c r="AQ2013" s="482" t="s">
        <v>37</v>
      </c>
      <c r="AR2013" s="474"/>
      <c r="AS2013" s="436" t="s">
        <v>3763</v>
      </c>
      <c r="AT2013" s="281" t="s">
        <v>1076</v>
      </c>
      <c r="AU2013" s="472"/>
      <c r="AV2013" s="471">
        <f t="shared" si="341"/>
        <v>0</v>
      </c>
      <c r="AW2013" s="471" cm="1">
        <f t="array" ref="AW2013">SUM(MID(0&amp;AV2013,LARGE(INDEX(ISNUMBER(--MID(AV2013,ROW($1:$8),1))*ROW($1:$8),),ROW($1:$8))+1,1)*10^ROW($1:$8)/10)</f>
        <v>0</v>
      </c>
      <c r="AX2013" s="471" t="e">
        <f>VLOOKUP($AW2013,'Item Master Data'!$A:$F,3,FALSE)</f>
        <v>#N/A</v>
      </c>
      <c r="AY2013" s="471" t="e">
        <f>VLOOKUP($AW2013,'Item Master Data'!$A:$F,6,FALSE)</f>
        <v>#N/A</v>
      </c>
      <c r="AZ2013" s="471" t="e">
        <f t="shared" si="342"/>
        <v>#N/A</v>
      </c>
      <c r="BA2013" s="471" t="e">
        <f>VLOOKUP(AW2013,'Item Master Data'!$A:$G,7,FALSE)</f>
        <v>#N/A</v>
      </c>
      <c r="BB2013" s="471"/>
      <c r="BC2013" s="471" t="e">
        <f t="shared" si="343"/>
        <v>#N/A</v>
      </c>
      <c r="BD2013" s="471"/>
      <c r="BE2013" s="471"/>
      <c r="BF2013" s="471"/>
      <c r="BG2013" s="471"/>
      <c r="BH2013" s="471"/>
      <c r="BI2013" s="471"/>
      <c r="BJ2013" s="471"/>
      <c r="BK2013" s="471"/>
      <c r="BL2013" s="471"/>
      <c r="BM2013" s="471"/>
      <c r="BN2013" s="471"/>
      <c r="BO2013" s="471"/>
      <c r="BP2013" s="471"/>
      <c r="BQ2013" s="471"/>
      <c r="BR2013" s="471"/>
      <c r="BS2013" s="471"/>
      <c r="BT2013" s="471"/>
      <c r="BU2013" s="471"/>
      <c r="BV2013" s="471"/>
      <c r="BW2013" s="471"/>
      <c r="BX2013" s="471"/>
      <c r="BY2013" s="471"/>
      <c r="BZ2013" s="471"/>
      <c r="CA2013" s="471"/>
      <c r="CB2013" s="471"/>
      <c r="CC2013" s="471"/>
      <c r="CD2013" s="471"/>
      <c r="CE2013" s="471"/>
      <c r="CF2013" s="471"/>
      <c r="CG2013" s="471"/>
      <c r="CH2013" s="471"/>
      <c r="CI2013" s="471"/>
      <c r="CJ2013" s="471"/>
      <c r="CK2013" s="471"/>
      <c r="CL2013" s="471"/>
      <c r="CM2013" s="471"/>
      <c r="CN2013" s="471"/>
      <c r="CO2013" s="471"/>
      <c r="CP2013" s="471"/>
      <c r="CQ2013" s="471"/>
      <c r="CR2013" s="471"/>
      <c r="CS2013" s="471"/>
      <c r="CT2013" s="471"/>
      <c r="CU2013" s="471"/>
      <c r="CV2013" s="471"/>
      <c r="CW2013" s="471"/>
      <c r="CX2013" s="471"/>
      <c r="CY2013" s="471"/>
      <c r="CZ2013" s="471"/>
      <c r="DA2013" s="471"/>
      <c r="DB2013" s="471"/>
      <c r="DC2013" s="471"/>
      <c r="DD2013" s="471"/>
      <c r="DE2013" s="471"/>
      <c r="DF2013" s="471"/>
      <c r="DG2013" s="471"/>
      <c r="DH2013" s="471"/>
      <c r="DI2013" s="471"/>
      <c r="DJ2013" s="471"/>
      <c r="DK2013" s="471"/>
      <c r="DL2013" s="471"/>
      <c r="DM2013" s="471"/>
      <c r="DN2013" s="471"/>
      <c r="DO2013" s="471"/>
      <c r="DP2013" s="471"/>
      <c r="DQ2013" s="471"/>
      <c r="DR2013" s="471"/>
      <c r="DS2013" s="471"/>
      <c r="DT2013" s="471"/>
      <c r="DU2013" s="471"/>
      <c r="DV2013" s="471"/>
      <c r="DW2013" s="471"/>
      <c r="DX2013" s="471"/>
      <c r="DY2013" s="471"/>
      <c r="DZ2013" s="471"/>
      <c r="EA2013" s="471"/>
      <c r="EB2013" s="471"/>
      <c r="EC2013" s="471"/>
      <c r="ED2013" s="471"/>
      <c r="EE2013" s="471"/>
      <c r="EF2013" s="471"/>
      <c r="EG2013" s="471"/>
      <c r="EH2013" s="471"/>
      <c r="EI2013" s="471"/>
      <c r="EJ2013" s="471"/>
      <c r="EK2013" s="471"/>
      <c r="EL2013" s="471"/>
      <c r="EM2013" s="471"/>
      <c r="EN2013" s="471"/>
      <c r="EO2013" s="471"/>
      <c r="EP2013" s="471"/>
      <c r="EQ2013" s="471"/>
      <c r="ER2013" s="471"/>
      <c r="ES2013" s="471"/>
      <c r="ET2013" s="471"/>
      <c r="EU2013" s="471"/>
      <c r="EV2013" s="471"/>
      <c r="EW2013" s="471"/>
      <c r="EX2013" s="471"/>
      <c r="EY2013" s="471"/>
      <c r="EZ2013" s="471"/>
      <c r="FA2013" s="471"/>
      <c r="FB2013" s="471"/>
      <c r="FC2013" s="471"/>
      <c r="FD2013" s="471"/>
      <c r="FE2013" s="471"/>
      <c r="FF2013" s="471"/>
      <c r="FG2013" s="471"/>
      <c r="FH2013" s="471"/>
      <c r="FI2013" s="471"/>
      <c r="FJ2013" s="471"/>
      <c r="FK2013" s="471"/>
      <c r="FL2013" s="471"/>
      <c r="FM2013" s="471"/>
      <c r="FN2013" s="471"/>
      <c r="FO2013" s="471"/>
      <c r="FP2013" s="471"/>
      <c r="FQ2013" s="471"/>
      <c r="FR2013" s="471"/>
      <c r="FS2013" s="471"/>
      <c r="FT2013" s="471"/>
      <c r="FU2013" s="471"/>
      <c r="FV2013" s="471"/>
      <c r="FW2013" s="471"/>
      <c r="FX2013" s="471"/>
      <c r="FY2013" s="471"/>
      <c r="FZ2013" s="471"/>
      <c r="GA2013" s="471"/>
      <c r="GB2013" s="471"/>
      <c r="GC2013" s="471"/>
      <c r="GD2013" s="471"/>
      <c r="GE2013" s="471"/>
      <c r="GF2013" s="471"/>
      <c r="GG2013" s="471"/>
      <c r="GH2013" s="471"/>
      <c r="GI2013" s="471"/>
      <c r="GJ2013" s="471"/>
      <c r="GK2013" s="471"/>
      <c r="GL2013" s="471"/>
      <c r="GM2013" s="471"/>
      <c r="GN2013" s="471"/>
      <c r="GO2013" s="471"/>
      <c r="GP2013" s="471"/>
      <c r="GQ2013" s="471"/>
      <c r="GR2013" s="471"/>
      <c r="GS2013" s="471"/>
      <c r="GT2013" s="471"/>
      <c r="GU2013" s="471"/>
      <c r="GV2013" s="471"/>
      <c r="GW2013" s="471"/>
      <c r="GX2013" s="471"/>
      <c r="GY2013" s="471"/>
      <c r="GZ2013" s="471"/>
      <c r="HA2013" s="471"/>
      <c r="HB2013" s="471"/>
      <c r="HC2013" s="471"/>
      <c r="HD2013" s="471"/>
      <c r="HE2013" s="471"/>
      <c r="HF2013" s="471"/>
      <c r="HG2013" s="471"/>
      <c r="HH2013" s="471"/>
      <c r="HI2013" s="471"/>
      <c r="HJ2013" s="471"/>
      <c r="HK2013" s="471"/>
      <c r="HL2013" s="471"/>
      <c r="HM2013" s="471"/>
      <c r="HN2013" s="471"/>
      <c r="HO2013" s="471"/>
      <c r="HP2013" s="471"/>
      <c r="HQ2013" s="471"/>
      <c r="HR2013" s="471"/>
      <c r="HS2013" s="471"/>
      <c r="HT2013" s="471"/>
      <c r="HU2013" s="471"/>
      <c r="HV2013" s="471"/>
      <c r="HW2013" s="471"/>
      <c r="HX2013" s="471"/>
      <c r="HY2013" s="471"/>
      <c r="HZ2013" s="471"/>
      <c r="IA2013" s="471"/>
      <c r="IB2013" s="471"/>
      <c r="IC2013" s="471"/>
      <c r="ID2013" s="471"/>
      <c r="IE2013" s="471"/>
      <c r="IF2013" s="471"/>
      <c r="IG2013" s="471"/>
      <c r="IH2013" s="471"/>
      <c r="II2013" s="471"/>
      <c r="IJ2013" s="471"/>
      <c r="IK2013" s="471"/>
      <c r="IL2013" s="471"/>
      <c r="IM2013" s="471"/>
      <c r="IN2013" s="471"/>
      <c r="IO2013" s="471"/>
      <c r="IP2013" s="471"/>
      <c r="IQ2013" s="471"/>
      <c r="IR2013" s="471"/>
      <c r="IS2013" s="471"/>
      <c r="IT2013" s="471"/>
      <c r="IU2013" s="471"/>
      <c r="IV2013" s="471"/>
      <c r="IW2013" s="471"/>
      <c r="IX2013" s="471"/>
      <c r="IY2013" s="471"/>
      <c r="IZ2013" s="471"/>
      <c r="JA2013" s="471"/>
      <c r="JB2013" s="471"/>
      <c r="JC2013" s="471"/>
      <c r="JD2013" s="471"/>
      <c r="JE2013" s="471"/>
      <c r="JF2013" s="471"/>
      <c r="JG2013" s="471"/>
      <c r="JH2013" s="471"/>
      <c r="JI2013" s="471"/>
      <c r="JJ2013" s="471"/>
      <c r="JK2013" s="471"/>
      <c r="JL2013" s="471"/>
      <c r="JM2013" s="471"/>
      <c r="JN2013" s="471"/>
      <c r="JO2013" s="471"/>
      <c r="JP2013" s="471"/>
      <c r="JQ2013" s="471"/>
      <c r="JR2013" s="471"/>
      <c r="JS2013" s="471"/>
      <c r="JT2013" s="471"/>
      <c r="JU2013" s="471"/>
      <c r="JV2013" s="471"/>
      <c r="JW2013" s="471"/>
      <c r="JX2013" s="471"/>
      <c r="JY2013" s="471"/>
      <c r="JZ2013" s="471"/>
      <c r="KA2013" s="471"/>
      <c r="KB2013" s="471"/>
      <c r="KC2013" s="471"/>
      <c r="KD2013" s="471"/>
      <c r="KE2013" s="471"/>
      <c r="KF2013" s="471"/>
      <c r="KG2013" s="471"/>
      <c r="KH2013" s="471"/>
      <c r="KI2013" s="471"/>
      <c r="KJ2013" s="471"/>
      <c r="KK2013" s="471"/>
      <c r="KL2013" s="471"/>
      <c r="KM2013" s="471"/>
      <c r="KN2013" s="471"/>
      <c r="KO2013" s="471"/>
      <c r="KP2013" s="471"/>
      <c r="KQ2013" s="471"/>
      <c r="KR2013" s="471"/>
      <c r="KS2013" s="471"/>
      <c r="KT2013" s="471"/>
      <c r="KU2013" s="471"/>
      <c r="KV2013" s="471"/>
      <c r="KW2013" s="471"/>
      <c r="KX2013" s="471"/>
      <c r="KY2013" s="471"/>
      <c r="KZ2013" s="471"/>
      <c r="LA2013" s="471"/>
      <c r="LB2013" s="471"/>
      <c r="LC2013" s="471"/>
      <c r="LD2013" s="471"/>
      <c r="LE2013" s="471"/>
      <c r="LF2013" s="471"/>
      <c r="LG2013" s="471"/>
      <c r="LH2013" s="471"/>
      <c r="LI2013" s="471"/>
      <c r="LJ2013" s="471"/>
      <c r="LK2013" s="471"/>
      <c r="LL2013" s="471"/>
      <c r="LM2013" s="471"/>
      <c r="LN2013" s="471"/>
      <c r="LO2013" s="471"/>
      <c r="LP2013" s="471"/>
      <c r="LQ2013" s="471"/>
      <c r="LR2013" s="471"/>
      <c r="LS2013" s="471"/>
      <c r="LT2013" s="471"/>
      <c r="LU2013" s="471"/>
      <c r="LV2013" s="471"/>
      <c r="LW2013" s="471"/>
      <c r="LX2013" s="471"/>
      <c r="LY2013" s="471"/>
      <c r="LZ2013" s="471"/>
      <c r="MA2013" s="471"/>
      <c r="MB2013" s="471"/>
      <c r="MC2013" s="471"/>
      <c r="MD2013" s="471"/>
      <c r="ME2013" s="471"/>
      <c r="MF2013" s="471"/>
      <c r="MG2013" s="471"/>
      <c r="MH2013" s="471"/>
      <c r="MI2013" s="471"/>
      <c r="MJ2013" s="471"/>
      <c r="MK2013" s="471"/>
      <c r="ML2013" s="471"/>
      <c r="MM2013" s="471"/>
      <c r="MN2013" s="471"/>
      <c r="MO2013" s="471"/>
      <c r="MP2013" s="471"/>
      <c r="MQ2013" s="471"/>
      <c r="MR2013" s="471"/>
      <c r="MS2013" s="471"/>
      <c r="MT2013" s="471"/>
      <c r="MU2013" s="471"/>
      <c r="MV2013" s="471"/>
      <c r="MW2013" s="471"/>
      <c r="MX2013" s="471"/>
      <c r="MY2013" s="471"/>
      <c r="MZ2013" s="471"/>
      <c r="NA2013" s="471"/>
      <c r="NB2013" s="471"/>
      <c r="NC2013" s="471"/>
      <c r="ND2013" s="471"/>
      <c r="NE2013" s="471"/>
      <c r="NF2013" s="471"/>
      <c r="NG2013" s="471"/>
      <c r="NH2013" s="471"/>
      <c r="NI2013" s="471"/>
      <c r="NJ2013" s="471"/>
      <c r="NK2013" s="471"/>
      <c r="NL2013" s="471"/>
      <c r="NM2013" s="471"/>
      <c r="NN2013" s="471"/>
      <c r="NO2013" s="471"/>
      <c r="NP2013" s="471"/>
      <c r="NQ2013" s="471"/>
      <c r="NR2013" s="471"/>
      <c r="NS2013" s="471"/>
      <c r="NT2013" s="471"/>
      <c r="NU2013" s="471"/>
      <c r="NV2013" s="471"/>
      <c r="NW2013" s="471"/>
      <c r="NX2013" s="471"/>
      <c r="NY2013" s="471"/>
      <c r="NZ2013" s="471"/>
      <c r="OA2013" s="471"/>
      <c r="OB2013" s="471"/>
      <c r="OC2013" s="471"/>
      <c r="OD2013" s="471"/>
      <c r="OE2013" s="471"/>
      <c r="OF2013" s="471"/>
      <c r="OG2013" s="471"/>
      <c r="OH2013" s="471"/>
      <c r="OI2013" s="471"/>
      <c r="OJ2013" s="471"/>
      <c r="OK2013" s="471"/>
      <c r="OL2013" s="471"/>
      <c r="OM2013" s="471"/>
      <c r="ON2013" s="471"/>
      <c r="OO2013" s="471"/>
      <c r="OP2013" s="471"/>
      <c r="OQ2013" s="471"/>
      <c r="OR2013" s="471"/>
      <c r="OS2013" s="471"/>
      <c r="OT2013" s="471"/>
      <c r="OU2013" s="471"/>
      <c r="OV2013" s="471"/>
      <c r="OW2013" s="471"/>
      <c r="OX2013" s="471"/>
      <c r="OY2013" s="471"/>
      <c r="OZ2013" s="471"/>
      <c r="PA2013" s="471"/>
      <c r="PB2013" s="471"/>
      <c r="PC2013" s="471"/>
      <c r="PD2013" s="471"/>
      <c r="PE2013" s="471"/>
      <c r="PF2013" s="471"/>
      <c r="PG2013" s="471"/>
      <c r="PH2013" s="471"/>
      <c r="PI2013" s="471"/>
      <c r="PJ2013" s="471"/>
      <c r="PK2013" s="471"/>
      <c r="PL2013" s="471"/>
      <c r="PM2013" s="471"/>
      <c r="PN2013" s="471"/>
      <c r="PO2013" s="471"/>
      <c r="PP2013" s="471"/>
      <c r="PQ2013" s="471"/>
      <c r="PR2013" s="471"/>
      <c r="PS2013" s="471"/>
      <c r="PT2013" s="471"/>
      <c r="PU2013" s="471"/>
      <c r="PV2013" s="471"/>
      <c r="PW2013" s="471"/>
      <c r="PX2013" s="471"/>
      <c r="PY2013" s="471"/>
      <c r="PZ2013" s="471"/>
      <c r="QA2013" s="471"/>
      <c r="QB2013" s="471"/>
      <c r="QC2013" s="471"/>
      <c r="QD2013" s="471"/>
      <c r="QE2013" s="471"/>
      <c r="QF2013" s="471"/>
      <c r="QG2013" s="471"/>
      <c r="QH2013" s="471"/>
      <c r="QI2013" s="471"/>
      <c r="QJ2013" s="471"/>
      <c r="QK2013" s="471"/>
      <c r="QL2013" s="471"/>
      <c r="QM2013" s="471"/>
      <c r="QN2013" s="471"/>
      <c r="QO2013" s="471"/>
      <c r="QP2013" s="471"/>
      <c r="QQ2013" s="471"/>
      <c r="QR2013" s="471"/>
      <c r="QS2013" s="471"/>
      <c r="QT2013" s="471"/>
      <c r="QU2013" s="471"/>
      <c r="QV2013" s="471"/>
      <c r="QW2013" s="471"/>
      <c r="QX2013" s="471"/>
      <c r="QY2013" s="471"/>
      <c r="QZ2013" s="471"/>
      <c r="RA2013" s="471"/>
      <c r="RB2013" s="471"/>
      <c r="RC2013" s="471"/>
      <c r="RD2013" s="471"/>
      <c r="RE2013" s="471"/>
      <c r="RF2013" s="471"/>
      <c r="RG2013" s="471"/>
      <c r="RH2013" s="471"/>
      <c r="RI2013" s="471"/>
      <c r="RJ2013" s="471"/>
      <c r="RK2013" s="471"/>
      <c r="RL2013" s="471"/>
      <c r="RM2013" s="471"/>
      <c r="RN2013" s="471"/>
      <c r="RO2013" s="471"/>
      <c r="RP2013" s="471"/>
      <c r="RQ2013" s="471"/>
      <c r="RR2013" s="471"/>
      <c r="RS2013" s="471"/>
      <c r="RT2013" s="471"/>
      <c r="RU2013" s="471"/>
      <c r="RV2013" s="471"/>
      <c r="RW2013" s="471"/>
      <c r="RX2013" s="471"/>
      <c r="RY2013" s="471"/>
      <c r="RZ2013" s="471"/>
      <c r="SA2013" s="471"/>
      <c r="SB2013" s="471"/>
      <c r="SC2013" s="471"/>
      <c r="SD2013" s="471"/>
      <c r="SE2013" s="471"/>
      <c r="SF2013" s="471"/>
      <c r="SG2013" s="471"/>
      <c r="SH2013" s="471"/>
      <c r="SI2013" s="471"/>
      <c r="SJ2013" s="471"/>
      <c r="SK2013" s="471"/>
      <c r="SL2013" s="471"/>
      <c r="SM2013" s="471"/>
      <c r="SN2013" s="471"/>
      <c r="SO2013" s="471"/>
      <c r="SP2013" s="471"/>
      <c r="SQ2013" s="471"/>
      <c r="SR2013" s="471"/>
      <c r="SS2013" s="471"/>
      <c r="ST2013" s="471"/>
      <c r="SU2013" s="471"/>
      <c r="SV2013" s="471"/>
      <c r="SW2013" s="471"/>
      <c r="SX2013" s="471"/>
      <c r="SY2013" s="471"/>
      <c r="SZ2013" s="471"/>
      <c r="TA2013" s="471"/>
      <c r="TB2013" s="471"/>
      <c r="TC2013" s="471"/>
      <c r="TD2013" s="471"/>
      <c r="TE2013" s="471"/>
      <c r="TF2013" s="471"/>
      <c r="TG2013" s="471"/>
      <c r="TH2013" s="471"/>
      <c r="TI2013" s="471"/>
      <c r="TJ2013" s="471"/>
      <c r="TK2013" s="471"/>
      <c r="TL2013" s="471"/>
      <c r="TM2013" s="471"/>
      <c r="TN2013" s="471"/>
      <c r="TO2013" s="471"/>
      <c r="TP2013" s="471"/>
      <c r="TQ2013" s="471"/>
      <c r="TR2013" s="471"/>
      <c r="TS2013" s="471"/>
      <c r="TT2013" s="471"/>
      <c r="TU2013" s="471"/>
      <c r="TV2013" s="471"/>
      <c r="TW2013" s="471"/>
      <c r="TX2013" s="471"/>
      <c r="TY2013" s="471"/>
      <c r="TZ2013" s="471"/>
      <c r="UA2013" s="471"/>
      <c r="UB2013" s="471"/>
      <c r="UC2013" s="471"/>
      <c r="UD2013" s="471"/>
      <c r="UE2013" s="471"/>
      <c r="UF2013" s="471"/>
      <c r="UG2013" s="471"/>
      <c r="UH2013" s="471"/>
      <c r="UI2013" s="471"/>
      <c r="UJ2013" s="471"/>
      <c r="UK2013" s="471"/>
      <c r="UL2013" s="471"/>
      <c r="UM2013" s="471"/>
      <c r="UN2013" s="471"/>
      <c r="UO2013" s="471"/>
      <c r="UP2013" s="471"/>
      <c r="UQ2013" s="471"/>
      <c r="UR2013" s="471"/>
      <c r="US2013" s="471"/>
      <c r="UT2013" s="471"/>
      <c r="UU2013" s="471"/>
      <c r="UV2013" s="471"/>
      <c r="UW2013" s="471"/>
      <c r="UX2013" s="471"/>
      <c r="UY2013" s="471"/>
      <c r="UZ2013" s="471"/>
      <c r="VA2013" s="471"/>
      <c r="VB2013" s="471"/>
      <c r="VC2013" s="471"/>
      <c r="VD2013" s="471"/>
      <c r="VE2013" s="471"/>
      <c r="VF2013" s="471"/>
      <c r="VG2013" s="471"/>
      <c r="VH2013" s="471"/>
      <c r="VI2013" s="471"/>
      <c r="VJ2013" s="471"/>
      <c r="VK2013" s="471"/>
      <c r="VL2013" s="471"/>
      <c r="VM2013" s="471"/>
      <c r="VN2013" s="471"/>
      <c r="VO2013" s="471"/>
      <c r="VP2013" s="471"/>
      <c r="VQ2013" s="471"/>
      <c r="VR2013" s="471"/>
      <c r="VS2013" s="471"/>
      <c r="VT2013" s="471"/>
      <c r="VU2013" s="471"/>
      <c r="VV2013" s="471"/>
      <c r="VW2013" s="471"/>
      <c r="VX2013" s="471"/>
      <c r="VY2013" s="471"/>
      <c r="VZ2013" s="471"/>
      <c r="WA2013" s="471"/>
      <c r="WB2013" s="471"/>
      <c r="WC2013" s="471"/>
      <c r="WD2013" s="471"/>
      <c r="WE2013" s="471"/>
      <c r="WF2013" s="471"/>
      <c r="WG2013" s="471"/>
      <c r="WH2013" s="471"/>
      <c r="WI2013" s="471"/>
      <c r="WJ2013" s="471"/>
      <c r="WK2013" s="471"/>
      <c r="WL2013" s="471"/>
      <c r="WM2013" s="471"/>
      <c r="WN2013" s="471"/>
      <c r="WO2013" s="471"/>
      <c r="WP2013" s="471"/>
      <c r="WQ2013" s="471"/>
      <c r="WR2013" s="471"/>
      <c r="WS2013" s="471"/>
      <c r="WT2013" s="471"/>
      <c r="WU2013" s="471"/>
      <c r="WV2013" s="471"/>
      <c r="WW2013" s="471"/>
      <c r="WX2013" s="471"/>
      <c r="WY2013" s="471"/>
      <c r="WZ2013" s="471"/>
      <c r="XA2013" s="471"/>
      <c r="XB2013" s="471"/>
      <c r="XC2013" s="471"/>
      <c r="XD2013" s="471"/>
      <c r="XE2013" s="471"/>
      <c r="XF2013" s="471"/>
      <c r="XG2013" s="471"/>
      <c r="XH2013" s="471"/>
      <c r="XI2013" s="471"/>
      <c r="XJ2013" s="471"/>
      <c r="XK2013" s="471"/>
      <c r="XL2013" s="471"/>
      <c r="XM2013" s="471"/>
      <c r="XN2013" s="471"/>
      <c r="XO2013" s="471"/>
      <c r="XP2013" s="471"/>
      <c r="XQ2013" s="471"/>
      <c r="XR2013" s="471"/>
      <c r="XS2013" s="471"/>
      <c r="XT2013" s="471"/>
      <c r="XU2013" s="471"/>
      <c r="XV2013" s="471"/>
      <c r="XW2013" s="471"/>
      <c r="XX2013" s="471"/>
      <c r="XY2013" s="471"/>
      <c r="XZ2013" s="471"/>
      <c r="YA2013" s="471"/>
      <c r="YB2013" s="471"/>
      <c r="YC2013" s="471"/>
      <c r="YD2013" s="471"/>
      <c r="YE2013" s="471"/>
      <c r="YF2013" s="471"/>
      <c r="YG2013" s="471"/>
      <c r="YH2013" s="471"/>
      <c r="YI2013" s="471"/>
      <c r="YJ2013" s="471"/>
      <c r="YK2013" s="471"/>
      <c r="YL2013" s="471"/>
      <c r="YM2013" s="471"/>
      <c r="YN2013" s="471"/>
      <c r="YO2013" s="471"/>
      <c r="YP2013" s="471"/>
      <c r="YQ2013" s="471"/>
      <c r="YR2013" s="471"/>
      <c r="YS2013" s="471"/>
      <c r="YT2013" s="471"/>
      <c r="YU2013" s="471"/>
      <c r="YV2013" s="471"/>
      <c r="YW2013" s="471"/>
      <c r="YX2013" s="471"/>
      <c r="YY2013" s="471"/>
      <c r="YZ2013" s="471"/>
      <c r="ZA2013" s="471"/>
      <c r="ZB2013" s="471"/>
      <c r="ZC2013" s="471"/>
      <c r="ZD2013" s="471"/>
      <c r="ZE2013" s="471"/>
      <c r="ZF2013" s="471"/>
      <c r="ZG2013" s="471"/>
      <c r="ZH2013" s="471"/>
      <c r="ZI2013" s="471"/>
      <c r="ZJ2013" s="471"/>
      <c r="ZK2013" s="471"/>
      <c r="ZL2013" s="471"/>
      <c r="ZM2013" s="471"/>
      <c r="ZN2013" s="471"/>
      <c r="ZO2013" s="471"/>
      <c r="ZP2013" s="471"/>
      <c r="ZQ2013" s="471"/>
      <c r="ZR2013" s="471"/>
      <c r="ZS2013" s="471"/>
      <c r="ZT2013" s="471"/>
      <c r="ZU2013" s="471"/>
      <c r="ZV2013" s="471"/>
      <c r="ZW2013" s="471"/>
      <c r="ZX2013" s="471"/>
      <c r="ZY2013" s="471"/>
      <c r="ZZ2013" s="471"/>
      <c r="AAA2013" s="471"/>
      <c r="AAB2013" s="471"/>
      <c r="AAC2013" s="471"/>
      <c r="AAD2013" s="471"/>
      <c r="AAE2013" s="471"/>
      <c r="AAF2013" s="471"/>
      <c r="AAG2013" s="471"/>
      <c r="AAH2013" s="471"/>
      <c r="AAI2013" s="471"/>
      <c r="AAJ2013" s="471"/>
      <c r="AAK2013" s="471"/>
      <c r="AAL2013" s="471"/>
      <c r="AAM2013" s="471"/>
      <c r="AAN2013" s="471"/>
      <c r="AAO2013" s="471"/>
      <c r="AAP2013" s="471"/>
      <c r="AAQ2013" s="471"/>
      <c r="AAR2013" s="471"/>
      <c r="AAS2013" s="471"/>
      <c r="AAT2013" s="471"/>
      <c r="AAU2013" s="471"/>
      <c r="AAV2013" s="471"/>
      <c r="AAW2013" s="471"/>
      <c r="AAX2013" s="471"/>
      <c r="AAY2013" s="471"/>
      <c r="AAZ2013" s="471"/>
      <c r="ABA2013" s="471"/>
      <c r="ABB2013" s="471"/>
      <c r="ABC2013" s="471"/>
      <c r="ABD2013" s="471"/>
      <c r="ABE2013" s="471"/>
      <c r="ABF2013" s="471"/>
      <c r="ABG2013" s="471"/>
      <c r="ABH2013" s="471"/>
      <c r="ABI2013" s="471"/>
      <c r="ABJ2013" s="471"/>
      <c r="ABK2013" s="471"/>
      <c r="ABL2013" s="471"/>
      <c r="ABM2013" s="471"/>
      <c r="ABN2013" s="471"/>
      <c r="ABO2013" s="471"/>
      <c r="ABP2013" s="471"/>
      <c r="ABQ2013" s="471"/>
      <c r="ABR2013" s="471"/>
      <c r="ABS2013" s="471"/>
      <c r="ABT2013" s="471"/>
      <c r="ABU2013" s="471"/>
      <c r="ABV2013" s="471"/>
      <c r="ABW2013" s="471"/>
      <c r="ABX2013" s="471"/>
      <c r="ABY2013" s="471"/>
      <c r="ABZ2013" s="471"/>
      <c r="ACA2013" s="471"/>
      <c r="ACB2013" s="471"/>
      <c r="ACC2013" s="471"/>
      <c r="ACD2013" s="471"/>
      <c r="ACE2013" s="471"/>
      <c r="ACF2013" s="471"/>
      <c r="ACG2013" s="471"/>
      <c r="ACH2013" s="471"/>
      <c r="ACI2013" s="471"/>
      <c r="ACJ2013" s="471"/>
      <c r="ACK2013" s="471"/>
      <c r="ACL2013" s="471"/>
      <c r="ACM2013" s="471"/>
      <c r="ACN2013" s="471"/>
      <c r="ACO2013" s="471"/>
      <c r="ACP2013" s="471"/>
      <c r="ACQ2013" s="471"/>
      <c r="ACR2013" s="471"/>
      <c r="ACS2013" s="471"/>
      <c r="ACT2013" s="471"/>
      <c r="ACU2013" s="471"/>
      <c r="ACV2013" s="471"/>
      <c r="ACW2013" s="471"/>
      <c r="ACX2013" s="471"/>
      <c r="ACY2013" s="471"/>
      <c r="ACZ2013" s="471"/>
      <c r="ADA2013" s="471"/>
      <c r="ADB2013" s="471"/>
      <c r="ADC2013" s="471"/>
      <c r="ADD2013" s="471"/>
      <c r="ADE2013" s="471"/>
      <c r="ADF2013" s="471"/>
      <c r="ADG2013" s="471"/>
      <c r="ADH2013" s="471"/>
      <c r="ADI2013" s="471"/>
      <c r="ADJ2013" s="471"/>
      <c r="ADK2013" s="471"/>
      <c r="ADL2013" s="471"/>
      <c r="ADM2013" s="471"/>
      <c r="ADN2013" s="471"/>
      <c r="ADO2013" s="471"/>
      <c r="ADP2013" s="471"/>
      <c r="ADQ2013" s="471"/>
      <c r="ADR2013" s="471"/>
      <c r="ADS2013" s="471"/>
      <c r="ADT2013" s="471"/>
      <c r="ADU2013" s="471"/>
      <c r="ADV2013" s="471"/>
      <c r="ADW2013" s="471"/>
      <c r="ADX2013" s="471"/>
      <c r="ADY2013" s="471"/>
      <c r="ADZ2013" s="471"/>
      <c r="AEA2013" s="471"/>
      <c r="AEB2013" s="471"/>
      <c r="AEC2013" s="471"/>
      <c r="AED2013" s="471"/>
      <c r="AEE2013" s="471"/>
      <c r="AEF2013" s="471"/>
      <c r="AEG2013" s="471"/>
      <c r="AEH2013" s="471"/>
      <c r="AEI2013" s="471"/>
      <c r="AEJ2013" s="471"/>
      <c r="AEK2013" s="471"/>
      <c r="AEL2013" s="471"/>
      <c r="AEM2013" s="471"/>
      <c r="AEN2013" s="471"/>
      <c r="AEO2013" s="471"/>
      <c r="AEP2013" s="471"/>
      <c r="AEQ2013" s="471"/>
      <c r="AER2013" s="471"/>
      <c r="AES2013" s="471"/>
      <c r="AET2013" s="471"/>
      <c r="AEU2013" s="471"/>
      <c r="AEV2013" s="471"/>
      <c r="AEW2013" s="471"/>
      <c r="AEX2013" s="471"/>
      <c r="AEY2013" s="471"/>
      <c r="AEZ2013" s="471"/>
      <c r="AFA2013" s="471"/>
      <c r="AFB2013" s="471"/>
      <c r="AFC2013" s="471"/>
      <c r="AFD2013" s="471"/>
      <c r="AFE2013" s="471"/>
      <c r="AFF2013" s="471"/>
      <c r="AFG2013" s="471"/>
      <c r="AFH2013" s="471"/>
      <c r="AFI2013" s="471"/>
      <c r="AFJ2013" s="471"/>
      <c r="AFK2013" s="471"/>
      <c r="AFL2013" s="471"/>
      <c r="AFM2013" s="471"/>
      <c r="AFN2013" s="471"/>
      <c r="AFO2013" s="471"/>
      <c r="AFP2013" s="471"/>
      <c r="AFQ2013" s="471"/>
      <c r="AFR2013" s="471"/>
      <c r="AFS2013" s="471"/>
      <c r="AFT2013" s="471"/>
      <c r="AFU2013" s="471"/>
      <c r="AFV2013" s="471"/>
      <c r="AFW2013" s="471"/>
      <c r="AFX2013" s="471"/>
      <c r="AFY2013" s="471"/>
      <c r="AFZ2013" s="471"/>
      <c r="AGA2013" s="471"/>
      <c r="AGB2013" s="471"/>
      <c r="AGC2013" s="471"/>
      <c r="AGD2013" s="471"/>
      <c r="AGE2013" s="471"/>
      <c r="AGF2013" s="471"/>
      <c r="AGG2013" s="471"/>
      <c r="AGH2013" s="471"/>
      <c r="AGI2013" s="471"/>
      <c r="AGJ2013" s="471"/>
      <c r="AGK2013" s="471"/>
      <c r="AGL2013" s="471"/>
      <c r="AGM2013" s="471"/>
      <c r="AGN2013" s="471"/>
      <c r="AGO2013" s="471"/>
      <c r="AGP2013" s="471"/>
      <c r="AGQ2013" s="471"/>
      <c r="AGR2013" s="471"/>
      <c r="AGS2013" s="471"/>
      <c r="AGT2013" s="471"/>
      <c r="AGU2013" s="471"/>
      <c r="AGV2013" s="471"/>
      <c r="AGW2013" s="471"/>
      <c r="AGX2013" s="471"/>
      <c r="AGY2013" s="471"/>
      <c r="AGZ2013" s="471"/>
      <c r="AHA2013" s="471"/>
      <c r="AHB2013" s="471"/>
      <c r="AHC2013" s="471"/>
      <c r="AHD2013" s="471"/>
      <c r="AHE2013" s="471"/>
      <c r="AHF2013" s="471"/>
      <c r="AHG2013" s="471"/>
      <c r="AHH2013" s="471"/>
      <c r="AHI2013" s="471"/>
      <c r="AHJ2013" s="471"/>
      <c r="AHK2013" s="471"/>
      <c r="AHL2013" s="471"/>
      <c r="AHM2013" s="471"/>
      <c r="AHN2013" s="471"/>
      <c r="AHO2013" s="471"/>
      <c r="AHP2013" s="471"/>
      <c r="AHQ2013" s="471"/>
      <c r="AHR2013" s="471"/>
      <c r="AHS2013" s="471"/>
      <c r="AHT2013" s="471"/>
      <c r="AHU2013" s="471"/>
      <c r="AHV2013" s="471"/>
      <c r="AHW2013" s="471"/>
      <c r="AHX2013" s="471"/>
      <c r="AHY2013" s="471"/>
      <c r="AHZ2013" s="471"/>
      <c r="AIA2013" s="471"/>
      <c r="AIB2013" s="471"/>
      <c r="AIC2013" s="471"/>
      <c r="AID2013" s="471"/>
      <c r="AIE2013" s="471"/>
      <c r="AIF2013" s="471"/>
      <c r="AIG2013" s="471"/>
      <c r="AIH2013" s="471"/>
      <c r="AII2013" s="471"/>
      <c r="AIJ2013" s="471"/>
      <c r="AIK2013" s="471"/>
      <c r="AIL2013" s="471"/>
      <c r="AIM2013" s="471"/>
      <c r="AIN2013" s="471"/>
      <c r="AIO2013" s="471"/>
      <c r="AIP2013" s="471"/>
      <c r="AIQ2013" s="471"/>
      <c r="AIR2013" s="471"/>
      <c r="AIS2013" s="471"/>
      <c r="AIT2013" s="471"/>
      <c r="AIU2013" s="471"/>
      <c r="AIV2013" s="471"/>
      <c r="AIW2013" s="471"/>
      <c r="AIX2013" s="471"/>
      <c r="AIY2013" s="471"/>
      <c r="AIZ2013" s="471"/>
      <c r="AJA2013" s="471"/>
      <c r="AJB2013" s="471"/>
      <c r="AJC2013" s="471"/>
      <c r="AJD2013" s="471"/>
      <c r="AJE2013" s="471"/>
      <c r="AJF2013" s="471"/>
      <c r="AJG2013" s="471"/>
      <c r="AJH2013" s="471"/>
      <c r="AJI2013" s="471"/>
      <c r="AJJ2013" s="471"/>
      <c r="AJK2013" s="471"/>
      <c r="AJL2013" s="471"/>
      <c r="AJM2013" s="471"/>
      <c r="AJN2013" s="471"/>
      <c r="AJO2013" s="471"/>
      <c r="AJP2013" s="471"/>
      <c r="AJQ2013" s="471"/>
      <c r="AJR2013" s="471"/>
      <c r="AJS2013" s="471"/>
      <c r="AJT2013" s="471"/>
      <c r="AJU2013" s="471"/>
      <c r="AJV2013" s="471"/>
      <c r="AJW2013" s="471"/>
      <c r="AJX2013" s="471"/>
      <c r="AJY2013" s="471"/>
      <c r="AJZ2013" s="471"/>
      <c r="AKA2013" s="471"/>
      <c r="AKB2013" s="471"/>
      <c r="AKC2013" s="471"/>
      <c r="AKD2013" s="471"/>
      <c r="AKE2013" s="471"/>
      <c r="AKF2013" s="471"/>
      <c r="AKG2013" s="471"/>
      <c r="AKH2013" s="471"/>
      <c r="AKI2013" s="471"/>
      <c r="AKJ2013" s="471"/>
      <c r="AKK2013" s="471"/>
      <c r="AKL2013" s="471"/>
      <c r="AKM2013" s="471"/>
      <c r="AKN2013" s="471"/>
      <c r="AKO2013" s="471"/>
      <c r="AKP2013" s="471"/>
      <c r="AKQ2013" s="471"/>
      <c r="AKR2013" s="471"/>
      <c r="AKS2013" s="471"/>
      <c r="AKT2013" s="471"/>
      <c r="AKU2013" s="471"/>
      <c r="AKV2013" s="471"/>
      <c r="AKW2013" s="471"/>
      <c r="AKX2013" s="471"/>
      <c r="AKY2013" s="471"/>
      <c r="AKZ2013" s="471"/>
      <c r="ALA2013" s="471"/>
      <c r="ALB2013" s="471"/>
      <c r="ALC2013" s="471"/>
      <c r="ALD2013" s="471"/>
      <c r="ALE2013" s="471"/>
      <c r="ALF2013" s="471"/>
      <c r="ALG2013" s="471"/>
      <c r="ALH2013" s="471"/>
      <c r="ALI2013" s="471"/>
      <c r="ALJ2013" s="471"/>
      <c r="ALK2013" s="471"/>
      <c r="ALL2013" s="471"/>
      <c r="ALM2013" s="471"/>
      <c r="ALN2013" s="471"/>
      <c r="ALO2013" s="471"/>
      <c r="ALP2013" s="471"/>
      <c r="ALQ2013" s="471"/>
      <c r="ALR2013" s="471"/>
      <c r="ALS2013" s="471"/>
      <c r="ALT2013" s="471"/>
      <c r="ALU2013" s="471"/>
      <c r="ALV2013" s="471"/>
      <c r="ALW2013" s="471"/>
      <c r="ALX2013" s="471"/>
      <c r="ALY2013" s="471"/>
      <c r="ALZ2013" s="471"/>
      <c r="AMA2013" s="471"/>
      <c r="AMB2013" s="471"/>
      <c r="AMC2013" s="471"/>
      <c r="AMD2013" s="471"/>
      <c r="AME2013" s="471"/>
      <c r="AMF2013" s="471"/>
      <c r="AMG2013" s="471"/>
      <c r="AMH2013" s="471"/>
      <c r="AMI2013" s="471"/>
      <c r="AMJ2013" s="471"/>
      <c r="AMK2013" s="471"/>
      <c r="AML2013" s="471"/>
      <c r="AMM2013" s="471"/>
      <c r="AMN2013" s="471"/>
      <c r="AMO2013" s="471"/>
      <c r="AMP2013" s="471"/>
      <c r="AMQ2013" s="471"/>
      <c r="AMR2013" s="471"/>
      <c r="AMS2013" s="471"/>
      <c r="AMT2013" s="471"/>
      <c r="AMU2013" s="471"/>
      <c r="AMV2013" s="471"/>
      <c r="AMW2013" s="471"/>
      <c r="AMX2013" s="471"/>
      <c r="AMY2013" s="471"/>
      <c r="AMZ2013" s="471"/>
      <c r="ANA2013" s="471"/>
      <c r="ANB2013" s="471"/>
      <c r="ANC2013" s="471"/>
      <c r="AND2013" s="471"/>
      <c r="ANE2013" s="471"/>
      <c r="ANF2013" s="471"/>
      <c r="ANG2013" s="471"/>
      <c r="ANH2013" s="471"/>
      <c r="ANI2013" s="471"/>
      <c r="ANJ2013" s="471"/>
      <c r="ANK2013" s="471"/>
      <c r="ANL2013" s="471"/>
      <c r="ANM2013" s="471"/>
      <c r="ANN2013" s="471"/>
      <c r="ANO2013" s="471"/>
      <c r="ANP2013" s="471"/>
      <c r="ANQ2013" s="471"/>
      <c r="ANR2013" s="471"/>
      <c r="ANS2013" s="471"/>
      <c r="ANT2013" s="471"/>
      <c r="ANU2013" s="471"/>
      <c r="ANV2013" s="471"/>
      <c r="ANW2013" s="471"/>
      <c r="ANX2013" s="471"/>
      <c r="ANY2013" s="471"/>
      <c r="ANZ2013" s="471"/>
      <c r="AOA2013" s="471"/>
      <c r="AOB2013" s="471"/>
      <c r="AOC2013" s="471"/>
      <c r="AOD2013" s="471"/>
      <c r="AOE2013" s="471"/>
      <c r="AOF2013" s="471"/>
      <c r="AOG2013" s="471"/>
      <c r="AOH2013" s="471"/>
      <c r="AOI2013" s="471"/>
      <c r="AOJ2013" s="471"/>
      <c r="AOK2013" s="471"/>
      <c r="AOL2013" s="471"/>
      <c r="AOM2013" s="471"/>
      <c r="AON2013" s="471"/>
      <c r="AOO2013" s="471"/>
      <c r="AOP2013" s="471"/>
      <c r="AOQ2013" s="471"/>
      <c r="AOR2013" s="471"/>
      <c r="AOS2013" s="471"/>
      <c r="AOT2013" s="471"/>
      <c r="AOU2013" s="471"/>
      <c r="AOV2013" s="471"/>
      <c r="AOW2013" s="471"/>
      <c r="AOX2013" s="471"/>
      <c r="AOY2013" s="471"/>
      <c r="AOZ2013" s="471"/>
      <c r="APA2013" s="471"/>
      <c r="APB2013" s="471"/>
      <c r="APC2013" s="471"/>
      <c r="APD2013" s="471"/>
      <c r="APE2013" s="471"/>
      <c r="APF2013" s="471"/>
      <c r="APG2013" s="471"/>
      <c r="APH2013" s="471"/>
      <c r="API2013" s="471"/>
      <c r="APJ2013" s="471"/>
      <c r="APK2013" s="471"/>
      <c r="APL2013" s="471"/>
      <c r="APM2013" s="471"/>
      <c r="APN2013" s="471"/>
      <c r="APO2013" s="471"/>
      <c r="APP2013" s="471"/>
      <c r="APQ2013" s="471"/>
      <c r="APR2013" s="471"/>
      <c r="APS2013" s="471"/>
      <c r="APT2013" s="471"/>
      <c r="APU2013" s="471"/>
      <c r="APV2013" s="471"/>
      <c r="APW2013" s="471"/>
      <c r="APX2013" s="471"/>
      <c r="APY2013" s="471"/>
      <c r="APZ2013" s="471"/>
      <c r="AQA2013" s="471"/>
      <c r="AQB2013" s="471"/>
      <c r="AQC2013" s="471"/>
      <c r="AQD2013" s="471"/>
      <c r="AQE2013" s="471"/>
      <c r="AQF2013" s="471"/>
      <c r="AQG2013" s="471"/>
      <c r="AQH2013" s="471"/>
      <c r="AQI2013" s="471"/>
      <c r="AQJ2013" s="471"/>
      <c r="AQK2013" s="471"/>
      <c r="AQL2013" s="471"/>
      <c r="AQM2013" s="471"/>
      <c r="AQN2013" s="471"/>
      <c r="AQO2013" s="471"/>
      <c r="AQP2013" s="471"/>
      <c r="AQQ2013" s="471"/>
      <c r="AQR2013" s="471"/>
      <c r="AQS2013" s="471"/>
      <c r="AQT2013" s="471"/>
      <c r="AQU2013" s="471"/>
      <c r="AQV2013" s="471"/>
      <c r="AQW2013" s="471"/>
      <c r="AQX2013" s="471"/>
      <c r="AQY2013" s="471"/>
      <c r="AQZ2013" s="471"/>
      <c r="ARA2013" s="471"/>
      <c r="ARB2013" s="471"/>
      <c r="ARC2013" s="471"/>
      <c r="ARD2013" s="471"/>
      <c r="ARE2013" s="471"/>
      <c r="ARF2013" s="471"/>
      <c r="ARG2013" s="471"/>
      <c r="ARH2013" s="471"/>
      <c r="ARI2013" s="471"/>
      <c r="ARJ2013" s="471"/>
      <c r="ARK2013" s="471"/>
      <c r="ARL2013" s="471"/>
      <c r="ARM2013" s="471"/>
      <c r="ARN2013" s="471"/>
      <c r="ARO2013" s="471"/>
      <c r="ARP2013" s="471"/>
      <c r="ARQ2013" s="471"/>
      <c r="ARR2013" s="471"/>
      <c r="ARS2013" s="471"/>
      <c r="ART2013" s="471"/>
      <c r="ARU2013" s="471"/>
      <c r="ARV2013" s="471"/>
      <c r="ARW2013" s="471"/>
      <c r="ARX2013" s="471"/>
      <c r="ARY2013" s="471"/>
      <c r="ARZ2013" s="471"/>
      <c r="ASA2013" s="471"/>
      <c r="ASB2013" s="471"/>
      <c r="ASC2013" s="471"/>
      <c r="ASD2013" s="471"/>
      <c r="ASE2013" s="471"/>
      <c r="ASF2013" s="471"/>
      <c r="ASG2013" s="471"/>
      <c r="ASH2013" s="471"/>
      <c r="ASI2013" s="471"/>
      <c r="ASJ2013" s="471"/>
      <c r="ASK2013" s="471"/>
      <c r="ASL2013" s="471"/>
      <c r="ASM2013" s="471"/>
      <c r="ASN2013" s="471"/>
      <c r="ASO2013" s="471"/>
      <c r="ASP2013" s="471"/>
      <c r="ASQ2013" s="471"/>
      <c r="ASR2013" s="471"/>
      <c r="ASS2013" s="471"/>
      <c r="AST2013" s="471"/>
      <c r="ASU2013" s="471"/>
      <c r="ASV2013" s="471"/>
      <c r="ASW2013" s="471"/>
      <c r="ASX2013" s="471"/>
      <c r="ASY2013" s="471"/>
      <c r="ASZ2013" s="471"/>
      <c r="ATA2013" s="471"/>
      <c r="ATB2013" s="471"/>
      <c r="ATC2013" s="471"/>
      <c r="ATD2013" s="471"/>
      <c r="ATE2013" s="471"/>
      <c r="ATF2013" s="471"/>
      <c r="ATG2013" s="471"/>
      <c r="ATH2013" s="471"/>
      <c r="ATI2013" s="471"/>
      <c r="ATJ2013" s="471"/>
      <c r="ATK2013" s="471"/>
      <c r="ATL2013" s="471"/>
      <c r="ATM2013" s="471"/>
      <c r="ATN2013" s="471"/>
      <c r="ATO2013" s="471"/>
      <c r="ATP2013" s="471"/>
      <c r="ATQ2013" s="471"/>
      <c r="ATR2013" s="471"/>
      <c r="ATS2013" s="471"/>
      <c r="ATT2013" s="471"/>
      <c r="ATU2013" s="471"/>
      <c r="ATV2013" s="471"/>
      <c r="ATW2013" s="471"/>
      <c r="ATX2013" s="471"/>
      <c r="ATY2013" s="471"/>
      <c r="ATZ2013" s="471"/>
      <c r="AUA2013" s="471"/>
      <c r="AUB2013" s="471"/>
      <c r="AUC2013" s="471"/>
      <c r="AUD2013" s="471"/>
      <c r="AUE2013" s="471"/>
      <c r="AUF2013" s="471"/>
      <c r="AUG2013" s="471"/>
      <c r="AUH2013" s="471"/>
      <c r="AUI2013" s="471"/>
      <c r="AUJ2013" s="471"/>
      <c r="AUK2013" s="471"/>
      <c r="AUL2013" s="471"/>
      <c r="AUM2013" s="471"/>
      <c r="AUN2013" s="471"/>
      <c r="AUO2013" s="471"/>
      <c r="AUP2013" s="471"/>
      <c r="AUQ2013" s="471"/>
      <c r="AUR2013" s="471"/>
      <c r="AUS2013" s="471"/>
      <c r="AUT2013" s="471"/>
      <c r="AUU2013" s="471"/>
      <c r="AUV2013" s="471"/>
      <c r="AUW2013" s="471"/>
      <c r="AUX2013" s="471"/>
      <c r="AUY2013" s="471"/>
      <c r="AUZ2013" s="471"/>
      <c r="AVA2013" s="471"/>
      <c r="AVB2013" s="471"/>
      <c r="AVC2013" s="471"/>
      <c r="AVD2013" s="471"/>
      <c r="AVE2013" s="471"/>
      <c r="AVF2013" s="471"/>
      <c r="AVG2013" s="471"/>
      <c r="AVH2013" s="471"/>
      <c r="AVI2013" s="471"/>
      <c r="AVJ2013" s="471"/>
    </row>
    <row r="2014" spans="1:1258" s="471" customFormat="1" ht="15" customHeight="1">
      <c r="A2014" s="278"/>
      <c r="B2014" s="279"/>
      <c r="C2014" s="279"/>
      <c r="D2014" s="394" t="s">
        <v>3678</v>
      </c>
      <c r="E2014" s="288" t="s">
        <v>3908</v>
      </c>
      <c r="F2014" s="474"/>
      <c r="G2014" s="474">
        <v>2022</v>
      </c>
      <c r="H2014" s="474">
        <v>5</v>
      </c>
      <c r="I2014" s="474"/>
      <c r="J2014" s="475"/>
      <c r="K2014" s="474" t="s">
        <v>3909</v>
      </c>
      <c r="L2014" s="474" t="s">
        <v>3762</v>
      </c>
      <c r="M2014" s="475"/>
      <c r="N2014" s="475"/>
      <c r="O2014" s="475"/>
      <c r="P2014" s="475" t="s">
        <v>3833</v>
      </c>
      <c r="Q2014" s="475"/>
      <c r="R2014" s="475">
        <v>44679</v>
      </c>
      <c r="S2014" s="474" t="s">
        <v>1102</v>
      </c>
      <c r="T2014" s="474">
        <v>60</v>
      </c>
      <c r="U2014" s="474"/>
      <c r="V2014" s="474" t="s">
        <v>973</v>
      </c>
      <c r="W2014" s="476">
        <v>400</v>
      </c>
      <c r="X2014" s="402">
        <f>11648-896-896-8960</f>
        <v>896</v>
      </c>
      <c r="Y2014" s="491">
        <f t="shared" si="344"/>
        <v>358400</v>
      </c>
      <c r="Z2014" s="478">
        <v>0.49</v>
      </c>
      <c r="AA2014" s="479">
        <f t="shared" si="345"/>
        <v>175616</v>
      </c>
      <c r="AB2014" s="480"/>
      <c r="AC2014" s="481">
        <f t="shared" si="340"/>
        <v>0</v>
      </c>
      <c r="AD2014" s="490"/>
      <c r="AE2014" s="482"/>
      <c r="AF2014" s="493">
        <f t="shared" si="334"/>
        <v>175616</v>
      </c>
      <c r="AG2014" s="474" t="s">
        <v>47</v>
      </c>
      <c r="AH2014" s="474">
        <v>0</v>
      </c>
      <c r="AI2014" s="474">
        <v>60</v>
      </c>
      <c r="AJ2014" s="474" t="s">
        <v>1109</v>
      </c>
      <c r="AK2014" s="474" t="s">
        <v>1109</v>
      </c>
      <c r="AL2014" s="474" t="s">
        <v>1109</v>
      </c>
      <c r="AM2014" s="474" t="s">
        <v>52</v>
      </c>
      <c r="AN2014" s="474"/>
      <c r="AO2014" s="474"/>
      <c r="AP2014" s="482"/>
      <c r="AQ2014" s="482" t="s">
        <v>37</v>
      </c>
      <c r="AR2014" s="474"/>
      <c r="AS2014" s="436" t="s">
        <v>3763</v>
      </c>
      <c r="AT2014" s="281" t="s">
        <v>1076</v>
      </c>
      <c r="AU2014" s="472"/>
      <c r="AV2014" s="471">
        <f t="shared" si="341"/>
        <v>0</v>
      </c>
      <c r="AW2014" s="471" cm="1">
        <f t="array" ref="AW2014">SUM(MID(0&amp;AV2014,LARGE(INDEX(ISNUMBER(--MID(AV2014,ROW($1:$8),1))*ROW($1:$8),),ROW($1:$8))+1,1)*10^ROW($1:$8)/10)</f>
        <v>0</v>
      </c>
      <c r="AX2014" s="471" t="e">
        <f>VLOOKUP($AW2014,'Item Master Data'!$A:$F,3,FALSE)</f>
        <v>#N/A</v>
      </c>
      <c r="AY2014" s="471" t="e">
        <f>VLOOKUP($AW2014,'Item Master Data'!$A:$F,6,FALSE)</f>
        <v>#N/A</v>
      </c>
      <c r="AZ2014" s="471" t="e">
        <f t="shared" si="342"/>
        <v>#N/A</v>
      </c>
      <c r="BA2014" s="471" t="e">
        <f>VLOOKUP(AW2014,'Item Master Data'!$A:$G,7,FALSE)</f>
        <v>#N/A</v>
      </c>
      <c r="BC2014" s="471" t="e">
        <f t="shared" si="343"/>
        <v>#N/A</v>
      </c>
    </row>
    <row r="2015" spans="1:1258" s="471" customFormat="1" ht="15" customHeight="1">
      <c r="A2015" s="278"/>
      <c r="B2015" s="279"/>
      <c r="C2015" s="279"/>
      <c r="D2015" s="394" t="s">
        <v>3678</v>
      </c>
      <c r="E2015" s="288" t="s">
        <v>3908</v>
      </c>
      <c r="F2015" s="474"/>
      <c r="G2015" s="474">
        <v>2022</v>
      </c>
      <c r="H2015" s="474">
        <v>5</v>
      </c>
      <c r="I2015" s="474"/>
      <c r="J2015" s="475"/>
      <c r="K2015" s="474" t="s">
        <v>3909</v>
      </c>
      <c r="L2015" s="474" t="s">
        <v>3762</v>
      </c>
      <c r="M2015" s="475"/>
      <c r="N2015" s="475"/>
      <c r="O2015" s="475"/>
      <c r="P2015" s="475" t="s">
        <v>3833</v>
      </c>
      <c r="Q2015" s="475"/>
      <c r="R2015" s="475"/>
      <c r="S2015" s="474" t="s">
        <v>1102</v>
      </c>
      <c r="T2015" s="474">
        <v>60</v>
      </c>
      <c r="U2015" s="474"/>
      <c r="V2015" s="474" t="s">
        <v>973</v>
      </c>
      <c r="W2015" s="476">
        <v>400</v>
      </c>
      <c r="X2015" s="402">
        <v>1792</v>
      </c>
      <c r="Y2015" s="491">
        <f t="shared" si="344"/>
        <v>716800</v>
      </c>
      <c r="Z2015" s="478">
        <v>0.49</v>
      </c>
      <c r="AA2015" s="479">
        <f t="shared" si="345"/>
        <v>351232</v>
      </c>
      <c r="AB2015" s="480"/>
      <c r="AC2015" s="481">
        <f t="shared" si="340"/>
        <v>0</v>
      </c>
      <c r="AD2015" s="490"/>
      <c r="AE2015" s="482"/>
      <c r="AF2015" s="493">
        <f t="shared" si="334"/>
        <v>351232</v>
      </c>
      <c r="AG2015" s="474" t="s">
        <v>47</v>
      </c>
      <c r="AH2015" s="474">
        <v>0</v>
      </c>
      <c r="AI2015" s="474">
        <v>60</v>
      </c>
      <c r="AJ2015" s="474" t="s">
        <v>1109</v>
      </c>
      <c r="AK2015" s="474" t="s">
        <v>1109</v>
      </c>
      <c r="AL2015" s="474" t="s">
        <v>1109</v>
      </c>
      <c r="AM2015" s="474" t="s">
        <v>52</v>
      </c>
      <c r="AN2015" s="474"/>
      <c r="AO2015" s="474"/>
      <c r="AP2015" s="482"/>
      <c r="AQ2015" s="482" t="s">
        <v>37</v>
      </c>
      <c r="AR2015" s="474"/>
      <c r="AS2015" s="436" t="s">
        <v>3763</v>
      </c>
      <c r="AT2015" s="281" t="s">
        <v>1076</v>
      </c>
      <c r="AU2015" s="472"/>
      <c r="AV2015" s="471">
        <f t="shared" si="341"/>
        <v>0</v>
      </c>
      <c r="AW2015" s="471" cm="1">
        <f t="array" ref="AW2015">SUM(MID(0&amp;AV2015,LARGE(INDEX(ISNUMBER(--MID(AV2015,ROW($1:$8),1))*ROW($1:$8),),ROW($1:$8))+1,1)*10^ROW($1:$8)/10)</f>
        <v>0</v>
      </c>
      <c r="AX2015" s="471" t="e">
        <f>VLOOKUP($AW2015,'Item Master Data'!$A:$F,3,FALSE)</f>
        <v>#N/A</v>
      </c>
      <c r="AY2015" s="471" t="e">
        <f>VLOOKUP($AW2015,'Item Master Data'!$A:$F,6,FALSE)</f>
        <v>#N/A</v>
      </c>
      <c r="AZ2015" s="471" t="e">
        <f t="shared" si="342"/>
        <v>#N/A</v>
      </c>
      <c r="BA2015" s="471" t="e">
        <f>VLOOKUP(AW2015,'Item Master Data'!$A:$G,7,FALSE)</f>
        <v>#N/A</v>
      </c>
      <c r="BC2015" s="471" t="e">
        <f t="shared" si="343"/>
        <v>#N/A</v>
      </c>
    </row>
    <row r="2016" spans="1:1258" s="471" customFormat="1" ht="15" customHeight="1">
      <c r="A2016" s="278"/>
      <c r="B2016" s="279"/>
      <c r="C2016" s="279"/>
      <c r="D2016" s="394" t="s">
        <v>3678</v>
      </c>
      <c r="E2016" s="288" t="s">
        <v>3908</v>
      </c>
      <c r="F2016" s="474"/>
      <c r="G2016" s="474">
        <v>2022</v>
      </c>
      <c r="H2016" s="474">
        <v>5</v>
      </c>
      <c r="I2016" s="474"/>
      <c r="J2016" s="475"/>
      <c r="K2016" s="474" t="s">
        <v>3909</v>
      </c>
      <c r="L2016" s="474" t="s">
        <v>3762</v>
      </c>
      <c r="M2016" s="475"/>
      <c r="N2016" s="475"/>
      <c r="O2016" s="475"/>
      <c r="P2016" s="475"/>
      <c r="Q2016" s="475"/>
      <c r="R2016" s="475"/>
      <c r="S2016" s="474" t="s">
        <v>1102</v>
      </c>
      <c r="T2016" s="474">
        <v>60</v>
      </c>
      <c r="U2016" s="474"/>
      <c r="V2016" s="474" t="s">
        <v>973</v>
      </c>
      <c r="W2016" s="476">
        <v>400</v>
      </c>
      <c r="X2016" s="402">
        <f>11648-896-896-896-1792</f>
        <v>7168</v>
      </c>
      <c r="Y2016" s="491">
        <f t="shared" si="344"/>
        <v>2867200</v>
      </c>
      <c r="Z2016" s="478">
        <v>0.49</v>
      </c>
      <c r="AA2016" s="479">
        <f t="shared" si="345"/>
        <v>1404928</v>
      </c>
      <c r="AB2016" s="480"/>
      <c r="AC2016" s="481">
        <f t="shared" si="340"/>
        <v>0</v>
      </c>
      <c r="AD2016" s="490"/>
      <c r="AE2016" s="482"/>
      <c r="AF2016" s="493">
        <f t="shared" si="334"/>
        <v>1404928</v>
      </c>
      <c r="AG2016" s="474" t="s">
        <v>47</v>
      </c>
      <c r="AH2016" s="474">
        <v>0</v>
      </c>
      <c r="AI2016" s="474">
        <v>60</v>
      </c>
      <c r="AJ2016" s="474" t="s">
        <v>1109</v>
      </c>
      <c r="AK2016" s="474" t="s">
        <v>1109</v>
      </c>
      <c r="AL2016" s="474" t="s">
        <v>1109</v>
      </c>
      <c r="AM2016" s="474" t="s">
        <v>52</v>
      </c>
      <c r="AN2016" s="474"/>
      <c r="AO2016" s="474"/>
      <c r="AP2016" s="482"/>
      <c r="AQ2016" s="482" t="s">
        <v>37</v>
      </c>
      <c r="AR2016" s="474"/>
      <c r="AS2016" s="436" t="s">
        <v>3763</v>
      </c>
      <c r="AT2016" s="281" t="s">
        <v>1076</v>
      </c>
      <c r="AU2016" s="472"/>
      <c r="AV2016" s="471">
        <f t="shared" si="341"/>
        <v>0</v>
      </c>
      <c r="AW2016" s="471" cm="1">
        <f t="array" ref="AW2016">SUM(MID(0&amp;AV2016,LARGE(INDEX(ISNUMBER(--MID(AV2016,ROW($1:$8),1))*ROW($1:$8),),ROW($1:$8))+1,1)*10^ROW($1:$8)/10)</f>
        <v>0</v>
      </c>
      <c r="AX2016" s="471" t="e">
        <f>VLOOKUP($AW2016,'Item Master Data'!$A:$F,3,FALSE)</f>
        <v>#N/A</v>
      </c>
      <c r="AY2016" s="471" t="e">
        <f>VLOOKUP($AW2016,'Item Master Data'!$A:$F,6,FALSE)</f>
        <v>#N/A</v>
      </c>
      <c r="AZ2016" s="471" t="e">
        <f t="shared" si="342"/>
        <v>#N/A</v>
      </c>
      <c r="BA2016" s="471" t="e">
        <f>VLOOKUP(AW2016,'Item Master Data'!$A:$G,7,FALSE)</f>
        <v>#N/A</v>
      </c>
      <c r="BC2016" s="471" t="e">
        <f t="shared" si="343"/>
        <v>#N/A</v>
      </c>
    </row>
    <row r="2017" spans="1:55" s="471" customFormat="1" ht="15" customHeight="1">
      <c r="A2017" s="278"/>
      <c r="B2017" s="279"/>
      <c r="C2017" s="279"/>
      <c r="D2017" s="394" t="s">
        <v>3678</v>
      </c>
      <c r="E2017" s="288" t="s">
        <v>4003</v>
      </c>
      <c r="F2017" s="474"/>
      <c r="G2017" s="474">
        <v>2022</v>
      </c>
      <c r="H2017" s="474">
        <v>5</v>
      </c>
      <c r="I2017" s="474"/>
      <c r="J2017" s="475"/>
      <c r="K2017" s="474" t="s">
        <v>4004</v>
      </c>
      <c r="L2017" s="474" t="s">
        <v>3762</v>
      </c>
      <c r="M2017" s="475"/>
      <c r="N2017" s="475" t="s">
        <v>1635</v>
      </c>
      <c r="O2017" s="475"/>
      <c r="P2017" s="475"/>
      <c r="Q2017" s="475"/>
      <c r="R2017" s="475"/>
      <c r="S2017" s="474" t="s">
        <v>1102</v>
      </c>
      <c r="T2017" s="474">
        <v>60</v>
      </c>
      <c r="U2017" s="474"/>
      <c r="V2017" s="474" t="s">
        <v>973</v>
      </c>
      <c r="W2017" s="476">
        <v>400</v>
      </c>
      <c r="X2017" s="402">
        <v>7168</v>
      </c>
      <c r="Y2017" s="491">
        <f t="shared" si="344"/>
        <v>2867200</v>
      </c>
      <c r="Z2017" s="478">
        <v>0.49</v>
      </c>
      <c r="AA2017" s="479">
        <f t="shared" si="345"/>
        <v>1404928</v>
      </c>
      <c r="AB2017" s="480"/>
      <c r="AC2017" s="481">
        <f t="shared" si="340"/>
        <v>0</v>
      </c>
      <c r="AD2017" s="490"/>
      <c r="AE2017" s="482"/>
      <c r="AF2017" s="493">
        <f t="shared" si="334"/>
        <v>1404928</v>
      </c>
      <c r="AG2017" s="474" t="s">
        <v>47</v>
      </c>
      <c r="AH2017" s="474">
        <v>0</v>
      </c>
      <c r="AI2017" s="474">
        <v>60</v>
      </c>
      <c r="AJ2017" s="474" t="s">
        <v>1109</v>
      </c>
      <c r="AK2017" s="474" t="s">
        <v>1109</v>
      </c>
      <c r="AL2017" s="474" t="s">
        <v>1109</v>
      </c>
      <c r="AM2017" s="474" t="s">
        <v>52</v>
      </c>
      <c r="AN2017" s="474"/>
      <c r="AO2017" s="474"/>
      <c r="AP2017" s="482"/>
      <c r="AQ2017" s="482" t="s">
        <v>37</v>
      </c>
      <c r="AR2017" s="474"/>
      <c r="AS2017" s="436" t="s">
        <v>3763</v>
      </c>
      <c r="AT2017" s="281" t="s">
        <v>1076</v>
      </c>
      <c r="AU2017" s="472"/>
      <c r="AV2017" s="471">
        <f t="shared" si="341"/>
        <v>0</v>
      </c>
      <c r="AW2017" s="471" cm="1">
        <f t="array" ref="AW2017">SUM(MID(0&amp;AV2017,LARGE(INDEX(ISNUMBER(--MID(AV2017,ROW($1:$8),1))*ROW($1:$8),),ROW($1:$8))+1,1)*10^ROW($1:$8)/10)</f>
        <v>0</v>
      </c>
      <c r="AX2017" s="471" t="e">
        <f>VLOOKUP($AW2017,'Item Master Data'!$A:$F,3,FALSE)</f>
        <v>#N/A</v>
      </c>
      <c r="AY2017" s="471" t="e">
        <f>VLOOKUP($AW2017,'Item Master Data'!$A:$F,6,FALSE)</f>
        <v>#N/A</v>
      </c>
      <c r="AZ2017" s="471" t="e">
        <f t="shared" si="342"/>
        <v>#N/A</v>
      </c>
      <c r="BA2017" s="471" t="e">
        <f>VLOOKUP(AW2017,'Item Master Data'!$A:$G,7,FALSE)</f>
        <v>#N/A</v>
      </c>
      <c r="BC2017" s="471" t="e">
        <f t="shared" si="343"/>
        <v>#N/A</v>
      </c>
    </row>
    <row r="2018" spans="1:55" s="471" customFormat="1" ht="15" customHeight="1">
      <c r="A2018" s="278"/>
      <c r="B2018" s="279"/>
      <c r="C2018" s="279"/>
      <c r="D2018" s="394" t="s">
        <v>3678</v>
      </c>
      <c r="E2018" s="280"/>
      <c r="F2018" s="474" t="s">
        <v>1147</v>
      </c>
      <c r="G2018" s="474">
        <v>2022</v>
      </c>
      <c r="H2018" s="474">
        <v>5</v>
      </c>
      <c r="I2018" s="485"/>
      <c r="J2018" s="475"/>
      <c r="K2018" s="474" t="s">
        <v>4005</v>
      </c>
      <c r="L2018" s="474" t="s">
        <v>3762</v>
      </c>
      <c r="M2018" s="475">
        <v>44504</v>
      </c>
      <c r="N2018" s="475">
        <v>44565</v>
      </c>
      <c r="O2018" s="475"/>
      <c r="P2018" s="475">
        <v>44558</v>
      </c>
      <c r="Q2018" s="475"/>
      <c r="R2018" s="475"/>
      <c r="S2018" s="474" t="s">
        <v>1102</v>
      </c>
      <c r="T2018" s="474">
        <v>60</v>
      </c>
      <c r="U2018" s="474" t="s">
        <v>2493</v>
      </c>
      <c r="V2018" s="474" t="s">
        <v>691</v>
      </c>
      <c r="W2018" s="476">
        <v>340</v>
      </c>
      <c r="X2018" s="402">
        <v>896</v>
      </c>
      <c r="Y2018" s="491">
        <f t="shared" si="344"/>
        <v>304640</v>
      </c>
      <c r="Z2018" s="478">
        <v>0.39800000000000002</v>
      </c>
      <c r="AA2018" s="479">
        <f t="shared" si="345"/>
        <v>121246.72</v>
      </c>
      <c r="AB2018" s="480"/>
      <c r="AC2018" s="481">
        <f t="shared" si="340"/>
        <v>0</v>
      </c>
      <c r="AD2018" s="490"/>
      <c r="AE2018" s="482"/>
      <c r="AF2018" s="493">
        <f t="shared" si="334"/>
        <v>121246.72</v>
      </c>
      <c r="AG2018" s="474" t="s">
        <v>47</v>
      </c>
      <c r="AH2018" s="474">
        <v>0</v>
      </c>
      <c r="AI2018" s="474">
        <v>60</v>
      </c>
      <c r="AJ2018" s="474" t="s">
        <v>3767</v>
      </c>
      <c r="AK2018" s="474" t="s">
        <v>1138</v>
      </c>
      <c r="AL2018" s="494">
        <v>11803</v>
      </c>
      <c r="AM2018" s="474" t="s">
        <v>52</v>
      </c>
      <c r="AN2018" s="474" t="s">
        <v>50</v>
      </c>
      <c r="AO2018" s="474"/>
      <c r="AP2018" s="482" t="s">
        <v>38</v>
      </c>
      <c r="AQ2018" s="482" t="s">
        <v>37</v>
      </c>
      <c r="AR2018" s="474"/>
      <c r="AS2018" s="436" t="s">
        <v>3763</v>
      </c>
      <c r="AT2018" s="281" t="s">
        <v>1076</v>
      </c>
      <c r="AU2018" s="472"/>
      <c r="AV2018" s="471" t="str">
        <f t="shared" si="341"/>
        <v>30376609F</v>
      </c>
      <c r="AW2018" s="471" cm="1">
        <f t="array" ref="AW2018">SUM(MID(0&amp;AV2018,LARGE(INDEX(ISNUMBER(--MID(AV2018,ROW($1:$8),1))*ROW($1:$8),),ROW($1:$8))+1,1)*10^ROW($1:$8)/10)</f>
        <v>30376609</v>
      </c>
      <c r="AX2018" s="471" t="str">
        <f>VLOOKUP($AW2018,'Item Master Data'!$A:$F,3,FALSE)</f>
        <v>Q.PEAK DUO BLK G6+</v>
      </c>
      <c r="AY2018" s="471">
        <f>VLOOKUP($AW2018,'Item Master Data'!$A:$F,6,FALSE)</f>
        <v>340</v>
      </c>
      <c r="AZ2018" s="471">
        <f t="shared" si="342"/>
        <v>28</v>
      </c>
      <c r="BA2018" s="471">
        <f>VLOOKUP(AW2018,'Item Master Data'!$A:$G,7,FALSE)</f>
        <v>32</v>
      </c>
      <c r="BC2018" s="471">
        <f t="shared" si="343"/>
        <v>0</v>
      </c>
    </row>
    <row r="2019" spans="1:55" s="471" customFormat="1" ht="15" customHeight="1">
      <c r="A2019" s="278"/>
      <c r="B2019" s="279"/>
      <c r="C2019" s="279"/>
      <c r="D2019" s="394" t="s">
        <v>3678</v>
      </c>
      <c r="E2019" s="280" t="s">
        <v>4006</v>
      </c>
      <c r="F2019" s="474" t="s">
        <v>1147</v>
      </c>
      <c r="G2019" s="474">
        <v>2022</v>
      </c>
      <c r="H2019" s="474">
        <v>5</v>
      </c>
      <c r="I2019" s="485"/>
      <c r="J2019" s="475"/>
      <c r="K2019" s="474" t="s">
        <v>4007</v>
      </c>
      <c r="L2019" s="474" t="s">
        <v>3762</v>
      </c>
      <c r="M2019" s="475">
        <v>44540</v>
      </c>
      <c r="N2019" s="475">
        <v>44544</v>
      </c>
      <c r="O2019" s="475"/>
      <c r="P2019" s="475"/>
      <c r="Q2019" s="475"/>
      <c r="R2019" s="475"/>
      <c r="S2019" s="474" t="s">
        <v>1102</v>
      </c>
      <c r="T2019" s="474">
        <v>60</v>
      </c>
      <c r="U2019" s="474" t="s">
        <v>2493</v>
      </c>
      <c r="V2019" s="474" t="s">
        <v>691</v>
      </c>
      <c r="W2019" s="476">
        <v>340</v>
      </c>
      <c r="X2019" s="402">
        <v>896</v>
      </c>
      <c r="Y2019" s="491">
        <f t="shared" si="344"/>
        <v>304640</v>
      </c>
      <c r="Z2019" s="478">
        <v>0.39800000000000002</v>
      </c>
      <c r="AA2019" s="479">
        <f t="shared" si="345"/>
        <v>121246.72</v>
      </c>
      <c r="AB2019" s="480"/>
      <c r="AC2019" s="481">
        <f t="shared" si="340"/>
        <v>0</v>
      </c>
      <c r="AD2019" s="490"/>
      <c r="AE2019" s="482"/>
      <c r="AF2019" s="493">
        <f t="shared" si="334"/>
        <v>121246.72</v>
      </c>
      <c r="AG2019" s="474" t="s">
        <v>47</v>
      </c>
      <c r="AH2019" s="474">
        <v>0</v>
      </c>
      <c r="AI2019" s="474">
        <v>60</v>
      </c>
      <c r="AJ2019" s="474" t="s">
        <v>1593</v>
      </c>
      <c r="AK2019" s="474" t="s">
        <v>1144</v>
      </c>
      <c r="AL2019" s="494">
        <v>78764</v>
      </c>
      <c r="AM2019" s="474" t="s">
        <v>52</v>
      </c>
      <c r="AN2019" s="474" t="s">
        <v>50</v>
      </c>
      <c r="AO2019" s="474"/>
      <c r="AP2019" s="482" t="s">
        <v>38</v>
      </c>
      <c r="AQ2019" s="482" t="s">
        <v>37</v>
      </c>
      <c r="AR2019" s="474"/>
      <c r="AS2019" s="436" t="s">
        <v>3763</v>
      </c>
      <c r="AT2019" s="281" t="s">
        <v>1076</v>
      </c>
      <c r="AU2019" s="472"/>
      <c r="AV2019" s="471" t="str">
        <f t="shared" si="341"/>
        <v>30376609F</v>
      </c>
      <c r="AW2019" s="471" cm="1">
        <f t="array" ref="AW2019">SUM(MID(0&amp;AV2019,LARGE(INDEX(ISNUMBER(--MID(AV2019,ROW($1:$8),1))*ROW($1:$8),),ROW($1:$8))+1,1)*10^ROW($1:$8)/10)</f>
        <v>30376609</v>
      </c>
      <c r="AX2019" s="471" t="str">
        <f>VLOOKUP($AW2019,'Item Master Data'!$A:$F,3,FALSE)</f>
        <v>Q.PEAK DUO BLK G6+</v>
      </c>
      <c r="AY2019" s="471">
        <f>VLOOKUP($AW2019,'Item Master Data'!$A:$F,6,FALSE)</f>
        <v>340</v>
      </c>
      <c r="AZ2019" s="471">
        <f t="shared" si="342"/>
        <v>28</v>
      </c>
      <c r="BA2019" s="471">
        <f>VLOOKUP(AW2019,'Item Master Data'!$A:$G,7,FALSE)</f>
        <v>32</v>
      </c>
      <c r="BC2019" s="471">
        <f t="shared" si="343"/>
        <v>0</v>
      </c>
    </row>
    <row r="2020" spans="1:55" s="471" customFormat="1" ht="15" customHeight="1">
      <c r="A2020" s="278"/>
      <c r="B2020" s="279"/>
      <c r="C2020" s="279" t="s">
        <v>1211</v>
      </c>
      <c r="D2020" s="394" t="s">
        <v>3678</v>
      </c>
      <c r="E2020" s="291" t="s">
        <v>5306</v>
      </c>
      <c r="F2020" s="474"/>
      <c r="G2020" s="474">
        <v>2022</v>
      </c>
      <c r="H2020" s="474">
        <v>5</v>
      </c>
      <c r="I2020" s="485" t="s">
        <v>5237</v>
      </c>
      <c r="J2020" s="475"/>
      <c r="K2020" s="443" t="s">
        <v>3922</v>
      </c>
      <c r="L2020" s="474" t="s">
        <v>3762</v>
      </c>
      <c r="M2020" s="475">
        <v>44599</v>
      </c>
      <c r="N2020" s="475">
        <v>44610</v>
      </c>
      <c r="O2020" s="475"/>
      <c r="P2020" s="475">
        <v>44666</v>
      </c>
      <c r="Q2020" s="475">
        <v>44673</v>
      </c>
      <c r="R2020" s="475">
        <v>44676</v>
      </c>
      <c r="S2020" s="486" t="s">
        <v>1102</v>
      </c>
      <c r="T2020" s="474">
        <v>60</v>
      </c>
      <c r="U2020" s="474">
        <v>49405140</v>
      </c>
      <c r="V2020" s="486" t="s">
        <v>986</v>
      </c>
      <c r="W2020" s="474">
        <v>360</v>
      </c>
      <c r="X2020" s="402">
        <v>832</v>
      </c>
      <c r="Y2020" s="477">
        <f>W2020*X2020</f>
        <v>299520</v>
      </c>
      <c r="Z2020" s="478">
        <v>0.47499999999999998</v>
      </c>
      <c r="AA2020" s="479">
        <f>Z2020*Y2020</f>
        <v>142272</v>
      </c>
      <c r="AB2020" s="480"/>
      <c r="AC2020" s="481">
        <f t="shared" si="340"/>
        <v>0</v>
      </c>
      <c r="AD2020" s="490"/>
      <c r="AE2020" s="482"/>
      <c r="AF2020" s="493">
        <f t="shared" si="334"/>
        <v>142272</v>
      </c>
      <c r="AG2020" s="474" t="s">
        <v>47</v>
      </c>
      <c r="AH2020" s="474">
        <v>0</v>
      </c>
      <c r="AI2020" s="474">
        <v>60</v>
      </c>
      <c r="AJ2020" s="474" t="s">
        <v>3765</v>
      </c>
      <c r="AK2020" s="474" t="s">
        <v>1085</v>
      </c>
      <c r="AL2020" s="494">
        <v>8840</v>
      </c>
      <c r="AM2020" s="474" t="s">
        <v>52</v>
      </c>
      <c r="AN2020" s="474" t="s">
        <v>1106</v>
      </c>
      <c r="AO2020" s="474"/>
      <c r="AP2020" s="482"/>
      <c r="AQ2020" s="482" t="s">
        <v>37</v>
      </c>
      <c r="AR2020" s="474"/>
      <c r="AS2020" s="436" t="s">
        <v>3763</v>
      </c>
      <c r="AT2020" s="281" t="s">
        <v>1076</v>
      </c>
      <c r="AU2020" s="472" t="s">
        <v>5613</v>
      </c>
      <c r="AV2020" s="471">
        <f t="shared" si="341"/>
        <v>49405140</v>
      </c>
      <c r="AW2020" s="471" cm="1">
        <f t="array" ref="AW2020">SUM(MID(0&amp;AV2020,LARGE(INDEX(ISNUMBER(--MID(AV2020,ROW($1:$8),1))*ROW($1:$8),),ROW($1:$8))+1,1)*10^ROW($1:$8)/10)</f>
        <v>49405140</v>
      </c>
      <c r="AX2020" s="471" t="str">
        <f>VLOOKUP($AW2020,'Item Master Data'!$A:$F,3,FALSE)</f>
        <v>Q.PEAK DUO BLK ML G10+</v>
      </c>
      <c r="AY2020" s="471">
        <f>VLOOKUP($AW2020,'Item Master Data'!$A:$F,6,FALSE)</f>
        <v>400</v>
      </c>
      <c r="AZ2020" s="471">
        <f t="shared" si="342"/>
        <v>26</v>
      </c>
      <c r="BA2020" s="471">
        <f>VLOOKUP(AW2020,'Item Master Data'!$A:$G,7,FALSE)</f>
        <v>32</v>
      </c>
      <c r="BC2020" s="471">
        <f t="shared" si="343"/>
        <v>-40</v>
      </c>
    </row>
    <row r="2021" spans="1:55" s="471" customFormat="1" ht="15" customHeight="1">
      <c r="A2021" s="278"/>
      <c r="B2021" s="279"/>
      <c r="C2021" s="279" t="s">
        <v>1211</v>
      </c>
      <c r="D2021" s="394" t="s">
        <v>3678</v>
      </c>
      <c r="E2021" s="280" t="s">
        <v>3921</v>
      </c>
      <c r="F2021" s="474"/>
      <c r="G2021" s="474">
        <v>2022</v>
      </c>
      <c r="H2021" s="474">
        <v>5</v>
      </c>
      <c r="I2021" s="485"/>
      <c r="J2021" s="475"/>
      <c r="K2021" s="474" t="s">
        <v>4008</v>
      </c>
      <c r="L2021" s="474" t="s">
        <v>3762</v>
      </c>
      <c r="M2021" s="475">
        <v>44599</v>
      </c>
      <c r="N2021" s="475">
        <v>44610</v>
      </c>
      <c r="O2021" s="475"/>
      <c r="P2021" s="475"/>
      <c r="Q2021" s="475"/>
      <c r="R2021" s="475"/>
      <c r="S2021" s="474" t="s">
        <v>1102</v>
      </c>
      <c r="T2021" s="474">
        <v>60</v>
      </c>
      <c r="U2021" s="474"/>
      <c r="V2021" s="474" t="s">
        <v>986</v>
      </c>
      <c r="W2021" s="476">
        <v>360</v>
      </c>
      <c r="X2021" s="402">
        <v>896</v>
      </c>
      <c r="Y2021" s="491">
        <f>W2021*X2021</f>
        <v>322560</v>
      </c>
      <c r="Z2021" s="478">
        <v>0.47</v>
      </c>
      <c r="AA2021" s="479">
        <f>Z2021*Y2021</f>
        <v>151603.19999999998</v>
      </c>
      <c r="AB2021" s="480"/>
      <c r="AC2021" s="481">
        <f t="shared" si="340"/>
        <v>0</v>
      </c>
      <c r="AD2021" s="490"/>
      <c r="AE2021" s="482"/>
      <c r="AF2021" s="493">
        <f t="shared" si="334"/>
        <v>151603.19999999998</v>
      </c>
      <c r="AG2021" s="474" t="s">
        <v>47</v>
      </c>
      <c r="AH2021" s="474">
        <v>0</v>
      </c>
      <c r="AI2021" s="474">
        <v>60</v>
      </c>
      <c r="AJ2021" s="474" t="s">
        <v>2366</v>
      </c>
      <c r="AK2021" s="474" t="s">
        <v>1395</v>
      </c>
      <c r="AL2021" s="494">
        <v>89118</v>
      </c>
      <c r="AM2021" s="474" t="s">
        <v>52</v>
      </c>
      <c r="AN2021" s="474"/>
      <c r="AO2021" s="474"/>
      <c r="AP2021" s="482"/>
      <c r="AQ2021" s="482" t="s">
        <v>37</v>
      </c>
      <c r="AR2021" s="474"/>
      <c r="AS2021" s="436" t="s">
        <v>3763</v>
      </c>
      <c r="AT2021" s="281" t="s">
        <v>1076</v>
      </c>
      <c r="AU2021" s="472" t="s">
        <v>5613</v>
      </c>
      <c r="AV2021" s="471">
        <f t="shared" si="341"/>
        <v>0</v>
      </c>
      <c r="AW2021" s="471" cm="1">
        <f t="array" ref="AW2021">SUM(MID(0&amp;AV2021,LARGE(INDEX(ISNUMBER(--MID(AV2021,ROW($1:$8),1))*ROW($1:$8),),ROW($1:$8))+1,1)*10^ROW($1:$8)/10)</f>
        <v>0</v>
      </c>
      <c r="AX2021" s="471" t="e">
        <f>VLOOKUP($AW2021,'Item Master Data'!$A:$F,3,FALSE)</f>
        <v>#N/A</v>
      </c>
      <c r="AY2021" s="471" t="e">
        <f>VLOOKUP($AW2021,'Item Master Data'!$A:$F,6,FALSE)</f>
        <v>#N/A</v>
      </c>
      <c r="AZ2021" s="471" t="e">
        <f t="shared" si="342"/>
        <v>#N/A</v>
      </c>
      <c r="BA2021" s="471" t="e">
        <f>VLOOKUP(AW2021,'Item Master Data'!$A:$G,7,FALSE)</f>
        <v>#N/A</v>
      </c>
      <c r="BC2021" s="471" t="e">
        <f t="shared" si="343"/>
        <v>#N/A</v>
      </c>
    </row>
    <row r="2022" spans="1:55" s="471" customFormat="1" ht="15" customHeight="1">
      <c r="A2022" s="278"/>
      <c r="B2022" s="279"/>
      <c r="C2022" s="279" t="s">
        <v>1211</v>
      </c>
      <c r="D2022" s="394" t="s">
        <v>3678</v>
      </c>
      <c r="E2022" s="280" t="s">
        <v>3921</v>
      </c>
      <c r="F2022" s="474"/>
      <c r="G2022" s="474">
        <v>2022</v>
      </c>
      <c r="H2022" s="474">
        <v>5</v>
      </c>
      <c r="I2022" s="485"/>
      <c r="J2022" s="475"/>
      <c r="K2022" s="474" t="s">
        <v>4009</v>
      </c>
      <c r="L2022" s="474" t="s">
        <v>3762</v>
      </c>
      <c r="M2022" s="475">
        <v>44599</v>
      </c>
      <c r="N2022" s="475">
        <v>44610</v>
      </c>
      <c r="O2022" s="475"/>
      <c r="P2022" s="475"/>
      <c r="Q2022" s="475"/>
      <c r="R2022" s="475"/>
      <c r="S2022" s="474" t="s">
        <v>1102</v>
      </c>
      <c r="T2022" s="474">
        <v>60</v>
      </c>
      <c r="U2022" s="474"/>
      <c r="V2022" s="474" t="s">
        <v>986</v>
      </c>
      <c r="W2022" s="476">
        <v>360</v>
      </c>
      <c r="X2022" s="402">
        <v>896</v>
      </c>
      <c r="Y2022" s="491">
        <f>W2022*X2022</f>
        <v>322560</v>
      </c>
      <c r="Z2022" s="478">
        <v>0.47</v>
      </c>
      <c r="AA2022" s="479">
        <f>Z2022*Y2022</f>
        <v>151603.19999999998</v>
      </c>
      <c r="AB2022" s="480"/>
      <c r="AC2022" s="481">
        <f t="shared" si="340"/>
        <v>0</v>
      </c>
      <c r="AD2022" s="490"/>
      <c r="AE2022" s="482"/>
      <c r="AF2022" s="493">
        <f t="shared" si="334"/>
        <v>151603.19999999998</v>
      </c>
      <c r="AG2022" s="474" t="s">
        <v>47</v>
      </c>
      <c r="AH2022" s="474">
        <v>0</v>
      </c>
      <c r="AI2022" s="474">
        <v>60</v>
      </c>
      <c r="AJ2022" s="474" t="s">
        <v>1593</v>
      </c>
      <c r="AK2022" s="474" t="s">
        <v>1144</v>
      </c>
      <c r="AL2022" s="494">
        <v>78764</v>
      </c>
      <c r="AM2022" s="474" t="s">
        <v>52</v>
      </c>
      <c r="AN2022" s="474"/>
      <c r="AO2022" s="474"/>
      <c r="AP2022" s="482"/>
      <c r="AQ2022" s="482" t="s">
        <v>37</v>
      </c>
      <c r="AR2022" s="474"/>
      <c r="AS2022" s="436" t="s">
        <v>3763</v>
      </c>
      <c r="AT2022" s="281" t="s">
        <v>1076</v>
      </c>
      <c r="AU2022" s="472" t="s">
        <v>5613</v>
      </c>
      <c r="AV2022" s="471">
        <f t="shared" si="341"/>
        <v>0</v>
      </c>
      <c r="AW2022" s="471" cm="1">
        <f t="array" ref="AW2022">SUM(MID(0&amp;AV2022,LARGE(INDEX(ISNUMBER(--MID(AV2022,ROW($1:$8),1))*ROW($1:$8),),ROW($1:$8))+1,1)*10^ROW($1:$8)/10)</f>
        <v>0</v>
      </c>
      <c r="AX2022" s="471" t="e">
        <f>VLOOKUP($AW2022,'Item Master Data'!$A:$F,3,FALSE)</f>
        <v>#N/A</v>
      </c>
      <c r="AY2022" s="471" t="e">
        <f>VLOOKUP($AW2022,'Item Master Data'!$A:$F,6,FALSE)</f>
        <v>#N/A</v>
      </c>
      <c r="AZ2022" s="471" t="e">
        <f t="shared" si="342"/>
        <v>#N/A</v>
      </c>
      <c r="BA2022" s="471" t="e">
        <f>VLOOKUP(AW2022,'Item Master Data'!$A:$G,7,FALSE)</f>
        <v>#N/A</v>
      </c>
      <c r="BC2022" s="471" t="e">
        <f t="shared" si="343"/>
        <v>#N/A</v>
      </c>
    </row>
    <row r="2023" spans="1:55" s="471" customFormat="1" ht="15" customHeight="1">
      <c r="A2023" s="278"/>
      <c r="B2023" s="279"/>
      <c r="C2023" s="279"/>
      <c r="D2023" s="394" t="s">
        <v>3678</v>
      </c>
      <c r="E2023" s="280" t="s">
        <v>3931</v>
      </c>
      <c r="F2023" s="474"/>
      <c r="G2023" s="474">
        <v>2022</v>
      </c>
      <c r="H2023" s="474">
        <v>5</v>
      </c>
      <c r="I2023" s="474"/>
      <c r="J2023" s="475"/>
      <c r="K2023" s="474" t="s">
        <v>3932</v>
      </c>
      <c r="L2023" s="474" t="s">
        <v>3762</v>
      </c>
      <c r="M2023" s="475">
        <v>44624</v>
      </c>
      <c r="N2023" s="475">
        <v>44631</v>
      </c>
      <c r="O2023" s="475"/>
      <c r="P2023" s="475" t="s">
        <v>3833</v>
      </c>
      <c r="Q2023" s="475"/>
      <c r="R2023" s="475"/>
      <c r="S2023" s="474" t="s">
        <v>1102</v>
      </c>
      <c r="T2023" s="474">
        <v>60</v>
      </c>
      <c r="U2023" s="474"/>
      <c r="V2023" s="474" t="s">
        <v>986</v>
      </c>
      <c r="W2023" s="476">
        <v>360</v>
      </c>
      <c r="X2023" s="402">
        <v>896</v>
      </c>
      <c r="Y2023" s="491">
        <f>X2023*W2023</f>
        <v>322560</v>
      </c>
      <c r="Z2023" s="478">
        <v>0.47499999999999998</v>
      </c>
      <c r="AA2023" s="479">
        <f>Y2023*Z2023</f>
        <v>153216</v>
      </c>
      <c r="AB2023" s="480"/>
      <c r="AC2023" s="481">
        <f t="shared" si="340"/>
        <v>0</v>
      </c>
      <c r="AD2023" s="490"/>
      <c r="AE2023" s="482"/>
      <c r="AF2023" s="493">
        <f t="shared" si="334"/>
        <v>153216</v>
      </c>
      <c r="AG2023" s="474" t="s">
        <v>47</v>
      </c>
      <c r="AH2023" s="474">
        <v>0</v>
      </c>
      <c r="AI2023" s="474">
        <v>60</v>
      </c>
      <c r="AJ2023" s="474" t="s">
        <v>3765</v>
      </c>
      <c r="AK2023" s="474" t="s">
        <v>1085</v>
      </c>
      <c r="AL2023" s="494">
        <v>8840</v>
      </c>
      <c r="AM2023" s="474" t="s">
        <v>52</v>
      </c>
      <c r="AN2023" s="474"/>
      <c r="AO2023" s="474"/>
      <c r="AP2023" s="482"/>
      <c r="AQ2023" s="482" t="s">
        <v>37</v>
      </c>
      <c r="AR2023" s="474"/>
      <c r="AS2023" s="436" t="s">
        <v>3763</v>
      </c>
      <c r="AT2023" s="281" t="s">
        <v>1076</v>
      </c>
      <c r="AU2023" s="472"/>
      <c r="AV2023" s="471">
        <f t="shared" si="341"/>
        <v>0</v>
      </c>
      <c r="AW2023" s="471" cm="1">
        <f t="array" ref="AW2023">SUM(MID(0&amp;AV2023,LARGE(INDEX(ISNUMBER(--MID(AV2023,ROW($1:$8),1))*ROW($1:$8),),ROW($1:$8))+1,1)*10^ROW($1:$8)/10)</f>
        <v>0</v>
      </c>
      <c r="AX2023" s="471" t="e">
        <f>VLOOKUP($AW2023,'Item Master Data'!$A:$F,3,FALSE)</f>
        <v>#N/A</v>
      </c>
      <c r="AY2023" s="471" t="e">
        <f>VLOOKUP($AW2023,'Item Master Data'!$A:$F,6,FALSE)</f>
        <v>#N/A</v>
      </c>
      <c r="AZ2023" s="471" t="e">
        <f t="shared" si="342"/>
        <v>#N/A</v>
      </c>
      <c r="BA2023" s="471" t="e">
        <f>VLOOKUP(AW2023,'Item Master Data'!$A:$G,7,FALSE)</f>
        <v>#N/A</v>
      </c>
      <c r="BC2023" s="471" t="e">
        <f t="shared" si="343"/>
        <v>#N/A</v>
      </c>
    </row>
    <row r="2024" spans="1:55" s="471" customFormat="1" ht="15" customHeight="1">
      <c r="A2024" s="278"/>
      <c r="B2024" s="279"/>
      <c r="C2024" s="279"/>
      <c r="D2024" s="394" t="s">
        <v>3678</v>
      </c>
      <c r="E2024" s="291" t="s">
        <v>5239</v>
      </c>
      <c r="F2024" s="474"/>
      <c r="G2024" s="474">
        <v>2022</v>
      </c>
      <c r="H2024" s="474">
        <v>5</v>
      </c>
      <c r="I2024" s="474" t="s">
        <v>5237</v>
      </c>
      <c r="J2024" s="475"/>
      <c r="K2024" s="443" t="s">
        <v>3939</v>
      </c>
      <c r="L2024" s="474" t="s">
        <v>3762</v>
      </c>
      <c r="M2024" s="475">
        <v>44637</v>
      </c>
      <c r="N2024" s="475">
        <v>44641</v>
      </c>
      <c r="O2024" s="475"/>
      <c r="P2024" s="475"/>
      <c r="Q2024" s="475"/>
      <c r="R2024" s="475"/>
      <c r="S2024" s="486" t="s">
        <v>1102</v>
      </c>
      <c r="T2024" s="474">
        <v>60</v>
      </c>
      <c r="U2024" s="474">
        <v>49203132</v>
      </c>
      <c r="V2024" s="486" t="s">
        <v>986</v>
      </c>
      <c r="W2024" s="474">
        <v>360</v>
      </c>
      <c r="X2024" s="485">
        <v>832</v>
      </c>
      <c r="Y2024" s="477">
        <f t="shared" ref="Y2024:Y2031" si="346">W2024*X2024</f>
        <v>299520</v>
      </c>
      <c r="Z2024" s="478">
        <v>0.47499999999999998</v>
      </c>
      <c r="AA2024" s="479">
        <f t="shared" ref="AA2024:AA2029" si="347">Z2024*Y2024</f>
        <v>142272</v>
      </c>
      <c r="AB2024" s="480"/>
      <c r="AC2024" s="481">
        <f t="shared" si="340"/>
        <v>0</v>
      </c>
      <c r="AD2024" s="490"/>
      <c r="AE2024" s="482"/>
      <c r="AF2024" s="493">
        <f t="shared" si="334"/>
        <v>142272</v>
      </c>
      <c r="AG2024" s="474" t="s">
        <v>47</v>
      </c>
      <c r="AH2024" s="474">
        <v>0</v>
      </c>
      <c r="AI2024" s="474">
        <v>60</v>
      </c>
      <c r="AJ2024" s="474" t="s">
        <v>3767</v>
      </c>
      <c r="AK2024" s="474" t="s">
        <v>1138</v>
      </c>
      <c r="AL2024" s="494">
        <v>11803</v>
      </c>
      <c r="AM2024" s="474" t="s">
        <v>52</v>
      </c>
      <c r="AN2024" s="474" t="s">
        <v>1106</v>
      </c>
      <c r="AO2024" s="474"/>
      <c r="AP2024" s="482"/>
      <c r="AQ2024" s="482" t="s">
        <v>37</v>
      </c>
      <c r="AR2024" s="474"/>
      <c r="AS2024" s="436" t="s">
        <v>3763</v>
      </c>
      <c r="AT2024" s="281" t="s">
        <v>1076</v>
      </c>
      <c r="AU2024" s="472" t="s">
        <v>5613</v>
      </c>
      <c r="AV2024" s="471">
        <f t="shared" si="341"/>
        <v>49203132</v>
      </c>
      <c r="AW2024" s="471" cm="1">
        <f t="array" ref="AW2024">SUM(MID(0&amp;AV2024,LARGE(INDEX(ISNUMBER(--MID(AV2024,ROW($1:$8),1))*ROW($1:$8),),ROW($1:$8))+1,1)*10^ROW($1:$8)/10)</f>
        <v>49203132</v>
      </c>
      <c r="AX2024" s="471" t="str">
        <f>VLOOKUP($AW2024,'Item Master Data'!$A:$F,3,FALSE)</f>
        <v>Q.PEAK DUO BLK G10+</v>
      </c>
      <c r="AY2024" s="471">
        <f>VLOOKUP($AW2024,'Item Master Data'!$A:$F,6,FALSE)</f>
        <v>360</v>
      </c>
      <c r="AZ2024" s="471">
        <f t="shared" si="342"/>
        <v>26</v>
      </c>
      <c r="BA2024" s="471">
        <f>VLOOKUP(AW2024,'Item Master Data'!$A:$G,7,FALSE)</f>
        <v>32</v>
      </c>
      <c r="BC2024" s="471">
        <f t="shared" si="343"/>
        <v>0</v>
      </c>
    </row>
    <row r="2025" spans="1:55" s="471" customFormat="1" ht="15" customHeight="1">
      <c r="A2025" s="278"/>
      <c r="B2025" s="279"/>
      <c r="C2025" s="279"/>
      <c r="D2025" s="394" t="s">
        <v>3678</v>
      </c>
      <c r="E2025" s="291" t="s">
        <v>3938</v>
      </c>
      <c r="F2025" s="474"/>
      <c r="G2025" s="474">
        <v>2022</v>
      </c>
      <c r="H2025" s="474">
        <v>5</v>
      </c>
      <c r="I2025" s="474"/>
      <c r="J2025" s="475"/>
      <c r="K2025" s="474" t="s">
        <v>4010</v>
      </c>
      <c r="L2025" s="474" t="s">
        <v>3762</v>
      </c>
      <c r="M2025" s="475">
        <v>44637</v>
      </c>
      <c r="N2025" s="475">
        <v>44641</v>
      </c>
      <c r="O2025" s="475"/>
      <c r="P2025" s="475"/>
      <c r="Q2025" s="475"/>
      <c r="R2025" s="475"/>
      <c r="S2025" s="486" t="s">
        <v>1102</v>
      </c>
      <c r="T2025" s="474">
        <v>60</v>
      </c>
      <c r="U2025" s="474"/>
      <c r="V2025" s="486" t="s">
        <v>986</v>
      </c>
      <c r="W2025" s="474">
        <v>360</v>
      </c>
      <c r="X2025" s="485">
        <v>896</v>
      </c>
      <c r="Y2025" s="477">
        <f t="shared" si="346"/>
        <v>322560</v>
      </c>
      <c r="Z2025" s="478">
        <v>0.47499999999999998</v>
      </c>
      <c r="AA2025" s="479">
        <f t="shared" si="347"/>
        <v>153216</v>
      </c>
      <c r="AB2025" s="480"/>
      <c r="AC2025" s="481">
        <f t="shared" si="340"/>
        <v>0</v>
      </c>
      <c r="AD2025" s="490"/>
      <c r="AE2025" s="482"/>
      <c r="AF2025" s="493">
        <f t="shared" si="334"/>
        <v>153216</v>
      </c>
      <c r="AG2025" s="474" t="s">
        <v>47</v>
      </c>
      <c r="AH2025" s="474">
        <v>0</v>
      </c>
      <c r="AI2025" s="474">
        <v>60</v>
      </c>
      <c r="AJ2025" s="474" t="s">
        <v>2277</v>
      </c>
      <c r="AK2025" s="474" t="s">
        <v>1084</v>
      </c>
      <c r="AL2025" s="494">
        <v>32822</v>
      </c>
      <c r="AM2025" s="474" t="s">
        <v>52</v>
      </c>
      <c r="AN2025" s="474"/>
      <c r="AO2025" s="474"/>
      <c r="AP2025" s="482"/>
      <c r="AQ2025" s="482" t="s">
        <v>37</v>
      </c>
      <c r="AR2025" s="474"/>
      <c r="AS2025" s="436" t="s">
        <v>3763</v>
      </c>
      <c r="AT2025" s="281" t="s">
        <v>1076</v>
      </c>
      <c r="AU2025" s="472" t="s">
        <v>5613</v>
      </c>
    </row>
    <row r="2026" spans="1:55" s="471" customFormat="1" ht="15" customHeight="1">
      <c r="A2026" s="278"/>
      <c r="B2026" s="279"/>
      <c r="C2026" s="279"/>
      <c r="D2026" s="394" t="s">
        <v>3678</v>
      </c>
      <c r="E2026" s="291" t="s">
        <v>3938</v>
      </c>
      <c r="F2026" s="474"/>
      <c r="G2026" s="474">
        <v>2022</v>
      </c>
      <c r="H2026" s="474">
        <v>5</v>
      </c>
      <c r="I2026" s="474"/>
      <c r="J2026" s="475"/>
      <c r="K2026" s="474" t="s">
        <v>4011</v>
      </c>
      <c r="L2026" s="474" t="s">
        <v>3762</v>
      </c>
      <c r="M2026" s="475">
        <v>44637</v>
      </c>
      <c r="N2026" s="475">
        <v>44641</v>
      </c>
      <c r="O2026" s="475"/>
      <c r="P2026" s="475"/>
      <c r="Q2026" s="475"/>
      <c r="R2026" s="475"/>
      <c r="S2026" s="486" t="s">
        <v>1102</v>
      </c>
      <c r="T2026" s="474">
        <v>60</v>
      </c>
      <c r="U2026" s="474"/>
      <c r="V2026" s="486" t="s">
        <v>986</v>
      </c>
      <c r="W2026" s="474">
        <v>360</v>
      </c>
      <c r="X2026" s="485">
        <v>896</v>
      </c>
      <c r="Y2026" s="477">
        <f t="shared" si="346"/>
        <v>322560</v>
      </c>
      <c r="Z2026" s="478">
        <v>0.47499999999999998</v>
      </c>
      <c r="AA2026" s="479">
        <f t="shared" si="347"/>
        <v>153216</v>
      </c>
      <c r="AB2026" s="480"/>
      <c r="AC2026" s="481">
        <f t="shared" si="340"/>
        <v>0</v>
      </c>
      <c r="AD2026" s="490"/>
      <c r="AE2026" s="482"/>
      <c r="AF2026" s="493">
        <f t="shared" si="334"/>
        <v>153216</v>
      </c>
      <c r="AG2026" s="474" t="s">
        <v>47</v>
      </c>
      <c r="AH2026" s="474">
        <v>0</v>
      </c>
      <c r="AI2026" s="474">
        <v>60</v>
      </c>
      <c r="AJ2026" s="474" t="s">
        <v>1593</v>
      </c>
      <c r="AK2026" s="474" t="s">
        <v>1144</v>
      </c>
      <c r="AL2026" s="494">
        <v>78764</v>
      </c>
      <c r="AM2026" s="474" t="s">
        <v>52</v>
      </c>
      <c r="AN2026" s="474"/>
      <c r="AO2026" s="474"/>
      <c r="AP2026" s="482"/>
      <c r="AQ2026" s="482" t="s">
        <v>37</v>
      </c>
      <c r="AR2026" s="474"/>
      <c r="AS2026" s="436" t="s">
        <v>3763</v>
      </c>
      <c r="AT2026" s="281" t="s">
        <v>1076</v>
      </c>
      <c r="AU2026" s="472" t="s">
        <v>5613</v>
      </c>
    </row>
    <row r="2027" spans="1:55" s="471" customFormat="1" ht="15" customHeight="1">
      <c r="A2027" s="278"/>
      <c r="B2027" s="279"/>
      <c r="C2027" s="279"/>
      <c r="D2027" s="394" t="s">
        <v>3678</v>
      </c>
      <c r="E2027" s="291" t="s">
        <v>3938</v>
      </c>
      <c r="F2027" s="474"/>
      <c r="G2027" s="474">
        <v>2022</v>
      </c>
      <c r="H2027" s="474">
        <v>5</v>
      </c>
      <c r="I2027" s="474"/>
      <c r="J2027" s="475"/>
      <c r="K2027" s="474" t="s">
        <v>4012</v>
      </c>
      <c r="L2027" s="474" t="s">
        <v>3762</v>
      </c>
      <c r="M2027" s="475">
        <v>44637</v>
      </c>
      <c r="N2027" s="475">
        <v>44641</v>
      </c>
      <c r="O2027" s="475"/>
      <c r="P2027" s="475"/>
      <c r="Q2027" s="475"/>
      <c r="R2027" s="475"/>
      <c r="S2027" s="486" t="s">
        <v>1102</v>
      </c>
      <c r="T2027" s="474">
        <v>60</v>
      </c>
      <c r="U2027" s="474"/>
      <c r="V2027" s="486" t="s">
        <v>986</v>
      </c>
      <c r="W2027" s="474">
        <v>360</v>
      </c>
      <c r="X2027" s="485">
        <v>896</v>
      </c>
      <c r="Y2027" s="477">
        <f t="shared" si="346"/>
        <v>322560</v>
      </c>
      <c r="Z2027" s="478">
        <v>0.47499999999999998</v>
      </c>
      <c r="AA2027" s="479">
        <f t="shared" si="347"/>
        <v>153216</v>
      </c>
      <c r="AB2027" s="480"/>
      <c r="AC2027" s="481">
        <f t="shared" si="340"/>
        <v>0</v>
      </c>
      <c r="AD2027" s="490"/>
      <c r="AE2027" s="482"/>
      <c r="AF2027" s="493">
        <f t="shared" si="334"/>
        <v>153216</v>
      </c>
      <c r="AG2027" s="474" t="s">
        <v>47</v>
      </c>
      <c r="AH2027" s="474">
        <v>0</v>
      </c>
      <c r="AI2027" s="474">
        <v>60</v>
      </c>
      <c r="AJ2027" s="474" t="s">
        <v>3304</v>
      </c>
      <c r="AK2027" s="474" t="s">
        <v>1144</v>
      </c>
      <c r="AL2027" s="494">
        <v>75261</v>
      </c>
      <c r="AM2027" s="474" t="s">
        <v>52</v>
      </c>
      <c r="AN2027" s="474"/>
      <c r="AO2027" s="474"/>
      <c r="AP2027" s="482"/>
      <c r="AQ2027" s="482" t="s">
        <v>37</v>
      </c>
      <c r="AR2027" s="474"/>
      <c r="AS2027" s="436" t="s">
        <v>3763</v>
      </c>
      <c r="AT2027" s="281" t="s">
        <v>1076</v>
      </c>
      <c r="AU2027" s="472" t="s">
        <v>5613</v>
      </c>
    </row>
    <row r="2028" spans="1:55" s="471" customFormat="1" ht="15" customHeight="1">
      <c r="A2028" s="278"/>
      <c r="B2028" s="279"/>
      <c r="C2028" s="279"/>
      <c r="D2028" s="394" t="s">
        <v>3678</v>
      </c>
      <c r="E2028" s="291" t="s">
        <v>5708</v>
      </c>
      <c r="F2028" s="474"/>
      <c r="G2028" s="474">
        <v>2022</v>
      </c>
      <c r="H2028" s="474">
        <v>5</v>
      </c>
      <c r="I2028" s="474"/>
      <c r="J2028" s="475"/>
      <c r="K2028" s="474" t="s">
        <v>5709</v>
      </c>
      <c r="L2028" s="474" t="s">
        <v>3762</v>
      </c>
      <c r="M2028" s="475">
        <v>44676</v>
      </c>
      <c r="N2028" s="475"/>
      <c r="O2028" s="475"/>
      <c r="P2028" s="475"/>
      <c r="Q2028" s="475"/>
      <c r="R2028" s="475"/>
      <c r="S2028" s="486" t="s">
        <v>1102</v>
      </c>
      <c r="T2028" s="474">
        <v>60</v>
      </c>
      <c r="U2028" s="474"/>
      <c r="V2028" s="486" t="s">
        <v>986</v>
      </c>
      <c r="W2028" s="474">
        <v>360</v>
      </c>
      <c r="X2028" s="485">
        <v>9984</v>
      </c>
      <c r="Y2028" s="477">
        <f t="shared" si="346"/>
        <v>3594240</v>
      </c>
      <c r="Z2028" s="478">
        <v>0.505</v>
      </c>
      <c r="AA2028" s="479">
        <f t="shared" si="347"/>
        <v>1815091.2</v>
      </c>
      <c r="AB2028" s="480"/>
      <c r="AC2028" s="481">
        <f t="shared" si="340"/>
        <v>0</v>
      </c>
      <c r="AD2028" s="490"/>
      <c r="AE2028" s="482"/>
      <c r="AF2028" s="493">
        <f t="shared" si="334"/>
        <v>1815091.2</v>
      </c>
      <c r="AG2028" s="474" t="s">
        <v>47</v>
      </c>
      <c r="AH2028" s="474">
        <v>0</v>
      </c>
      <c r="AI2028" s="474">
        <v>60</v>
      </c>
      <c r="AJ2028" s="474"/>
      <c r="AK2028" s="474"/>
      <c r="AL2028" s="494"/>
      <c r="AM2028" s="474" t="s">
        <v>52</v>
      </c>
      <c r="AN2028" s="474"/>
      <c r="AO2028" s="474"/>
      <c r="AP2028" s="482"/>
      <c r="AQ2028" s="482" t="s">
        <v>37</v>
      </c>
      <c r="AR2028" s="474"/>
      <c r="AS2028" s="436" t="s">
        <v>3763</v>
      </c>
      <c r="AT2028" s="281" t="s">
        <v>1076</v>
      </c>
      <c r="AU2028" s="472" t="s">
        <v>5613</v>
      </c>
    </row>
    <row r="2029" spans="1:55" s="471" customFormat="1" ht="15" customHeight="1">
      <c r="A2029" s="278"/>
      <c r="B2029" s="279"/>
      <c r="C2029" s="279"/>
      <c r="D2029" s="394" t="s">
        <v>3678</v>
      </c>
      <c r="E2029" s="291" t="s">
        <v>5708</v>
      </c>
      <c r="F2029" s="474"/>
      <c r="G2029" s="474">
        <v>2022</v>
      </c>
      <c r="H2029" s="474">
        <v>5</v>
      </c>
      <c r="I2029" s="474"/>
      <c r="J2029" s="475"/>
      <c r="K2029" s="474" t="s">
        <v>5710</v>
      </c>
      <c r="L2029" s="474" t="s">
        <v>3762</v>
      </c>
      <c r="M2029" s="475">
        <v>44676</v>
      </c>
      <c r="N2029" s="475"/>
      <c r="O2029" s="475"/>
      <c r="P2029" s="475"/>
      <c r="Q2029" s="475"/>
      <c r="R2029" s="475"/>
      <c r="S2029" s="486" t="s">
        <v>1102</v>
      </c>
      <c r="T2029" s="474">
        <v>60</v>
      </c>
      <c r="U2029" s="474"/>
      <c r="V2029" s="474" t="s">
        <v>973</v>
      </c>
      <c r="W2029" s="474">
        <v>400</v>
      </c>
      <c r="X2029" s="485">
        <v>9216</v>
      </c>
      <c r="Y2029" s="477">
        <f t="shared" si="346"/>
        <v>3686400</v>
      </c>
      <c r="Z2029" s="478">
        <v>0.51500000000000001</v>
      </c>
      <c r="AA2029" s="479">
        <f t="shared" si="347"/>
        <v>1898496</v>
      </c>
      <c r="AB2029" s="480"/>
      <c r="AC2029" s="481">
        <f t="shared" si="340"/>
        <v>0</v>
      </c>
      <c r="AD2029" s="490"/>
      <c r="AE2029" s="482"/>
      <c r="AF2029" s="493">
        <f t="shared" ref="AF2029:AF2046" si="348">AE2029+AD2029+AA2029</f>
        <v>1898496</v>
      </c>
      <c r="AG2029" s="474" t="s">
        <v>47</v>
      </c>
      <c r="AH2029" s="474">
        <v>0</v>
      </c>
      <c r="AI2029" s="474">
        <v>60</v>
      </c>
      <c r="AJ2029" s="474"/>
      <c r="AK2029" s="474"/>
      <c r="AL2029" s="494"/>
      <c r="AM2029" s="474" t="s">
        <v>52</v>
      </c>
      <c r="AN2029" s="474"/>
      <c r="AO2029" s="474"/>
      <c r="AP2029" s="482"/>
      <c r="AQ2029" s="482" t="s">
        <v>37</v>
      </c>
      <c r="AR2029" s="474"/>
      <c r="AS2029" s="436" t="s">
        <v>3763</v>
      </c>
      <c r="AT2029" s="281" t="s">
        <v>1076</v>
      </c>
      <c r="AU2029" s="472" t="s">
        <v>5613</v>
      </c>
    </row>
    <row r="2030" spans="1:55" s="471" customFormat="1" ht="15" customHeight="1">
      <c r="A2030" s="278"/>
      <c r="B2030" s="279"/>
      <c r="C2030" s="279"/>
      <c r="D2030" s="394" t="s">
        <v>3678</v>
      </c>
      <c r="E2030" s="280"/>
      <c r="F2030" s="474" t="s">
        <v>1147</v>
      </c>
      <c r="G2030" s="474">
        <v>2022</v>
      </c>
      <c r="H2030" s="474">
        <v>5</v>
      </c>
      <c r="I2030" s="485"/>
      <c r="J2030" s="475"/>
      <c r="K2030" s="474" t="s">
        <v>5238</v>
      </c>
      <c r="L2030" s="474" t="s">
        <v>3792</v>
      </c>
      <c r="M2030" s="475">
        <v>44659</v>
      </c>
      <c r="N2030" s="475">
        <v>44655</v>
      </c>
      <c r="O2030" s="475"/>
      <c r="P2030" s="475"/>
      <c r="Q2030" s="475"/>
      <c r="R2030" s="475"/>
      <c r="S2030" s="474" t="s">
        <v>1102</v>
      </c>
      <c r="T2030" s="474">
        <v>60</v>
      </c>
      <c r="U2030" s="474">
        <v>49201132</v>
      </c>
      <c r="V2030" s="474" t="s">
        <v>986</v>
      </c>
      <c r="W2030" s="476">
        <v>360</v>
      </c>
      <c r="X2030" s="402">
        <v>2304</v>
      </c>
      <c r="Y2030" s="491">
        <f t="shared" si="346"/>
        <v>829440</v>
      </c>
      <c r="Z2030" s="478">
        <v>0.5</v>
      </c>
      <c r="AA2030" s="479">
        <f t="shared" ref="AA2030:AA2035" si="349">Y2030*Z2030</f>
        <v>414720</v>
      </c>
      <c r="AB2030" s="480"/>
      <c r="AC2030" s="481">
        <f t="shared" si="340"/>
        <v>0</v>
      </c>
      <c r="AD2030" s="490"/>
      <c r="AE2030" s="482"/>
      <c r="AF2030" s="493">
        <f t="shared" si="348"/>
        <v>414720</v>
      </c>
      <c r="AG2030" s="474" t="s">
        <v>47</v>
      </c>
      <c r="AH2030" s="474">
        <v>10</v>
      </c>
      <c r="AI2030" s="474">
        <v>30</v>
      </c>
      <c r="AJ2030" s="474" t="s">
        <v>3793</v>
      </c>
      <c r="AK2030" s="474" t="s">
        <v>1085</v>
      </c>
      <c r="AL2030" s="494" t="s">
        <v>4016</v>
      </c>
      <c r="AM2030" s="474" t="s">
        <v>52</v>
      </c>
      <c r="AN2030" s="474" t="s">
        <v>1074</v>
      </c>
      <c r="AO2030" s="474"/>
      <c r="AP2030" s="482"/>
      <c r="AQ2030" s="482"/>
      <c r="AR2030" s="474"/>
      <c r="AS2030" s="436"/>
      <c r="AT2030" s="281"/>
      <c r="AU2030" s="472"/>
    </row>
    <row r="2031" spans="1:55" s="471" customFormat="1" ht="15" customHeight="1">
      <c r="A2031" s="278"/>
      <c r="B2031" s="279"/>
      <c r="C2031" s="279"/>
      <c r="D2031" s="394" t="s">
        <v>3678</v>
      </c>
      <c r="E2031" s="280"/>
      <c r="F2031" s="474" t="s">
        <v>1147</v>
      </c>
      <c r="G2031" s="474">
        <v>2022</v>
      </c>
      <c r="H2031" s="474">
        <v>5</v>
      </c>
      <c r="I2031" s="485" t="s">
        <v>4013</v>
      </c>
      <c r="J2031" s="475"/>
      <c r="K2031" s="474" t="s">
        <v>4014</v>
      </c>
      <c r="L2031" s="474" t="s">
        <v>4015</v>
      </c>
      <c r="M2031" s="475">
        <v>44489</v>
      </c>
      <c r="N2031" s="475">
        <v>44234</v>
      </c>
      <c r="O2031" s="475"/>
      <c r="P2031" s="475"/>
      <c r="Q2031" s="475"/>
      <c r="R2031" s="475"/>
      <c r="S2031" s="474" t="s">
        <v>1102</v>
      </c>
      <c r="T2031" s="474">
        <v>60</v>
      </c>
      <c r="U2031" s="474">
        <v>49201132</v>
      </c>
      <c r="V2031" s="474" t="s">
        <v>986</v>
      </c>
      <c r="W2031" s="476">
        <v>360</v>
      </c>
      <c r="X2031" s="402">
        <f>4160-768-768-2304</f>
        <v>320</v>
      </c>
      <c r="Y2031" s="491">
        <f t="shared" si="346"/>
        <v>115200</v>
      </c>
      <c r="Z2031" s="478">
        <v>0.5</v>
      </c>
      <c r="AA2031" s="479">
        <f t="shared" si="349"/>
        <v>57600</v>
      </c>
      <c r="AB2031" s="480"/>
      <c r="AC2031" s="481">
        <f t="shared" si="340"/>
        <v>0</v>
      </c>
      <c r="AD2031" s="490"/>
      <c r="AE2031" s="482"/>
      <c r="AF2031" s="493">
        <f t="shared" si="348"/>
        <v>57600</v>
      </c>
      <c r="AG2031" s="474" t="s">
        <v>47</v>
      </c>
      <c r="AH2031" s="474">
        <v>100</v>
      </c>
      <c r="AI2031" s="474">
        <v>0</v>
      </c>
      <c r="AJ2031" s="474" t="s">
        <v>3793</v>
      </c>
      <c r="AK2031" s="474" t="s">
        <v>1085</v>
      </c>
      <c r="AL2031" s="494" t="s">
        <v>4016</v>
      </c>
      <c r="AM2031" s="474" t="s">
        <v>52</v>
      </c>
      <c r="AN2031" s="474" t="s">
        <v>1074</v>
      </c>
      <c r="AO2031" s="474"/>
      <c r="AP2031" s="482"/>
      <c r="AQ2031" s="482"/>
      <c r="AR2031" s="474"/>
      <c r="AS2031" s="436"/>
      <c r="AT2031" s="281"/>
      <c r="AU2031" s="472"/>
    </row>
    <row r="2032" spans="1:55" s="471" customFormat="1" ht="15" customHeight="1">
      <c r="A2032" s="278"/>
      <c r="B2032" s="279"/>
      <c r="C2032" s="279"/>
      <c r="D2032" s="394" t="s">
        <v>3678</v>
      </c>
      <c r="E2032" s="280" t="s">
        <v>3942</v>
      </c>
      <c r="F2032" s="474"/>
      <c r="G2032" s="474">
        <v>2022</v>
      </c>
      <c r="H2032" s="474">
        <v>5</v>
      </c>
      <c r="I2032" s="485"/>
      <c r="J2032" s="475"/>
      <c r="K2032" s="474">
        <v>3851</v>
      </c>
      <c r="L2032" s="474" t="s">
        <v>3796</v>
      </c>
      <c r="M2032" s="475">
        <v>44504</v>
      </c>
      <c r="N2032" s="475">
        <v>44621</v>
      </c>
      <c r="O2032" s="475"/>
      <c r="P2032" s="475" t="s">
        <v>5617</v>
      </c>
      <c r="Q2032" s="475"/>
      <c r="R2032" s="475"/>
      <c r="S2032" s="474" t="s">
        <v>1102</v>
      </c>
      <c r="T2032" s="474">
        <v>60</v>
      </c>
      <c r="U2032" s="474"/>
      <c r="V2032" s="474" t="s">
        <v>973</v>
      </c>
      <c r="W2032" s="476">
        <v>400</v>
      </c>
      <c r="X2032" s="402">
        <v>832</v>
      </c>
      <c r="Y2032" s="470">
        <f>X2032*W2032</f>
        <v>332800</v>
      </c>
      <c r="Z2032" s="478">
        <v>0.48</v>
      </c>
      <c r="AA2032" s="479">
        <f t="shared" si="349"/>
        <v>159744</v>
      </c>
      <c r="AB2032" s="480"/>
      <c r="AC2032" s="481">
        <f t="shared" si="340"/>
        <v>0</v>
      </c>
      <c r="AD2032" s="490"/>
      <c r="AE2032" s="482"/>
      <c r="AF2032" s="493">
        <f t="shared" si="348"/>
        <v>159744</v>
      </c>
      <c r="AG2032" s="474" t="s">
        <v>1071</v>
      </c>
      <c r="AH2032" s="474"/>
      <c r="AI2032" s="474">
        <v>60</v>
      </c>
      <c r="AJ2032" s="474" t="s">
        <v>3804</v>
      </c>
      <c r="AK2032" s="474" t="s">
        <v>1085</v>
      </c>
      <c r="AL2032" s="494" t="s">
        <v>3943</v>
      </c>
      <c r="AM2032" s="474" t="s">
        <v>52</v>
      </c>
      <c r="AN2032" s="474" t="s">
        <v>1074</v>
      </c>
      <c r="AO2032" s="474"/>
      <c r="AP2032" s="482"/>
      <c r="AQ2032" s="482" t="s">
        <v>37</v>
      </c>
      <c r="AR2032" s="474"/>
      <c r="AS2032" s="436" t="s">
        <v>1076</v>
      </c>
      <c r="AT2032" s="281" t="s">
        <v>1076</v>
      </c>
      <c r="AU2032" s="472"/>
    </row>
    <row r="2033" spans="1:47" s="471" customFormat="1" ht="15" customHeight="1">
      <c r="A2033" s="278"/>
      <c r="B2033" s="279"/>
      <c r="C2033" s="279"/>
      <c r="D2033" s="394" t="s">
        <v>3678</v>
      </c>
      <c r="E2033" s="280" t="s">
        <v>3942</v>
      </c>
      <c r="F2033" s="474"/>
      <c r="G2033" s="474">
        <v>2022</v>
      </c>
      <c r="H2033" s="474">
        <v>5</v>
      </c>
      <c r="I2033" s="485"/>
      <c r="J2033" s="475"/>
      <c r="K2033" s="474">
        <v>3851</v>
      </c>
      <c r="L2033" s="474" t="s">
        <v>3796</v>
      </c>
      <c r="M2033" s="475">
        <v>44504</v>
      </c>
      <c r="N2033" s="475">
        <v>44621</v>
      </c>
      <c r="O2033" s="475"/>
      <c r="P2033" s="475" t="s">
        <v>3833</v>
      </c>
      <c r="Q2033" s="475"/>
      <c r="R2033" s="475"/>
      <c r="S2033" s="474" t="s">
        <v>1102</v>
      </c>
      <c r="T2033" s="474">
        <v>60</v>
      </c>
      <c r="U2033" s="474"/>
      <c r="V2033" s="474" t="s">
        <v>985</v>
      </c>
      <c r="W2033" s="476">
        <v>400</v>
      </c>
      <c r="X2033" s="402">
        <f>14976-832-10816-832</f>
        <v>2496</v>
      </c>
      <c r="Y2033" s="477">
        <f>X2033*W2033</f>
        <v>998400</v>
      </c>
      <c r="Z2033" s="478">
        <v>0.48</v>
      </c>
      <c r="AA2033" s="479">
        <f t="shared" si="349"/>
        <v>479232</v>
      </c>
      <c r="AB2033" s="480"/>
      <c r="AC2033" s="481">
        <f t="shared" si="340"/>
        <v>0</v>
      </c>
      <c r="AD2033" s="490"/>
      <c r="AE2033" s="482"/>
      <c r="AF2033" s="493">
        <f t="shared" si="348"/>
        <v>479232</v>
      </c>
      <c r="AG2033" s="474" t="s">
        <v>1071</v>
      </c>
      <c r="AH2033" s="474"/>
      <c r="AI2033" s="474">
        <v>60</v>
      </c>
      <c r="AJ2033" s="474" t="s">
        <v>3804</v>
      </c>
      <c r="AK2033" s="474" t="s">
        <v>1085</v>
      </c>
      <c r="AL2033" s="494" t="s">
        <v>3943</v>
      </c>
      <c r="AM2033" s="474" t="s">
        <v>52</v>
      </c>
      <c r="AN2033" s="474" t="s">
        <v>1074</v>
      </c>
      <c r="AO2033" s="474"/>
      <c r="AP2033" s="482"/>
      <c r="AQ2033" s="482" t="s">
        <v>37</v>
      </c>
      <c r="AR2033" s="474"/>
      <c r="AS2033" s="436" t="s">
        <v>1076</v>
      </c>
      <c r="AT2033" s="281" t="s">
        <v>1076</v>
      </c>
      <c r="AU2033" s="472"/>
    </row>
    <row r="2034" spans="1:47" s="471" customFormat="1" ht="15" customHeight="1">
      <c r="A2034" s="278"/>
      <c r="B2034" s="279"/>
      <c r="C2034" s="279"/>
      <c r="D2034" s="394" t="s">
        <v>3678</v>
      </c>
      <c r="E2034" s="280" t="s">
        <v>3944</v>
      </c>
      <c r="F2034" s="474"/>
      <c r="G2034" s="474">
        <v>2022</v>
      </c>
      <c r="H2034" s="474">
        <v>5</v>
      </c>
      <c r="I2034" s="485"/>
      <c r="J2034" s="475"/>
      <c r="K2034" s="474">
        <v>3952</v>
      </c>
      <c r="L2034" s="474" t="s">
        <v>3796</v>
      </c>
      <c r="M2034" s="475">
        <v>44620</v>
      </c>
      <c r="N2034" s="475">
        <v>44805</v>
      </c>
      <c r="O2034" s="475"/>
      <c r="P2034" s="475"/>
      <c r="Q2034" s="475"/>
      <c r="R2034" s="475"/>
      <c r="S2034" s="474" t="s">
        <v>1102</v>
      </c>
      <c r="T2034" s="474">
        <v>60</v>
      </c>
      <c r="U2034" s="474"/>
      <c r="V2034" s="474" t="s">
        <v>973</v>
      </c>
      <c r="W2034" s="476">
        <v>400</v>
      </c>
      <c r="X2034" s="402">
        <f>24128-5824</f>
        <v>18304</v>
      </c>
      <c r="Y2034" s="491">
        <f>X2034*W2034</f>
        <v>7321600</v>
      </c>
      <c r="Z2034" s="478">
        <v>0.48499999999999999</v>
      </c>
      <c r="AA2034" s="479">
        <f t="shared" si="349"/>
        <v>3550976</v>
      </c>
      <c r="AB2034" s="480"/>
      <c r="AC2034" s="481">
        <f t="shared" si="340"/>
        <v>0</v>
      </c>
      <c r="AD2034" s="490"/>
      <c r="AE2034" s="482"/>
      <c r="AF2034" s="493">
        <f t="shared" si="348"/>
        <v>3550976</v>
      </c>
      <c r="AG2034" s="474" t="s">
        <v>1071</v>
      </c>
      <c r="AH2034" s="474">
        <v>0</v>
      </c>
      <c r="AI2034" s="474">
        <v>60</v>
      </c>
      <c r="AJ2034" s="474" t="s">
        <v>3946</v>
      </c>
      <c r="AK2034" s="474" t="s">
        <v>1085</v>
      </c>
      <c r="AL2034" s="494">
        <v>7719</v>
      </c>
      <c r="AM2034" s="474" t="s">
        <v>52</v>
      </c>
      <c r="AN2034" s="474"/>
      <c r="AO2034" s="474"/>
      <c r="AP2034" s="482"/>
      <c r="AQ2034" s="482" t="s">
        <v>37</v>
      </c>
      <c r="AR2034" s="474"/>
      <c r="AS2034" s="436" t="s">
        <v>3763</v>
      </c>
      <c r="AT2034" s="281" t="s">
        <v>1076</v>
      </c>
      <c r="AU2034" s="472"/>
    </row>
    <row r="2035" spans="1:47" s="471" customFormat="1" ht="15" customHeight="1">
      <c r="A2035" s="278"/>
      <c r="B2035" s="279"/>
      <c r="C2035" s="279"/>
      <c r="D2035" s="394" t="s">
        <v>3678</v>
      </c>
      <c r="E2035" s="280" t="s">
        <v>3944</v>
      </c>
      <c r="F2035" s="474"/>
      <c r="G2035" s="474">
        <v>2022</v>
      </c>
      <c r="H2035" s="474">
        <v>5</v>
      </c>
      <c r="I2035" s="485"/>
      <c r="J2035" s="475"/>
      <c r="K2035" s="474">
        <v>3952</v>
      </c>
      <c r="L2035" s="474" t="s">
        <v>3796</v>
      </c>
      <c r="M2035" s="475">
        <v>44620</v>
      </c>
      <c r="N2035" s="475">
        <v>44805</v>
      </c>
      <c r="O2035" s="475"/>
      <c r="P2035" s="475" t="s">
        <v>3833</v>
      </c>
      <c r="Q2035" s="475" t="s">
        <v>3945</v>
      </c>
      <c r="R2035" s="475"/>
      <c r="S2035" s="474" t="s">
        <v>1102</v>
      </c>
      <c r="T2035" s="474">
        <v>60</v>
      </c>
      <c r="U2035" s="474"/>
      <c r="V2035" s="474" t="s">
        <v>973</v>
      </c>
      <c r="W2035" s="476">
        <v>400</v>
      </c>
      <c r="X2035" s="402">
        <v>5824</v>
      </c>
      <c r="Y2035" s="491">
        <f>X2035*W2035</f>
        <v>2329600</v>
      </c>
      <c r="Z2035" s="478">
        <v>0.48499999999999999</v>
      </c>
      <c r="AA2035" s="479">
        <f t="shared" si="349"/>
        <v>1129856</v>
      </c>
      <c r="AB2035" s="480"/>
      <c r="AC2035" s="481">
        <f t="shared" si="340"/>
        <v>0</v>
      </c>
      <c r="AD2035" s="490"/>
      <c r="AE2035" s="482"/>
      <c r="AF2035" s="493">
        <f t="shared" si="348"/>
        <v>1129856</v>
      </c>
      <c r="AG2035" s="474" t="s">
        <v>1071</v>
      </c>
      <c r="AH2035" s="474">
        <v>0</v>
      </c>
      <c r="AI2035" s="474">
        <v>60</v>
      </c>
      <c r="AJ2035" s="474" t="s">
        <v>3946</v>
      </c>
      <c r="AK2035" s="474" t="s">
        <v>1085</v>
      </c>
      <c r="AL2035" s="494">
        <v>7719</v>
      </c>
      <c r="AM2035" s="474" t="s">
        <v>52</v>
      </c>
      <c r="AN2035" s="474"/>
      <c r="AO2035" s="474"/>
      <c r="AP2035" s="482"/>
      <c r="AQ2035" s="482" t="s">
        <v>37</v>
      </c>
      <c r="AR2035" s="474"/>
      <c r="AS2035" s="436" t="s">
        <v>3763</v>
      </c>
      <c r="AT2035" s="281" t="s">
        <v>1076</v>
      </c>
      <c r="AU2035" s="472"/>
    </row>
    <row r="2036" spans="1:47" s="471" customFormat="1" ht="15" customHeight="1">
      <c r="A2036" s="278"/>
      <c r="B2036" s="279"/>
      <c r="C2036" s="279"/>
      <c r="D2036" s="394" t="s">
        <v>3678</v>
      </c>
      <c r="E2036" s="280" t="s">
        <v>5788</v>
      </c>
      <c r="F2036" s="474"/>
      <c r="G2036" s="474">
        <v>2022</v>
      </c>
      <c r="H2036" s="474">
        <v>5</v>
      </c>
      <c r="I2036" s="485"/>
      <c r="J2036" s="475"/>
      <c r="K2036" s="474" t="s">
        <v>5814</v>
      </c>
      <c r="L2036" s="475" t="s">
        <v>3796</v>
      </c>
      <c r="M2036" s="475">
        <v>44676</v>
      </c>
      <c r="N2036" s="475">
        <v>44676</v>
      </c>
      <c r="O2036" s="475"/>
      <c r="P2036" s="475"/>
      <c r="Q2036" s="475"/>
      <c r="R2036" s="475"/>
      <c r="S2036" s="474" t="s">
        <v>1102</v>
      </c>
      <c r="T2036" s="474">
        <v>60</v>
      </c>
      <c r="U2036" s="474"/>
      <c r="V2036" s="486" t="s">
        <v>973</v>
      </c>
      <c r="W2036" s="474">
        <v>400</v>
      </c>
      <c r="X2036" s="402">
        <v>3328</v>
      </c>
      <c r="Y2036" s="477">
        <f t="shared" ref="Y2036:Y2046" si="350">W2036*X2036</f>
        <v>1331200</v>
      </c>
      <c r="Z2036" s="478">
        <v>0.48499999999999999</v>
      </c>
      <c r="AA2036" s="479">
        <f t="shared" ref="AA2036:AA2046" si="351">Z2036*Y2036</f>
        <v>645632</v>
      </c>
      <c r="AB2036" s="480"/>
      <c r="AC2036" s="481">
        <f t="shared" si="340"/>
        <v>0</v>
      </c>
      <c r="AD2036" s="490"/>
      <c r="AE2036" s="482"/>
      <c r="AF2036" s="493">
        <f t="shared" si="348"/>
        <v>645632</v>
      </c>
      <c r="AG2036" s="474" t="s">
        <v>1071</v>
      </c>
      <c r="AH2036" s="474"/>
      <c r="AI2036" s="474">
        <v>60</v>
      </c>
      <c r="AJ2036" s="474" t="s">
        <v>1473</v>
      </c>
      <c r="AK2036" s="474" t="s">
        <v>1190</v>
      </c>
      <c r="AL2036" s="494">
        <v>6410</v>
      </c>
      <c r="AM2036" s="474" t="s">
        <v>52</v>
      </c>
      <c r="AN2036" s="474"/>
      <c r="AO2036" s="474"/>
      <c r="AP2036" s="482"/>
      <c r="AQ2036" s="482" t="s">
        <v>37</v>
      </c>
      <c r="AR2036" s="474"/>
      <c r="AS2036" s="436" t="s">
        <v>1076</v>
      </c>
      <c r="AT2036" s="281" t="s">
        <v>1076</v>
      </c>
      <c r="AU2036" s="472"/>
    </row>
    <row r="2037" spans="1:47" s="471" customFormat="1" ht="15" customHeight="1">
      <c r="A2037" s="278"/>
      <c r="B2037" s="279"/>
      <c r="C2037" s="279"/>
      <c r="D2037" s="394" t="s">
        <v>3678</v>
      </c>
      <c r="E2037" s="280" t="s">
        <v>5788</v>
      </c>
      <c r="F2037" s="474"/>
      <c r="G2037" s="474">
        <v>2022</v>
      </c>
      <c r="H2037" s="474">
        <v>5</v>
      </c>
      <c r="I2037" s="485"/>
      <c r="J2037" s="475"/>
      <c r="K2037" s="474" t="s">
        <v>5815</v>
      </c>
      <c r="L2037" s="475" t="s">
        <v>3796</v>
      </c>
      <c r="M2037" s="475">
        <v>44676</v>
      </c>
      <c r="N2037" s="475">
        <v>44676</v>
      </c>
      <c r="O2037" s="475"/>
      <c r="P2037" s="475"/>
      <c r="Q2037" s="475"/>
      <c r="R2037" s="475"/>
      <c r="S2037" s="474" t="s">
        <v>1102</v>
      </c>
      <c r="T2037" s="474">
        <v>60</v>
      </c>
      <c r="U2037" s="474"/>
      <c r="V2037" s="486" t="s">
        <v>973</v>
      </c>
      <c r="W2037" s="474">
        <v>400</v>
      </c>
      <c r="X2037" s="402">
        <v>1664</v>
      </c>
      <c r="Y2037" s="477">
        <f t="shared" si="350"/>
        <v>665600</v>
      </c>
      <c r="Z2037" s="478">
        <v>0.48499999999999999</v>
      </c>
      <c r="AA2037" s="479">
        <f t="shared" si="351"/>
        <v>322816</v>
      </c>
      <c r="AB2037" s="480"/>
      <c r="AC2037" s="481">
        <f t="shared" si="340"/>
        <v>0</v>
      </c>
      <c r="AD2037" s="490"/>
      <c r="AE2037" s="482"/>
      <c r="AF2037" s="493">
        <f t="shared" si="348"/>
        <v>322816</v>
      </c>
      <c r="AG2037" s="474" t="s">
        <v>1071</v>
      </c>
      <c r="AH2037" s="474"/>
      <c r="AI2037" s="474">
        <v>60</v>
      </c>
      <c r="AJ2037" s="474" t="s">
        <v>3800</v>
      </c>
      <c r="AK2037" s="474" t="s">
        <v>1096</v>
      </c>
      <c r="AL2037" s="494">
        <v>2576</v>
      </c>
      <c r="AM2037" s="474" t="s">
        <v>52</v>
      </c>
      <c r="AN2037" s="474"/>
      <c r="AO2037" s="474"/>
      <c r="AP2037" s="482"/>
      <c r="AQ2037" s="482" t="s">
        <v>37</v>
      </c>
      <c r="AR2037" s="474"/>
      <c r="AS2037" s="436" t="s">
        <v>1076</v>
      </c>
      <c r="AT2037" s="281" t="s">
        <v>1076</v>
      </c>
      <c r="AU2037" s="472"/>
    </row>
    <row r="2038" spans="1:47" s="471" customFormat="1" ht="15" customHeight="1">
      <c r="A2038" s="278"/>
      <c r="B2038" s="279"/>
      <c r="C2038" s="279"/>
      <c r="D2038" s="394" t="s">
        <v>3678</v>
      </c>
      <c r="E2038" s="280" t="s">
        <v>5788</v>
      </c>
      <c r="F2038" s="474"/>
      <c r="G2038" s="474">
        <v>2022</v>
      </c>
      <c r="H2038" s="474">
        <v>5</v>
      </c>
      <c r="I2038" s="485"/>
      <c r="J2038" s="475"/>
      <c r="K2038" s="474" t="s">
        <v>5816</v>
      </c>
      <c r="L2038" s="475" t="s">
        <v>3796</v>
      </c>
      <c r="M2038" s="475">
        <v>44676</v>
      </c>
      <c r="N2038" s="475">
        <v>44676</v>
      </c>
      <c r="O2038" s="475"/>
      <c r="P2038" s="475"/>
      <c r="Q2038" s="475"/>
      <c r="R2038" s="475"/>
      <c r="S2038" s="474" t="s">
        <v>1102</v>
      </c>
      <c r="T2038" s="474">
        <v>60</v>
      </c>
      <c r="U2038" s="474"/>
      <c r="V2038" s="486" t="s">
        <v>973</v>
      </c>
      <c r="W2038" s="474">
        <v>400</v>
      </c>
      <c r="X2038" s="402">
        <v>832</v>
      </c>
      <c r="Y2038" s="477">
        <f t="shared" si="350"/>
        <v>332800</v>
      </c>
      <c r="Z2038" s="478">
        <v>0.48499999999999999</v>
      </c>
      <c r="AA2038" s="479">
        <f t="shared" si="351"/>
        <v>161408</v>
      </c>
      <c r="AB2038" s="480"/>
      <c r="AC2038" s="481">
        <f t="shared" si="340"/>
        <v>0</v>
      </c>
      <c r="AD2038" s="490"/>
      <c r="AE2038" s="482"/>
      <c r="AF2038" s="493">
        <f t="shared" si="348"/>
        <v>161408</v>
      </c>
      <c r="AG2038" s="474" t="s">
        <v>1071</v>
      </c>
      <c r="AH2038" s="474"/>
      <c r="AI2038" s="474">
        <v>60</v>
      </c>
      <c r="AJ2038" s="474" t="s">
        <v>3816</v>
      </c>
      <c r="AK2038" s="474" t="s">
        <v>1138</v>
      </c>
      <c r="AL2038" s="494">
        <v>11779</v>
      </c>
      <c r="AM2038" s="474" t="s">
        <v>52</v>
      </c>
      <c r="AN2038" s="474"/>
      <c r="AO2038" s="474"/>
      <c r="AP2038" s="482"/>
      <c r="AQ2038" s="482" t="s">
        <v>37</v>
      </c>
      <c r="AR2038" s="474"/>
      <c r="AS2038" s="436" t="s">
        <v>1076</v>
      </c>
      <c r="AT2038" s="281" t="s">
        <v>1076</v>
      </c>
      <c r="AU2038" s="472"/>
    </row>
    <row r="2039" spans="1:47" s="471" customFormat="1" ht="15" customHeight="1">
      <c r="A2039" s="278"/>
      <c r="B2039" s="279"/>
      <c r="C2039" s="279"/>
      <c r="D2039" s="394" t="s">
        <v>3678</v>
      </c>
      <c r="E2039" s="280" t="s">
        <v>5788</v>
      </c>
      <c r="F2039" s="474"/>
      <c r="G2039" s="474">
        <v>2022</v>
      </c>
      <c r="H2039" s="474">
        <v>5</v>
      </c>
      <c r="I2039" s="485"/>
      <c r="J2039" s="475"/>
      <c r="K2039" s="474" t="s">
        <v>5817</v>
      </c>
      <c r="L2039" s="475" t="s">
        <v>3796</v>
      </c>
      <c r="M2039" s="475">
        <v>44676</v>
      </c>
      <c r="N2039" s="475">
        <v>44676</v>
      </c>
      <c r="O2039" s="475"/>
      <c r="P2039" s="475"/>
      <c r="Q2039" s="475"/>
      <c r="R2039" s="475"/>
      <c r="S2039" s="474" t="s">
        <v>1102</v>
      </c>
      <c r="T2039" s="474">
        <v>60</v>
      </c>
      <c r="U2039" s="474"/>
      <c r="V2039" s="486" t="s">
        <v>973</v>
      </c>
      <c r="W2039" s="474">
        <v>400</v>
      </c>
      <c r="X2039" s="402">
        <v>3328</v>
      </c>
      <c r="Y2039" s="477">
        <f t="shared" si="350"/>
        <v>1331200</v>
      </c>
      <c r="Z2039" s="478">
        <v>0.48499999999999999</v>
      </c>
      <c r="AA2039" s="479">
        <f t="shared" si="351"/>
        <v>645632</v>
      </c>
      <c r="AB2039" s="480"/>
      <c r="AC2039" s="481">
        <f t="shared" si="340"/>
        <v>0</v>
      </c>
      <c r="AD2039" s="490"/>
      <c r="AE2039" s="482"/>
      <c r="AF2039" s="493">
        <f t="shared" si="348"/>
        <v>645632</v>
      </c>
      <c r="AG2039" s="474" t="s">
        <v>1071</v>
      </c>
      <c r="AH2039" s="474"/>
      <c r="AI2039" s="474">
        <v>60</v>
      </c>
      <c r="AJ2039" s="474" t="s">
        <v>3804</v>
      </c>
      <c r="AK2039" s="474" t="s">
        <v>1085</v>
      </c>
      <c r="AL2039" s="494">
        <v>7719</v>
      </c>
      <c r="AM2039" s="474" t="s">
        <v>52</v>
      </c>
      <c r="AN2039" s="474"/>
      <c r="AO2039" s="474"/>
      <c r="AP2039" s="482"/>
      <c r="AQ2039" s="482" t="s">
        <v>37</v>
      </c>
      <c r="AR2039" s="474"/>
      <c r="AS2039" s="436" t="s">
        <v>1076</v>
      </c>
      <c r="AT2039" s="281" t="s">
        <v>1076</v>
      </c>
      <c r="AU2039" s="472"/>
    </row>
    <row r="2040" spans="1:47" s="471" customFormat="1" ht="15" customHeight="1">
      <c r="A2040" s="278"/>
      <c r="B2040" s="279"/>
      <c r="C2040" s="279"/>
      <c r="D2040" s="394" t="s">
        <v>3678</v>
      </c>
      <c r="E2040" s="280" t="s">
        <v>5788</v>
      </c>
      <c r="F2040" s="474"/>
      <c r="G2040" s="474">
        <v>2022</v>
      </c>
      <c r="H2040" s="474">
        <v>5</v>
      </c>
      <c r="I2040" s="485"/>
      <c r="J2040" s="475"/>
      <c r="K2040" s="474" t="s">
        <v>5818</v>
      </c>
      <c r="L2040" s="475" t="s">
        <v>3796</v>
      </c>
      <c r="M2040" s="475">
        <v>44676</v>
      </c>
      <c r="N2040" s="475">
        <v>44676</v>
      </c>
      <c r="O2040" s="475"/>
      <c r="P2040" s="475"/>
      <c r="Q2040" s="475"/>
      <c r="R2040" s="475"/>
      <c r="S2040" s="474" t="s">
        <v>1102</v>
      </c>
      <c r="T2040" s="474">
        <v>60</v>
      </c>
      <c r="U2040" s="474"/>
      <c r="V2040" s="486" t="s">
        <v>973</v>
      </c>
      <c r="W2040" s="474">
        <v>400</v>
      </c>
      <c r="X2040" s="402">
        <v>1664</v>
      </c>
      <c r="Y2040" s="477">
        <f t="shared" si="350"/>
        <v>665600</v>
      </c>
      <c r="Z2040" s="478">
        <v>0.48499999999999999</v>
      </c>
      <c r="AA2040" s="479">
        <f t="shared" si="351"/>
        <v>322816</v>
      </c>
      <c r="AB2040" s="480"/>
      <c r="AC2040" s="481">
        <f t="shared" si="340"/>
        <v>0</v>
      </c>
      <c r="AD2040" s="490"/>
      <c r="AE2040" s="482"/>
      <c r="AF2040" s="493">
        <f t="shared" si="348"/>
        <v>322816</v>
      </c>
      <c r="AG2040" s="474" t="s">
        <v>1071</v>
      </c>
      <c r="AH2040" s="474"/>
      <c r="AI2040" s="474">
        <v>60</v>
      </c>
      <c r="AJ2040" s="474" t="s">
        <v>3807</v>
      </c>
      <c r="AK2040" s="474" t="s">
        <v>1347</v>
      </c>
      <c r="AL2040" s="494">
        <v>19605</v>
      </c>
      <c r="AM2040" s="474" t="s">
        <v>52</v>
      </c>
      <c r="AN2040" s="474"/>
      <c r="AO2040" s="474"/>
      <c r="AP2040" s="482"/>
      <c r="AQ2040" s="482" t="s">
        <v>37</v>
      </c>
      <c r="AR2040" s="474"/>
      <c r="AS2040" s="436" t="s">
        <v>1076</v>
      </c>
      <c r="AT2040" s="281" t="s">
        <v>1076</v>
      </c>
      <c r="AU2040" s="472"/>
    </row>
    <row r="2041" spans="1:47" s="471" customFormat="1" ht="15" customHeight="1">
      <c r="A2041" s="278"/>
      <c r="B2041" s="279"/>
      <c r="C2041" s="289" t="s">
        <v>1211</v>
      </c>
      <c r="D2041" s="394" t="s">
        <v>3678</v>
      </c>
      <c r="E2041" s="280" t="s">
        <v>3964</v>
      </c>
      <c r="F2041" s="474"/>
      <c r="G2041" s="474">
        <v>2022</v>
      </c>
      <c r="H2041" s="474">
        <v>6</v>
      </c>
      <c r="I2041" s="404" t="s">
        <v>1286</v>
      </c>
      <c r="J2041" s="475"/>
      <c r="K2041" s="474" t="s">
        <v>3966</v>
      </c>
      <c r="L2041" s="475" t="s">
        <v>1120</v>
      </c>
      <c r="M2041" s="475">
        <v>44564</v>
      </c>
      <c r="N2041" s="475">
        <v>44657</v>
      </c>
      <c r="O2041" s="475"/>
      <c r="P2041" s="475"/>
      <c r="Q2041" s="475"/>
      <c r="R2041" s="475"/>
      <c r="S2041" s="474" t="s">
        <v>1102</v>
      </c>
      <c r="T2041" s="474">
        <v>60</v>
      </c>
      <c r="U2041" s="474"/>
      <c r="V2041" s="474" t="s">
        <v>986</v>
      </c>
      <c r="W2041" s="476">
        <v>360</v>
      </c>
      <c r="X2041" s="402">
        <v>768</v>
      </c>
      <c r="Y2041" s="477">
        <f t="shared" si="350"/>
        <v>276480</v>
      </c>
      <c r="Z2041" s="478">
        <v>0.53</v>
      </c>
      <c r="AA2041" s="479">
        <f t="shared" si="351"/>
        <v>146534.39999999999</v>
      </c>
      <c r="AB2041" s="386"/>
      <c r="AC2041" s="481"/>
      <c r="AD2041" s="474"/>
      <c r="AE2041" s="482"/>
      <c r="AF2041" s="493">
        <f t="shared" si="348"/>
        <v>146534.39999999999</v>
      </c>
      <c r="AG2041" s="474" t="s">
        <v>47</v>
      </c>
      <c r="AH2041" s="447"/>
      <c r="AI2041" s="474">
        <v>45</v>
      </c>
      <c r="AJ2041" s="474" t="s">
        <v>1121</v>
      </c>
      <c r="AK2041" s="474" t="s">
        <v>1117</v>
      </c>
      <c r="AL2041" s="494">
        <v>60433</v>
      </c>
      <c r="AM2041" s="474" t="s">
        <v>52</v>
      </c>
      <c r="AN2041" s="474"/>
      <c r="AO2041" s="474"/>
      <c r="AP2041" s="474"/>
      <c r="AQ2041" s="482" t="s">
        <v>37</v>
      </c>
      <c r="AR2041" s="474"/>
      <c r="AS2041" s="356"/>
      <c r="AT2041" s="387"/>
      <c r="AU2041" s="472"/>
    </row>
    <row r="2042" spans="1:47" s="471" customFormat="1" ht="15" customHeight="1">
      <c r="A2042" s="278"/>
      <c r="B2042" s="279"/>
      <c r="C2042" s="289" t="s">
        <v>1211</v>
      </c>
      <c r="D2042" s="394" t="s">
        <v>3678</v>
      </c>
      <c r="E2042" s="280" t="s">
        <v>3964</v>
      </c>
      <c r="F2042" s="474"/>
      <c r="G2042" s="474">
        <v>2022</v>
      </c>
      <c r="H2042" s="474">
        <v>6</v>
      </c>
      <c r="I2042" s="404" t="s">
        <v>1286</v>
      </c>
      <c r="J2042" s="475"/>
      <c r="K2042" s="474" t="s">
        <v>3969</v>
      </c>
      <c r="L2042" s="475" t="s">
        <v>1120</v>
      </c>
      <c r="M2042" s="475">
        <v>44565</v>
      </c>
      <c r="N2042" s="475">
        <v>44685</v>
      </c>
      <c r="O2042" s="475"/>
      <c r="P2042" s="475"/>
      <c r="Q2042" s="475"/>
      <c r="R2042" s="475"/>
      <c r="S2042" s="474" t="s">
        <v>1102</v>
      </c>
      <c r="T2042" s="474">
        <v>60</v>
      </c>
      <c r="U2042" s="474"/>
      <c r="V2042" s="474" t="s">
        <v>986</v>
      </c>
      <c r="W2042" s="476">
        <v>360</v>
      </c>
      <c r="X2042" s="402">
        <v>768</v>
      </c>
      <c r="Y2042" s="477">
        <f t="shared" si="350"/>
        <v>276480</v>
      </c>
      <c r="Z2042" s="478">
        <v>0.53</v>
      </c>
      <c r="AA2042" s="479">
        <f t="shared" si="351"/>
        <v>146534.39999999999</v>
      </c>
      <c r="AB2042" s="480"/>
      <c r="AC2042" s="481"/>
      <c r="AD2042" s="490"/>
      <c r="AE2042" s="482"/>
      <c r="AF2042" s="493">
        <f t="shared" si="348"/>
        <v>146534.39999999999</v>
      </c>
      <c r="AG2042" s="474" t="s">
        <v>47</v>
      </c>
      <c r="AH2042" s="474"/>
      <c r="AI2042" s="474">
        <v>45</v>
      </c>
      <c r="AJ2042" s="474" t="s">
        <v>1839</v>
      </c>
      <c r="AK2042" s="474" t="s">
        <v>50</v>
      </c>
      <c r="AL2042" s="494">
        <v>91304</v>
      </c>
      <c r="AM2042" s="474" t="s">
        <v>52</v>
      </c>
      <c r="AN2042" s="474"/>
      <c r="AO2042" s="474"/>
      <c r="AP2042" s="482"/>
      <c r="AQ2042" s="482" t="s">
        <v>37</v>
      </c>
      <c r="AR2042" s="474"/>
      <c r="AS2042" s="281"/>
      <c r="AT2042" s="436"/>
      <c r="AU2042" s="472"/>
    </row>
    <row r="2043" spans="1:47" s="471" customFormat="1" ht="15" customHeight="1">
      <c r="A2043" s="278"/>
      <c r="B2043" s="279"/>
      <c r="C2043" s="289" t="s">
        <v>1211</v>
      </c>
      <c r="D2043" s="394" t="s">
        <v>3678</v>
      </c>
      <c r="E2043" s="280" t="s">
        <v>4017</v>
      </c>
      <c r="F2043" s="474"/>
      <c r="G2043" s="474">
        <v>2022</v>
      </c>
      <c r="H2043" s="474">
        <v>6</v>
      </c>
      <c r="I2043" s="404" t="s">
        <v>1286</v>
      </c>
      <c r="J2043" s="475"/>
      <c r="K2043" s="474" t="s">
        <v>3971</v>
      </c>
      <c r="L2043" s="475" t="s">
        <v>1120</v>
      </c>
      <c r="M2043" s="475">
        <v>44565</v>
      </c>
      <c r="N2043" s="475">
        <v>44685</v>
      </c>
      <c r="O2043" s="475"/>
      <c r="P2043" s="475"/>
      <c r="Q2043" s="475"/>
      <c r="R2043" s="475"/>
      <c r="S2043" s="474" t="s">
        <v>1102</v>
      </c>
      <c r="T2043" s="474">
        <v>60</v>
      </c>
      <c r="U2043" s="474"/>
      <c r="V2043" s="474" t="s">
        <v>986</v>
      </c>
      <c r="W2043" s="476">
        <v>360</v>
      </c>
      <c r="X2043" s="402">
        <v>768</v>
      </c>
      <c r="Y2043" s="477">
        <f t="shared" si="350"/>
        <v>276480</v>
      </c>
      <c r="Z2043" s="478">
        <v>0.53</v>
      </c>
      <c r="AA2043" s="479">
        <f t="shared" si="351"/>
        <v>146534.39999999999</v>
      </c>
      <c r="AB2043" s="480"/>
      <c r="AC2043" s="481"/>
      <c r="AD2043" s="490"/>
      <c r="AE2043" s="482"/>
      <c r="AF2043" s="493">
        <f t="shared" si="348"/>
        <v>146534.39999999999</v>
      </c>
      <c r="AG2043" s="474" t="s">
        <v>47</v>
      </c>
      <c r="AH2043" s="474"/>
      <c r="AI2043" s="474">
        <v>45</v>
      </c>
      <c r="AJ2043" s="474" t="s">
        <v>1124</v>
      </c>
      <c r="AK2043" s="474" t="s">
        <v>1125</v>
      </c>
      <c r="AL2043" s="494">
        <v>55122</v>
      </c>
      <c r="AM2043" s="474" t="s">
        <v>52</v>
      </c>
      <c r="AN2043" s="474"/>
      <c r="AO2043" s="474"/>
      <c r="AP2043" s="482"/>
      <c r="AQ2043" s="482" t="s">
        <v>37</v>
      </c>
      <c r="AR2043" s="474"/>
      <c r="AS2043" s="281"/>
      <c r="AT2043" s="436"/>
      <c r="AU2043" s="472"/>
    </row>
    <row r="2044" spans="1:47" s="471" customFormat="1" ht="15" customHeight="1">
      <c r="A2044" s="278"/>
      <c r="B2044" s="279"/>
      <c r="C2044" s="289" t="s">
        <v>1211</v>
      </c>
      <c r="D2044" s="394" t="s">
        <v>3678</v>
      </c>
      <c r="E2044" s="280" t="s">
        <v>4017</v>
      </c>
      <c r="F2044" s="474"/>
      <c r="G2044" s="474">
        <v>2022</v>
      </c>
      <c r="H2044" s="474">
        <v>6</v>
      </c>
      <c r="I2044" s="404" t="s">
        <v>1286</v>
      </c>
      <c r="J2044" s="475"/>
      <c r="K2044" s="474" t="s">
        <v>4018</v>
      </c>
      <c r="L2044" s="475" t="s">
        <v>1120</v>
      </c>
      <c r="M2044" s="475">
        <v>44565</v>
      </c>
      <c r="N2044" s="475">
        <v>44685</v>
      </c>
      <c r="O2044" s="475"/>
      <c r="P2044" s="475"/>
      <c r="Q2044" s="475"/>
      <c r="R2044" s="475"/>
      <c r="S2044" s="474" t="s">
        <v>1102</v>
      </c>
      <c r="T2044" s="474">
        <v>60</v>
      </c>
      <c r="U2044" s="474"/>
      <c r="V2044" s="474" t="s">
        <v>986</v>
      </c>
      <c r="W2044" s="476">
        <v>360</v>
      </c>
      <c r="X2044" s="402">
        <v>768</v>
      </c>
      <c r="Y2044" s="477">
        <f t="shared" si="350"/>
        <v>276480</v>
      </c>
      <c r="Z2044" s="478">
        <v>0.53</v>
      </c>
      <c r="AA2044" s="479">
        <f t="shared" si="351"/>
        <v>146534.39999999999</v>
      </c>
      <c r="AB2044" s="480"/>
      <c r="AC2044" s="481"/>
      <c r="AD2044" s="490"/>
      <c r="AE2044" s="482"/>
      <c r="AF2044" s="493">
        <f t="shared" si="348"/>
        <v>146534.39999999999</v>
      </c>
      <c r="AG2044" s="474" t="s">
        <v>47</v>
      </c>
      <c r="AH2044" s="474"/>
      <c r="AI2044" s="474">
        <v>45</v>
      </c>
      <c r="AJ2044" s="474" t="s">
        <v>1132</v>
      </c>
      <c r="AK2044" s="474" t="s">
        <v>1133</v>
      </c>
      <c r="AL2044" s="494">
        <v>85215</v>
      </c>
      <c r="AM2044" s="474" t="s">
        <v>52</v>
      </c>
      <c r="AN2044" s="474"/>
      <c r="AO2044" s="474"/>
      <c r="AP2044" s="482"/>
      <c r="AQ2044" s="482" t="s">
        <v>37</v>
      </c>
      <c r="AR2044" s="474"/>
      <c r="AS2044" s="281"/>
      <c r="AT2044" s="436"/>
      <c r="AU2044" s="472"/>
    </row>
    <row r="2045" spans="1:47" s="471" customFormat="1" ht="15" customHeight="1">
      <c r="A2045" s="278"/>
      <c r="B2045" s="279"/>
      <c r="C2045" s="289" t="s">
        <v>1211</v>
      </c>
      <c r="D2045" s="394" t="s">
        <v>3678</v>
      </c>
      <c r="E2045" s="280" t="s">
        <v>3964</v>
      </c>
      <c r="F2045" s="474"/>
      <c r="G2045" s="474">
        <v>2022</v>
      </c>
      <c r="H2045" s="474">
        <v>6</v>
      </c>
      <c r="I2045" s="404" t="s">
        <v>1286</v>
      </c>
      <c r="J2045" s="475"/>
      <c r="K2045" s="474" t="s">
        <v>4019</v>
      </c>
      <c r="L2045" s="475" t="s">
        <v>1120</v>
      </c>
      <c r="M2045" s="475">
        <v>44565</v>
      </c>
      <c r="N2045" s="475">
        <v>44685</v>
      </c>
      <c r="O2045" s="475"/>
      <c r="P2045" s="475"/>
      <c r="Q2045" s="475"/>
      <c r="R2045" s="475"/>
      <c r="S2045" s="474" t="s">
        <v>1102</v>
      </c>
      <c r="T2045" s="474">
        <v>60</v>
      </c>
      <c r="U2045" s="474"/>
      <c r="V2045" s="474" t="s">
        <v>986</v>
      </c>
      <c r="W2045" s="476">
        <v>360</v>
      </c>
      <c r="X2045" s="402">
        <v>768</v>
      </c>
      <c r="Y2045" s="477">
        <f t="shared" si="350"/>
        <v>276480</v>
      </c>
      <c r="Z2045" s="478">
        <v>0.53</v>
      </c>
      <c r="AA2045" s="479">
        <f t="shared" si="351"/>
        <v>146534.39999999999</v>
      </c>
      <c r="AB2045" s="480"/>
      <c r="AC2045" s="481"/>
      <c r="AD2045" s="490"/>
      <c r="AE2045" s="482"/>
      <c r="AF2045" s="493">
        <f t="shared" si="348"/>
        <v>146534.39999999999</v>
      </c>
      <c r="AG2045" s="474" t="s">
        <v>47</v>
      </c>
      <c r="AH2045" s="474"/>
      <c r="AI2045" s="474">
        <v>45</v>
      </c>
      <c r="AJ2045" s="474" t="s">
        <v>3963</v>
      </c>
      <c r="AK2045" s="474" t="s">
        <v>1084</v>
      </c>
      <c r="AL2045" s="494">
        <v>33442</v>
      </c>
      <c r="AM2045" s="474" t="s">
        <v>52</v>
      </c>
      <c r="AN2045" s="474"/>
      <c r="AO2045" s="474"/>
      <c r="AP2045" s="482"/>
      <c r="AQ2045" s="482" t="s">
        <v>37</v>
      </c>
      <c r="AR2045" s="474"/>
      <c r="AS2045" s="281"/>
      <c r="AT2045" s="436"/>
      <c r="AU2045" s="472"/>
    </row>
    <row r="2046" spans="1:47" s="471" customFormat="1" ht="15" customHeight="1">
      <c r="A2046" s="278"/>
      <c r="B2046" s="279"/>
      <c r="C2046" s="289" t="s">
        <v>1211</v>
      </c>
      <c r="D2046" s="394" t="s">
        <v>3678</v>
      </c>
      <c r="E2046" s="280" t="s">
        <v>3964</v>
      </c>
      <c r="F2046" s="474"/>
      <c r="G2046" s="474">
        <v>2022</v>
      </c>
      <c r="H2046" s="474">
        <v>6</v>
      </c>
      <c r="I2046" s="404" t="s">
        <v>1286</v>
      </c>
      <c r="J2046" s="475"/>
      <c r="K2046" s="474" t="s">
        <v>4019</v>
      </c>
      <c r="L2046" s="475" t="s">
        <v>1120</v>
      </c>
      <c r="M2046" s="475">
        <v>44565</v>
      </c>
      <c r="N2046" s="475">
        <v>44685</v>
      </c>
      <c r="O2046" s="475"/>
      <c r="P2046" s="475"/>
      <c r="Q2046" s="475"/>
      <c r="R2046" s="475"/>
      <c r="S2046" s="474" t="s">
        <v>1102</v>
      </c>
      <c r="T2046" s="474">
        <v>60</v>
      </c>
      <c r="U2046" s="474"/>
      <c r="V2046" s="474" t="s">
        <v>986</v>
      </c>
      <c r="W2046" s="476">
        <v>360</v>
      </c>
      <c r="X2046" s="402">
        <v>768</v>
      </c>
      <c r="Y2046" s="477">
        <f t="shared" si="350"/>
        <v>276480</v>
      </c>
      <c r="Z2046" s="478">
        <v>0.53</v>
      </c>
      <c r="AA2046" s="479">
        <f t="shared" si="351"/>
        <v>146534.39999999999</v>
      </c>
      <c r="AB2046" s="480"/>
      <c r="AC2046" s="481"/>
      <c r="AD2046" s="490"/>
      <c r="AE2046" s="482"/>
      <c r="AF2046" s="493">
        <f t="shared" si="348"/>
        <v>146534.39999999999</v>
      </c>
      <c r="AG2046" s="474" t="s">
        <v>47</v>
      </c>
      <c r="AH2046" s="474"/>
      <c r="AI2046" s="474">
        <v>45</v>
      </c>
      <c r="AJ2046" s="474" t="s">
        <v>3963</v>
      </c>
      <c r="AK2046" s="474" t="s">
        <v>1084</v>
      </c>
      <c r="AL2046" s="494">
        <v>33442</v>
      </c>
      <c r="AM2046" s="474" t="s">
        <v>52</v>
      </c>
      <c r="AN2046" s="474"/>
      <c r="AO2046" s="474"/>
      <c r="AP2046" s="482"/>
      <c r="AQ2046" s="482" t="s">
        <v>37</v>
      </c>
      <c r="AR2046" s="474"/>
      <c r="AS2046" s="281"/>
      <c r="AT2046" s="436"/>
      <c r="AU2046" s="472"/>
    </row>
    <row r="2047" spans="1:47" s="471" customFormat="1" ht="15" customHeight="1">
      <c r="A2047" s="278"/>
      <c r="B2047" s="279"/>
      <c r="C2047" s="289" t="s">
        <v>1211</v>
      </c>
      <c r="D2047" s="394" t="s">
        <v>3678</v>
      </c>
      <c r="E2047" s="280" t="s">
        <v>4020</v>
      </c>
      <c r="F2047" s="474"/>
      <c r="G2047" s="474">
        <v>2022</v>
      </c>
      <c r="H2047" s="474">
        <v>6</v>
      </c>
      <c r="I2047" s="404" t="s">
        <v>1286</v>
      </c>
      <c r="J2047" s="475"/>
      <c r="K2047" s="474" t="s">
        <v>4021</v>
      </c>
      <c r="L2047" s="475" t="s">
        <v>1120</v>
      </c>
      <c r="M2047" s="475">
        <v>44565</v>
      </c>
      <c r="N2047" s="475">
        <v>44715</v>
      </c>
      <c r="O2047" s="475"/>
      <c r="P2047" s="475"/>
      <c r="Q2047" s="475"/>
      <c r="R2047" s="475"/>
      <c r="S2047" s="474" t="s">
        <v>1102</v>
      </c>
      <c r="T2047" s="474">
        <v>60</v>
      </c>
      <c r="U2047" s="474"/>
      <c r="V2047" s="474" t="s">
        <v>973</v>
      </c>
      <c r="W2047" s="476">
        <v>400</v>
      </c>
      <c r="X2047" s="402">
        <v>832</v>
      </c>
      <c r="Y2047" s="477">
        <v>332800</v>
      </c>
      <c r="Z2047" s="478">
        <v>0.55000000000000004</v>
      </c>
      <c r="AA2047" s="479">
        <v>183040.00000000003</v>
      </c>
      <c r="AB2047" s="386"/>
      <c r="AC2047" s="481"/>
      <c r="AD2047" s="474"/>
      <c r="AE2047" s="482"/>
      <c r="AF2047" s="493">
        <v>183040.00000000003</v>
      </c>
      <c r="AG2047" s="474" t="s">
        <v>47</v>
      </c>
      <c r="AH2047" s="447"/>
      <c r="AI2047" s="474">
        <v>45</v>
      </c>
      <c r="AJ2047" s="474" t="s">
        <v>3963</v>
      </c>
      <c r="AK2047" s="474" t="s">
        <v>1084</v>
      </c>
      <c r="AL2047" s="494">
        <v>33442</v>
      </c>
      <c r="AM2047" s="474" t="s">
        <v>52</v>
      </c>
      <c r="AN2047" s="474"/>
      <c r="AO2047" s="474"/>
      <c r="AP2047" s="474"/>
      <c r="AQ2047" s="482" t="s">
        <v>37</v>
      </c>
      <c r="AR2047" s="474"/>
      <c r="AS2047" s="387"/>
      <c r="AT2047" s="356"/>
      <c r="AU2047" s="472"/>
    </row>
    <row r="2048" spans="1:47" s="471" customFormat="1" ht="15" customHeight="1">
      <c r="A2048" s="278"/>
      <c r="B2048" s="279"/>
      <c r="C2048" s="289" t="s">
        <v>1211</v>
      </c>
      <c r="D2048" s="394" t="s">
        <v>3678</v>
      </c>
      <c r="E2048" s="280" t="s">
        <v>4020</v>
      </c>
      <c r="F2048" s="474"/>
      <c r="G2048" s="474">
        <v>2022</v>
      </c>
      <c r="H2048" s="474">
        <v>6</v>
      </c>
      <c r="I2048" s="404" t="s">
        <v>1286</v>
      </c>
      <c r="J2048" s="475"/>
      <c r="K2048" s="474" t="s">
        <v>4021</v>
      </c>
      <c r="L2048" s="475" t="s">
        <v>1120</v>
      </c>
      <c r="M2048" s="475">
        <v>44565</v>
      </c>
      <c r="N2048" s="475">
        <v>44715</v>
      </c>
      <c r="O2048" s="475"/>
      <c r="P2048" s="475"/>
      <c r="Q2048" s="475"/>
      <c r="R2048" s="475"/>
      <c r="S2048" s="474" t="s">
        <v>1102</v>
      </c>
      <c r="T2048" s="474">
        <v>60</v>
      </c>
      <c r="U2048" s="474"/>
      <c r="V2048" s="474" t="s">
        <v>973</v>
      </c>
      <c r="W2048" s="476">
        <v>400</v>
      </c>
      <c r="X2048" s="402">
        <v>832</v>
      </c>
      <c r="Y2048" s="477">
        <v>332800</v>
      </c>
      <c r="Z2048" s="478">
        <v>0.55000000000000004</v>
      </c>
      <c r="AA2048" s="479">
        <v>183040.00000000003</v>
      </c>
      <c r="AB2048" s="386"/>
      <c r="AC2048" s="481"/>
      <c r="AD2048" s="474"/>
      <c r="AE2048" s="482"/>
      <c r="AF2048" s="493">
        <v>183040.00000000003</v>
      </c>
      <c r="AG2048" s="474" t="s">
        <v>47</v>
      </c>
      <c r="AH2048" s="447"/>
      <c r="AI2048" s="474">
        <v>45</v>
      </c>
      <c r="AJ2048" s="474" t="s">
        <v>3963</v>
      </c>
      <c r="AK2048" s="474" t="s">
        <v>1084</v>
      </c>
      <c r="AL2048" s="494">
        <v>33442</v>
      </c>
      <c r="AM2048" s="474" t="s">
        <v>52</v>
      </c>
      <c r="AN2048" s="474"/>
      <c r="AO2048" s="474"/>
      <c r="AP2048" s="474"/>
      <c r="AQ2048" s="482" t="s">
        <v>37</v>
      </c>
      <c r="AR2048" s="474"/>
      <c r="AS2048" s="387"/>
      <c r="AT2048" s="356"/>
      <c r="AU2048" s="472"/>
    </row>
    <row r="2049" spans="1:55" s="471" customFormat="1" ht="15" customHeight="1">
      <c r="A2049" s="278"/>
      <c r="B2049" s="279"/>
      <c r="C2049" s="289" t="s">
        <v>1211</v>
      </c>
      <c r="D2049" s="394" t="s">
        <v>3678</v>
      </c>
      <c r="E2049" s="280" t="s">
        <v>4020</v>
      </c>
      <c r="F2049" s="474"/>
      <c r="G2049" s="474">
        <v>2022</v>
      </c>
      <c r="H2049" s="474">
        <v>6</v>
      </c>
      <c r="I2049" s="404" t="s">
        <v>1286</v>
      </c>
      <c r="J2049" s="475"/>
      <c r="K2049" s="474" t="s">
        <v>4022</v>
      </c>
      <c r="L2049" s="475" t="s">
        <v>1120</v>
      </c>
      <c r="M2049" s="475">
        <v>44565</v>
      </c>
      <c r="N2049" s="475">
        <v>44715</v>
      </c>
      <c r="O2049" s="475"/>
      <c r="P2049" s="475"/>
      <c r="Q2049" s="475"/>
      <c r="R2049" s="475"/>
      <c r="S2049" s="474" t="s">
        <v>1102</v>
      </c>
      <c r="T2049" s="474">
        <v>60</v>
      </c>
      <c r="U2049" s="474"/>
      <c r="V2049" s="474" t="s">
        <v>973</v>
      </c>
      <c r="W2049" s="476">
        <v>400</v>
      </c>
      <c r="X2049" s="402">
        <v>832</v>
      </c>
      <c r="Y2049" s="477">
        <v>332800</v>
      </c>
      <c r="Z2049" s="478">
        <v>0.55000000000000004</v>
      </c>
      <c r="AA2049" s="479">
        <v>183040.00000000003</v>
      </c>
      <c r="AB2049" s="480"/>
      <c r="AC2049" s="481"/>
      <c r="AD2049" s="490"/>
      <c r="AE2049" s="482"/>
      <c r="AF2049" s="493">
        <v>183040.00000000003</v>
      </c>
      <c r="AG2049" s="474" t="s">
        <v>47</v>
      </c>
      <c r="AH2049" s="474"/>
      <c r="AI2049" s="474">
        <v>45</v>
      </c>
      <c r="AJ2049" s="474" t="s">
        <v>1121</v>
      </c>
      <c r="AK2049" s="474" t="s">
        <v>1117</v>
      </c>
      <c r="AL2049" s="494">
        <v>60433</v>
      </c>
      <c r="AM2049" s="474" t="s">
        <v>52</v>
      </c>
      <c r="AN2049" s="474"/>
      <c r="AO2049" s="474"/>
      <c r="AP2049" s="482"/>
      <c r="AQ2049" s="482" t="s">
        <v>37</v>
      </c>
      <c r="AR2049" s="474"/>
      <c r="AS2049" s="436"/>
      <c r="AT2049" s="281"/>
      <c r="AU2049" s="472"/>
    </row>
    <row r="2050" spans="1:55" s="471" customFormat="1" ht="15" customHeight="1">
      <c r="A2050" s="278"/>
      <c r="B2050" s="279"/>
      <c r="C2050" s="289" t="s">
        <v>1211</v>
      </c>
      <c r="D2050" s="394" t="s">
        <v>3678</v>
      </c>
      <c r="E2050" s="280" t="s">
        <v>4020</v>
      </c>
      <c r="F2050" s="474"/>
      <c r="G2050" s="474">
        <v>2022</v>
      </c>
      <c r="H2050" s="474">
        <v>6</v>
      </c>
      <c r="I2050" s="404" t="s">
        <v>1286</v>
      </c>
      <c r="J2050" s="475"/>
      <c r="K2050" s="474" t="s">
        <v>4022</v>
      </c>
      <c r="L2050" s="475" t="s">
        <v>1120</v>
      </c>
      <c r="M2050" s="475">
        <v>44565</v>
      </c>
      <c r="N2050" s="475">
        <v>44715</v>
      </c>
      <c r="O2050" s="475"/>
      <c r="P2050" s="475"/>
      <c r="Q2050" s="475"/>
      <c r="R2050" s="475"/>
      <c r="S2050" s="474" t="s">
        <v>1102</v>
      </c>
      <c r="T2050" s="474">
        <v>60</v>
      </c>
      <c r="U2050" s="474"/>
      <c r="V2050" s="474" t="s">
        <v>973</v>
      </c>
      <c r="W2050" s="476">
        <v>400</v>
      </c>
      <c r="X2050" s="402">
        <v>832</v>
      </c>
      <c r="Y2050" s="477">
        <v>332800</v>
      </c>
      <c r="Z2050" s="478">
        <v>0.55000000000000004</v>
      </c>
      <c r="AA2050" s="479">
        <v>183040.00000000003</v>
      </c>
      <c r="AB2050" s="480"/>
      <c r="AC2050" s="481"/>
      <c r="AD2050" s="490"/>
      <c r="AE2050" s="482"/>
      <c r="AF2050" s="493">
        <v>183040.00000000003</v>
      </c>
      <c r="AG2050" s="474" t="s">
        <v>47</v>
      </c>
      <c r="AH2050" s="474"/>
      <c r="AI2050" s="474">
        <v>45</v>
      </c>
      <c r="AJ2050" s="474" t="s">
        <v>1121</v>
      </c>
      <c r="AK2050" s="474" t="s">
        <v>1117</v>
      </c>
      <c r="AL2050" s="494">
        <v>60433</v>
      </c>
      <c r="AM2050" s="474" t="s">
        <v>52</v>
      </c>
      <c r="AN2050" s="474"/>
      <c r="AO2050" s="474"/>
      <c r="AP2050" s="482"/>
      <c r="AQ2050" s="482" t="s">
        <v>37</v>
      </c>
      <c r="AR2050" s="474"/>
      <c r="AS2050" s="436"/>
      <c r="AT2050" s="281"/>
      <c r="AU2050" s="472"/>
    </row>
    <row r="2051" spans="1:55" s="471" customFormat="1" ht="15" customHeight="1">
      <c r="A2051" s="278"/>
      <c r="B2051" s="279"/>
      <c r="C2051" s="289" t="s">
        <v>1211</v>
      </c>
      <c r="D2051" s="394" t="s">
        <v>3678</v>
      </c>
      <c r="E2051" s="286" t="s">
        <v>4023</v>
      </c>
      <c r="F2051" s="474"/>
      <c r="G2051" s="474">
        <v>2022</v>
      </c>
      <c r="H2051" s="474">
        <v>6</v>
      </c>
      <c r="I2051" s="404" t="s">
        <v>1286</v>
      </c>
      <c r="J2051" s="475"/>
      <c r="K2051" s="474" t="s">
        <v>4024</v>
      </c>
      <c r="L2051" s="475" t="s">
        <v>1120</v>
      </c>
      <c r="M2051" s="475">
        <v>44582</v>
      </c>
      <c r="N2051" s="475">
        <v>44687</v>
      </c>
      <c r="O2051" s="475"/>
      <c r="P2051" s="475"/>
      <c r="Q2051" s="475"/>
      <c r="R2051" s="475"/>
      <c r="S2051" s="474" t="s">
        <v>1102</v>
      </c>
      <c r="T2051" s="474">
        <v>60</v>
      </c>
      <c r="U2051" s="474"/>
      <c r="V2051" s="474" t="s">
        <v>973</v>
      </c>
      <c r="W2051" s="476">
        <v>400</v>
      </c>
      <c r="X2051" s="402">
        <v>832</v>
      </c>
      <c r="Y2051" s="477">
        <v>332800</v>
      </c>
      <c r="Z2051" s="478">
        <v>0.55000000000000004</v>
      </c>
      <c r="AA2051" s="479">
        <v>183040.00000000003</v>
      </c>
      <c r="AB2051" s="386"/>
      <c r="AC2051" s="481"/>
      <c r="AD2051" s="474"/>
      <c r="AE2051" s="482"/>
      <c r="AF2051" s="493">
        <v>183040.00000000003</v>
      </c>
      <c r="AG2051" s="474" t="s">
        <v>47</v>
      </c>
      <c r="AH2051" s="447"/>
      <c r="AI2051" s="474">
        <v>45</v>
      </c>
      <c r="AJ2051" s="474" t="s">
        <v>1128</v>
      </c>
      <c r="AK2051" s="474" t="s">
        <v>1085</v>
      </c>
      <c r="AL2051" s="494">
        <v>8505</v>
      </c>
      <c r="AM2051" s="474" t="s">
        <v>52</v>
      </c>
      <c r="AN2051" s="474"/>
      <c r="AO2051" s="474"/>
      <c r="AP2051" s="474"/>
      <c r="AQ2051" s="482" t="s">
        <v>37</v>
      </c>
      <c r="AR2051" s="474"/>
      <c r="AS2051" s="387"/>
      <c r="AT2051" s="356"/>
      <c r="AU2051" s="472"/>
    </row>
    <row r="2052" spans="1:55" s="471" customFormat="1" ht="15" customHeight="1">
      <c r="A2052" s="278"/>
      <c r="B2052" s="279"/>
      <c r="C2052" s="289" t="s">
        <v>1211</v>
      </c>
      <c r="D2052" s="394" t="s">
        <v>3678</v>
      </c>
      <c r="E2052" s="286" t="s">
        <v>4023</v>
      </c>
      <c r="F2052" s="474"/>
      <c r="G2052" s="474">
        <v>2022</v>
      </c>
      <c r="H2052" s="474">
        <v>6</v>
      </c>
      <c r="I2052" s="404" t="s">
        <v>1286</v>
      </c>
      <c r="J2052" s="475"/>
      <c r="K2052" s="474" t="s">
        <v>4024</v>
      </c>
      <c r="L2052" s="475" t="s">
        <v>1120</v>
      </c>
      <c r="M2052" s="475">
        <v>44582</v>
      </c>
      <c r="N2052" s="475">
        <v>44687</v>
      </c>
      <c r="O2052" s="475"/>
      <c r="P2052" s="475"/>
      <c r="Q2052" s="475"/>
      <c r="R2052" s="475"/>
      <c r="S2052" s="474" t="s">
        <v>1102</v>
      </c>
      <c r="T2052" s="474">
        <v>60</v>
      </c>
      <c r="U2052" s="474"/>
      <c r="V2052" s="474" t="s">
        <v>973</v>
      </c>
      <c r="W2052" s="476">
        <v>400</v>
      </c>
      <c r="X2052" s="402">
        <v>832</v>
      </c>
      <c r="Y2052" s="477">
        <v>332800</v>
      </c>
      <c r="Z2052" s="478">
        <v>0.55000000000000004</v>
      </c>
      <c r="AA2052" s="479">
        <v>183040.00000000003</v>
      </c>
      <c r="AB2052" s="386"/>
      <c r="AC2052" s="481"/>
      <c r="AD2052" s="474"/>
      <c r="AE2052" s="482"/>
      <c r="AF2052" s="493">
        <v>183040.00000000003</v>
      </c>
      <c r="AG2052" s="474" t="s">
        <v>47</v>
      </c>
      <c r="AH2052" s="447"/>
      <c r="AI2052" s="474">
        <v>45</v>
      </c>
      <c r="AJ2052" s="474" t="s">
        <v>1128</v>
      </c>
      <c r="AK2052" s="474" t="s">
        <v>1085</v>
      </c>
      <c r="AL2052" s="494">
        <v>8505</v>
      </c>
      <c r="AM2052" s="474" t="s">
        <v>52</v>
      </c>
      <c r="AN2052" s="474"/>
      <c r="AO2052" s="474"/>
      <c r="AP2052" s="474"/>
      <c r="AQ2052" s="482" t="s">
        <v>37</v>
      </c>
      <c r="AR2052" s="474"/>
      <c r="AS2052" s="387"/>
      <c r="AT2052" s="356"/>
      <c r="AU2052" s="472"/>
    </row>
    <row r="2053" spans="1:55" s="471" customFormat="1" ht="15" customHeight="1">
      <c r="A2053" s="278"/>
      <c r="B2053" s="279"/>
      <c r="C2053" s="279"/>
      <c r="D2053" s="394" t="s">
        <v>3678</v>
      </c>
      <c r="E2053" s="288"/>
      <c r="F2053" s="474"/>
      <c r="G2053" s="474">
        <v>2022</v>
      </c>
      <c r="H2053" s="474">
        <v>6</v>
      </c>
      <c r="I2053" s="474"/>
      <c r="J2053" s="475"/>
      <c r="K2053" s="474">
        <v>1069</v>
      </c>
      <c r="L2053" s="475" t="s">
        <v>3697</v>
      </c>
      <c r="M2053" s="475">
        <v>44551</v>
      </c>
      <c r="N2053" s="475" t="s">
        <v>1631</v>
      </c>
      <c r="O2053" s="475"/>
      <c r="P2053" s="475"/>
      <c r="Q2053" s="475"/>
      <c r="R2053" s="475"/>
      <c r="S2053" s="474" t="s">
        <v>1102</v>
      </c>
      <c r="T2053" s="474">
        <v>60</v>
      </c>
      <c r="U2053" s="474"/>
      <c r="V2053" s="474" t="s">
        <v>973</v>
      </c>
      <c r="W2053" s="476">
        <v>400</v>
      </c>
      <c r="X2053" s="402">
        <v>5376</v>
      </c>
      <c r="Y2053" s="477">
        <f t="shared" ref="Y2053:Y2066" si="352">W2053*X2053</f>
        <v>2150400</v>
      </c>
      <c r="Z2053" s="478">
        <v>0.48</v>
      </c>
      <c r="AA2053" s="479">
        <f>Z2053*Y2053</f>
        <v>1032192</v>
      </c>
      <c r="AB2053" s="480"/>
      <c r="AC2053" s="481">
        <f>AB2053*Y2053</f>
        <v>0</v>
      </c>
      <c r="AD2053" s="490"/>
      <c r="AE2053" s="482"/>
      <c r="AF2053" s="493">
        <f t="shared" ref="AF2053:AF2116" si="353">AE2053+AD2053+AA2053</f>
        <v>1032192</v>
      </c>
      <c r="AG2053" s="474" t="s">
        <v>47</v>
      </c>
      <c r="AH2053" s="474"/>
      <c r="AI2053" s="474">
        <v>45</v>
      </c>
      <c r="AJ2053" s="474" t="s">
        <v>1109</v>
      </c>
      <c r="AK2053" s="474" t="s">
        <v>1109</v>
      </c>
      <c r="AL2053" s="494" t="s">
        <v>3849</v>
      </c>
      <c r="AM2053" s="474" t="s">
        <v>52</v>
      </c>
      <c r="AN2053" s="474" t="s">
        <v>1074</v>
      </c>
      <c r="AO2053" s="474"/>
      <c r="AP2053" s="482"/>
      <c r="AQ2053" s="482" t="s">
        <v>37</v>
      </c>
      <c r="AR2053" s="474"/>
      <c r="AS2053" s="436" t="s">
        <v>1076</v>
      </c>
      <c r="AT2053" s="281" t="s">
        <v>1076</v>
      </c>
      <c r="AU2053" s="472"/>
    </row>
    <row r="2054" spans="1:55" s="471" customFormat="1" ht="15" customHeight="1">
      <c r="A2054" s="278"/>
      <c r="B2054" s="279"/>
      <c r="C2054" s="279"/>
      <c r="D2054" s="394" t="s">
        <v>3678</v>
      </c>
      <c r="E2054" s="288"/>
      <c r="F2054" s="474"/>
      <c r="G2054" s="474">
        <v>2022</v>
      </c>
      <c r="H2054" s="474">
        <v>6</v>
      </c>
      <c r="I2054" s="474"/>
      <c r="J2054" s="475"/>
      <c r="K2054" s="474">
        <v>1069</v>
      </c>
      <c r="L2054" s="475" t="s">
        <v>3697</v>
      </c>
      <c r="M2054" s="475">
        <v>44551</v>
      </c>
      <c r="N2054" s="475" t="s">
        <v>1631</v>
      </c>
      <c r="O2054" s="475"/>
      <c r="P2054" s="475" t="s">
        <v>3833</v>
      </c>
      <c r="Q2054" s="475"/>
      <c r="R2054" s="475"/>
      <c r="S2054" s="474" t="s">
        <v>1102</v>
      </c>
      <c r="T2054" s="474">
        <v>60</v>
      </c>
      <c r="U2054" s="474"/>
      <c r="V2054" s="474" t="s">
        <v>986</v>
      </c>
      <c r="W2054" s="476">
        <v>360</v>
      </c>
      <c r="X2054" s="402">
        <v>9984</v>
      </c>
      <c r="Y2054" s="477">
        <f t="shared" si="352"/>
        <v>3594240</v>
      </c>
      <c r="Z2054" s="478">
        <v>0.47</v>
      </c>
      <c r="AA2054" s="479">
        <f>Z2054*Y2054</f>
        <v>1689292.7999999998</v>
      </c>
      <c r="AB2054" s="480"/>
      <c r="AC2054" s="481">
        <f>AB2054*Y2054</f>
        <v>0</v>
      </c>
      <c r="AD2054" s="490"/>
      <c r="AE2054" s="482"/>
      <c r="AF2054" s="493">
        <f t="shared" si="353"/>
        <v>1689292.7999999998</v>
      </c>
      <c r="AG2054" s="474" t="s">
        <v>47</v>
      </c>
      <c r="AH2054" s="474"/>
      <c r="AI2054" s="474">
        <v>45</v>
      </c>
      <c r="AJ2054" s="474" t="s">
        <v>1109</v>
      </c>
      <c r="AK2054" s="474" t="s">
        <v>1109</v>
      </c>
      <c r="AL2054" s="494" t="s">
        <v>3849</v>
      </c>
      <c r="AM2054" s="474" t="s">
        <v>52</v>
      </c>
      <c r="AN2054" s="474" t="s">
        <v>1074</v>
      </c>
      <c r="AO2054" s="474"/>
      <c r="AP2054" s="482"/>
      <c r="AQ2054" s="482" t="s">
        <v>37</v>
      </c>
      <c r="AR2054" s="474"/>
      <c r="AS2054" s="436" t="s">
        <v>1076</v>
      </c>
      <c r="AT2054" s="281" t="s">
        <v>1076</v>
      </c>
      <c r="AU2054" s="472"/>
    </row>
    <row r="2055" spans="1:55" s="471" customFormat="1" ht="15" customHeight="1">
      <c r="A2055" s="278"/>
      <c r="B2055" s="279"/>
      <c r="C2055" s="279"/>
      <c r="D2055" s="394" t="s">
        <v>3678</v>
      </c>
      <c r="E2055" s="280"/>
      <c r="F2055" s="474"/>
      <c r="G2055" s="474">
        <v>2022</v>
      </c>
      <c r="H2055" s="474">
        <v>6</v>
      </c>
      <c r="I2055" s="485" t="s">
        <v>5547</v>
      </c>
      <c r="J2055" s="475"/>
      <c r="K2055" s="524" t="s">
        <v>4025</v>
      </c>
      <c r="L2055" s="524" t="s">
        <v>1228</v>
      </c>
      <c r="M2055" s="475">
        <v>44531</v>
      </c>
      <c r="N2055" s="475">
        <v>44704</v>
      </c>
      <c r="O2055" s="475"/>
      <c r="P2055" s="475"/>
      <c r="Q2055" s="475"/>
      <c r="R2055" s="475"/>
      <c r="S2055" s="474" t="s">
        <v>1102</v>
      </c>
      <c r="T2055" s="474">
        <v>60</v>
      </c>
      <c r="U2055" s="474">
        <v>49201132</v>
      </c>
      <c r="V2055" s="474" t="s">
        <v>986</v>
      </c>
      <c r="W2055" s="476">
        <v>360</v>
      </c>
      <c r="X2055" s="411">
        <v>896</v>
      </c>
      <c r="Y2055" s="491">
        <f t="shared" si="352"/>
        <v>322560</v>
      </c>
      <c r="Z2055" s="478">
        <v>0.49</v>
      </c>
      <c r="AA2055" s="583">
        <f t="shared" ref="AA2055:AA2072" si="354">Y2055*Z2055</f>
        <v>158054.39999999999</v>
      </c>
      <c r="AB2055" s="480"/>
      <c r="AC2055" s="481">
        <v>0</v>
      </c>
      <c r="AD2055" s="490"/>
      <c r="AE2055" s="482"/>
      <c r="AF2055" s="493">
        <f t="shared" si="353"/>
        <v>158054.39999999999</v>
      </c>
      <c r="AG2055" s="474" t="s">
        <v>1071</v>
      </c>
      <c r="AH2055" s="474"/>
      <c r="AI2055" s="474">
        <v>60</v>
      </c>
      <c r="AJ2055" s="474" t="s">
        <v>1233</v>
      </c>
      <c r="AK2055" s="474" t="s">
        <v>1190</v>
      </c>
      <c r="AL2055" s="494" t="s">
        <v>1234</v>
      </c>
      <c r="AM2055" s="474" t="s">
        <v>52</v>
      </c>
      <c r="AN2055" s="474" t="s">
        <v>1085</v>
      </c>
      <c r="AO2055" s="474"/>
      <c r="AP2055" s="482" t="s">
        <v>38</v>
      </c>
      <c r="AQ2055" s="482" t="s">
        <v>37</v>
      </c>
      <c r="AR2055" s="474"/>
      <c r="AS2055" s="436"/>
      <c r="AT2055" s="281"/>
      <c r="AU2055" s="472"/>
      <c r="AV2055" s="471">
        <f t="shared" ref="AV2055:AV2063" si="355">U2055</f>
        <v>49201132</v>
      </c>
      <c r="AW2055" s="471" cm="1">
        <f t="array" ref="AW2055">SUM(MID(0&amp;AV2055,LARGE(INDEX(ISNUMBER(--MID(AV2055,ROW($1:$8),1))*ROW($1:$8),),ROW($1:$8))+1,1)*10^ROW($1:$8)/10)</f>
        <v>49201132</v>
      </c>
      <c r="AX2055" s="471" t="str">
        <f>VLOOKUP($AW2055,'Item Master Data'!$A:$F,3,FALSE)</f>
        <v>Q.PEAK DUO BLK G10+</v>
      </c>
      <c r="AY2055" s="471">
        <f>VLOOKUP($AW2055,'Item Master Data'!$A:$F,6,FALSE)</f>
        <v>360</v>
      </c>
      <c r="AZ2055" s="471">
        <f t="shared" ref="AZ2055:AZ2063" si="356">X2055/BA2055</f>
        <v>28</v>
      </c>
      <c r="BA2055" s="471">
        <f>VLOOKUP(AW2055,'Item Master Data'!$A:$G,7,FALSE)</f>
        <v>32</v>
      </c>
      <c r="BC2055" s="471">
        <f t="shared" ref="BC2055:BC2063" si="357">W2055-AY2055</f>
        <v>0</v>
      </c>
    </row>
    <row r="2056" spans="1:55" s="471" customFormat="1" ht="15" customHeight="1">
      <c r="A2056" s="278"/>
      <c r="B2056" s="279"/>
      <c r="C2056" s="279"/>
      <c r="D2056" s="394" t="s">
        <v>3678</v>
      </c>
      <c r="E2056" s="280" t="s">
        <v>3881</v>
      </c>
      <c r="F2056" s="474"/>
      <c r="G2056" s="474">
        <v>2022</v>
      </c>
      <c r="H2056" s="474">
        <v>6</v>
      </c>
      <c r="I2056" s="485" t="s">
        <v>3882</v>
      </c>
      <c r="J2056" s="475"/>
      <c r="K2056" s="524" t="s">
        <v>4026</v>
      </c>
      <c r="L2056" s="524" t="s">
        <v>1228</v>
      </c>
      <c r="M2056" s="475">
        <v>44518</v>
      </c>
      <c r="N2056" s="475">
        <v>44655</v>
      </c>
      <c r="O2056" s="475"/>
      <c r="P2056" s="475"/>
      <c r="Q2056" s="475"/>
      <c r="R2056" s="475"/>
      <c r="S2056" s="474" t="s">
        <v>1102</v>
      </c>
      <c r="T2056" s="474">
        <v>60</v>
      </c>
      <c r="U2056" s="474">
        <v>49401140</v>
      </c>
      <c r="V2056" s="474" t="s">
        <v>985</v>
      </c>
      <c r="W2056" s="476">
        <v>400</v>
      </c>
      <c r="X2056" s="411">
        <v>896</v>
      </c>
      <c r="Y2056" s="491">
        <f t="shared" si="352"/>
        <v>358400</v>
      </c>
      <c r="Z2056" s="478">
        <v>0.52</v>
      </c>
      <c r="AA2056" s="583">
        <f t="shared" si="354"/>
        <v>186368</v>
      </c>
      <c r="AB2056" s="480"/>
      <c r="AC2056" s="481">
        <f>AB2056*Y2056</f>
        <v>0</v>
      </c>
      <c r="AD2056" s="490"/>
      <c r="AE2056" s="482"/>
      <c r="AF2056" s="493">
        <f t="shared" si="353"/>
        <v>186368</v>
      </c>
      <c r="AG2056" s="474" t="s">
        <v>1071</v>
      </c>
      <c r="AH2056" s="474"/>
      <c r="AI2056" s="474">
        <v>60</v>
      </c>
      <c r="AJ2056" s="474" t="s">
        <v>3735</v>
      </c>
      <c r="AK2056" s="474" t="s">
        <v>1190</v>
      </c>
      <c r="AL2056" s="494">
        <v>6492</v>
      </c>
      <c r="AM2056" s="474" t="s">
        <v>52</v>
      </c>
      <c r="AN2056" s="474" t="s">
        <v>1074</v>
      </c>
      <c r="AO2056" s="474"/>
      <c r="AP2056" s="482"/>
      <c r="AQ2056" s="482" t="s">
        <v>37</v>
      </c>
      <c r="AR2056" s="474" t="s">
        <v>3884</v>
      </c>
      <c r="AS2056" s="436" t="s">
        <v>1076</v>
      </c>
      <c r="AT2056" s="281" t="s">
        <v>1076</v>
      </c>
      <c r="AU2056" s="472">
        <v>0.52</v>
      </c>
      <c r="AV2056" s="471">
        <f t="shared" si="355"/>
        <v>49401140</v>
      </c>
      <c r="AW2056" s="471" cm="1">
        <f t="array" ref="AW2056">SUM(MID(0&amp;AV2056,LARGE(INDEX(ISNUMBER(--MID(AV2056,ROW($1:$8),1))*ROW($1:$8),),ROW($1:$8))+1,1)*10^ROW($1:$8)/10)</f>
        <v>49401140</v>
      </c>
      <c r="AX2056" s="471" t="str">
        <f>VLOOKUP($AW2056,'Item Master Data'!$A:$F,3,FALSE)</f>
        <v>Q.PEAK DUO BLK ML G10.a+</v>
      </c>
      <c r="AY2056" s="471">
        <f>VLOOKUP($AW2056,'Item Master Data'!$A:$F,6,FALSE)</f>
        <v>400</v>
      </c>
      <c r="AZ2056" s="471">
        <f t="shared" si="356"/>
        <v>28</v>
      </c>
      <c r="BA2056" s="471">
        <f>VLOOKUP(AW2056,'Item Master Data'!$A:$G,7,FALSE)</f>
        <v>32</v>
      </c>
      <c r="BC2056" s="471">
        <f t="shared" si="357"/>
        <v>0</v>
      </c>
    </row>
    <row r="2057" spans="1:55">
      <c r="A2057" s="278"/>
      <c r="B2057" s="279"/>
      <c r="C2057" s="279"/>
      <c r="D2057" s="394" t="s">
        <v>3678</v>
      </c>
      <c r="E2057" s="280"/>
      <c r="F2057" s="474"/>
      <c r="G2057" s="474">
        <v>2022</v>
      </c>
      <c r="H2057" s="474">
        <v>6</v>
      </c>
      <c r="I2057" s="485"/>
      <c r="J2057" s="475"/>
      <c r="K2057" s="524" t="s">
        <v>4027</v>
      </c>
      <c r="L2057" s="524" t="s">
        <v>1295</v>
      </c>
      <c r="M2057" s="475">
        <v>44522</v>
      </c>
      <c r="N2057" s="475">
        <v>44613</v>
      </c>
      <c r="O2057" s="475"/>
      <c r="P2057" s="475"/>
      <c r="Q2057" s="475"/>
      <c r="R2057" s="475"/>
      <c r="S2057" s="474" t="s">
        <v>1102</v>
      </c>
      <c r="T2057" s="474">
        <v>60</v>
      </c>
      <c r="U2057" s="474">
        <v>49201132</v>
      </c>
      <c r="V2057" s="474" t="s">
        <v>986</v>
      </c>
      <c r="W2057" s="476">
        <v>360</v>
      </c>
      <c r="X2057" s="402">
        <v>832</v>
      </c>
      <c r="Y2057" s="491">
        <f t="shared" si="352"/>
        <v>299520</v>
      </c>
      <c r="Z2057" s="478">
        <v>0.5</v>
      </c>
      <c r="AA2057" s="583">
        <f t="shared" si="354"/>
        <v>149760</v>
      </c>
      <c r="AB2057" s="480"/>
      <c r="AC2057" s="481">
        <v>0</v>
      </c>
      <c r="AD2057" s="490"/>
      <c r="AE2057" s="482"/>
      <c r="AF2057" s="493">
        <f t="shared" si="353"/>
        <v>149760</v>
      </c>
      <c r="AG2057" s="474" t="s">
        <v>1071</v>
      </c>
      <c r="AH2057" s="474"/>
      <c r="AI2057" s="474">
        <v>60</v>
      </c>
      <c r="AJ2057" s="474" t="s">
        <v>1296</v>
      </c>
      <c r="AK2057" s="474" t="s">
        <v>1297</v>
      </c>
      <c r="AL2057" s="494" t="s">
        <v>1298</v>
      </c>
      <c r="AM2057" s="474" t="s">
        <v>52</v>
      </c>
      <c r="AN2057" s="474" t="s">
        <v>1074</v>
      </c>
      <c r="AO2057" s="474"/>
      <c r="AP2057" s="482"/>
      <c r="AQ2057" s="482" t="s">
        <v>37</v>
      </c>
      <c r="AR2057" s="474"/>
      <c r="AS2057" s="436"/>
      <c r="AT2057" s="281"/>
      <c r="AU2057" s="472"/>
      <c r="AV2057" s="262">
        <f t="shared" si="355"/>
        <v>49201132</v>
      </c>
      <c r="AW2057" s="262" cm="1">
        <f t="array" ref="AW2057">SUM(MID(0&amp;AV2057,LARGE(INDEX(ISNUMBER(--MID(AV2057,ROW($1:$8),1))*ROW($1:$8),),ROW($1:$8))+1,1)*10^ROW($1:$8)/10)</f>
        <v>49201132</v>
      </c>
      <c r="AX2057" s="262" t="str">
        <f>VLOOKUP($AW2057,'Item Master Data'!$A:$F,3,FALSE)</f>
        <v>Q.PEAK DUO BLK G10+</v>
      </c>
      <c r="AY2057" s="262">
        <f>VLOOKUP($AW2057,'Item Master Data'!$A:$F,6,FALSE)</f>
        <v>360</v>
      </c>
      <c r="AZ2057" s="262">
        <f t="shared" si="356"/>
        <v>26</v>
      </c>
      <c r="BA2057" s="262">
        <f>VLOOKUP(AW2057,'Item Master Data'!$A:$G,7,FALSE)</f>
        <v>32</v>
      </c>
      <c r="BC2057" s="262">
        <f t="shared" si="357"/>
        <v>0</v>
      </c>
    </row>
    <row r="2058" spans="1:55">
      <c r="A2058" s="278"/>
      <c r="B2058" s="279"/>
      <c r="C2058" s="279"/>
      <c r="D2058" s="394" t="s">
        <v>3678</v>
      </c>
      <c r="E2058" s="280"/>
      <c r="F2058" s="474"/>
      <c r="G2058" s="474">
        <v>2022</v>
      </c>
      <c r="H2058" s="474">
        <v>6</v>
      </c>
      <c r="I2058" s="485"/>
      <c r="J2058" s="475"/>
      <c r="K2058" s="524" t="s">
        <v>4028</v>
      </c>
      <c r="L2058" s="524" t="s">
        <v>1309</v>
      </c>
      <c r="M2058" s="475">
        <v>44477</v>
      </c>
      <c r="N2058" s="475">
        <v>44655</v>
      </c>
      <c r="O2058" s="475"/>
      <c r="P2058" s="475"/>
      <c r="Q2058" s="475"/>
      <c r="R2058" s="475"/>
      <c r="S2058" s="474" t="s">
        <v>1102</v>
      </c>
      <c r="T2058" s="474">
        <v>60</v>
      </c>
      <c r="U2058" s="474">
        <v>49201132</v>
      </c>
      <c r="V2058" s="474" t="s">
        <v>986</v>
      </c>
      <c r="W2058" s="476">
        <v>360</v>
      </c>
      <c r="X2058" s="402">
        <f>2496-1664</f>
        <v>832</v>
      </c>
      <c r="Y2058" s="491">
        <f t="shared" si="352"/>
        <v>299520</v>
      </c>
      <c r="Z2058" s="478">
        <v>0.5</v>
      </c>
      <c r="AA2058" s="583">
        <f t="shared" si="354"/>
        <v>149760</v>
      </c>
      <c r="AB2058" s="480"/>
      <c r="AC2058" s="481">
        <v>0</v>
      </c>
      <c r="AD2058" s="490"/>
      <c r="AE2058" s="482"/>
      <c r="AF2058" s="493">
        <f t="shared" si="353"/>
        <v>149760</v>
      </c>
      <c r="AG2058" s="474" t="s">
        <v>1071</v>
      </c>
      <c r="AH2058" s="474"/>
      <c r="AI2058" s="474">
        <v>60</v>
      </c>
      <c r="AJ2058" s="474" t="s">
        <v>1194</v>
      </c>
      <c r="AK2058" s="474" t="s">
        <v>1073</v>
      </c>
      <c r="AL2058" s="494">
        <v>21046</v>
      </c>
      <c r="AM2058" s="474" t="s">
        <v>52</v>
      </c>
      <c r="AN2058" s="474" t="s">
        <v>1074</v>
      </c>
      <c r="AO2058" s="474"/>
      <c r="AP2058" s="482"/>
      <c r="AQ2058" s="482"/>
      <c r="AR2058" s="474"/>
      <c r="AS2058" s="436"/>
      <c r="AT2058" s="281" t="s">
        <v>1076</v>
      </c>
      <c r="AU2058" s="472"/>
      <c r="AV2058" s="262">
        <f t="shared" si="355"/>
        <v>49201132</v>
      </c>
      <c r="AW2058" s="262" cm="1">
        <f t="array" ref="AW2058">SUM(MID(0&amp;AV2058,LARGE(INDEX(ISNUMBER(--MID(AV2058,ROW($1:$8),1))*ROW($1:$8),),ROW($1:$8))+1,1)*10^ROW($1:$8)/10)</f>
        <v>49201132</v>
      </c>
      <c r="AX2058" s="262" t="str">
        <f>VLOOKUP($AW2058,'Item Master Data'!$A:$F,3,FALSE)</f>
        <v>Q.PEAK DUO BLK G10+</v>
      </c>
      <c r="AY2058" s="262">
        <f>VLOOKUP($AW2058,'Item Master Data'!$A:$F,6,FALSE)</f>
        <v>360</v>
      </c>
      <c r="AZ2058" s="262">
        <f t="shared" si="356"/>
        <v>26</v>
      </c>
      <c r="BA2058" s="262">
        <f>VLOOKUP(AW2058,'Item Master Data'!$A:$G,7,FALSE)</f>
        <v>32</v>
      </c>
      <c r="BC2058" s="262">
        <f t="shared" si="357"/>
        <v>0</v>
      </c>
    </row>
    <row r="2059" spans="1:55">
      <c r="A2059" s="278"/>
      <c r="B2059" s="279"/>
      <c r="C2059" s="279"/>
      <c r="D2059" s="394" t="s">
        <v>3678</v>
      </c>
      <c r="E2059" s="280"/>
      <c r="F2059" s="474"/>
      <c r="G2059" s="474">
        <v>2022</v>
      </c>
      <c r="H2059" s="474">
        <v>6</v>
      </c>
      <c r="I2059" s="485"/>
      <c r="J2059" s="475"/>
      <c r="K2059" s="524" t="s">
        <v>4029</v>
      </c>
      <c r="L2059" s="524" t="s">
        <v>1309</v>
      </c>
      <c r="M2059" s="475">
        <v>44544</v>
      </c>
      <c r="N2059" s="475">
        <v>44683</v>
      </c>
      <c r="O2059" s="475"/>
      <c r="P2059" s="475"/>
      <c r="Q2059" s="475"/>
      <c r="R2059" s="475"/>
      <c r="S2059" s="474" t="s">
        <v>1102</v>
      </c>
      <c r="T2059" s="474">
        <v>60</v>
      </c>
      <c r="U2059" s="474">
        <v>49201132</v>
      </c>
      <c r="V2059" s="474" t="s">
        <v>986</v>
      </c>
      <c r="W2059" s="476">
        <v>360</v>
      </c>
      <c r="X2059" s="402">
        <v>3328</v>
      </c>
      <c r="Y2059" s="491">
        <f t="shared" si="352"/>
        <v>1198080</v>
      </c>
      <c r="Z2059" s="478">
        <v>0.5</v>
      </c>
      <c r="AA2059" s="583">
        <f t="shared" si="354"/>
        <v>599040</v>
      </c>
      <c r="AB2059" s="480"/>
      <c r="AC2059" s="481">
        <v>0</v>
      </c>
      <c r="AD2059" s="490"/>
      <c r="AE2059" s="482"/>
      <c r="AF2059" s="493">
        <f t="shared" si="353"/>
        <v>599040</v>
      </c>
      <c r="AG2059" s="474" t="s">
        <v>1071</v>
      </c>
      <c r="AH2059" s="474"/>
      <c r="AI2059" s="474">
        <v>60</v>
      </c>
      <c r="AJ2059" s="474" t="s">
        <v>1194</v>
      </c>
      <c r="AK2059" s="474" t="s">
        <v>1073</v>
      </c>
      <c r="AL2059" s="494">
        <v>21046</v>
      </c>
      <c r="AM2059" s="474" t="s">
        <v>52</v>
      </c>
      <c r="AN2059" s="474" t="s">
        <v>1074</v>
      </c>
      <c r="AO2059" s="474"/>
      <c r="AP2059" s="482"/>
      <c r="AQ2059" s="482"/>
      <c r="AR2059" s="474"/>
      <c r="AS2059" s="436"/>
      <c r="AT2059" s="281" t="s">
        <v>1076</v>
      </c>
      <c r="AU2059" s="472"/>
      <c r="AV2059" s="262">
        <f t="shared" si="355"/>
        <v>49201132</v>
      </c>
      <c r="AW2059" s="262" cm="1">
        <f t="array" ref="AW2059">SUM(MID(0&amp;AV2059,LARGE(INDEX(ISNUMBER(--MID(AV2059,ROW($1:$8),1))*ROW($1:$8),),ROW($1:$8))+1,1)*10^ROW($1:$8)/10)</f>
        <v>49201132</v>
      </c>
      <c r="AX2059" s="262" t="str">
        <f>VLOOKUP($AW2059,'Item Master Data'!$A:$F,3,FALSE)</f>
        <v>Q.PEAK DUO BLK G10+</v>
      </c>
      <c r="AY2059" s="262">
        <f>VLOOKUP($AW2059,'Item Master Data'!$A:$F,6,FALSE)</f>
        <v>360</v>
      </c>
      <c r="AZ2059" s="262">
        <f t="shared" si="356"/>
        <v>104</v>
      </c>
      <c r="BA2059" s="262">
        <f>VLOOKUP(AW2059,'Item Master Data'!$A:$G,7,FALSE)</f>
        <v>32</v>
      </c>
      <c r="BC2059" s="262">
        <f t="shared" si="357"/>
        <v>0</v>
      </c>
    </row>
    <row r="2060" spans="1:55">
      <c r="A2060" s="278"/>
      <c r="B2060" s="279"/>
      <c r="C2060" s="279"/>
      <c r="D2060" s="394" t="s">
        <v>3678</v>
      </c>
      <c r="E2060" s="280"/>
      <c r="F2060" s="474"/>
      <c r="G2060" s="474">
        <v>2022</v>
      </c>
      <c r="H2060" s="474">
        <v>6</v>
      </c>
      <c r="I2060" s="485"/>
      <c r="J2060" s="475"/>
      <c r="K2060" s="524" t="s">
        <v>4030</v>
      </c>
      <c r="L2060" s="524" t="s">
        <v>1309</v>
      </c>
      <c r="M2060" s="475">
        <v>44544</v>
      </c>
      <c r="N2060" s="475">
        <v>44718</v>
      </c>
      <c r="O2060" s="475"/>
      <c r="P2060" s="475"/>
      <c r="Q2060" s="475"/>
      <c r="R2060" s="475"/>
      <c r="S2060" s="474" t="s">
        <v>1102</v>
      </c>
      <c r="T2060" s="474">
        <v>60</v>
      </c>
      <c r="U2060" s="474">
        <v>49201132</v>
      </c>
      <c r="V2060" s="474" t="s">
        <v>986</v>
      </c>
      <c r="W2060" s="476">
        <v>360</v>
      </c>
      <c r="X2060" s="402">
        <v>1664</v>
      </c>
      <c r="Y2060" s="491">
        <f t="shared" si="352"/>
        <v>599040</v>
      </c>
      <c r="Z2060" s="478">
        <v>0.5</v>
      </c>
      <c r="AA2060" s="583">
        <f t="shared" si="354"/>
        <v>299520</v>
      </c>
      <c r="AB2060" s="480"/>
      <c r="AC2060" s="481">
        <v>0</v>
      </c>
      <c r="AD2060" s="490"/>
      <c r="AE2060" s="482"/>
      <c r="AF2060" s="493">
        <f t="shared" si="353"/>
        <v>299520</v>
      </c>
      <c r="AG2060" s="474" t="s">
        <v>1071</v>
      </c>
      <c r="AH2060" s="474"/>
      <c r="AI2060" s="474">
        <v>60</v>
      </c>
      <c r="AJ2060" s="474" t="s">
        <v>1194</v>
      </c>
      <c r="AK2060" s="474" t="s">
        <v>1073</v>
      </c>
      <c r="AL2060" s="494">
        <v>21046</v>
      </c>
      <c r="AM2060" s="474" t="s">
        <v>52</v>
      </c>
      <c r="AN2060" s="474" t="s">
        <v>1074</v>
      </c>
      <c r="AO2060" s="474"/>
      <c r="AP2060" s="482"/>
      <c r="AQ2060" s="482"/>
      <c r="AR2060" s="474"/>
      <c r="AS2060" s="436"/>
      <c r="AT2060" s="281" t="s">
        <v>1076</v>
      </c>
      <c r="AU2060" s="472"/>
      <c r="AV2060" s="262">
        <f t="shared" si="355"/>
        <v>49201132</v>
      </c>
      <c r="AW2060" s="262" cm="1">
        <f t="array" ref="AW2060">SUM(MID(0&amp;AV2060,LARGE(INDEX(ISNUMBER(--MID(AV2060,ROW($1:$8),1))*ROW($1:$8),),ROW($1:$8))+1,1)*10^ROW($1:$8)/10)</f>
        <v>49201132</v>
      </c>
      <c r="AX2060" s="262" t="str">
        <f>VLOOKUP($AW2060,'Item Master Data'!$A:$F,3,FALSE)</f>
        <v>Q.PEAK DUO BLK G10+</v>
      </c>
      <c r="AY2060" s="262">
        <f>VLOOKUP($AW2060,'Item Master Data'!$A:$F,6,FALSE)</f>
        <v>360</v>
      </c>
      <c r="AZ2060" s="262">
        <f t="shared" si="356"/>
        <v>52</v>
      </c>
      <c r="BA2060" s="262">
        <f>VLOOKUP(AW2060,'Item Master Data'!$A:$G,7,FALSE)</f>
        <v>32</v>
      </c>
      <c r="BC2060" s="262">
        <f t="shared" si="357"/>
        <v>0</v>
      </c>
    </row>
    <row r="2061" spans="1:55">
      <c r="A2061" s="278">
        <v>10</v>
      </c>
      <c r="B2061" s="279"/>
      <c r="C2061" s="279"/>
      <c r="D2061" s="394" t="s">
        <v>3678</v>
      </c>
      <c r="E2061" s="280" t="s">
        <v>4031</v>
      </c>
      <c r="F2061" s="474" t="s">
        <v>1147</v>
      </c>
      <c r="G2061" s="474">
        <v>2022</v>
      </c>
      <c r="H2061" s="474">
        <v>6</v>
      </c>
      <c r="I2061" s="485" t="s">
        <v>3876</v>
      </c>
      <c r="J2061" s="475"/>
      <c r="K2061" s="526" t="s">
        <v>4032</v>
      </c>
      <c r="L2061" s="526" t="s">
        <v>1340</v>
      </c>
      <c r="M2061" s="475">
        <v>44475</v>
      </c>
      <c r="N2061" s="475">
        <v>44522</v>
      </c>
      <c r="O2061" s="475" t="s">
        <v>1280</v>
      </c>
      <c r="P2061" s="475" t="s">
        <v>2531</v>
      </c>
      <c r="Q2061" s="475"/>
      <c r="R2061" s="475"/>
      <c r="S2061" s="474" t="s">
        <v>1102</v>
      </c>
      <c r="T2061" s="474">
        <v>60</v>
      </c>
      <c r="U2061" s="474">
        <v>49403140</v>
      </c>
      <c r="V2061" s="474" t="s">
        <v>973</v>
      </c>
      <c r="W2061" s="476">
        <v>400</v>
      </c>
      <c r="X2061" s="402">
        <v>768</v>
      </c>
      <c r="Y2061" s="491">
        <f t="shared" si="352"/>
        <v>307200</v>
      </c>
      <c r="Z2061" s="478">
        <v>0.55000000000000004</v>
      </c>
      <c r="AA2061" s="584">
        <f t="shared" si="354"/>
        <v>168960</v>
      </c>
      <c r="AB2061" s="480"/>
      <c r="AC2061" s="481">
        <v>0</v>
      </c>
      <c r="AD2061" s="490"/>
      <c r="AE2061" s="482"/>
      <c r="AF2061" s="493">
        <f t="shared" si="353"/>
        <v>168960</v>
      </c>
      <c r="AG2061" s="474" t="s">
        <v>1071</v>
      </c>
      <c r="AH2061" s="474"/>
      <c r="AI2061" s="474">
        <v>60</v>
      </c>
      <c r="AJ2061" s="474" t="s">
        <v>1342</v>
      </c>
      <c r="AK2061" s="474" t="s">
        <v>1085</v>
      </c>
      <c r="AL2061" s="494">
        <v>8110</v>
      </c>
      <c r="AM2061" s="474" t="s">
        <v>52</v>
      </c>
      <c r="AN2061" s="474" t="s">
        <v>1074</v>
      </c>
      <c r="AO2061" s="474"/>
      <c r="AP2061" s="482"/>
      <c r="AQ2061" s="482" t="s">
        <v>37</v>
      </c>
      <c r="AR2061" s="474"/>
      <c r="AS2061" s="436"/>
      <c r="AT2061" s="281"/>
      <c r="AU2061" s="472"/>
      <c r="AV2061" s="262">
        <f t="shared" si="355"/>
        <v>49403140</v>
      </c>
      <c r="AW2061" s="262" cm="1">
        <f t="array" ref="AW2061">SUM(MID(0&amp;AV2061,LARGE(INDEX(ISNUMBER(--MID(AV2061,ROW($1:$8),1))*ROW($1:$8),),ROW($1:$8))+1,1)*10^ROW($1:$8)/10)</f>
        <v>49403140</v>
      </c>
      <c r="AX2061" s="262" t="str">
        <f>VLOOKUP($AW2061,'Item Master Data'!$A:$F,3,FALSE)</f>
        <v>Q.PEAK DUO BLK ML G10+</v>
      </c>
      <c r="AY2061" s="262">
        <f>VLOOKUP($AW2061,'Item Master Data'!$A:$F,6,FALSE)</f>
        <v>400</v>
      </c>
      <c r="AZ2061" s="262">
        <f t="shared" si="356"/>
        <v>24</v>
      </c>
      <c r="BA2061" s="262">
        <f>VLOOKUP(AW2061,'Item Master Data'!$A:$G,7,FALSE)</f>
        <v>32</v>
      </c>
      <c r="BC2061" s="262">
        <f t="shared" si="357"/>
        <v>0</v>
      </c>
    </row>
    <row r="2062" spans="1:55">
      <c r="A2062" s="278"/>
      <c r="B2062" s="279"/>
      <c r="C2062" s="279"/>
      <c r="D2062" s="394" t="s">
        <v>3678</v>
      </c>
      <c r="E2062" s="280"/>
      <c r="F2062" s="474" t="s">
        <v>1147</v>
      </c>
      <c r="G2062" s="474">
        <v>2022</v>
      </c>
      <c r="H2062" s="474">
        <v>6</v>
      </c>
      <c r="I2062" s="485"/>
      <c r="J2062" s="475"/>
      <c r="K2062" s="524" t="s">
        <v>4033</v>
      </c>
      <c r="L2062" s="524" t="s">
        <v>1340</v>
      </c>
      <c r="M2062" s="475">
        <v>44504</v>
      </c>
      <c r="N2062" s="475">
        <v>44652</v>
      </c>
      <c r="O2062" s="475"/>
      <c r="P2062" s="475"/>
      <c r="Q2062" s="475"/>
      <c r="R2062" s="475"/>
      <c r="S2062" s="474" t="s">
        <v>1102</v>
      </c>
      <c r="T2062" s="474">
        <v>60</v>
      </c>
      <c r="U2062" s="474">
        <v>49201132</v>
      </c>
      <c r="V2062" s="474" t="s">
        <v>986</v>
      </c>
      <c r="W2062" s="476">
        <v>360</v>
      </c>
      <c r="X2062" s="402">
        <f>4992-832-832</f>
        <v>3328</v>
      </c>
      <c r="Y2062" s="491">
        <f t="shared" si="352"/>
        <v>1198080</v>
      </c>
      <c r="Z2062" s="478">
        <v>0.5</v>
      </c>
      <c r="AA2062" s="583">
        <f t="shared" si="354"/>
        <v>599040</v>
      </c>
      <c r="AB2062" s="480"/>
      <c r="AC2062" s="481">
        <v>0</v>
      </c>
      <c r="AD2062" s="490"/>
      <c r="AE2062" s="482"/>
      <c r="AF2062" s="493">
        <f t="shared" si="353"/>
        <v>599040</v>
      </c>
      <c r="AG2062" s="474" t="s">
        <v>1071</v>
      </c>
      <c r="AH2062" s="474"/>
      <c r="AI2062" s="474">
        <v>60</v>
      </c>
      <c r="AJ2062" s="474" t="s">
        <v>1342</v>
      </c>
      <c r="AK2062" s="474" t="s">
        <v>1085</v>
      </c>
      <c r="AL2062" s="494">
        <v>8110</v>
      </c>
      <c r="AM2062" s="474" t="s">
        <v>52</v>
      </c>
      <c r="AN2062" s="474" t="s">
        <v>1074</v>
      </c>
      <c r="AO2062" s="474"/>
      <c r="AP2062" s="482"/>
      <c r="AQ2062" s="482"/>
      <c r="AR2062" s="474"/>
      <c r="AS2062" s="436"/>
      <c r="AT2062" s="281" t="s">
        <v>1076</v>
      </c>
      <c r="AU2062" s="472"/>
      <c r="AV2062" s="262">
        <f t="shared" si="355"/>
        <v>49201132</v>
      </c>
      <c r="AW2062" s="262" cm="1">
        <f t="array" ref="AW2062">SUM(MID(0&amp;AV2062,LARGE(INDEX(ISNUMBER(--MID(AV2062,ROW($1:$8),1))*ROW($1:$8),),ROW($1:$8))+1,1)*10^ROW($1:$8)/10)</f>
        <v>49201132</v>
      </c>
      <c r="AX2062" s="262" t="str">
        <f>VLOOKUP($AW2062,'Item Master Data'!$A:$F,3,FALSE)</f>
        <v>Q.PEAK DUO BLK G10+</v>
      </c>
      <c r="AY2062" s="262">
        <f>VLOOKUP($AW2062,'Item Master Data'!$A:$F,6,FALSE)</f>
        <v>360</v>
      </c>
      <c r="AZ2062" s="262">
        <f t="shared" si="356"/>
        <v>104</v>
      </c>
      <c r="BA2062" s="262">
        <f>VLOOKUP(AW2062,'Item Master Data'!$A:$G,7,FALSE)</f>
        <v>32</v>
      </c>
      <c r="BC2062" s="262">
        <f t="shared" si="357"/>
        <v>0</v>
      </c>
    </row>
    <row r="2063" spans="1:55">
      <c r="A2063" s="278"/>
      <c r="B2063" s="279"/>
      <c r="C2063" s="279"/>
      <c r="D2063" s="394" t="s">
        <v>3678</v>
      </c>
      <c r="E2063" s="280"/>
      <c r="F2063" s="474"/>
      <c r="G2063" s="474">
        <v>2022</v>
      </c>
      <c r="H2063" s="474">
        <v>6</v>
      </c>
      <c r="I2063" s="485"/>
      <c r="J2063" s="475"/>
      <c r="K2063" s="524" t="s">
        <v>4034</v>
      </c>
      <c r="L2063" s="524" t="s">
        <v>3747</v>
      </c>
      <c r="M2063" s="475">
        <v>44529</v>
      </c>
      <c r="N2063" s="475">
        <v>44652</v>
      </c>
      <c r="O2063" s="475"/>
      <c r="P2063" s="475"/>
      <c r="Q2063" s="475"/>
      <c r="R2063" s="475"/>
      <c r="S2063" s="474" t="s">
        <v>1102</v>
      </c>
      <c r="T2063" s="474">
        <v>60</v>
      </c>
      <c r="U2063" s="474">
        <v>49201132</v>
      </c>
      <c r="V2063" s="474" t="s">
        <v>986</v>
      </c>
      <c r="W2063" s="476">
        <v>360</v>
      </c>
      <c r="X2063" s="402">
        <v>2496</v>
      </c>
      <c r="Y2063" s="491">
        <f t="shared" si="352"/>
        <v>898560</v>
      </c>
      <c r="Z2063" s="478">
        <v>0.5</v>
      </c>
      <c r="AA2063" s="583">
        <f t="shared" si="354"/>
        <v>449280</v>
      </c>
      <c r="AB2063" s="480"/>
      <c r="AC2063" s="481">
        <v>0</v>
      </c>
      <c r="AD2063" s="490"/>
      <c r="AE2063" s="482"/>
      <c r="AF2063" s="493">
        <f t="shared" si="353"/>
        <v>449280</v>
      </c>
      <c r="AG2063" s="474" t="s">
        <v>1071</v>
      </c>
      <c r="AH2063" s="474"/>
      <c r="AI2063" s="474">
        <v>60</v>
      </c>
      <c r="AJ2063" s="474" t="s">
        <v>3748</v>
      </c>
      <c r="AK2063" s="474" t="s">
        <v>1138</v>
      </c>
      <c r="AL2063" s="494" t="s">
        <v>3749</v>
      </c>
      <c r="AM2063" s="474" t="s">
        <v>52</v>
      </c>
      <c r="AN2063" s="474" t="s">
        <v>1074</v>
      </c>
      <c r="AO2063" s="474"/>
      <c r="AP2063" s="482"/>
      <c r="AQ2063" s="482" t="s">
        <v>37</v>
      </c>
      <c r="AR2063" s="474"/>
      <c r="AS2063" s="436" t="s">
        <v>1076</v>
      </c>
      <c r="AT2063" s="281" t="s">
        <v>1076</v>
      </c>
      <c r="AU2063" s="472"/>
      <c r="AV2063" s="262">
        <f t="shared" si="355"/>
        <v>49201132</v>
      </c>
      <c r="AW2063" s="262" cm="1">
        <f t="array" ref="AW2063">SUM(MID(0&amp;AV2063,LARGE(INDEX(ISNUMBER(--MID(AV2063,ROW($1:$8),1))*ROW($1:$8),),ROW($1:$8))+1,1)*10^ROW($1:$8)/10)</f>
        <v>49201132</v>
      </c>
      <c r="AX2063" s="262" t="str">
        <f>VLOOKUP($AW2063,'Item Master Data'!$A:$F,3,FALSE)</f>
        <v>Q.PEAK DUO BLK G10+</v>
      </c>
      <c r="AY2063" s="262">
        <f>VLOOKUP($AW2063,'Item Master Data'!$A:$F,6,FALSE)</f>
        <v>360</v>
      </c>
      <c r="AZ2063" s="262">
        <f t="shared" si="356"/>
        <v>78</v>
      </c>
      <c r="BA2063" s="262">
        <f>VLOOKUP(AW2063,'Item Master Data'!$A:$G,7,FALSE)</f>
        <v>32</v>
      </c>
      <c r="BC2063" s="262">
        <f t="shared" si="357"/>
        <v>0</v>
      </c>
    </row>
    <row r="2064" spans="1:55">
      <c r="A2064" s="278"/>
      <c r="B2064" s="279"/>
      <c r="C2064" s="279"/>
      <c r="D2064" s="394" t="s">
        <v>3678</v>
      </c>
      <c r="E2064" s="280"/>
      <c r="F2064" s="474"/>
      <c r="G2064" s="474">
        <v>2022</v>
      </c>
      <c r="H2064" s="474">
        <v>6</v>
      </c>
      <c r="I2064" s="485"/>
      <c r="J2064" s="475"/>
      <c r="K2064" s="524" t="s">
        <v>4035</v>
      </c>
      <c r="L2064" s="524" t="s">
        <v>3747</v>
      </c>
      <c r="M2064" s="475">
        <v>44529</v>
      </c>
      <c r="N2064" s="475">
        <v>44713</v>
      </c>
      <c r="O2064" s="475"/>
      <c r="P2064" s="475"/>
      <c r="Q2064" s="475"/>
      <c r="R2064" s="475"/>
      <c r="S2064" s="474" t="s">
        <v>1102</v>
      </c>
      <c r="T2064" s="474">
        <v>60</v>
      </c>
      <c r="U2064" s="474">
        <v>49401140</v>
      </c>
      <c r="V2064" s="474" t="s">
        <v>973</v>
      </c>
      <c r="W2064" s="476">
        <v>400</v>
      </c>
      <c r="X2064" s="402">
        <v>2304</v>
      </c>
      <c r="Y2064" s="491">
        <f t="shared" si="352"/>
        <v>921600</v>
      </c>
      <c r="Z2064" s="478">
        <v>0.52</v>
      </c>
      <c r="AA2064" s="583">
        <f t="shared" si="354"/>
        <v>479232</v>
      </c>
      <c r="AB2064" s="480"/>
      <c r="AC2064" s="481">
        <v>0</v>
      </c>
      <c r="AD2064" s="490"/>
      <c r="AE2064" s="482"/>
      <c r="AF2064" s="493">
        <f t="shared" si="353"/>
        <v>479232</v>
      </c>
      <c r="AG2064" s="474" t="s">
        <v>1071</v>
      </c>
      <c r="AH2064" s="474"/>
      <c r="AI2064" s="474">
        <v>60</v>
      </c>
      <c r="AJ2064" s="474" t="s">
        <v>3748</v>
      </c>
      <c r="AK2064" s="474" t="s">
        <v>1138</v>
      </c>
      <c r="AL2064" s="494" t="s">
        <v>3749</v>
      </c>
      <c r="AM2064" s="474" t="s">
        <v>52</v>
      </c>
      <c r="AN2064" s="474" t="s">
        <v>1074</v>
      </c>
      <c r="AO2064" s="474"/>
      <c r="AP2064" s="482"/>
      <c r="AQ2064" s="482" t="s">
        <v>37</v>
      </c>
      <c r="AR2064" s="474"/>
      <c r="AS2064" s="436" t="s">
        <v>1076</v>
      </c>
      <c r="AT2064" s="281" t="s">
        <v>1076</v>
      </c>
      <c r="AU2064" s="472"/>
    </row>
    <row r="2065" spans="1:55">
      <c r="A2065" s="278"/>
      <c r="B2065" s="279"/>
      <c r="C2065" s="279"/>
      <c r="D2065" s="394" t="s">
        <v>3678</v>
      </c>
      <c r="E2065" s="280"/>
      <c r="F2065" s="474"/>
      <c r="G2065" s="474">
        <v>2022</v>
      </c>
      <c r="H2065" s="474">
        <v>6</v>
      </c>
      <c r="I2065" s="485"/>
      <c r="J2065" s="475"/>
      <c r="K2065" s="524" t="s">
        <v>4036</v>
      </c>
      <c r="L2065" s="524" t="s">
        <v>1366</v>
      </c>
      <c r="M2065" s="475">
        <v>44498</v>
      </c>
      <c r="N2065" s="475">
        <v>44652</v>
      </c>
      <c r="O2065" s="475"/>
      <c r="P2065" s="475"/>
      <c r="Q2065" s="475"/>
      <c r="R2065" s="475"/>
      <c r="S2065" s="474" t="s">
        <v>1102</v>
      </c>
      <c r="T2065" s="474">
        <v>60</v>
      </c>
      <c r="U2065" s="474">
        <v>49201132</v>
      </c>
      <c r="V2065" s="474" t="s">
        <v>986</v>
      </c>
      <c r="W2065" s="476">
        <v>360</v>
      </c>
      <c r="X2065" s="402">
        <v>1664</v>
      </c>
      <c r="Y2065" s="491">
        <f t="shared" si="352"/>
        <v>599040</v>
      </c>
      <c r="Z2065" s="478">
        <v>0.53</v>
      </c>
      <c r="AA2065" s="583">
        <f t="shared" si="354"/>
        <v>317491.20000000001</v>
      </c>
      <c r="AB2065" s="480"/>
      <c r="AC2065" s="481">
        <v>0</v>
      </c>
      <c r="AD2065" s="490"/>
      <c r="AE2065" s="482"/>
      <c r="AF2065" s="493">
        <f t="shared" si="353"/>
        <v>317491.20000000001</v>
      </c>
      <c r="AG2065" s="474" t="s">
        <v>1071</v>
      </c>
      <c r="AH2065" s="474"/>
      <c r="AI2065" s="474">
        <v>60</v>
      </c>
      <c r="AJ2065" s="474" t="s">
        <v>1346</v>
      </c>
      <c r="AK2065" s="474" t="s">
        <v>1347</v>
      </c>
      <c r="AL2065" s="494">
        <v>18360</v>
      </c>
      <c r="AM2065" s="474" t="s">
        <v>52</v>
      </c>
      <c r="AN2065" s="474" t="s">
        <v>1074</v>
      </c>
      <c r="AO2065" s="474"/>
      <c r="AP2065" s="482"/>
      <c r="AQ2065" s="482" t="s">
        <v>37</v>
      </c>
      <c r="AR2065" s="474"/>
      <c r="AS2065" s="436"/>
      <c r="AT2065" s="281"/>
      <c r="AU2065" s="472"/>
    </row>
    <row r="2066" spans="1:55">
      <c r="A2066" s="278"/>
      <c r="B2066" s="279"/>
      <c r="C2066" s="279"/>
      <c r="D2066" s="394" t="s">
        <v>3678</v>
      </c>
      <c r="E2066" s="280"/>
      <c r="F2066" s="474" t="s">
        <v>1147</v>
      </c>
      <c r="G2066" s="474">
        <v>2022</v>
      </c>
      <c r="H2066" s="474">
        <v>6</v>
      </c>
      <c r="I2066" s="485"/>
      <c r="J2066" s="475"/>
      <c r="K2066" s="524" t="s">
        <v>4037</v>
      </c>
      <c r="L2066" s="524" t="s">
        <v>1368</v>
      </c>
      <c r="M2066" s="475">
        <v>44532</v>
      </c>
      <c r="N2066" s="475">
        <v>44713</v>
      </c>
      <c r="O2066" s="475"/>
      <c r="P2066" s="475"/>
      <c r="Q2066" s="475"/>
      <c r="R2066" s="475"/>
      <c r="S2066" s="474" t="s">
        <v>1102</v>
      </c>
      <c r="T2066" s="474">
        <v>60</v>
      </c>
      <c r="U2066" s="474">
        <v>49201132</v>
      </c>
      <c r="V2066" s="474" t="s">
        <v>986</v>
      </c>
      <c r="W2066" s="476">
        <v>360</v>
      </c>
      <c r="X2066" s="402">
        <v>832</v>
      </c>
      <c r="Y2066" s="491">
        <f t="shared" si="352"/>
        <v>299520</v>
      </c>
      <c r="Z2066" s="478">
        <v>0.53</v>
      </c>
      <c r="AA2066" s="492">
        <f t="shared" si="354"/>
        <v>158745.60000000001</v>
      </c>
      <c r="AB2066" s="480"/>
      <c r="AC2066" s="481">
        <v>0</v>
      </c>
      <c r="AD2066" s="490"/>
      <c r="AE2066" s="482"/>
      <c r="AF2066" s="493">
        <f t="shared" si="353"/>
        <v>158745.60000000001</v>
      </c>
      <c r="AG2066" s="474" t="s">
        <v>1071</v>
      </c>
      <c r="AH2066" s="474"/>
      <c r="AI2066" s="474">
        <v>60</v>
      </c>
      <c r="AJ2066" s="474" t="s">
        <v>1369</v>
      </c>
      <c r="AK2066" s="474" t="s">
        <v>1370</v>
      </c>
      <c r="AL2066" s="494">
        <v>5401</v>
      </c>
      <c r="AM2066" s="474" t="s">
        <v>52</v>
      </c>
      <c r="AN2066" s="474" t="s">
        <v>1074</v>
      </c>
      <c r="AO2066" s="474"/>
      <c r="AP2066" s="482"/>
      <c r="AQ2066" s="482" t="s">
        <v>37</v>
      </c>
      <c r="AR2066" s="474"/>
      <c r="AS2066" s="436"/>
      <c r="AT2066" s="281"/>
      <c r="AU2066" s="472"/>
      <c r="AV2066" s="262">
        <f>U2066</f>
        <v>49201132</v>
      </c>
      <c r="AW2066" s="262" cm="1">
        <f t="array" ref="AW2066">SUM(MID(0&amp;AV2066,LARGE(INDEX(ISNUMBER(--MID(AV2066,ROW($1:$8),1))*ROW($1:$8),),ROW($1:$8))+1,1)*10^ROW($1:$8)/10)</f>
        <v>49201132</v>
      </c>
      <c r="AX2066" s="262" t="str">
        <f>VLOOKUP($AW2066,'Item Master Data'!$A:$F,3,FALSE)</f>
        <v>Q.PEAK DUO BLK G10+</v>
      </c>
      <c r="AY2066" s="262">
        <f>VLOOKUP($AW2066,'Item Master Data'!$A:$F,6,FALSE)</f>
        <v>360</v>
      </c>
      <c r="AZ2066" s="262">
        <f>X2066/BA2066</f>
        <v>26</v>
      </c>
      <c r="BA2066" s="262">
        <f>VLOOKUP(AW2066,'Item Master Data'!$A:$G,7,FALSE)</f>
        <v>32</v>
      </c>
      <c r="BC2066" s="262">
        <f>W2066-AY2066</f>
        <v>0</v>
      </c>
    </row>
    <row r="2067" spans="1:55">
      <c r="A2067" s="278"/>
      <c r="B2067" s="279"/>
      <c r="C2067" s="279"/>
      <c r="D2067" s="394" t="s">
        <v>3678</v>
      </c>
      <c r="E2067" s="280" t="s">
        <v>5545</v>
      </c>
      <c r="F2067" s="474"/>
      <c r="G2067" s="474">
        <v>2022</v>
      </c>
      <c r="H2067" s="474">
        <v>6</v>
      </c>
      <c r="I2067" s="485"/>
      <c r="J2067" s="475"/>
      <c r="K2067" s="524" t="s">
        <v>4038</v>
      </c>
      <c r="L2067" s="524" t="s">
        <v>1373</v>
      </c>
      <c r="M2067" s="475">
        <v>44517</v>
      </c>
      <c r="N2067" s="475">
        <v>44652</v>
      </c>
      <c r="O2067" s="475"/>
      <c r="P2067" s="475"/>
      <c r="Q2067" s="475"/>
      <c r="R2067" s="475"/>
      <c r="S2067" s="474" t="s">
        <v>1102</v>
      </c>
      <c r="T2067" s="474">
        <v>60</v>
      </c>
      <c r="U2067" s="474">
        <v>49201132</v>
      </c>
      <c r="V2067" s="474" t="s">
        <v>986</v>
      </c>
      <c r="W2067" s="476">
        <v>360</v>
      </c>
      <c r="X2067" s="402">
        <v>768</v>
      </c>
      <c r="Y2067" s="491">
        <f>X2067*W2067</f>
        <v>276480</v>
      </c>
      <c r="Z2067" s="478">
        <v>0.53</v>
      </c>
      <c r="AA2067" s="583">
        <f t="shared" si="354"/>
        <v>146534.39999999999</v>
      </c>
      <c r="AB2067" s="480"/>
      <c r="AC2067" s="481">
        <f t="shared" ref="AC2067:AC2075" si="358">AB2067*Y2067</f>
        <v>0</v>
      </c>
      <c r="AD2067" s="490"/>
      <c r="AE2067" s="482"/>
      <c r="AF2067" s="493">
        <f t="shared" si="353"/>
        <v>146534.39999999999</v>
      </c>
      <c r="AG2067" s="474" t="s">
        <v>1071</v>
      </c>
      <c r="AH2067" s="474">
        <v>0</v>
      </c>
      <c r="AI2067" s="474">
        <v>60</v>
      </c>
      <c r="AJ2067" s="474" t="s">
        <v>1374</v>
      </c>
      <c r="AK2067" s="474" t="s">
        <v>1375</v>
      </c>
      <c r="AL2067" s="494" t="s">
        <v>3760</v>
      </c>
      <c r="AM2067" s="474" t="s">
        <v>52</v>
      </c>
      <c r="AN2067" s="474" t="s">
        <v>1074</v>
      </c>
      <c r="AO2067" s="474"/>
      <c r="AP2067" s="482"/>
      <c r="AQ2067" s="482" t="s">
        <v>1086</v>
      </c>
      <c r="AR2067" s="474"/>
      <c r="AS2067" s="436" t="s">
        <v>1087</v>
      </c>
      <c r="AT2067" s="281" t="s">
        <v>1076</v>
      </c>
      <c r="AU2067" s="472"/>
    </row>
    <row r="2068" spans="1:55">
      <c r="A2068" s="278"/>
      <c r="B2068" s="279"/>
      <c r="C2068" s="279"/>
      <c r="D2068" s="394" t="s">
        <v>3678</v>
      </c>
      <c r="E2068" s="288" t="s">
        <v>4001</v>
      </c>
      <c r="F2068" s="474"/>
      <c r="G2068" s="474">
        <v>2022</v>
      </c>
      <c r="H2068" s="474">
        <v>6</v>
      </c>
      <c r="I2068" s="474"/>
      <c r="J2068" s="475"/>
      <c r="K2068" s="474" t="s">
        <v>4002</v>
      </c>
      <c r="L2068" s="474" t="s">
        <v>3762</v>
      </c>
      <c r="M2068" s="475"/>
      <c r="N2068" s="475" t="s">
        <v>1632</v>
      </c>
      <c r="O2068" s="475"/>
      <c r="P2068" s="475"/>
      <c r="Q2068" s="475"/>
      <c r="R2068" s="475"/>
      <c r="S2068" s="474" t="s">
        <v>1102</v>
      </c>
      <c r="T2068" s="474">
        <v>60</v>
      </c>
      <c r="U2068" s="474"/>
      <c r="V2068" s="474" t="s">
        <v>986</v>
      </c>
      <c r="W2068" s="476">
        <v>360</v>
      </c>
      <c r="X2068" s="402">
        <v>10816</v>
      </c>
      <c r="Y2068" s="491">
        <f>X2068*W2068</f>
        <v>3893760</v>
      </c>
      <c r="Z2068" s="478">
        <v>0.47499999999999998</v>
      </c>
      <c r="AA2068" s="479">
        <f t="shared" si="354"/>
        <v>1849536</v>
      </c>
      <c r="AB2068" s="480"/>
      <c r="AC2068" s="481">
        <f t="shared" si="358"/>
        <v>0</v>
      </c>
      <c r="AD2068" s="490"/>
      <c r="AE2068" s="482"/>
      <c r="AF2068" s="493">
        <f t="shared" si="353"/>
        <v>1849536</v>
      </c>
      <c r="AG2068" s="474" t="s">
        <v>47</v>
      </c>
      <c r="AH2068" s="474">
        <v>0</v>
      </c>
      <c r="AI2068" s="474">
        <v>60</v>
      </c>
      <c r="AJ2068" s="474" t="s">
        <v>1109</v>
      </c>
      <c r="AK2068" s="474" t="s">
        <v>1109</v>
      </c>
      <c r="AL2068" s="474" t="s">
        <v>1109</v>
      </c>
      <c r="AM2068" s="474" t="s">
        <v>52</v>
      </c>
      <c r="AN2068" s="474"/>
      <c r="AO2068" s="474"/>
      <c r="AP2068" s="482"/>
      <c r="AQ2068" s="482" t="s">
        <v>37</v>
      </c>
      <c r="AR2068" s="474"/>
      <c r="AS2068" s="436" t="s">
        <v>3763</v>
      </c>
      <c r="AT2068" s="281" t="s">
        <v>1076</v>
      </c>
      <c r="AU2068" s="472"/>
      <c r="AV2068" s="262">
        <f>U2068</f>
        <v>0</v>
      </c>
      <c r="AW2068" s="262" cm="1">
        <f t="array" ref="AW2068">SUM(MID(0&amp;AV2068,LARGE(INDEX(ISNUMBER(--MID(AV2068,ROW($1:$8),1))*ROW($1:$8),),ROW($1:$8))+1,1)*10^ROW($1:$8)/10)</f>
        <v>0</v>
      </c>
      <c r="AX2068" s="262" t="e">
        <f>VLOOKUP($AW2068,'Item Master Data'!$A:$F,3,FALSE)</f>
        <v>#N/A</v>
      </c>
      <c r="AY2068" s="262" t="e">
        <f>VLOOKUP($AW2068,'Item Master Data'!$A:$F,6,FALSE)</f>
        <v>#N/A</v>
      </c>
      <c r="AZ2068" s="262" t="e">
        <f>X2068/BA2068</f>
        <v>#N/A</v>
      </c>
      <c r="BA2068" s="262" t="e">
        <f>VLOOKUP(AW2068,'Item Master Data'!$A:$G,7,FALSE)</f>
        <v>#N/A</v>
      </c>
      <c r="BC2068" s="262" t="e">
        <f>W2068-AY2068</f>
        <v>#N/A</v>
      </c>
    </row>
    <row r="2069" spans="1:55">
      <c r="A2069" s="278"/>
      <c r="B2069" s="279"/>
      <c r="C2069" s="279"/>
      <c r="D2069" s="394" t="s">
        <v>3678</v>
      </c>
      <c r="E2069" s="288" t="s">
        <v>4003</v>
      </c>
      <c r="F2069" s="474"/>
      <c r="G2069" s="474">
        <v>2022</v>
      </c>
      <c r="H2069" s="474">
        <v>6</v>
      </c>
      <c r="I2069" s="474"/>
      <c r="J2069" s="475"/>
      <c r="K2069" s="474" t="s">
        <v>4004</v>
      </c>
      <c r="L2069" s="474" t="s">
        <v>3762</v>
      </c>
      <c r="M2069" s="475"/>
      <c r="N2069" s="475" t="s">
        <v>1635</v>
      </c>
      <c r="O2069" s="475"/>
      <c r="P2069" s="475"/>
      <c r="Q2069" s="475"/>
      <c r="R2069" s="475"/>
      <c r="S2069" s="474" t="s">
        <v>1102</v>
      </c>
      <c r="T2069" s="474">
        <v>60</v>
      </c>
      <c r="U2069" s="474"/>
      <c r="V2069" s="474" t="s">
        <v>973</v>
      </c>
      <c r="W2069" s="476">
        <v>400</v>
      </c>
      <c r="X2069" s="402">
        <f>10752-7168</f>
        <v>3584</v>
      </c>
      <c r="Y2069" s="491">
        <f>X2069*W2069</f>
        <v>1433600</v>
      </c>
      <c r="Z2069" s="478">
        <v>0.49</v>
      </c>
      <c r="AA2069" s="479">
        <f t="shared" si="354"/>
        <v>702464</v>
      </c>
      <c r="AB2069" s="480"/>
      <c r="AC2069" s="481">
        <f t="shared" si="358"/>
        <v>0</v>
      </c>
      <c r="AD2069" s="490"/>
      <c r="AE2069" s="482"/>
      <c r="AF2069" s="493">
        <f t="shared" si="353"/>
        <v>702464</v>
      </c>
      <c r="AG2069" s="474" t="s">
        <v>47</v>
      </c>
      <c r="AH2069" s="474">
        <v>0</v>
      </c>
      <c r="AI2069" s="474">
        <v>60</v>
      </c>
      <c r="AJ2069" s="474" t="s">
        <v>1109</v>
      </c>
      <c r="AK2069" s="474" t="s">
        <v>1109</v>
      </c>
      <c r="AL2069" s="474" t="s">
        <v>1109</v>
      </c>
      <c r="AM2069" s="474" t="s">
        <v>52</v>
      </c>
      <c r="AN2069" s="474"/>
      <c r="AO2069" s="474"/>
      <c r="AP2069" s="482"/>
      <c r="AQ2069" s="482" t="s">
        <v>37</v>
      </c>
      <c r="AR2069" s="474"/>
      <c r="AS2069" s="436" t="s">
        <v>3763</v>
      </c>
      <c r="AT2069" s="281" t="s">
        <v>1076</v>
      </c>
      <c r="AU2069" s="472"/>
      <c r="AV2069" s="262">
        <f>U2069</f>
        <v>0</v>
      </c>
      <c r="AW2069" s="262" cm="1">
        <f t="array" ref="AW2069">SUM(MID(0&amp;AV2069,LARGE(INDEX(ISNUMBER(--MID(AV2069,ROW($1:$8),1))*ROW($1:$8),),ROW($1:$8))+1,1)*10^ROW($1:$8)/10)</f>
        <v>0</v>
      </c>
      <c r="AX2069" s="262" t="e">
        <f>VLOOKUP($AW2069,'Item Master Data'!$A:$F,3,FALSE)</f>
        <v>#N/A</v>
      </c>
      <c r="AY2069" s="262" t="e">
        <f>VLOOKUP($AW2069,'Item Master Data'!$A:$F,6,FALSE)</f>
        <v>#N/A</v>
      </c>
      <c r="AZ2069" s="262" t="e">
        <f>X2069/BA2069</f>
        <v>#N/A</v>
      </c>
      <c r="BA2069" s="262" t="e">
        <f>VLOOKUP(AW2069,'Item Master Data'!$A:$G,7,FALSE)</f>
        <v>#N/A</v>
      </c>
      <c r="BC2069" s="262" t="e">
        <f>W2069-AY2069</f>
        <v>#N/A</v>
      </c>
    </row>
    <row r="2070" spans="1:55">
      <c r="A2070" s="278"/>
      <c r="B2070" s="279"/>
      <c r="C2070" s="279"/>
      <c r="D2070" s="394" t="s">
        <v>3678</v>
      </c>
      <c r="E2070" s="288" t="s">
        <v>4039</v>
      </c>
      <c r="F2070" s="474"/>
      <c r="G2070" s="474">
        <v>2022</v>
      </c>
      <c r="H2070" s="474">
        <v>6</v>
      </c>
      <c r="I2070" s="474"/>
      <c r="J2070" s="475"/>
      <c r="K2070" s="474" t="s">
        <v>4040</v>
      </c>
      <c r="L2070" s="474" t="s">
        <v>3762</v>
      </c>
      <c r="M2070" s="475"/>
      <c r="N2070" s="475" t="s">
        <v>1636</v>
      </c>
      <c r="O2070" s="475"/>
      <c r="P2070" s="475"/>
      <c r="Q2070" s="475"/>
      <c r="R2070" s="475"/>
      <c r="S2070" s="474" t="s">
        <v>1102</v>
      </c>
      <c r="T2070" s="474">
        <v>60</v>
      </c>
      <c r="U2070" s="474"/>
      <c r="V2070" s="474" t="s">
        <v>973</v>
      </c>
      <c r="W2070" s="476">
        <v>400</v>
      </c>
      <c r="X2070" s="402">
        <f>10752-896</f>
        <v>9856</v>
      </c>
      <c r="Y2070" s="491">
        <f>X2070*W2070</f>
        <v>3942400</v>
      </c>
      <c r="Z2070" s="478">
        <v>0.49</v>
      </c>
      <c r="AA2070" s="479">
        <f t="shared" si="354"/>
        <v>1931776</v>
      </c>
      <c r="AB2070" s="480"/>
      <c r="AC2070" s="481">
        <f t="shared" si="358"/>
        <v>0</v>
      </c>
      <c r="AD2070" s="490"/>
      <c r="AE2070" s="482"/>
      <c r="AF2070" s="493">
        <f t="shared" si="353"/>
        <v>1931776</v>
      </c>
      <c r="AG2070" s="474" t="s">
        <v>47</v>
      </c>
      <c r="AH2070" s="474">
        <v>0</v>
      </c>
      <c r="AI2070" s="474">
        <v>60</v>
      </c>
      <c r="AJ2070" s="474" t="s">
        <v>1109</v>
      </c>
      <c r="AK2070" s="474" t="s">
        <v>1109</v>
      </c>
      <c r="AL2070" s="474" t="s">
        <v>1109</v>
      </c>
      <c r="AM2070" s="474" t="s">
        <v>52</v>
      </c>
      <c r="AN2070" s="474"/>
      <c r="AO2070" s="474"/>
      <c r="AP2070" s="482"/>
      <c r="AQ2070" s="482" t="s">
        <v>37</v>
      </c>
      <c r="AR2070" s="474"/>
      <c r="AS2070" s="436" t="s">
        <v>3763</v>
      </c>
      <c r="AT2070" s="281" t="s">
        <v>1076</v>
      </c>
      <c r="AU2070" s="472"/>
    </row>
    <row r="2071" spans="1:55">
      <c r="A2071" s="278"/>
      <c r="B2071" s="279"/>
      <c r="C2071" s="279"/>
      <c r="D2071" s="394" t="s">
        <v>3678</v>
      </c>
      <c r="E2071" s="280" t="s">
        <v>4041</v>
      </c>
      <c r="F2071" s="474" t="s">
        <v>1147</v>
      </c>
      <c r="G2071" s="474">
        <v>2022</v>
      </c>
      <c r="H2071" s="474">
        <v>6</v>
      </c>
      <c r="I2071" s="485" t="s">
        <v>1493</v>
      </c>
      <c r="J2071" s="475"/>
      <c r="K2071" s="474" t="s">
        <v>4014</v>
      </c>
      <c r="L2071" s="474" t="s">
        <v>4015</v>
      </c>
      <c r="M2071" s="475">
        <v>44489</v>
      </c>
      <c r="N2071" s="475">
        <v>44234</v>
      </c>
      <c r="O2071" s="475"/>
      <c r="P2071" s="475"/>
      <c r="Q2071" s="475"/>
      <c r="R2071" s="475"/>
      <c r="S2071" s="474" t="s">
        <v>1102</v>
      </c>
      <c r="T2071" s="474">
        <v>60</v>
      </c>
      <c r="U2071" s="474">
        <v>49201132</v>
      </c>
      <c r="V2071" s="474" t="s">
        <v>986</v>
      </c>
      <c r="W2071" s="476">
        <v>360</v>
      </c>
      <c r="X2071" s="402">
        <v>3520</v>
      </c>
      <c r="Y2071" s="491">
        <f>W2071*X2071</f>
        <v>1267200</v>
      </c>
      <c r="Z2071" s="478">
        <v>0.5</v>
      </c>
      <c r="AA2071" s="479">
        <f t="shared" si="354"/>
        <v>633600</v>
      </c>
      <c r="AB2071" s="480"/>
      <c r="AC2071" s="481">
        <f t="shared" si="358"/>
        <v>0</v>
      </c>
      <c r="AD2071" s="490"/>
      <c r="AE2071" s="482"/>
      <c r="AF2071" s="493">
        <f t="shared" si="353"/>
        <v>633600</v>
      </c>
      <c r="AG2071" s="474" t="s">
        <v>47</v>
      </c>
      <c r="AH2071" s="474">
        <v>100</v>
      </c>
      <c r="AI2071" s="474">
        <v>0</v>
      </c>
      <c r="AJ2071" s="474" t="s">
        <v>3793</v>
      </c>
      <c r="AK2071" s="474" t="s">
        <v>1085</v>
      </c>
      <c r="AL2071" s="494" t="s">
        <v>4016</v>
      </c>
      <c r="AM2071" s="474" t="s">
        <v>52</v>
      </c>
      <c r="AN2071" s="474" t="s">
        <v>1074</v>
      </c>
      <c r="AO2071" s="474"/>
      <c r="AP2071" s="482"/>
      <c r="AQ2071" s="482"/>
      <c r="AR2071" s="474"/>
      <c r="AS2071" s="436"/>
      <c r="AT2071" s="281"/>
      <c r="AU2071" s="472"/>
    </row>
    <row r="2072" spans="1:55">
      <c r="A2072" s="278"/>
      <c r="B2072" s="279"/>
      <c r="C2072" s="279"/>
      <c r="D2072" s="394" t="s">
        <v>3678</v>
      </c>
      <c r="E2072" s="280" t="s">
        <v>4042</v>
      </c>
      <c r="F2072" s="474" t="s">
        <v>1147</v>
      </c>
      <c r="G2072" s="474">
        <v>2022</v>
      </c>
      <c r="H2072" s="474">
        <v>6</v>
      </c>
      <c r="I2072" s="485" t="s">
        <v>1493</v>
      </c>
      <c r="J2072" s="475"/>
      <c r="K2072" s="474" t="s">
        <v>4043</v>
      </c>
      <c r="L2072" s="474" t="s">
        <v>4015</v>
      </c>
      <c r="M2072" s="475">
        <v>44489</v>
      </c>
      <c r="N2072" s="475">
        <v>44262</v>
      </c>
      <c r="O2072" s="475"/>
      <c r="P2072" s="475"/>
      <c r="Q2072" s="475"/>
      <c r="R2072" s="475"/>
      <c r="S2072" s="474" t="s">
        <v>1102</v>
      </c>
      <c r="T2072" s="474">
        <v>60</v>
      </c>
      <c r="U2072" s="474">
        <v>49201132</v>
      </c>
      <c r="V2072" s="474" t="s">
        <v>986</v>
      </c>
      <c r="W2072" s="476">
        <v>360</v>
      </c>
      <c r="X2072" s="402">
        <v>832</v>
      </c>
      <c r="Y2072" s="491">
        <f>W2072*X2072</f>
        <v>299520</v>
      </c>
      <c r="Z2072" s="478">
        <v>0.5</v>
      </c>
      <c r="AA2072" s="479">
        <f t="shared" si="354"/>
        <v>149760</v>
      </c>
      <c r="AB2072" s="480"/>
      <c r="AC2072" s="481">
        <f t="shared" si="358"/>
        <v>0</v>
      </c>
      <c r="AD2072" s="490"/>
      <c r="AE2072" s="482"/>
      <c r="AF2072" s="493">
        <f t="shared" si="353"/>
        <v>149760</v>
      </c>
      <c r="AG2072" s="474" t="s">
        <v>47</v>
      </c>
      <c r="AH2072" s="474">
        <v>100</v>
      </c>
      <c r="AI2072" s="474">
        <v>0</v>
      </c>
      <c r="AJ2072" s="474" t="s">
        <v>3793</v>
      </c>
      <c r="AK2072" s="474" t="s">
        <v>1085</v>
      </c>
      <c r="AL2072" s="494" t="s">
        <v>4016</v>
      </c>
      <c r="AM2072" s="474" t="s">
        <v>52</v>
      </c>
      <c r="AN2072" s="474" t="s">
        <v>1074</v>
      </c>
      <c r="AO2072" s="474"/>
      <c r="AP2072" s="482"/>
      <c r="AQ2072" s="482" t="s">
        <v>1086</v>
      </c>
      <c r="AR2072" s="474"/>
      <c r="AS2072" s="436" t="s">
        <v>1087</v>
      </c>
      <c r="AT2072" s="281" t="s">
        <v>1076</v>
      </c>
      <c r="AU2072" s="472"/>
    </row>
    <row r="2073" spans="1:55">
      <c r="A2073" s="278"/>
      <c r="B2073" s="279"/>
      <c r="C2073" s="279"/>
      <c r="D2073" s="394" t="s">
        <v>3678</v>
      </c>
      <c r="E2073" s="288"/>
      <c r="F2073" s="474"/>
      <c r="G2073" s="474">
        <v>2022</v>
      </c>
      <c r="H2073" s="474">
        <v>7</v>
      </c>
      <c r="I2073" s="474"/>
      <c r="J2073" s="475"/>
      <c r="K2073" s="474">
        <v>1069</v>
      </c>
      <c r="L2073" s="475" t="s">
        <v>3697</v>
      </c>
      <c r="M2073" s="475">
        <v>44551</v>
      </c>
      <c r="N2073" s="475" t="s">
        <v>1632</v>
      </c>
      <c r="O2073" s="475"/>
      <c r="P2073" s="475"/>
      <c r="Q2073" s="475"/>
      <c r="R2073" s="475"/>
      <c r="S2073" s="474" t="s">
        <v>1102</v>
      </c>
      <c r="T2073" s="474">
        <v>60</v>
      </c>
      <c r="U2073" s="474"/>
      <c r="V2073" s="474" t="s">
        <v>973</v>
      </c>
      <c r="W2073" s="476">
        <v>400</v>
      </c>
      <c r="X2073" s="402">
        <f>16556-5376-5376</f>
        <v>5804</v>
      </c>
      <c r="Y2073" s="477">
        <f>W2073*X2073</f>
        <v>2321600</v>
      </c>
      <c r="Z2073" s="478">
        <v>0.48</v>
      </c>
      <c r="AA2073" s="479">
        <f>Z2073*Y2073</f>
        <v>1114368</v>
      </c>
      <c r="AB2073" s="480"/>
      <c r="AC2073" s="481">
        <f t="shared" si="358"/>
        <v>0</v>
      </c>
      <c r="AD2073" s="490"/>
      <c r="AE2073" s="482"/>
      <c r="AF2073" s="493">
        <f t="shared" si="353"/>
        <v>1114368</v>
      </c>
      <c r="AG2073" s="474" t="s">
        <v>47</v>
      </c>
      <c r="AH2073" s="474"/>
      <c r="AI2073" s="474">
        <v>45</v>
      </c>
      <c r="AJ2073" s="474" t="s">
        <v>1109</v>
      </c>
      <c r="AK2073" s="474" t="s">
        <v>1109</v>
      </c>
      <c r="AL2073" s="494" t="s">
        <v>3849</v>
      </c>
      <c r="AM2073" s="474" t="s">
        <v>52</v>
      </c>
      <c r="AN2073" s="474" t="s">
        <v>1074</v>
      </c>
      <c r="AO2073" s="474"/>
      <c r="AP2073" s="482"/>
      <c r="AQ2073" s="482" t="s">
        <v>37</v>
      </c>
      <c r="AR2073" s="474"/>
      <c r="AS2073" s="436" t="s">
        <v>1076</v>
      </c>
      <c r="AT2073" s="281" t="s">
        <v>1076</v>
      </c>
      <c r="AU2073" s="472"/>
      <c r="AV2073" s="262">
        <f>U2073</f>
        <v>0</v>
      </c>
      <c r="AW2073" s="262" cm="1">
        <f t="array" ref="AW2073">SUM(MID(0&amp;AV2073,LARGE(INDEX(ISNUMBER(--MID(AV2073,ROW($1:$8),1))*ROW($1:$8),),ROW($1:$8))+1,1)*10^ROW($1:$8)/10)</f>
        <v>0</v>
      </c>
      <c r="AX2073" s="262" t="e">
        <f>VLOOKUP($AW2073,'Item Master Data'!$A:$F,3,FALSE)</f>
        <v>#N/A</v>
      </c>
      <c r="AY2073" s="262" t="e">
        <f>VLOOKUP($AW2073,'Item Master Data'!$A:$F,6,FALSE)</f>
        <v>#N/A</v>
      </c>
      <c r="AZ2073" s="262" t="e">
        <f>X2073/BA2073</f>
        <v>#N/A</v>
      </c>
      <c r="BA2073" s="262" t="e">
        <f>VLOOKUP(AW2073,'Item Master Data'!$A:$G,7,FALSE)</f>
        <v>#N/A</v>
      </c>
      <c r="BC2073" s="262" t="e">
        <f>W2073-AY2073</f>
        <v>#N/A</v>
      </c>
    </row>
    <row r="2074" spans="1:55">
      <c r="A2074" s="278"/>
      <c r="B2074" s="279"/>
      <c r="C2074" s="279"/>
      <c r="D2074" s="394" t="s">
        <v>3678</v>
      </c>
      <c r="E2074" s="288"/>
      <c r="F2074" s="474"/>
      <c r="G2074" s="474">
        <v>2022</v>
      </c>
      <c r="H2074" s="474">
        <v>7</v>
      </c>
      <c r="I2074" s="474"/>
      <c r="J2074" s="475"/>
      <c r="K2074" s="474">
        <v>1069</v>
      </c>
      <c r="L2074" s="475" t="s">
        <v>3697</v>
      </c>
      <c r="M2074" s="475">
        <v>44551</v>
      </c>
      <c r="N2074" s="475" t="s">
        <v>4044</v>
      </c>
      <c r="O2074" s="475"/>
      <c r="P2074" s="475"/>
      <c r="Q2074" s="475"/>
      <c r="R2074" s="475"/>
      <c r="S2074" s="474" t="s">
        <v>1102</v>
      </c>
      <c r="T2074" s="474">
        <v>60</v>
      </c>
      <c r="U2074" s="474"/>
      <c r="V2074" s="474" t="s">
        <v>986</v>
      </c>
      <c r="W2074" s="476">
        <v>360</v>
      </c>
      <c r="X2074" s="402">
        <f>13136-9984</f>
        <v>3152</v>
      </c>
      <c r="Y2074" s="477">
        <f>W2074*X2074</f>
        <v>1134720</v>
      </c>
      <c r="Z2074" s="478">
        <v>0.47</v>
      </c>
      <c r="AA2074" s="479">
        <f>Z2074*Y2074</f>
        <v>533318.40000000002</v>
      </c>
      <c r="AB2074" s="480"/>
      <c r="AC2074" s="481">
        <f t="shared" si="358"/>
        <v>0</v>
      </c>
      <c r="AD2074" s="490"/>
      <c r="AE2074" s="482"/>
      <c r="AF2074" s="493">
        <f t="shared" si="353"/>
        <v>533318.40000000002</v>
      </c>
      <c r="AG2074" s="474" t="s">
        <v>47</v>
      </c>
      <c r="AH2074" s="474"/>
      <c r="AI2074" s="474">
        <v>45</v>
      </c>
      <c r="AJ2074" s="474" t="s">
        <v>1109</v>
      </c>
      <c r="AK2074" s="474" t="s">
        <v>1109</v>
      </c>
      <c r="AL2074" s="494" t="s">
        <v>3849</v>
      </c>
      <c r="AM2074" s="474" t="s">
        <v>52</v>
      </c>
      <c r="AN2074" s="474" t="s">
        <v>1074</v>
      </c>
      <c r="AO2074" s="474"/>
      <c r="AP2074" s="482"/>
      <c r="AQ2074" s="482" t="s">
        <v>37</v>
      </c>
      <c r="AR2074" s="474"/>
      <c r="AS2074" s="436" t="s">
        <v>1076</v>
      </c>
      <c r="AT2074" s="281" t="s">
        <v>1076</v>
      </c>
      <c r="AU2074" s="472"/>
      <c r="AV2074" s="262">
        <f>U2074</f>
        <v>0</v>
      </c>
      <c r="AW2074" s="262" cm="1">
        <f t="array" ref="AW2074">SUM(MID(0&amp;AV2074,LARGE(INDEX(ISNUMBER(--MID(AV2074,ROW($1:$8),1))*ROW($1:$8),),ROW($1:$8))+1,1)*10^ROW($1:$8)/10)</f>
        <v>0</v>
      </c>
      <c r="AX2074" s="262" t="e">
        <f>VLOOKUP($AW2074,'Item Master Data'!$A:$F,3,FALSE)</f>
        <v>#N/A</v>
      </c>
      <c r="AY2074" s="262" t="e">
        <f>VLOOKUP($AW2074,'Item Master Data'!$A:$F,6,FALSE)</f>
        <v>#N/A</v>
      </c>
      <c r="AZ2074" s="262" t="e">
        <f>X2074/BA2074</f>
        <v>#N/A</v>
      </c>
      <c r="BA2074" s="262" t="e">
        <f>VLOOKUP(AW2074,'Item Master Data'!$A:$G,7,FALSE)</f>
        <v>#N/A</v>
      </c>
      <c r="BC2074" s="262" t="e">
        <f>W2074-AY2074</f>
        <v>#N/A</v>
      </c>
    </row>
    <row r="2075" spans="1:55">
      <c r="A2075" s="278"/>
      <c r="B2075" s="279"/>
      <c r="C2075" s="279"/>
      <c r="D2075" s="394" t="s">
        <v>3678</v>
      </c>
      <c r="E2075" s="280" t="s">
        <v>4045</v>
      </c>
      <c r="F2075" s="474"/>
      <c r="G2075" s="474">
        <v>2022</v>
      </c>
      <c r="H2075" s="474">
        <v>7</v>
      </c>
      <c r="I2075" s="485"/>
      <c r="J2075" s="475"/>
      <c r="K2075" s="474" t="s">
        <v>4046</v>
      </c>
      <c r="L2075" s="474" t="s">
        <v>1187</v>
      </c>
      <c r="M2075" s="475">
        <v>44596</v>
      </c>
      <c r="N2075" s="475">
        <v>44746</v>
      </c>
      <c r="O2075" s="475"/>
      <c r="P2075" s="475"/>
      <c r="Q2075" s="475"/>
      <c r="R2075" s="475"/>
      <c r="S2075" s="474" t="s">
        <v>1102</v>
      </c>
      <c r="T2075" s="474">
        <v>60</v>
      </c>
      <c r="U2075" s="474"/>
      <c r="V2075" s="474" t="s">
        <v>973</v>
      </c>
      <c r="W2075" s="476">
        <v>400</v>
      </c>
      <c r="X2075" s="402">
        <v>8320</v>
      </c>
      <c r="Y2075" s="491">
        <v>3328000</v>
      </c>
      <c r="Z2075" s="478">
        <v>0.52</v>
      </c>
      <c r="AA2075" s="479">
        <f t="shared" ref="AA2075:AA2124" si="359">Y2075*Z2075</f>
        <v>1730560</v>
      </c>
      <c r="AB2075" s="480"/>
      <c r="AC2075" s="481">
        <f t="shared" si="358"/>
        <v>0</v>
      </c>
      <c r="AD2075" s="490"/>
      <c r="AE2075" s="482"/>
      <c r="AF2075" s="493">
        <f t="shared" si="353"/>
        <v>1730560</v>
      </c>
      <c r="AG2075" s="474" t="s">
        <v>1071</v>
      </c>
      <c r="AH2075" s="474"/>
      <c r="AI2075" s="474">
        <v>60</v>
      </c>
      <c r="AJ2075" s="474" t="s">
        <v>1210</v>
      </c>
      <c r="AK2075" s="474" t="s">
        <v>1096</v>
      </c>
      <c r="AL2075" s="494">
        <v>1501</v>
      </c>
      <c r="AM2075" s="474" t="s">
        <v>52</v>
      </c>
      <c r="AN2075" s="474"/>
      <c r="AO2075" s="474"/>
      <c r="AP2075" s="482"/>
      <c r="AQ2075" s="482" t="s">
        <v>37</v>
      </c>
      <c r="AR2075" s="474"/>
      <c r="AS2075" s="436"/>
      <c r="AT2075" s="281"/>
      <c r="AU2075" s="472"/>
      <c r="AV2075" s="262">
        <f>U2075</f>
        <v>0</v>
      </c>
      <c r="AW2075" s="262" cm="1">
        <f t="array" ref="AW2075">SUM(MID(0&amp;AV2075,LARGE(INDEX(ISNUMBER(--MID(AV2075,ROW($1:$8),1))*ROW($1:$8),),ROW($1:$8))+1,1)*10^ROW($1:$8)/10)</f>
        <v>0</v>
      </c>
      <c r="AX2075" s="262" t="e">
        <f>VLOOKUP($AW2075,'Item Master Data'!$A:$F,3,FALSE)</f>
        <v>#N/A</v>
      </c>
      <c r="AY2075" s="262" t="e">
        <f>VLOOKUP($AW2075,'Item Master Data'!$A:$F,6,FALSE)</f>
        <v>#N/A</v>
      </c>
      <c r="AZ2075" s="262" t="e">
        <f>X2075/BA2075</f>
        <v>#N/A</v>
      </c>
      <c r="BA2075" s="262" t="e">
        <f>VLOOKUP(AW2075,'Item Master Data'!$A:$G,7,FALSE)</f>
        <v>#N/A</v>
      </c>
      <c r="BC2075" s="262" t="e">
        <f>W2075-AY2075</f>
        <v>#N/A</v>
      </c>
    </row>
    <row r="2076" spans="1:55">
      <c r="A2076" s="278"/>
      <c r="B2076" s="279"/>
      <c r="C2076" s="279"/>
      <c r="D2076" s="394" t="s">
        <v>3678</v>
      </c>
      <c r="E2076" s="280"/>
      <c r="F2076" s="474"/>
      <c r="G2076" s="474">
        <v>2022</v>
      </c>
      <c r="H2076" s="474">
        <v>7</v>
      </c>
      <c r="I2076" s="485"/>
      <c r="J2076" s="475"/>
      <c r="K2076" s="474" t="s">
        <v>4047</v>
      </c>
      <c r="L2076" s="474" t="s">
        <v>1228</v>
      </c>
      <c r="M2076" s="475">
        <v>44531</v>
      </c>
      <c r="N2076" s="475">
        <v>44739</v>
      </c>
      <c r="O2076" s="475"/>
      <c r="P2076" s="475"/>
      <c r="Q2076" s="475"/>
      <c r="R2076" s="475"/>
      <c r="S2076" s="474" t="s">
        <v>1102</v>
      </c>
      <c r="T2076" s="474">
        <v>60</v>
      </c>
      <c r="U2076" s="474">
        <v>49201132</v>
      </c>
      <c r="V2076" s="474" t="s">
        <v>986</v>
      </c>
      <c r="W2076" s="476">
        <v>360</v>
      </c>
      <c r="X2076" s="402">
        <v>896</v>
      </c>
      <c r="Y2076" s="491">
        <f t="shared" ref="Y2076:Y2096" si="360">W2076*X2076</f>
        <v>322560</v>
      </c>
      <c r="Z2076" s="478">
        <v>0.49</v>
      </c>
      <c r="AA2076" s="479">
        <f t="shared" si="359"/>
        <v>158054.39999999999</v>
      </c>
      <c r="AB2076" s="480"/>
      <c r="AC2076" s="481">
        <v>0</v>
      </c>
      <c r="AD2076" s="490"/>
      <c r="AE2076" s="482"/>
      <c r="AF2076" s="493">
        <f t="shared" si="353"/>
        <v>158054.39999999999</v>
      </c>
      <c r="AG2076" s="474" t="s">
        <v>1071</v>
      </c>
      <c r="AH2076" s="474"/>
      <c r="AI2076" s="474">
        <v>60</v>
      </c>
      <c r="AJ2076" s="474" t="s">
        <v>1233</v>
      </c>
      <c r="AK2076" s="474" t="s">
        <v>1190</v>
      </c>
      <c r="AL2076" s="494" t="s">
        <v>1234</v>
      </c>
      <c r="AM2076" s="474" t="s">
        <v>52</v>
      </c>
      <c r="AN2076" s="474" t="s">
        <v>1085</v>
      </c>
      <c r="AO2076" s="474"/>
      <c r="AP2076" s="482" t="s">
        <v>38</v>
      </c>
      <c r="AQ2076" s="482" t="s">
        <v>37</v>
      </c>
      <c r="AR2076" s="474"/>
      <c r="AS2076" s="436"/>
      <c r="AT2076" s="281"/>
      <c r="AU2076" s="472"/>
    </row>
    <row r="2077" spans="1:55">
      <c r="A2077" s="278"/>
      <c r="B2077" s="279"/>
      <c r="C2077" s="279"/>
      <c r="D2077" s="394" t="s">
        <v>3678</v>
      </c>
      <c r="E2077" s="280" t="s">
        <v>3881</v>
      </c>
      <c r="F2077" s="474"/>
      <c r="G2077" s="474">
        <v>2022</v>
      </c>
      <c r="H2077" s="474">
        <v>7</v>
      </c>
      <c r="I2077" s="485"/>
      <c r="J2077" s="475"/>
      <c r="K2077" s="474" t="s">
        <v>4048</v>
      </c>
      <c r="L2077" s="474" t="s">
        <v>1228</v>
      </c>
      <c r="M2077" s="475">
        <v>44518</v>
      </c>
      <c r="N2077" s="475">
        <v>44635</v>
      </c>
      <c r="O2077" s="475">
        <v>44743</v>
      </c>
      <c r="P2077" s="475"/>
      <c r="Q2077" s="475"/>
      <c r="R2077" s="475"/>
      <c r="S2077" s="474" t="s">
        <v>1102</v>
      </c>
      <c r="T2077" s="474">
        <v>60</v>
      </c>
      <c r="U2077" s="474">
        <v>49401140</v>
      </c>
      <c r="V2077" s="474" t="s">
        <v>985</v>
      </c>
      <c r="W2077" s="476">
        <v>400</v>
      </c>
      <c r="X2077" s="402">
        <v>896</v>
      </c>
      <c r="Y2077" s="491">
        <f t="shared" si="360"/>
        <v>358400</v>
      </c>
      <c r="Z2077" s="478">
        <v>0.52</v>
      </c>
      <c r="AA2077" s="479">
        <f t="shared" si="359"/>
        <v>186368</v>
      </c>
      <c r="AB2077" s="480"/>
      <c r="AC2077" s="481">
        <f>AB2077*Y2077</f>
        <v>0</v>
      </c>
      <c r="AD2077" s="490"/>
      <c r="AE2077" s="482"/>
      <c r="AF2077" s="493">
        <f t="shared" si="353"/>
        <v>186368</v>
      </c>
      <c r="AG2077" s="474" t="s">
        <v>1071</v>
      </c>
      <c r="AH2077" s="474"/>
      <c r="AI2077" s="474">
        <v>60</v>
      </c>
      <c r="AJ2077" s="474" t="s">
        <v>3735</v>
      </c>
      <c r="AK2077" s="474" t="s">
        <v>1190</v>
      </c>
      <c r="AL2077" s="494">
        <v>6492</v>
      </c>
      <c r="AM2077" s="474" t="s">
        <v>52</v>
      </c>
      <c r="AN2077" s="474" t="s">
        <v>1074</v>
      </c>
      <c r="AO2077" s="474"/>
      <c r="AP2077" s="482"/>
      <c r="AQ2077" s="482" t="s">
        <v>37</v>
      </c>
      <c r="AR2077" s="474" t="s">
        <v>1248</v>
      </c>
      <c r="AS2077" s="436" t="s">
        <v>1076</v>
      </c>
      <c r="AT2077" s="436" t="s">
        <v>1076</v>
      </c>
      <c r="AU2077" s="472">
        <v>0.52</v>
      </c>
    </row>
    <row r="2078" spans="1:55">
      <c r="A2078" s="278"/>
      <c r="B2078" s="279"/>
      <c r="C2078" s="279"/>
      <c r="D2078" s="394" t="s">
        <v>3678</v>
      </c>
      <c r="E2078" s="280" t="s">
        <v>3881</v>
      </c>
      <c r="F2078" s="474"/>
      <c r="G2078" s="474">
        <v>2022</v>
      </c>
      <c r="H2078" s="474">
        <v>7</v>
      </c>
      <c r="I2078" s="485"/>
      <c r="J2078" s="475"/>
      <c r="K2078" s="474" t="s">
        <v>4049</v>
      </c>
      <c r="L2078" s="474" t="s">
        <v>1228</v>
      </c>
      <c r="M2078" s="475">
        <v>44518</v>
      </c>
      <c r="N2078" s="475">
        <v>44669</v>
      </c>
      <c r="O2078" s="475"/>
      <c r="P2078" s="475"/>
      <c r="Q2078" s="475"/>
      <c r="R2078" s="475"/>
      <c r="S2078" s="474" t="s">
        <v>1102</v>
      </c>
      <c r="T2078" s="474">
        <v>60</v>
      </c>
      <c r="U2078" s="474">
        <v>49401140</v>
      </c>
      <c r="V2078" s="474" t="s">
        <v>985</v>
      </c>
      <c r="W2078" s="476">
        <v>400</v>
      </c>
      <c r="X2078" s="402">
        <v>896</v>
      </c>
      <c r="Y2078" s="491">
        <f t="shared" si="360"/>
        <v>358400</v>
      </c>
      <c r="Z2078" s="478">
        <v>0.52</v>
      </c>
      <c r="AA2078" s="583">
        <f t="shared" si="359"/>
        <v>186368</v>
      </c>
      <c r="AB2078" s="480"/>
      <c r="AC2078" s="481">
        <f>AB2078*Y2078</f>
        <v>0</v>
      </c>
      <c r="AD2078" s="490"/>
      <c r="AE2078" s="482"/>
      <c r="AF2078" s="493">
        <f t="shared" si="353"/>
        <v>186368</v>
      </c>
      <c r="AG2078" s="474" t="s">
        <v>1071</v>
      </c>
      <c r="AH2078" s="474"/>
      <c r="AI2078" s="474">
        <v>60</v>
      </c>
      <c r="AJ2078" s="474" t="s">
        <v>3735</v>
      </c>
      <c r="AK2078" s="474" t="s">
        <v>1190</v>
      </c>
      <c r="AL2078" s="494">
        <v>6492</v>
      </c>
      <c r="AM2078" s="474" t="s">
        <v>52</v>
      </c>
      <c r="AN2078" s="474" t="s">
        <v>1074</v>
      </c>
      <c r="AO2078" s="474"/>
      <c r="AP2078" s="482"/>
      <c r="AQ2078" s="482" t="s">
        <v>37</v>
      </c>
      <c r="AR2078" s="474" t="s">
        <v>3884</v>
      </c>
      <c r="AS2078" s="436" t="s">
        <v>1076</v>
      </c>
      <c r="AT2078" s="436" t="s">
        <v>1076</v>
      </c>
      <c r="AU2078" s="472">
        <v>0.52</v>
      </c>
    </row>
    <row r="2079" spans="1:55">
      <c r="A2079" s="278"/>
      <c r="B2079" s="279"/>
      <c r="C2079" s="279"/>
      <c r="D2079" s="394" t="s">
        <v>3678</v>
      </c>
      <c r="E2079" s="280" t="s">
        <v>3881</v>
      </c>
      <c r="F2079" s="474"/>
      <c r="G2079" s="474">
        <v>2022</v>
      </c>
      <c r="H2079" s="474">
        <v>7</v>
      </c>
      <c r="I2079" s="485"/>
      <c r="J2079" s="475"/>
      <c r="K2079" s="474" t="s">
        <v>4050</v>
      </c>
      <c r="L2079" s="474" t="s">
        <v>1228</v>
      </c>
      <c r="M2079" s="475">
        <v>44518</v>
      </c>
      <c r="N2079" s="475">
        <v>44676</v>
      </c>
      <c r="O2079" s="475"/>
      <c r="P2079" s="475"/>
      <c r="Q2079" s="475"/>
      <c r="R2079" s="475"/>
      <c r="S2079" s="474" t="s">
        <v>1102</v>
      </c>
      <c r="T2079" s="474">
        <v>60</v>
      </c>
      <c r="U2079" s="474">
        <v>49401140</v>
      </c>
      <c r="V2079" s="474" t="s">
        <v>985</v>
      </c>
      <c r="W2079" s="476">
        <v>400</v>
      </c>
      <c r="X2079" s="402">
        <v>896</v>
      </c>
      <c r="Y2079" s="491">
        <f t="shared" si="360"/>
        <v>358400</v>
      </c>
      <c r="Z2079" s="478">
        <v>0.52</v>
      </c>
      <c r="AA2079" s="583">
        <f t="shared" si="359"/>
        <v>186368</v>
      </c>
      <c r="AB2079" s="480"/>
      <c r="AC2079" s="481">
        <f>AB2079*Y2079</f>
        <v>0</v>
      </c>
      <c r="AD2079" s="490"/>
      <c r="AE2079" s="482"/>
      <c r="AF2079" s="493">
        <f t="shared" si="353"/>
        <v>186368</v>
      </c>
      <c r="AG2079" s="474" t="s">
        <v>1071</v>
      </c>
      <c r="AH2079" s="474"/>
      <c r="AI2079" s="474">
        <v>60</v>
      </c>
      <c r="AJ2079" s="474" t="s">
        <v>3735</v>
      </c>
      <c r="AK2079" s="474" t="s">
        <v>1190</v>
      </c>
      <c r="AL2079" s="494">
        <v>6492</v>
      </c>
      <c r="AM2079" s="474" t="s">
        <v>52</v>
      </c>
      <c r="AN2079" s="474" t="s">
        <v>1074</v>
      </c>
      <c r="AO2079" s="474"/>
      <c r="AP2079" s="482"/>
      <c r="AQ2079" s="482" t="s">
        <v>37</v>
      </c>
      <c r="AR2079" s="474" t="s">
        <v>4051</v>
      </c>
      <c r="AS2079" s="436" t="s">
        <v>1076</v>
      </c>
      <c r="AT2079" s="436" t="s">
        <v>1076</v>
      </c>
      <c r="AU2079" s="472">
        <v>0.52</v>
      </c>
      <c r="AV2079" s="262">
        <f>U2079</f>
        <v>49401140</v>
      </c>
      <c r="AW2079" s="262" cm="1">
        <f t="array" ref="AW2079">SUM(MID(0&amp;AV2079,LARGE(INDEX(ISNUMBER(--MID(AV2079,ROW($1:$8),1))*ROW($1:$8),),ROW($1:$8))+1,1)*10^ROW($1:$8)/10)</f>
        <v>49401140</v>
      </c>
      <c r="AX2079" s="262" t="str">
        <f>VLOOKUP($AW2079,'Item Master Data'!$A:$F,3,FALSE)</f>
        <v>Q.PEAK DUO BLK ML G10.a+</v>
      </c>
      <c r="AY2079" s="262">
        <f>VLOOKUP($AW2079,'Item Master Data'!$A:$F,6,FALSE)</f>
        <v>400</v>
      </c>
      <c r="AZ2079" s="262">
        <f>X2079/BA2079</f>
        <v>28</v>
      </c>
      <c r="BA2079" s="262">
        <f>VLOOKUP(AW2079,'Item Master Data'!$A:$G,7,FALSE)</f>
        <v>32</v>
      </c>
      <c r="BC2079" s="262">
        <f>W2079-AY2079</f>
        <v>0</v>
      </c>
    </row>
    <row r="2080" spans="1:55">
      <c r="A2080" s="278"/>
      <c r="B2080" s="279"/>
      <c r="C2080" s="279"/>
      <c r="D2080" s="394" t="s">
        <v>3678</v>
      </c>
      <c r="E2080" s="280" t="s">
        <v>3881</v>
      </c>
      <c r="F2080" s="474"/>
      <c r="G2080" s="474">
        <v>2022</v>
      </c>
      <c r="H2080" s="474">
        <v>7</v>
      </c>
      <c r="I2080" s="485"/>
      <c r="J2080" s="475"/>
      <c r="K2080" s="474" t="s">
        <v>4052</v>
      </c>
      <c r="L2080" s="474" t="s">
        <v>1228</v>
      </c>
      <c r="M2080" s="475">
        <v>44518</v>
      </c>
      <c r="N2080" s="475">
        <v>44690</v>
      </c>
      <c r="O2080" s="475">
        <v>44743</v>
      </c>
      <c r="P2080" s="475"/>
      <c r="Q2080" s="475"/>
      <c r="R2080" s="475"/>
      <c r="S2080" s="474" t="s">
        <v>1102</v>
      </c>
      <c r="T2080" s="474">
        <v>60</v>
      </c>
      <c r="U2080" s="474">
        <v>49401140</v>
      </c>
      <c r="V2080" s="474" t="s">
        <v>985</v>
      </c>
      <c r="W2080" s="476">
        <v>400</v>
      </c>
      <c r="X2080" s="402">
        <v>896</v>
      </c>
      <c r="Y2080" s="491">
        <f t="shared" si="360"/>
        <v>358400</v>
      </c>
      <c r="Z2080" s="478">
        <v>0.52</v>
      </c>
      <c r="AA2080" s="479">
        <f t="shared" si="359"/>
        <v>186368</v>
      </c>
      <c r="AB2080" s="480"/>
      <c r="AC2080" s="481">
        <f>AB2080*Y2080</f>
        <v>0</v>
      </c>
      <c r="AD2080" s="490"/>
      <c r="AE2080" s="482"/>
      <c r="AF2080" s="493">
        <f t="shared" si="353"/>
        <v>186368</v>
      </c>
      <c r="AG2080" s="474" t="s">
        <v>1071</v>
      </c>
      <c r="AH2080" s="474"/>
      <c r="AI2080" s="474">
        <v>60</v>
      </c>
      <c r="AJ2080" s="474" t="s">
        <v>3735</v>
      </c>
      <c r="AK2080" s="474" t="s">
        <v>1190</v>
      </c>
      <c r="AL2080" s="494">
        <v>6492</v>
      </c>
      <c r="AM2080" s="474" t="s">
        <v>52</v>
      </c>
      <c r="AN2080" s="474" t="s">
        <v>1074</v>
      </c>
      <c r="AO2080" s="474"/>
      <c r="AP2080" s="482"/>
      <c r="AQ2080" s="482" t="s">
        <v>37</v>
      </c>
      <c r="AR2080" s="474" t="s">
        <v>1248</v>
      </c>
      <c r="AS2080" s="436" t="s">
        <v>1076</v>
      </c>
      <c r="AT2080" s="281" t="s">
        <v>1076</v>
      </c>
      <c r="AU2080" s="472">
        <v>0.52</v>
      </c>
      <c r="AV2080" s="262">
        <f>U2080</f>
        <v>49401140</v>
      </c>
      <c r="AW2080" s="262" cm="1">
        <f t="array" ref="AW2080">SUM(MID(0&amp;AV2080,LARGE(INDEX(ISNUMBER(--MID(AV2080,ROW($1:$8),1))*ROW($1:$8),),ROW($1:$8))+1,1)*10^ROW($1:$8)/10)</f>
        <v>49401140</v>
      </c>
      <c r="AX2080" s="262" t="str">
        <f>VLOOKUP($AW2080,'Item Master Data'!$A:$F,3,FALSE)</f>
        <v>Q.PEAK DUO BLK ML G10.a+</v>
      </c>
      <c r="AY2080" s="262">
        <f>VLOOKUP($AW2080,'Item Master Data'!$A:$F,6,FALSE)</f>
        <v>400</v>
      </c>
      <c r="AZ2080" s="262">
        <f>X2080/BA2080</f>
        <v>28</v>
      </c>
      <c r="BA2080" s="262">
        <f>VLOOKUP(AW2080,'Item Master Data'!$A:$G,7,FALSE)</f>
        <v>32</v>
      </c>
      <c r="BC2080" s="262">
        <f>W2080-AY2080</f>
        <v>0</v>
      </c>
    </row>
    <row r="2081" spans="1:55">
      <c r="A2081" s="278"/>
      <c r="B2081" s="279"/>
      <c r="C2081" s="279"/>
      <c r="D2081" s="394" t="s">
        <v>3678</v>
      </c>
      <c r="E2081" s="280" t="s">
        <v>3881</v>
      </c>
      <c r="F2081" s="474"/>
      <c r="G2081" s="474">
        <v>2022</v>
      </c>
      <c r="H2081" s="474">
        <v>7</v>
      </c>
      <c r="I2081" s="485"/>
      <c r="J2081" s="475"/>
      <c r="K2081" s="474" t="s">
        <v>4053</v>
      </c>
      <c r="L2081" s="474" t="s">
        <v>1228</v>
      </c>
      <c r="M2081" s="475">
        <v>44518</v>
      </c>
      <c r="N2081" s="475">
        <v>44718</v>
      </c>
      <c r="O2081" s="475"/>
      <c r="P2081" s="475"/>
      <c r="Q2081" s="475"/>
      <c r="R2081" s="475"/>
      <c r="S2081" s="474" t="s">
        <v>1102</v>
      </c>
      <c r="T2081" s="474">
        <v>60</v>
      </c>
      <c r="U2081" s="474">
        <v>49401140</v>
      </c>
      <c r="V2081" s="474" t="s">
        <v>985</v>
      </c>
      <c r="W2081" s="476">
        <v>400</v>
      </c>
      <c r="X2081" s="402">
        <v>896</v>
      </c>
      <c r="Y2081" s="491">
        <f t="shared" si="360"/>
        <v>358400</v>
      </c>
      <c r="Z2081" s="478">
        <v>0.52</v>
      </c>
      <c r="AA2081" s="583">
        <f t="shared" si="359"/>
        <v>186368</v>
      </c>
      <c r="AB2081" s="480"/>
      <c r="AC2081" s="481">
        <f>AB2081*Y2081</f>
        <v>0</v>
      </c>
      <c r="AD2081" s="490"/>
      <c r="AE2081" s="482"/>
      <c r="AF2081" s="493">
        <f t="shared" si="353"/>
        <v>186368</v>
      </c>
      <c r="AG2081" s="474" t="s">
        <v>1071</v>
      </c>
      <c r="AH2081" s="474"/>
      <c r="AI2081" s="474">
        <v>60</v>
      </c>
      <c r="AJ2081" s="474" t="s">
        <v>3735</v>
      </c>
      <c r="AK2081" s="474" t="s">
        <v>1190</v>
      </c>
      <c r="AL2081" s="494">
        <v>6492</v>
      </c>
      <c r="AM2081" s="474" t="s">
        <v>52</v>
      </c>
      <c r="AN2081" s="474" t="s">
        <v>1074</v>
      </c>
      <c r="AO2081" s="474"/>
      <c r="AP2081" s="482"/>
      <c r="AQ2081" s="482" t="s">
        <v>37</v>
      </c>
      <c r="AR2081" s="474" t="s">
        <v>3884</v>
      </c>
      <c r="AS2081" s="436" t="s">
        <v>1076</v>
      </c>
      <c r="AT2081" s="281" t="s">
        <v>1076</v>
      </c>
      <c r="AU2081" s="472">
        <v>0.52</v>
      </c>
    </row>
    <row r="2082" spans="1:55">
      <c r="A2082" s="278"/>
      <c r="B2082" s="279"/>
      <c r="C2082" s="279"/>
      <c r="D2082" s="394" t="s">
        <v>3678</v>
      </c>
      <c r="E2082" s="280" t="s">
        <v>3881</v>
      </c>
      <c r="F2082" s="474"/>
      <c r="G2082" s="474">
        <v>2022</v>
      </c>
      <c r="H2082" s="474">
        <v>7</v>
      </c>
      <c r="I2082" s="485" t="s">
        <v>3888</v>
      </c>
      <c r="J2082" s="475"/>
      <c r="K2082" s="524" t="s">
        <v>4054</v>
      </c>
      <c r="L2082" s="524" t="s">
        <v>1309</v>
      </c>
      <c r="M2082" s="475">
        <v>44477</v>
      </c>
      <c r="N2082" s="475">
        <v>44652</v>
      </c>
      <c r="O2082" s="475"/>
      <c r="P2082" s="475"/>
      <c r="Q2082" s="475"/>
      <c r="R2082" s="475"/>
      <c r="S2082" s="474" t="s">
        <v>1102</v>
      </c>
      <c r="T2082" s="474">
        <v>60</v>
      </c>
      <c r="U2082" s="474">
        <v>49401140</v>
      </c>
      <c r="V2082" s="474" t="s">
        <v>973</v>
      </c>
      <c r="W2082" s="476">
        <v>400</v>
      </c>
      <c r="X2082" s="402">
        <v>768</v>
      </c>
      <c r="Y2082" s="491">
        <f t="shared" si="360"/>
        <v>307200</v>
      </c>
      <c r="Z2082" s="478">
        <v>0.46500000000000002</v>
      </c>
      <c r="AA2082" s="583">
        <f t="shared" si="359"/>
        <v>142848</v>
      </c>
      <c r="AB2082" s="480"/>
      <c r="AC2082" s="481">
        <v>0</v>
      </c>
      <c r="AD2082" s="490"/>
      <c r="AE2082" s="482"/>
      <c r="AF2082" s="493">
        <f t="shared" si="353"/>
        <v>142848</v>
      </c>
      <c r="AG2082" s="474" t="s">
        <v>1071</v>
      </c>
      <c r="AH2082" s="474"/>
      <c r="AI2082" s="474">
        <v>60</v>
      </c>
      <c r="AJ2082" s="474" t="s">
        <v>1194</v>
      </c>
      <c r="AK2082" s="474" t="s">
        <v>1073</v>
      </c>
      <c r="AL2082" s="494">
        <v>21046</v>
      </c>
      <c r="AM2082" s="474" t="s">
        <v>52</v>
      </c>
      <c r="AN2082" s="474"/>
      <c r="AO2082" s="474"/>
      <c r="AP2082" s="482"/>
      <c r="AQ2082" s="482"/>
      <c r="AR2082" s="474"/>
      <c r="AS2082" s="436"/>
      <c r="AT2082" s="281" t="s">
        <v>1076</v>
      </c>
      <c r="AU2082" s="472">
        <v>0.46500000000000002</v>
      </c>
    </row>
    <row r="2083" spans="1:55">
      <c r="A2083" s="278"/>
      <c r="B2083" s="279"/>
      <c r="C2083" s="279"/>
      <c r="D2083" s="394" t="s">
        <v>3678</v>
      </c>
      <c r="E2083" s="280"/>
      <c r="F2083" s="474"/>
      <c r="G2083" s="474">
        <v>2022</v>
      </c>
      <c r="H2083" s="474">
        <v>7</v>
      </c>
      <c r="I2083" s="485"/>
      <c r="J2083" s="475"/>
      <c r="K2083" s="474" t="s">
        <v>4030</v>
      </c>
      <c r="L2083" s="474" t="s">
        <v>1309</v>
      </c>
      <c r="M2083" s="475">
        <v>44544</v>
      </c>
      <c r="N2083" s="475">
        <v>44718</v>
      </c>
      <c r="O2083" s="475"/>
      <c r="P2083" s="475"/>
      <c r="Q2083" s="475"/>
      <c r="R2083" s="475"/>
      <c r="S2083" s="474" t="s">
        <v>1102</v>
      </c>
      <c r="T2083" s="474">
        <v>60</v>
      </c>
      <c r="U2083" s="474">
        <v>49201132</v>
      </c>
      <c r="V2083" s="474" t="s">
        <v>986</v>
      </c>
      <c r="W2083" s="476">
        <v>360</v>
      </c>
      <c r="X2083" s="402">
        <f>2496-1664</f>
        <v>832</v>
      </c>
      <c r="Y2083" s="491">
        <f t="shared" si="360"/>
        <v>299520</v>
      </c>
      <c r="Z2083" s="478">
        <v>0.5</v>
      </c>
      <c r="AA2083" s="583">
        <f t="shared" si="359"/>
        <v>149760</v>
      </c>
      <c r="AB2083" s="480"/>
      <c r="AC2083" s="481">
        <v>0</v>
      </c>
      <c r="AD2083" s="490"/>
      <c r="AE2083" s="482"/>
      <c r="AF2083" s="493">
        <f t="shared" si="353"/>
        <v>149760</v>
      </c>
      <c r="AG2083" s="474" t="s">
        <v>1071</v>
      </c>
      <c r="AH2083" s="474"/>
      <c r="AI2083" s="474">
        <v>60</v>
      </c>
      <c r="AJ2083" s="474" t="s">
        <v>1194</v>
      </c>
      <c r="AK2083" s="474" t="s">
        <v>1073</v>
      </c>
      <c r="AL2083" s="494">
        <v>21046</v>
      </c>
      <c r="AM2083" s="474" t="s">
        <v>52</v>
      </c>
      <c r="AN2083" s="474" t="s">
        <v>1074</v>
      </c>
      <c r="AO2083" s="474"/>
      <c r="AP2083" s="482"/>
      <c r="AQ2083" s="482"/>
      <c r="AR2083" s="474"/>
      <c r="AS2083" s="436"/>
      <c r="AT2083" s="436" t="s">
        <v>1076</v>
      </c>
      <c r="AU2083" s="472"/>
      <c r="AV2083" s="262">
        <f>U2083</f>
        <v>49201132</v>
      </c>
      <c r="AW2083" s="262" cm="1">
        <f t="array" ref="AW2083">SUM(MID(0&amp;AV2083,LARGE(INDEX(ISNUMBER(--MID(AV2083,ROW($1:$8),1))*ROW($1:$8),),ROW($1:$8))+1,1)*10^ROW($1:$8)/10)</f>
        <v>49201132</v>
      </c>
      <c r="AX2083" s="262" t="str">
        <f>VLOOKUP($AW2083,'Item Master Data'!$A:$F,3,FALSE)</f>
        <v>Q.PEAK DUO BLK G10+</v>
      </c>
      <c r="AY2083" s="262">
        <f>VLOOKUP($AW2083,'Item Master Data'!$A:$F,6,FALSE)</f>
        <v>360</v>
      </c>
      <c r="AZ2083" s="262">
        <f>X2083/BA2083</f>
        <v>26</v>
      </c>
      <c r="BA2083" s="262">
        <f>VLOOKUP(AW2083,'Item Master Data'!$A:$G,7,FALSE)</f>
        <v>32</v>
      </c>
      <c r="BC2083" s="262">
        <f>W2083-AY2083</f>
        <v>0</v>
      </c>
    </row>
    <row r="2084" spans="1:55">
      <c r="A2084" s="278"/>
      <c r="B2084" s="279"/>
      <c r="C2084" s="279"/>
      <c r="D2084" s="394" t="s">
        <v>3678</v>
      </c>
      <c r="E2084" s="280" t="s">
        <v>3881</v>
      </c>
      <c r="F2084" s="474"/>
      <c r="G2084" s="474">
        <v>2022</v>
      </c>
      <c r="H2084" s="474">
        <v>7</v>
      </c>
      <c r="I2084" s="485" t="s">
        <v>3888</v>
      </c>
      <c r="J2084" s="475"/>
      <c r="K2084" s="474" t="s">
        <v>4055</v>
      </c>
      <c r="L2084" s="474" t="s">
        <v>1309</v>
      </c>
      <c r="M2084" s="475">
        <v>44544</v>
      </c>
      <c r="N2084" s="475">
        <v>44718</v>
      </c>
      <c r="O2084" s="475"/>
      <c r="P2084" s="475"/>
      <c r="Q2084" s="475"/>
      <c r="R2084" s="475"/>
      <c r="S2084" s="474" t="s">
        <v>1102</v>
      </c>
      <c r="T2084" s="474">
        <v>60</v>
      </c>
      <c r="U2084" s="474">
        <v>49401140</v>
      </c>
      <c r="V2084" s="474" t="s">
        <v>985</v>
      </c>
      <c r="W2084" s="476">
        <v>400</v>
      </c>
      <c r="X2084" s="402">
        <v>768</v>
      </c>
      <c r="Y2084" s="491">
        <f t="shared" si="360"/>
        <v>307200</v>
      </c>
      <c r="Z2084" s="478">
        <v>0.46500000000000002</v>
      </c>
      <c r="AA2084" s="479">
        <f t="shared" si="359"/>
        <v>142848</v>
      </c>
      <c r="AB2084" s="480"/>
      <c r="AC2084" s="481">
        <v>0</v>
      </c>
      <c r="AD2084" s="490"/>
      <c r="AE2084" s="482"/>
      <c r="AF2084" s="493">
        <f t="shared" si="353"/>
        <v>142848</v>
      </c>
      <c r="AG2084" s="474" t="s">
        <v>1071</v>
      </c>
      <c r="AH2084" s="474"/>
      <c r="AI2084" s="474">
        <v>60</v>
      </c>
      <c r="AJ2084" s="474" t="s">
        <v>1194</v>
      </c>
      <c r="AK2084" s="474" t="s">
        <v>1073</v>
      </c>
      <c r="AL2084" s="494">
        <v>21046</v>
      </c>
      <c r="AM2084" s="474" t="s">
        <v>52</v>
      </c>
      <c r="AN2084" s="474" t="s">
        <v>1074</v>
      </c>
      <c r="AO2084" s="474"/>
      <c r="AP2084" s="482"/>
      <c r="AQ2084" s="482"/>
      <c r="AR2084" s="474" t="s">
        <v>1248</v>
      </c>
      <c r="AS2084" s="436"/>
      <c r="AT2084" s="436" t="s">
        <v>1076</v>
      </c>
      <c r="AU2084" s="472">
        <v>0.46500000000000002</v>
      </c>
      <c r="AV2084" s="262">
        <f>U2084</f>
        <v>49401140</v>
      </c>
      <c r="AW2084" s="262" cm="1">
        <f t="array" ref="AW2084">SUM(MID(0&amp;AV2084,LARGE(INDEX(ISNUMBER(--MID(AV2084,ROW($1:$8),1))*ROW($1:$8),),ROW($1:$8))+1,1)*10^ROW($1:$8)/10)</f>
        <v>49401140</v>
      </c>
      <c r="AX2084" s="262" t="str">
        <f>VLOOKUP($AW2084,'Item Master Data'!$A:$F,3,FALSE)</f>
        <v>Q.PEAK DUO BLK ML G10.a+</v>
      </c>
      <c r="AY2084" s="262">
        <f>VLOOKUP($AW2084,'Item Master Data'!$A:$F,6,FALSE)</f>
        <v>400</v>
      </c>
      <c r="AZ2084" s="262">
        <f>X2084/BA2084</f>
        <v>24</v>
      </c>
      <c r="BA2084" s="262">
        <f>VLOOKUP(AW2084,'Item Master Data'!$A:$G,7,FALSE)</f>
        <v>32</v>
      </c>
      <c r="BC2084" s="262">
        <f>W2084-AY2084</f>
        <v>0</v>
      </c>
    </row>
    <row r="2085" spans="1:55">
      <c r="A2085" s="278"/>
      <c r="B2085" s="279"/>
      <c r="C2085" s="279"/>
      <c r="D2085" s="394" t="s">
        <v>3678</v>
      </c>
      <c r="E2085" s="280" t="s">
        <v>4056</v>
      </c>
      <c r="F2085" s="474" t="s">
        <v>1147</v>
      </c>
      <c r="G2085" s="474">
        <v>2022</v>
      </c>
      <c r="H2085" s="474">
        <v>7</v>
      </c>
      <c r="I2085" s="485" t="s">
        <v>3876</v>
      </c>
      <c r="J2085" s="475"/>
      <c r="K2085" s="474" t="s">
        <v>4057</v>
      </c>
      <c r="L2085" s="519" t="s">
        <v>1340</v>
      </c>
      <c r="M2085" s="521">
        <v>44474</v>
      </c>
      <c r="N2085" s="521">
        <v>44571</v>
      </c>
      <c r="O2085" s="521" t="s">
        <v>1280</v>
      </c>
      <c r="P2085" s="521"/>
      <c r="Q2085" s="521"/>
      <c r="R2085" s="521"/>
      <c r="S2085" s="519" t="s">
        <v>1102</v>
      </c>
      <c r="T2085" s="519">
        <v>60</v>
      </c>
      <c r="U2085" s="519">
        <v>49403140</v>
      </c>
      <c r="V2085" s="519" t="s">
        <v>973</v>
      </c>
      <c r="W2085" s="522">
        <v>400</v>
      </c>
      <c r="X2085" s="411">
        <v>2496</v>
      </c>
      <c r="Y2085" s="470">
        <f t="shared" si="360"/>
        <v>998400</v>
      </c>
      <c r="Z2085" s="478">
        <v>0.55000000000000004</v>
      </c>
      <c r="AA2085" s="584">
        <f t="shared" si="359"/>
        <v>549120</v>
      </c>
      <c r="AB2085" s="480"/>
      <c r="AC2085" s="481">
        <v>0</v>
      </c>
      <c r="AD2085" s="490"/>
      <c r="AE2085" s="482"/>
      <c r="AF2085" s="493">
        <f t="shared" si="353"/>
        <v>549120</v>
      </c>
      <c r="AG2085" s="474" t="s">
        <v>1071</v>
      </c>
      <c r="AH2085" s="474"/>
      <c r="AI2085" s="474">
        <v>60</v>
      </c>
      <c r="AJ2085" s="474" t="s">
        <v>1342</v>
      </c>
      <c r="AK2085" s="474" t="s">
        <v>1085</v>
      </c>
      <c r="AL2085" s="494">
        <v>8110</v>
      </c>
      <c r="AM2085" s="474" t="s">
        <v>52</v>
      </c>
      <c r="AN2085" s="474" t="s">
        <v>1074</v>
      </c>
      <c r="AO2085" s="474"/>
      <c r="AP2085" s="482"/>
      <c r="AQ2085" s="482" t="s">
        <v>37</v>
      </c>
      <c r="AR2085" s="474"/>
      <c r="AS2085" s="436"/>
      <c r="AT2085" s="436"/>
      <c r="AU2085" s="472"/>
      <c r="AV2085" s="262">
        <f>U2085</f>
        <v>49403140</v>
      </c>
      <c r="AW2085" s="262" cm="1">
        <f t="array" ref="AW2085">SUM(MID(0&amp;AV2085,LARGE(INDEX(ISNUMBER(--MID(AV2085,ROW($1:$8),1))*ROW($1:$8),),ROW($1:$8))+1,1)*10^ROW($1:$8)/10)</f>
        <v>49403140</v>
      </c>
      <c r="AX2085" s="262" t="str">
        <f>VLOOKUP($AW2085,'Item Master Data'!$A:$F,3,FALSE)</f>
        <v>Q.PEAK DUO BLK ML G10+</v>
      </c>
      <c r="AY2085" s="262">
        <f>VLOOKUP($AW2085,'Item Master Data'!$A:$F,6,FALSE)</f>
        <v>400</v>
      </c>
      <c r="AZ2085" s="262">
        <f>X2085/BA2085</f>
        <v>78</v>
      </c>
      <c r="BA2085" s="262">
        <f>VLOOKUP(AW2085,'Item Master Data'!$A:$G,7,FALSE)</f>
        <v>32</v>
      </c>
      <c r="BC2085" s="262">
        <f>W2085-AY2085</f>
        <v>0</v>
      </c>
    </row>
    <row r="2086" spans="1:55">
      <c r="A2086" s="278"/>
      <c r="B2086" s="279"/>
      <c r="C2086" s="279"/>
      <c r="D2086" s="394" t="s">
        <v>3678</v>
      </c>
      <c r="E2086" s="280" t="s">
        <v>3987</v>
      </c>
      <c r="F2086" s="485" t="s">
        <v>1147</v>
      </c>
      <c r="G2086" s="474">
        <v>2022</v>
      </c>
      <c r="H2086" s="474">
        <v>7</v>
      </c>
      <c r="I2086" s="485" t="s">
        <v>3876</v>
      </c>
      <c r="J2086" s="475"/>
      <c r="K2086" s="524" t="s">
        <v>4058</v>
      </c>
      <c r="L2086" s="524" t="s">
        <v>1340</v>
      </c>
      <c r="M2086" s="475">
        <v>44475</v>
      </c>
      <c r="N2086" s="475">
        <v>44522</v>
      </c>
      <c r="O2086" s="475" t="s">
        <v>1280</v>
      </c>
      <c r="P2086" s="475"/>
      <c r="Q2086" s="475"/>
      <c r="R2086" s="475"/>
      <c r="S2086" s="474" t="s">
        <v>1102</v>
      </c>
      <c r="T2086" s="474">
        <v>60</v>
      </c>
      <c r="U2086" s="474">
        <v>49403140</v>
      </c>
      <c r="V2086" s="474" t="s">
        <v>973</v>
      </c>
      <c r="W2086" s="476">
        <v>400</v>
      </c>
      <c r="X2086" s="402">
        <v>768</v>
      </c>
      <c r="Y2086" s="491">
        <f t="shared" si="360"/>
        <v>307200</v>
      </c>
      <c r="Z2086" s="478">
        <v>0.55000000000000004</v>
      </c>
      <c r="AA2086" s="583">
        <f t="shared" si="359"/>
        <v>168960</v>
      </c>
      <c r="AB2086" s="480"/>
      <c r="AC2086" s="481">
        <v>0</v>
      </c>
      <c r="AD2086" s="490"/>
      <c r="AE2086" s="482"/>
      <c r="AF2086" s="493">
        <f t="shared" si="353"/>
        <v>168960</v>
      </c>
      <c r="AG2086" s="474" t="s">
        <v>1071</v>
      </c>
      <c r="AH2086" s="474"/>
      <c r="AI2086" s="474">
        <v>60</v>
      </c>
      <c r="AJ2086" s="474" t="s">
        <v>1342</v>
      </c>
      <c r="AK2086" s="474" t="s">
        <v>1085</v>
      </c>
      <c r="AL2086" s="494">
        <v>8110</v>
      </c>
      <c r="AM2086" s="474" t="s">
        <v>52</v>
      </c>
      <c r="AN2086" s="474" t="s">
        <v>1074</v>
      </c>
      <c r="AO2086" s="474"/>
      <c r="AP2086" s="482"/>
      <c r="AQ2086" s="482" t="s">
        <v>37</v>
      </c>
      <c r="AR2086" s="474"/>
      <c r="AS2086" s="436"/>
      <c r="AT2086" s="436"/>
      <c r="AU2086" s="472"/>
      <c r="AV2086" s="262">
        <f>U2086</f>
        <v>49403140</v>
      </c>
      <c r="AW2086" s="262" cm="1">
        <f t="array" ref="AW2086">SUM(MID(0&amp;AV2086,LARGE(INDEX(ISNUMBER(--MID(AV2086,ROW($1:$8),1))*ROW($1:$8),),ROW($1:$8))+1,1)*10^ROW($1:$8)/10)</f>
        <v>49403140</v>
      </c>
      <c r="AX2086" s="262" t="str">
        <f>VLOOKUP($AW2086,'Item Master Data'!$A:$F,3,FALSE)</f>
        <v>Q.PEAK DUO BLK ML G10+</v>
      </c>
      <c r="AY2086" s="262">
        <f>VLOOKUP($AW2086,'Item Master Data'!$A:$F,6,FALSE)</f>
        <v>400</v>
      </c>
      <c r="AZ2086" s="262">
        <f>X2086/BA2086</f>
        <v>24</v>
      </c>
      <c r="BA2086" s="262">
        <f>VLOOKUP(AW2086,'Item Master Data'!$A:$G,7,FALSE)</f>
        <v>32</v>
      </c>
      <c r="BC2086" s="262">
        <f>W2086-AY2086</f>
        <v>0</v>
      </c>
    </row>
    <row r="2087" spans="1:55">
      <c r="A2087" s="278"/>
      <c r="B2087" s="279"/>
      <c r="C2087" s="279"/>
      <c r="D2087" s="394" t="s">
        <v>3678</v>
      </c>
      <c r="E2087" s="280" t="s">
        <v>3987</v>
      </c>
      <c r="F2087" s="485" t="s">
        <v>1147</v>
      </c>
      <c r="G2087" s="474">
        <v>2022</v>
      </c>
      <c r="H2087" s="474">
        <v>7</v>
      </c>
      <c r="I2087" s="485" t="s">
        <v>3876</v>
      </c>
      <c r="J2087" s="475"/>
      <c r="K2087" s="524" t="s">
        <v>4059</v>
      </c>
      <c r="L2087" s="524" t="s">
        <v>1340</v>
      </c>
      <c r="M2087" s="475">
        <v>44475</v>
      </c>
      <c r="N2087" s="475">
        <v>44522</v>
      </c>
      <c r="O2087" s="475" t="s">
        <v>1280</v>
      </c>
      <c r="P2087" s="475"/>
      <c r="Q2087" s="475"/>
      <c r="R2087" s="475"/>
      <c r="S2087" s="474" t="s">
        <v>1102</v>
      </c>
      <c r="T2087" s="474">
        <v>60</v>
      </c>
      <c r="U2087" s="474">
        <v>49403140</v>
      </c>
      <c r="V2087" s="474" t="s">
        <v>973</v>
      </c>
      <c r="W2087" s="476">
        <v>400</v>
      </c>
      <c r="X2087" s="402">
        <f>3840-832-768-768-768</f>
        <v>704</v>
      </c>
      <c r="Y2087" s="491">
        <f t="shared" si="360"/>
        <v>281600</v>
      </c>
      <c r="Z2087" s="478">
        <v>0.55000000000000004</v>
      </c>
      <c r="AA2087" s="583">
        <f t="shared" si="359"/>
        <v>154880</v>
      </c>
      <c r="AB2087" s="480"/>
      <c r="AC2087" s="481">
        <v>0</v>
      </c>
      <c r="AD2087" s="490"/>
      <c r="AE2087" s="482"/>
      <c r="AF2087" s="493">
        <f t="shared" si="353"/>
        <v>154880</v>
      </c>
      <c r="AG2087" s="474" t="s">
        <v>1071</v>
      </c>
      <c r="AH2087" s="474"/>
      <c r="AI2087" s="474">
        <v>60</v>
      </c>
      <c r="AJ2087" s="474" t="s">
        <v>1342</v>
      </c>
      <c r="AK2087" s="474" t="s">
        <v>1085</v>
      </c>
      <c r="AL2087" s="494">
        <v>8110</v>
      </c>
      <c r="AM2087" s="474" t="s">
        <v>52</v>
      </c>
      <c r="AN2087" s="474" t="s">
        <v>1074</v>
      </c>
      <c r="AO2087" s="474"/>
      <c r="AP2087" s="482"/>
      <c r="AQ2087" s="482" t="s">
        <v>37</v>
      </c>
      <c r="AR2087" s="474"/>
      <c r="AS2087" s="436"/>
      <c r="AT2087" s="436"/>
      <c r="AU2087" s="472"/>
      <c r="AV2087" s="262">
        <f>U2087</f>
        <v>49403140</v>
      </c>
      <c r="AW2087" s="262" cm="1">
        <f t="array" ref="AW2087">SUM(MID(0&amp;AV2087,LARGE(INDEX(ISNUMBER(--MID(AV2087,ROW($1:$8),1))*ROW($1:$8),),ROW($1:$8))+1,1)*10^ROW($1:$8)/10)</f>
        <v>49403140</v>
      </c>
      <c r="AX2087" s="262" t="str">
        <f>VLOOKUP($AW2087,'Item Master Data'!$A:$F,3,FALSE)</f>
        <v>Q.PEAK DUO BLK ML G10+</v>
      </c>
      <c r="AY2087" s="262">
        <f>VLOOKUP($AW2087,'Item Master Data'!$A:$F,6,FALSE)</f>
        <v>400</v>
      </c>
      <c r="AZ2087" s="262">
        <f>X2087/BA2087</f>
        <v>22</v>
      </c>
      <c r="BA2087" s="262">
        <f>VLOOKUP(AW2087,'Item Master Data'!$A:$G,7,FALSE)</f>
        <v>32</v>
      </c>
      <c r="BC2087" s="262">
        <f>W2087-AY2087</f>
        <v>0</v>
      </c>
    </row>
    <row r="2088" spans="1:55">
      <c r="A2088" s="278"/>
      <c r="B2088" s="279"/>
      <c r="C2088" s="279"/>
      <c r="D2088" s="394" t="s">
        <v>3678</v>
      </c>
      <c r="E2088" s="280"/>
      <c r="F2088" s="474" t="s">
        <v>1147</v>
      </c>
      <c r="G2088" s="474">
        <v>2022</v>
      </c>
      <c r="H2088" s="474">
        <v>7</v>
      </c>
      <c r="I2088" s="485"/>
      <c r="J2088" s="475"/>
      <c r="K2088" s="474" t="s">
        <v>4060</v>
      </c>
      <c r="L2088" s="474" t="s">
        <v>1340</v>
      </c>
      <c r="M2088" s="475">
        <v>44504</v>
      </c>
      <c r="N2088" s="475">
        <v>44652</v>
      </c>
      <c r="O2088" s="475"/>
      <c r="P2088" s="475"/>
      <c r="Q2088" s="475"/>
      <c r="R2088" s="475"/>
      <c r="S2088" s="474" t="s">
        <v>1102</v>
      </c>
      <c r="T2088" s="474">
        <v>60</v>
      </c>
      <c r="U2088" s="474">
        <v>49201132</v>
      </c>
      <c r="V2088" s="474" t="s">
        <v>986</v>
      </c>
      <c r="W2088" s="476">
        <v>360</v>
      </c>
      <c r="X2088" s="402">
        <v>832</v>
      </c>
      <c r="Y2088" s="491">
        <f t="shared" si="360"/>
        <v>299520</v>
      </c>
      <c r="Z2088" s="478">
        <v>0.5</v>
      </c>
      <c r="AA2088" s="583">
        <f t="shared" si="359"/>
        <v>149760</v>
      </c>
      <c r="AB2088" s="480"/>
      <c r="AC2088" s="481">
        <v>0</v>
      </c>
      <c r="AD2088" s="490"/>
      <c r="AE2088" s="482"/>
      <c r="AF2088" s="493">
        <f t="shared" si="353"/>
        <v>149760</v>
      </c>
      <c r="AG2088" s="474" t="s">
        <v>1071</v>
      </c>
      <c r="AH2088" s="474"/>
      <c r="AI2088" s="474">
        <v>60</v>
      </c>
      <c r="AJ2088" s="474" t="s">
        <v>1342</v>
      </c>
      <c r="AK2088" s="474" t="s">
        <v>1085</v>
      </c>
      <c r="AL2088" s="494">
        <v>8110</v>
      </c>
      <c r="AM2088" s="474" t="s">
        <v>52</v>
      </c>
      <c r="AN2088" s="474" t="s">
        <v>1074</v>
      </c>
      <c r="AO2088" s="474"/>
      <c r="AP2088" s="482"/>
      <c r="AQ2088" s="482"/>
      <c r="AR2088" s="474"/>
      <c r="AS2088" s="436"/>
      <c r="AT2088" s="436" t="s">
        <v>1076</v>
      </c>
      <c r="AU2088" s="472"/>
    </row>
    <row r="2089" spans="1:55">
      <c r="A2089" s="278"/>
      <c r="B2089" s="279"/>
      <c r="C2089" s="279"/>
      <c r="D2089" s="394" t="s">
        <v>3678</v>
      </c>
      <c r="E2089" s="280"/>
      <c r="F2089" s="474" t="s">
        <v>1147</v>
      </c>
      <c r="G2089" s="474">
        <v>2022</v>
      </c>
      <c r="H2089" s="474">
        <v>7</v>
      </c>
      <c r="I2089" s="485"/>
      <c r="J2089" s="475"/>
      <c r="K2089" s="474" t="s">
        <v>4061</v>
      </c>
      <c r="L2089" s="474" t="s">
        <v>1340</v>
      </c>
      <c r="M2089" s="475">
        <v>44504</v>
      </c>
      <c r="N2089" s="475">
        <v>44682</v>
      </c>
      <c r="O2089" s="475"/>
      <c r="P2089" s="475"/>
      <c r="Q2089" s="475"/>
      <c r="R2089" s="475"/>
      <c r="S2089" s="474" t="s">
        <v>1102</v>
      </c>
      <c r="T2089" s="474">
        <v>60</v>
      </c>
      <c r="U2089" s="474">
        <v>49201132</v>
      </c>
      <c r="V2089" s="474" t="s">
        <v>986</v>
      </c>
      <c r="W2089" s="476">
        <v>360</v>
      </c>
      <c r="X2089" s="402">
        <v>4992</v>
      </c>
      <c r="Y2089" s="491">
        <f t="shared" si="360"/>
        <v>1797120</v>
      </c>
      <c r="Z2089" s="478">
        <v>0.5</v>
      </c>
      <c r="AA2089" s="583">
        <f t="shared" si="359"/>
        <v>898560</v>
      </c>
      <c r="AB2089" s="480"/>
      <c r="AC2089" s="481">
        <v>0</v>
      </c>
      <c r="AD2089" s="490"/>
      <c r="AE2089" s="482"/>
      <c r="AF2089" s="493">
        <f t="shared" si="353"/>
        <v>898560</v>
      </c>
      <c r="AG2089" s="474" t="s">
        <v>1071</v>
      </c>
      <c r="AH2089" s="474"/>
      <c r="AI2089" s="474">
        <v>60</v>
      </c>
      <c r="AJ2089" s="474" t="s">
        <v>1342</v>
      </c>
      <c r="AK2089" s="474" t="s">
        <v>1085</v>
      </c>
      <c r="AL2089" s="494">
        <v>8110</v>
      </c>
      <c r="AM2089" s="474" t="s">
        <v>52</v>
      </c>
      <c r="AN2089" s="474" t="s">
        <v>1074</v>
      </c>
      <c r="AO2089" s="474"/>
      <c r="AP2089" s="482"/>
      <c r="AQ2089" s="482"/>
      <c r="AR2089" s="474"/>
      <c r="AS2089" s="436"/>
      <c r="AT2089" s="281" t="s">
        <v>1076</v>
      </c>
      <c r="AU2089" s="472"/>
    </row>
    <row r="2090" spans="1:55">
      <c r="A2090" s="278"/>
      <c r="B2090" s="279"/>
      <c r="C2090" s="279"/>
      <c r="D2090" s="394" t="s">
        <v>3678</v>
      </c>
      <c r="E2090" s="280"/>
      <c r="F2090" s="474"/>
      <c r="G2090" s="474">
        <v>2022</v>
      </c>
      <c r="H2090" s="474">
        <v>7</v>
      </c>
      <c r="I2090" s="485"/>
      <c r="J2090" s="475"/>
      <c r="K2090" s="474" t="s">
        <v>4062</v>
      </c>
      <c r="L2090" s="474" t="s">
        <v>3747</v>
      </c>
      <c r="M2090" s="475">
        <v>44529</v>
      </c>
      <c r="N2090" s="475">
        <v>44652</v>
      </c>
      <c r="O2090" s="475">
        <v>44713</v>
      </c>
      <c r="P2090" s="475"/>
      <c r="Q2090" s="475"/>
      <c r="R2090" s="475"/>
      <c r="S2090" s="474" t="s">
        <v>1102</v>
      </c>
      <c r="T2090" s="474">
        <v>60</v>
      </c>
      <c r="U2090" s="474">
        <v>49401140</v>
      </c>
      <c r="V2090" s="474" t="s">
        <v>973</v>
      </c>
      <c r="W2090" s="476">
        <v>400</v>
      </c>
      <c r="X2090" s="402">
        <v>3072</v>
      </c>
      <c r="Y2090" s="491">
        <f t="shared" si="360"/>
        <v>1228800</v>
      </c>
      <c r="Z2090" s="478">
        <v>0.52</v>
      </c>
      <c r="AA2090" s="583">
        <f t="shared" si="359"/>
        <v>638976</v>
      </c>
      <c r="AB2090" s="480"/>
      <c r="AC2090" s="481">
        <v>0</v>
      </c>
      <c r="AD2090" s="490"/>
      <c r="AE2090" s="482"/>
      <c r="AF2090" s="493">
        <f t="shared" si="353"/>
        <v>638976</v>
      </c>
      <c r="AG2090" s="474" t="s">
        <v>1071</v>
      </c>
      <c r="AH2090" s="474"/>
      <c r="AI2090" s="474">
        <v>60</v>
      </c>
      <c r="AJ2090" s="474" t="s">
        <v>3748</v>
      </c>
      <c r="AK2090" s="474" t="s">
        <v>1138</v>
      </c>
      <c r="AL2090" s="494" t="s">
        <v>3749</v>
      </c>
      <c r="AM2090" s="474" t="s">
        <v>52</v>
      </c>
      <c r="AN2090" s="474" t="s">
        <v>1074</v>
      </c>
      <c r="AO2090" s="474"/>
      <c r="AP2090" s="482"/>
      <c r="AQ2090" s="482" t="s">
        <v>37</v>
      </c>
      <c r="AR2090" s="474"/>
      <c r="AS2090" s="436" t="s">
        <v>1076</v>
      </c>
      <c r="AT2090" s="281" t="s">
        <v>1076</v>
      </c>
      <c r="AU2090" s="472"/>
    </row>
    <row r="2091" spans="1:55">
      <c r="A2091" s="278"/>
      <c r="B2091" s="279"/>
      <c r="C2091" s="279"/>
      <c r="D2091" s="394" t="s">
        <v>3678</v>
      </c>
      <c r="E2091" s="280"/>
      <c r="F2091" s="474"/>
      <c r="G2091" s="474">
        <v>2022</v>
      </c>
      <c r="H2091" s="474">
        <v>7</v>
      </c>
      <c r="I2091" s="485"/>
      <c r="J2091" s="475"/>
      <c r="K2091" s="474" t="s">
        <v>4063</v>
      </c>
      <c r="L2091" s="474" t="s">
        <v>3747</v>
      </c>
      <c r="M2091" s="475">
        <v>44529</v>
      </c>
      <c r="N2091" s="475">
        <v>44682</v>
      </c>
      <c r="O2091" s="475"/>
      <c r="P2091" s="475"/>
      <c r="Q2091" s="475"/>
      <c r="R2091" s="475"/>
      <c r="S2091" s="474" t="s">
        <v>1102</v>
      </c>
      <c r="T2091" s="474">
        <v>60</v>
      </c>
      <c r="U2091" s="474">
        <v>49401140</v>
      </c>
      <c r="V2091" s="474" t="s">
        <v>973</v>
      </c>
      <c r="W2091" s="476">
        <v>400</v>
      </c>
      <c r="X2091" s="402">
        <f>2304-1536</f>
        <v>768</v>
      </c>
      <c r="Y2091" s="491">
        <f t="shared" si="360"/>
        <v>307200</v>
      </c>
      <c r="Z2091" s="478">
        <v>0.52</v>
      </c>
      <c r="AA2091" s="583">
        <f t="shared" si="359"/>
        <v>159744</v>
      </c>
      <c r="AB2091" s="480"/>
      <c r="AC2091" s="481">
        <v>0</v>
      </c>
      <c r="AD2091" s="490"/>
      <c r="AE2091" s="482"/>
      <c r="AF2091" s="493">
        <f t="shared" si="353"/>
        <v>159744</v>
      </c>
      <c r="AG2091" s="474" t="s">
        <v>1071</v>
      </c>
      <c r="AH2091" s="474"/>
      <c r="AI2091" s="474">
        <v>60</v>
      </c>
      <c r="AJ2091" s="474" t="s">
        <v>3748</v>
      </c>
      <c r="AK2091" s="474" t="s">
        <v>1138</v>
      </c>
      <c r="AL2091" s="494" t="s">
        <v>3749</v>
      </c>
      <c r="AM2091" s="474" t="s">
        <v>52</v>
      </c>
      <c r="AN2091" s="474" t="s">
        <v>1074</v>
      </c>
      <c r="AO2091" s="474"/>
      <c r="AP2091" s="482"/>
      <c r="AQ2091" s="482" t="s">
        <v>37</v>
      </c>
      <c r="AR2091" s="474"/>
      <c r="AS2091" s="436" t="s">
        <v>1076</v>
      </c>
      <c r="AT2091" s="281" t="s">
        <v>1076</v>
      </c>
      <c r="AU2091" s="472"/>
      <c r="AV2091" s="262">
        <f t="shared" ref="AV2091:AV2122" si="361">U2091</f>
        <v>49401140</v>
      </c>
      <c r="AW2091" s="262" cm="1">
        <f t="array" ref="AW2091">SUM(MID(0&amp;AV2091,LARGE(INDEX(ISNUMBER(--MID(AV2091,ROW($1:$8),1))*ROW($1:$8),),ROW($1:$8))+1,1)*10^ROW($1:$8)/10)</f>
        <v>49401140</v>
      </c>
      <c r="AX2091" s="262" t="str">
        <f>VLOOKUP($AW2091,'Item Master Data'!$A:$F,3,FALSE)</f>
        <v>Q.PEAK DUO BLK ML G10.a+</v>
      </c>
      <c r="AY2091" s="262">
        <f>VLOOKUP($AW2091,'Item Master Data'!$A:$F,6,FALSE)</f>
        <v>400</v>
      </c>
      <c r="AZ2091" s="262">
        <f t="shared" ref="AZ2091:AZ2122" si="362">X2091/BA2091</f>
        <v>24</v>
      </c>
      <c r="BA2091" s="262">
        <f>VLOOKUP(AW2091,'Item Master Data'!$A:$G,7,FALSE)</f>
        <v>32</v>
      </c>
      <c r="BC2091" s="262">
        <f t="shared" ref="BC2091:BC2122" si="363">W2091-AY2091</f>
        <v>0</v>
      </c>
    </row>
    <row r="2092" spans="1:55">
      <c r="A2092" s="278"/>
      <c r="B2092" s="279"/>
      <c r="C2092" s="279"/>
      <c r="D2092" s="394" t="s">
        <v>3678</v>
      </c>
      <c r="E2092" s="280"/>
      <c r="F2092" s="474"/>
      <c r="G2092" s="474">
        <v>2022</v>
      </c>
      <c r="H2092" s="474">
        <v>7</v>
      </c>
      <c r="I2092" s="485"/>
      <c r="J2092" s="475"/>
      <c r="K2092" s="474" t="s">
        <v>4064</v>
      </c>
      <c r="L2092" s="474" t="s">
        <v>3747</v>
      </c>
      <c r="M2092" s="475">
        <v>44529</v>
      </c>
      <c r="N2092" s="475">
        <v>44713</v>
      </c>
      <c r="O2092" s="475"/>
      <c r="P2092" s="475"/>
      <c r="Q2092" s="475"/>
      <c r="R2092" s="475"/>
      <c r="S2092" s="474" t="s">
        <v>1102</v>
      </c>
      <c r="T2092" s="474">
        <v>60</v>
      </c>
      <c r="U2092" s="474">
        <v>49201132</v>
      </c>
      <c r="V2092" s="474" t="s">
        <v>986</v>
      </c>
      <c r="W2092" s="476">
        <v>360</v>
      </c>
      <c r="X2092" s="402">
        <v>2496</v>
      </c>
      <c r="Y2092" s="491">
        <f t="shared" si="360"/>
        <v>898560</v>
      </c>
      <c r="Z2092" s="478">
        <v>0.5</v>
      </c>
      <c r="AA2092" s="583">
        <f t="shared" si="359"/>
        <v>449280</v>
      </c>
      <c r="AB2092" s="480"/>
      <c r="AC2092" s="481">
        <v>0</v>
      </c>
      <c r="AD2092" s="490"/>
      <c r="AE2092" s="482"/>
      <c r="AF2092" s="493">
        <f t="shared" si="353"/>
        <v>449280</v>
      </c>
      <c r="AG2092" s="474" t="s">
        <v>1071</v>
      </c>
      <c r="AH2092" s="474"/>
      <c r="AI2092" s="474">
        <v>60</v>
      </c>
      <c r="AJ2092" s="474" t="s">
        <v>3748</v>
      </c>
      <c r="AK2092" s="474" t="s">
        <v>1138</v>
      </c>
      <c r="AL2092" s="494" t="s">
        <v>3749</v>
      </c>
      <c r="AM2092" s="474" t="s">
        <v>52</v>
      </c>
      <c r="AN2092" s="474" t="s">
        <v>1074</v>
      </c>
      <c r="AO2092" s="474"/>
      <c r="AP2092" s="482"/>
      <c r="AQ2092" s="482" t="s">
        <v>37</v>
      </c>
      <c r="AR2092" s="474"/>
      <c r="AS2092" s="436" t="s">
        <v>1076</v>
      </c>
      <c r="AT2092" s="281" t="s">
        <v>1076</v>
      </c>
      <c r="AU2092" s="472"/>
      <c r="AV2092" s="262">
        <f t="shared" si="361"/>
        <v>49201132</v>
      </c>
      <c r="AW2092" s="262" cm="1">
        <f t="array" ref="AW2092">SUM(MID(0&amp;AV2092,LARGE(INDEX(ISNUMBER(--MID(AV2092,ROW($1:$8),1))*ROW($1:$8),),ROW($1:$8))+1,1)*10^ROW($1:$8)/10)</f>
        <v>49201132</v>
      </c>
      <c r="AX2092" s="262" t="str">
        <f>VLOOKUP($AW2092,'Item Master Data'!$A:$F,3,FALSE)</f>
        <v>Q.PEAK DUO BLK G10+</v>
      </c>
      <c r="AY2092" s="262">
        <f>VLOOKUP($AW2092,'Item Master Data'!$A:$F,6,FALSE)</f>
        <v>360</v>
      </c>
      <c r="AZ2092" s="262">
        <f t="shared" si="362"/>
        <v>78</v>
      </c>
      <c r="BA2092" s="262">
        <f>VLOOKUP(AW2092,'Item Master Data'!$A:$G,7,FALSE)</f>
        <v>32</v>
      </c>
      <c r="BC2092" s="262">
        <f t="shared" si="363"/>
        <v>0</v>
      </c>
    </row>
    <row r="2093" spans="1:55">
      <c r="A2093" s="278"/>
      <c r="B2093" s="279"/>
      <c r="C2093" s="279"/>
      <c r="D2093" s="394" t="s">
        <v>3678</v>
      </c>
      <c r="E2093" s="280" t="s">
        <v>1283</v>
      </c>
      <c r="F2093" s="474"/>
      <c r="G2093" s="474">
        <v>2022</v>
      </c>
      <c r="H2093" s="474">
        <v>7</v>
      </c>
      <c r="I2093" s="485"/>
      <c r="J2093" s="475"/>
      <c r="K2093" s="474" t="s">
        <v>4065</v>
      </c>
      <c r="L2093" s="474" t="s">
        <v>3747</v>
      </c>
      <c r="M2093" s="475">
        <v>44613</v>
      </c>
      <c r="N2093" s="475">
        <v>44743</v>
      </c>
      <c r="O2093" s="475"/>
      <c r="P2093" s="475"/>
      <c r="Q2093" s="475"/>
      <c r="R2093" s="475"/>
      <c r="S2093" s="474" t="s">
        <v>1102</v>
      </c>
      <c r="T2093" s="474">
        <v>60</v>
      </c>
      <c r="U2093" s="474"/>
      <c r="V2093" s="474" t="s">
        <v>973</v>
      </c>
      <c r="W2093" s="476">
        <v>400</v>
      </c>
      <c r="X2093" s="402">
        <v>3840</v>
      </c>
      <c r="Y2093" s="491">
        <f t="shared" si="360"/>
        <v>1536000</v>
      </c>
      <c r="Z2093" s="478">
        <v>0.55000000000000004</v>
      </c>
      <c r="AA2093" s="479">
        <f t="shared" si="359"/>
        <v>844800.00000000012</v>
      </c>
      <c r="AB2093" s="480"/>
      <c r="AC2093" s="481"/>
      <c r="AD2093" s="490"/>
      <c r="AE2093" s="482"/>
      <c r="AF2093" s="493">
        <f t="shared" si="353"/>
        <v>844800.00000000012</v>
      </c>
      <c r="AG2093" s="474" t="s">
        <v>1071</v>
      </c>
      <c r="AH2093" s="474"/>
      <c r="AI2093" s="474">
        <v>60</v>
      </c>
      <c r="AJ2093" s="474" t="s">
        <v>3816</v>
      </c>
      <c r="AK2093" s="474" t="s">
        <v>1138</v>
      </c>
      <c r="AL2093" s="494">
        <v>11779</v>
      </c>
      <c r="AM2093" s="474" t="s">
        <v>52</v>
      </c>
      <c r="AN2093" s="474"/>
      <c r="AO2093" s="474"/>
      <c r="AP2093" s="482"/>
      <c r="AQ2093" s="482" t="s">
        <v>37</v>
      </c>
      <c r="AR2093" s="474"/>
      <c r="AS2093" s="436"/>
      <c r="AT2093" s="281"/>
      <c r="AU2093" s="472"/>
      <c r="AV2093" s="262">
        <f t="shared" si="361"/>
        <v>0</v>
      </c>
      <c r="AW2093" s="262" cm="1">
        <f t="array" ref="AW2093">SUM(MID(0&amp;AV2093,LARGE(INDEX(ISNUMBER(--MID(AV2093,ROW($1:$8),1))*ROW($1:$8),),ROW($1:$8))+1,1)*10^ROW($1:$8)/10)</f>
        <v>0</v>
      </c>
      <c r="AX2093" s="262" t="e">
        <f>VLOOKUP($AW2093,'Item Master Data'!$A:$F,3,FALSE)</f>
        <v>#N/A</v>
      </c>
      <c r="AY2093" s="262" t="e">
        <f>VLOOKUP($AW2093,'Item Master Data'!$A:$F,6,FALSE)</f>
        <v>#N/A</v>
      </c>
      <c r="AZ2093" s="262" t="e">
        <f t="shared" si="362"/>
        <v>#N/A</v>
      </c>
      <c r="BA2093" s="262" t="e">
        <f>VLOOKUP(AW2093,'Item Master Data'!$A:$G,7,FALSE)</f>
        <v>#N/A</v>
      </c>
      <c r="BC2093" s="262" t="e">
        <f t="shared" si="363"/>
        <v>#N/A</v>
      </c>
    </row>
    <row r="2094" spans="1:55">
      <c r="A2094" s="278"/>
      <c r="B2094" s="279"/>
      <c r="C2094" s="279"/>
      <c r="D2094" s="394" t="s">
        <v>3678</v>
      </c>
      <c r="E2094" s="280"/>
      <c r="F2094" s="474"/>
      <c r="G2094" s="474">
        <v>2022</v>
      </c>
      <c r="H2094" s="474">
        <v>7</v>
      </c>
      <c r="I2094" s="485"/>
      <c r="J2094" s="475"/>
      <c r="K2094" s="474" t="s">
        <v>4066</v>
      </c>
      <c r="L2094" s="474" t="s">
        <v>1366</v>
      </c>
      <c r="M2094" s="475">
        <v>44498</v>
      </c>
      <c r="N2094" s="475">
        <v>44713</v>
      </c>
      <c r="O2094" s="475"/>
      <c r="P2094" s="475"/>
      <c r="Q2094" s="475"/>
      <c r="R2094" s="475"/>
      <c r="S2094" s="474" t="s">
        <v>1102</v>
      </c>
      <c r="T2094" s="474">
        <v>60</v>
      </c>
      <c r="U2094" s="474">
        <v>49201132</v>
      </c>
      <c r="V2094" s="474" t="s">
        <v>986</v>
      </c>
      <c r="W2094" s="476">
        <v>360</v>
      </c>
      <c r="X2094" s="402">
        <f>7168-2496-1664</f>
        <v>3008</v>
      </c>
      <c r="Y2094" s="491">
        <f t="shared" si="360"/>
        <v>1082880</v>
      </c>
      <c r="Z2094" s="478">
        <v>0.53</v>
      </c>
      <c r="AA2094" s="583">
        <f t="shared" si="359"/>
        <v>573926.40000000002</v>
      </c>
      <c r="AB2094" s="480"/>
      <c r="AC2094" s="481">
        <v>0</v>
      </c>
      <c r="AD2094" s="490"/>
      <c r="AE2094" s="482"/>
      <c r="AF2094" s="493">
        <f t="shared" si="353"/>
        <v>573926.40000000002</v>
      </c>
      <c r="AG2094" s="474" t="s">
        <v>1071</v>
      </c>
      <c r="AH2094" s="474"/>
      <c r="AI2094" s="474">
        <v>60</v>
      </c>
      <c r="AJ2094" s="474" t="s">
        <v>1346</v>
      </c>
      <c r="AK2094" s="474" t="s">
        <v>1347</v>
      </c>
      <c r="AL2094" s="494">
        <v>18360</v>
      </c>
      <c r="AM2094" s="474" t="s">
        <v>52</v>
      </c>
      <c r="AN2094" s="474" t="s">
        <v>1074</v>
      </c>
      <c r="AO2094" s="474"/>
      <c r="AP2094" s="482"/>
      <c r="AQ2094" s="482" t="s">
        <v>37</v>
      </c>
      <c r="AR2094" s="474"/>
      <c r="AS2094" s="281"/>
      <c r="AT2094" s="436"/>
      <c r="AU2094" s="472"/>
      <c r="AV2094" s="262">
        <f t="shared" si="361"/>
        <v>49201132</v>
      </c>
      <c r="AW2094" s="262" cm="1">
        <f t="array" ref="AW2094">SUM(MID(0&amp;AV2094,LARGE(INDEX(ISNUMBER(--MID(AV2094,ROW($1:$8),1))*ROW($1:$8),),ROW($1:$8))+1,1)*10^ROW($1:$8)/10)</f>
        <v>49201132</v>
      </c>
      <c r="AX2094" s="262" t="str">
        <f>VLOOKUP($AW2094,'Item Master Data'!$A:$F,3,FALSE)</f>
        <v>Q.PEAK DUO BLK G10+</v>
      </c>
      <c r="AY2094" s="262">
        <f>VLOOKUP($AW2094,'Item Master Data'!$A:$F,6,FALSE)</f>
        <v>360</v>
      </c>
      <c r="AZ2094" s="262">
        <f t="shared" si="362"/>
        <v>94</v>
      </c>
      <c r="BA2094" s="262">
        <f>VLOOKUP(AW2094,'Item Master Data'!$A:$G,7,FALSE)</f>
        <v>32</v>
      </c>
      <c r="BC2094" s="262">
        <f t="shared" si="363"/>
        <v>0</v>
      </c>
    </row>
    <row r="2095" spans="1:55">
      <c r="A2095" s="278"/>
      <c r="B2095" s="279"/>
      <c r="C2095" s="279"/>
      <c r="D2095" s="394" t="s">
        <v>3678</v>
      </c>
      <c r="E2095" s="280"/>
      <c r="F2095" s="474"/>
      <c r="G2095" s="474">
        <v>2022</v>
      </c>
      <c r="H2095" s="474">
        <v>7</v>
      </c>
      <c r="I2095" s="485"/>
      <c r="J2095" s="475"/>
      <c r="K2095" s="474" t="s">
        <v>4067</v>
      </c>
      <c r="L2095" s="474" t="s">
        <v>1366</v>
      </c>
      <c r="M2095" s="475">
        <v>44498</v>
      </c>
      <c r="N2095" s="475">
        <v>44743</v>
      </c>
      <c r="O2095" s="475"/>
      <c r="P2095" s="475"/>
      <c r="Q2095" s="475"/>
      <c r="R2095" s="475"/>
      <c r="S2095" s="474" t="s">
        <v>1102</v>
      </c>
      <c r="T2095" s="474">
        <v>60</v>
      </c>
      <c r="U2095" s="474">
        <v>49201132</v>
      </c>
      <c r="V2095" s="474" t="s">
        <v>986</v>
      </c>
      <c r="W2095" s="476">
        <v>360</v>
      </c>
      <c r="X2095" s="402">
        <v>1792</v>
      </c>
      <c r="Y2095" s="491">
        <f t="shared" si="360"/>
        <v>645120</v>
      </c>
      <c r="Z2095" s="478">
        <v>0.53</v>
      </c>
      <c r="AA2095" s="479">
        <f t="shared" si="359"/>
        <v>341913.60000000003</v>
      </c>
      <c r="AB2095" s="480"/>
      <c r="AC2095" s="481">
        <v>0</v>
      </c>
      <c r="AD2095" s="490"/>
      <c r="AE2095" s="482"/>
      <c r="AF2095" s="493">
        <f t="shared" si="353"/>
        <v>341913.60000000003</v>
      </c>
      <c r="AG2095" s="474" t="s">
        <v>1071</v>
      </c>
      <c r="AH2095" s="474"/>
      <c r="AI2095" s="474">
        <v>60</v>
      </c>
      <c r="AJ2095" s="474" t="s">
        <v>1346</v>
      </c>
      <c r="AK2095" s="474" t="s">
        <v>1347</v>
      </c>
      <c r="AL2095" s="494">
        <v>18360</v>
      </c>
      <c r="AM2095" s="474" t="s">
        <v>52</v>
      </c>
      <c r="AN2095" s="474" t="s">
        <v>1074</v>
      </c>
      <c r="AO2095" s="474"/>
      <c r="AP2095" s="482"/>
      <c r="AQ2095" s="482" t="s">
        <v>37</v>
      </c>
      <c r="AR2095" s="474"/>
      <c r="AS2095" s="281"/>
      <c r="AT2095" s="436"/>
      <c r="AU2095" s="472"/>
      <c r="AV2095" s="262">
        <f t="shared" si="361"/>
        <v>49201132</v>
      </c>
      <c r="AW2095" s="262" cm="1">
        <f t="array" ref="AW2095">SUM(MID(0&amp;AV2095,LARGE(INDEX(ISNUMBER(--MID(AV2095,ROW($1:$8),1))*ROW($1:$8),),ROW($1:$8))+1,1)*10^ROW($1:$8)/10)</f>
        <v>49201132</v>
      </c>
      <c r="AX2095" s="262" t="str">
        <f>VLOOKUP($AW2095,'Item Master Data'!$A:$F,3,FALSE)</f>
        <v>Q.PEAK DUO BLK G10+</v>
      </c>
      <c r="AY2095" s="262">
        <f>VLOOKUP($AW2095,'Item Master Data'!$A:$F,6,FALSE)</f>
        <v>360</v>
      </c>
      <c r="AZ2095" s="262">
        <f t="shared" si="362"/>
        <v>56</v>
      </c>
      <c r="BA2095" s="262">
        <f>VLOOKUP(AW2095,'Item Master Data'!$A:$G,7,FALSE)</f>
        <v>32</v>
      </c>
      <c r="BC2095" s="262">
        <f t="shared" si="363"/>
        <v>0</v>
      </c>
    </row>
    <row r="2096" spans="1:55">
      <c r="A2096" s="278"/>
      <c r="B2096" s="279">
        <v>44915</v>
      </c>
      <c r="C2096" s="279">
        <v>44575</v>
      </c>
      <c r="D2096" s="394" t="s">
        <v>3678</v>
      </c>
      <c r="E2096" s="280" t="s">
        <v>4068</v>
      </c>
      <c r="F2096" s="474"/>
      <c r="G2096" s="474">
        <v>2022</v>
      </c>
      <c r="H2096" s="474">
        <v>7</v>
      </c>
      <c r="I2096" s="485"/>
      <c r="J2096" s="475"/>
      <c r="K2096" s="474" t="s">
        <v>4069</v>
      </c>
      <c r="L2096" s="474" t="s">
        <v>1373</v>
      </c>
      <c r="M2096" s="475">
        <v>44550</v>
      </c>
      <c r="N2096" s="475">
        <v>44713</v>
      </c>
      <c r="O2096" s="475">
        <v>44743</v>
      </c>
      <c r="P2096" s="475"/>
      <c r="Q2096" s="475"/>
      <c r="R2096" s="475"/>
      <c r="S2096" s="474" t="s">
        <v>1102</v>
      </c>
      <c r="T2096" s="474">
        <v>60</v>
      </c>
      <c r="U2096" s="474"/>
      <c r="V2096" s="474" t="s">
        <v>985</v>
      </c>
      <c r="W2096" s="476">
        <v>400</v>
      </c>
      <c r="X2096" s="402">
        <v>2304</v>
      </c>
      <c r="Y2096" s="491">
        <f t="shared" si="360"/>
        <v>921600</v>
      </c>
      <c r="Z2096" s="478">
        <v>0.47499999999999998</v>
      </c>
      <c r="AA2096" s="479">
        <f t="shared" si="359"/>
        <v>437760</v>
      </c>
      <c r="AB2096" s="480"/>
      <c r="AC2096" s="481">
        <f t="shared" ref="AC2096:AC2106" si="364">AB2096*Y2096</f>
        <v>0</v>
      </c>
      <c r="AD2096" s="490"/>
      <c r="AE2096" s="482"/>
      <c r="AF2096" s="493">
        <f t="shared" si="353"/>
        <v>437760</v>
      </c>
      <c r="AG2096" s="474" t="s">
        <v>1071</v>
      </c>
      <c r="AH2096" s="474">
        <v>0</v>
      </c>
      <c r="AI2096" s="474">
        <v>60</v>
      </c>
      <c r="AJ2096" s="474" t="s">
        <v>1374</v>
      </c>
      <c r="AK2096" s="474" t="s">
        <v>1375</v>
      </c>
      <c r="AL2096" s="494" t="s">
        <v>3760</v>
      </c>
      <c r="AM2096" s="474" t="s">
        <v>52</v>
      </c>
      <c r="AN2096" s="474" t="s">
        <v>1074</v>
      </c>
      <c r="AO2096" s="474"/>
      <c r="AP2096" s="482"/>
      <c r="AQ2096" s="482" t="s">
        <v>1086</v>
      </c>
      <c r="AR2096" s="474"/>
      <c r="AS2096" s="281" t="s">
        <v>1087</v>
      </c>
      <c r="AT2096" s="436" t="s">
        <v>1076</v>
      </c>
      <c r="AU2096" s="472"/>
      <c r="AV2096" s="262">
        <f t="shared" si="361"/>
        <v>0</v>
      </c>
      <c r="AW2096" s="262" cm="1">
        <f t="array" ref="AW2096">SUM(MID(0&amp;AV2096,LARGE(INDEX(ISNUMBER(--MID(AV2096,ROW($1:$8),1))*ROW($1:$8),),ROW($1:$8))+1,1)*10^ROW($1:$8)/10)</f>
        <v>0</v>
      </c>
      <c r="AX2096" s="262" t="e">
        <f>VLOOKUP($AW2096,'Item Master Data'!$A:$F,3,FALSE)</f>
        <v>#N/A</v>
      </c>
      <c r="AY2096" s="262" t="e">
        <f>VLOOKUP($AW2096,'Item Master Data'!$A:$F,6,FALSE)</f>
        <v>#N/A</v>
      </c>
      <c r="AZ2096" s="262" t="e">
        <f t="shared" si="362"/>
        <v>#N/A</v>
      </c>
      <c r="BA2096" s="262" t="e">
        <f>VLOOKUP(AW2096,'Item Master Data'!$A:$G,7,FALSE)</f>
        <v>#N/A</v>
      </c>
      <c r="BC2096" s="262" t="e">
        <f t="shared" si="363"/>
        <v>#N/A</v>
      </c>
    </row>
    <row r="2097" spans="1:55">
      <c r="A2097" s="278"/>
      <c r="B2097" s="279"/>
      <c r="C2097" s="279"/>
      <c r="D2097" s="394" t="s">
        <v>3678</v>
      </c>
      <c r="E2097" s="280" t="s">
        <v>5545</v>
      </c>
      <c r="F2097" s="474"/>
      <c r="G2097" s="474">
        <v>2022</v>
      </c>
      <c r="H2097" s="474">
        <v>7</v>
      </c>
      <c r="I2097" s="485"/>
      <c r="J2097" s="475"/>
      <c r="K2097" s="524" t="s">
        <v>4070</v>
      </c>
      <c r="L2097" s="524" t="s">
        <v>1373</v>
      </c>
      <c r="M2097" s="475">
        <v>44517</v>
      </c>
      <c r="N2097" s="475">
        <v>44652</v>
      </c>
      <c r="O2097" s="475"/>
      <c r="P2097" s="475"/>
      <c r="Q2097" s="475"/>
      <c r="R2097" s="475"/>
      <c r="S2097" s="474" t="s">
        <v>1102</v>
      </c>
      <c r="T2097" s="474">
        <v>60</v>
      </c>
      <c r="U2097" s="474">
        <v>49201132</v>
      </c>
      <c r="V2097" s="474" t="s">
        <v>986</v>
      </c>
      <c r="W2097" s="476">
        <v>360</v>
      </c>
      <c r="X2097" s="402">
        <f>3840-768-1536-768</f>
        <v>768</v>
      </c>
      <c r="Y2097" s="491">
        <f>X2097*W2097</f>
        <v>276480</v>
      </c>
      <c r="Z2097" s="478">
        <v>0.53</v>
      </c>
      <c r="AA2097" s="583">
        <f t="shared" si="359"/>
        <v>146534.39999999999</v>
      </c>
      <c r="AB2097" s="480"/>
      <c r="AC2097" s="481">
        <f t="shared" si="364"/>
        <v>0</v>
      </c>
      <c r="AD2097" s="490"/>
      <c r="AE2097" s="482"/>
      <c r="AF2097" s="493">
        <f t="shared" si="353"/>
        <v>146534.39999999999</v>
      </c>
      <c r="AG2097" s="474" t="s">
        <v>1071</v>
      </c>
      <c r="AH2097" s="474">
        <v>0</v>
      </c>
      <c r="AI2097" s="474">
        <v>60</v>
      </c>
      <c r="AJ2097" s="474" t="s">
        <v>1374</v>
      </c>
      <c r="AK2097" s="474" t="s">
        <v>1375</v>
      </c>
      <c r="AL2097" s="494" t="s">
        <v>3760</v>
      </c>
      <c r="AM2097" s="474" t="s">
        <v>52</v>
      </c>
      <c r="AN2097" s="474" t="s">
        <v>1074</v>
      </c>
      <c r="AO2097" s="474"/>
      <c r="AP2097" s="482"/>
      <c r="AQ2097" s="482" t="s">
        <v>1086</v>
      </c>
      <c r="AR2097" s="474"/>
      <c r="AS2097" s="281" t="s">
        <v>1087</v>
      </c>
      <c r="AT2097" s="436" t="s">
        <v>1076</v>
      </c>
      <c r="AU2097" s="472"/>
      <c r="AV2097" s="262">
        <f t="shared" si="361"/>
        <v>49201132</v>
      </c>
      <c r="AW2097" s="262" cm="1">
        <f t="array" ref="AW2097">SUM(MID(0&amp;AV2097,LARGE(INDEX(ISNUMBER(--MID(AV2097,ROW($1:$8),1))*ROW($1:$8),),ROW($1:$8))+1,1)*10^ROW($1:$8)/10)</f>
        <v>49201132</v>
      </c>
      <c r="AX2097" s="262" t="str">
        <f>VLOOKUP($AW2097,'Item Master Data'!$A:$F,3,FALSE)</f>
        <v>Q.PEAK DUO BLK G10+</v>
      </c>
      <c r="AY2097" s="262">
        <f>VLOOKUP($AW2097,'Item Master Data'!$A:$F,6,FALSE)</f>
        <v>360</v>
      </c>
      <c r="AZ2097" s="262">
        <f t="shared" si="362"/>
        <v>24</v>
      </c>
      <c r="BA2097" s="262">
        <f>VLOOKUP(AW2097,'Item Master Data'!$A:$G,7,FALSE)</f>
        <v>32</v>
      </c>
      <c r="BC2097" s="262">
        <f t="shared" si="363"/>
        <v>0</v>
      </c>
    </row>
    <row r="2098" spans="1:55">
      <c r="A2098" s="278"/>
      <c r="B2098" s="279"/>
      <c r="C2098" s="279"/>
      <c r="D2098" s="394" t="s">
        <v>3678</v>
      </c>
      <c r="E2098" s="280" t="s">
        <v>3881</v>
      </c>
      <c r="F2098" s="474"/>
      <c r="G2098" s="474">
        <v>2022</v>
      </c>
      <c r="H2098" s="474">
        <v>7</v>
      </c>
      <c r="I2098" s="485"/>
      <c r="J2098" s="475"/>
      <c r="K2098" s="474" t="s">
        <v>4071</v>
      </c>
      <c r="L2098" s="474" t="s">
        <v>1373</v>
      </c>
      <c r="M2098" s="475">
        <v>44519</v>
      </c>
      <c r="N2098" s="475">
        <v>44652</v>
      </c>
      <c r="O2098" s="475">
        <v>44713</v>
      </c>
      <c r="P2098" s="475"/>
      <c r="Q2098" s="475"/>
      <c r="R2098" s="475"/>
      <c r="S2098" s="474" t="s">
        <v>1102</v>
      </c>
      <c r="T2098" s="474">
        <v>60</v>
      </c>
      <c r="U2098" s="474">
        <v>49401140</v>
      </c>
      <c r="V2098" s="474" t="s">
        <v>985</v>
      </c>
      <c r="W2098" s="476">
        <v>400</v>
      </c>
      <c r="X2098" s="402">
        <v>1536</v>
      </c>
      <c r="Y2098" s="491">
        <f>X2098*W2098</f>
        <v>614400</v>
      </c>
      <c r="Z2098" s="478">
        <v>0.47499999999999998</v>
      </c>
      <c r="AA2098" s="583">
        <f t="shared" si="359"/>
        <v>291840</v>
      </c>
      <c r="AB2098" s="480"/>
      <c r="AC2098" s="481">
        <f t="shared" si="364"/>
        <v>0</v>
      </c>
      <c r="AD2098" s="490"/>
      <c r="AE2098" s="482"/>
      <c r="AF2098" s="493">
        <f t="shared" si="353"/>
        <v>291840</v>
      </c>
      <c r="AG2098" s="474" t="s">
        <v>1071</v>
      </c>
      <c r="AH2098" s="474">
        <v>0</v>
      </c>
      <c r="AI2098" s="474">
        <v>60</v>
      </c>
      <c r="AJ2098" s="474" t="s">
        <v>1374</v>
      </c>
      <c r="AK2098" s="474" t="s">
        <v>1375</v>
      </c>
      <c r="AL2098" s="494" t="s">
        <v>3760</v>
      </c>
      <c r="AM2098" s="474" t="s">
        <v>52</v>
      </c>
      <c r="AN2098" s="474" t="s">
        <v>1074</v>
      </c>
      <c r="AO2098" s="474"/>
      <c r="AP2098" s="482"/>
      <c r="AQ2098" s="482" t="s">
        <v>1086</v>
      </c>
      <c r="AR2098" s="474" t="s">
        <v>1248</v>
      </c>
      <c r="AS2098" s="281" t="s">
        <v>1087</v>
      </c>
      <c r="AT2098" s="436" t="s">
        <v>1076</v>
      </c>
      <c r="AU2098" s="472">
        <v>0.47499999999999998</v>
      </c>
      <c r="AV2098" s="262">
        <f t="shared" si="361"/>
        <v>49401140</v>
      </c>
      <c r="AW2098" s="262" cm="1">
        <f t="array" ref="AW2098">SUM(MID(0&amp;AV2098,LARGE(INDEX(ISNUMBER(--MID(AV2098,ROW($1:$8),1))*ROW($1:$8),),ROW($1:$8))+1,1)*10^ROW($1:$8)/10)</f>
        <v>49401140</v>
      </c>
      <c r="AX2098" s="262" t="str">
        <f>VLOOKUP($AW2098,'Item Master Data'!$A:$F,3,FALSE)</f>
        <v>Q.PEAK DUO BLK ML G10.a+</v>
      </c>
      <c r="AY2098" s="262">
        <f>VLOOKUP($AW2098,'Item Master Data'!$A:$F,6,FALSE)</f>
        <v>400</v>
      </c>
      <c r="AZ2098" s="262">
        <f t="shared" si="362"/>
        <v>48</v>
      </c>
      <c r="BA2098" s="262">
        <f>VLOOKUP(AW2098,'Item Master Data'!$A:$G,7,FALSE)</f>
        <v>32</v>
      </c>
      <c r="BC2098" s="262">
        <f t="shared" si="363"/>
        <v>0</v>
      </c>
    </row>
    <row r="2099" spans="1:55">
      <c r="A2099" s="278"/>
      <c r="B2099" s="279"/>
      <c r="C2099" s="279"/>
      <c r="D2099" s="394" t="s">
        <v>3678</v>
      </c>
      <c r="E2099" s="288" t="s">
        <v>4001</v>
      </c>
      <c r="F2099" s="474"/>
      <c r="G2099" s="474">
        <v>2022</v>
      </c>
      <c r="H2099" s="474">
        <v>7</v>
      </c>
      <c r="I2099" s="474"/>
      <c r="J2099" s="475"/>
      <c r="K2099" s="474" t="s">
        <v>4002</v>
      </c>
      <c r="L2099" s="474" t="s">
        <v>3762</v>
      </c>
      <c r="M2099" s="475"/>
      <c r="N2099" s="475" t="s">
        <v>1632</v>
      </c>
      <c r="O2099" s="475"/>
      <c r="P2099" s="475"/>
      <c r="Q2099" s="475"/>
      <c r="R2099" s="475"/>
      <c r="S2099" s="474" t="s">
        <v>1102</v>
      </c>
      <c r="T2099" s="474">
        <v>60</v>
      </c>
      <c r="U2099" s="474"/>
      <c r="V2099" s="474" t="s">
        <v>986</v>
      </c>
      <c r="W2099" s="476">
        <v>360</v>
      </c>
      <c r="X2099" s="402">
        <f>14336+4992-10816</f>
        <v>8512</v>
      </c>
      <c r="Y2099" s="491">
        <f>X2099*W2099</f>
        <v>3064320</v>
      </c>
      <c r="Z2099" s="478">
        <v>0.47499999999999998</v>
      </c>
      <c r="AA2099" s="479">
        <f t="shared" si="359"/>
        <v>1455552</v>
      </c>
      <c r="AB2099" s="480"/>
      <c r="AC2099" s="481">
        <f t="shared" si="364"/>
        <v>0</v>
      </c>
      <c r="AD2099" s="490"/>
      <c r="AE2099" s="482"/>
      <c r="AF2099" s="493">
        <f t="shared" si="353"/>
        <v>1455552</v>
      </c>
      <c r="AG2099" s="474" t="s">
        <v>47</v>
      </c>
      <c r="AH2099" s="474">
        <v>0</v>
      </c>
      <c r="AI2099" s="474">
        <v>60</v>
      </c>
      <c r="AJ2099" s="474" t="s">
        <v>1109</v>
      </c>
      <c r="AK2099" s="474" t="s">
        <v>1109</v>
      </c>
      <c r="AL2099" s="474" t="s">
        <v>1109</v>
      </c>
      <c r="AM2099" s="474" t="s">
        <v>52</v>
      </c>
      <c r="AN2099" s="474"/>
      <c r="AO2099" s="474"/>
      <c r="AP2099" s="482"/>
      <c r="AQ2099" s="482" t="s">
        <v>37</v>
      </c>
      <c r="AR2099" s="474"/>
      <c r="AS2099" s="281" t="s">
        <v>3763</v>
      </c>
      <c r="AT2099" s="436" t="s">
        <v>1076</v>
      </c>
      <c r="AU2099" s="472"/>
      <c r="AV2099" s="262">
        <f t="shared" si="361"/>
        <v>0</v>
      </c>
      <c r="AW2099" s="262" cm="1">
        <f t="array" ref="AW2099">SUM(MID(0&amp;AV2099,LARGE(INDEX(ISNUMBER(--MID(AV2099,ROW($1:$8),1))*ROW($1:$8),),ROW($1:$8))+1,1)*10^ROW($1:$8)/10)</f>
        <v>0</v>
      </c>
      <c r="AX2099" s="262" t="e">
        <f>VLOOKUP($AW2099,'Item Master Data'!$A:$F,3,FALSE)</f>
        <v>#N/A</v>
      </c>
      <c r="AY2099" s="262" t="e">
        <f>VLOOKUP($AW2099,'Item Master Data'!$A:$F,6,FALSE)</f>
        <v>#N/A</v>
      </c>
      <c r="AZ2099" s="262" t="e">
        <f t="shared" si="362"/>
        <v>#N/A</v>
      </c>
      <c r="BA2099" s="262" t="e">
        <f>VLOOKUP(AW2099,'Item Master Data'!$A:$G,7,FALSE)</f>
        <v>#N/A</v>
      </c>
      <c r="BC2099" s="262" t="e">
        <f t="shared" si="363"/>
        <v>#N/A</v>
      </c>
    </row>
    <row r="2100" spans="1:55">
      <c r="A2100" s="278"/>
      <c r="B2100" s="279"/>
      <c r="C2100" s="279"/>
      <c r="D2100" s="394" t="s">
        <v>3678</v>
      </c>
      <c r="E2100" s="288" t="s">
        <v>4072</v>
      </c>
      <c r="F2100" s="474"/>
      <c r="G2100" s="474">
        <v>2022</v>
      </c>
      <c r="H2100" s="474">
        <v>7</v>
      </c>
      <c r="I2100" s="474"/>
      <c r="J2100" s="475"/>
      <c r="K2100" s="474" t="s">
        <v>4073</v>
      </c>
      <c r="L2100" s="474" t="s">
        <v>3762</v>
      </c>
      <c r="M2100" s="475"/>
      <c r="N2100" s="475" t="s">
        <v>1633</v>
      </c>
      <c r="O2100" s="475"/>
      <c r="P2100" s="475"/>
      <c r="Q2100" s="475"/>
      <c r="R2100" s="475"/>
      <c r="S2100" s="474" t="s">
        <v>1102</v>
      </c>
      <c r="T2100" s="474">
        <v>60</v>
      </c>
      <c r="U2100" s="474"/>
      <c r="V2100" s="474" t="s">
        <v>986</v>
      </c>
      <c r="W2100" s="476">
        <v>360</v>
      </c>
      <c r="X2100" s="402">
        <v>12544</v>
      </c>
      <c r="Y2100" s="491">
        <f>X2100*W2100</f>
        <v>4515840</v>
      </c>
      <c r="Z2100" s="478">
        <v>0.47499999999999998</v>
      </c>
      <c r="AA2100" s="479">
        <f t="shared" si="359"/>
        <v>2145024</v>
      </c>
      <c r="AB2100" s="480"/>
      <c r="AC2100" s="481">
        <f t="shared" si="364"/>
        <v>0</v>
      </c>
      <c r="AD2100" s="490"/>
      <c r="AE2100" s="482"/>
      <c r="AF2100" s="493">
        <f t="shared" si="353"/>
        <v>2145024</v>
      </c>
      <c r="AG2100" s="474" t="s">
        <v>47</v>
      </c>
      <c r="AH2100" s="474">
        <v>0</v>
      </c>
      <c r="AI2100" s="474">
        <v>60</v>
      </c>
      <c r="AJ2100" s="474" t="s">
        <v>1109</v>
      </c>
      <c r="AK2100" s="474" t="s">
        <v>1109</v>
      </c>
      <c r="AL2100" s="474" t="s">
        <v>1109</v>
      </c>
      <c r="AM2100" s="474" t="s">
        <v>52</v>
      </c>
      <c r="AN2100" s="474"/>
      <c r="AO2100" s="474"/>
      <c r="AP2100" s="482"/>
      <c r="AQ2100" s="482" t="s">
        <v>37</v>
      </c>
      <c r="AR2100" s="474"/>
      <c r="AS2100" s="281" t="s">
        <v>3763</v>
      </c>
      <c r="AT2100" s="436" t="s">
        <v>1076</v>
      </c>
      <c r="AU2100" s="472"/>
      <c r="AV2100" s="262">
        <f t="shared" si="361"/>
        <v>0</v>
      </c>
      <c r="AW2100" s="262" cm="1">
        <f t="array" ref="AW2100">SUM(MID(0&amp;AV2100,LARGE(INDEX(ISNUMBER(--MID(AV2100,ROW($1:$8),1))*ROW($1:$8),),ROW($1:$8))+1,1)*10^ROW($1:$8)/10)</f>
        <v>0</v>
      </c>
      <c r="AX2100" s="262" t="e">
        <f>VLOOKUP($AW2100,'Item Master Data'!$A:$F,3,FALSE)</f>
        <v>#N/A</v>
      </c>
      <c r="AY2100" s="262" t="e">
        <f>VLOOKUP($AW2100,'Item Master Data'!$A:$F,6,FALSE)</f>
        <v>#N/A</v>
      </c>
      <c r="AZ2100" s="262" t="e">
        <f t="shared" si="362"/>
        <v>#N/A</v>
      </c>
      <c r="BA2100" s="262" t="e">
        <f>VLOOKUP(AW2100,'Item Master Data'!$A:$G,7,FALSE)</f>
        <v>#N/A</v>
      </c>
      <c r="BC2100" s="262" t="e">
        <f t="shared" si="363"/>
        <v>#N/A</v>
      </c>
    </row>
    <row r="2101" spans="1:55">
      <c r="A2101" s="278"/>
      <c r="B2101" s="279"/>
      <c r="C2101" s="279"/>
      <c r="D2101" s="394" t="s">
        <v>3678</v>
      </c>
      <c r="E2101" s="288" t="s">
        <v>4039</v>
      </c>
      <c r="F2101" s="474"/>
      <c r="G2101" s="474">
        <v>2022</v>
      </c>
      <c r="H2101" s="474">
        <v>7</v>
      </c>
      <c r="I2101" s="474"/>
      <c r="J2101" s="475"/>
      <c r="K2101" s="474" t="s">
        <v>4040</v>
      </c>
      <c r="L2101" s="474" t="s">
        <v>3762</v>
      </c>
      <c r="M2101" s="475"/>
      <c r="N2101" s="475" t="s">
        <v>1637</v>
      </c>
      <c r="O2101" s="475"/>
      <c r="P2101" s="475"/>
      <c r="Q2101" s="475"/>
      <c r="R2101" s="475"/>
      <c r="S2101" s="474" t="s">
        <v>1102</v>
      </c>
      <c r="T2101" s="474">
        <v>60</v>
      </c>
      <c r="U2101" s="474"/>
      <c r="V2101" s="474" t="s">
        <v>973</v>
      </c>
      <c r="W2101" s="476">
        <v>400</v>
      </c>
      <c r="X2101" s="402">
        <f>10752+896</f>
        <v>11648</v>
      </c>
      <c r="Y2101" s="491">
        <f>X2101*W2101</f>
        <v>4659200</v>
      </c>
      <c r="Z2101" s="478">
        <v>0.49</v>
      </c>
      <c r="AA2101" s="479">
        <f t="shared" si="359"/>
        <v>2283008</v>
      </c>
      <c r="AB2101" s="480"/>
      <c r="AC2101" s="481">
        <f t="shared" si="364"/>
        <v>0</v>
      </c>
      <c r="AD2101" s="490"/>
      <c r="AE2101" s="482"/>
      <c r="AF2101" s="493">
        <f t="shared" si="353"/>
        <v>2283008</v>
      </c>
      <c r="AG2101" s="474" t="s">
        <v>47</v>
      </c>
      <c r="AH2101" s="474">
        <v>0</v>
      </c>
      <c r="AI2101" s="474">
        <v>60</v>
      </c>
      <c r="AJ2101" s="474" t="s">
        <v>1109</v>
      </c>
      <c r="AK2101" s="474" t="s">
        <v>1109</v>
      </c>
      <c r="AL2101" s="474" t="s">
        <v>1109</v>
      </c>
      <c r="AM2101" s="474" t="s">
        <v>52</v>
      </c>
      <c r="AN2101" s="474"/>
      <c r="AO2101" s="474"/>
      <c r="AP2101" s="482"/>
      <c r="AQ2101" s="482" t="s">
        <v>37</v>
      </c>
      <c r="AR2101" s="474"/>
      <c r="AS2101" s="281" t="s">
        <v>3763</v>
      </c>
      <c r="AT2101" s="436" t="s">
        <v>1076</v>
      </c>
      <c r="AU2101" s="472"/>
      <c r="AV2101" s="262">
        <f t="shared" si="361"/>
        <v>0</v>
      </c>
      <c r="AW2101" s="262" cm="1">
        <f t="array" ref="AW2101">SUM(MID(0&amp;AV2101,LARGE(INDEX(ISNUMBER(--MID(AV2101,ROW($1:$8),1))*ROW($1:$8),),ROW($1:$8))+1,1)*10^ROW($1:$8)/10)</f>
        <v>0</v>
      </c>
      <c r="AX2101" s="262" t="e">
        <f>VLOOKUP($AW2101,'Item Master Data'!$A:$F,3,FALSE)</f>
        <v>#N/A</v>
      </c>
      <c r="AY2101" s="262" t="e">
        <f>VLOOKUP($AW2101,'Item Master Data'!$A:$F,6,FALSE)</f>
        <v>#N/A</v>
      </c>
      <c r="AZ2101" s="262" t="e">
        <f t="shared" si="362"/>
        <v>#N/A</v>
      </c>
      <c r="BA2101" s="262" t="e">
        <f>VLOOKUP(AW2101,'Item Master Data'!$A:$G,7,FALSE)</f>
        <v>#N/A</v>
      </c>
      <c r="BC2101" s="262" t="e">
        <f t="shared" si="363"/>
        <v>#N/A</v>
      </c>
    </row>
    <row r="2102" spans="1:55">
      <c r="A2102" s="278"/>
      <c r="B2102" s="279"/>
      <c r="C2102" s="279"/>
      <c r="D2102" s="394" t="s">
        <v>3678</v>
      </c>
      <c r="E2102" s="280" t="s">
        <v>4042</v>
      </c>
      <c r="F2102" s="474" t="s">
        <v>1147</v>
      </c>
      <c r="G2102" s="474">
        <v>2022</v>
      </c>
      <c r="H2102" s="474">
        <v>7</v>
      </c>
      <c r="I2102" s="485" t="s">
        <v>1493</v>
      </c>
      <c r="J2102" s="475"/>
      <c r="K2102" s="474" t="s">
        <v>4043</v>
      </c>
      <c r="L2102" s="474" t="s">
        <v>4015</v>
      </c>
      <c r="M2102" s="475">
        <v>44489</v>
      </c>
      <c r="N2102" s="475">
        <v>44262</v>
      </c>
      <c r="O2102" s="475"/>
      <c r="P2102" s="475"/>
      <c r="Q2102" s="475"/>
      <c r="R2102" s="475"/>
      <c r="S2102" s="474" t="s">
        <v>1102</v>
      </c>
      <c r="T2102" s="474">
        <v>60</v>
      </c>
      <c r="U2102" s="474">
        <v>49201132</v>
      </c>
      <c r="V2102" s="474" t="s">
        <v>986</v>
      </c>
      <c r="W2102" s="476">
        <v>360</v>
      </c>
      <c r="X2102" s="402">
        <f>8448-832</f>
        <v>7616</v>
      </c>
      <c r="Y2102" s="491">
        <f>W2102*X2102</f>
        <v>2741760</v>
      </c>
      <c r="Z2102" s="478">
        <v>0.5</v>
      </c>
      <c r="AA2102" s="479">
        <f t="shared" si="359"/>
        <v>1370880</v>
      </c>
      <c r="AB2102" s="480"/>
      <c r="AC2102" s="481">
        <f t="shared" si="364"/>
        <v>0</v>
      </c>
      <c r="AD2102" s="490"/>
      <c r="AE2102" s="482"/>
      <c r="AF2102" s="493">
        <f t="shared" si="353"/>
        <v>1370880</v>
      </c>
      <c r="AG2102" s="474" t="s">
        <v>47</v>
      </c>
      <c r="AH2102" s="474">
        <v>100</v>
      </c>
      <c r="AI2102" s="474">
        <v>0</v>
      </c>
      <c r="AJ2102" s="474" t="s">
        <v>3793</v>
      </c>
      <c r="AK2102" s="474" t="s">
        <v>1085</v>
      </c>
      <c r="AL2102" s="494" t="s">
        <v>4016</v>
      </c>
      <c r="AM2102" s="474" t="s">
        <v>52</v>
      </c>
      <c r="AN2102" s="474" t="s">
        <v>1074</v>
      </c>
      <c r="AO2102" s="474"/>
      <c r="AP2102" s="482"/>
      <c r="AQ2102" s="482" t="s">
        <v>1086</v>
      </c>
      <c r="AR2102" s="474"/>
      <c r="AS2102" s="281" t="s">
        <v>1087</v>
      </c>
      <c r="AT2102" s="436" t="s">
        <v>1076</v>
      </c>
      <c r="AU2102" s="472"/>
      <c r="AV2102" s="262">
        <f t="shared" si="361"/>
        <v>49201132</v>
      </c>
      <c r="AW2102" s="262" cm="1">
        <f t="array" ref="AW2102">SUM(MID(0&amp;AV2102,LARGE(INDEX(ISNUMBER(--MID(AV2102,ROW($1:$8),1))*ROW($1:$8),),ROW($1:$8))+1,1)*10^ROW($1:$8)/10)</f>
        <v>49201132</v>
      </c>
      <c r="AX2102" s="262" t="str">
        <f>VLOOKUP($AW2102,'Item Master Data'!$A:$F,3,FALSE)</f>
        <v>Q.PEAK DUO BLK G10+</v>
      </c>
      <c r="AY2102" s="262">
        <f>VLOOKUP($AW2102,'Item Master Data'!$A:$F,6,FALSE)</f>
        <v>360</v>
      </c>
      <c r="AZ2102" s="262">
        <f t="shared" si="362"/>
        <v>238</v>
      </c>
      <c r="BA2102" s="262">
        <f>VLOOKUP(AW2102,'Item Master Data'!$A:$G,7,FALSE)</f>
        <v>32</v>
      </c>
      <c r="BC2102" s="262">
        <f t="shared" si="363"/>
        <v>0</v>
      </c>
    </row>
    <row r="2103" spans="1:55">
      <c r="A2103" s="278"/>
      <c r="B2103" s="279"/>
      <c r="C2103" s="279"/>
      <c r="D2103" s="394" t="s">
        <v>3678</v>
      </c>
      <c r="E2103" s="280"/>
      <c r="F2103" s="474"/>
      <c r="G2103" s="474">
        <v>2022</v>
      </c>
      <c r="H2103" s="474">
        <v>7</v>
      </c>
      <c r="I2103" s="485" t="s">
        <v>1493</v>
      </c>
      <c r="J2103" s="475"/>
      <c r="K2103" s="474" t="s">
        <v>4074</v>
      </c>
      <c r="L2103" s="474" t="s">
        <v>4015</v>
      </c>
      <c r="M2103" s="475">
        <v>44539</v>
      </c>
      <c r="N2103" s="475">
        <v>44538</v>
      </c>
      <c r="O2103" s="475"/>
      <c r="P2103" s="475"/>
      <c r="Q2103" s="475"/>
      <c r="R2103" s="475"/>
      <c r="S2103" s="474" t="s">
        <v>1102</v>
      </c>
      <c r="T2103" s="474">
        <v>60</v>
      </c>
      <c r="U2103" s="474">
        <v>49201132</v>
      </c>
      <c r="V2103" s="474" t="s">
        <v>986</v>
      </c>
      <c r="W2103" s="476">
        <v>360</v>
      </c>
      <c r="X2103" s="402">
        <v>8065</v>
      </c>
      <c r="Y2103" s="491">
        <f>W2103*X2103</f>
        <v>2903400</v>
      </c>
      <c r="Z2103" s="478">
        <v>0.5</v>
      </c>
      <c r="AA2103" s="479">
        <f t="shared" si="359"/>
        <v>1451700</v>
      </c>
      <c r="AB2103" s="480"/>
      <c r="AC2103" s="481">
        <f t="shared" si="364"/>
        <v>0</v>
      </c>
      <c r="AD2103" s="490"/>
      <c r="AE2103" s="482"/>
      <c r="AF2103" s="493">
        <f t="shared" si="353"/>
        <v>1451700</v>
      </c>
      <c r="AG2103" s="474" t="s">
        <v>47</v>
      </c>
      <c r="AH2103" s="474">
        <v>100</v>
      </c>
      <c r="AI2103" s="474">
        <v>0</v>
      </c>
      <c r="AJ2103" s="474" t="s">
        <v>3793</v>
      </c>
      <c r="AK2103" s="474" t="s">
        <v>1085</v>
      </c>
      <c r="AL2103" s="494" t="s">
        <v>4016</v>
      </c>
      <c r="AM2103" s="474" t="s">
        <v>52</v>
      </c>
      <c r="AN2103" s="474" t="s">
        <v>1074</v>
      </c>
      <c r="AO2103" s="474"/>
      <c r="AP2103" s="482"/>
      <c r="AQ2103" s="482" t="s">
        <v>1086</v>
      </c>
      <c r="AR2103" s="474"/>
      <c r="AS2103" s="281" t="s">
        <v>1087</v>
      </c>
      <c r="AT2103" s="436" t="s">
        <v>1076</v>
      </c>
      <c r="AU2103" s="472"/>
      <c r="AV2103" s="262">
        <f t="shared" si="361"/>
        <v>49201132</v>
      </c>
      <c r="AW2103" s="262" cm="1">
        <f t="array" ref="AW2103">SUM(MID(0&amp;AV2103,LARGE(INDEX(ISNUMBER(--MID(AV2103,ROW($1:$8),1))*ROW($1:$8),),ROW($1:$8))+1,1)*10^ROW($1:$8)/10)</f>
        <v>49201132</v>
      </c>
      <c r="AX2103" s="262" t="str">
        <f>VLOOKUP($AW2103,'Item Master Data'!$A:$F,3,FALSE)</f>
        <v>Q.PEAK DUO BLK G10+</v>
      </c>
      <c r="AY2103" s="262">
        <f>VLOOKUP($AW2103,'Item Master Data'!$A:$F,6,FALSE)</f>
        <v>360</v>
      </c>
      <c r="AZ2103" s="262">
        <f t="shared" si="362"/>
        <v>252.03125</v>
      </c>
      <c r="BA2103" s="262">
        <f>VLOOKUP(AW2103,'Item Master Data'!$A:$G,7,FALSE)</f>
        <v>32</v>
      </c>
      <c r="BC2103" s="262">
        <f t="shared" si="363"/>
        <v>0</v>
      </c>
    </row>
    <row r="2104" spans="1:55">
      <c r="A2104" s="278"/>
      <c r="B2104" s="279"/>
      <c r="C2104" s="279"/>
      <c r="D2104" s="394" t="s">
        <v>3678</v>
      </c>
      <c r="E2104" s="280"/>
      <c r="F2104" s="474"/>
      <c r="G2104" s="474">
        <v>2022</v>
      </c>
      <c r="H2104" s="474">
        <v>7</v>
      </c>
      <c r="I2104" s="485">
        <v>2005055</v>
      </c>
      <c r="J2104" s="475"/>
      <c r="K2104" s="474" t="s">
        <v>4075</v>
      </c>
      <c r="L2104" s="474" t="s">
        <v>4015</v>
      </c>
      <c r="M2104" s="475">
        <v>44540</v>
      </c>
      <c r="N2104" s="475">
        <v>44652</v>
      </c>
      <c r="O2104" s="475"/>
      <c r="P2104" s="475"/>
      <c r="Q2104" s="475"/>
      <c r="R2104" s="475"/>
      <c r="S2104" s="474" t="s">
        <v>1102</v>
      </c>
      <c r="T2104" s="474">
        <v>60</v>
      </c>
      <c r="U2104" s="474">
        <v>49201132</v>
      </c>
      <c r="V2104" s="474" t="s">
        <v>986</v>
      </c>
      <c r="W2104" s="476">
        <v>360</v>
      </c>
      <c r="X2104" s="402">
        <v>12544</v>
      </c>
      <c r="Y2104" s="491">
        <f>W2104*X2104</f>
        <v>4515840</v>
      </c>
      <c r="Z2104" s="478">
        <v>0.49</v>
      </c>
      <c r="AA2104" s="479">
        <f t="shared" si="359"/>
        <v>2212761.6000000001</v>
      </c>
      <c r="AB2104" s="480"/>
      <c r="AC2104" s="481">
        <f t="shared" si="364"/>
        <v>0</v>
      </c>
      <c r="AD2104" s="490"/>
      <c r="AE2104" s="482"/>
      <c r="AF2104" s="493">
        <f t="shared" si="353"/>
        <v>2212761.6000000001</v>
      </c>
      <c r="AG2104" s="474" t="s">
        <v>47</v>
      </c>
      <c r="AH2104" s="474">
        <v>100</v>
      </c>
      <c r="AI2104" s="474">
        <v>0</v>
      </c>
      <c r="AJ2104" s="474" t="s">
        <v>3793</v>
      </c>
      <c r="AK2104" s="474" t="s">
        <v>1085</v>
      </c>
      <c r="AL2104" s="494" t="s">
        <v>4016</v>
      </c>
      <c r="AM2104" s="474" t="s">
        <v>52</v>
      </c>
      <c r="AN2104" s="474" t="s">
        <v>1074</v>
      </c>
      <c r="AO2104" s="474"/>
      <c r="AP2104" s="482"/>
      <c r="AQ2104" s="482" t="s">
        <v>1086</v>
      </c>
      <c r="AR2104" s="474"/>
      <c r="AS2104" s="281" t="s">
        <v>1087</v>
      </c>
      <c r="AT2104" s="436" t="s">
        <v>1076</v>
      </c>
      <c r="AU2104" s="472"/>
      <c r="AV2104" s="262">
        <f t="shared" si="361"/>
        <v>49201132</v>
      </c>
      <c r="AW2104" s="262" cm="1">
        <f t="array" ref="AW2104">SUM(MID(0&amp;AV2104,LARGE(INDEX(ISNUMBER(--MID(AV2104,ROW($1:$8),1))*ROW($1:$8),),ROW($1:$8))+1,1)*10^ROW($1:$8)/10)</f>
        <v>49201132</v>
      </c>
      <c r="AX2104" s="262" t="str">
        <f>VLOOKUP($AW2104,'Item Master Data'!$A:$F,3,FALSE)</f>
        <v>Q.PEAK DUO BLK G10+</v>
      </c>
      <c r="AY2104" s="262">
        <f>VLOOKUP($AW2104,'Item Master Data'!$A:$F,6,FALSE)</f>
        <v>360</v>
      </c>
      <c r="AZ2104" s="262">
        <f t="shared" si="362"/>
        <v>392</v>
      </c>
      <c r="BA2104" s="262">
        <f>VLOOKUP(AW2104,'Item Master Data'!$A:$G,7,FALSE)</f>
        <v>32</v>
      </c>
      <c r="BC2104" s="262">
        <f t="shared" si="363"/>
        <v>0</v>
      </c>
    </row>
    <row r="2105" spans="1:55">
      <c r="A2105" s="278"/>
      <c r="B2105" s="279"/>
      <c r="C2105" s="279"/>
      <c r="D2105" s="394" t="s">
        <v>3678</v>
      </c>
      <c r="E2105" s="280"/>
      <c r="F2105" s="474"/>
      <c r="G2105" s="474">
        <v>2022</v>
      </c>
      <c r="H2105" s="474">
        <v>7</v>
      </c>
      <c r="I2105" s="485">
        <v>2005057</v>
      </c>
      <c r="J2105" s="475"/>
      <c r="K2105" s="474" t="s">
        <v>4076</v>
      </c>
      <c r="L2105" s="474" t="s">
        <v>4015</v>
      </c>
      <c r="M2105" s="475">
        <v>44540</v>
      </c>
      <c r="N2105" s="475">
        <v>44682</v>
      </c>
      <c r="O2105" s="475"/>
      <c r="P2105" s="475"/>
      <c r="Q2105" s="475"/>
      <c r="R2105" s="475"/>
      <c r="S2105" s="474" t="s">
        <v>1102</v>
      </c>
      <c r="T2105" s="474">
        <v>60</v>
      </c>
      <c r="U2105" s="474">
        <v>49201132</v>
      </c>
      <c r="V2105" s="474" t="s">
        <v>986</v>
      </c>
      <c r="W2105" s="476">
        <v>360</v>
      </c>
      <c r="X2105" s="402">
        <v>12544</v>
      </c>
      <c r="Y2105" s="491">
        <f>W2105*X2105</f>
        <v>4515840</v>
      </c>
      <c r="Z2105" s="478">
        <v>0.49</v>
      </c>
      <c r="AA2105" s="479">
        <f t="shared" si="359"/>
        <v>2212761.6000000001</v>
      </c>
      <c r="AB2105" s="480"/>
      <c r="AC2105" s="481">
        <f t="shared" si="364"/>
        <v>0</v>
      </c>
      <c r="AD2105" s="490"/>
      <c r="AE2105" s="482"/>
      <c r="AF2105" s="493">
        <f t="shared" si="353"/>
        <v>2212761.6000000001</v>
      </c>
      <c r="AG2105" s="474" t="s">
        <v>47</v>
      </c>
      <c r="AH2105" s="474">
        <v>100</v>
      </c>
      <c r="AI2105" s="474">
        <v>0</v>
      </c>
      <c r="AJ2105" s="474" t="s">
        <v>3793</v>
      </c>
      <c r="AK2105" s="474" t="s">
        <v>1085</v>
      </c>
      <c r="AL2105" s="494" t="s">
        <v>4016</v>
      </c>
      <c r="AM2105" s="474" t="s">
        <v>52</v>
      </c>
      <c r="AN2105" s="474" t="s">
        <v>1074</v>
      </c>
      <c r="AO2105" s="474"/>
      <c r="AP2105" s="482"/>
      <c r="AQ2105" s="482" t="s">
        <v>1086</v>
      </c>
      <c r="AR2105" s="474"/>
      <c r="AS2105" s="281" t="s">
        <v>1087</v>
      </c>
      <c r="AT2105" s="436" t="s">
        <v>1076</v>
      </c>
      <c r="AU2105" s="472"/>
      <c r="AV2105" s="262">
        <f t="shared" si="361"/>
        <v>49201132</v>
      </c>
      <c r="AW2105" s="262" cm="1">
        <f t="array" ref="AW2105">SUM(MID(0&amp;AV2105,LARGE(INDEX(ISNUMBER(--MID(AV2105,ROW($1:$8),1))*ROW($1:$8),),ROW($1:$8))+1,1)*10^ROW($1:$8)/10)</f>
        <v>49201132</v>
      </c>
      <c r="AX2105" s="262" t="str">
        <f>VLOOKUP($AW2105,'Item Master Data'!$A:$F,3,FALSE)</f>
        <v>Q.PEAK DUO BLK G10+</v>
      </c>
      <c r="AY2105" s="262">
        <f>VLOOKUP($AW2105,'Item Master Data'!$A:$F,6,FALSE)</f>
        <v>360</v>
      </c>
      <c r="AZ2105" s="262">
        <f t="shared" si="362"/>
        <v>392</v>
      </c>
      <c r="BA2105" s="262">
        <f>VLOOKUP(AW2105,'Item Master Data'!$A:$G,7,FALSE)</f>
        <v>32</v>
      </c>
      <c r="BC2105" s="262">
        <f t="shared" si="363"/>
        <v>0</v>
      </c>
    </row>
    <row r="2106" spans="1:55">
      <c r="A2106" s="278"/>
      <c r="B2106" s="279"/>
      <c r="C2106" s="279"/>
      <c r="D2106" s="394" t="s">
        <v>3678</v>
      </c>
      <c r="E2106" s="280" t="s">
        <v>4045</v>
      </c>
      <c r="F2106" s="474"/>
      <c r="G2106" s="474">
        <v>2022</v>
      </c>
      <c r="H2106" s="474">
        <v>8</v>
      </c>
      <c r="I2106" s="485"/>
      <c r="J2106" s="475"/>
      <c r="K2106" s="474" t="s">
        <v>4077</v>
      </c>
      <c r="L2106" s="474" t="s">
        <v>1187</v>
      </c>
      <c r="M2106" s="475">
        <v>44596</v>
      </c>
      <c r="N2106" s="475">
        <v>44774</v>
      </c>
      <c r="O2106" s="475"/>
      <c r="P2106" s="475"/>
      <c r="Q2106" s="475"/>
      <c r="R2106" s="475"/>
      <c r="S2106" s="474" t="s">
        <v>1102</v>
      </c>
      <c r="T2106" s="474">
        <v>60</v>
      </c>
      <c r="U2106" s="474"/>
      <c r="V2106" s="474" t="s">
        <v>973</v>
      </c>
      <c r="W2106" s="476">
        <v>400</v>
      </c>
      <c r="X2106" s="402">
        <v>8320</v>
      </c>
      <c r="Y2106" s="491">
        <v>3328000</v>
      </c>
      <c r="Z2106" s="478">
        <v>0.52</v>
      </c>
      <c r="AA2106" s="479">
        <f t="shared" si="359"/>
        <v>1730560</v>
      </c>
      <c r="AB2106" s="480"/>
      <c r="AC2106" s="481">
        <f t="shared" si="364"/>
        <v>0</v>
      </c>
      <c r="AD2106" s="490"/>
      <c r="AE2106" s="482"/>
      <c r="AF2106" s="493">
        <f t="shared" si="353"/>
        <v>1730560</v>
      </c>
      <c r="AG2106" s="474" t="s">
        <v>1071</v>
      </c>
      <c r="AH2106" s="474"/>
      <c r="AI2106" s="474">
        <v>60</v>
      </c>
      <c r="AJ2106" s="474" t="s">
        <v>1210</v>
      </c>
      <c r="AK2106" s="474" t="s">
        <v>1096</v>
      </c>
      <c r="AL2106" s="494">
        <v>1501</v>
      </c>
      <c r="AM2106" s="474" t="s">
        <v>52</v>
      </c>
      <c r="AN2106" s="474"/>
      <c r="AO2106" s="474"/>
      <c r="AP2106" s="482"/>
      <c r="AQ2106" s="482" t="s">
        <v>37</v>
      </c>
      <c r="AR2106" s="474"/>
      <c r="AS2106" s="281"/>
      <c r="AT2106" s="436"/>
      <c r="AU2106" s="472"/>
      <c r="AV2106" s="262">
        <f t="shared" si="361"/>
        <v>0</v>
      </c>
      <c r="AW2106" s="262" cm="1">
        <f t="array" ref="AW2106">SUM(MID(0&amp;AV2106,LARGE(INDEX(ISNUMBER(--MID(AV2106,ROW($1:$8),1))*ROW($1:$8),),ROW($1:$8))+1,1)*10^ROW($1:$8)/10)</f>
        <v>0</v>
      </c>
      <c r="AX2106" s="262" t="e">
        <f>VLOOKUP($AW2106,'Item Master Data'!$A:$F,3,FALSE)</f>
        <v>#N/A</v>
      </c>
      <c r="AY2106" s="262" t="e">
        <f>VLOOKUP($AW2106,'Item Master Data'!$A:$F,6,FALSE)</f>
        <v>#N/A</v>
      </c>
      <c r="AZ2106" s="262" t="e">
        <f t="shared" si="362"/>
        <v>#N/A</v>
      </c>
      <c r="BA2106" s="262" t="e">
        <f>VLOOKUP(AW2106,'Item Master Data'!$A:$G,7,FALSE)</f>
        <v>#N/A</v>
      </c>
      <c r="BC2106" s="262" t="e">
        <f t="shared" si="363"/>
        <v>#N/A</v>
      </c>
    </row>
    <row r="2107" spans="1:55">
      <c r="A2107" s="278"/>
      <c r="B2107" s="279"/>
      <c r="C2107" s="279"/>
      <c r="D2107" s="394" t="s">
        <v>3678</v>
      </c>
      <c r="E2107" s="280" t="s">
        <v>1283</v>
      </c>
      <c r="F2107" s="474"/>
      <c r="G2107" s="474">
        <v>2022</v>
      </c>
      <c r="H2107" s="474">
        <v>8</v>
      </c>
      <c r="I2107" s="485"/>
      <c r="J2107" s="475"/>
      <c r="K2107" s="474" t="s">
        <v>4078</v>
      </c>
      <c r="L2107" s="474" t="s">
        <v>3747</v>
      </c>
      <c r="M2107" s="475">
        <v>44613</v>
      </c>
      <c r="N2107" s="475">
        <v>44774</v>
      </c>
      <c r="O2107" s="475"/>
      <c r="P2107" s="475"/>
      <c r="Q2107" s="475"/>
      <c r="R2107" s="475"/>
      <c r="S2107" s="474" t="s">
        <v>1102</v>
      </c>
      <c r="T2107" s="474">
        <v>60</v>
      </c>
      <c r="U2107" s="474"/>
      <c r="V2107" s="474" t="s">
        <v>973</v>
      </c>
      <c r="W2107" s="476">
        <v>400</v>
      </c>
      <c r="X2107" s="402">
        <v>3840</v>
      </c>
      <c r="Y2107" s="491">
        <f>W2107*X2107</f>
        <v>1536000</v>
      </c>
      <c r="Z2107" s="478">
        <v>0.55000000000000004</v>
      </c>
      <c r="AA2107" s="479">
        <f t="shared" si="359"/>
        <v>844800.00000000012</v>
      </c>
      <c r="AB2107" s="480"/>
      <c r="AC2107" s="481"/>
      <c r="AD2107" s="490"/>
      <c r="AE2107" s="482"/>
      <c r="AF2107" s="493">
        <f t="shared" si="353"/>
        <v>844800.00000000012</v>
      </c>
      <c r="AG2107" s="474" t="s">
        <v>1071</v>
      </c>
      <c r="AH2107" s="474"/>
      <c r="AI2107" s="474">
        <v>60</v>
      </c>
      <c r="AJ2107" s="474" t="s">
        <v>3816</v>
      </c>
      <c r="AK2107" s="474" t="s">
        <v>1138</v>
      </c>
      <c r="AL2107" s="494">
        <v>11779</v>
      </c>
      <c r="AM2107" s="474" t="s">
        <v>52</v>
      </c>
      <c r="AN2107" s="474"/>
      <c r="AO2107" s="474"/>
      <c r="AP2107" s="482"/>
      <c r="AQ2107" s="482" t="s">
        <v>37</v>
      </c>
      <c r="AR2107" s="474"/>
      <c r="AS2107" s="281"/>
      <c r="AT2107" s="436"/>
      <c r="AU2107" s="472"/>
      <c r="AV2107" s="262">
        <f t="shared" si="361"/>
        <v>0</v>
      </c>
      <c r="AW2107" s="262" cm="1">
        <f t="array" ref="AW2107">SUM(MID(0&amp;AV2107,LARGE(INDEX(ISNUMBER(--MID(AV2107,ROW($1:$8),1))*ROW($1:$8),),ROW($1:$8))+1,1)*10^ROW($1:$8)/10)</f>
        <v>0</v>
      </c>
      <c r="AX2107" s="262" t="e">
        <f>VLOOKUP($AW2107,'Item Master Data'!$A:$F,3,FALSE)</f>
        <v>#N/A</v>
      </c>
      <c r="AY2107" s="262" t="e">
        <f>VLOOKUP($AW2107,'Item Master Data'!$A:$F,6,FALSE)</f>
        <v>#N/A</v>
      </c>
      <c r="AZ2107" s="262" t="e">
        <f t="shared" si="362"/>
        <v>#N/A</v>
      </c>
      <c r="BA2107" s="262" t="e">
        <f>VLOOKUP(AW2107,'Item Master Data'!$A:$G,7,FALSE)</f>
        <v>#N/A</v>
      </c>
      <c r="BC2107" s="262" t="e">
        <f t="shared" si="363"/>
        <v>#N/A</v>
      </c>
    </row>
    <row r="2108" spans="1:55">
      <c r="A2108" s="278"/>
      <c r="B2108" s="279"/>
      <c r="C2108" s="279"/>
      <c r="D2108" s="394" t="s">
        <v>3678</v>
      </c>
      <c r="E2108" s="288" t="s">
        <v>4072</v>
      </c>
      <c r="F2108" s="474"/>
      <c r="G2108" s="474">
        <v>2022</v>
      </c>
      <c r="H2108" s="474">
        <v>8</v>
      </c>
      <c r="I2108" s="474"/>
      <c r="J2108" s="475"/>
      <c r="K2108" s="474" t="s">
        <v>4073</v>
      </c>
      <c r="L2108" s="474" t="s">
        <v>3762</v>
      </c>
      <c r="M2108" s="475"/>
      <c r="N2108" s="475" t="s">
        <v>1634</v>
      </c>
      <c r="O2108" s="475"/>
      <c r="P2108" s="475"/>
      <c r="Q2108" s="475"/>
      <c r="R2108" s="475"/>
      <c r="S2108" s="474" t="s">
        <v>1102</v>
      </c>
      <c r="T2108" s="474">
        <v>60</v>
      </c>
      <c r="U2108" s="474"/>
      <c r="V2108" s="474" t="s">
        <v>986</v>
      </c>
      <c r="W2108" s="476">
        <v>360</v>
      </c>
      <c r="X2108" s="402">
        <v>11648</v>
      </c>
      <c r="Y2108" s="491">
        <f>X2108*W2108</f>
        <v>4193280</v>
      </c>
      <c r="Z2108" s="478">
        <v>0.47499999999999998</v>
      </c>
      <c r="AA2108" s="479">
        <f t="shared" si="359"/>
        <v>1991808</v>
      </c>
      <c r="AB2108" s="480"/>
      <c r="AC2108" s="481">
        <f>AB2108*Y2108</f>
        <v>0</v>
      </c>
      <c r="AD2108" s="490"/>
      <c r="AE2108" s="482"/>
      <c r="AF2108" s="493">
        <f t="shared" si="353"/>
        <v>1991808</v>
      </c>
      <c r="AG2108" s="474" t="s">
        <v>47</v>
      </c>
      <c r="AH2108" s="474">
        <v>0</v>
      </c>
      <c r="AI2108" s="474">
        <v>60</v>
      </c>
      <c r="AJ2108" s="474" t="s">
        <v>1109</v>
      </c>
      <c r="AK2108" s="474" t="s">
        <v>1109</v>
      </c>
      <c r="AL2108" s="474" t="s">
        <v>1109</v>
      </c>
      <c r="AM2108" s="474" t="s">
        <v>52</v>
      </c>
      <c r="AN2108" s="474"/>
      <c r="AO2108" s="474"/>
      <c r="AP2108" s="482"/>
      <c r="AQ2108" s="482" t="s">
        <v>37</v>
      </c>
      <c r="AR2108" s="474"/>
      <c r="AS2108" s="281" t="s">
        <v>3763</v>
      </c>
      <c r="AT2108" s="436" t="s">
        <v>1076</v>
      </c>
      <c r="AU2108" s="472"/>
      <c r="AV2108" s="262">
        <f t="shared" si="361"/>
        <v>0</v>
      </c>
      <c r="AW2108" s="262" cm="1">
        <f t="array" ref="AW2108">SUM(MID(0&amp;AV2108,LARGE(INDEX(ISNUMBER(--MID(AV2108,ROW($1:$8),1))*ROW($1:$8),),ROW($1:$8))+1,1)*10^ROW($1:$8)/10)</f>
        <v>0</v>
      </c>
      <c r="AX2108" s="262" t="e">
        <f>VLOOKUP($AW2108,'Item Master Data'!$A:$F,3,FALSE)</f>
        <v>#N/A</v>
      </c>
      <c r="AY2108" s="262" t="e">
        <f>VLOOKUP($AW2108,'Item Master Data'!$A:$F,6,FALSE)</f>
        <v>#N/A</v>
      </c>
      <c r="AZ2108" s="262" t="e">
        <f t="shared" si="362"/>
        <v>#N/A</v>
      </c>
      <c r="BA2108" s="262" t="e">
        <f>VLOOKUP(AW2108,'Item Master Data'!$A:$G,7,FALSE)</f>
        <v>#N/A</v>
      </c>
      <c r="BC2108" s="262" t="e">
        <f t="shared" si="363"/>
        <v>#N/A</v>
      </c>
    </row>
    <row r="2109" spans="1:55">
      <c r="A2109" s="278"/>
      <c r="B2109" s="279"/>
      <c r="C2109" s="279"/>
      <c r="D2109" s="394" t="s">
        <v>3678</v>
      </c>
      <c r="E2109" s="288" t="s">
        <v>4039</v>
      </c>
      <c r="F2109" s="474"/>
      <c r="G2109" s="474">
        <v>2022</v>
      </c>
      <c r="H2109" s="474">
        <v>8</v>
      </c>
      <c r="I2109" s="474"/>
      <c r="J2109" s="475"/>
      <c r="K2109" s="474" t="s">
        <v>4040</v>
      </c>
      <c r="L2109" s="474" t="s">
        <v>3762</v>
      </c>
      <c r="M2109" s="475"/>
      <c r="N2109" s="475" t="s">
        <v>1409</v>
      </c>
      <c r="O2109" s="475"/>
      <c r="P2109" s="475"/>
      <c r="Q2109" s="475"/>
      <c r="R2109" s="475"/>
      <c r="S2109" s="474" t="s">
        <v>1102</v>
      </c>
      <c r="T2109" s="474">
        <v>60</v>
      </c>
      <c r="U2109" s="474"/>
      <c r="V2109" s="474" t="s">
        <v>973</v>
      </c>
      <c r="W2109" s="476">
        <v>400</v>
      </c>
      <c r="X2109" s="402">
        <v>12544</v>
      </c>
      <c r="Y2109" s="491">
        <f>X2109*W2109</f>
        <v>5017600</v>
      </c>
      <c r="Z2109" s="478">
        <v>0.49</v>
      </c>
      <c r="AA2109" s="479">
        <f t="shared" si="359"/>
        <v>2458624</v>
      </c>
      <c r="AB2109" s="480"/>
      <c r="AC2109" s="481">
        <f>AB2109*Y2109</f>
        <v>0</v>
      </c>
      <c r="AD2109" s="490"/>
      <c r="AE2109" s="482"/>
      <c r="AF2109" s="493">
        <f t="shared" si="353"/>
        <v>2458624</v>
      </c>
      <c r="AG2109" s="474" t="s">
        <v>47</v>
      </c>
      <c r="AH2109" s="474">
        <v>0</v>
      </c>
      <c r="AI2109" s="474">
        <v>60</v>
      </c>
      <c r="AJ2109" s="474" t="s">
        <v>1109</v>
      </c>
      <c r="AK2109" s="474" t="s">
        <v>1109</v>
      </c>
      <c r="AL2109" s="474" t="s">
        <v>1109</v>
      </c>
      <c r="AM2109" s="474" t="s">
        <v>52</v>
      </c>
      <c r="AN2109" s="474"/>
      <c r="AO2109" s="474"/>
      <c r="AP2109" s="482"/>
      <c r="AQ2109" s="482" t="s">
        <v>37</v>
      </c>
      <c r="AR2109" s="474"/>
      <c r="AS2109" s="281" t="s">
        <v>3763</v>
      </c>
      <c r="AT2109" s="436" t="s">
        <v>1076</v>
      </c>
      <c r="AU2109" s="472"/>
      <c r="AV2109" s="262">
        <f t="shared" si="361"/>
        <v>0</v>
      </c>
      <c r="AW2109" s="262" cm="1">
        <f t="array" ref="AW2109">SUM(MID(0&amp;AV2109,LARGE(INDEX(ISNUMBER(--MID(AV2109,ROW($1:$8),1))*ROW($1:$8),),ROW($1:$8))+1,1)*10^ROW($1:$8)/10)</f>
        <v>0</v>
      </c>
      <c r="AX2109" s="262" t="e">
        <f>VLOOKUP($AW2109,'Item Master Data'!$A:$F,3,FALSE)</f>
        <v>#N/A</v>
      </c>
      <c r="AY2109" s="262" t="e">
        <f>VLOOKUP($AW2109,'Item Master Data'!$A:$F,6,FALSE)</f>
        <v>#N/A</v>
      </c>
      <c r="AZ2109" s="262" t="e">
        <f t="shared" si="362"/>
        <v>#N/A</v>
      </c>
      <c r="BA2109" s="262" t="e">
        <f>VLOOKUP(AW2109,'Item Master Data'!$A:$G,7,FALSE)</f>
        <v>#N/A</v>
      </c>
      <c r="BC2109" s="262" t="e">
        <f t="shared" si="363"/>
        <v>#N/A</v>
      </c>
    </row>
    <row r="2110" spans="1:55">
      <c r="A2110" s="278"/>
      <c r="B2110" s="279"/>
      <c r="C2110" s="279"/>
      <c r="D2110" s="394" t="s">
        <v>3678</v>
      </c>
      <c r="E2110" s="280"/>
      <c r="F2110" s="474"/>
      <c r="G2110" s="474">
        <v>2022</v>
      </c>
      <c r="H2110" s="474">
        <v>8</v>
      </c>
      <c r="I2110" s="485"/>
      <c r="J2110" s="475"/>
      <c r="K2110" s="474" t="s">
        <v>4079</v>
      </c>
      <c r="L2110" s="474" t="s">
        <v>4015</v>
      </c>
      <c r="M2110" s="475">
        <v>44540</v>
      </c>
      <c r="N2110" s="475">
        <v>44713</v>
      </c>
      <c r="O2110" s="475"/>
      <c r="P2110" s="475"/>
      <c r="Q2110" s="475"/>
      <c r="R2110" s="475"/>
      <c r="S2110" s="474" t="s">
        <v>1102</v>
      </c>
      <c r="T2110" s="474">
        <v>60</v>
      </c>
      <c r="U2110" s="474">
        <v>49201132</v>
      </c>
      <c r="V2110" s="474" t="s">
        <v>986</v>
      </c>
      <c r="W2110" s="476">
        <v>360</v>
      </c>
      <c r="X2110" s="402">
        <v>12544</v>
      </c>
      <c r="Y2110" s="491">
        <f>W2110*X2110</f>
        <v>4515840</v>
      </c>
      <c r="Z2110" s="478">
        <v>0.49</v>
      </c>
      <c r="AA2110" s="479">
        <f t="shared" si="359"/>
        <v>2212761.6000000001</v>
      </c>
      <c r="AB2110" s="480"/>
      <c r="AC2110" s="481">
        <f>AB2110*Y2110</f>
        <v>0</v>
      </c>
      <c r="AD2110" s="490"/>
      <c r="AE2110" s="482"/>
      <c r="AF2110" s="493">
        <f t="shared" si="353"/>
        <v>2212761.6000000001</v>
      </c>
      <c r="AG2110" s="474" t="s">
        <v>47</v>
      </c>
      <c r="AH2110" s="474">
        <v>100</v>
      </c>
      <c r="AI2110" s="474">
        <v>0</v>
      </c>
      <c r="AJ2110" s="474" t="s">
        <v>3793</v>
      </c>
      <c r="AK2110" s="474" t="s">
        <v>1085</v>
      </c>
      <c r="AL2110" s="494" t="s">
        <v>4016</v>
      </c>
      <c r="AM2110" s="474" t="s">
        <v>52</v>
      </c>
      <c r="AN2110" s="474" t="s">
        <v>1074</v>
      </c>
      <c r="AO2110" s="474"/>
      <c r="AP2110" s="482"/>
      <c r="AQ2110" s="482" t="s">
        <v>1086</v>
      </c>
      <c r="AR2110" s="474"/>
      <c r="AS2110" s="281" t="s">
        <v>1087</v>
      </c>
      <c r="AT2110" s="436" t="s">
        <v>1076</v>
      </c>
      <c r="AU2110" s="472"/>
      <c r="AV2110" s="262">
        <f t="shared" si="361"/>
        <v>49201132</v>
      </c>
      <c r="AW2110" s="262" cm="1">
        <f t="array" ref="AW2110">SUM(MID(0&amp;AV2110,LARGE(INDEX(ISNUMBER(--MID(AV2110,ROW($1:$8),1))*ROW($1:$8),),ROW($1:$8))+1,1)*10^ROW($1:$8)/10)</f>
        <v>49201132</v>
      </c>
      <c r="AX2110" s="262" t="str">
        <f>VLOOKUP($AW2110,'Item Master Data'!$A:$F,3,FALSE)</f>
        <v>Q.PEAK DUO BLK G10+</v>
      </c>
      <c r="AY2110" s="262">
        <f>VLOOKUP($AW2110,'Item Master Data'!$A:$F,6,FALSE)</f>
        <v>360</v>
      </c>
      <c r="AZ2110" s="262">
        <f t="shared" si="362"/>
        <v>392</v>
      </c>
      <c r="BA2110" s="262">
        <f>VLOOKUP(AW2110,'Item Master Data'!$A:$G,7,FALSE)</f>
        <v>32</v>
      </c>
      <c r="BC2110" s="262">
        <f t="shared" si="363"/>
        <v>0</v>
      </c>
    </row>
    <row r="2111" spans="1:55">
      <c r="A2111" s="278"/>
      <c r="B2111" s="279"/>
      <c r="C2111" s="279"/>
      <c r="D2111" s="394" t="s">
        <v>3678</v>
      </c>
      <c r="E2111" s="280" t="s">
        <v>4045</v>
      </c>
      <c r="F2111" s="474"/>
      <c r="G2111" s="474">
        <v>2022</v>
      </c>
      <c r="H2111" s="474">
        <v>9</v>
      </c>
      <c r="I2111" s="485"/>
      <c r="J2111" s="475"/>
      <c r="K2111" s="474" t="s">
        <v>4080</v>
      </c>
      <c r="L2111" s="474" t="s">
        <v>1187</v>
      </c>
      <c r="M2111" s="475">
        <v>44596</v>
      </c>
      <c r="N2111" s="475">
        <v>44809</v>
      </c>
      <c r="O2111" s="475"/>
      <c r="P2111" s="475"/>
      <c r="Q2111" s="475"/>
      <c r="R2111" s="475"/>
      <c r="S2111" s="474" t="s">
        <v>1102</v>
      </c>
      <c r="T2111" s="474">
        <v>60</v>
      </c>
      <c r="U2111" s="474"/>
      <c r="V2111" s="474" t="s">
        <v>973</v>
      </c>
      <c r="W2111" s="476">
        <v>400</v>
      </c>
      <c r="X2111" s="402">
        <v>9984</v>
      </c>
      <c r="Y2111" s="491">
        <v>3993600</v>
      </c>
      <c r="Z2111" s="478">
        <v>0.52</v>
      </c>
      <c r="AA2111" s="479">
        <f t="shared" si="359"/>
        <v>2076672</v>
      </c>
      <c r="AB2111" s="480"/>
      <c r="AC2111" s="481">
        <f>AB2111*Y2111</f>
        <v>0</v>
      </c>
      <c r="AD2111" s="490"/>
      <c r="AE2111" s="482"/>
      <c r="AF2111" s="493">
        <f t="shared" si="353"/>
        <v>2076672</v>
      </c>
      <c r="AG2111" s="474" t="s">
        <v>1071</v>
      </c>
      <c r="AH2111" s="474"/>
      <c r="AI2111" s="474">
        <v>60</v>
      </c>
      <c r="AJ2111" s="474" t="s">
        <v>1210</v>
      </c>
      <c r="AK2111" s="474" t="s">
        <v>1096</v>
      </c>
      <c r="AL2111" s="494">
        <v>1501</v>
      </c>
      <c r="AM2111" s="474" t="s">
        <v>52</v>
      </c>
      <c r="AN2111" s="474"/>
      <c r="AO2111" s="474"/>
      <c r="AP2111" s="482"/>
      <c r="AQ2111" s="482" t="s">
        <v>37</v>
      </c>
      <c r="AR2111" s="474"/>
      <c r="AS2111" s="281"/>
      <c r="AT2111" s="436"/>
      <c r="AU2111" s="472"/>
      <c r="AV2111" s="262">
        <f t="shared" si="361"/>
        <v>0</v>
      </c>
      <c r="AW2111" s="262" cm="1">
        <f t="array" ref="AW2111">SUM(MID(0&amp;AV2111,LARGE(INDEX(ISNUMBER(--MID(AV2111,ROW($1:$8),1))*ROW($1:$8),),ROW($1:$8))+1,1)*10^ROW($1:$8)/10)</f>
        <v>0</v>
      </c>
      <c r="AX2111" s="262" t="e">
        <f>VLOOKUP($AW2111,'Item Master Data'!$A:$F,3,FALSE)</f>
        <v>#N/A</v>
      </c>
      <c r="AY2111" s="262" t="e">
        <f>VLOOKUP($AW2111,'Item Master Data'!$A:$F,6,FALSE)</f>
        <v>#N/A</v>
      </c>
      <c r="AZ2111" s="262" t="e">
        <f t="shared" si="362"/>
        <v>#N/A</v>
      </c>
      <c r="BA2111" s="262" t="e">
        <f>VLOOKUP(AW2111,'Item Master Data'!$A:$G,7,FALSE)</f>
        <v>#N/A</v>
      </c>
      <c r="BC2111" s="262" t="e">
        <f t="shared" si="363"/>
        <v>#N/A</v>
      </c>
    </row>
    <row r="2112" spans="1:55">
      <c r="A2112" s="278"/>
      <c r="B2112" s="279">
        <v>44614</v>
      </c>
      <c r="C2112" s="279">
        <v>44614</v>
      </c>
      <c r="D2112" s="394" t="s">
        <v>3678</v>
      </c>
      <c r="E2112" s="280" t="s">
        <v>1283</v>
      </c>
      <c r="F2112" s="474"/>
      <c r="G2112" s="474">
        <v>2022</v>
      </c>
      <c r="H2112" s="474">
        <v>9</v>
      </c>
      <c r="I2112" s="485"/>
      <c r="J2112" s="475"/>
      <c r="K2112" s="474" t="s">
        <v>4081</v>
      </c>
      <c r="L2112" s="474" t="s">
        <v>1228</v>
      </c>
      <c r="M2112" s="475">
        <v>44608</v>
      </c>
      <c r="N2112" s="475">
        <v>44809</v>
      </c>
      <c r="O2112" s="475"/>
      <c r="P2112" s="475"/>
      <c r="Q2112" s="475"/>
      <c r="R2112" s="475"/>
      <c r="S2112" s="474" t="s">
        <v>1102</v>
      </c>
      <c r="T2112" s="474">
        <v>60</v>
      </c>
      <c r="U2112" s="474"/>
      <c r="V2112" s="474" t="s">
        <v>973</v>
      </c>
      <c r="W2112" s="476">
        <v>400</v>
      </c>
      <c r="X2112" s="402">
        <v>3584</v>
      </c>
      <c r="Y2112" s="491">
        <f>W2112*X2112</f>
        <v>1433600</v>
      </c>
      <c r="Z2112" s="478">
        <v>0.55000000000000004</v>
      </c>
      <c r="AA2112" s="479">
        <f t="shared" si="359"/>
        <v>788480.00000000012</v>
      </c>
      <c r="AB2112" s="480"/>
      <c r="AC2112" s="481">
        <f>AB2112*Y2112</f>
        <v>0</v>
      </c>
      <c r="AD2112" s="490"/>
      <c r="AE2112" s="482"/>
      <c r="AF2112" s="493">
        <f t="shared" si="353"/>
        <v>788480.00000000012</v>
      </c>
      <c r="AG2112" s="474" t="s">
        <v>1071</v>
      </c>
      <c r="AH2112" s="474"/>
      <c r="AI2112" s="474">
        <v>60</v>
      </c>
      <c r="AJ2112" s="474" t="s">
        <v>1230</v>
      </c>
      <c r="AK2112" s="474" t="s">
        <v>1190</v>
      </c>
      <c r="AL2112" s="494">
        <v>6492</v>
      </c>
      <c r="AM2112" s="474" t="s">
        <v>52</v>
      </c>
      <c r="AN2112" s="474"/>
      <c r="AO2112" s="474"/>
      <c r="AP2112" s="482"/>
      <c r="AQ2112" s="482" t="s">
        <v>37</v>
      </c>
      <c r="AR2112" s="474"/>
      <c r="AS2112" s="281"/>
      <c r="AT2112" s="436"/>
      <c r="AU2112" s="472"/>
      <c r="AV2112" s="262">
        <f t="shared" si="361"/>
        <v>0</v>
      </c>
      <c r="AW2112" s="262" cm="1">
        <f t="array" ref="AW2112">SUM(MID(0&amp;AV2112,LARGE(INDEX(ISNUMBER(--MID(AV2112,ROW($1:$8),1))*ROW($1:$8),),ROW($1:$8))+1,1)*10^ROW($1:$8)/10)</f>
        <v>0</v>
      </c>
      <c r="AX2112" s="262" t="e">
        <f>VLOOKUP($AW2112,'Item Master Data'!$A:$F,3,FALSE)</f>
        <v>#N/A</v>
      </c>
      <c r="AY2112" s="262" t="e">
        <f>VLOOKUP($AW2112,'Item Master Data'!$A:$F,6,FALSE)</f>
        <v>#N/A</v>
      </c>
      <c r="AZ2112" s="262" t="e">
        <f t="shared" si="362"/>
        <v>#N/A</v>
      </c>
      <c r="BA2112" s="262" t="e">
        <f>VLOOKUP(AW2112,'Item Master Data'!$A:$G,7,FALSE)</f>
        <v>#N/A</v>
      </c>
      <c r="BC2112" s="262" t="e">
        <f t="shared" si="363"/>
        <v>#N/A</v>
      </c>
    </row>
    <row r="2113" spans="1:55">
      <c r="A2113" s="278"/>
      <c r="B2113" s="279"/>
      <c r="C2113" s="279"/>
      <c r="D2113" s="394" t="s">
        <v>3678</v>
      </c>
      <c r="E2113" s="280" t="s">
        <v>1283</v>
      </c>
      <c r="F2113" s="474"/>
      <c r="G2113" s="474">
        <v>2022</v>
      </c>
      <c r="H2113" s="474">
        <v>9</v>
      </c>
      <c r="I2113" s="485"/>
      <c r="J2113" s="475"/>
      <c r="K2113" s="474" t="s">
        <v>4082</v>
      </c>
      <c r="L2113" s="474" t="s">
        <v>3747</v>
      </c>
      <c r="M2113" s="475">
        <v>44613</v>
      </c>
      <c r="N2113" s="475">
        <v>44805</v>
      </c>
      <c r="O2113" s="475"/>
      <c r="P2113" s="475"/>
      <c r="Q2113" s="475"/>
      <c r="R2113" s="475"/>
      <c r="S2113" s="474" t="s">
        <v>1102</v>
      </c>
      <c r="T2113" s="474">
        <v>60</v>
      </c>
      <c r="U2113" s="474"/>
      <c r="V2113" s="474" t="s">
        <v>973</v>
      </c>
      <c r="W2113" s="476">
        <v>400</v>
      </c>
      <c r="X2113" s="402">
        <v>3840</v>
      </c>
      <c r="Y2113" s="491">
        <f>W2113*X2113</f>
        <v>1536000</v>
      </c>
      <c r="Z2113" s="478">
        <v>0.55000000000000004</v>
      </c>
      <c r="AA2113" s="479">
        <f t="shared" si="359"/>
        <v>844800.00000000012</v>
      </c>
      <c r="AB2113" s="480"/>
      <c r="AC2113" s="481"/>
      <c r="AD2113" s="490"/>
      <c r="AE2113" s="482"/>
      <c r="AF2113" s="493">
        <f t="shared" si="353"/>
        <v>844800.00000000012</v>
      </c>
      <c r="AG2113" s="474" t="s">
        <v>1071</v>
      </c>
      <c r="AH2113" s="474"/>
      <c r="AI2113" s="474">
        <v>60</v>
      </c>
      <c r="AJ2113" s="474" t="s">
        <v>3816</v>
      </c>
      <c r="AK2113" s="474" t="s">
        <v>1138</v>
      </c>
      <c r="AL2113" s="494">
        <v>11779</v>
      </c>
      <c r="AM2113" s="474" t="s">
        <v>52</v>
      </c>
      <c r="AN2113" s="474"/>
      <c r="AO2113" s="474"/>
      <c r="AP2113" s="482"/>
      <c r="AQ2113" s="482" t="s">
        <v>37</v>
      </c>
      <c r="AR2113" s="474"/>
      <c r="AS2113" s="281"/>
      <c r="AT2113" s="436"/>
      <c r="AU2113" s="472"/>
      <c r="AV2113" s="262">
        <f t="shared" si="361"/>
        <v>0</v>
      </c>
      <c r="AW2113" s="262" cm="1">
        <f t="array" ref="AW2113">SUM(MID(0&amp;AV2113,LARGE(INDEX(ISNUMBER(--MID(AV2113,ROW($1:$8),1))*ROW($1:$8),),ROW($1:$8))+1,1)*10^ROW($1:$8)/10)</f>
        <v>0</v>
      </c>
      <c r="AX2113" s="262" t="e">
        <f>VLOOKUP($AW2113,'Item Master Data'!$A:$F,3,FALSE)</f>
        <v>#N/A</v>
      </c>
      <c r="AY2113" s="262" t="e">
        <f>VLOOKUP($AW2113,'Item Master Data'!$A:$F,6,FALSE)</f>
        <v>#N/A</v>
      </c>
      <c r="AZ2113" s="262" t="e">
        <f t="shared" si="362"/>
        <v>#N/A</v>
      </c>
      <c r="BA2113" s="262" t="e">
        <f>VLOOKUP(AW2113,'Item Master Data'!$A:$G,7,FALSE)</f>
        <v>#N/A</v>
      </c>
      <c r="BC2113" s="262" t="e">
        <f t="shared" si="363"/>
        <v>#N/A</v>
      </c>
    </row>
    <row r="2114" spans="1:55">
      <c r="A2114" s="278"/>
      <c r="B2114" s="279"/>
      <c r="C2114" s="279"/>
      <c r="D2114" s="394" t="s">
        <v>3678</v>
      </c>
      <c r="E2114" s="280"/>
      <c r="F2114" s="474" t="s">
        <v>1147</v>
      </c>
      <c r="G2114" s="474">
        <v>2022</v>
      </c>
      <c r="H2114" s="474">
        <v>9</v>
      </c>
      <c r="I2114" s="485"/>
      <c r="J2114" s="475"/>
      <c r="K2114" s="474" t="s">
        <v>4083</v>
      </c>
      <c r="L2114" s="474" t="s">
        <v>1368</v>
      </c>
      <c r="M2114" s="475">
        <v>44532</v>
      </c>
      <c r="N2114" s="475">
        <v>44805</v>
      </c>
      <c r="O2114" s="475"/>
      <c r="P2114" s="475"/>
      <c r="Q2114" s="475"/>
      <c r="R2114" s="475"/>
      <c r="S2114" s="474" t="s">
        <v>1102</v>
      </c>
      <c r="T2114" s="474">
        <v>60</v>
      </c>
      <c r="U2114" s="474">
        <v>49201132</v>
      </c>
      <c r="V2114" s="474" t="s">
        <v>986</v>
      </c>
      <c r="W2114" s="476">
        <v>360</v>
      </c>
      <c r="X2114" s="402">
        <v>832</v>
      </c>
      <c r="Y2114" s="491">
        <f>W2114*X2114</f>
        <v>299520</v>
      </c>
      <c r="Z2114" s="478">
        <v>0.53</v>
      </c>
      <c r="AA2114" s="479">
        <f t="shared" si="359"/>
        <v>158745.60000000001</v>
      </c>
      <c r="AB2114" s="480"/>
      <c r="AC2114" s="481">
        <v>0</v>
      </c>
      <c r="AD2114" s="490"/>
      <c r="AE2114" s="482"/>
      <c r="AF2114" s="493">
        <f t="shared" si="353"/>
        <v>158745.60000000001</v>
      </c>
      <c r="AG2114" s="474" t="s">
        <v>1071</v>
      </c>
      <c r="AH2114" s="474"/>
      <c r="AI2114" s="474">
        <v>60</v>
      </c>
      <c r="AJ2114" s="474" t="s">
        <v>1369</v>
      </c>
      <c r="AK2114" s="474" t="s">
        <v>1370</v>
      </c>
      <c r="AL2114" s="494">
        <v>5401</v>
      </c>
      <c r="AM2114" s="474" t="s">
        <v>52</v>
      </c>
      <c r="AN2114" s="474" t="s">
        <v>1074</v>
      </c>
      <c r="AO2114" s="474"/>
      <c r="AP2114" s="482"/>
      <c r="AQ2114" s="482" t="s">
        <v>37</v>
      </c>
      <c r="AR2114" s="474"/>
      <c r="AS2114" s="281"/>
      <c r="AT2114" s="436"/>
      <c r="AU2114" s="472"/>
      <c r="AV2114" s="262">
        <f t="shared" si="361"/>
        <v>49201132</v>
      </c>
      <c r="AW2114" s="262" cm="1">
        <f t="array" ref="AW2114">SUM(MID(0&amp;AV2114,LARGE(INDEX(ISNUMBER(--MID(AV2114,ROW($1:$8),1))*ROW($1:$8),),ROW($1:$8))+1,1)*10^ROW($1:$8)/10)</f>
        <v>49201132</v>
      </c>
      <c r="AX2114" s="262" t="str">
        <f>VLOOKUP($AW2114,'Item Master Data'!$A:$F,3,FALSE)</f>
        <v>Q.PEAK DUO BLK G10+</v>
      </c>
      <c r="AY2114" s="262">
        <f>VLOOKUP($AW2114,'Item Master Data'!$A:$F,6,FALSE)</f>
        <v>360</v>
      </c>
      <c r="AZ2114" s="262">
        <f t="shared" si="362"/>
        <v>26</v>
      </c>
      <c r="BA2114" s="262">
        <f>VLOOKUP(AW2114,'Item Master Data'!$A:$G,7,FALSE)</f>
        <v>32</v>
      </c>
      <c r="BC2114" s="262">
        <f t="shared" si="363"/>
        <v>0</v>
      </c>
    </row>
    <row r="2115" spans="1:55">
      <c r="A2115" s="278"/>
      <c r="B2115" s="279"/>
      <c r="C2115" s="279"/>
      <c r="D2115" s="394" t="s">
        <v>3678</v>
      </c>
      <c r="E2115" s="288" t="s">
        <v>4072</v>
      </c>
      <c r="F2115" s="474"/>
      <c r="G2115" s="474">
        <v>2022</v>
      </c>
      <c r="H2115" s="474">
        <v>9</v>
      </c>
      <c r="I2115" s="474"/>
      <c r="J2115" s="475"/>
      <c r="K2115" s="474" t="s">
        <v>4073</v>
      </c>
      <c r="L2115" s="474" t="s">
        <v>3762</v>
      </c>
      <c r="M2115" s="475"/>
      <c r="N2115" s="475" t="s">
        <v>1635</v>
      </c>
      <c r="O2115" s="475"/>
      <c r="P2115" s="475"/>
      <c r="Q2115" s="475"/>
      <c r="R2115" s="475"/>
      <c r="S2115" s="474" t="s">
        <v>1102</v>
      </c>
      <c r="T2115" s="474">
        <v>60</v>
      </c>
      <c r="U2115" s="474"/>
      <c r="V2115" s="474" t="s">
        <v>986</v>
      </c>
      <c r="W2115" s="476">
        <v>360</v>
      </c>
      <c r="X2115" s="402">
        <v>10752</v>
      </c>
      <c r="Y2115" s="491">
        <f>X2115*W2115</f>
        <v>3870720</v>
      </c>
      <c r="Z2115" s="478">
        <v>0.47499999999999998</v>
      </c>
      <c r="AA2115" s="479">
        <f t="shared" si="359"/>
        <v>1838592</v>
      </c>
      <c r="AB2115" s="480"/>
      <c r="AC2115" s="481">
        <f t="shared" ref="AC2115:AC2124" si="365">AB2115*Y2115</f>
        <v>0</v>
      </c>
      <c r="AD2115" s="490"/>
      <c r="AE2115" s="482"/>
      <c r="AF2115" s="493">
        <f t="shared" si="353"/>
        <v>1838592</v>
      </c>
      <c r="AG2115" s="474" t="s">
        <v>47</v>
      </c>
      <c r="AH2115" s="474">
        <v>0</v>
      </c>
      <c r="AI2115" s="474">
        <v>60</v>
      </c>
      <c r="AJ2115" s="474" t="s">
        <v>1109</v>
      </c>
      <c r="AK2115" s="474" t="s">
        <v>1109</v>
      </c>
      <c r="AL2115" s="474" t="s">
        <v>1109</v>
      </c>
      <c r="AM2115" s="474" t="s">
        <v>52</v>
      </c>
      <c r="AN2115" s="474"/>
      <c r="AO2115" s="474"/>
      <c r="AP2115" s="482"/>
      <c r="AQ2115" s="482" t="s">
        <v>37</v>
      </c>
      <c r="AR2115" s="474"/>
      <c r="AS2115" s="281" t="s">
        <v>3763</v>
      </c>
      <c r="AT2115" s="436" t="s">
        <v>1076</v>
      </c>
      <c r="AU2115" s="472"/>
      <c r="AV2115" s="262">
        <f t="shared" si="361"/>
        <v>0</v>
      </c>
      <c r="AW2115" s="262" cm="1">
        <f t="array" ref="AW2115">SUM(MID(0&amp;AV2115,LARGE(INDEX(ISNUMBER(--MID(AV2115,ROW($1:$8),1))*ROW($1:$8),),ROW($1:$8))+1,1)*10^ROW($1:$8)/10)</f>
        <v>0</v>
      </c>
      <c r="AX2115" s="262" t="e">
        <f>VLOOKUP($AW2115,'Item Master Data'!$A:$F,3,FALSE)</f>
        <v>#N/A</v>
      </c>
      <c r="AY2115" s="262" t="e">
        <f>VLOOKUP($AW2115,'Item Master Data'!$A:$F,6,FALSE)</f>
        <v>#N/A</v>
      </c>
      <c r="AZ2115" s="262" t="e">
        <f t="shared" si="362"/>
        <v>#N/A</v>
      </c>
      <c r="BA2115" s="262" t="e">
        <f>VLOOKUP(AW2115,'Item Master Data'!$A:$G,7,FALSE)</f>
        <v>#N/A</v>
      </c>
      <c r="BC2115" s="262" t="e">
        <f t="shared" si="363"/>
        <v>#N/A</v>
      </c>
    </row>
    <row r="2116" spans="1:55">
      <c r="A2116" s="278"/>
      <c r="B2116" s="279"/>
      <c r="C2116" s="279"/>
      <c r="D2116" s="394" t="s">
        <v>3678</v>
      </c>
      <c r="E2116" s="280" t="s">
        <v>4045</v>
      </c>
      <c r="F2116" s="474"/>
      <c r="G2116" s="474">
        <v>2022</v>
      </c>
      <c r="H2116" s="474">
        <v>10</v>
      </c>
      <c r="I2116" s="485"/>
      <c r="J2116" s="475"/>
      <c r="K2116" s="474" t="s">
        <v>4084</v>
      </c>
      <c r="L2116" s="474" t="s">
        <v>1187</v>
      </c>
      <c r="M2116" s="475">
        <v>44596</v>
      </c>
      <c r="N2116" s="475">
        <v>44837</v>
      </c>
      <c r="O2116" s="475"/>
      <c r="P2116" s="475"/>
      <c r="Q2116" s="475"/>
      <c r="R2116" s="475"/>
      <c r="S2116" s="474" t="s">
        <v>1102</v>
      </c>
      <c r="T2116" s="474">
        <v>60</v>
      </c>
      <c r="U2116" s="474"/>
      <c r="V2116" s="474" t="s">
        <v>973</v>
      </c>
      <c r="W2116" s="476">
        <v>400</v>
      </c>
      <c r="X2116" s="402">
        <v>10816</v>
      </c>
      <c r="Y2116" s="491">
        <v>4326400</v>
      </c>
      <c r="Z2116" s="478">
        <v>0.52</v>
      </c>
      <c r="AA2116" s="479">
        <f t="shared" si="359"/>
        <v>2249728</v>
      </c>
      <c r="AB2116" s="480"/>
      <c r="AC2116" s="481">
        <f t="shared" si="365"/>
        <v>0</v>
      </c>
      <c r="AD2116" s="490"/>
      <c r="AE2116" s="482"/>
      <c r="AF2116" s="493">
        <f t="shared" si="353"/>
        <v>2249728</v>
      </c>
      <c r="AG2116" s="474" t="s">
        <v>1071</v>
      </c>
      <c r="AH2116" s="474"/>
      <c r="AI2116" s="474">
        <v>60</v>
      </c>
      <c r="AJ2116" s="474" t="s">
        <v>1210</v>
      </c>
      <c r="AK2116" s="474" t="s">
        <v>1096</v>
      </c>
      <c r="AL2116" s="494">
        <v>1501</v>
      </c>
      <c r="AM2116" s="474" t="s">
        <v>52</v>
      </c>
      <c r="AN2116" s="474"/>
      <c r="AO2116" s="474"/>
      <c r="AP2116" s="482"/>
      <c r="AQ2116" s="482" t="s">
        <v>37</v>
      </c>
      <c r="AR2116" s="474"/>
      <c r="AS2116" s="281"/>
      <c r="AT2116" s="436"/>
      <c r="AU2116" s="472"/>
      <c r="AV2116" s="262">
        <f t="shared" si="361"/>
        <v>0</v>
      </c>
      <c r="AW2116" s="262" cm="1">
        <f t="array" ref="AW2116">SUM(MID(0&amp;AV2116,LARGE(INDEX(ISNUMBER(--MID(AV2116,ROW($1:$8),1))*ROW($1:$8),),ROW($1:$8))+1,1)*10^ROW($1:$8)/10)</f>
        <v>0</v>
      </c>
      <c r="AX2116" s="262" t="e">
        <f>VLOOKUP($AW2116,'Item Master Data'!$A:$F,3,FALSE)</f>
        <v>#N/A</v>
      </c>
      <c r="AY2116" s="262" t="e">
        <f>VLOOKUP($AW2116,'Item Master Data'!$A:$F,6,FALSE)</f>
        <v>#N/A</v>
      </c>
      <c r="AZ2116" s="262" t="e">
        <f t="shared" si="362"/>
        <v>#N/A</v>
      </c>
      <c r="BA2116" s="262" t="e">
        <f>VLOOKUP(AW2116,'Item Master Data'!$A:$G,7,FALSE)</f>
        <v>#N/A</v>
      </c>
      <c r="BC2116" s="262" t="e">
        <f t="shared" si="363"/>
        <v>#N/A</v>
      </c>
    </row>
    <row r="2117" spans="1:55">
      <c r="A2117" s="278"/>
      <c r="B2117" s="279">
        <v>44614</v>
      </c>
      <c r="C2117" s="279">
        <v>44614</v>
      </c>
      <c r="D2117" s="394" t="s">
        <v>3678</v>
      </c>
      <c r="E2117" s="280" t="s">
        <v>1283</v>
      </c>
      <c r="F2117" s="474"/>
      <c r="G2117" s="474">
        <v>2022</v>
      </c>
      <c r="H2117" s="474">
        <v>10</v>
      </c>
      <c r="I2117" s="485"/>
      <c r="J2117" s="475"/>
      <c r="K2117" s="474" t="s">
        <v>4085</v>
      </c>
      <c r="L2117" s="474" t="s">
        <v>1228</v>
      </c>
      <c r="M2117" s="475">
        <v>44608</v>
      </c>
      <c r="N2117" s="475">
        <v>44837</v>
      </c>
      <c r="O2117" s="475"/>
      <c r="P2117" s="475"/>
      <c r="Q2117" s="475"/>
      <c r="R2117" s="475"/>
      <c r="S2117" s="474" t="s">
        <v>1102</v>
      </c>
      <c r="T2117" s="474">
        <v>60</v>
      </c>
      <c r="U2117" s="474"/>
      <c r="V2117" s="474" t="s">
        <v>973</v>
      </c>
      <c r="W2117" s="476">
        <v>400</v>
      </c>
      <c r="X2117" s="402">
        <v>3584</v>
      </c>
      <c r="Y2117" s="491">
        <f>W2117*X2117</f>
        <v>1433600</v>
      </c>
      <c r="Z2117" s="478">
        <v>0.55000000000000004</v>
      </c>
      <c r="AA2117" s="479">
        <f t="shared" si="359"/>
        <v>788480.00000000012</v>
      </c>
      <c r="AB2117" s="480"/>
      <c r="AC2117" s="481">
        <f t="shared" si="365"/>
        <v>0</v>
      </c>
      <c r="AD2117" s="490"/>
      <c r="AE2117" s="482"/>
      <c r="AF2117" s="493">
        <f t="shared" ref="AF2117:AF2180" si="366">AE2117+AD2117+AA2117</f>
        <v>788480.00000000012</v>
      </c>
      <c r="AG2117" s="474" t="s">
        <v>1071</v>
      </c>
      <c r="AH2117" s="474"/>
      <c r="AI2117" s="474">
        <v>60</v>
      </c>
      <c r="AJ2117" s="474" t="s">
        <v>1230</v>
      </c>
      <c r="AK2117" s="474" t="s">
        <v>1190</v>
      </c>
      <c r="AL2117" s="494">
        <v>6492</v>
      </c>
      <c r="AM2117" s="474" t="s">
        <v>52</v>
      </c>
      <c r="AN2117" s="474"/>
      <c r="AO2117" s="474"/>
      <c r="AP2117" s="482"/>
      <c r="AQ2117" s="482" t="s">
        <v>37</v>
      </c>
      <c r="AR2117" s="474"/>
      <c r="AS2117" s="281"/>
      <c r="AT2117" s="436"/>
      <c r="AU2117" s="472"/>
      <c r="AV2117" s="262">
        <f t="shared" si="361"/>
        <v>0</v>
      </c>
      <c r="AW2117" s="262" cm="1">
        <f t="array" ref="AW2117">SUM(MID(0&amp;AV2117,LARGE(INDEX(ISNUMBER(--MID(AV2117,ROW($1:$8),1))*ROW($1:$8),),ROW($1:$8))+1,1)*10^ROW($1:$8)/10)</f>
        <v>0</v>
      </c>
      <c r="AX2117" s="262" t="e">
        <f>VLOOKUP($AW2117,'Item Master Data'!$A:$F,3,FALSE)</f>
        <v>#N/A</v>
      </c>
      <c r="AY2117" s="262" t="e">
        <f>VLOOKUP($AW2117,'Item Master Data'!$A:$F,6,FALSE)</f>
        <v>#N/A</v>
      </c>
      <c r="AZ2117" s="262" t="e">
        <f t="shared" si="362"/>
        <v>#N/A</v>
      </c>
      <c r="BA2117" s="262" t="e">
        <f>VLOOKUP(AW2117,'Item Master Data'!$A:$G,7,FALSE)</f>
        <v>#N/A</v>
      </c>
      <c r="BC2117" s="262" t="e">
        <f t="shared" si="363"/>
        <v>#N/A</v>
      </c>
    </row>
    <row r="2118" spans="1:55">
      <c r="A2118" s="278"/>
      <c r="B2118" s="279">
        <v>44614</v>
      </c>
      <c r="C2118" s="279">
        <v>44614</v>
      </c>
      <c r="D2118" s="394" t="s">
        <v>3678</v>
      </c>
      <c r="E2118" s="280" t="s">
        <v>1283</v>
      </c>
      <c r="F2118" s="474"/>
      <c r="G2118" s="474">
        <v>2022</v>
      </c>
      <c r="H2118" s="474">
        <v>10</v>
      </c>
      <c r="I2118" s="485"/>
      <c r="J2118" s="475"/>
      <c r="K2118" s="474" t="s">
        <v>4086</v>
      </c>
      <c r="L2118" s="474" t="s">
        <v>1368</v>
      </c>
      <c r="M2118" s="475">
        <v>44610</v>
      </c>
      <c r="N2118" s="475">
        <v>44835</v>
      </c>
      <c r="O2118" s="475"/>
      <c r="P2118" s="475"/>
      <c r="Q2118" s="475"/>
      <c r="R2118" s="475"/>
      <c r="S2118" s="474" t="s">
        <v>1102</v>
      </c>
      <c r="T2118" s="474">
        <v>60</v>
      </c>
      <c r="U2118" s="474"/>
      <c r="V2118" s="474" t="s">
        <v>986</v>
      </c>
      <c r="W2118" s="476">
        <v>360</v>
      </c>
      <c r="X2118" s="402">
        <v>832</v>
      </c>
      <c r="Y2118" s="491">
        <f>W2118*X2118</f>
        <v>299520</v>
      </c>
      <c r="Z2118" s="478">
        <v>0.53</v>
      </c>
      <c r="AA2118" s="479">
        <f t="shared" si="359"/>
        <v>158745.60000000001</v>
      </c>
      <c r="AB2118" s="480"/>
      <c r="AC2118" s="481">
        <f t="shared" si="365"/>
        <v>0</v>
      </c>
      <c r="AD2118" s="490"/>
      <c r="AE2118" s="482"/>
      <c r="AF2118" s="493">
        <f t="shared" si="366"/>
        <v>158745.60000000001</v>
      </c>
      <c r="AG2118" s="474" t="s">
        <v>1071</v>
      </c>
      <c r="AH2118" s="474">
        <v>0</v>
      </c>
      <c r="AI2118" s="474">
        <v>60</v>
      </c>
      <c r="AJ2118" s="474" t="s">
        <v>1369</v>
      </c>
      <c r="AK2118" s="474" t="s">
        <v>1370</v>
      </c>
      <c r="AL2118" s="494">
        <v>5401</v>
      </c>
      <c r="AM2118" s="474" t="s">
        <v>52</v>
      </c>
      <c r="AN2118" s="474" t="s">
        <v>1074</v>
      </c>
      <c r="AO2118" s="474"/>
      <c r="AP2118" s="482"/>
      <c r="AQ2118" s="482" t="s">
        <v>37</v>
      </c>
      <c r="AR2118" s="474"/>
      <c r="AS2118" s="281"/>
      <c r="AT2118" s="436"/>
      <c r="AU2118" s="472"/>
      <c r="AV2118" s="262">
        <f t="shared" si="361"/>
        <v>0</v>
      </c>
      <c r="AW2118" s="262" cm="1">
        <f t="array" ref="AW2118">SUM(MID(0&amp;AV2118,LARGE(INDEX(ISNUMBER(--MID(AV2118,ROW($1:$8),1))*ROW($1:$8),),ROW($1:$8))+1,1)*10^ROW($1:$8)/10)</f>
        <v>0</v>
      </c>
      <c r="AX2118" s="262" t="e">
        <f>VLOOKUP($AW2118,'Item Master Data'!$A:$F,3,FALSE)</f>
        <v>#N/A</v>
      </c>
      <c r="AY2118" s="262" t="e">
        <f>VLOOKUP($AW2118,'Item Master Data'!$A:$F,6,FALSE)</f>
        <v>#N/A</v>
      </c>
      <c r="AZ2118" s="262" t="e">
        <f t="shared" si="362"/>
        <v>#N/A</v>
      </c>
      <c r="BA2118" s="262" t="e">
        <f>VLOOKUP(AW2118,'Item Master Data'!$A:$G,7,FALSE)</f>
        <v>#N/A</v>
      </c>
      <c r="BC2118" s="262" t="e">
        <f t="shared" si="363"/>
        <v>#N/A</v>
      </c>
    </row>
    <row r="2119" spans="1:55">
      <c r="A2119" s="278"/>
      <c r="B2119" s="279"/>
      <c r="C2119" s="279"/>
      <c r="D2119" s="394" t="s">
        <v>3678</v>
      </c>
      <c r="E2119" s="288" t="s">
        <v>4072</v>
      </c>
      <c r="F2119" s="474"/>
      <c r="G2119" s="474">
        <v>2022</v>
      </c>
      <c r="H2119" s="474">
        <v>10</v>
      </c>
      <c r="I2119" s="474"/>
      <c r="J2119" s="475"/>
      <c r="K2119" s="474" t="s">
        <v>4073</v>
      </c>
      <c r="L2119" s="474" t="s">
        <v>3762</v>
      </c>
      <c r="M2119" s="475"/>
      <c r="N2119" s="475" t="s">
        <v>1636</v>
      </c>
      <c r="O2119" s="475"/>
      <c r="P2119" s="475"/>
      <c r="Q2119" s="475"/>
      <c r="R2119" s="475"/>
      <c r="S2119" s="474" t="s">
        <v>1102</v>
      </c>
      <c r="T2119" s="474">
        <v>60</v>
      </c>
      <c r="U2119" s="474"/>
      <c r="V2119" s="474" t="s">
        <v>986</v>
      </c>
      <c r="W2119" s="476">
        <v>360</v>
      </c>
      <c r="X2119" s="402">
        <v>10752</v>
      </c>
      <c r="Y2119" s="491">
        <f>X2119*W2119</f>
        <v>3870720</v>
      </c>
      <c r="Z2119" s="478">
        <v>0.47499999999999998</v>
      </c>
      <c r="AA2119" s="479">
        <f t="shared" si="359"/>
        <v>1838592</v>
      </c>
      <c r="AB2119" s="480"/>
      <c r="AC2119" s="481">
        <f t="shared" si="365"/>
        <v>0</v>
      </c>
      <c r="AD2119" s="490"/>
      <c r="AE2119" s="482"/>
      <c r="AF2119" s="493">
        <f t="shared" si="366"/>
        <v>1838592</v>
      </c>
      <c r="AG2119" s="474" t="s">
        <v>47</v>
      </c>
      <c r="AH2119" s="474">
        <v>0</v>
      </c>
      <c r="AI2119" s="474">
        <v>60</v>
      </c>
      <c r="AJ2119" s="474" t="s">
        <v>1109</v>
      </c>
      <c r="AK2119" s="474" t="s">
        <v>1109</v>
      </c>
      <c r="AL2119" s="474" t="s">
        <v>1109</v>
      </c>
      <c r="AM2119" s="474" t="s">
        <v>52</v>
      </c>
      <c r="AN2119" s="474"/>
      <c r="AO2119" s="474"/>
      <c r="AP2119" s="482"/>
      <c r="AQ2119" s="482" t="s">
        <v>37</v>
      </c>
      <c r="AR2119" s="474"/>
      <c r="AS2119" s="281" t="s">
        <v>3763</v>
      </c>
      <c r="AT2119" s="436" t="s">
        <v>1076</v>
      </c>
      <c r="AU2119" s="472"/>
      <c r="AV2119" s="262">
        <f t="shared" si="361"/>
        <v>0</v>
      </c>
      <c r="AW2119" s="262" cm="1">
        <f t="array" ref="AW2119">SUM(MID(0&amp;AV2119,LARGE(INDEX(ISNUMBER(--MID(AV2119,ROW($1:$8),1))*ROW($1:$8),),ROW($1:$8))+1,1)*10^ROW($1:$8)/10)</f>
        <v>0</v>
      </c>
      <c r="AX2119" s="262" t="e">
        <f>VLOOKUP($AW2119,'Item Master Data'!$A:$F,3,FALSE)</f>
        <v>#N/A</v>
      </c>
      <c r="AY2119" s="262" t="e">
        <f>VLOOKUP($AW2119,'Item Master Data'!$A:$F,6,FALSE)</f>
        <v>#N/A</v>
      </c>
      <c r="AZ2119" s="262" t="e">
        <f t="shared" si="362"/>
        <v>#N/A</v>
      </c>
      <c r="BA2119" s="262" t="e">
        <f>VLOOKUP(AW2119,'Item Master Data'!$A:$G,7,FALSE)</f>
        <v>#N/A</v>
      </c>
      <c r="BC2119" s="262" t="e">
        <f t="shared" si="363"/>
        <v>#N/A</v>
      </c>
    </row>
    <row r="2120" spans="1:55">
      <c r="A2120" s="278"/>
      <c r="B2120" s="279"/>
      <c r="C2120" s="279"/>
      <c r="D2120" s="394" t="s">
        <v>3678</v>
      </c>
      <c r="E2120" s="280" t="s">
        <v>4045</v>
      </c>
      <c r="F2120" s="474"/>
      <c r="G2120" s="474">
        <v>2022</v>
      </c>
      <c r="H2120" s="474">
        <v>11</v>
      </c>
      <c r="I2120" s="485"/>
      <c r="J2120" s="475"/>
      <c r="K2120" s="474" t="s">
        <v>4087</v>
      </c>
      <c r="L2120" s="474" t="s">
        <v>1187</v>
      </c>
      <c r="M2120" s="475">
        <v>44596</v>
      </c>
      <c r="N2120" s="475">
        <v>44866</v>
      </c>
      <c r="O2120" s="475"/>
      <c r="P2120" s="475"/>
      <c r="Q2120" s="475"/>
      <c r="R2120" s="475"/>
      <c r="S2120" s="474" t="s">
        <v>1102</v>
      </c>
      <c r="T2120" s="474">
        <v>60</v>
      </c>
      <c r="U2120" s="474"/>
      <c r="V2120" s="474" t="s">
        <v>973</v>
      </c>
      <c r="W2120" s="476">
        <v>400</v>
      </c>
      <c r="X2120" s="402">
        <v>11648</v>
      </c>
      <c r="Y2120" s="491">
        <v>4659200</v>
      </c>
      <c r="Z2120" s="478">
        <v>0.52</v>
      </c>
      <c r="AA2120" s="479">
        <f t="shared" si="359"/>
        <v>2422784</v>
      </c>
      <c r="AB2120" s="480"/>
      <c r="AC2120" s="481">
        <f t="shared" si="365"/>
        <v>0</v>
      </c>
      <c r="AD2120" s="490"/>
      <c r="AE2120" s="482"/>
      <c r="AF2120" s="493">
        <f t="shared" si="366"/>
        <v>2422784</v>
      </c>
      <c r="AG2120" s="474" t="s">
        <v>1071</v>
      </c>
      <c r="AH2120" s="474"/>
      <c r="AI2120" s="474">
        <v>60</v>
      </c>
      <c r="AJ2120" s="474" t="s">
        <v>1210</v>
      </c>
      <c r="AK2120" s="474" t="s">
        <v>1096</v>
      </c>
      <c r="AL2120" s="494">
        <v>1501</v>
      </c>
      <c r="AM2120" s="474" t="s">
        <v>52</v>
      </c>
      <c r="AN2120" s="474"/>
      <c r="AO2120" s="474"/>
      <c r="AP2120" s="482"/>
      <c r="AQ2120" s="482" t="s">
        <v>37</v>
      </c>
      <c r="AR2120" s="474"/>
      <c r="AS2120" s="281"/>
      <c r="AT2120" s="436"/>
      <c r="AU2120" s="472"/>
      <c r="AV2120" s="262">
        <f t="shared" si="361"/>
        <v>0</v>
      </c>
      <c r="AW2120" s="262" cm="1">
        <f t="array" ref="AW2120">SUM(MID(0&amp;AV2120,LARGE(INDEX(ISNUMBER(--MID(AV2120,ROW($1:$8),1))*ROW($1:$8),),ROW($1:$8))+1,1)*10^ROW($1:$8)/10)</f>
        <v>0</v>
      </c>
      <c r="AX2120" s="262" t="e">
        <f>VLOOKUP($AW2120,'Item Master Data'!$A:$F,3,FALSE)</f>
        <v>#N/A</v>
      </c>
      <c r="AY2120" s="262" t="e">
        <f>VLOOKUP($AW2120,'Item Master Data'!$A:$F,6,FALSE)</f>
        <v>#N/A</v>
      </c>
      <c r="AZ2120" s="262" t="e">
        <f t="shared" si="362"/>
        <v>#N/A</v>
      </c>
      <c r="BA2120" s="262" t="e">
        <f>VLOOKUP(AW2120,'Item Master Data'!$A:$G,7,FALSE)</f>
        <v>#N/A</v>
      </c>
      <c r="BC2120" s="262" t="e">
        <f t="shared" si="363"/>
        <v>#N/A</v>
      </c>
    </row>
    <row r="2121" spans="1:55">
      <c r="A2121" s="278"/>
      <c r="B2121" s="279">
        <v>44614</v>
      </c>
      <c r="C2121" s="279">
        <v>44614</v>
      </c>
      <c r="D2121" s="394" t="s">
        <v>3678</v>
      </c>
      <c r="E2121" s="280" t="s">
        <v>1283</v>
      </c>
      <c r="F2121" s="474"/>
      <c r="G2121" s="474">
        <v>2022</v>
      </c>
      <c r="H2121" s="474">
        <v>11</v>
      </c>
      <c r="I2121" s="485"/>
      <c r="J2121" s="475"/>
      <c r="K2121" s="474" t="s">
        <v>4088</v>
      </c>
      <c r="L2121" s="474" t="s">
        <v>1228</v>
      </c>
      <c r="M2121" s="475">
        <v>44608</v>
      </c>
      <c r="N2121" s="475">
        <v>44872</v>
      </c>
      <c r="O2121" s="475"/>
      <c r="P2121" s="475"/>
      <c r="Q2121" s="475"/>
      <c r="R2121" s="475"/>
      <c r="S2121" s="474" t="s">
        <v>1102</v>
      </c>
      <c r="T2121" s="474">
        <v>60</v>
      </c>
      <c r="U2121" s="474"/>
      <c r="V2121" s="474" t="s">
        <v>973</v>
      </c>
      <c r="W2121" s="476">
        <v>400</v>
      </c>
      <c r="X2121" s="402">
        <v>3584</v>
      </c>
      <c r="Y2121" s="491">
        <f>W2121*X2121</f>
        <v>1433600</v>
      </c>
      <c r="Z2121" s="478">
        <v>0.55000000000000004</v>
      </c>
      <c r="AA2121" s="479">
        <f t="shared" si="359"/>
        <v>788480.00000000012</v>
      </c>
      <c r="AB2121" s="480"/>
      <c r="AC2121" s="481">
        <f t="shared" si="365"/>
        <v>0</v>
      </c>
      <c r="AD2121" s="490"/>
      <c r="AE2121" s="482"/>
      <c r="AF2121" s="493">
        <f t="shared" si="366"/>
        <v>788480.00000000012</v>
      </c>
      <c r="AG2121" s="474" t="s">
        <v>1071</v>
      </c>
      <c r="AH2121" s="474"/>
      <c r="AI2121" s="474">
        <v>60</v>
      </c>
      <c r="AJ2121" s="474" t="s">
        <v>1230</v>
      </c>
      <c r="AK2121" s="474" t="s">
        <v>1190</v>
      </c>
      <c r="AL2121" s="494">
        <v>6492</v>
      </c>
      <c r="AM2121" s="474" t="s">
        <v>52</v>
      </c>
      <c r="AN2121" s="474"/>
      <c r="AO2121" s="474"/>
      <c r="AP2121" s="482"/>
      <c r="AQ2121" s="482" t="s">
        <v>37</v>
      </c>
      <c r="AR2121" s="474"/>
      <c r="AS2121" s="281"/>
      <c r="AT2121" s="436"/>
      <c r="AU2121" s="472"/>
      <c r="AV2121" s="262">
        <f t="shared" si="361"/>
        <v>0</v>
      </c>
      <c r="AW2121" s="262" cm="1">
        <f t="array" ref="AW2121">SUM(MID(0&amp;AV2121,LARGE(INDEX(ISNUMBER(--MID(AV2121,ROW($1:$8),1))*ROW($1:$8),),ROW($1:$8))+1,1)*10^ROW($1:$8)/10)</f>
        <v>0</v>
      </c>
      <c r="AX2121" s="262" t="e">
        <f>VLOOKUP($AW2121,'Item Master Data'!$A:$F,3,FALSE)</f>
        <v>#N/A</v>
      </c>
      <c r="AY2121" s="262" t="e">
        <f>VLOOKUP($AW2121,'Item Master Data'!$A:$F,6,FALSE)</f>
        <v>#N/A</v>
      </c>
      <c r="AZ2121" s="262" t="e">
        <f t="shared" si="362"/>
        <v>#N/A</v>
      </c>
      <c r="BA2121" s="262" t="e">
        <f>VLOOKUP(AW2121,'Item Master Data'!$A:$G,7,FALSE)</f>
        <v>#N/A</v>
      </c>
      <c r="BC2121" s="262" t="e">
        <f t="shared" si="363"/>
        <v>#N/A</v>
      </c>
    </row>
    <row r="2122" spans="1:55">
      <c r="A2122" s="278"/>
      <c r="B2122" s="279">
        <v>44614</v>
      </c>
      <c r="C2122" s="279">
        <v>44614</v>
      </c>
      <c r="D2122" s="394" t="s">
        <v>3678</v>
      </c>
      <c r="E2122" s="280" t="s">
        <v>1283</v>
      </c>
      <c r="F2122" s="474"/>
      <c r="G2122" s="474">
        <v>2022</v>
      </c>
      <c r="H2122" s="474">
        <v>11</v>
      </c>
      <c r="I2122" s="485"/>
      <c r="J2122" s="475"/>
      <c r="K2122" s="474" t="s">
        <v>4089</v>
      </c>
      <c r="L2122" s="474" t="s">
        <v>1368</v>
      </c>
      <c r="M2122" s="475">
        <v>44610</v>
      </c>
      <c r="N2122" s="475">
        <v>44866</v>
      </c>
      <c r="O2122" s="475"/>
      <c r="P2122" s="475"/>
      <c r="Q2122" s="475"/>
      <c r="R2122" s="475"/>
      <c r="S2122" s="474" t="s">
        <v>1102</v>
      </c>
      <c r="T2122" s="474">
        <v>60</v>
      </c>
      <c r="U2122" s="474"/>
      <c r="V2122" s="474" t="s">
        <v>986</v>
      </c>
      <c r="W2122" s="476">
        <v>360</v>
      </c>
      <c r="X2122" s="402">
        <v>832</v>
      </c>
      <c r="Y2122" s="491">
        <f>W2122*X2122</f>
        <v>299520</v>
      </c>
      <c r="Z2122" s="478">
        <v>0.53</v>
      </c>
      <c r="AA2122" s="479">
        <f t="shared" si="359"/>
        <v>158745.60000000001</v>
      </c>
      <c r="AB2122" s="480"/>
      <c r="AC2122" s="481">
        <f t="shared" si="365"/>
        <v>0</v>
      </c>
      <c r="AD2122" s="490"/>
      <c r="AE2122" s="482"/>
      <c r="AF2122" s="493">
        <f t="shared" si="366"/>
        <v>158745.60000000001</v>
      </c>
      <c r="AG2122" s="474" t="s">
        <v>1071</v>
      </c>
      <c r="AH2122" s="474">
        <v>0</v>
      </c>
      <c r="AI2122" s="474">
        <v>60</v>
      </c>
      <c r="AJ2122" s="474" t="s">
        <v>1369</v>
      </c>
      <c r="AK2122" s="474" t="s">
        <v>1370</v>
      </c>
      <c r="AL2122" s="494">
        <v>5401</v>
      </c>
      <c r="AM2122" s="474" t="s">
        <v>52</v>
      </c>
      <c r="AN2122" s="474" t="s">
        <v>1074</v>
      </c>
      <c r="AO2122" s="474"/>
      <c r="AP2122" s="482"/>
      <c r="AQ2122" s="482" t="s">
        <v>37</v>
      </c>
      <c r="AR2122" s="474"/>
      <c r="AS2122" s="281"/>
      <c r="AT2122" s="436"/>
      <c r="AU2122" s="472"/>
      <c r="AV2122" s="262">
        <f t="shared" si="361"/>
        <v>0</v>
      </c>
      <c r="AW2122" s="262" cm="1">
        <f t="array" ref="AW2122">SUM(MID(0&amp;AV2122,LARGE(INDEX(ISNUMBER(--MID(AV2122,ROW($1:$8),1))*ROW($1:$8),),ROW($1:$8))+1,1)*10^ROW($1:$8)/10)</f>
        <v>0</v>
      </c>
      <c r="AX2122" s="262" t="e">
        <f>VLOOKUP($AW2122,'Item Master Data'!$A:$F,3,FALSE)</f>
        <v>#N/A</v>
      </c>
      <c r="AY2122" s="262" t="e">
        <f>VLOOKUP($AW2122,'Item Master Data'!$A:$F,6,FALSE)</f>
        <v>#N/A</v>
      </c>
      <c r="AZ2122" s="262" t="e">
        <f t="shared" si="362"/>
        <v>#N/A</v>
      </c>
      <c r="BA2122" s="262" t="e">
        <f>VLOOKUP(AW2122,'Item Master Data'!$A:$G,7,FALSE)</f>
        <v>#N/A</v>
      </c>
      <c r="BC2122" s="262" t="e">
        <f t="shared" si="363"/>
        <v>#N/A</v>
      </c>
    </row>
    <row r="2123" spans="1:55">
      <c r="A2123" s="278"/>
      <c r="B2123" s="279"/>
      <c r="C2123" s="279"/>
      <c r="D2123" s="394" t="s">
        <v>3678</v>
      </c>
      <c r="E2123" s="280" t="s">
        <v>4090</v>
      </c>
      <c r="F2123" s="474"/>
      <c r="G2123" s="474">
        <v>2022</v>
      </c>
      <c r="H2123" s="474">
        <v>12</v>
      </c>
      <c r="I2123" s="485"/>
      <c r="J2123" s="475"/>
      <c r="K2123" s="474" t="s">
        <v>4091</v>
      </c>
      <c r="L2123" s="474" t="s">
        <v>1187</v>
      </c>
      <c r="M2123" s="475">
        <v>44596</v>
      </c>
      <c r="N2123" s="475">
        <v>44896</v>
      </c>
      <c r="O2123" s="475"/>
      <c r="P2123" s="475"/>
      <c r="Q2123" s="475"/>
      <c r="R2123" s="475"/>
      <c r="S2123" s="474" t="s">
        <v>1102</v>
      </c>
      <c r="T2123" s="474">
        <v>60</v>
      </c>
      <c r="U2123" s="474">
        <v>49403140</v>
      </c>
      <c r="V2123" s="474" t="s">
        <v>973</v>
      </c>
      <c r="W2123" s="476">
        <v>400</v>
      </c>
      <c r="X2123" s="402">
        <v>12480</v>
      </c>
      <c r="Y2123" s="491">
        <v>4992000</v>
      </c>
      <c r="Z2123" s="478">
        <v>0.52</v>
      </c>
      <c r="AA2123" s="479">
        <f t="shared" si="359"/>
        <v>2595840</v>
      </c>
      <c r="AB2123" s="480"/>
      <c r="AC2123" s="481">
        <f t="shared" si="365"/>
        <v>0</v>
      </c>
      <c r="AD2123" s="490"/>
      <c r="AE2123" s="482"/>
      <c r="AF2123" s="493">
        <f t="shared" si="366"/>
        <v>2595840</v>
      </c>
      <c r="AG2123" s="474" t="s">
        <v>1071</v>
      </c>
      <c r="AH2123" s="474"/>
      <c r="AI2123" s="474">
        <v>60</v>
      </c>
      <c r="AJ2123" s="474" t="s">
        <v>1210</v>
      </c>
      <c r="AK2123" s="474" t="s">
        <v>1096</v>
      </c>
      <c r="AL2123" s="494">
        <v>1501</v>
      </c>
      <c r="AM2123" s="474" t="s">
        <v>52</v>
      </c>
      <c r="AN2123" s="474" t="s">
        <v>1074</v>
      </c>
      <c r="AO2123" s="474"/>
      <c r="AP2123" s="482"/>
      <c r="AQ2123" s="482" t="s">
        <v>37</v>
      </c>
      <c r="AR2123" s="474"/>
      <c r="AS2123" s="281"/>
      <c r="AT2123" s="436"/>
      <c r="AU2123" s="472"/>
      <c r="AV2123" s="262">
        <f t="shared" ref="AV2123:AV2149" si="367">U2123</f>
        <v>49403140</v>
      </c>
      <c r="AW2123" s="262" cm="1">
        <f t="array" ref="AW2123">SUM(MID(0&amp;AV2123,LARGE(INDEX(ISNUMBER(--MID(AV2123,ROW($1:$8),1))*ROW($1:$8),),ROW($1:$8))+1,1)*10^ROW($1:$8)/10)</f>
        <v>49403140</v>
      </c>
      <c r="AX2123" s="262" t="str">
        <f>VLOOKUP($AW2123,'Item Master Data'!$A:$F,3,FALSE)</f>
        <v>Q.PEAK DUO BLK ML G10+</v>
      </c>
      <c r="AY2123" s="262">
        <f>VLOOKUP($AW2123,'Item Master Data'!$A:$F,6,FALSE)</f>
        <v>400</v>
      </c>
      <c r="AZ2123" s="262">
        <f t="shared" ref="AZ2123:AZ2154" si="368">X2123/BA2123</f>
        <v>390</v>
      </c>
      <c r="BA2123" s="262">
        <f>VLOOKUP(AW2123,'Item Master Data'!$A:$G,7,FALSE)</f>
        <v>32</v>
      </c>
      <c r="BC2123" s="262">
        <f t="shared" ref="BC2123:BC2149" si="369">W2123-AY2123</f>
        <v>0</v>
      </c>
    </row>
    <row r="2124" spans="1:55">
      <c r="A2124" s="278"/>
      <c r="B2124" s="279">
        <v>44614</v>
      </c>
      <c r="C2124" s="279">
        <v>44614</v>
      </c>
      <c r="D2124" s="394" t="s">
        <v>3678</v>
      </c>
      <c r="E2124" s="280" t="s">
        <v>1283</v>
      </c>
      <c r="F2124" s="474"/>
      <c r="G2124" s="474">
        <v>2022</v>
      </c>
      <c r="H2124" s="474">
        <v>12</v>
      </c>
      <c r="I2124" s="485"/>
      <c r="J2124" s="475"/>
      <c r="K2124" s="474" t="s">
        <v>4092</v>
      </c>
      <c r="L2124" s="474" t="s">
        <v>1228</v>
      </c>
      <c r="M2124" s="475">
        <v>44608</v>
      </c>
      <c r="N2124" s="475">
        <v>44900</v>
      </c>
      <c r="O2124" s="475"/>
      <c r="P2124" s="475"/>
      <c r="Q2124" s="475"/>
      <c r="R2124" s="475"/>
      <c r="S2124" s="474" t="s">
        <v>1102</v>
      </c>
      <c r="T2124" s="474">
        <v>60</v>
      </c>
      <c r="U2124" s="474"/>
      <c r="V2124" s="474" t="s">
        <v>973</v>
      </c>
      <c r="W2124" s="476">
        <v>400</v>
      </c>
      <c r="X2124" s="402">
        <v>3584</v>
      </c>
      <c r="Y2124" s="491">
        <f>W2124*X2124</f>
        <v>1433600</v>
      </c>
      <c r="Z2124" s="478">
        <v>0.55000000000000004</v>
      </c>
      <c r="AA2124" s="479">
        <f t="shared" si="359"/>
        <v>788480.00000000012</v>
      </c>
      <c r="AB2124" s="480"/>
      <c r="AC2124" s="481">
        <f t="shared" si="365"/>
        <v>0</v>
      </c>
      <c r="AD2124" s="490"/>
      <c r="AE2124" s="482"/>
      <c r="AF2124" s="493">
        <f t="shared" si="366"/>
        <v>788480.00000000012</v>
      </c>
      <c r="AG2124" s="474" t="s">
        <v>1071</v>
      </c>
      <c r="AH2124" s="474"/>
      <c r="AI2124" s="474">
        <v>60</v>
      </c>
      <c r="AJ2124" s="474" t="s">
        <v>1230</v>
      </c>
      <c r="AK2124" s="474" t="s">
        <v>1190</v>
      </c>
      <c r="AL2124" s="494">
        <v>6492</v>
      </c>
      <c r="AM2124" s="474" t="s">
        <v>52</v>
      </c>
      <c r="AN2124" s="474"/>
      <c r="AO2124" s="474"/>
      <c r="AP2124" s="482"/>
      <c r="AQ2124" s="482" t="s">
        <v>37</v>
      </c>
      <c r="AR2124" s="474"/>
      <c r="AS2124" s="281"/>
      <c r="AT2124" s="436"/>
      <c r="AU2124" s="472"/>
      <c r="AV2124" s="262">
        <f t="shared" si="367"/>
        <v>0</v>
      </c>
      <c r="AW2124" s="262" cm="1">
        <f t="array" ref="AW2124">SUM(MID(0&amp;AV2124,LARGE(INDEX(ISNUMBER(--MID(AV2124,ROW($1:$8),1))*ROW($1:$8),),ROW($1:$8))+1,1)*10^ROW($1:$8)/10)</f>
        <v>0</v>
      </c>
      <c r="AX2124" s="262" t="e">
        <f>VLOOKUP($AW2124,'Item Master Data'!$A:$F,3,FALSE)</f>
        <v>#N/A</v>
      </c>
      <c r="AY2124" s="262" t="e">
        <f>VLOOKUP($AW2124,'Item Master Data'!$A:$F,6,FALSE)</f>
        <v>#N/A</v>
      </c>
      <c r="AZ2124" s="262" t="e">
        <f t="shared" si="368"/>
        <v>#N/A</v>
      </c>
      <c r="BA2124" s="262" t="e">
        <f>VLOOKUP(AW2124,'Item Master Data'!$A:$G,7,FALSE)</f>
        <v>#N/A</v>
      </c>
      <c r="BC2124" s="262" t="e">
        <f t="shared" si="369"/>
        <v>#N/A</v>
      </c>
    </row>
    <row r="2125" spans="1:55">
      <c r="A2125" s="410"/>
      <c r="B2125" s="407"/>
      <c r="C2125" s="407"/>
      <c r="D2125" s="474" t="s">
        <v>1066</v>
      </c>
      <c r="E2125" s="388" t="s">
        <v>1106</v>
      </c>
      <c r="F2125" s="474" t="s">
        <v>87</v>
      </c>
      <c r="G2125" s="474">
        <v>2022</v>
      </c>
      <c r="H2125" s="474">
        <v>4</v>
      </c>
      <c r="I2125" s="485" t="s">
        <v>3023</v>
      </c>
      <c r="J2125" s="475">
        <v>44662</v>
      </c>
      <c r="K2125" s="474" t="s">
        <v>1067</v>
      </c>
      <c r="L2125" s="475" t="s">
        <v>1068</v>
      </c>
      <c r="M2125" s="475">
        <v>44551</v>
      </c>
      <c r="N2125" s="475">
        <v>44627</v>
      </c>
      <c r="O2125" s="475"/>
      <c r="P2125" s="475">
        <v>44630</v>
      </c>
      <c r="Q2125" s="475">
        <v>44662</v>
      </c>
      <c r="R2125" s="475">
        <v>44664</v>
      </c>
      <c r="S2125" s="474" t="s">
        <v>1069</v>
      </c>
      <c r="T2125" s="474">
        <v>72</v>
      </c>
      <c r="U2125" s="474">
        <v>49303156</v>
      </c>
      <c r="V2125" s="474" t="s">
        <v>1070</v>
      </c>
      <c r="W2125" s="476">
        <v>480</v>
      </c>
      <c r="X2125" s="402">
        <v>2494</v>
      </c>
      <c r="Y2125" s="491">
        <f t="shared" ref="Y2125:Y2133" si="370">W2125*X2125</f>
        <v>1197120</v>
      </c>
      <c r="Z2125" s="478">
        <v>0.49</v>
      </c>
      <c r="AA2125" s="479">
        <f>Y2125*Z2125</f>
        <v>586588.80000000005</v>
      </c>
      <c r="AB2125" s="386"/>
      <c r="AC2125" s="481">
        <v>0</v>
      </c>
      <c r="AD2125" s="474"/>
      <c r="AE2125" s="482"/>
      <c r="AF2125" s="493">
        <f t="shared" si="366"/>
        <v>586588.80000000005</v>
      </c>
      <c r="AG2125" s="474" t="s">
        <v>1071</v>
      </c>
      <c r="AH2125" s="447">
        <v>10</v>
      </c>
      <c r="AI2125" s="474">
        <v>30</v>
      </c>
      <c r="AJ2125" s="474" t="s">
        <v>1072</v>
      </c>
      <c r="AK2125" s="474" t="s">
        <v>1073</v>
      </c>
      <c r="AL2125" s="494">
        <v>21222</v>
      </c>
      <c r="AM2125" s="474" t="s">
        <v>52</v>
      </c>
      <c r="AN2125" s="474" t="s">
        <v>1074</v>
      </c>
      <c r="AO2125" s="474"/>
      <c r="AP2125" s="474"/>
      <c r="AQ2125" s="474"/>
      <c r="AR2125" s="474"/>
      <c r="AS2125" s="387"/>
      <c r="AT2125" s="387" t="s">
        <v>1076</v>
      </c>
      <c r="AU2125" s="471"/>
      <c r="AV2125" s="262">
        <f t="shared" si="367"/>
        <v>49303156</v>
      </c>
      <c r="AW2125" s="262" cm="1">
        <f t="array" ref="AW2125">SUM(MID(0&amp;AV2125,LARGE(INDEX(ISNUMBER(--MID(AV2125,ROW($1:$8),1))*ROW($1:$8),),ROW($1:$8))+1,1)*10^ROW($1:$8)/10)</f>
        <v>49303156</v>
      </c>
      <c r="AX2125" s="262" t="str">
        <f>VLOOKUP($AW2125,'Item Master Data'!$A:$F,3,FALSE)</f>
        <v>Q.PEAK DUO XL G10 BFG</v>
      </c>
      <c r="AY2125" s="262">
        <f>VLOOKUP($AW2125,'Item Master Data'!$A:$F,6,FALSE)</f>
        <v>480</v>
      </c>
      <c r="AZ2125" s="262">
        <f t="shared" si="368"/>
        <v>86</v>
      </c>
      <c r="BA2125" s="262">
        <f>VLOOKUP(AW2125,'Item Master Data'!$A:$G,7,FALSE)</f>
        <v>29</v>
      </c>
      <c r="BC2125" s="262">
        <f t="shared" si="369"/>
        <v>0</v>
      </c>
    </row>
    <row r="2126" spans="1:55">
      <c r="A2126" s="410"/>
      <c r="B2126" s="407"/>
      <c r="C2126" s="407"/>
      <c r="D2126" s="474" t="s">
        <v>1066</v>
      </c>
      <c r="E2126" s="388"/>
      <c r="F2126" s="474" t="s">
        <v>1077</v>
      </c>
      <c r="G2126" s="474">
        <v>2022</v>
      </c>
      <c r="H2126" s="474">
        <v>4</v>
      </c>
      <c r="I2126" s="485" t="s">
        <v>5419</v>
      </c>
      <c r="J2126" s="475">
        <v>44679</v>
      </c>
      <c r="K2126" s="483" t="s">
        <v>1079</v>
      </c>
      <c r="L2126" s="475" t="s">
        <v>1080</v>
      </c>
      <c r="M2126" s="475">
        <v>44657</v>
      </c>
      <c r="N2126" s="475">
        <v>44671</v>
      </c>
      <c r="O2126" s="475"/>
      <c r="P2126" s="475">
        <v>44672</v>
      </c>
      <c r="Q2126" s="475">
        <v>44677</v>
      </c>
      <c r="R2126" s="475">
        <v>44679</v>
      </c>
      <c r="S2126" s="474" t="s">
        <v>1081</v>
      </c>
      <c r="T2126" s="474">
        <v>72</v>
      </c>
      <c r="U2126" s="474">
        <v>30397571</v>
      </c>
      <c r="V2126" s="474" t="s">
        <v>1070</v>
      </c>
      <c r="W2126" s="476">
        <v>475</v>
      </c>
      <c r="X2126" s="402">
        <f>2320-638</f>
        <v>1682</v>
      </c>
      <c r="Y2126" s="477">
        <f>W2126*X2126</f>
        <v>798950</v>
      </c>
      <c r="Z2126" s="478">
        <v>0.53</v>
      </c>
      <c r="AA2126" s="479">
        <f>Z2126*Y2126</f>
        <v>423443.5</v>
      </c>
      <c r="AB2126" s="386"/>
      <c r="AC2126" s="481">
        <f>AB2126*Y2126</f>
        <v>0</v>
      </c>
      <c r="AD2126" s="474"/>
      <c r="AE2126" s="482"/>
      <c r="AF2126" s="493">
        <f>AE2126+AD2126+AA2126</f>
        <v>423443.5</v>
      </c>
      <c r="AG2126" s="474" t="s">
        <v>47</v>
      </c>
      <c r="AH2126" s="447">
        <v>30</v>
      </c>
      <c r="AI2126" s="474">
        <v>30</v>
      </c>
      <c r="AJ2126" s="474" t="s">
        <v>1083</v>
      </c>
      <c r="AK2126" s="474" t="s">
        <v>1084</v>
      </c>
      <c r="AL2126" s="494">
        <v>32218</v>
      </c>
      <c r="AM2126" s="474" t="s">
        <v>52</v>
      </c>
      <c r="AN2126" s="474" t="s">
        <v>1144</v>
      </c>
      <c r="AO2126" s="474"/>
      <c r="AP2126" s="474" t="s">
        <v>92</v>
      </c>
      <c r="AQ2126" s="474" t="s">
        <v>1086</v>
      </c>
      <c r="AR2126" s="474"/>
      <c r="AS2126" s="387" t="s">
        <v>1087</v>
      </c>
      <c r="AT2126" s="387" t="s">
        <v>1076</v>
      </c>
      <c r="AU2126" s="471"/>
      <c r="AV2126" s="262">
        <f t="shared" si="367"/>
        <v>30397571</v>
      </c>
      <c r="AW2126" s="262" cm="1">
        <f t="array" ref="AW2126">SUM(MID(0&amp;AV2126,LARGE(INDEX(ISNUMBER(--MID(AV2126,ROW($1:$8),1))*ROW($1:$8),),ROW($1:$8))+1,1)*10^ROW($1:$8)/10)</f>
        <v>30397571</v>
      </c>
      <c r="AX2126" s="262" t="str">
        <f>VLOOKUP($AW2126,'Item Master Data'!$A:$F,3,FALSE)</f>
        <v>Q.PEAK DUO XL G10 BFG</v>
      </c>
      <c r="AY2126" s="262">
        <f>VLOOKUP($AW2126,'Item Master Data'!$A:$F,6,FALSE)</f>
        <v>475</v>
      </c>
      <c r="AZ2126" s="262">
        <f t="shared" si="368"/>
        <v>58</v>
      </c>
      <c r="BA2126" s="262">
        <f>VLOOKUP(AW2126,'Item Master Data'!$A:$G,7,FALSE)</f>
        <v>29</v>
      </c>
      <c r="BC2126" s="262">
        <f t="shared" si="369"/>
        <v>0</v>
      </c>
    </row>
    <row r="2127" spans="1:55">
      <c r="A2127" s="410"/>
      <c r="B2127" s="407"/>
      <c r="C2127" s="407"/>
      <c r="D2127" s="474" t="s">
        <v>1066</v>
      </c>
      <c r="E2127" s="388"/>
      <c r="F2127" s="474" t="s">
        <v>1077</v>
      </c>
      <c r="G2127" s="474">
        <v>2022</v>
      </c>
      <c r="H2127" s="474">
        <v>5</v>
      </c>
      <c r="I2127" s="485"/>
      <c r="J2127" s="475"/>
      <c r="K2127" s="483" t="s">
        <v>1079</v>
      </c>
      <c r="L2127" s="475" t="s">
        <v>1080</v>
      </c>
      <c r="M2127" s="475">
        <v>44657</v>
      </c>
      <c r="N2127" s="475">
        <v>44671</v>
      </c>
      <c r="O2127" s="475"/>
      <c r="P2127" s="475">
        <v>44672</v>
      </c>
      <c r="Q2127" s="475">
        <v>44678</v>
      </c>
      <c r="R2127" s="475">
        <v>44683</v>
      </c>
      <c r="S2127" s="474" t="s">
        <v>1081</v>
      </c>
      <c r="T2127" s="474">
        <v>72</v>
      </c>
      <c r="U2127" s="474">
        <v>30397571</v>
      </c>
      <c r="V2127" s="474" t="s">
        <v>1070</v>
      </c>
      <c r="W2127" s="476">
        <v>475</v>
      </c>
      <c r="X2127" s="402">
        <v>638</v>
      </c>
      <c r="Y2127" s="491">
        <f t="shared" si="370"/>
        <v>303050</v>
      </c>
      <c r="Z2127" s="478">
        <v>0.53</v>
      </c>
      <c r="AA2127" s="492">
        <f>Z2127*Y2127</f>
        <v>160616.5</v>
      </c>
      <c r="AB2127" s="386"/>
      <c r="AC2127" s="481">
        <f>AB2127*Y2127</f>
        <v>0</v>
      </c>
      <c r="AD2127" s="474"/>
      <c r="AE2127" s="482"/>
      <c r="AF2127" s="493">
        <f t="shared" si="366"/>
        <v>160616.5</v>
      </c>
      <c r="AG2127" s="474" t="s">
        <v>47</v>
      </c>
      <c r="AH2127" s="447">
        <v>30</v>
      </c>
      <c r="AI2127" s="474">
        <v>30</v>
      </c>
      <c r="AJ2127" s="474" t="s">
        <v>1083</v>
      </c>
      <c r="AK2127" s="474" t="s">
        <v>1084</v>
      </c>
      <c r="AL2127" s="494">
        <v>32218</v>
      </c>
      <c r="AM2127" s="474" t="s">
        <v>52</v>
      </c>
      <c r="AN2127" s="474" t="s">
        <v>1144</v>
      </c>
      <c r="AO2127" s="474"/>
      <c r="AP2127" s="474" t="s">
        <v>92</v>
      </c>
      <c r="AQ2127" s="474" t="s">
        <v>1086</v>
      </c>
      <c r="AR2127" s="474"/>
      <c r="AS2127" s="387" t="s">
        <v>1087</v>
      </c>
      <c r="AT2127" s="387" t="s">
        <v>1076</v>
      </c>
      <c r="AU2127" s="471"/>
      <c r="AV2127" s="262">
        <f t="shared" si="367"/>
        <v>30397571</v>
      </c>
      <c r="AW2127" s="262" cm="1">
        <f t="array" ref="AW2127">SUM(MID(0&amp;AV2127,LARGE(INDEX(ISNUMBER(--MID(AV2127,ROW($1:$8),1))*ROW($1:$8),),ROW($1:$8))+1,1)*10^ROW($1:$8)/10)</f>
        <v>30397571</v>
      </c>
      <c r="AX2127" s="262" t="str">
        <f>VLOOKUP($AW2127,'Item Master Data'!$A:$F,3,FALSE)</f>
        <v>Q.PEAK DUO XL G10 BFG</v>
      </c>
      <c r="AY2127" s="262">
        <f>VLOOKUP($AW2127,'Item Master Data'!$A:$F,6,FALSE)</f>
        <v>475</v>
      </c>
      <c r="AZ2127" s="262">
        <f t="shared" si="368"/>
        <v>22</v>
      </c>
      <c r="BA2127" s="262">
        <f>VLOOKUP(AW2127,'Item Master Data'!$A:$G,7,FALSE)</f>
        <v>29</v>
      </c>
      <c r="BC2127" s="262">
        <f t="shared" si="369"/>
        <v>0</v>
      </c>
    </row>
    <row r="2128" spans="1:55">
      <c r="A2128" s="410"/>
      <c r="B2128" s="407"/>
      <c r="C2128" s="407"/>
      <c r="D2128" s="474" t="s">
        <v>1066</v>
      </c>
      <c r="E2128" s="388"/>
      <c r="F2128" s="474"/>
      <c r="G2128" s="474">
        <v>2022</v>
      </c>
      <c r="H2128" s="474">
        <v>3</v>
      </c>
      <c r="I2128" s="485">
        <v>127211</v>
      </c>
      <c r="J2128" s="475">
        <v>44621</v>
      </c>
      <c r="K2128" s="474" t="s">
        <v>1088</v>
      </c>
      <c r="L2128" s="475" t="s">
        <v>1089</v>
      </c>
      <c r="M2128" s="475">
        <v>44505</v>
      </c>
      <c r="N2128" s="475">
        <v>44621</v>
      </c>
      <c r="O2128" s="475"/>
      <c r="P2128" s="475">
        <v>44609</v>
      </c>
      <c r="Q2128" s="475">
        <v>44621</v>
      </c>
      <c r="R2128" s="475">
        <v>44624</v>
      </c>
      <c r="S2128" s="474" t="s">
        <v>1069</v>
      </c>
      <c r="T2128" s="474">
        <v>72</v>
      </c>
      <c r="U2128" s="474">
        <v>49301156</v>
      </c>
      <c r="V2128" s="474" t="s">
        <v>1002</v>
      </c>
      <c r="W2128" s="476">
        <v>480</v>
      </c>
      <c r="X2128" s="402">
        <v>638</v>
      </c>
      <c r="Y2128" s="491">
        <f t="shared" si="370"/>
        <v>306240</v>
      </c>
      <c r="Z2128" s="478">
        <v>0.48</v>
      </c>
      <c r="AA2128" s="479">
        <f t="shared" ref="AA2128:AA2133" si="371">Y2128*Z2128</f>
        <v>146995.19999999998</v>
      </c>
      <c r="AB2128" s="386"/>
      <c r="AC2128" s="481">
        <v>0</v>
      </c>
      <c r="AD2128" s="474"/>
      <c r="AE2128" s="482"/>
      <c r="AF2128" s="493">
        <f t="shared" si="366"/>
        <v>146995.19999999998</v>
      </c>
      <c r="AG2128" s="474" t="s">
        <v>1071</v>
      </c>
      <c r="AH2128" s="447">
        <v>10</v>
      </c>
      <c r="AI2128" s="474">
        <v>30</v>
      </c>
      <c r="AJ2128" s="474" t="s">
        <v>1090</v>
      </c>
      <c r="AK2128" s="474" t="s">
        <v>50</v>
      </c>
      <c r="AL2128" s="494">
        <v>95482</v>
      </c>
      <c r="AM2128" s="474" t="s">
        <v>52</v>
      </c>
      <c r="AN2128" s="474" t="s">
        <v>1074</v>
      </c>
      <c r="AO2128" s="474"/>
      <c r="AP2128" s="474"/>
      <c r="AQ2128" s="474" t="s">
        <v>37</v>
      </c>
      <c r="AR2128" s="474"/>
      <c r="AS2128" s="387"/>
      <c r="AT2128" s="387"/>
      <c r="AU2128" s="471"/>
      <c r="AV2128" s="262">
        <f t="shared" si="367"/>
        <v>49301156</v>
      </c>
      <c r="AW2128" s="262" cm="1">
        <f t="array" ref="AW2128">SUM(MID(0&amp;AV2128,LARGE(INDEX(ISNUMBER(--MID(AV2128,ROW($1:$8),1))*ROW($1:$8),),ROW($1:$8))+1,1)*10^ROW($1:$8)/10)</f>
        <v>49301156</v>
      </c>
      <c r="AX2128" s="262" t="str">
        <f>VLOOKUP($AW2128,'Item Master Data'!$A:$F,3,FALSE)</f>
        <v>Q.PEAK DUO XL G10</v>
      </c>
      <c r="AY2128" s="262">
        <f>VLOOKUP($AW2128,'Item Master Data'!$A:$F,6,FALSE)</f>
        <v>480</v>
      </c>
      <c r="AZ2128" s="262">
        <f t="shared" si="368"/>
        <v>22</v>
      </c>
      <c r="BA2128" s="262">
        <f>VLOOKUP(AW2128,'Item Master Data'!$A:$G,7,FALSE)</f>
        <v>29</v>
      </c>
      <c r="BC2128" s="262">
        <f t="shared" si="369"/>
        <v>0</v>
      </c>
    </row>
    <row r="2129" spans="1:55">
      <c r="A2129" s="410"/>
      <c r="B2129" s="407"/>
      <c r="C2129" s="407"/>
      <c r="D2129" s="474" t="s">
        <v>1066</v>
      </c>
      <c r="E2129" s="388" t="s">
        <v>5279</v>
      </c>
      <c r="F2129" s="474"/>
      <c r="G2129" s="474">
        <v>2022</v>
      </c>
      <c r="H2129" s="474">
        <v>5</v>
      </c>
      <c r="I2129" s="485" t="s">
        <v>1091</v>
      </c>
      <c r="J2129" s="475"/>
      <c r="K2129" s="474" t="s">
        <v>1092</v>
      </c>
      <c r="L2129" s="475" t="s">
        <v>1089</v>
      </c>
      <c r="M2129" s="475">
        <v>44652</v>
      </c>
      <c r="N2129" s="475">
        <v>44666</v>
      </c>
      <c r="O2129" s="475"/>
      <c r="P2129" s="475"/>
      <c r="Q2129" s="475"/>
      <c r="R2129" s="475"/>
      <c r="S2129" s="474" t="s">
        <v>1069</v>
      </c>
      <c r="T2129" s="474">
        <v>72</v>
      </c>
      <c r="U2129" s="474">
        <v>49303155</v>
      </c>
      <c r="V2129" s="474" t="s">
        <v>1070</v>
      </c>
      <c r="W2129" s="476">
        <v>480</v>
      </c>
      <c r="X2129" s="402">
        <v>1276</v>
      </c>
      <c r="Y2129" s="491">
        <f t="shared" si="370"/>
        <v>612480</v>
      </c>
      <c r="Z2129" s="478">
        <v>0.48</v>
      </c>
      <c r="AA2129" s="479">
        <f t="shared" si="371"/>
        <v>293990.39999999997</v>
      </c>
      <c r="AB2129" s="386"/>
      <c r="AC2129" s="481">
        <v>0</v>
      </c>
      <c r="AD2129" s="474"/>
      <c r="AE2129" s="482"/>
      <c r="AF2129" s="493">
        <f t="shared" si="366"/>
        <v>293990.39999999997</v>
      </c>
      <c r="AG2129" s="474" t="s">
        <v>1071</v>
      </c>
      <c r="AH2129" s="447">
        <v>10</v>
      </c>
      <c r="AI2129" s="474">
        <v>30</v>
      </c>
      <c r="AJ2129" s="474" t="s">
        <v>1090</v>
      </c>
      <c r="AK2129" s="474" t="s">
        <v>50</v>
      </c>
      <c r="AL2129" s="494">
        <v>95482</v>
      </c>
      <c r="AM2129" s="474" t="s">
        <v>52</v>
      </c>
      <c r="AN2129" s="474" t="s">
        <v>1085</v>
      </c>
      <c r="AO2129" s="474"/>
      <c r="AP2129" s="474" t="s">
        <v>92</v>
      </c>
      <c r="AQ2129" s="474" t="s">
        <v>37</v>
      </c>
      <c r="AR2129" s="474"/>
      <c r="AS2129" s="387"/>
      <c r="AT2129" s="387"/>
      <c r="AU2129" s="471"/>
      <c r="AV2129" s="262">
        <f t="shared" si="367"/>
        <v>49303155</v>
      </c>
      <c r="AW2129" s="262" cm="1">
        <f t="array" ref="AW2129">SUM(MID(0&amp;AV2129,LARGE(INDEX(ISNUMBER(--MID(AV2129,ROW($1:$8),1))*ROW($1:$8),),ROW($1:$8))+1,1)*10^ROW($1:$8)/10)</f>
        <v>49303155</v>
      </c>
      <c r="AX2129" s="262" t="str">
        <f>VLOOKUP($AW2129,'Item Master Data'!$A:$F,3,FALSE)</f>
        <v>Q.PEAK DUO XL G10 BFG</v>
      </c>
      <c r="AY2129" s="262">
        <f>VLOOKUP($AW2129,'Item Master Data'!$A:$F,6,FALSE)</f>
        <v>475</v>
      </c>
      <c r="AZ2129" s="262">
        <f t="shared" si="368"/>
        <v>44</v>
      </c>
      <c r="BA2129" s="262">
        <f>VLOOKUP(AW2129,'Item Master Data'!$A:$G,7,FALSE)</f>
        <v>29</v>
      </c>
      <c r="BC2129" s="262">
        <f t="shared" si="369"/>
        <v>5</v>
      </c>
    </row>
    <row r="2130" spans="1:55">
      <c r="A2130" s="410"/>
      <c r="B2130" s="407"/>
      <c r="C2130" s="407"/>
      <c r="D2130" s="474" t="s">
        <v>1066</v>
      </c>
      <c r="E2130" s="388" t="s">
        <v>5279</v>
      </c>
      <c r="F2130" s="474"/>
      <c r="G2130" s="474">
        <v>2022</v>
      </c>
      <c r="H2130" s="474">
        <v>5</v>
      </c>
      <c r="I2130" s="485" t="s">
        <v>1091</v>
      </c>
      <c r="J2130" s="475"/>
      <c r="K2130" s="474" t="s">
        <v>1094</v>
      </c>
      <c r="L2130" s="475" t="s">
        <v>1089</v>
      </c>
      <c r="M2130" s="475">
        <v>44652</v>
      </c>
      <c r="N2130" s="475">
        <v>44666</v>
      </c>
      <c r="O2130" s="475"/>
      <c r="P2130" s="475"/>
      <c r="Q2130" s="475"/>
      <c r="R2130" s="475"/>
      <c r="S2130" s="474" t="s">
        <v>1069</v>
      </c>
      <c r="T2130" s="474">
        <v>72</v>
      </c>
      <c r="U2130" s="474">
        <v>49303155</v>
      </c>
      <c r="V2130" s="474" t="s">
        <v>1070</v>
      </c>
      <c r="W2130" s="476">
        <v>480</v>
      </c>
      <c r="X2130" s="402">
        <v>1276</v>
      </c>
      <c r="Y2130" s="491">
        <f t="shared" si="370"/>
        <v>612480</v>
      </c>
      <c r="Z2130" s="478">
        <v>0.48</v>
      </c>
      <c r="AA2130" s="479">
        <f t="shared" si="371"/>
        <v>293990.39999999997</v>
      </c>
      <c r="AB2130" s="386"/>
      <c r="AC2130" s="481">
        <v>0</v>
      </c>
      <c r="AD2130" s="474"/>
      <c r="AE2130" s="482"/>
      <c r="AF2130" s="493">
        <f t="shared" si="366"/>
        <v>293990.39999999997</v>
      </c>
      <c r="AG2130" s="474" t="s">
        <v>1071</v>
      </c>
      <c r="AH2130" s="447">
        <v>10</v>
      </c>
      <c r="AI2130" s="474">
        <v>30</v>
      </c>
      <c r="AJ2130" s="474" t="s">
        <v>1095</v>
      </c>
      <c r="AK2130" s="474" t="s">
        <v>1096</v>
      </c>
      <c r="AL2130" s="494">
        <v>1719</v>
      </c>
      <c r="AM2130" s="474" t="s">
        <v>52</v>
      </c>
      <c r="AN2130" s="474" t="s">
        <v>1085</v>
      </c>
      <c r="AO2130" s="474"/>
      <c r="AP2130" s="474" t="s">
        <v>92</v>
      </c>
      <c r="AQ2130" s="474" t="s">
        <v>37</v>
      </c>
      <c r="AR2130" s="474"/>
      <c r="AS2130" s="387"/>
      <c r="AT2130" s="387"/>
      <c r="AU2130" s="471"/>
      <c r="AV2130" s="262">
        <f t="shared" si="367"/>
        <v>49303155</v>
      </c>
      <c r="AW2130" s="262" cm="1">
        <f t="array" ref="AW2130">SUM(MID(0&amp;AV2130,LARGE(INDEX(ISNUMBER(--MID(AV2130,ROW($1:$8),1))*ROW($1:$8),),ROW($1:$8))+1,1)*10^ROW($1:$8)/10)</f>
        <v>49303155</v>
      </c>
      <c r="AX2130" s="262" t="str">
        <f>VLOOKUP($AW2130,'Item Master Data'!$A:$F,3,FALSE)</f>
        <v>Q.PEAK DUO XL G10 BFG</v>
      </c>
      <c r="AY2130" s="262">
        <f>VLOOKUP($AW2130,'Item Master Data'!$A:$F,6,FALSE)</f>
        <v>475</v>
      </c>
      <c r="AZ2130" s="262">
        <f t="shared" si="368"/>
        <v>44</v>
      </c>
      <c r="BA2130" s="262">
        <f>VLOOKUP(AW2130,'Item Master Data'!$A:$G,7,FALSE)</f>
        <v>29</v>
      </c>
      <c r="BC2130" s="262">
        <f t="shared" si="369"/>
        <v>5</v>
      </c>
    </row>
    <row r="2131" spans="1:55">
      <c r="A2131" s="410"/>
      <c r="B2131" s="407"/>
      <c r="C2131" s="407"/>
      <c r="D2131" s="474" t="s">
        <v>1066</v>
      </c>
      <c r="E2131" s="388" t="s">
        <v>5279</v>
      </c>
      <c r="F2131" s="474"/>
      <c r="G2131" s="474">
        <v>2022</v>
      </c>
      <c r="H2131" s="474">
        <v>5</v>
      </c>
      <c r="I2131" s="485"/>
      <c r="J2131" s="475"/>
      <c r="K2131" s="474" t="s">
        <v>1099</v>
      </c>
      <c r="L2131" s="475" t="s">
        <v>1089</v>
      </c>
      <c r="M2131" s="475">
        <v>44505</v>
      </c>
      <c r="N2131" s="475">
        <v>44682</v>
      </c>
      <c r="O2131" s="475"/>
      <c r="P2131" s="475"/>
      <c r="Q2131" s="475"/>
      <c r="R2131" s="475"/>
      <c r="S2131" s="474" t="s">
        <v>1069</v>
      </c>
      <c r="T2131" s="474">
        <v>72</v>
      </c>
      <c r="U2131" s="474"/>
      <c r="V2131" s="474" t="s">
        <v>1070</v>
      </c>
      <c r="W2131" s="476">
        <v>480</v>
      </c>
      <c r="X2131" s="402">
        <v>638</v>
      </c>
      <c r="Y2131" s="491">
        <f t="shared" si="370"/>
        <v>306240</v>
      </c>
      <c r="Z2131" s="478">
        <v>0.48</v>
      </c>
      <c r="AA2131" s="479">
        <f t="shared" si="371"/>
        <v>146995.19999999998</v>
      </c>
      <c r="AB2131" s="386"/>
      <c r="AC2131" s="481">
        <v>0</v>
      </c>
      <c r="AD2131" s="474"/>
      <c r="AE2131" s="482"/>
      <c r="AF2131" s="493">
        <f t="shared" si="366"/>
        <v>146995.19999999998</v>
      </c>
      <c r="AG2131" s="474" t="s">
        <v>1071</v>
      </c>
      <c r="AH2131" s="447">
        <v>10</v>
      </c>
      <c r="AI2131" s="474">
        <v>45</v>
      </c>
      <c r="AJ2131" s="474" t="s">
        <v>1090</v>
      </c>
      <c r="AK2131" s="474" t="s">
        <v>50</v>
      </c>
      <c r="AL2131" s="494">
        <v>95482</v>
      </c>
      <c r="AM2131" s="474" t="s">
        <v>52</v>
      </c>
      <c r="AN2131" s="474" t="s">
        <v>1085</v>
      </c>
      <c r="AO2131" s="474"/>
      <c r="AP2131" s="474" t="s">
        <v>92</v>
      </c>
      <c r="AQ2131" s="474" t="s">
        <v>37</v>
      </c>
      <c r="AR2131" s="474"/>
      <c r="AS2131" s="387"/>
      <c r="AT2131" s="387"/>
      <c r="AU2131" s="471"/>
      <c r="AV2131" s="262">
        <f t="shared" si="367"/>
        <v>0</v>
      </c>
      <c r="AW2131" s="262" cm="1">
        <f t="array" ref="AW2131">SUM(MID(0&amp;AV2131,LARGE(INDEX(ISNUMBER(--MID(AV2131,ROW($1:$8),1))*ROW($1:$8),),ROW($1:$8))+1,1)*10^ROW($1:$8)/10)</f>
        <v>0</v>
      </c>
      <c r="AX2131" s="262" t="e">
        <f>VLOOKUP($AW2131,'Item Master Data'!$A:$F,3,FALSE)</f>
        <v>#N/A</v>
      </c>
      <c r="AY2131" s="262" t="e">
        <f>VLOOKUP($AW2131,'Item Master Data'!$A:$F,6,FALSE)</f>
        <v>#N/A</v>
      </c>
      <c r="AZ2131" s="262" t="e">
        <f t="shared" si="368"/>
        <v>#N/A</v>
      </c>
      <c r="BA2131" s="262" t="e">
        <f>VLOOKUP(AW2131,'Item Master Data'!$A:$G,7,FALSE)</f>
        <v>#N/A</v>
      </c>
      <c r="BC2131" s="262" t="e">
        <f t="shared" si="369"/>
        <v>#N/A</v>
      </c>
    </row>
    <row r="2132" spans="1:55">
      <c r="A2132" s="410"/>
      <c r="B2132" s="407"/>
      <c r="C2132" s="407"/>
      <c r="D2132" s="474" t="s">
        <v>1066</v>
      </c>
      <c r="E2132" s="388" t="s">
        <v>5459</v>
      </c>
      <c r="F2132" s="474"/>
      <c r="G2132" s="474">
        <v>2022</v>
      </c>
      <c r="H2132" s="474">
        <v>5</v>
      </c>
      <c r="I2132" s="485"/>
      <c r="J2132" s="475"/>
      <c r="K2132" s="474" t="s">
        <v>1173</v>
      </c>
      <c r="L2132" s="475" t="s">
        <v>1174</v>
      </c>
      <c r="M2132" s="475">
        <v>44545</v>
      </c>
      <c r="N2132" s="475">
        <v>44652</v>
      </c>
      <c r="O2132" s="475"/>
      <c r="P2132" s="475"/>
      <c r="Q2132" s="475"/>
      <c r="R2132" s="475"/>
      <c r="S2132" s="474" t="s">
        <v>1069</v>
      </c>
      <c r="T2132" s="474">
        <v>72</v>
      </c>
      <c r="U2132" s="474"/>
      <c r="V2132" s="474" t="s">
        <v>1070</v>
      </c>
      <c r="W2132" s="476">
        <v>480</v>
      </c>
      <c r="X2132" s="402">
        <v>1276</v>
      </c>
      <c r="Y2132" s="491">
        <f t="shared" si="370"/>
        <v>612480</v>
      </c>
      <c r="Z2132" s="478">
        <v>0.47</v>
      </c>
      <c r="AA2132" s="479">
        <f t="shared" si="371"/>
        <v>287865.59999999998</v>
      </c>
      <c r="AB2132" s="386"/>
      <c r="AC2132" s="481">
        <v>0</v>
      </c>
      <c r="AD2132" s="474"/>
      <c r="AE2132" s="482"/>
      <c r="AF2132" s="493">
        <f t="shared" si="366"/>
        <v>287865.59999999998</v>
      </c>
      <c r="AG2132" s="474" t="s">
        <v>1071</v>
      </c>
      <c r="AH2132" s="447"/>
      <c r="AI2132" s="474">
        <v>60</v>
      </c>
      <c r="AJ2132" s="474" t="s">
        <v>1175</v>
      </c>
      <c r="AK2132" s="474" t="s">
        <v>1138</v>
      </c>
      <c r="AL2132" s="494" t="s">
        <v>1176</v>
      </c>
      <c r="AM2132" s="474" t="s">
        <v>52</v>
      </c>
      <c r="AN2132" s="474" t="s">
        <v>1074</v>
      </c>
      <c r="AO2132" s="474"/>
      <c r="AP2132" s="474"/>
      <c r="AQ2132" s="474" t="s">
        <v>37</v>
      </c>
      <c r="AR2132" s="474"/>
      <c r="AS2132" s="387"/>
      <c r="AT2132" s="387"/>
      <c r="AU2132" s="471"/>
      <c r="AV2132" s="262">
        <f t="shared" si="367"/>
        <v>0</v>
      </c>
      <c r="AW2132" s="262" cm="1">
        <f t="array" ref="AW2132">SUM(MID(0&amp;AV2132,LARGE(INDEX(ISNUMBER(--MID(AV2132,ROW($1:$8),1))*ROW($1:$8),),ROW($1:$8))+1,1)*10^ROW($1:$8)/10)</f>
        <v>0</v>
      </c>
      <c r="AX2132" s="262" t="e">
        <f>VLOOKUP($AW2132,'Item Master Data'!$A:$F,3,FALSE)</f>
        <v>#N/A</v>
      </c>
      <c r="AY2132" s="262" t="e">
        <f>VLOOKUP($AW2132,'Item Master Data'!$A:$F,6,FALSE)</f>
        <v>#N/A</v>
      </c>
      <c r="AZ2132" s="262" t="e">
        <f t="shared" si="368"/>
        <v>#N/A</v>
      </c>
      <c r="BA2132" s="262" t="e">
        <f>VLOOKUP(AW2132,'Item Master Data'!$A:$G,7,FALSE)</f>
        <v>#N/A</v>
      </c>
      <c r="BC2132" s="262" t="e">
        <f t="shared" si="369"/>
        <v>#N/A</v>
      </c>
    </row>
    <row r="2133" spans="1:55">
      <c r="A2133" s="410"/>
      <c r="B2133" s="407"/>
      <c r="C2133" s="407"/>
      <c r="D2133" s="474" t="s">
        <v>1066</v>
      </c>
      <c r="E2133" s="388" t="s">
        <v>5459</v>
      </c>
      <c r="F2133" s="474"/>
      <c r="G2133" s="474">
        <v>2022</v>
      </c>
      <c r="H2133" s="474">
        <v>5</v>
      </c>
      <c r="I2133" s="485"/>
      <c r="J2133" s="475"/>
      <c r="K2133" s="474" t="s">
        <v>1177</v>
      </c>
      <c r="L2133" s="475" t="s">
        <v>1174</v>
      </c>
      <c r="M2133" s="475">
        <v>44558</v>
      </c>
      <c r="N2133" s="475">
        <v>44682</v>
      </c>
      <c r="O2133" s="475"/>
      <c r="P2133" s="475"/>
      <c r="Q2133" s="475"/>
      <c r="R2133" s="475"/>
      <c r="S2133" s="474" t="s">
        <v>1069</v>
      </c>
      <c r="T2133" s="474">
        <v>72</v>
      </c>
      <c r="U2133" s="474">
        <v>49303155</v>
      </c>
      <c r="V2133" s="474" t="s">
        <v>1070</v>
      </c>
      <c r="W2133" s="476">
        <v>480</v>
      </c>
      <c r="X2133" s="402">
        <v>1276</v>
      </c>
      <c r="Y2133" s="491">
        <f t="shared" si="370"/>
        <v>612480</v>
      </c>
      <c r="Z2133" s="478">
        <v>0.47</v>
      </c>
      <c r="AA2133" s="479">
        <f t="shared" si="371"/>
        <v>287865.59999999998</v>
      </c>
      <c r="AB2133" s="386"/>
      <c r="AC2133" s="481">
        <v>0</v>
      </c>
      <c r="AD2133" s="474"/>
      <c r="AE2133" s="482"/>
      <c r="AF2133" s="493">
        <f t="shared" si="366"/>
        <v>287865.59999999998</v>
      </c>
      <c r="AG2133" s="474" t="s">
        <v>1071</v>
      </c>
      <c r="AH2133" s="447"/>
      <c r="AI2133" s="474">
        <v>60</v>
      </c>
      <c r="AJ2133" s="474" t="s">
        <v>1175</v>
      </c>
      <c r="AK2133" s="474" t="s">
        <v>1138</v>
      </c>
      <c r="AL2133" s="494" t="s">
        <v>1176</v>
      </c>
      <c r="AM2133" s="474" t="s">
        <v>52</v>
      </c>
      <c r="AN2133" s="474" t="s">
        <v>1074</v>
      </c>
      <c r="AO2133" s="474"/>
      <c r="AP2133" s="474"/>
      <c r="AQ2133" s="474" t="s">
        <v>37</v>
      </c>
      <c r="AR2133" s="474"/>
      <c r="AS2133" s="387"/>
      <c r="AT2133" s="387"/>
      <c r="AU2133" s="471"/>
      <c r="AV2133" s="262">
        <f t="shared" si="367"/>
        <v>49303155</v>
      </c>
      <c r="AW2133" s="262" cm="1">
        <f t="array" ref="AW2133">SUM(MID(0&amp;AV2133,LARGE(INDEX(ISNUMBER(--MID(AV2133,ROW($1:$8),1))*ROW($1:$8),),ROW($1:$8))+1,1)*10^ROW($1:$8)/10)</f>
        <v>49303155</v>
      </c>
      <c r="AX2133" s="262" t="str">
        <f>VLOOKUP($AW2133,'Item Master Data'!$A:$F,3,FALSE)</f>
        <v>Q.PEAK DUO XL G10 BFG</v>
      </c>
      <c r="AY2133" s="262">
        <f>VLOOKUP($AW2133,'Item Master Data'!$A:$F,6,FALSE)</f>
        <v>475</v>
      </c>
      <c r="AZ2133" s="262">
        <f t="shared" si="368"/>
        <v>44</v>
      </c>
      <c r="BA2133" s="262">
        <f>VLOOKUP(AW2133,'Item Master Data'!$A:$G,7,FALSE)</f>
        <v>29</v>
      </c>
      <c r="BC2133" s="262">
        <f t="shared" si="369"/>
        <v>5</v>
      </c>
    </row>
    <row r="2134" spans="1:55">
      <c r="A2134" s="410"/>
      <c r="B2134" s="495" t="s">
        <v>1211</v>
      </c>
      <c r="C2134" s="495" t="s">
        <v>1211</v>
      </c>
      <c r="D2134" s="474" t="s">
        <v>1066</v>
      </c>
      <c r="E2134" s="388" t="s">
        <v>1097</v>
      </c>
      <c r="F2134" s="474" t="s">
        <v>87</v>
      </c>
      <c r="G2134" s="474">
        <v>2022</v>
      </c>
      <c r="H2134" s="474">
        <v>5</v>
      </c>
      <c r="I2134" s="485"/>
      <c r="J2134" s="475"/>
      <c r="K2134" s="474" t="s">
        <v>5664</v>
      </c>
      <c r="L2134" s="475" t="s">
        <v>3286</v>
      </c>
      <c r="M2134" s="475">
        <v>44666</v>
      </c>
      <c r="N2134" s="475">
        <v>44682</v>
      </c>
      <c r="O2134" s="475"/>
      <c r="P2134" s="475"/>
      <c r="Q2134" s="475"/>
      <c r="R2134" s="475"/>
      <c r="S2134" s="474" t="s">
        <v>5283</v>
      </c>
      <c r="T2134" s="474">
        <v>72</v>
      </c>
      <c r="U2134" s="474"/>
      <c r="V2134" s="474" t="s">
        <v>1070</v>
      </c>
      <c r="W2134" s="476">
        <v>480</v>
      </c>
      <c r="X2134" s="402">
        <v>638</v>
      </c>
      <c r="Y2134" s="477">
        <f>X2134*W2134</f>
        <v>306240</v>
      </c>
      <c r="Z2134" s="478">
        <v>0.55000000000000004</v>
      </c>
      <c r="AA2134" s="479">
        <f>Z2134*Y2134</f>
        <v>168432</v>
      </c>
      <c r="AB2134" s="480"/>
      <c r="AC2134" s="481">
        <f>AB2134*Y2134</f>
        <v>0</v>
      </c>
      <c r="AD2134" s="490"/>
      <c r="AE2134" s="482"/>
      <c r="AF2134" s="493">
        <f t="shared" si="366"/>
        <v>168432</v>
      </c>
      <c r="AG2134" s="474" t="s">
        <v>1071</v>
      </c>
      <c r="AH2134" s="474">
        <v>0</v>
      </c>
      <c r="AI2134" s="474">
        <v>60</v>
      </c>
      <c r="AJ2134" s="474" t="s">
        <v>1275</v>
      </c>
      <c r="AK2134" s="474" t="s">
        <v>2411</v>
      </c>
      <c r="AL2134" s="494">
        <v>66105</v>
      </c>
      <c r="AM2134" s="474" t="s">
        <v>52</v>
      </c>
      <c r="AN2134" s="474" t="s">
        <v>1074</v>
      </c>
      <c r="AO2134" s="474"/>
      <c r="AP2134" s="482"/>
      <c r="AQ2134" s="482" t="s">
        <v>1086</v>
      </c>
      <c r="AR2134" s="474" t="s">
        <v>1216</v>
      </c>
      <c r="AS2134" s="436" t="s">
        <v>1087</v>
      </c>
      <c r="AT2134" s="436" t="s">
        <v>1076</v>
      </c>
      <c r="AU2134" s="471"/>
      <c r="AV2134" s="262">
        <f t="shared" si="367"/>
        <v>0</v>
      </c>
      <c r="AW2134" s="262" cm="1">
        <f t="array" ref="AW2134">SUM(MID(0&amp;AV2134,LARGE(INDEX(ISNUMBER(--MID(AV2134,ROW($1:$8),1))*ROW($1:$8),),ROW($1:$8))+1,1)*10^ROW($1:$8)/10)</f>
        <v>0</v>
      </c>
      <c r="AX2134" s="262" t="e">
        <f>VLOOKUP($AW2134,'Item Master Data'!$A:$F,3,FALSE)</f>
        <v>#N/A</v>
      </c>
      <c r="AY2134" s="262" t="e">
        <f>VLOOKUP($AW2134,'Item Master Data'!$A:$F,6,FALSE)</f>
        <v>#N/A</v>
      </c>
      <c r="AZ2134" s="262" t="e">
        <f t="shared" si="368"/>
        <v>#N/A</v>
      </c>
      <c r="BA2134" s="262" t="e">
        <f>VLOOKUP(AW2134,'Item Master Data'!$A:$G,7,FALSE)</f>
        <v>#N/A</v>
      </c>
      <c r="BC2134" s="262" t="e">
        <f t="shared" si="369"/>
        <v>#N/A</v>
      </c>
    </row>
    <row r="2135" spans="1:55">
      <c r="A2135" s="410"/>
      <c r="B2135" s="407"/>
      <c r="C2135" s="407"/>
      <c r="D2135" s="474" t="s">
        <v>1066</v>
      </c>
      <c r="E2135" s="388"/>
      <c r="F2135" s="474"/>
      <c r="G2135" s="474">
        <v>2022</v>
      </c>
      <c r="H2135" s="474">
        <v>5</v>
      </c>
      <c r="I2135" s="485"/>
      <c r="J2135" s="475"/>
      <c r="K2135" s="474" t="s">
        <v>1224</v>
      </c>
      <c r="L2135" s="475" t="s">
        <v>1219</v>
      </c>
      <c r="M2135" s="475">
        <v>44573</v>
      </c>
      <c r="N2135" s="475">
        <v>44699</v>
      </c>
      <c r="O2135" s="475"/>
      <c r="P2135" s="475"/>
      <c r="Q2135" s="475"/>
      <c r="R2135" s="475"/>
      <c r="S2135" s="474" t="s">
        <v>1114</v>
      </c>
      <c r="T2135" s="474">
        <v>72</v>
      </c>
      <c r="U2135" s="474" t="s">
        <v>1225</v>
      </c>
      <c r="V2135" s="474" t="s">
        <v>1226</v>
      </c>
      <c r="W2135" s="476">
        <v>480</v>
      </c>
      <c r="X2135" s="402">
        <v>580</v>
      </c>
      <c r="Y2135" s="491">
        <f t="shared" ref="Y2135:Y2198" si="372">W2135*X2135</f>
        <v>278400</v>
      </c>
      <c r="Z2135" s="478">
        <v>0.48</v>
      </c>
      <c r="AA2135" s="479">
        <f>Z2135*Y2135</f>
        <v>133632</v>
      </c>
      <c r="AB2135" s="386"/>
      <c r="AC2135" s="481">
        <f>AB2135*Y2135</f>
        <v>0</v>
      </c>
      <c r="AD2135" s="474"/>
      <c r="AE2135" s="482"/>
      <c r="AF2135" s="493">
        <f t="shared" si="366"/>
        <v>133632</v>
      </c>
      <c r="AG2135" s="474" t="s">
        <v>1071</v>
      </c>
      <c r="AH2135" s="447">
        <v>0</v>
      </c>
      <c r="AI2135" s="474">
        <v>60</v>
      </c>
      <c r="AJ2135" s="474" t="s">
        <v>1220</v>
      </c>
      <c r="AK2135" s="474" t="s">
        <v>1221</v>
      </c>
      <c r="AL2135" s="494">
        <v>43125</v>
      </c>
      <c r="AM2135" s="474" t="s">
        <v>52</v>
      </c>
      <c r="AN2135" s="474" t="s">
        <v>1074</v>
      </c>
      <c r="AO2135" s="474"/>
      <c r="AP2135" s="474"/>
      <c r="AQ2135" s="474" t="s">
        <v>1086</v>
      </c>
      <c r="AR2135" s="474"/>
      <c r="AS2135" s="387" t="s">
        <v>1087</v>
      </c>
      <c r="AT2135" s="387" t="s">
        <v>1076</v>
      </c>
      <c r="AU2135" s="471"/>
      <c r="AV2135" s="262" t="str">
        <f t="shared" si="367"/>
        <v>30397872C</v>
      </c>
      <c r="AW2135" s="262" cm="1">
        <f t="array" ref="AW2135">SUM(MID(0&amp;AV2135,LARGE(INDEX(ISNUMBER(--MID(AV2135,ROW($1:$8),1))*ROW($1:$8),),ROW($1:$8))+1,1)*10^ROW($1:$8)/10)</f>
        <v>30397872</v>
      </c>
      <c r="AX2135" s="262" t="str">
        <f>VLOOKUP($AW2135,'Item Master Data'!$A:$F,3,FALSE)</f>
        <v>Q.PEAK DUO XL G10 BFG</v>
      </c>
      <c r="AY2135" s="262">
        <f>VLOOKUP($AW2135,'Item Master Data'!$A:$F,6,FALSE)</f>
        <v>480</v>
      </c>
      <c r="AZ2135" s="262">
        <f t="shared" si="368"/>
        <v>20</v>
      </c>
      <c r="BA2135" s="262">
        <f>VLOOKUP(AW2135,'Item Master Data'!$A:$G,7,FALSE)</f>
        <v>29</v>
      </c>
      <c r="BC2135" s="262">
        <f t="shared" si="369"/>
        <v>0</v>
      </c>
    </row>
    <row r="2136" spans="1:55">
      <c r="A2136" s="410"/>
      <c r="B2136" s="407"/>
      <c r="C2136" s="407"/>
      <c r="D2136" s="474" t="s">
        <v>1066</v>
      </c>
      <c r="E2136" s="388" t="s">
        <v>5403</v>
      </c>
      <c r="F2136" s="474" t="s">
        <v>87</v>
      </c>
      <c r="G2136" s="474">
        <v>2022</v>
      </c>
      <c r="H2136" s="474">
        <v>5</v>
      </c>
      <c r="I2136" s="485"/>
      <c r="J2136" s="475"/>
      <c r="K2136" s="474" t="s">
        <v>1231</v>
      </c>
      <c r="L2136" s="475" t="s">
        <v>1228</v>
      </c>
      <c r="M2136" s="475">
        <v>44575</v>
      </c>
      <c r="N2136" s="475">
        <v>44676</v>
      </c>
      <c r="O2136" s="475"/>
      <c r="P2136" s="475"/>
      <c r="Q2136" s="475"/>
      <c r="R2136" s="475"/>
      <c r="S2136" s="474" t="s">
        <v>1069</v>
      </c>
      <c r="T2136" s="474">
        <v>72</v>
      </c>
      <c r="U2136" s="474" t="s">
        <v>1109</v>
      </c>
      <c r="V2136" s="474" t="s">
        <v>1070</v>
      </c>
      <c r="W2136" s="476">
        <v>480</v>
      </c>
      <c r="X2136" s="402">
        <v>1200</v>
      </c>
      <c r="Y2136" s="491">
        <f t="shared" si="372"/>
        <v>576000</v>
      </c>
      <c r="Z2136" s="478">
        <v>0.47</v>
      </c>
      <c r="AA2136" s="479">
        <f>Y2136*Z2136</f>
        <v>270720</v>
      </c>
      <c r="AB2136" s="386"/>
      <c r="AC2136" s="481">
        <v>0</v>
      </c>
      <c r="AD2136" s="474"/>
      <c r="AE2136" s="482"/>
      <c r="AF2136" s="493">
        <f t="shared" si="366"/>
        <v>270720</v>
      </c>
      <c r="AG2136" s="474" t="s">
        <v>1071</v>
      </c>
      <c r="AH2136" s="447"/>
      <c r="AI2136" s="474">
        <v>60</v>
      </c>
      <c r="AJ2136" s="474" t="s">
        <v>1230</v>
      </c>
      <c r="AK2136" s="474" t="s">
        <v>1190</v>
      </c>
      <c r="AL2136" s="494">
        <v>6492</v>
      </c>
      <c r="AM2136" s="474" t="s">
        <v>52</v>
      </c>
      <c r="AN2136" s="474" t="s">
        <v>1085</v>
      </c>
      <c r="AO2136" s="474"/>
      <c r="AP2136" s="474" t="s">
        <v>92</v>
      </c>
      <c r="AQ2136" s="474" t="s">
        <v>37</v>
      </c>
      <c r="AR2136" s="474"/>
      <c r="AS2136" s="387"/>
      <c r="AT2136" s="387"/>
      <c r="AU2136" s="471"/>
      <c r="AV2136" s="262" t="str">
        <f t="shared" si="367"/>
        <v>TBD</v>
      </c>
      <c r="AW2136" s="262" cm="1">
        <f t="array" ref="AW2136">SUM(MID(0&amp;AV2136,LARGE(INDEX(ISNUMBER(--MID(AV2136,ROW($1:$8),1))*ROW($1:$8),),ROW($1:$8))+1,1)*10^ROW($1:$8)/10)</f>
        <v>0</v>
      </c>
      <c r="AX2136" s="262" t="e">
        <f>VLOOKUP($AW2136,'Item Master Data'!$A:$F,3,FALSE)</f>
        <v>#N/A</v>
      </c>
      <c r="AY2136" s="262" t="e">
        <f>VLOOKUP($AW2136,'Item Master Data'!$A:$F,6,FALSE)</f>
        <v>#N/A</v>
      </c>
      <c r="AZ2136" s="262" t="e">
        <f t="shared" si="368"/>
        <v>#N/A</v>
      </c>
      <c r="BA2136" s="262" t="e">
        <f>VLOOKUP(AW2136,'Item Master Data'!$A:$G,7,FALSE)</f>
        <v>#N/A</v>
      </c>
      <c r="BC2136" s="262" t="e">
        <f t="shared" si="369"/>
        <v>#N/A</v>
      </c>
    </row>
    <row r="2137" spans="1:55">
      <c r="A2137" s="410"/>
      <c r="B2137" s="407"/>
      <c r="C2137" s="407"/>
      <c r="D2137" s="474" t="s">
        <v>1066</v>
      </c>
      <c r="E2137" s="394"/>
      <c r="F2137" s="474" t="s">
        <v>87</v>
      </c>
      <c r="G2137" s="474">
        <v>2022</v>
      </c>
      <c r="H2137" s="474">
        <v>5</v>
      </c>
      <c r="I2137" s="485"/>
      <c r="J2137" s="475"/>
      <c r="K2137" s="474" t="s">
        <v>1320</v>
      </c>
      <c r="L2137" s="475" t="s">
        <v>1313</v>
      </c>
      <c r="M2137" s="475">
        <v>44501</v>
      </c>
      <c r="N2137" s="475">
        <v>44634</v>
      </c>
      <c r="O2137" s="475"/>
      <c r="P2137" s="475" t="s">
        <v>5245</v>
      </c>
      <c r="Q2137" s="475"/>
      <c r="R2137" s="475"/>
      <c r="S2137" s="474" t="s">
        <v>1114</v>
      </c>
      <c r="T2137" s="474">
        <v>72</v>
      </c>
      <c r="U2137" s="474">
        <v>49303156</v>
      </c>
      <c r="V2137" s="474" t="s">
        <v>1070</v>
      </c>
      <c r="W2137" s="476">
        <v>480</v>
      </c>
      <c r="X2137" s="402">
        <v>896</v>
      </c>
      <c r="Y2137" s="491">
        <f t="shared" si="372"/>
        <v>430080</v>
      </c>
      <c r="Z2137" s="478">
        <v>0.48</v>
      </c>
      <c r="AA2137" s="479">
        <f>Y2137*Z2137</f>
        <v>206438.39999999999</v>
      </c>
      <c r="AB2137" s="386"/>
      <c r="AC2137" s="481">
        <v>0</v>
      </c>
      <c r="AD2137" s="474"/>
      <c r="AE2137" s="482"/>
      <c r="AF2137" s="493">
        <f t="shared" si="366"/>
        <v>206438.39999999999</v>
      </c>
      <c r="AG2137" s="474" t="s">
        <v>1071</v>
      </c>
      <c r="AH2137" s="447"/>
      <c r="AI2137" s="474">
        <v>60</v>
      </c>
      <c r="AJ2137" s="474" t="s">
        <v>5438</v>
      </c>
      <c r="AK2137" s="474" t="s">
        <v>1125</v>
      </c>
      <c r="AL2137" s="494">
        <v>55113</v>
      </c>
      <c r="AM2137" s="474" t="s">
        <v>52</v>
      </c>
      <c r="AN2137" s="474" t="s">
        <v>1074</v>
      </c>
      <c r="AO2137" s="474"/>
      <c r="AP2137" s="474" t="s">
        <v>92</v>
      </c>
      <c r="AQ2137" s="474" t="s">
        <v>37</v>
      </c>
      <c r="AR2137" s="474"/>
      <c r="AS2137" s="387"/>
      <c r="AT2137" s="387"/>
      <c r="AU2137" s="471"/>
      <c r="AV2137" s="262">
        <f t="shared" si="367"/>
        <v>49303156</v>
      </c>
      <c r="AW2137" s="262" cm="1">
        <f t="array" ref="AW2137">SUM(MID(0&amp;AV2137,LARGE(INDEX(ISNUMBER(--MID(AV2137,ROW($1:$8),1))*ROW($1:$8),),ROW($1:$8))+1,1)*10^ROW($1:$8)/10)</f>
        <v>49303156</v>
      </c>
      <c r="AX2137" s="262" t="str">
        <f>VLOOKUP($AW2137,'Item Master Data'!$A:$F,3,FALSE)</f>
        <v>Q.PEAK DUO XL G10 BFG</v>
      </c>
      <c r="AY2137" s="262">
        <f>VLOOKUP($AW2137,'Item Master Data'!$A:$F,6,FALSE)</f>
        <v>480</v>
      </c>
      <c r="AZ2137" s="262">
        <f t="shared" si="368"/>
        <v>30.896551724137932</v>
      </c>
      <c r="BA2137" s="262">
        <f>VLOOKUP(AW2137,'Item Master Data'!$A:$G,7,FALSE)</f>
        <v>29</v>
      </c>
      <c r="BC2137" s="262">
        <f t="shared" si="369"/>
        <v>0</v>
      </c>
    </row>
    <row r="2138" spans="1:55">
      <c r="A2138" s="410"/>
      <c r="B2138" s="407"/>
      <c r="C2138" s="407"/>
      <c r="D2138" s="474" t="s">
        <v>1066</v>
      </c>
      <c r="E2138" s="388"/>
      <c r="F2138" s="474" t="s">
        <v>87</v>
      </c>
      <c r="G2138" s="474">
        <v>2022</v>
      </c>
      <c r="H2138" s="474">
        <v>5</v>
      </c>
      <c r="I2138" s="485" t="s">
        <v>5418</v>
      </c>
      <c r="J2138" s="475"/>
      <c r="K2138" s="474" t="s">
        <v>1349</v>
      </c>
      <c r="L2138" s="475" t="s">
        <v>1340</v>
      </c>
      <c r="M2138" s="475">
        <v>44509</v>
      </c>
      <c r="N2138" s="475">
        <v>44593</v>
      </c>
      <c r="O2138" s="475"/>
      <c r="P2138" s="475">
        <v>44666</v>
      </c>
      <c r="Q2138" s="475"/>
      <c r="R2138" s="475"/>
      <c r="S2138" s="474" t="s">
        <v>1102</v>
      </c>
      <c r="T2138" s="474">
        <v>72</v>
      </c>
      <c r="U2138" s="474">
        <v>49303556</v>
      </c>
      <c r="V2138" s="474" t="s">
        <v>1070</v>
      </c>
      <c r="W2138" s="476">
        <v>480</v>
      </c>
      <c r="X2138" s="402">
        <v>1276</v>
      </c>
      <c r="Y2138" s="491">
        <f t="shared" si="372"/>
        <v>612480</v>
      </c>
      <c r="Z2138" s="478">
        <v>0.47</v>
      </c>
      <c r="AA2138" s="479">
        <f>Y2138*Z2138</f>
        <v>287865.59999999998</v>
      </c>
      <c r="AB2138" s="386"/>
      <c r="AC2138" s="481">
        <v>0</v>
      </c>
      <c r="AD2138" s="474"/>
      <c r="AE2138" s="482"/>
      <c r="AF2138" s="493">
        <f t="shared" si="366"/>
        <v>287865.59999999998</v>
      </c>
      <c r="AG2138" s="474" t="s">
        <v>1071</v>
      </c>
      <c r="AH2138" s="447"/>
      <c r="AI2138" s="474">
        <v>60</v>
      </c>
      <c r="AJ2138" s="474" t="s">
        <v>1342</v>
      </c>
      <c r="AK2138" s="474" t="s">
        <v>1085</v>
      </c>
      <c r="AL2138" s="494">
        <v>8110</v>
      </c>
      <c r="AM2138" s="474" t="s">
        <v>52</v>
      </c>
      <c r="AN2138" s="474" t="s">
        <v>1074</v>
      </c>
      <c r="AO2138" s="474"/>
      <c r="AP2138" s="474"/>
      <c r="AQ2138" s="474" t="s">
        <v>37</v>
      </c>
      <c r="AR2138" s="474"/>
      <c r="AS2138" s="387"/>
      <c r="AT2138" s="387"/>
      <c r="AU2138" s="471"/>
      <c r="AV2138" s="262">
        <f t="shared" si="367"/>
        <v>49303556</v>
      </c>
      <c r="AW2138" s="262" cm="1">
        <f t="array" ref="AW2138">SUM(MID(0&amp;AV2138,LARGE(INDEX(ISNUMBER(--MID(AV2138,ROW($1:$8),1))*ROW($1:$8),),ROW($1:$8))+1,1)*10^ROW($1:$8)/10)</f>
        <v>49303556</v>
      </c>
      <c r="AX2138" s="262" t="str">
        <f>VLOOKUP($AW2138,'Item Master Data'!$A:$F,3,FALSE)</f>
        <v>Q.PEAK DUO XL G10 BFG</v>
      </c>
      <c r="AY2138" s="262">
        <f>VLOOKUP($AW2138,'Item Master Data'!$A:$F,6,FALSE)</f>
        <v>480</v>
      </c>
      <c r="AZ2138" s="262">
        <f t="shared" si="368"/>
        <v>44</v>
      </c>
      <c r="BA2138" s="262">
        <f>VLOOKUP(AW2138,'Item Master Data'!$A:$G,7,FALSE)</f>
        <v>29</v>
      </c>
      <c r="BC2138" s="262">
        <f t="shared" si="369"/>
        <v>0</v>
      </c>
    </row>
    <row r="2139" spans="1:55">
      <c r="A2139" s="410"/>
      <c r="B2139" s="407"/>
      <c r="C2139" s="407"/>
      <c r="D2139" s="474" t="s">
        <v>1066</v>
      </c>
      <c r="E2139" s="388"/>
      <c r="F2139" s="474" t="s">
        <v>87</v>
      </c>
      <c r="G2139" s="474">
        <v>2022</v>
      </c>
      <c r="H2139" s="474">
        <v>5</v>
      </c>
      <c r="I2139" s="485" t="s">
        <v>5418</v>
      </c>
      <c r="J2139" s="475"/>
      <c r="K2139" s="474" t="s">
        <v>1349</v>
      </c>
      <c r="L2139" s="475" t="s">
        <v>1340</v>
      </c>
      <c r="M2139" s="475">
        <v>44509</v>
      </c>
      <c r="N2139" s="475">
        <v>44593</v>
      </c>
      <c r="O2139" s="475"/>
      <c r="P2139" s="475">
        <v>44666</v>
      </c>
      <c r="Q2139" s="475"/>
      <c r="R2139" s="475"/>
      <c r="S2139" s="474" t="s">
        <v>1102</v>
      </c>
      <c r="T2139" s="474">
        <v>72</v>
      </c>
      <c r="U2139" s="474">
        <v>49303556</v>
      </c>
      <c r="V2139" s="474" t="s">
        <v>1070</v>
      </c>
      <c r="W2139" s="476">
        <v>480</v>
      </c>
      <c r="X2139" s="402">
        <f>1276+638+638</f>
        <v>2552</v>
      </c>
      <c r="Y2139" s="491">
        <f t="shared" si="372"/>
        <v>1224960</v>
      </c>
      <c r="Z2139" s="478">
        <v>0.47</v>
      </c>
      <c r="AA2139" s="479">
        <f>Y2139*Z2139</f>
        <v>575731.19999999995</v>
      </c>
      <c r="AB2139" s="386"/>
      <c r="AC2139" s="481">
        <v>0</v>
      </c>
      <c r="AD2139" s="474"/>
      <c r="AE2139" s="482"/>
      <c r="AF2139" s="493">
        <f t="shared" si="366"/>
        <v>575731.19999999995</v>
      </c>
      <c r="AG2139" s="474" t="s">
        <v>1071</v>
      </c>
      <c r="AH2139" s="447"/>
      <c r="AI2139" s="474">
        <v>60</v>
      </c>
      <c r="AJ2139" s="474" t="s">
        <v>1346</v>
      </c>
      <c r="AK2139" s="474" t="s">
        <v>1347</v>
      </c>
      <c r="AL2139" s="494">
        <v>18301</v>
      </c>
      <c r="AM2139" s="474" t="s">
        <v>52</v>
      </c>
      <c r="AN2139" s="474" t="s">
        <v>1074</v>
      </c>
      <c r="AO2139" s="474"/>
      <c r="AP2139" s="474"/>
      <c r="AQ2139" s="474" t="s">
        <v>37</v>
      </c>
      <c r="AR2139" s="474"/>
      <c r="AS2139" s="387"/>
      <c r="AT2139" s="387"/>
      <c r="AU2139" s="471"/>
      <c r="AV2139" s="262">
        <f t="shared" si="367"/>
        <v>49303556</v>
      </c>
      <c r="AW2139" s="262" cm="1">
        <f t="array" ref="AW2139">SUM(MID(0&amp;AV2139,LARGE(INDEX(ISNUMBER(--MID(AV2139,ROW($1:$8),1))*ROW($1:$8),),ROW($1:$8))+1,1)*10^ROW($1:$8)/10)</f>
        <v>49303556</v>
      </c>
      <c r="AX2139" s="262" t="str">
        <f>VLOOKUP($AW2139,'Item Master Data'!$A:$F,3,FALSE)</f>
        <v>Q.PEAK DUO XL G10 BFG</v>
      </c>
      <c r="AY2139" s="262">
        <f>VLOOKUP($AW2139,'Item Master Data'!$A:$F,6,FALSE)</f>
        <v>480</v>
      </c>
      <c r="AZ2139" s="262">
        <f t="shared" si="368"/>
        <v>88</v>
      </c>
      <c r="BA2139" s="262">
        <f>VLOOKUP(AW2139,'Item Master Data'!$A:$G,7,FALSE)</f>
        <v>29</v>
      </c>
      <c r="BC2139" s="262">
        <f t="shared" si="369"/>
        <v>0</v>
      </c>
    </row>
    <row r="2140" spans="1:55">
      <c r="A2140" s="410"/>
      <c r="B2140" s="407"/>
      <c r="C2140" s="407"/>
      <c r="D2140" s="474" t="s">
        <v>1066</v>
      </c>
      <c r="E2140" s="388"/>
      <c r="F2140" s="474" t="s">
        <v>87</v>
      </c>
      <c r="G2140" s="474">
        <v>2022</v>
      </c>
      <c r="H2140" s="474">
        <v>5</v>
      </c>
      <c r="I2140" s="485" t="s">
        <v>5418</v>
      </c>
      <c r="J2140" s="475"/>
      <c r="K2140" s="474" t="s">
        <v>1350</v>
      </c>
      <c r="L2140" s="475" t="s">
        <v>1340</v>
      </c>
      <c r="M2140" s="475">
        <v>44568</v>
      </c>
      <c r="N2140" s="475">
        <v>44641</v>
      </c>
      <c r="O2140" s="475"/>
      <c r="P2140" s="475">
        <v>44666</v>
      </c>
      <c r="Q2140" s="475"/>
      <c r="R2140" s="475"/>
      <c r="S2140" s="474" t="s">
        <v>1102</v>
      </c>
      <c r="T2140" s="474">
        <v>72</v>
      </c>
      <c r="U2140" s="474">
        <v>49303556</v>
      </c>
      <c r="V2140" s="474" t="s">
        <v>1070</v>
      </c>
      <c r="W2140" s="476">
        <v>480</v>
      </c>
      <c r="X2140" s="402">
        <v>3828</v>
      </c>
      <c r="Y2140" s="491">
        <f t="shared" si="372"/>
        <v>1837440</v>
      </c>
      <c r="Z2140" s="478">
        <v>0.47</v>
      </c>
      <c r="AA2140" s="479">
        <f>Y2140*Z2140</f>
        <v>863596.79999999993</v>
      </c>
      <c r="AB2140" s="386"/>
      <c r="AC2140" s="481">
        <v>0</v>
      </c>
      <c r="AD2140" s="474"/>
      <c r="AE2140" s="482"/>
      <c r="AF2140" s="493">
        <f t="shared" si="366"/>
        <v>863596.79999999993</v>
      </c>
      <c r="AG2140" s="474" t="s">
        <v>1071</v>
      </c>
      <c r="AH2140" s="447"/>
      <c r="AI2140" s="474">
        <v>60</v>
      </c>
      <c r="AJ2140" s="474" t="s">
        <v>1342</v>
      </c>
      <c r="AK2140" s="474" t="s">
        <v>1085</v>
      </c>
      <c r="AL2140" s="494">
        <v>8110</v>
      </c>
      <c r="AM2140" s="474" t="s">
        <v>52</v>
      </c>
      <c r="AN2140" s="474" t="s">
        <v>1074</v>
      </c>
      <c r="AO2140" s="474"/>
      <c r="AP2140" s="474"/>
      <c r="AQ2140" s="474" t="s">
        <v>37</v>
      </c>
      <c r="AR2140" s="474"/>
      <c r="AS2140" s="387"/>
      <c r="AT2140" s="387"/>
      <c r="AU2140" s="471"/>
      <c r="AV2140" s="262">
        <f t="shared" si="367"/>
        <v>49303556</v>
      </c>
      <c r="AW2140" s="262" cm="1">
        <f t="array" ref="AW2140">SUM(MID(0&amp;AV2140,LARGE(INDEX(ISNUMBER(--MID(AV2140,ROW($1:$8),1))*ROW($1:$8),),ROW($1:$8))+1,1)*10^ROW($1:$8)/10)</f>
        <v>49303556</v>
      </c>
      <c r="AX2140" s="262" t="str">
        <f>VLOOKUP($AW2140,'Item Master Data'!$A:$F,3,FALSE)</f>
        <v>Q.PEAK DUO XL G10 BFG</v>
      </c>
      <c r="AY2140" s="262">
        <f>VLOOKUP($AW2140,'Item Master Data'!$A:$F,6,FALSE)</f>
        <v>480</v>
      </c>
      <c r="AZ2140" s="262">
        <f t="shared" si="368"/>
        <v>132</v>
      </c>
      <c r="BA2140" s="262">
        <f>VLOOKUP(AW2140,'Item Master Data'!$A:$G,7,FALSE)</f>
        <v>29</v>
      </c>
      <c r="BC2140" s="262">
        <f t="shared" si="369"/>
        <v>0</v>
      </c>
    </row>
    <row r="2141" spans="1:55">
      <c r="A2141" s="410"/>
      <c r="B2141" s="407"/>
      <c r="C2141" s="407"/>
      <c r="D2141" s="474" t="s">
        <v>1066</v>
      </c>
      <c r="E2141" s="388"/>
      <c r="F2141" s="474" t="s">
        <v>87</v>
      </c>
      <c r="G2141" s="474">
        <v>2022</v>
      </c>
      <c r="H2141" s="474">
        <v>3</v>
      </c>
      <c r="I2141" s="485">
        <v>127807</v>
      </c>
      <c r="J2141" s="475">
        <v>44650</v>
      </c>
      <c r="K2141" s="474">
        <v>177272</v>
      </c>
      <c r="L2141" s="475" t="s">
        <v>1101</v>
      </c>
      <c r="M2141" s="475">
        <v>44428</v>
      </c>
      <c r="N2141" s="475">
        <v>44470</v>
      </c>
      <c r="O2141" s="475"/>
      <c r="P2141" s="475">
        <v>44636</v>
      </c>
      <c r="Q2141" s="475">
        <v>44643</v>
      </c>
      <c r="R2141" s="475">
        <v>44643</v>
      </c>
      <c r="S2141" s="474" t="s">
        <v>1102</v>
      </c>
      <c r="T2141" s="474">
        <v>72</v>
      </c>
      <c r="U2141" s="474" t="s">
        <v>1103</v>
      </c>
      <c r="V2141" s="474" t="s">
        <v>1104</v>
      </c>
      <c r="W2141" s="476">
        <v>480</v>
      </c>
      <c r="X2141" s="402">
        <v>1131</v>
      </c>
      <c r="Y2141" s="491">
        <f t="shared" si="372"/>
        <v>542880</v>
      </c>
      <c r="Z2141" s="478">
        <v>0.44</v>
      </c>
      <c r="AA2141" s="479">
        <f t="shared" ref="AA2141:AA2166" si="373">Z2141*Y2141</f>
        <v>238867.20000000001</v>
      </c>
      <c r="AB2141" s="386"/>
      <c r="AC2141" s="481">
        <f t="shared" ref="AC2141:AC2166" si="374">AB2141*Y2141</f>
        <v>0</v>
      </c>
      <c r="AD2141" s="474"/>
      <c r="AE2141" s="482"/>
      <c r="AF2141" s="493">
        <f t="shared" si="366"/>
        <v>238867.20000000001</v>
      </c>
      <c r="AG2141" s="474" t="s">
        <v>1071</v>
      </c>
      <c r="AH2141" s="447">
        <v>10</v>
      </c>
      <c r="AI2141" s="474">
        <v>30</v>
      </c>
      <c r="AJ2141" s="474" t="s">
        <v>1105</v>
      </c>
      <c r="AK2141" s="474" t="s">
        <v>1085</v>
      </c>
      <c r="AL2141" s="494">
        <v>8562</v>
      </c>
      <c r="AM2141" s="474" t="s">
        <v>52</v>
      </c>
      <c r="AN2141" s="474" t="s">
        <v>1085</v>
      </c>
      <c r="AO2141" s="474"/>
      <c r="AP2141" s="474" t="s">
        <v>38</v>
      </c>
      <c r="AQ2141" s="474" t="s">
        <v>1086</v>
      </c>
      <c r="AR2141" s="474"/>
      <c r="AS2141" s="387" t="s">
        <v>1075</v>
      </c>
      <c r="AT2141" s="387" t="s">
        <v>1075</v>
      </c>
      <c r="AU2141" s="471"/>
      <c r="AV2141" s="262" t="str">
        <f t="shared" si="367"/>
        <v>30397472F</v>
      </c>
      <c r="AW2141" s="262" cm="1">
        <f t="array" ref="AW2141">SUM(MID(0&amp;AV2141,LARGE(INDEX(ISNUMBER(--MID(AV2141,ROW($1:$8),1))*ROW($1:$8),),ROW($1:$8))+1,1)*10^ROW($1:$8)/10)</f>
        <v>30397472</v>
      </c>
      <c r="AX2141" s="262" t="str">
        <f>VLOOKUP($AW2141,'Item Master Data'!$A:$F,3,FALSE)</f>
        <v>Q.PEAK DUO XL G10</v>
      </c>
      <c r="AY2141" s="262">
        <f>VLOOKUP($AW2141,'Item Master Data'!$A:$F,6,FALSE)</f>
        <v>480</v>
      </c>
      <c r="AZ2141" s="262">
        <f t="shared" si="368"/>
        <v>39</v>
      </c>
      <c r="BA2141" s="262">
        <f>VLOOKUP(AW2141,'Item Master Data'!$A:$G,7,FALSE)</f>
        <v>29</v>
      </c>
      <c r="BC2141" s="262">
        <f t="shared" si="369"/>
        <v>0</v>
      </c>
    </row>
    <row r="2142" spans="1:55">
      <c r="A2142" s="410"/>
      <c r="B2142" s="407"/>
      <c r="C2142" s="407"/>
      <c r="D2142" s="474" t="s">
        <v>1066</v>
      </c>
      <c r="E2142" s="388"/>
      <c r="F2142" s="474" t="s">
        <v>87</v>
      </c>
      <c r="G2142" s="474">
        <v>2022</v>
      </c>
      <c r="H2142" s="474">
        <v>3</v>
      </c>
      <c r="I2142" s="485">
        <v>127807</v>
      </c>
      <c r="J2142" s="475">
        <v>44650</v>
      </c>
      <c r="K2142" s="474">
        <v>177272</v>
      </c>
      <c r="L2142" s="475" t="s">
        <v>1101</v>
      </c>
      <c r="M2142" s="475">
        <v>44428</v>
      </c>
      <c r="N2142" s="475">
        <v>44470</v>
      </c>
      <c r="O2142" s="475"/>
      <c r="P2142" s="475">
        <v>44629</v>
      </c>
      <c r="Q2142" s="475">
        <v>44642</v>
      </c>
      <c r="R2142" s="475">
        <v>44648</v>
      </c>
      <c r="S2142" s="474" t="s">
        <v>1102</v>
      </c>
      <c r="T2142" s="474">
        <v>72</v>
      </c>
      <c r="U2142" s="474">
        <v>49301156</v>
      </c>
      <c r="V2142" s="474" t="s">
        <v>1104</v>
      </c>
      <c r="W2142" s="476">
        <v>480</v>
      </c>
      <c r="X2142" s="402">
        <v>7079</v>
      </c>
      <c r="Y2142" s="491">
        <f t="shared" si="372"/>
        <v>3397920</v>
      </c>
      <c r="Z2142" s="478">
        <v>0.44</v>
      </c>
      <c r="AA2142" s="479">
        <f t="shared" si="373"/>
        <v>1495084.8</v>
      </c>
      <c r="AB2142" s="386"/>
      <c r="AC2142" s="481">
        <f t="shared" si="374"/>
        <v>0</v>
      </c>
      <c r="AD2142" s="474"/>
      <c r="AE2142" s="482"/>
      <c r="AF2142" s="493">
        <f t="shared" si="366"/>
        <v>1495084.8</v>
      </c>
      <c r="AG2142" s="474" t="s">
        <v>1071</v>
      </c>
      <c r="AH2142" s="447">
        <v>10</v>
      </c>
      <c r="AI2142" s="474">
        <v>30</v>
      </c>
      <c r="AJ2142" s="474" t="s">
        <v>1105</v>
      </c>
      <c r="AK2142" s="474" t="s">
        <v>1085</v>
      </c>
      <c r="AL2142" s="494">
        <v>8562</v>
      </c>
      <c r="AM2142" s="474" t="s">
        <v>52</v>
      </c>
      <c r="AN2142" s="474" t="s">
        <v>1106</v>
      </c>
      <c r="AO2142" s="474"/>
      <c r="AP2142" s="474"/>
      <c r="AQ2142" s="474" t="s">
        <v>1086</v>
      </c>
      <c r="AR2142" s="474"/>
      <c r="AS2142" s="387" t="s">
        <v>1075</v>
      </c>
      <c r="AT2142" s="387" t="s">
        <v>1075</v>
      </c>
      <c r="AU2142" s="471"/>
      <c r="AV2142" s="262">
        <f t="shared" si="367"/>
        <v>49301156</v>
      </c>
      <c r="AW2142" s="262" cm="1">
        <f t="array" ref="AW2142">SUM(MID(0&amp;AV2142,LARGE(INDEX(ISNUMBER(--MID(AV2142,ROW($1:$8),1))*ROW($1:$8),),ROW($1:$8))+1,1)*10^ROW($1:$8)/10)</f>
        <v>49301156</v>
      </c>
      <c r="AX2142" s="262" t="str">
        <f>VLOOKUP($AW2142,'Item Master Data'!$A:$F,3,FALSE)</f>
        <v>Q.PEAK DUO XL G10</v>
      </c>
      <c r="AY2142" s="262">
        <f>VLOOKUP($AW2142,'Item Master Data'!$A:$F,6,FALSE)</f>
        <v>480</v>
      </c>
      <c r="AZ2142" s="262">
        <f t="shared" si="368"/>
        <v>244.10344827586206</v>
      </c>
      <c r="BA2142" s="262">
        <f>VLOOKUP(AW2142,'Item Master Data'!$A:$G,7,FALSE)</f>
        <v>29</v>
      </c>
      <c r="BC2142" s="262">
        <f t="shared" si="369"/>
        <v>0</v>
      </c>
    </row>
    <row r="2143" spans="1:55">
      <c r="A2143" s="410"/>
      <c r="B2143" s="407"/>
      <c r="C2143" s="407"/>
      <c r="D2143" s="474" t="s">
        <v>1066</v>
      </c>
      <c r="E2143" s="388"/>
      <c r="F2143" s="474" t="s">
        <v>87</v>
      </c>
      <c r="G2143" s="474">
        <v>2022</v>
      </c>
      <c r="H2143" s="474">
        <v>3</v>
      </c>
      <c r="I2143" s="485">
        <v>127807</v>
      </c>
      <c r="J2143" s="475">
        <v>44650</v>
      </c>
      <c r="K2143" s="474">
        <v>177272</v>
      </c>
      <c r="L2143" s="475" t="s">
        <v>1101</v>
      </c>
      <c r="M2143" s="475">
        <v>44428</v>
      </c>
      <c r="N2143" s="475">
        <v>44470</v>
      </c>
      <c r="O2143" s="475"/>
      <c r="P2143" s="475">
        <v>44629</v>
      </c>
      <c r="Q2143" s="475">
        <v>44650</v>
      </c>
      <c r="R2143" s="475">
        <v>44648</v>
      </c>
      <c r="S2143" s="474" t="s">
        <v>1102</v>
      </c>
      <c r="T2143" s="474">
        <v>72</v>
      </c>
      <c r="U2143" s="474">
        <v>49301156</v>
      </c>
      <c r="V2143" s="474" t="s">
        <v>1104</v>
      </c>
      <c r="W2143" s="476">
        <v>480</v>
      </c>
      <c r="X2143" s="402">
        <v>1914</v>
      </c>
      <c r="Y2143" s="491">
        <f t="shared" si="372"/>
        <v>918720</v>
      </c>
      <c r="Z2143" s="478">
        <v>0.44</v>
      </c>
      <c r="AA2143" s="479">
        <f t="shared" si="373"/>
        <v>404236.79999999999</v>
      </c>
      <c r="AB2143" s="386"/>
      <c r="AC2143" s="481">
        <f t="shared" si="374"/>
        <v>0</v>
      </c>
      <c r="AD2143" s="474"/>
      <c r="AE2143" s="482"/>
      <c r="AF2143" s="493">
        <f t="shared" si="366"/>
        <v>404236.79999999999</v>
      </c>
      <c r="AG2143" s="474" t="s">
        <v>1071</v>
      </c>
      <c r="AH2143" s="447">
        <v>10</v>
      </c>
      <c r="AI2143" s="474">
        <v>30</v>
      </c>
      <c r="AJ2143" s="474" t="s">
        <v>1105</v>
      </c>
      <c r="AK2143" s="474" t="s">
        <v>1085</v>
      </c>
      <c r="AL2143" s="494">
        <v>8562</v>
      </c>
      <c r="AM2143" s="474" t="s">
        <v>52</v>
      </c>
      <c r="AN2143" s="474" t="s">
        <v>1074</v>
      </c>
      <c r="AO2143" s="474"/>
      <c r="AP2143" s="474"/>
      <c r="AQ2143" s="474" t="s">
        <v>1086</v>
      </c>
      <c r="AR2143" s="474"/>
      <c r="AS2143" s="387" t="s">
        <v>1075</v>
      </c>
      <c r="AT2143" s="387" t="s">
        <v>1075</v>
      </c>
      <c r="AU2143" s="471"/>
      <c r="AV2143" s="262">
        <f t="shared" si="367"/>
        <v>49301156</v>
      </c>
      <c r="AW2143" s="262" cm="1">
        <f t="array" ref="AW2143">SUM(MID(0&amp;AV2143,LARGE(INDEX(ISNUMBER(--MID(AV2143,ROW($1:$8),1))*ROW($1:$8),),ROW($1:$8))+1,1)*10^ROW($1:$8)/10)</f>
        <v>49301156</v>
      </c>
      <c r="AX2143" s="262" t="str">
        <f>VLOOKUP($AW2143,'Item Master Data'!$A:$F,3,FALSE)</f>
        <v>Q.PEAK DUO XL G10</v>
      </c>
      <c r="AY2143" s="262">
        <f>VLOOKUP($AW2143,'Item Master Data'!$A:$F,6,FALSE)</f>
        <v>480</v>
      </c>
      <c r="AZ2143" s="262">
        <f t="shared" si="368"/>
        <v>66</v>
      </c>
      <c r="BA2143" s="262">
        <f>VLOOKUP(AW2143,'Item Master Data'!$A:$G,7,FALSE)</f>
        <v>29</v>
      </c>
      <c r="BC2143" s="262">
        <f t="shared" si="369"/>
        <v>0</v>
      </c>
    </row>
    <row r="2144" spans="1:55">
      <c r="A2144" s="410"/>
      <c r="B2144" s="407"/>
      <c r="C2144" s="407"/>
      <c r="D2144" s="474" t="s">
        <v>1066</v>
      </c>
      <c r="E2144" s="388" t="s">
        <v>1107</v>
      </c>
      <c r="F2144" s="474" t="s">
        <v>87</v>
      </c>
      <c r="G2144" s="474">
        <v>2022</v>
      </c>
      <c r="H2144" s="524">
        <v>3</v>
      </c>
      <c r="I2144" s="415">
        <v>127859</v>
      </c>
      <c r="J2144" s="538">
        <v>44650</v>
      </c>
      <c r="K2144" s="524">
        <v>177272</v>
      </c>
      <c r="L2144" s="538" t="s">
        <v>1101</v>
      </c>
      <c r="M2144" s="475">
        <v>44428</v>
      </c>
      <c r="N2144" s="475">
        <v>44470</v>
      </c>
      <c r="O2144" s="475"/>
      <c r="P2144" s="475">
        <v>44629</v>
      </c>
      <c r="Q2144" s="475">
        <v>44650</v>
      </c>
      <c r="R2144" s="475">
        <v>44648</v>
      </c>
      <c r="S2144" s="474" t="s">
        <v>1102</v>
      </c>
      <c r="T2144" s="474">
        <v>72</v>
      </c>
      <c r="U2144" s="474">
        <v>49301156</v>
      </c>
      <c r="V2144" s="474" t="s">
        <v>1104</v>
      </c>
      <c r="W2144" s="476">
        <v>480</v>
      </c>
      <c r="X2144" s="402">
        <v>229</v>
      </c>
      <c r="Y2144" s="491">
        <f t="shared" si="372"/>
        <v>109920</v>
      </c>
      <c r="Z2144" s="478">
        <v>0.44</v>
      </c>
      <c r="AA2144" s="479">
        <f t="shared" si="373"/>
        <v>48364.800000000003</v>
      </c>
      <c r="AB2144" s="386"/>
      <c r="AC2144" s="481">
        <f t="shared" si="374"/>
        <v>0</v>
      </c>
      <c r="AD2144" s="474"/>
      <c r="AE2144" s="482"/>
      <c r="AF2144" s="493">
        <f t="shared" si="366"/>
        <v>48364.800000000003</v>
      </c>
      <c r="AG2144" s="474" t="s">
        <v>1071</v>
      </c>
      <c r="AH2144" s="447">
        <v>10</v>
      </c>
      <c r="AI2144" s="474">
        <v>30</v>
      </c>
      <c r="AJ2144" s="474" t="s">
        <v>1105</v>
      </c>
      <c r="AK2144" s="474" t="s">
        <v>1085</v>
      </c>
      <c r="AL2144" s="494">
        <v>8562</v>
      </c>
      <c r="AM2144" s="474" t="s">
        <v>52</v>
      </c>
      <c r="AN2144" s="474" t="s">
        <v>1074</v>
      </c>
      <c r="AO2144" s="474"/>
      <c r="AP2144" s="474"/>
      <c r="AQ2144" s="474" t="s">
        <v>1086</v>
      </c>
      <c r="AR2144" s="474"/>
      <c r="AS2144" s="387" t="s">
        <v>1075</v>
      </c>
      <c r="AT2144" s="387" t="s">
        <v>1075</v>
      </c>
      <c r="AU2144" s="471"/>
      <c r="AV2144" s="262">
        <f t="shared" si="367"/>
        <v>49301156</v>
      </c>
      <c r="AW2144" s="262" cm="1">
        <f t="array" ref="AW2144">SUM(MID(0&amp;AV2144,LARGE(INDEX(ISNUMBER(--MID(AV2144,ROW($1:$8),1))*ROW($1:$8),),ROW($1:$8))+1,1)*10^ROW($1:$8)/10)</f>
        <v>49301156</v>
      </c>
      <c r="AX2144" s="262" t="str">
        <f>VLOOKUP($AW2144,'Item Master Data'!$A:$F,3,FALSE)</f>
        <v>Q.PEAK DUO XL G10</v>
      </c>
      <c r="AY2144" s="262">
        <f>VLOOKUP($AW2144,'Item Master Data'!$A:$F,6,FALSE)</f>
        <v>480</v>
      </c>
      <c r="AZ2144" s="262">
        <f t="shared" si="368"/>
        <v>7.8965517241379306</v>
      </c>
      <c r="BA2144" s="262">
        <f>VLOOKUP(AW2144,'Item Master Data'!$A:$G,7,FALSE)</f>
        <v>29</v>
      </c>
      <c r="BC2144" s="262">
        <f t="shared" si="369"/>
        <v>0</v>
      </c>
    </row>
    <row r="2145" spans="1:55">
      <c r="A2145" s="410"/>
      <c r="B2145" s="407"/>
      <c r="C2145" s="407"/>
      <c r="D2145" s="474" t="s">
        <v>1066</v>
      </c>
      <c r="E2145" s="388"/>
      <c r="F2145" s="474" t="s">
        <v>87</v>
      </c>
      <c r="G2145" s="474">
        <v>2022</v>
      </c>
      <c r="H2145" s="474">
        <v>4</v>
      </c>
      <c r="I2145" s="485" t="s">
        <v>5389</v>
      </c>
      <c r="J2145" s="475">
        <v>44673</v>
      </c>
      <c r="K2145" s="474">
        <v>177272</v>
      </c>
      <c r="L2145" s="475" t="s">
        <v>1101</v>
      </c>
      <c r="M2145" s="475">
        <v>44428</v>
      </c>
      <c r="N2145" s="475">
        <v>44470</v>
      </c>
      <c r="O2145" s="475"/>
      <c r="P2145" s="475">
        <v>44665</v>
      </c>
      <c r="Q2145" s="475">
        <v>44669</v>
      </c>
      <c r="R2145" s="475">
        <v>44671</v>
      </c>
      <c r="S2145" s="474" t="s">
        <v>1102</v>
      </c>
      <c r="T2145" s="474">
        <v>72</v>
      </c>
      <c r="U2145" s="474">
        <v>49301156</v>
      </c>
      <c r="V2145" s="474" t="s">
        <v>1104</v>
      </c>
      <c r="W2145" s="476">
        <v>480</v>
      </c>
      <c r="X2145" s="402">
        <v>270</v>
      </c>
      <c r="Y2145" s="491">
        <f t="shared" si="372"/>
        <v>129600</v>
      </c>
      <c r="Z2145" s="478">
        <v>0.44</v>
      </c>
      <c r="AA2145" s="479">
        <f t="shared" si="373"/>
        <v>57024</v>
      </c>
      <c r="AB2145" s="386"/>
      <c r="AC2145" s="481">
        <f t="shared" si="374"/>
        <v>0</v>
      </c>
      <c r="AD2145" s="474"/>
      <c r="AE2145" s="482"/>
      <c r="AF2145" s="493">
        <f t="shared" si="366"/>
        <v>57024</v>
      </c>
      <c r="AG2145" s="474" t="s">
        <v>1071</v>
      </c>
      <c r="AH2145" s="447">
        <v>10</v>
      </c>
      <c r="AI2145" s="474">
        <v>30</v>
      </c>
      <c r="AJ2145" s="474" t="s">
        <v>1105</v>
      </c>
      <c r="AK2145" s="474" t="s">
        <v>1085</v>
      </c>
      <c r="AL2145" s="494">
        <v>8562</v>
      </c>
      <c r="AM2145" s="474" t="s">
        <v>52</v>
      </c>
      <c r="AN2145" s="474" t="s">
        <v>1074</v>
      </c>
      <c r="AO2145" s="474"/>
      <c r="AP2145" s="474"/>
      <c r="AQ2145" s="474" t="s">
        <v>1086</v>
      </c>
      <c r="AR2145" s="474"/>
      <c r="AS2145" s="387" t="s">
        <v>1075</v>
      </c>
      <c r="AT2145" s="387" t="s">
        <v>1075</v>
      </c>
      <c r="AU2145" s="471"/>
      <c r="AV2145" s="262">
        <f t="shared" si="367"/>
        <v>49301156</v>
      </c>
      <c r="AW2145" s="262" cm="1">
        <f t="array" ref="AW2145">SUM(MID(0&amp;AV2145,LARGE(INDEX(ISNUMBER(--MID(AV2145,ROW($1:$8),1))*ROW($1:$8),),ROW($1:$8))+1,1)*10^ROW($1:$8)/10)</f>
        <v>49301156</v>
      </c>
      <c r="AX2145" s="262" t="str">
        <f>VLOOKUP($AW2145,'Item Master Data'!$A:$F,3,FALSE)</f>
        <v>Q.PEAK DUO XL G10</v>
      </c>
      <c r="AY2145" s="262">
        <f>VLOOKUP($AW2145,'Item Master Data'!$A:$F,6,FALSE)</f>
        <v>480</v>
      </c>
      <c r="AZ2145" s="262">
        <f t="shared" si="368"/>
        <v>9.3103448275862064</v>
      </c>
      <c r="BA2145" s="262">
        <f>VLOOKUP(AW2145,'Item Master Data'!$A:$G,7,FALSE)</f>
        <v>29</v>
      </c>
      <c r="BC2145" s="262">
        <f t="shared" si="369"/>
        <v>0</v>
      </c>
    </row>
    <row r="2146" spans="1:55">
      <c r="A2146" s="410"/>
      <c r="B2146" s="407"/>
      <c r="C2146" s="407"/>
      <c r="D2146" s="474" t="s">
        <v>1066</v>
      </c>
      <c r="E2146" s="388"/>
      <c r="F2146" s="474" t="s">
        <v>87</v>
      </c>
      <c r="G2146" s="474">
        <v>2022</v>
      </c>
      <c r="H2146" s="474">
        <v>4</v>
      </c>
      <c r="I2146" s="485" t="s">
        <v>5389</v>
      </c>
      <c r="J2146" s="475">
        <v>44673</v>
      </c>
      <c r="K2146" s="474">
        <v>177272</v>
      </c>
      <c r="L2146" s="475" t="s">
        <v>1101</v>
      </c>
      <c r="M2146" s="475">
        <v>44428</v>
      </c>
      <c r="N2146" s="475">
        <v>44470</v>
      </c>
      <c r="O2146" s="475"/>
      <c r="P2146" s="475">
        <v>44665</v>
      </c>
      <c r="Q2146" s="475">
        <v>44669</v>
      </c>
      <c r="R2146" s="475">
        <v>44671</v>
      </c>
      <c r="S2146" s="474" t="s">
        <v>1102</v>
      </c>
      <c r="T2146" s="474">
        <v>72</v>
      </c>
      <c r="U2146" s="474">
        <v>49302156</v>
      </c>
      <c r="V2146" s="474" t="s">
        <v>1104</v>
      </c>
      <c r="W2146" s="476">
        <v>480</v>
      </c>
      <c r="X2146" s="402">
        <v>204</v>
      </c>
      <c r="Y2146" s="491">
        <f t="shared" si="372"/>
        <v>97920</v>
      </c>
      <c r="Z2146" s="478">
        <v>0.44</v>
      </c>
      <c r="AA2146" s="479">
        <f t="shared" si="373"/>
        <v>43084.800000000003</v>
      </c>
      <c r="AB2146" s="386"/>
      <c r="AC2146" s="481">
        <f t="shared" si="374"/>
        <v>0</v>
      </c>
      <c r="AD2146" s="474"/>
      <c r="AE2146" s="482"/>
      <c r="AF2146" s="493">
        <f t="shared" si="366"/>
        <v>43084.800000000003</v>
      </c>
      <c r="AG2146" s="474" t="s">
        <v>1071</v>
      </c>
      <c r="AH2146" s="447">
        <v>10</v>
      </c>
      <c r="AI2146" s="474">
        <v>30</v>
      </c>
      <c r="AJ2146" s="474" t="s">
        <v>1105</v>
      </c>
      <c r="AK2146" s="474" t="s">
        <v>1085</v>
      </c>
      <c r="AL2146" s="494">
        <v>8562</v>
      </c>
      <c r="AM2146" s="474" t="s">
        <v>52</v>
      </c>
      <c r="AN2146" s="474" t="s">
        <v>1074</v>
      </c>
      <c r="AO2146" s="474"/>
      <c r="AP2146" s="474"/>
      <c r="AQ2146" s="474" t="s">
        <v>1086</v>
      </c>
      <c r="AR2146" s="474"/>
      <c r="AS2146" s="387" t="s">
        <v>1075</v>
      </c>
      <c r="AT2146" s="387" t="s">
        <v>1075</v>
      </c>
      <c r="AU2146" s="471"/>
      <c r="AV2146" s="262">
        <f t="shared" si="367"/>
        <v>49302156</v>
      </c>
      <c r="AW2146" s="262" cm="1">
        <f t="array" ref="AW2146">SUM(MID(0&amp;AV2146,LARGE(INDEX(ISNUMBER(--MID(AV2146,ROW($1:$8),1))*ROW($1:$8),),ROW($1:$8))+1,1)*10^ROW($1:$8)/10)</f>
        <v>49302156</v>
      </c>
      <c r="AX2146" s="262" t="str">
        <f>VLOOKUP($AW2146,'Item Master Data'!$A:$F,3,FALSE)</f>
        <v>Q.PEAK DUO XL G10</v>
      </c>
      <c r="AY2146" s="262">
        <f>VLOOKUP($AW2146,'Item Master Data'!$A:$F,6,FALSE)</f>
        <v>480</v>
      </c>
      <c r="AZ2146" s="262">
        <f t="shared" si="368"/>
        <v>7.0344827586206895</v>
      </c>
      <c r="BA2146" s="262">
        <f>VLOOKUP(AW2146,'Item Master Data'!$A:$G,7,FALSE)</f>
        <v>29</v>
      </c>
      <c r="BC2146" s="262">
        <f t="shared" si="369"/>
        <v>0</v>
      </c>
    </row>
    <row r="2147" spans="1:55">
      <c r="A2147" s="410"/>
      <c r="B2147" s="407"/>
      <c r="C2147" s="407"/>
      <c r="D2147" s="474" t="s">
        <v>1066</v>
      </c>
      <c r="E2147" s="388"/>
      <c r="F2147" s="474" t="s">
        <v>87</v>
      </c>
      <c r="G2147" s="474">
        <v>2022</v>
      </c>
      <c r="H2147" s="474">
        <v>4</v>
      </c>
      <c r="I2147" s="485" t="s">
        <v>5389</v>
      </c>
      <c r="J2147" s="475">
        <v>44673</v>
      </c>
      <c r="K2147" s="474">
        <v>177272</v>
      </c>
      <c r="L2147" s="475" t="s">
        <v>1101</v>
      </c>
      <c r="M2147" s="475">
        <v>44428</v>
      </c>
      <c r="N2147" s="475">
        <v>44470</v>
      </c>
      <c r="O2147" s="475"/>
      <c r="P2147" s="475">
        <v>44665</v>
      </c>
      <c r="Q2147" s="475">
        <v>44673</v>
      </c>
      <c r="R2147" s="475">
        <v>44673</v>
      </c>
      <c r="S2147" s="474" t="s">
        <v>1102</v>
      </c>
      <c r="T2147" s="474">
        <v>72</v>
      </c>
      <c r="U2147" s="474" t="s">
        <v>1103</v>
      </c>
      <c r="V2147" s="474" t="s">
        <v>1104</v>
      </c>
      <c r="W2147" s="476">
        <v>480</v>
      </c>
      <c r="X2147" s="402">
        <v>106</v>
      </c>
      <c r="Y2147" s="491">
        <f t="shared" si="372"/>
        <v>50880</v>
      </c>
      <c r="Z2147" s="478">
        <v>0.44</v>
      </c>
      <c r="AA2147" s="479">
        <f t="shared" si="373"/>
        <v>22387.200000000001</v>
      </c>
      <c r="AB2147" s="386"/>
      <c r="AC2147" s="481">
        <f t="shared" si="374"/>
        <v>0</v>
      </c>
      <c r="AD2147" s="474"/>
      <c r="AE2147" s="482"/>
      <c r="AF2147" s="493">
        <f t="shared" si="366"/>
        <v>22387.200000000001</v>
      </c>
      <c r="AG2147" s="474" t="s">
        <v>1071</v>
      </c>
      <c r="AH2147" s="447">
        <v>10</v>
      </c>
      <c r="AI2147" s="474">
        <v>30</v>
      </c>
      <c r="AJ2147" s="474" t="s">
        <v>1105</v>
      </c>
      <c r="AK2147" s="474" t="s">
        <v>1085</v>
      </c>
      <c r="AL2147" s="494">
        <v>8562</v>
      </c>
      <c r="AM2147" s="474" t="s">
        <v>52</v>
      </c>
      <c r="AN2147" s="474" t="s">
        <v>1085</v>
      </c>
      <c r="AO2147" s="474"/>
      <c r="AP2147" s="474" t="s">
        <v>92</v>
      </c>
      <c r="AQ2147" s="474" t="s">
        <v>1086</v>
      </c>
      <c r="AR2147" s="474"/>
      <c r="AS2147" s="387" t="s">
        <v>1075</v>
      </c>
      <c r="AT2147" s="387" t="s">
        <v>1075</v>
      </c>
      <c r="AU2147" s="471"/>
      <c r="AV2147" s="262" t="str">
        <f t="shared" si="367"/>
        <v>30397472F</v>
      </c>
      <c r="AW2147" s="262" cm="1">
        <f t="array" ref="AW2147">SUM(MID(0&amp;AV2147,LARGE(INDEX(ISNUMBER(--MID(AV2147,ROW($1:$8),1))*ROW($1:$8),),ROW($1:$8))+1,1)*10^ROW($1:$8)/10)</f>
        <v>30397472</v>
      </c>
      <c r="AX2147" s="262" t="str">
        <f>VLOOKUP($AW2147,'Item Master Data'!$A:$F,3,FALSE)</f>
        <v>Q.PEAK DUO XL G10</v>
      </c>
      <c r="AY2147" s="262">
        <f>VLOOKUP($AW2147,'Item Master Data'!$A:$F,6,FALSE)</f>
        <v>480</v>
      </c>
      <c r="AZ2147" s="262">
        <f t="shared" si="368"/>
        <v>3.6551724137931036</v>
      </c>
      <c r="BA2147" s="262">
        <f>VLOOKUP(AW2147,'Item Master Data'!$A:$G,7,FALSE)</f>
        <v>29</v>
      </c>
      <c r="BC2147" s="262">
        <f t="shared" si="369"/>
        <v>0</v>
      </c>
    </row>
    <row r="2148" spans="1:55">
      <c r="A2148" s="410"/>
      <c r="B2148" s="407"/>
      <c r="C2148" s="407"/>
      <c r="D2148" s="474" t="s">
        <v>1066</v>
      </c>
      <c r="E2148" s="388" t="s">
        <v>1108</v>
      </c>
      <c r="F2148" s="474" t="s">
        <v>87</v>
      </c>
      <c r="G2148" s="474">
        <v>2022</v>
      </c>
      <c r="H2148" s="474">
        <v>5</v>
      </c>
      <c r="I2148" s="485"/>
      <c r="J2148" s="475"/>
      <c r="K2148" s="474">
        <v>178510</v>
      </c>
      <c r="L2148" s="475" t="s">
        <v>1101</v>
      </c>
      <c r="M2148" s="475">
        <v>44508</v>
      </c>
      <c r="N2148" s="475">
        <v>44666</v>
      </c>
      <c r="O2148" s="475"/>
      <c r="P2148" s="475" t="s">
        <v>5737</v>
      </c>
      <c r="Q2148" s="475"/>
      <c r="R2148" s="475"/>
      <c r="S2148" s="474" t="s">
        <v>1102</v>
      </c>
      <c r="T2148" s="474">
        <v>72</v>
      </c>
      <c r="U2148" s="474" t="s">
        <v>1109</v>
      </c>
      <c r="V2148" s="474" t="s">
        <v>1110</v>
      </c>
      <c r="W2148" s="476">
        <v>485</v>
      </c>
      <c r="X2148" s="402">
        <v>2436</v>
      </c>
      <c r="Y2148" s="491">
        <f t="shared" si="372"/>
        <v>1181460</v>
      </c>
      <c r="Z2148" s="478">
        <v>0.46</v>
      </c>
      <c r="AA2148" s="479">
        <f t="shared" si="373"/>
        <v>543471.6</v>
      </c>
      <c r="AB2148" s="386"/>
      <c r="AC2148" s="481">
        <f t="shared" si="374"/>
        <v>0</v>
      </c>
      <c r="AD2148" s="474"/>
      <c r="AE2148" s="482"/>
      <c r="AF2148" s="493">
        <f t="shared" si="366"/>
        <v>543471.6</v>
      </c>
      <c r="AG2148" s="474" t="s">
        <v>47</v>
      </c>
      <c r="AH2148" s="447">
        <v>10</v>
      </c>
      <c r="AI2148" s="474">
        <v>30</v>
      </c>
      <c r="AJ2148" s="474" t="s">
        <v>1109</v>
      </c>
      <c r="AK2148" s="474" t="s">
        <v>1109</v>
      </c>
      <c r="AL2148" s="494" t="s">
        <v>1109</v>
      </c>
      <c r="AM2148" s="474" t="s">
        <v>52</v>
      </c>
      <c r="AN2148" s="474" t="s">
        <v>1109</v>
      </c>
      <c r="AO2148" s="474"/>
      <c r="AP2148" s="474" t="s">
        <v>1109</v>
      </c>
      <c r="AQ2148" s="474" t="s">
        <v>1086</v>
      </c>
      <c r="AR2148" s="474"/>
      <c r="AS2148" s="387" t="s">
        <v>1075</v>
      </c>
      <c r="AT2148" s="387" t="s">
        <v>1075</v>
      </c>
      <c r="AU2148" s="471"/>
      <c r="AV2148" s="262" t="str">
        <f t="shared" si="367"/>
        <v>TBD</v>
      </c>
      <c r="AW2148" s="262" cm="1">
        <f t="array" ref="AW2148">SUM(MID(0&amp;AV2148,LARGE(INDEX(ISNUMBER(--MID(AV2148,ROW($1:$8),1))*ROW($1:$8),),ROW($1:$8))+1,1)*10^ROW($1:$8)/10)</f>
        <v>0</v>
      </c>
      <c r="AX2148" s="262" t="e">
        <f>VLOOKUP($AW2148,'Item Master Data'!$A:$F,3,FALSE)</f>
        <v>#N/A</v>
      </c>
      <c r="AY2148" s="262" t="e">
        <f>VLOOKUP($AW2148,'Item Master Data'!$A:$F,6,FALSE)</f>
        <v>#N/A</v>
      </c>
      <c r="AZ2148" s="262" t="e">
        <f t="shared" si="368"/>
        <v>#N/A</v>
      </c>
      <c r="BA2148" s="262" t="e">
        <f>VLOOKUP(AW2148,'Item Master Data'!$A:$G,7,FALSE)</f>
        <v>#N/A</v>
      </c>
      <c r="BC2148" s="262" t="e">
        <f t="shared" si="369"/>
        <v>#N/A</v>
      </c>
    </row>
    <row r="2149" spans="1:55">
      <c r="A2149" s="410"/>
      <c r="B2149" s="407"/>
      <c r="C2149" s="407"/>
      <c r="D2149" s="474" t="s">
        <v>1066</v>
      </c>
      <c r="E2149" s="388" t="s">
        <v>1108</v>
      </c>
      <c r="F2149" s="474" t="s">
        <v>87</v>
      </c>
      <c r="G2149" s="474">
        <v>2022</v>
      </c>
      <c r="H2149" s="474">
        <v>5</v>
      </c>
      <c r="I2149" s="485"/>
      <c r="J2149" s="475"/>
      <c r="K2149" s="474">
        <v>178531</v>
      </c>
      <c r="L2149" s="475" t="s">
        <v>1101</v>
      </c>
      <c r="M2149" s="475">
        <v>44508</v>
      </c>
      <c r="N2149" s="475">
        <v>44666</v>
      </c>
      <c r="O2149" s="475"/>
      <c r="P2149" s="475" t="s">
        <v>5737</v>
      </c>
      <c r="Q2149" s="475"/>
      <c r="R2149" s="475"/>
      <c r="S2149" s="474" t="s">
        <v>1102</v>
      </c>
      <c r="T2149" s="474">
        <v>72</v>
      </c>
      <c r="U2149" s="474" t="s">
        <v>1109</v>
      </c>
      <c r="V2149" s="474" t="s">
        <v>1110</v>
      </c>
      <c r="W2149" s="476">
        <v>485</v>
      </c>
      <c r="X2149" s="402">
        <v>10324</v>
      </c>
      <c r="Y2149" s="491">
        <f t="shared" si="372"/>
        <v>5007140</v>
      </c>
      <c r="Z2149" s="478">
        <v>0.46</v>
      </c>
      <c r="AA2149" s="479">
        <f t="shared" si="373"/>
        <v>2303284.4</v>
      </c>
      <c r="AB2149" s="386"/>
      <c r="AC2149" s="481">
        <f t="shared" si="374"/>
        <v>0</v>
      </c>
      <c r="AD2149" s="474"/>
      <c r="AE2149" s="482">
        <f>AA2149*0.045625</f>
        <v>105087.35075</v>
      </c>
      <c r="AF2149" s="493">
        <f t="shared" si="366"/>
        <v>2408371.7507500001</v>
      </c>
      <c r="AG2149" s="474" t="s">
        <v>47</v>
      </c>
      <c r="AH2149" s="447">
        <v>10</v>
      </c>
      <c r="AI2149" s="474">
        <v>30</v>
      </c>
      <c r="AJ2149" s="474" t="s">
        <v>1111</v>
      </c>
      <c r="AK2149" s="474" t="s">
        <v>50</v>
      </c>
      <c r="AL2149" s="494">
        <v>3076</v>
      </c>
      <c r="AM2149" s="474" t="s">
        <v>52</v>
      </c>
      <c r="AN2149" s="474" t="s">
        <v>1109</v>
      </c>
      <c r="AO2149" s="474"/>
      <c r="AP2149" s="474" t="s">
        <v>1109</v>
      </c>
      <c r="AQ2149" s="474" t="s">
        <v>1086</v>
      </c>
      <c r="AR2149" s="474"/>
      <c r="AS2149" s="387" t="s">
        <v>1075</v>
      </c>
      <c r="AT2149" s="387" t="s">
        <v>1075</v>
      </c>
      <c r="AU2149" s="471"/>
      <c r="AV2149" s="262" t="str">
        <f t="shared" si="367"/>
        <v>TBD</v>
      </c>
      <c r="AW2149" s="262" cm="1">
        <f t="array" ref="AW2149">SUM(MID(0&amp;AV2149,LARGE(INDEX(ISNUMBER(--MID(AV2149,ROW($1:$8),1))*ROW($1:$8),),ROW($1:$8))+1,1)*10^ROW($1:$8)/10)</f>
        <v>0</v>
      </c>
      <c r="AX2149" s="262" t="e">
        <f>VLOOKUP($AW2149,'Item Master Data'!$A:$F,3,FALSE)</f>
        <v>#N/A</v>
      </c>
      <c r="AY2149" s="262" t="e">
        <f>VLOOKUP($AW2149,'Item Master Data'!$A:$F,6,FALSE)</f>
        <v>#N/A</v>
      </c>
      <c r="AZ2149" s="262" t="e">
        <f t="shared" si="368"/>
        <v>#N/A</v>
      </c>
      <c r="BA2149" s="262" t="e">
        <f>VLOOKUP(AW2149,'Item Master Data'!$A:$G,7,FALSE)</f>
        <v>#N/A</v>
      </c>
      <c r="BC2149" s="262" t="e">
        <f t="shared" si="369"/>
        <v>#N/A</v>
      </c>
    </row>
    <row r="2150" spans="1:55">
      <c r="A2150" s="410"/>
      <c r="B2150" s="407"/>
      <c r="C2150" s="407"/>
      <c r="D2150" s="474" t="s">
        <v>1066</v>
      </c>
      <c r="E2150" s="388" t="s">
        <v>1106</v>
      </c>
      <c r="F2150" s="474" t="s">
        <v>87</v>
      </c>
      <c r="G2150" s="474">
        <v>2022</v>
      </c>
      <c r="H2150" s="474">
        <v>4</v>
      </c>
      <c r="I2150" s="485" t="s">
        <v>3023</v>
      </c>
      <c r="J2150" s="475">
        <v>44665</v>
      </c>
      <c r="K2150" s="474" t="s">
        <v>1164</v>
      </c>
      <c r="L2150" s="475" t="s">
        <v>1165</v>
      </c>
      <c r="M2150" s="475">
        <v>44434</v>
      </c>
      <c r="N2150" s="475">
        <v>44620</v>
      </c>
      <c r="O2150" s="475"/>
      <c r="P2150" s="475">
        <v>44635</v>
      </c>
      <c r="Q2150" s="475">
        <v>44651</v>
      </c>
      <c r="R2150" s="475">
        <v>44665</v>
      </c>
      <c r="S2150" s="474" t="s">
        <v>1102</v>
      </c>
      <c r="T2150" s="474">
        <v>72</v>
      </c>
      <c r="U2150" s="474">
        <v>49303156</v>
      </c>
      <c r="V2150" s="474" t="s">
        <v>1070</v>
      </c>
      <c r="W2150" s="476">
        <v>480</v>
      </c>
      <c r="X2150" s="402">
        <v>27956</v>
      </c>
      <c r="Y2150" s="491">
        <f t="shared" si="372"/>
        <v>13418880</v>
      </c>
      <c r="Z2150" s="478">
        <v>0.42</v>
      </c>
      <c r="AA2150" s="479">
        <f t="shared" si="373"/>
        <v>5635929.5999999996</v>
      </c>
      <c r="AB2150" s="386"/>
      <c r="AC2150" s="481">
        <f t="shared" si="374"/>
        <v>0</v>
      </c>
      <c r="AD2150" s="474"/>
      <c r="AE2150" s="482"/>
      <c r="AF2150" s="493">
        <f t="shared" si="366"/>
        <v>5635929.5999999996</v>
      </c>
      <c r="AG2150" s="474" t="s">
        <v>47</v>
      </c>
      <c r="AH2150" s="447">
        <v>10</v>
      </c>
      <c r="AI2150" s="474">
        <v>30</v>
      </c>
      <c r="AJ2150" s="474" t="s">
        <v>1166</v>
      </c>
      <c r="AK2150" s="474" t="s">
        <v>1073</v>
      </c>
      <c r="AL2150" s="494" t="s">
        <v>1167</v>
      </c>
      <c r="AM2150" s="474" t="s">
        <v>52</v>
      </c>
      <c r="AN2150" s="474" t="s">
        <v>1106</v>
      </c>
      <c r="AO2150" s="474"/>
      <c r="AP2150" s="474"/>
      <c r="AQ2150" s="474" t="s">
        <v>1086</v>
      </c>
      <c r="AR2150" s="474"/>
      <c r="AS2150" s="387" t="s">
        <v>1087</v>
      </c>
      <c r="AT2150" s="387" t="s">
        <v>1076</v>
      </c>
      <c r="AU2150" s="471"/>
    </row>
    <row r="2151" spans="1:55">
      <c r="A2151" s="410"/>
      <c r="B2151" s="407"/>
      <c r="C2151" s="407"/>
      <c r="D2151" s="474" t="s">
        <v>1066</v>
      </c>
      <c r="E2151" s="388" t="s">
        <v>1118</v>
      </c>
      <c r="F2151" s="474" t="s">
        <v>1077</v>
      </c>
      <c r="G2151" s="474">
        <v>2022</v>
      </c>
      <c r="H2151" s="474">
        <v>3</v>
      </c>
      <c r="I2151" s="485">
        <v>127647</v>
      </c>
      <c r="J2151" s="475">
        <v>44649</v>
      </c>
      <c r="K2151" s="474" t="s">
        <v>1119</v>
      </c>
      <c r="L2151" s="475" t="s">
        <v>1120</v>
      </c>
      <c r="M2151" s="475">
        <v>44575</v>
      </c>
      <c r="N2151" s="475">
        <v>44629</v>
      </c>
      <c r="O2151" s="475"/>
      <c r="P2151" s="475">
        <v>44637</v>
      </c>
      <c r="Q2151" s="475">
        <v>44645</v>
      </c>
      <c r="R2151" s="475">
        <v>44649</v>
      </c>
      <c r="S2151" s="474" t="s">
        <v>1102</v>
      </c>
      <c r="T2151" s="474">
        <v>72</v>
      </c>
      <c r="U2151" s="474" t="s">
        <v>1103</v>
      </c>
      <c r="V2151" s="474" t="s">
        <v>1002</v>
      </c>
      <c r="W2151" s="476">
        <v>480</v>
      </c>
      <c r="X2151" s="402">
        <v>754</v>
      </c>
      <c r="Y2151" s="491">
        <f t="shared" si="372"/>
        <v>361920</v>
      </c>
      <c r="Z2151" s="478">
        <v>0.47499999999999998</v>
      </c>
      <c r="AA2151" s="479">
        <f t="shared" si="373"/>
        <v>171912</v>
      </c>
      <c r="AB2151" s="386"/>
      <c r="AC2151" s="481">
        <f t="shared" si="374"/>
        <v>0</v>
      </c>
      <c r="AD2151" s="474"/>
      <c r="AE2151" s="482"/>
      <c r="AF2151" s="493">
        <f t="shared" si="366"/>
        <v>171912</v>
      </c>
      <c r="AG2151" s="474" t="s">
        <v>47</v>
      </c>
      <c r="AH2151" s="447">
        <v>0</v>
      </c>
      <c r="AI2151" s="474">
        <v>45</v>
      </c>
      <c r="AJ2151" s="474" t="s">
        <v>1121</v>
      </c>
      <c r="AK2151" s="474" t="s">
        <v>1117</v>
      </c>
      <c r="AL2151" s="494">
        <v>60433</v>
      </c>
      <c r="AM2151" s="474" t="s">
        <v>52</v>
      </c>
      <c r="AN2151" s="474" t="s">
        <v>50</v>
      </c>
      <c r="AO2151" s="474"/>
      <c r="AP2151" s="474" t="s">
        <v>38</v>
      </c>
      <c r="AQ2151" s="474"/>
      <c r="AR2151" s="474"/>
      <c r="AS2151" s="387"/>
      <c r="AT2151" s="387"/>
      <c r="AU2151" s="471"/>
    </row>
    <row r="2152" spans="1:55">
      <c r="A2152" s="410"/>
      <c r="B2152" s="407"/>
      <c r="C2152" s="407"/>
      <c r="D2152" s="474" t="s">
        <v>1066</v>
      </c>
      <c r="E2152" s="388" t="s">
        <v>1122</v>
      </c>
      <c r="F2152" s="474" t="s">
        <v>1077</v>
      </c>
      <c r="G2152" s="474">
        <v>2022</v>
      </c>
      <c r="H2152" s="474">
        <v>6</v>
      </c>
      <c r="I2152" s="485"/>
      <c r="J2152" s="475"/>
      <c r="K2152" s="474" t="s">
        <v>1123</v>
      </c>
      <c r="L2152" s="475" t="s">
        <v>1120</v>
      </c>
      <c r="M2152" s="475">
        <v>44580</v>
      </c>
      <c r="N2152" s="475">
        <v>44607</v>
      </c>
      <c r="O2152" s="475"/>
      <c r="P2152" s="475"/>
      <c r="Q2152" s="475"/>
      <c r="R2152" s="475"/>
      <c r="S2152" s="474" t="s">
        <v>1102</v>
      </c>
      <c r="T2152" s="474">
        <v>72</v>
      </c>
      <c r="U2152" s="474" t="s">
        <v>1109</v>
      </c>
      <c r="V2152" s="474" t="s">
        <v>1002</v>
      </c>
      <c r="W2152" s="476">
        <v>485</v>
      </c>
      <c r="X2152" s="402">
        <v>638</v>
      </c>
      <c r="Y2152" s="491">
        <f t="shared" si="372"/>
        <v>309430</v>
      </c>
      <c r="Z2152" s="478">
        <v>0.48</v>
      </c>
      <c r="AA2152" s="479">
        <f t="shared" si="373"/>
        <v>148526.39999999999</v>
      </c>
      <c r="AB2152" s="386"/>
      <c r="AC2152" s="481">
        <f t="shared" si="374"/>
        <v>0</v>
      </c>
      <c r="AD2152" s="474"/>
      <c r="AE2152" s="482"/>
      <c r="AF2152" s="493">
        <f t="shared" si="366"/>
        <v>148526.39999999999</v>
      </c>
      <c r="AG2152" s="474" t="s">
        <v>47</v>
      </c>
      <c r="AH2152" s="447">
        <v>0</v>
      </c>
      <c r="AI2152" s="474">
        <v>45</v>
      </c>
      <c r="AJ2152" s="474" t="s">
        <v>1124</v>
      </c>
      <c r="AK2152" s="474" t="s">
        <v>1125</v>
      </c>
      <c r="AL2152" s="494">
        <v>55122</v>
      </c>
      <c r="AM2152" s="474" t="s">
        <v>52</v>
      </c>
      <c r="AN2152" s="474" t="s">
        <v>1109</v>
      </c>
      <c r="AO2152" s="474"/>
      <c r="AP2152" s="474" t="s">
        <v>38</v>
      </c>
      <c r="AQ2152" s="474" t="s">
        <v>1086</v>
      </c>
      <c r="AR2152" s="474"/>
      <c r="AS2152" s="387" t="s">
        <v>1087</v>
      </c>
      <c r="AT2152" s="387" t="s">
        <v>1076</v>
      </c>
      <c r="AU2152" s="471"/>
      <c r="AV2152" s="262" t="str">
        <f>U2152</f>
        <v>TBD</v>
      </c>
      <c r="AW2152" s="262" cm="1">
        <f t="array" ref="AW2152">SUM(MID(0&amp;AV2152,LARGE(INDEX(ISNUMBER(--MID(AV2152,ROW($1:$8),1))*ROW($1:$8),),ROW($1:$8))+1,1)*10^ROW($1:$8)/10)</f>
        <v>0</v>
      </c>
      <c r="AX2152" s="262" t="e">
        <f>VLOOKUP($AW2152,'Item Master Data'!$A:$F,3,FALSE)</f>
        <v>#N/A</v>
      </c>
      <c r="AY2152" s="262" t="e">
        <f>VLOOKUP($AW2152,'Item Master Data'!$A:$F,6,FALSE)</f>
        <v>#N/A</v>
      </c>
      <c r="AZ2152" s="262" t="e">
        <f>X2152/BA2152</f>
        <v>#N/A</v>
      </c>
      <c r="BA2152" s="262" t="e">
        <f>VLOOKUP(AW2152,'Item Master Data'!$A:$G,7,FALSE)</f>
        <v>#N/A</v>
      </c>
      <c r="BC2152" s="262" t="e">
        <f>W2152-AY2152</f>
        <v>#N/A</v>
      </c>
    </row>
    <row r="2153" spans="1:55">
      <c r="A2153" s="410"/>
      <c r="B2153" s="407"/>
      <c r="C2153" s="407"/>
      <c r="D2153" s="474" t="s">
        <v>1066</v>
      </c>
      <c r="E2153" s="388"/>
      <c r="F2153" s="474" t="s">
        <v>1077</v>
      </c>
      <c r="G2153" s="474">
        <v>2022</v>
      </c>
      <c r="H2153" s="474">
        <v>6</v>
      </c>
      <c r="I2153" s="485"/>
      <c r="J2153" s="475"/>
      <c r="K2153" s="474" t="s">
        <v>1126</v>
      </c>
      <c r="L2153" s="475" t="s">
        <v>1120</v>
      </c>
      <c r="M2153" s="475">
        <v>44580</v>
      </c>
      <c r="N2153" s="475">
        <v>44607</v>
      </c>
      <c r="O2153" s="475"/>
      <c r="P2153" s="475"/>
      <c r="Q2153" s="475"/>
      <c r="R2153" s="475"/>
      <c r="S2153" s="474" t="s">
        <v>1102</v>
      </c>
      <c r="T2153" s="474">
        <v>72</v>
      </c>
      <c r="U2153" s="474" t="s">
        <v>1109</v>
      </c>
      <c r="V2153" s="474" t="s">
        <v>1002</v>
      </c>
      <c r="W2153" s="476">
        <v>485</v>
      </c>
      <c r="X2153" s="402">
        <v>638</v>
      </c>
      <c r="Y2153" s="491">
        <f t="shared" si="372"/>
        <v>309430</v>
      </c>
      <c r="Z2153" s="478">
        <v>0.48</v>
      </c>
      <c r="AA2153" s="479">
        <f t="shared" si="373"/>
        <v>148526.39999999999</v>
      </c>
      <c r="AB2153" s="386"/>
      <c r="AC2153" s="481">
        <f t="shared" si="374"/>
        <v>0</v>
      </c>
      <c r="AD2153" s="474"/>
      <c r="AE2153" s="482"/>
      <c r="AF2153" s="493">
        <f t="shared" si="366"/>
        <v>148526.39999999999</v>
      </c>
      <c r="AG2153" s="474" t="s">
        <v>47</v>
      </c>
      <c r="AH2153" s="447">
        <v>0</v>
      </c>
      <c r="AI2153" s="474">
        <v>45</v>
      </c>
      <c r="AJ2153" s="474" t="s">
        <v>1121</v>
      </c>
      <c r="AK2153" s="474" t="s">
        <v>1117</v>
      </c>
      <c r="AL2153" s="494">
        <v>60433</v>
      </c>
      <c r="AM2153" s="474" t="s">
        <v>52</v>
      </c>
      <c r="AN2153" s="474" t="s">
        <v>1109</v>
      </c>
      <c r="AO2153" s="474"/>
      <c r="AP2153" s="474" t="s">
        <v>38</v>
      </c>
      <c r="AQ2153" s="474" t="s">
        <v>1086</v>
      </c>
      <c r="AR2153" s="474"/>
      <c r="AS2153" s="387" t="s">
        <v>1087</v>
      </c>
      <c r="AT2153" s="387" t="s">
        <v>1076</v>
      </c>
      <c r="AU2153" s="471"/>
    </row>
    <row r="2154" spans="1:55">
      <c r="A2154" s="410"/>
      <c r="B2154" s="407"/>
      <c r="C2154" s="407"/>
      <c r="D2154" s="474" t="s">
        <v>1066</v>
      </c>
      <c r="E2154" s="388"/>
      <c r="F2154" s="474" t="s">
        <v>1077</v>
      </c>
      <c r="G2154" s="474">
        <v>2022</v>
      </c>
      <c r="H2154" s="474">
        <v>6</v>
      </c>
      <c r="I2154" s="485"/>
      <c r="J2154" s="475"/>
      <c r="K2154" s="474" t="s">
        <v>1127</v>
      </c>
      <c r="L2154" s="475" t="s">
        <v>1120</v>
      </c>
      <c r="M2154" s="475">
        <v>44580</v>
      </c>
      <c r="N2154" s="475">
        <v>44697</v>
      </c>
      <c r="O2154" s="475"/>
      <c r="P2154" s="475"/>
      <c r="Q2154" s="475"/>
      <c r="R2154" s="475"/>
      <c r="S2154" s="474" t="s">
        <v>1102</v>
      </c>
      <c r="T2154" s="474">
        <v>72</v>
      </c>
      <c r="U2154" s="474" t="s">
        <v>1109</v>
      </c>
      <c r="V2154" s="474" t="s">
        <v>1002</v>
      </c>
      <c r="W2154" s="476">
        <v>485</v>
      </c>
      <c r="X2154" s="402">
        <v>638</v>
      </c>
      <c r="Y2154" s="491">
        <f t="shared" si="372"/>
        <v>309430</v>
      </c>
      <c r="Z2154" s="478">
        <v>0.48</v>
      </c>
      <c r="AA2154" s="479">
        <f t="shared" si="373"/>
        <v>148526.39999999999</v>
      </c>
      <c r="AB2154" s="386"/>
      <c r="AC2154" s="481">
        <f t="shared" si="374"/>
        <v>0</v>
      </c>
      <c r="AD2154" s="474"/>
      <c r="AE2154" s="482"/>
      <c r="AF2154" s="493">
        <f t="shared" si="366"/>
        <v>148526.39999999999</v>
      </c>
      <c r="AG2154" s="474" t="s">
        <v>47</v>
      </c>
      <c r="AH2154" s="447">
        <v>0</v>
      </c>
      <c r="AI2154" s="474">
        <v>45</v>
      </c>
      <c r="AJ2154" s="474" t="s">
        <v>1128</v>
      </c>
      <c r="AK2154" s="474" t="s">
        <v>1085</v>
      </c>
      <c r="AL2154" s="494">
        <v>8505</v>
      </c>
      <c r="AM2154" s="474" t="s">
        <v>52</v>
      </c>
      <c r="AN2154" s="474" t="s">
        <v>1109</v>
      </c>
      <c r="AO2154" s="474"/>
      <c r="AP2154" s="474" t="s">
        <v>38</v>
      </c>
      <c r="AQ2154" s="474" t="s">
        <v>1086</v>
      </c>
      <c r="AR2154" s="474"/>
      <c r="AS2154" s="387" t="s">
        <v>1087</v>
      </c>
      <c r="AT2154" s="387" t="s">
        <v>1076</v>
      </c>
      <c r="AU2154" s="471"/>
      <c r="AV2154" s="262" t="str">
        <f t="shared" ref="AV2154:AV2169" si="375">U2154</f>
        <v>TBD</v>
      </c>
      <c r="AW2154" s="262" cm="1">
        <f t="array" ref="AW2154">SUM(MID(0&amp;AV2154,LARGE(INDEX(ISNUMBER(--MID(AV2154,ROW($1:$8),1))*ROW($1:$8),),ROW($1:$8))+1,1)*10^ROW($1:$8)/10)</f>
        <v>0</v>
      </c>
      <c r="AX2154" s="262" t="e">
        <f>VLOOKUP($AW2154,'Item Master Data'!$A:$F,3,FALSE)</f>
        <v>#N/A</v>
      </c>
      <c r="AY2154" s="262" t="e">
        <f>VLOOKUP($AW2154,'Item Master Data'!$A:$F,6,FALSE)</f>
        <v>#N/A</v>
      </c>
      <c r="AZ2154" s="262" t="e">
        <f t="shared" ref="AZ2154:AZ2169" si="376">X2154/BA2154</f>
        <v>#N/A</v>
      </c>
      <c r="BA2154" s="262" t="e">
        <f>VLOOKUP(AW2154,'Item Master Data'!$A:$G,7,FALSE)</f>
        <v>#N/A</v>
      </c>
      <c r="BC2154" s="262" t="e">
        <f t="shared" ref="BC2154:BC2169" si="377">W2154-AY2154</f>
        <v>#N/A</v>
      </c>
    </row>
    <row r="2155" spans="1:55">
      <c r="A2155" s="410"/>
      <c r="B2155" s="407"/>
      <c r="C2155" s="407"/>
      <c r="D2155" s="474" t="s">
        <v>1066</v>
      </c>
      <c r="E2155" s="388"/>
      <c r="F2155" s="474" t="s">
        <v>1077</v>
      </c>
      <c r="G2155" s="474">
        <v>2022</v>
      </c>
      <c r="H2155" s="474">
        <v>6</v>
      </c>
      <c r="I2155" s="485"/>
      <c r="J2155" s="475"/>
      <c r="K2155" s="474" t="s">
        <v>1129</v>
      </c>
      <c r="L2155" s="475" t="s">
        <v>1120</v>
      </c>
      <c r="M2155" s="475">
        <v>44580</v>
      </c>
      <c r="N2155" s="475">
        <v>44697</v>
      </c>
      <c r="O2155" s="475"/>
      <c r="P2155" s="475"/>
      <c r="Q2155" s="475"/>
      <c r="R2155" s="475"/>
      <c r="S2155" s="474" t="s">
        <v>1102</v>
      </c>
      <c r="T2155" s="474">
        <v>72</v>
      </c>
      <c r="U2155" s="474" t="s">
        <v>1109</v>
      </c>
      <c r="V2155" s="474" t="s">
        <v>1002</v>
      </c>
      <c r="W2155" s="476">
        <v>485</v>
      </c>
      <c r="X2155" s="402">
        <v>638</v>
      </c>
      <c r="Y2155" s="491">
        <f t="shared" si="372"/>
        <v>309430</v>
      </c>
      <c r="Z2155" s="478">
        <v>0.48</v>
      </c>
      <c r="AA2155" s="479">
        <f t="shared" si="373"/>
        <v>148526.39999999999</v>
      </c>
      <c r="AB2155" s="386"/>
      <c r="AC2155" s="481">
        <f t="shared" si="374"/>
        <v>0</v>
      </c>
      <c r="AD2155" s="474"/>
      <c r="AE2155" s="482"/>
      <c r="AF2155" s="493">
        <f t="shared" si="366"/>
        <v>148526.39999999999</v>
      </c>
      <c r="AG2155" s="474" t="s">
        <v>47</v>
      </c>
      <c r="AH2155" s="447">
        <v>0</v>
      </c>
      <c r="AI2155" s="474">
        <v>45</v>
      </c>
      <c r="AJ2155" s="474" t="s">
        <v>1124</v>
      </c>
      <c r="AK2155" s="474" t="s">
        <v>1125</v>
      </c>
      <c r="AL2155" s="494">
        <v>55122</v>
      </c>
      <c r="AM2155" s="474" t="s">
        <v>52</v>
      </c>
      <c r="AN2155" s="474" t="s">
        <v>1109</v>
      </c>
      <c r="AO2155" s="474"/>
      <c r="AP2155" s="474" t="s">
        <v>38</v>
      </c>
      <c r="AQ2155" s="474" t="s">
        <v>1086</v>
      </c>
      <c r="AR2155" s="474"/>
      <c r="AS2155" s="387" t="s">
        <v>1087</v>
      </c>
      <c r="AT2155" s="387" t="s">
        <v>1076</v>
      </c>
      <c r="AU2155" s="471"/>
      <c r="AV2155" s="262" t="str">
        <f t="shared" si="375"/>
        <v>TBD</v>
      </c>
      <c r="AW2155" s="262" cm="1">
        <f t="array" ref="AW2155">SUM(MID(0&amp;AV2155,LARGE(INDEX(ISNUMBER(--MID(AV2155,ROW($1:$8),1))*ROW($1:$8),),ROW($1:$8))+1,1)*10^ROW($1:$8)/10)</f>
        <v>0</v>
      </c>
      <c r="AX2155" s="262" t="e">
        <f>VLOOKUP($AW2155,'Item Master Data'!$A:$F,3,FALSE)</f>
        <v>#N/A</v>
      </c>
      <c r="AY2155" s="262" t="e">
        <f>VLOOKUP($AW2155,'Item Master Data'!$A:$F,6,FALSE)</f>
        <v>#N/A</v>
      </c>
      <c r="AZ2155" s="262" t="e">
        <f t="shared" si="376"/>
        <v>#N/A</v>
      </c>
      <c r="BA2155" s="262" t="e">
        <f>VLOOKUP(AW2155,'Item Master Data'!$A:$G,7,FALSE)</f>
        <v>#N/A</v>
      </c>
      <c r="BC2155" s="262" t="e">
        <f t="shared" si="377"/>
        <v>#N/A</v>
      </c>
    </row>
    <row r="2156" spans="1:55">
      <c r="A2156" s="410"/>
      <c r="B2156" s="407"/>
      <c r="C2156" s="407"/>
      <c r="D2156" s="474" t="s">
        <v>1066</v>
      </c>
      <c r="E2156" s="388"/>
      <c r="F2156" s="474" t="s">
        <v>1077</v>
      </c>
      <c r="G2156" s="474">
        <v>2022</v>
      </c>
      <c r="H2156" s="474">
        <v>6</v>
      </c>
      <c r="I2156" s="485"/>
      <c r="J2156" s="475"/>
      <c r="K2156" s="474" t="s">
        <v>1130</v>
      </c>
      <c r="L2156" s="475" t="s">
        <v>1120</v>
      </c>
      <c r="M2156" s="475">
        <v>44580</v>
      </c>
      <c r="N2156" s="475">
        <v>44697</v>
      </c>
      <c r="O2156" s="475"/>
      <c r="P2156" s="475"/>
      <c r="Q2156" s="475"/>
      <c r="R2156" s="475"/>
      <c r="S2156" s="474" t="s">
        <v>1102</v>
      </c>
      <c r="T2156" s="474">
        <v>72</v>
      </c>
      <c r="U2156" s="474" t="s">
        <v>1109</v>
      </c>
      <c r="V2156" s="474" t="s">
        <v>1002</v>
      </c>
      <c r="W2156" s="476">
        <v>485</v>
      </c>
      <c r="X2156" s="402">
        <v>638</v>
      </c>
      <c r="Y2156" s="491">
        <f t="shared" si="372"/>
        <v>309430</v>
      </c>
      <c r="Z2156" s="478">
        <v>0.48</v>
      </c>
      <c r="AA2156" s="479">
        <f t="shared" si="373"/>
        <v>148526.39999999999</v>
      </c>
      <c r="AB2156" s="386"/>
      <c r="AC2156" s="481">
        <f t="shared" si="374"/>
        <v>0</v>
      </c>
      <c r="AD2156" s="474"/>
      <c r="AE2156" s="482"/>
      <c r="AF2156" s="493">
        <f t="shared" si="366"/>
        <v>148526.39999999999</v>
      </c>
      <c r="AG2156" s="474" t="s">
        <v>47</v>
      </c>
      <c r="AH2156" s="447">
        <v>0</v>
      </c>
      <c r="AI2156" s="474">
        <v>45</v>
      </c>
      <c r="AJ2156" s="474" t="s">
        <v>1121</v>
      </c>
      <c r="AK2156" s="474" t="s">
        <v>1117</v>
      </c>
      <c r="AL2156" s="494">
        <v>60433</v>
      </c>
      <c r="AM2156" s="474" t="s">
        <v>52</v>
      </c>
      <c r="AN2156" s="474" t="s">
        <v>1109</v>
      </c>
      <c r="AO2156" s="474"/>
      <c r="AP2156" s="474" t="s">
        <v>38</v>
      </c>
      <c r="AQ2156" s="474" t="s">
        <v>1086</v>
      </c>
      <c r="AR2156" s="474"/>
      <c r="AS2156" s="387" t="s">
        <v>1087</v>
      </c>
      <c r="AT2156" s="387" t="s">
        <v>1076</v>
      </c>
      <c r="AU2156" s="471"/>
      <c r="AV2156" s="262" t="str">
        <f t="shared" si="375"/>
        <v>TBD</v>
      </c>
      <c r="AW2156" s="262" cm="1">
        <f t="array" ref="AW2156">SUM(MID(0&amp;AV2156,LARGE(INDEX(ISNUMBER(--MID(AV2156,ROW($1:$8),1))*ROW($1:$8),),ROW($1:$8))+1,1)*10^ROW($1:$8)/10)</f>
        <v>0</v>
      </c>
      <c r="AX2156" s="262" t="e">
        <f>VLOOKUP($AW2156,'Item Master Data'!$A:$F,3,FALSE)</f>
        <v>#N/A</v>
      </c>
      <c r="AY2156" s="262" t="e">
        <f>VLOOKUP($AW2156,'Item Master Data'!$A:$F,6,FALSE)</f>
        <v>#N/A</v>
      </c>
      <c r="AZ2156" s="262" t="e">
        <f t="shared" si="376"/>
        <v>#N/A</v>
      </c>
      <c r="BA2156" s="262" t="e">
        <f>VLOOKUP(AW2156,'Item Master Data'!$A:$G,7,FALSE)</f>
        <v>#N/A</v>
      </c>
      <c r="BC2156" s="262" t="e">
        <f t="shared" si="377"/>
        <v>#N/A</v>
      </c>
    </row>
    <row r="2157" spans="1:55">
      <c r="A2157" s="410"/>
      <c r="B2157" s="407"/>
      <c r="C2157" s="407"/>
      <c r="D2157" s="474" t="s">
        <v>1066</v>
      </c>
      <c r="E2157" s="388"/>
      <c r="F2157" s="474" t="s">
        <v>1077</v>
      </c>
      <c r="G2157" s="474">
        <v>2022</v>
      </c>
      <c r="H2157" s="474">
        <v>9</v>
      </c>
      <c r="I2157" s="485"/>
      <c r="J2157" s="475"/>
      <c r="K2157" s="474" t="s">
        <v>1131</v>
      </c>
      <c r="L2157" s="475" t="s">
        <v>1120</v>
      </c>
      <c r="M2157" s="475">
        <v>44645</v>
      </c>
      <c r="N2157" s="475">
        <v>44823</v>
      </c>
      <c r="O2157" s="475"/>
      <c r="P2157" s="475"/>
      <c r="Q2157" s="475"/>
      <c r="R2157" s="475"/>
      <c r="S2157" s="474" t="s">
        <v>1102</v>
      </c>
      <c r="T2157" s="474">
        <v>72</v>
      </c>
      <c r="U2157" s="474"/>
      <c r="V2157" s="474" t="s">
        <v>1002</v>
      </c>
      <c r="W2157" s="476">
        <v>485</v>
      </c>
      <c r="X2157" s="402">
        <v>638</v>
      </c>
      <c r="Y2157" s="491">
        <f t="shared" si="372"/>
        <v>309430</v>
      </c>
      <c r="Z2157" s="478">
        <v>0.5</v>
      </c>
      <c r="AA2157" s="479">
        <f t="shared" si="373"/>
        <v>154715</v>
      </c>
      <c r="AB2157" s="386"/>
      <c r="AC2157" s="481">
        <f t="shared" si="374"/>
        <v>0</v>
      </c>
      <c r="AD2157" s="474"/>
      <c r="AE2157" s="482"/>
      <c r="AF2157" s="493">
        <f t="shared" si="366"/>
        <v>154715</v>
      </c>
      <c r="AG2157" s="474" t="s">
        <v>47</v>
      </c>
      <c r="AH2157" s="447">
        <v>0</v>
      </c>
      <c r="AI2157" s="474">
        <v>45</v>
      </c>
      <c r="AJ2157" s="474" t="s">
        <v>1132</v>
      </c>
      <c r="AK2157" s="474" t="s">
        <v>1133</v>
      </c>
      <c r="AL2157" s="494">
        <v>85215</v>
      </c>
      <c r="AM2157" s="474" t="s">
        <v>52</v>
      </c>
      <c r="AN2157" s="474" t="s">
        <v>1109</v>
      </c>
      <c r="AO2157" s="474"/>
      <c r="AP2157" s="474" t="s">
        <v>38</v>
      </c>
      <c r="AQ2157" s="474" t="s">
        <v>1086</v>
      </c>
      <c r="AR2157" s="474"/>
      <c r="AS2157" s="387" t="s">
        <v>1087</v>
      </c>
      <c r="AT2157" s="387" t="s">
        <v>1076</v>
      </c>
      <c r="AU2157" s="471"/>
      <c r="AV2157" s="262">
        <f t="shared" si="375"/>
        <v>0</v>
      </c>
      <c r="AW2157" s="262" cm="1">
        <f t="array" ref="AW2157">SUM(MID(0&amp;AV2157,LARGE(INDEX(ISNUMBER(--MID(AV2157,ROW($1:$8),1))*ROW($1:$8),),ROW($1:$8))+1,1)*10^ROW($1:$8)/10)</f>
        <v>0</v>
      </c>
      <c r="AX2157" s="262" t="e">
        <f>VLOOKUP($AW2157,'Item Master Data'!$A:$F,3,FALSE)</f>
        <v>#N/A</v>
      </c>
      <c r="AY2157" s="262" t="e">
        <f>VLOOKUP($AW2157,'Item Master Data'!$A:$F,6,FALSE)</f>
        <v>#N/A</v>
      </c>
      <c r="AZ2157" s="262" t="e">
        <f t="shared" si="376"/>
        <v>#N/A</v>
      </c>
      <c r="BA2157" s="262" t="e">
        <f>VLOOKUP(AW2157,'Item Master Data'!$A:$G,7,FALSE)</f>
        <v>#N/A</v>
      </c>
      <c r="BC2157" s="262" t="e">
        <f t="shared" si="377"/>
        <v>#N/A</v>
      </c>
    </row>
    <row r="2158" spans="1:55">
      <c r="A2158" s="410"/>
      <c r="B2158" s="407"/>
      <c r="C2158" s="407"/>
      <c r="D2158" s="474" t="s">
        <v>1066</v>
      </c>
      <c r="E2158" s="388"/>
      <c r="F2158" s="474" t="s">
        <v>1077</v>
      </c>
      <c r="G2158" s="474">
        <v>2022</v>
      </c>
      <c r="H2158" s="474">
        <v>8</v>
      </c>
      <c r="I2158" s="485"/>
      <c r="J2158" s="475"/>
      <c r="K2158" s="474" t="s">
        <v>1134</v>
      </c>
      <c r="L2158" s="475" t="s">
        <v>1120</v>
      </c>
      <c r="M2158" s="475">
        <v>44645</v>
      </c>
      <c r="N2158" s="475">
        <v>44783</v>
      </c>
      <c r="O2158" s="475"/>
      <c r="P2158" s="475"/>
      <c r="Q2158" s="475"/>
      <c r="R2158" s="475"/>
      <c r="S2158" s="474" t="s">
        <v>1102</v>
      </c>
      <c r="T2158" s="474">
        <v>72</v>
      </c>
      <c r="U2158" s="474"/>
      <c r="V2158" s="474" t="s">
        <v>1002</v>
      </c>
      <c r="W2158" s="476">
        <v>485</v>
      </c>
      <c r="X2158" s="402">
        <v>638</v>
      </c>
      <c r="Y2158" s="491">
        <f t="shared" si="372"/>
        <v>309430</v>
      </c>
      <c r="Z2158" s="478">
        <v>0.5</v>
      </c>
      <c r="AA2158" s="479">
        <f t="shared" si="373"/>
        <v>154715</v>
      </c>
      <c r="AB2158" s="386"/>
      <c r="AC2158" s="481">
        <f t="shared" si="374"/>
        <v>0</v>
      </c>
      <c r="AD2158" s="474"/>
      <c r="AE2158" s="482"/>
      <c r="AF2158" s="493">
        <f t="shared" si="366"/>
        <v>154715</v>
      </c>
      <c r="AG2158" s="474" t="s">
        <v>47</v>
      </c>
      <c r="AH2158" s="447">
        <v>0</v>
      </c>
      <c r="AI2158" s="474">
        <v>45</v>
      </c>
      <c r="AJ2158" s="474" t="s">
        <v>1135</v>
      </c>
      <c r="AK2158" s="474" t="s">
        <v>1084</v>
      </c>
      <c r="AL2158" s="494">
        <v>33069</v>
      </c>
      <c r="AM2158" s="474" t="s">
        <v>52</v>
      </c>
      <c r="AN2158" s="474" t="s">
        <v>1109</v>
      </c>
      <c r="AO2158" s="474"/>
      <c r="AP2158" s="474" t="s">
        <v>38</v>
      </c>
      <c r="AQ2158" s="474" t="s">
        <v>1086</v>
      </c>
      <c r="AR2158" s="474"/>
      <c r="AS2158" s="387" t="s">
        <v>1087</v>
      </c>
      <c r="AT2158" s="387" t="s">
        <v>1076</v>
      </c>
      <c r="AU2158" s="471"/>
      <c r="AV2158" s="262">
        <f t="shared" si="375"/>
        <v>0</v>
      </c>
      <c r="AW2158" s="262" cm="1">
        <f t="array" ref="AW2158">SUM(MID(0&amp;AV2158,LARGE(INDEX(ISNUMBER(--MID(AV2158,ROW($1:$8),1))*ROW($1:$8),),ROW($1:$8))+1,1)*10^ROW($1:$8)/10)</f>
        <v>0</v>
      </c>
      <c r="AX2158" s="262" t="e">
        <f>VLOOKUP($AW2158,'Item Master Data'!$A:$F,3,FALSE)</f>
        <v>#N/A</v>
      </c>
      <c r="AY2158" s="262" t="e">
        <f>VLOOKUP($AW2158,'Item Master Data'!$A:$F,6,FALSE)</f>
        <v>#N/A</v>
      </c>
      <c r="AZ2158" s="262" t="e">
        <f t="shared" si="376"/>
        <v>#N/A</v>
      </c>
      <c r="BA2158" s="262" t="e">
        <f>VLOOKUP(AW2158,'Item Master Data'!$A:$G,7,FALSE)</f>
        <v>#N/A</v>
      </c>
      <c r="BC2158" s="262" t="e">
        <f t="shared" si="377"/>
        <v>#N/A</v>
      </c>
    </row>
    <row r="2159" spans="1:55">
      <c r="A2159" s="410"/>
      <c r="B2159" s="407"/>
      <c r="C2159" s="407"/>
      <c r="D2159" s="474" t="s">
        <v>1066</v>
      </c>
      <c r="E2159" s="388"/>
      <c r="F2159" s="474" t="s">
        <v>1077</v>
      </c>
      <c r="G2159" s="474">
        <v>2022</v>
      </c>
      <c r="H2159" s="474">
        <v>7</v>
      </c>
      <c r="I2159" s="485"/>
      <c r="J2159" s="475"/>
      <c r="K2159" s="474" t="s">
        <v>1136</v>
      </c>
      <c r="L2159" s="475" t="s">
        <v>1120</v>
      </c>
      <c r="M2159" s="475">
        <v>44645</v>
      </c>
      <c r="N2159" s="475">
        <v>44764</v>
      </c>
      <c r="O2159" s="475"/>
      <c r="P2159" s="475"/>
      <c r="Q2159" s="475"/>
      <c r="R2159" s="475"/>
      <c r="S2159" s="474" t="s">
        <v>1102</v>
      </c>
      <c r="T2159" s="474">
        <v>72</v>
      </c>
      <c r="U2159" s="474"/>
      <c r="V2159" s="474" t="s">
        <v>1002</v>
      </c>
      <c r="W2159" s="476">
        <v>485</v>
      </c>
      <c r="X2159" s="402">
        <v>638</v>
      </c>
      <c r="Y2159" s="491">
        <f t="shared" si="372"/>
        <v>309430</v>
      </c>
      <c r="Z2159" s="478">
        <v>0.5</v>
      </c>
      <c r="AA2159" s="479">
        <f t="shared" si="373"/>
        <v>154715</v>
      </c>
      <c r="AB2159" s="386"/>
      <c r="AC2159" s="481">
        <f t="shared" si="374"/>
        <v>0</v>
      </c>
      <c r="AD2159" s="474"/>
      <c r="AE2159" s="482"/>
      <c r="AF2159" s="493">
        <f t="shared" si="366"/>
        <v>154715</v>
      </c>
      <c r="AG2159" s="474" t="s">
        <v>47</v>
      </c>
      <c r="AH2159" s="447">
        <v>0</v>
      </c>
      <c r="AI2159" s="474">
        <v>45</v>
      </c>
      <c r="AJ2159" s="474" t="s">
        <v>1137</v>
      </c>
      <c r="AK2159" s="474" t="s">
        <v>1138</v>
      </c>
      <c r="AL2159" s="494">
        <v>11416</v>
      </c>
      <c r="AM2159" s="474" t="s">
        <v>52</v>
      </c>
      <c r="AN2159" s="474" t="s">
        <v>1109</v>
      </c>
      <c r="AO2159" s="474"/>
      <c r="AP2159" s="474" t="s">
        <v>38</v>
      </c>
      <c r="AQ2159" s="474" t="s">
        <v>1086</v>
      </c>
      <c r="AR2159" s="474"/>
      <c r="AS2159" s="387" t="s">
        <v>1087</v>
      </c>
      <c r="AT2159" s="387" t="s">
        <v>1076</v>
      </c>
      <c r="AU2159" s="471"/>
      <c r="AV2159" s="262">
        <f t="shared" si="375"/>
        <v>0</v>
      </c>
      <c r="AW2159" s="262" cm="1">
        <f t="array" ref="AW2159">SUM(MID(0&amp;AV2159,LARGE(INDEX(ISNUMBER(--MID(AV2159,ROW($1:$8),1))*ROW($1:$8),),ROW($1:$8))+1,1)*10^ROW($1:$8)/10)</f>
        <v>0</v>
      </c>
      <c r="AX2159" s="262" t="e">
        <f>VLOOKUP($AW2159,'Item Master Data'!$A:$F,3,FALSE)</f>
        <v>#N/A</v>
      </c>
      <c r="AY2159" s="262" t="e">
        <f>VLOOKUP($AW2159,'Item Master Data'!$A:$F,6,FALSE)</f>
        <v>#N/A</v>
      </c>
      <c r="AZ2159" s="262" t="e">
        <f t="shared" si="376"/>
        <v>#N/A</v>
      </c>
      <c r="BA2159" s="262" t="e">
        <f>VLOOKUP(AW2159,'Item Master Data'!$A:$G,7,FALSE)</f>
        <v>#N/A</v>
      </c>
      <c r="BC2159" s="262" t="e">
        <f t="shared" si="377"/>
        <v>#N/A</v>
      </c>
    </row>
    <row r="2160" spans="1:55">
      <c r="A2160" s="410"/>
      <c r="B2160" s="407"/>
      <c r="C2160" s="407"/>
      <c r="D2160" s="474" t="s">
        <v>1066</v>
      </c>
      <c r="E2160" s="388"/>
      <c r="F2160" s="474" t="s">
        <v>1077</v>
      </c>
      <c r="G2160" s="474">
        <v>2022</v>
      </c>
      <c r="H2160" s="474">
        <v>9</v>
      </c>
      <c r="I2160" s="485"/>
      <c r="J2160" s="475"/>
      <c r="K2160" s="474" t="s">
        <v>1136</v>
      </c>
      <c r="L2160" s="475" t="s">
        <v>1120</v>
      </c>
      <c r="M2160" s="475">
        <v>44645</v>
      </c>
      <c r="N2160" s="475">
        <v>44823</v>
      </c>
      <c r="O2160" s="475"/>
      <c r="P2160" s="475"/>
      <c r="Q2160" s="475"/>
      <c r="R2160" s="475"/>
      <c r="S2160" s="474" t="s">
        <v>1102</v>
      </c>
      <c r="T2160" s="474">
        <v>72</v>
      </c>
      <c r="U2160" s="474"/>
      <c r="V2160" s="474" t="s">
        <v>1002</v>
      </c>
      <c r="W2160" s="476">
        <v>485</v>
      </c>
      <c r="X2160" s="402">
        <v>638</v>
      </c>
      <c r="Y2160" s="491">
        <f t="shared" si="372"/>
        <v>309430</v>
      </c>
      <c r="Z2160" s="478">
        <v>0.5</v>
      </c>
      <c r="AA2160" s="479">
        <f t="shared" si="373"/>
        <v>154715</v>
      </c>
      <c r="AB2160" s="386"/>
      <c r="AC2160" s="481">
        <f t="shared" si="374"/>
        <v>0</v>
      </c>
      <c r="AD2160" s="474"/>
      <c r="AE2160" s="482"/>
      <c r="AF2160" s="493">
        <f t="shared" si="366"/>
        <v>154715</v>
      </c>
      <c r="AG2160" s="474" t="s">
        <v>47</v>
      </c>
      <c r="AH2160" s="447">
        <v>0</v>
      </c>
      <c r="AI2160" s="474">
        <v>45</v>
      </c>
      <c r="AJ2160" s="474" t="s">
        <v>1137</v>
      </c>
      <c r="AK2160" s="474" t="s">
        <v>1138</v>
      </c>
      <c r="AL2160" s="494">
        <v>11416</v>
      </c>
      <c r="AM2160" s="474" t="s">
        <v>52</v>
      </c>
      <c r="AN2160" s="474" t="s">
        <v>1109</v>
      </c>
      <c r="AO2160" s="474"/>
      <c r="AP2160" s="474" t="s">
        <v>38</v>
      </c>
      <c r="AQ2160" s="474" t="s">
        <v>1086</v>
      </c>
      <c r="AR2160" s="474"/>
      <c r="AS2160" s="387" t="s">
        <v>1087</v>
      </c>
      <c r="AT2160" s="387" t="s">
        <v>1076</v>
      </c>
      <c r="AU2160" s="471"/>
      <c r="AV2160" s="262">
        <f t="shared" si="375"/>
        <v>0</v>
      </c>
      <c r="AW2160" s="262" cm="1">
        <f t="array" ref="AW2160">SUM(MID(0&amp;AV2160,LARGE(INDEX(ISNUMBER(--MID(AV2160,ROW($1:$8),1))*ROW($1:$8),),ROW($1:$8))+1,1)*10^ROW($1:$8)/10)</f>
        <v>0</v>
      </c>
      <c r="AX2160" s="262" t="e">
        <f>VLOOKUP($AW2160,'Item Master Data'!$A:$F,3,FALSE)</f>
        <v>#N/A</v>
      </c>
      <c r="AY2160" s="262" t="e">
        <f>VLOOKUP($AW2160,'Item Master Data'!$A:$F,6,FALSE)</f>
        <v>#N/A</v>
      </c>
      <c r="AZ2160" s="262" t="e">
        <f t="shared" si="376"/>
        <v>#N/A</v>
      </c>
      <c r="BA2160" s="262" t="e">
        <f>VLOOKUP(AW2160,'Item Master Data'!$A:$G,7,FALSE)</f>
        <v>#N/A</v>
      </c>
      <c r="BC2160" s="262" t="e">
        <f t="shared" si="377"/>
        <v>#N/A</v>
      </c>
    </row>
    <row r="2161" spans="1:55">
      <c r="A2161" s="410"/>
      <c r="B2161" s="407"/>
      <c r="C2161" s="407"/>
      <c r="D2161" s="474" t="s">
        <v>1066</v>
      </c>
      <c r="E2161" s="388"/>
      <c r="F2161" s="474" t="s">
        <v>1077</v>
      </c>
      <c r="G2161" s="474">
        <v>2022</v>
      </c>
      <c r="H2161" s="474">
        <v>9</v>
      </c>
      <c r="I2161" s="485"/>
      <c r="J2161" s="475"/>
      <c r="K2161" s="474" t="s">
        <v>1139</v>
      </c>
      <c r="L2161" s="475" t="s">
        <v>1120</v>
      </c>
      <c r="M2161" s="475">
        <v>44645</v>
      </c>
      <c r="N2161" s="475">
        <v>44820</v>
      </c>
      <c r="O2161" s="475"/>
      <c r="P2161" s="475"/>
      <c r="Q2161" s="475"/>
      <c r="R2161" s="475"/>
      <c r="S2161" s="474" t="s">
        <v>1102</v>
      </c>
      <c r="T2161" s="474">
        <v>72</v>
      </c>
      <c r="U2161" s="474"/>
      <c r="V2161" s="474" t="s">
        <v>1002</v>
      </c>
      <c r="W2161" s="476">
        <v>485</v>
      </c>
      <c r="X2161" s="402">
        <v>638</v>
      </c>
      <c r="Y2161" s="491">
        <f t="shared" si="372"/>
        <v>309430</v>
      </c>
      <c r="Z2161" s="478">
        <v>0.5</v>
      </c>
      <c r="AA2161" s="479">
        <f t="shared" si="373"/>
        <v>154715</v>
      </c>
      <c r="AB2161" s="386"/>
      <c r="AC2161" s="481">
        <f t="shared" si="374"/>
        <v>0</v>
      </c>
      <c r="AD2161" s="474"/>
      <c r="AE2161" s="482"/>
      <c r="AF2161" s="493">
        <f t="shared" si="366"/>
        <v>154715</v>
      </c>
      <c r="AG2161" s="474" t="s">
        <v>47</v>
      </c>
      <c r="AH2161" s="447">
        <v>0</v>
      </c>
      <c r="AI2161" s="474">
        <v>45</v>
      </c>
      <c r="AJ2161" s="474" t="s">
        <v>1140</v>
      </c>
      <c r="AK2161" s="474" t="s">
        <v>50</v>
      </c>
      <c r="AL2161" s="494">
        <v>91311</v>
      </c>
      <c r="AM2161" s="474" t="s">
        <v>52</v>
      </c>
      <c r="AN2161" s="474" t="s">
        <v>1109</v>
      </c>
      <c r="AO2161" s="474"/>
      <c r="AP2161" s="474" t="s">
        <v>38</v>
      </c>
      <c r="AQ2161" s="474" t="s">
        <v>1086</v>
      </c>
      <c r="AR2161" s="474"/>
      <c r="AS2161" s="387" t="s">
        <v>1087</v>
      </c>
      <c r="AT2161" s="387" t="s">
        <v>1076</v>
      </c>
      <c r="AU2161" s="471"/>
      <c r="AV2161" s="262">
        <f t="shared" si="375"/>
        <v>0</v>
      </c>
      <c r="AW2161" s="262" cm="1">
        <f t="array" ref="AW2161">SUM(MID(0&amp;AV2161,LARGE(INDEX(ISNUMBER(--MID(AV2161,ROW($1:$8),1))*ROW($1:$8),),ROW($1:$8))+1,1)*10^ROW($1:$8)/10)</f>
        <v>0</v>
      </c>
      <c r="AX2161" s="262" t="e">
        <f>VLOOKUP($AW2161,'Item Master Data'!$A:$F,3,FALSE)</f>
        <v>#N/A</v>
      </c>
      <c r="AY2161" s="262" t="e">
        <f>VLOOKUP($AW2161,'Item Master Data'!$A:$F,6,FALSE)</f>
        <v>#N/A</v>
      </c>
      <c r="AZ2161" s="262" t="e">
        <f t="shared" si="376"/>
        <v>#N/A</v>
      </c>
      <c r="BA2161" s="262" t="e">
        <f>VLOOKUP(AW2161,'Item Master Data'!$A:$G,7,FALSE)</f>
        <v>#N/A</v>
      </c>
      <c r="BC2161" s="262" t="e">
        <f t="shared" si="377"/>
        <v>#N/A</v>
      </c>
    </row>
    <row r="2162" spans="1:55">
      <c r="A2162" s="410"/>
      <c r="B2162" s="407"/>
      <c r="C2162" s="407"/>
      <c r="D2162" s="474" t="s">
        <v>1066</v>
      </c>
      <c r="E2162" s="388"/>
      <c r="F2162" s="474" t="s">
        <v>1077</v>
      </c>
      <c r="G2162" s="474">
        <v>2022</v>
      </c>
      <c r="H2162" s="474">
        <v>7</v>
      </c>
      <c r="I2162" s="485"/>
      <c r="J2162" s="475"/>
      <c r="K2162" s="474" t="s">
        <v>1139</v>
      </c>
      <c r="L2162" s="475" t="s">
        <v>1120</v>
      </c>
      <c r="M2162" s="475">
        <v>44645</v>
      </c>
      <c r="N2162" s="475">
        <v>44756</v>
      </c>
      <c r="O2162" s="475"/>
      <c r="P2162" s="475"/>
      <c r="Q2162" s="475"/>
      <c r="R2162" s="475"/>
      <c r="S2162" s="474" t="s">
        <v>1102</v>
      </c>
      <c r="T2162" s="474">
        <v>72</v>
      </c>
      <c r="U2162" s="474"/>
      <c r="V2162" s="474" t="s">
        <v>1002</v>
      </c>
      <c r="W2162" s="476">
        <v>485</v>
      </c>
      <c r="X2162" s="402">
        <v>638</v>
      </c>
      <c r="Y2162" s="491">
        <f t="shared" si="372"/>
        <v>309430</v>
      </c>
      <c r="Z2162" s="478">
        <v>0.5</v>
      </c>
      <c r="AA2162" s="479">
        <f t="shared" si="373"/>
        <v>154715</v>
      </c>
      <c r="AB2162" s="386"/>
      <c r="AC2162" s="481">
        <f t="shared" si="374"/>
        <v>0</v>
      </c>
      <c r="AD2162" s="474"/>
      <c r="AE2162" s="482"/>
      <c r="AF2162" s="493">
        <f t="shared" si="366"/>
        <v>154715</v>
      </c>
      <c r="AG2162" s="474" t="s">
        <v>47</v>
      </c>
      <c r="AH2162" s="447">
        <v>0</v>
      </c>
      <c r="AI2162" s="474">
        <v>45</v>
      </c>
      <c r="AJ2162" s="474" t="s">
        <v>1140</v>
      </c>
      <c r="AK2162" s="474" t="s">
        <v>50</v>
      </c>
      <c r="AL2162" s="494">
        <v>91311</v>
      </c>
      <c r="AM2162" s="474" t="s">
        <v>52</v>
      </c>
      <c r="AN2162" s="474" t="s">
        <v>1109</v>
      </c>
      <c r="AO2162" s="474"/>
      <c r="AP2162" s="474" t="s">
        <v>38</v>
      </c>
      <c r="AQ2162" s="474" t="s">
        <v>1086</v>
      </c>
      <c r="AR2162" s="474"/>
      <c r="AS2162" s="387" t="s">
        <v>1087</v>
      </c>
      <c r="AT2162" s="387" t="s">
        <v>1076</v>
      </c>
      <c r="AU2162" s="471"/>
      <c r="AV2162" s="262">
        <f t="shared" si="375"/>
        <v>0</v>
      </c>
      <c r="AW2162" s="262" cm="1">
        <f t="array" ref="AW2162">SUM(MID(0&amp;AV2162,LARGE(INDEX(ISNUMBER(--MID(AV2162,ROW($1:$8),1))*ROW($1:$8),),ROW($1:$8))+1,1)*10^ROW($1:$8)/10)</f>
        <v>0</v>
      </c>
      <c r="AX2162" s="262" t="e">
        <f>VLOOKUP($AW2162,'Item Master Data'!$A:$F,3,FALSE)</f>
        <v>#N/A</v>
      </c>
      <c r="AY2162" s="262" t="e">
        <f>VLOOKUP($AW2162,'Item Master Data'!$A:$F,6,FALSE)</f>
        <v>#N/A</v>
      </c>
      <c r="AZ2162" s="262" t="e">
        <f t="shared" si="376"/>
        <v>#N/A</v>
      </c>
      <c r="BA2162" s="262" t="e">
        <f>VLOOKUP(AW2162,'Item Master Data'!$A:$G,7,FALSE)</f>
        <v>#N/A</v>
      </c>
      <c r="BC2162" s="262" t="e">
        <f t="shared" si="377"/>
        <v>#N/A</v>
      </c>
    </row>
    <row r="2163" spans="1:55">
      <c r="A2163" s="410"/>
      <c r="B2163" s="407"/>
      <c r="C2163" s="407"/>
      <c r="D2163" s="474" t="s">
        <v>1066</v>
      </c>
      <c r="E2163" s="388"/>
      <c r="F2163" s="474" t="s">
        <v>1077</v>
      </c>
      <c r="G2163" s="474">
        <v>2022</v>
      </c>
      <c r="H2163" s="474">
        <v>8</v>
      </c>
      <c r="I2163" s="485"/>
      <c r="J2163" s="475"/>
      <c r="K2163" s="474" t="s">
        <v>1141</v>
      </c>
      <c r="L2163" s="475" t="s">
        <v>1120</v>
      </c>
      <c r="M2163" s="475">
        <v>44645</v>
      </c>
      <c r="N2163" s="475">
        <v>44788</v>
      </c>
      <c r="O2163" s="475"/>
      <c r="P2163" s="475"/>
      <c r="Q2163" s="475"/>
      <c r="R2163" s="475"/>
      <c r="S2163" s="474" t="s">
        <v>1102</v>
      </c>
      <c r="T2163" s="474">
        <v>72</v>
      </c>
      <c r="U2163" s="474"/>
      <c r="V2163" s="474" t="s">
        <v>1002</v>
      </c>
      <c r="W2163" s="476">
        <v>485</v>
      </c>
      <c r="X2163" s="402">
        <v>638</v>
      </c>
      <c r="Y2163" s="491">
        <f t="shared" si="372"/>
        <v>309430</v>
      </c>
      <c r="Z2163" s="478">
        <v>0.5</v>
      </c>
      <c r="AA2163" s="479">
        <f t="shared" si="373"/>
        <v>154715</v>
      </c>
      <c r="AB2163" s="386"/>
      <c r="AC2163" s="481">
        <f t="shared" si="374"/>
        <v>0</v>
      </c>
      <c r="AD2163" s="474"/>
      <c r="AE2163" s="482"/>
      <c r="AF2163" s="493">
        <f t="shared" si="366"/>
        <v>154715</v>
      </c>
      <c r="AG2163" s="474" t="s">
        <v>47</v>
      </c>
      <c r="AH2163" s="447">
        <v>0</v>
      </c>
      <c r="AI2163" s="474">
        <v>45</v>
      </c>
      <c r="AJ2163" s="474" t="s">
        <v>1140</v>
      </c>
      <c r="AK2163" s="474" t="s">
        <v>50</v>
      </c>
      <c r="AL2163" s="494">
        <v>91311</v>
      </c>
      <c r="AM2163" s="474" t="s">
        <v>52</v>
      </c>
      <c r="AN2163" s="474" t="s">
        <v>1109</v>
      </c>
      <c r="AO2163" s="474"/>
      <c r="AP2163" s="474" t="s">
        <v>38</v>
      </c>
      <c r="AQ2163" s="474" t="s">
        <v>1086</v>
      </c>
      <c r="AR2163" s="474"/>
      <c r="AS2163" s="387" t="s">
        <v>1087</v>
      </c>
      <c r="AT2163" s="387" t="s">
        <v>1076</v>
      </c>
      <c r="AU2163" s="471"/>
      <c r="AV2163" s="262">
        <f t="shared" si="375"/>
        <v>0</v>
      </c>
      <c r="AW2163" s="262" cm="1">
        <f t="array" ref="AW2163">SUM(MID(0&amp;AV2163,LARGE(INDEX(ISNUMBER(--MID(AV2163,ROW($1:$8),1))*ROW($1:$8),),ROW($1:$8))+1,1)*10^ROW($1:$8)/10)</f>
        <v>0</v>
      </c>
      <c r="AX2163" s="262" t="e">
        <f>VLOOKUP($AW2163,'Item Master Data'!$A:$F,3,FALSE)</f>
        <v>#N/A</v>
      </c>
      <c r="AY2163" s="262" t="e">
        <f>VLOOKUP($AW2163,'Item Master Data'!$A:$F,6,FALSE)</f>
        <v>#N/A</v>
      </c>
      <c r="AZ2163" s="262" t="e">
        <f t="shared" si="376"/>
        <v>#N/A</v>
      </c>
      <c r="BA2163" s="262" t="e">
        <f>VLOOKUP(AW2163,'Item Master Data'!$A:$G,7,FALSE)</f>
        <v>#N/A</v>
      </c>
      <c r="BC2163" s="262" t="e">
        <f t="shared" si="377"/>
        <v>#N/A</v>
      </c>
    </row>
    <row r="2164" spans="1:55">
      <c r="A2164" s="410"/>
      <c r="B2164" s="407"/>
      <c r="C2164" s="407"/>
      <c r="D2164" s="474" t="s">
        <v>1066</v>
      </c>
      <c r="E2164" s="388"/>
      <c r="F2164" s="474" t="s">
        <v>1077</v>
      </c>
      <c r="G2164" s="474">
        <v>2022</v>
      </c>
      <c r="H2164" s="474">
        <v>7</v>
      </c>
      <c r="I2164" s="485"/>
      <c r="J2164" s="475"/>
      <c r="K2164" s="474" t="s">
        <v>1142</v>
      </c>
      <c r="L2164" s="475" t="s">
        <v>1120</v>
      </c>
      <c r="M2164" s="475">
        <v>44645</v>
      </c>
      <c r="N2164" s="475">
        <v>44764</v>
      </c>
      <c r="O2164" s="475"/>
      <c r="P2164" s="475"/>
      <c r="Q2164" s="475"/>
      <c r="R2164" s="475"/>
      <c r="S2164" s="474" t="s">
        <v>1102</v>
      </c>
      <c r="T2164" s="474">
        <v>72</v>
      </c>
      <c r="U2164" s="474"/>
      <c r="V2164" s="474" t="s">
        <v>1002</v>
      </c>
      <c r="W2164" s="476">
        <v>485</v>
      </c>
      <c r="X2164" s="402">
        <v>638</v>
      </c>
      <c r="Y2164" s="491">
        <f t="shared" si="372"/>
        <v>309430</v>
      </c>
      <c r="Z2164" s="478">
        <v>0.5</v>
      </c>
      <c r="AA2164" s="479">
        <f t="shared" si="373"/>
        <v>154715</v>
      </c>
      <c r="AB2164" s="386"/>
      <c r="AC2164" s="481">
        <f t="shared" si="374"/>
        <v>0</v>
      </c>
      <c r="AD2164" s="474"/>
      <c r="AE2164" s="482"/>
      <c r="AF2164" s="493">
        <f t="shared" si="366"/>
        <v>154715</v>
      </c>
      <c r="AG2164" s="474" t="s">
        <v>47</v>
      </c>
      <c r="AH2164" s="447">
        <v>0</v>
      </c>
      <c r="AI2164" s="474">
        <v>45</v>
      </c>
      <c r="AJ2164" s="474" t="s">
        <v>1143</v>
      </c>
      <c r="AK2164" s="474" t="s">
        <v>1144</v>
      </c>
      <c r="AL2164" s="494">
        <v>74074</v>
      </c>
      <c r="AM2164" s="474" t="s">
        <v>52</v>
      </c>
      <c r="AN2164" s="474" t="s">
        <v>1109</v>
      </c>
      <c r="AO2164" s="474"/>
      <c r="AP2164" s="474" t="s">
        <v>38</v>
      </c>
      <c r="AQ2164" s="474" t="s">
        <v>1086</v>
      </c>
      <c r="AR2164" s="474"/>
      <c r="AS2164" s="387" t="s">
        <v>1087</v>
      </c>
      <c r="AT2164" s="387" t="s">
        <v>1076</v>
      </c>
      <c r="AU2164" s="471"/>
      <c r="AV2164" s="262">
        <f t="shared" si="375"/>
        <v>0</v>
      </c>
      <c r="AW2164" s="262" cm="1">
        <f t="array" ref="AW2164">SUM(MID(0&amp;AV2164,LARGE(INDEX(ISNUMBER(--MID(AV2164,ROW($1:$8),1))*ROW($1:$8),),ROW($1:$8))+1,1)*10^ROW($1:$8)/10)</f>
        <v>0</v>
      </c>
      <c r="AX2164" s="262" t="e">
        <f>VLOOKUP($AW2164,'Item Master Data'!$A:$F,3,FALSE)</f>
        <v>#N/A</v>
      </c>
      <c r="AY2164" s="262" t="e">
        <f>VLOOKUP($AW2164,'Item Master Data'!$A:$F,6,FALSE)</f>
        <v>#N/A</v>
      </c>
      <c r="AZ2164" s="262" t="e">
        <f t="shared" si="376"/>
        <v>#N/A</v>
      </c>
      <c r="BA2164" s="262" t="e">
        <f>VLOOKUP(AW2164,'Item Master Data'!$A:$G,7,FALSE)</f>
        <v>#N/A</v>
      </c>
      <c r="BC2164" s="262" t="e">
        <f t="shared" si="377"/>
        <v>#N/A</v>
      </c>
    </row>
    <row r="2165" spans="1:55">
      <c r="A2165" s="410"/>
      <c r="B2165" s="407"/>
      <c r="C2165" s="407"/>
      <c r="D2165" s="474" t="s">
        <v>1066</v>
      </c>
      <c r="E2165" s="388"/>
      <c r="F2165" s="474" t="s">
        <v>1077</v>
      </c>
      <c r="G2165" s="474">
        <v>2022</v>
      </c>
      <c r="H2165" s="474">
        <v>9</v>
      </c>
      <c r="I2165" s="485"/>
      <c r="J2165" s="475"/>
      <c r="K2165" s="474" t="s">
        <v>1145</v>
      </c>
      <c r="L2165" s="475" t="s">
        <v>1120</v>
      </c>
      <c r="M2165" s="475">
        <v>44645</v>
      </c>
      <c r="N2165" s="475">
        <v>44820</v>
      </c>
      <c r="O2165" s="475"/>
      <c r="P2165" s="475"/>
      <c r="Q2165" s="475"/>
      <c r="R2165" s="475"/>
      <c r="S2165" s="474" t="s">
        <v>1102</v>
      </c>
      <c r="T2165" s="474">
        <v>72</v>
      </c>
      <c r="U2165" s="474"/>
      <c r="V2165" s="474" t="s">
        <v>1002</v>
      </c>
      <c r="W2165" s="476">
        <v>485</v>
      </c>
      <c r="X2165" s="402">
        <v>638</v>
      </c>
      <c r="Y2165" s="491">
        <f t="shared" si="372"/>
        <v>309430</v>
      </c>
      <c r="Z2165" s="478">
        <v>0.5</v>
      </c>
      <c r="AA2165" s="479">
        <f t="shared" si="373"/>
        <v>154715</v>
      </c>
      <c r="AB2165" s="386"/>
      <c r="AC2165" s="481">
        <f t="shared" si="374"/>
        <v>0</v>
      </c>
      <c r="AD2165" s="474"/>
      <c r="AE2165" s="482"/>
      <c r="AF2165" s="493">
        <f t="shared" si="366"/>
        <v>154715</v>
      </c>
      <c r="AG2165" s="474" t="s">
        <v>47</v>
      </c>
      <c r="AH2165" s="447">
        <v>0</v>
      </c>
      <c r="AI2165" s="474">
        <v>45</v>
      </c>
      <c r="AJ2165" s="474" t="s">
        <v>1146</v>
      </c>
      <c r="AK2165" s="474" t="s">
        <v>50</v>
      </c>
      <c r="AL2165" s="494">
        <v>94577</v>
      </c>
      <c r="AM2165" s="474" t="s">
        <v>52</v>
      </c>
      <c r="AN2165" s="474" t="s">
        <v>1109</v>
      </c>
      <c r="AO2165" s="474"/>
      <c r="AP2165" s="474" t="s">
        <v>38</v>
      </c>
      <c r="AQ2165" s="474" t="s">
        <v>1086</v>
      </c>
      <c r="AR2165" s="474"/>
      <c r="AS2165" s="387" t="s">
        <v>1087</v>
      </c>
      <c r="AT2165" s="387" t="s">
        <v>1076</v>
      </c>
      <c r="AU2165" s="471"/>
      <c r="AV2165" s="262">
        <f t="shared" si="375"/>
        <v>0</v>
      </c>
      <c r="AW2165" s="262" cm="1">
        <f t="array" ref="AW2165">SUM(MID(0&amp;AV2165,LARGE(INDEX(ISNUMBER(--MID(AV2165,ROW($1:$8),1))*ROW($1:$8),),ROW($1:$8))+1,1)*10^ROW($1:$8)/10)</f>
        <v>0</v>
      </c>
      <c r="AX2165" s="262" t="e">
        <f>VLOOKUP($AW2165,'Item Master Data'!$A:$F,3,FALSE)</f>
        <v>#N/A</v>
      </c>
      <c r="AY2165" s="262" t="e">
        <f>VLOOKUP($AW2165,'Item Master Data'!$A:$F,6,FALSE)</f>
        <v>#N/A</v>
      </c>
      <c r="AZ2165" s="262" t="e">
        <f t="shared" si="376"/>
        <v>#N/A</v>
      </c>
      <c r="BA2165" s="262" t="e">
        <f>VLOOKUP(AW2165,'Item Master Data'!$A:$G,7,FALSE)</f>
        <v>#N/A</v>
      </c>
      <c r="BC2165" s="262" t="e">
        <f t="shared" si="377"/>
        <v>#N/A</v>
      </c>
    </row>
    <row r="2166" spans="1:55">
      <c r="A2166" s="410"/>
      <c r="B2166" s="407"/>
      <c r="C2166" s="407"/>
      <c r="D2166" s="474" t="s">
        <v>1066</v>
      </c>
      <c r="E2166" s="388" t="s">
        <v>1118</v>
      </c>
      <c r="F2166" s="474" t="s">
        <v>1147</v>
      </c>
      <c r="G2166" s="474">
        <v>2022</v>
      </c>
      <c r="H2166" s="474">
        <v>3</v>
      </c>
      <c r="I2166" s="485">
        <v>127204</v>
      </c>
      <c r="J2166" s="475">
        <v>44621</v>
      </c>
      <c r="K2166" s="474">
        <v>9232163</v>
      </c>
      <c r="L2166" s="475" t="s">
        <v>1148</v>
      </c>
      <c r="M2166" s="475">
        <v>44424</v>
      </c>
      <c r="N2166" s="475">
        <v>44531</v>
      </c>
      <c r="O2166" s="475"/>
      <c r="P2166" s="475">
        <v>44608</v>
      </c>
      <c r="Q2166" s="475">
        <v>44616</v>
      </c>
      <c r="R2166" s="475">
        <v>44621</v>
      </c>
      <c r="S2166" s="474" t="s">
        <v>1102</v>
      </c>
      <c r="T2166" s="474">
        <v>72</v>
      </c>
      <c r="U2166" s="474" t="s">
        <v>1149</v>
      </c>
      <c r="V2166" s="474" t="s">
        <v>1150</v>
      </c>
      <c r="W2166" s="476">
        <v>425</v>
      </c>
      <c r="X2166" s="402">
        <v>754</v>
      </c>
      <c r="Y2166" s="477">
        <f t="shared" si="372"/>
        <v>320450</v>
      </c>
      <c r="Z2166" s="478">
        <v>0.41</v>
      </c>
      <c r="AA2166" s="479">
        <f t="shared" si="373"/>
        <v>131384.5</v>
      </c>
      <c r="AB2166" s="386"/>
      <c r="AC2166" s="481">
        <f t="shared" si="374"/>
        <v>0</v>
      </c>
      <c r="AD2166" s="474"/>
      <c r="AE2166" s="482"/>
      <c r="AF2166" s="493">
        <f t="shared" si="366"/>
        <v>131384.5</v>
      </c>
      <c r="AG2166" s="474" t="s">
        <v>47</v>
      </c>
      <c r="AH2166" s="447"/>
      <c r="AI2166" s="474">
        <v>45</v>
      </c>
      <c r="AJ2166" s="474" t="s">
        <v>1140</v>
      </c>
      <c r="AK2166" s="474" t="s">
        <v>50</v>
      </c>
      <c r="AL2166" s="494">
        <v>91311</v>
      </c>
      <c r="AM2166" s="474" t="s">
        <v>52</v>
      </c>
      <c r="AN2166" s="474" t="s">
        <v>1151</v>
      </c>
      <c r="AO2166" s="474"/>
      <c r="AP2166" s="474" t="s">
        <v>38</v>
      </c>
      <c r="AQ2166" s="474" t="s">
        <v>37</v>
      </c>
      <c r="AR2166" s="474"/>
      <c r="AS2166" s="387" t="s">
        <v>1076</v>
      </c>
      <c r="AT2166" s="387" t="s">
        <v>1076</v>
      </c>
      <c r="AU2166" s="471"/>
      <c r="AV2166" s="262" t="str">
        <f t="shared" si="375"/>
        <v>12005804F</v>
      </c>
      <c r="AW2166" s="262" cm="1">
        <f t="array" ref="AW2166">SUM(MID(0&amp;AV2166,LARGE(INDEX(ISNUMBER(--MID(AV2166,ROW($1:$8),1))*ROW($1:$8),),ROW($1:$8))+1,1)*10^ROW($1:$8)/10)</f>
        <v>12005804</v>
      </c>
      <c r="AX2166" s="262" t="str">
        <f>VLOOKUP($AW2166,'Item Master Data'!$A:$F,3,FALSE)</f>
        <v>Q.PEAK DUO L G8</v>
      </c>
      <c r="AY2166" s="262">
        <f>VLOOKUP($AW2166,'Item Master Data'!$A:$F,6,FALSE)</f>
        <v>425</v>
      </c>
      <c r="AZ2166" s="262">
        <f t="shared" si="376"/>
        <v>25.133333333333333</v>
      </c>
      <c r="BA2166" s="262">
        <f>VLOOKUP(AW2166,'Item Master Data'!$A:$G,7,FALSE)</f>
        <v>30</v>
      </c>
      <c r="BC2166" s="262">
        <f t="shared" si="377"/>
        <v>0</v>
      </c>
    </row>
    <row r="2167" spans="1:55">
      <c r="A2167" s="410"/>
      <c r="B2167" s="407"/>
      <c r="C2167" s="407"/>
      <c r="D2167" s="474" t="s">
        <v>1066</v>
      </c>
      <c r="E2167" s="388"/>
      <c r="F2167" s="474" t="s">
        <v>87</v>
      </c>
      <c r="G2167" s="474">
        <v>2022</v>
      </c>
      <c r="H2167" s="474">
        <v>5</v>
      </c>
      <c r="I2167" s="485" t="s">
        <v>5418</v>
      </c>
      <c r="J2167" s="475"/>
      <c r="K2167" s="474" t="s">
        <v>1351</v>
      </c>
      <c r="L2167" s="475" t="s">
        <v>1340</v>
      </c>
      <c r="M2167" s="475">
        <v>44568</v>
      </c>
      <c r="N2167" s="475">
        <v>44568</v>
      </c>
      <c r="O2167" s="475"/>
      <c r="P2167" s="475">
        <v>44666</v>
      </c>
      <c r="Q2167" s="475"/>
      <c r="R2167" s="475"/>
      <c r="S2167" s="474" t="s">
        <v>1102</v>
      </c>
      <c r="T2167" s="474">
        <v>72</v>
      </c>
      <c r="U2167" s="474">
        <v>49303556</v>
      </c>
      <c r="V2167" s="474" t="s">
        <v>1070</v>
      </c>
      <c r="W2167" s="476">
        <v>480</v>
      </c>
      <c r="X2167" s="402">
        <v>3828</v>
      </c>
      <c r="Y2167" s="491">
        <f t="shared" si="372"/>
        <v>1837440</v>
      </c>
      <c r="Z2167" s="478">
        <v>0.47</v>
      </c>
      <c r="AA2167" s="479">
        <f>Y2167*Z2167</f>
        <v>863596.79999999993</v>
      </c>
      <c r="AB2167" s="386"/>
      <c r="AC2167" s="481">
        <v>0</v>
      </c>
      <c r="AD2167" s="474"/>
      <c r="AE2167" s="482"/>
      <c r="AF2167" s="493">
        <f t="shared" si="366"/>
        <v>863596.79999999993</v>
      </c>
      <c r="AG2167" s="474" t="s">
        <v>1071</v>
      </c>
      <c r="AH2167" s="447"/>
      <c r="AI2167" s="474">
        <v>60</v>
      </c>
      <c r="AJ2167" s="474" t="s">
        <v>1342</v>
      </c>
      <c r="AK2167" s="474" t="s">
        <v>1085</v>
      </c>
      <c r="AL2167" s="494">
        <v>8110</v>
      </c>
      <c r="AM2167" s="474" t="s">
        <v>52</v>
      </c>
      <c r="AN2167" s="474" t="s">
        <v>1074</v>
      </c>
      <c r="AO2167" s="474"/>
      <c r="AP2167" s="474"/>
      <c r="AQ2167" s="474" t="s">
        <v>37</v>
      </c>
      <c r="AR2167" s="474"/>
      <c r="AS2167" s="387"/>
      <c r="AT2167" s="387"/>
      <c r="AU2167" s="471"/>
      <c r="AV2167" s="262">
        <f t="shared" si="375"/>
        <v>49303556</v>
      </c>
      <c r="AW2167" s="262" cm="1">
        <f t="array" ref="AW2167">SUM(MID(0&amp;AV2167,LARGE(INDEX(ISNUMBER(--MID(AV2167,ROW($1:$8),1))*ROW($1:$8),),ROW($1:$8))+1,1)*10^ROW($1:$8)/10)</f>
        <v>49303556</v>
      </c>
      <c r="AX2167" s="262" t="str">
        <f>VLOOKUP($AW2167,'Item Master Data'!$A:$F,3,FALSE)</f>
        <v>Q.PEAK DUO XL G10 BFG</v>
      </c>
      <c r="AY2167" s="262">
        <f>VLOOKUP($AW2167,'Item Master Data'!$A:$F,6,FALSE)</f>
        <v>480</v>
      </c>
      <c r="AZ2167" s="262">
        <f t="shared" si="376"/>
        <v>132</v>
      </c>
      <c r="BA2167" s="262">
        <f>VLOOKUP(AW2167,'Item Master Data'!$A:$G,7,FALSE)</f>
        <v>29</v>
      </c>
      <c r="BC2167" s="262">
        <f t="shared" si="377"/>
        <v>0</v>
      </c>
    </row>
    <row r="2168" spans="1:55">
      <c r="A2168" s="410"/>
      <c r="B2168" s="407"/>
      <c r="C2168" s="407"/>
      <c r="D2168" s="474" t="s">
        <v>1066</v>
      </c>
      <c r="E2168" s="388" t="s">
        <v>5403</v>
      </c>
      <c r="F2168" s="474" t="s">
        <v>87</v>
      </c>
      <c r="G2168" s="474">
        <v>2022</v>
      </c>
      <c r="H2168" s="474">
        <v>5</v>
      </c>
      <c r="I2168" s="485"/>
      <c r="J2168" s="475"/>
      <c r="K2168" s="474" t="s">
        <v>1231</v>
      </c>
      <c r="L2168" s="475" t="s">
        <v>1228</v>
      </c>
      <c r="M2168" s="475">
        <v>44575</v>
      </c>
      <c r="N2168" s="475">
        <v>44690</v>
      </c>
      <c r="O2168" s="475"/>
      <c r="P2168" s="475"/>
      <c r="Q2168" s="475"/>
      <c r="R2168" s="475"/>
      <c r="S2168" s="474" t="s">
        <v>1069</v>
      </c>
      <c r="T2168" s="474">
        <v>72</v>
      </c>
      <c r="U2168" s="474" t="s">
        <v>1109</v>
      </c>
      <c r="V2168" s="474" t="s">
        <v>1070</v>
      </c>
      <c r="W2168" s="476">
        <v>480</v>
      </c>
      <c r="X2168" s="402">
        <v>1276</v>
      </c>
      <c r="Y2168" s="491">
        <f t="shared" si="372"/>
        <v>612480</v>
      </c>
      <c r="Z2168" s="478">
        <v>0.47</v>
      </c>
      <c r="AA2168" s="479">
        <f>Y2168*Z2168</f>
        <v>287865.59999999998</v>
      </c>
      <c r="AB2168" s="386"/>
      <c r="AC2168" s="481">
        <v>0</v>
      </c>
      <c r="AD2168" s="474"/>
      <c r="AE2168" s="482"/>
      <c r="AF2168" s="493">
        <f t="shared" si="366"/>
        <v>287865.59999999998</v>
      </c>
      <c r="AG2168" s="474" t="s">
        <v>1071</v>
      </c>
      <c r="AH2168" s="447"/>
      <c r="AI2168" s="474">
        <v>60</v>
      </c>
      <c r="AJ2168" s="474" t="s">
        <v>1230</v>
      </c>
      <c r="AK2168" s="474" t="s">
        <v>1190</v>
      </c>
      <c r="AL2168" s="494">
        <v>6492</v>
      </c>
      <c r="AM2168" s="474" t="s">
        <v>52</v>
      </c>
      <c r="AN2168" s="474" t="s">
        <v>1085</v>
      </c>
      <c r="AO2168" s="474"/>
      <c r="AP2168" s="474" t="s">
        <v>92</v>
      </c>
      <c r="AQ2168" s="474" t="s">
        <v>37</v>
      </c>
      <c r="AR2168" s="474"/>
      <c r="AS2168" s="387"/>
      <c r="AT2168" s="387"/>
      <c r="AU2168" s="471"/>
      <c r="AV2168" s="262" t="str">
        <f t="shared" si="375"/>
        <v>TBD</v>
      </c>
      <c r="AW2168" s="262" cm="1">
        <f t="array" ref="AW2168">SUM(MID(0&amp;AV2168,LARGE(INDEX(ISNUMBER(--MID(AV2168,ROW($1:$8),1))*ROW($1:$8),),ROW($1:$8))+1,1)*10^ROW($1:$8)/10)</f>
        <v>0</v>
      </c>
      <c r="AX2168" s="262" t="e">
        <f>VLOOKUP($AW2168,'Item Master Data'!$A:$F,3,FALSE)</f>
        <v>#N/A</v>
      </c>
      <c r="AY2168" s="262" t="e">
        <f>VLOOKUP($AW2168,'Item Master Data'!$A:$F,6,FALSE)</f>
        <v>#N/A</v>
      </c>
      <c r="AZ2168" s="262" t="e">
        <f t="shared" si="376"/>
        <v>#N/A</v>
      </c>
      <c r="BA2168" s="262" t="e">
        <f>VLOOKUP(AW2168,'Item Master Data'!$A:$G,7,FALSE)</f>
        <v>#N/A</v>
      </c>
      <c r="BC2168" s="262" t="e">
        <f t="shared" si="377"/>
        <v>#N/A</v>
      </c>
    </row>
    <row r="2169" spans="1:55">
      <c r="A2169" s="410"/>
      <c r="B2169" s="407"/>
      <c r="C2169" s="407"/>
      <c r="D2169" s="474" t="s">
        <v>1066</v>
      </c>
      <c r="E2169" s="388" t="s">
        <v>5403</v>
      </c>
      <c r="F2169" s="474" t="s">
        <v>87</v>
      </c>
      <c r="G2169" s="474">
        <v>2022</v>
      </c>
      <c r="H2169" s="474">
        <v>5</v>
      </c>
      <c r="I2169" s="485"/>
      <c r="J2169" s="475"/>
      <c r="K2169" s="474" t="s">
        <v>1231</v>
      </c>
      <c r="L2169" s="475" t="s">
        <v>1228</v>
      </c>
      <c r="M2169" s="475">
        <v>44575</v>
      </c>
      <c r="N2169" s="475">
        <v>44711</v>
      </c>
      <c r="O2169" s="475"/>
      <c r="P2169" s="475"/>
      <c r="Q2169" s="475"/>
      <c r="R2169" s="475"/>
      <c r="S2169" s="474" t="s">
        <v>1069</v>
      </c>
      <c r="T2169" s="474">
        <v>72</v>
      </c>
      <c r="U2169" s="474" t="s">
        <v>1109</v>
      </c>
      <c r="V2169" s="474" t="s">
        <v>1070</v>
      </c>
      <c r="W2169" s="476">
        <v>480</v>
      </c>
      <c r="X2169" s="402">
        <v>1276</v>
      </c>
      <c r="Y2169" s="491">
        <f t="shared" si="372"/>
        <v>612480</v>
      </c>
      <c r="Z2169" s="478">
        <v>0.47</v>
      </c>
      <c r="AA2169" s="479">
        <f>Y2169*Z2169</f>
        <v>287865.59999999998</v>
      </c>
      <c r="AB2169" s="386"/>
      <c r="AC2169" s="481">
        <v>0</v>
      </c>
      <c r="AD2169" s="474"/>
      <c r="AE2169" s="482"/>
      <c r="AF2169" s="493">
        <f t="shared" si="366"/>
        <v>287865.59999999998</v>
      </c>
      <c r="AG2169" s="474" t="s">
        <v>1071</v>
      </c>
      <c r="AH2169" s="447"/>
      <c r="AI2169" s="474">
        <v>60</v>
      </c>
      <c r="AJ2169" s="474" t="s">
        <v>1230</v>
      </c>
      <c r="AK2169" s="474" t="s">
        <v>1190</v>
      </c>
      <c r="AL2169" s="494">
        <v>6492</v>
      </c>
      <c r="AM2169" s="474" t="s">
        <v>52</v>
      </c>
      <c r="AN2169" s="474" t="s">
        <v>1085</v>
      </c>
      <c r="AO2169" s="474"/>
      <c r="AP2169" s="474" t="s">
        <v>92</v>
      </c>
      <c r="AQ2169" s="474" t="s">
        <v>37</v>
      </c>
      <c r="AR2169" s="474"/>
      <c r="AS2169" s="387"/>
      <c r="AT2169" s="387"/>
      <c r="AU2169" s="471"/>
      <c r="AV2169" s="262" t="str">
        <f t="shared" si="375"/>
        <v>TBD</v>
      </c>
      <c r="AW2169" s="262" cm="1">
        <f t="array" ref="AW2169">SUM(MID(0&amp;AV2169,LARGE(INDEX(ISNUMBER(--MID(AV2169,ROW($1:$8),1))*ROW($1:$8),),ROW($1:$8))+1,1)*10^ROW($1:$8)/10)</f>
        <v>0</v>
      </c>
      <c r="AX2169" s="262" t="e">
        <f>VLOOKUP($AW2169,'Item Master Data'!$A:$F,3,FALSE)</f>
        <v>#N/A</v>
      </c>
      <c r="AY2169" s="262" t="e">
        <f>VLOOKUP($AW2169,'Item Master Data'!$A:$F,6,FALSE)</f>
        <v>#N/A</v>
      </c>
      <c r="AZ2169" s="262" t="e">
        <f t="shared" si="376"/>
        <v>#N/A</v>
      </c>
      <c r="BA2169" s="262" t="e">
        <f>VLOOKUP(AW2169,'Item Master Data'!$A:$G,7,FALSE)</f>
        <v>#N/A</v>
      </c>
      <c r="BC2169" s="262" t="e">
        <f t="shared" si="377"/>
        <v>#N/A</v>
      </c>
    </row>
    <row r="2170" spans="1:55">
      <c r="A2170" s="410"/>
      <c r="B2170" s="407"/>
      <c r="C2170" s="407"/>
      <c r="D2170" s="474" t="s">
        <v>1066</v>
      </c>
      <c r="E2170" s="388" t="s">
        <v>5279</v>
      </c>
      <c r="F2170" s="474"/>
      <c r="G2170" s="474">
        <v>2022</v>
      </c>
      <c r="H2170" s="474">
        <v>5</v>
      </c>
      <c r="I2170" s="485"/>
      <c r="J2170" s="475"/>
      <c r="K2170" s="474" t="s">
        <v>1250</v>
      </c>
      <c r="L2170" s="475" t="s">
        <v>1242</v>
      </c>
      <c r="M2170" s="475">
        <v>44603</v>
      </c>
      <c r="N2170" s="475">
        <v>44652</v>
      </c>
      <c r="O2170" s="475"/>
      <c r="P2170" s="475" t="s">
        <v>1093</v>
      </c>
      <c r="Q2170" s="475"/>
      <c r="R2170" s="475"/>
      <c r="S2170" s="474" t="s">
        <v>1114</v>
      </c>
      <c r="T2170" s="474">
        <v>72</v>
      </c>
      <c r="U2170" s="474"/>
      <c r="V2170" s="474" t="s">
        <v>1070</v>
      </c>
      <c r="W2170" s="476">
        <v>480</v>
      </c>
      <c r="X2170" s="402">
        <v>1740</v>
      </c>
      <c r="Y2170" s="491">
        <f t="shared" si="372"/>
        <v>835200</v>
      </c>
      <c r="Z2170" s="478">
        <v>0.505</v>
      </c>
      <c r="AA2170" s="479">
        <f>Z2170*Y2170</f>
        <v>421776</v>
      </c>
      <c r="AB2170" s="386"/>
      <c r="AC2170" s="481">
        <f>AB2170*Y2170</f>
        <v>0</v>
      </c>
      <c r="AD2170" s="474"/>
      <c r="AE2170" s="482"/>
      <c r="AF2170" s="493">
        <f t="shared" si="366"/>
        <v>421776</v>
      </c>
      <c r="AG2170" s="474" t="s">
        <v>1071</v>
      </c>
      <c r="AH2170" s="447">
        <v>0</v>
      </c>
      <c r="AI2170" s="474">
        <v>60</v>
      </c>
      <c r="AJ2170" s="474" t="s">
        <v>1243</v>
      </c>
      <c r="AK2170" s="474" t="s">
        <v>1244</v>
      </c>
      <c r="AL2170" s="494" t="s">
        <v>1245</v>
      </c>
      <c r="AM2170" s="474" t="s">
        <v>52</v>
      </c>
      <c r="AN2170" s="474" t="s">
        <v>1085</v>
      </c>
      <c r="AO2170" s="474"/>
      <c r="AP2170" s="474" t="s">
        <v>38</v>
      </c>
      <c r="AQ2170" s="474" t="s">
        <v>1086</v>
      </c>
      <c r="AR2170" s="474"/>
      <c r="AS2170" s="387" t="s">
        <v>1076</v>
      </c>
      <c r="AT2170" s="387" t="s">
        <v>1076</v>
      </c>
      <c r="AU2170" s="471"/>
    </row>
    <row r="2171" spans="1:55">
      <c r="A2171" s="410"/>
      <c r="B2171" s="407"/>
      <c r="C2171" s="407"/>
      <c r="D2171" s="474" t="s">
        <v>1066</v>
      </c>
      <c r="E2171" s="388" t="s">
        <v>5279</v>
      </c>
      <c r="F2171" s="474"/>
      <c r="G2171" s="474">
        <v>2022</v>
      </c>
      <c r="H2171" s="474">
        <v>5</v>
      </c>
      <c r="I2171" s="485"/>
      <c r="J2171" s="475"/>
      <c r="K2171" s="474" t="s">
        <v>1256</v>
      </c>
      <c r="L2171" s="475" t="s">
        <v>1242</v>
      </c>
      <c r="M2171" s="475">
        <v>44613</v>
      </c>
      <c r="N2171" s="475">
        <v>44682</v>
      </c>
      <c r="O2171" s="475"/>
      <c r="P2171" s="475"/>
      <c r="Q2171" s="475"/>
      <c r="R2171" s="475"/>
      <c r="S2171" s="474" t="s">
        <v>1114</v>
      </c>
      <c r="T2171" s="474">
        <v>72</v>
      </c>
      <c r="U2171" s="474"/>
      <c r="V2171" s="474" t="s">
        <v>1070</v>
      </c>
      <c r="W2171" s="476">
        <v>480</v>
      </c>
      <c r="X2171" s="402">
        <v>1740</v>
      </c>
      <c r="Y2171" s="491">
        <f t="shared" si="372"/>
        <v>835200</v>
      </c>
      <c r="Z2171" s="478">
        <v>0.505</v>
      </c>
      <c r="AA2171" s="479">
        <f>Z2171*Y2171</f>
        <v>421776</v>
      </c>
      <c r="AB2171" s="386"/>
      <c r="AC2171" s="481">
        <f>AB2171*Y2171</f>
        <v>0</v>
      </c>
      <c r="AD2171" s="474"/>
      <c r="AE2171" s="482"/>
      <c r="AF2171" s="493">
        <f t="shared" si="366"/>
        <v>421776</v>
      </c>
      <c r="AG2171" s="474" t="s">
        <v>1071</v>
      </c>
      <c r="AH2171" s="447">
        <v>0</v>
      </c>
      <c r="AI2171" s="474">
        <v>60</v>
      </c>
      <c r="AJ2171" s="474" t="s">
        <v>1243</v>
      </c>
      <c r="AK2171" s="474" t="s">
        <v>1244</v>
      </c>
      <c r="AL2171" s="494" t="s">
        <v>1245</v>
      </c>
      <c r="AM2171" s="474" t="s">
        <v>52</v>
      </c>
      <c r="AN2171" s="474" t="s">
        <v>1085</v>
      </c>
      <c r="AO2171" s="474"/>
      <c r="AP2171" s="474" t="s">
        <v>38</v>
      </c>
      <c r="AQ2171" s="474" t="s">
        <v>1086</v>
      </c>
      <c r="AR2171" s="474"/>
      <c r="AS2171" s="387" t="s">
        <v>1076</v>
      </c>
      <c r="AT2171" s="387" t="s">
        <v>1076</v>
      </c>
      <c r="AU2171" s="471"/>
    </row>
    <row r="2172" spans="1:55">
      <c r="A2172" s="410"/>
      <c r="B2172" s="407"/>
      <c r="C2172" s="407"/>
      <c r="D2172" s="474" t="s">
        <v>1066</v>
      </c>
      <c r="E2172" s="388" t="s">
        <v>5279</v>
      </c>
      <c r="F2172" s="474" t="s">
        <v>87</v>
      </c>
      <c r="G2172" s="474">
        <v>2022</v>
      </c>
      <c r="H2172" s="474">
        <v>5</v>
      </c>
      <c r="I2172" s="485"/>
      <c r="J2172" s="475"/>
      <c r="K2172" s="474" t="s">
        <v>1294</v>
      </c>
      <c r="L2172" s="475" t="s">
        <v>1295</v>
      </c>
      <c r="M2172" s="475">
        <v>44575</v>
      </c>
      <c r="N2172" s="475">
        <v>44682</v>
      </c>
      <c r="O2172" s="475"/>
      <c r="P2172" s="475"/>
      <c r="Q2172" s="475"/>
      <c r="R2172" s="475"/>
      <c r="S2172" s="474" t="s">
        <v>1069</v>
      </c>
      <c r="T2172" s="474">
        <v>72</v>
      </c>
      <c r="U2172" s="474">
        <v>49303155</v>
      </c>
      <c r="V2172" s="474" t="s">
        <v>1070</v>
      </c>
      <c r="W2172" s="476">
        <v>480</v>
      </c>
      <c r="X2172" s="402">
        <v>638</v>
      </c>
      <c r="Y2172" s="491">
        <f t="shared" si="372"/>
        <v>306240</v>
      </c>
      <c r="Z2172" s="478">
        <v>0.49</v>
      </c>
      <c r="AA2172" s="479">
        <f>Y2172*Z2172</f>
        <v>150057.60000000001</v>
      </c>
      <c r="AB2172" s="386"/>
      <c r="AC2172" s="481">
        <v>0</v>
      </c>
      <c r="AD2172" s="474"/>
      <c r="AE2172" s="482"/>
      <c r="AF2172" s="493">
        <f t="shared" si="366"/>
        <v>150057.60000000001</v>
      </c>
      <c r="AG2172" s="474" t="s">
        <v>1071</v>
      </c>
      <c r="AH2172" s="447"/>
      <c r="AI2172" s="474">
        <v>60</v>
      </c>
      <c r="AJ2172" s="474" t="s">
        <v>1296</v>
      </c>
      <c r="AK2172" s="474" t="s">
        <v>1297</v>
      </c>
      <c r="AL2172" s="494" t="s">
        <v>1298</v>
      </c>
      <c r="AM2172" s="474" t="s">
        <v>52</v>
      </c>
      <c r="AN2172" s="474" t="s">
        <v>1074</v>
      </c>
      <c r="AO2172" s="474"/>
      <c r="AP2172" s="474"/>
      <c r="AQ2172" s="474" t="s">
        <v>37</v>
      </c>
      <c r="AR2172" s="474"/>
      <c r="AS2172" s="387"/>
      <c r="AT2172" s="387"/>
      <c r="AU2172" s="471"/>
    </row>
    <row r="2173" spans="1:55">
      <c r="A2173" s="410"/>
      <c r="B2173" s="407"/>
      <c r="C2173" s="407"/>
      <c r="D2173" s="474" t="s">
        <v>1066</v>
      </c>
      <c r="E2173" s="388"/>
      <c r="F2173" s="474" t="s">
        <v>87</v>
      </c>
      <c r="G2173" s="474">
        <v>2022</v>
      </c>
      <c r="H2173" s="474">
        <v>3</v>
      </c>
      <c r="I2173" s="485">
        <v>127827</v>
      </c>
      <c r="J2173" s="475">
        <v>44651</v>
      </c>
      <c r="K2173" s="474" t="s">
        <v>1164</v>
      </c>
      <c r="L2173" s="475" t="s">
        <v>1165</v>
      </c>
      <c r="M2173" s="475">
        <v>44434</v>
      </c>
      <c r="N2173" s="475">
        <v>44620</v>
      </c>
      <c r="O2173" s="475"/>
      <c r="P2173" s="475">
        <v>44634</v>
      </c>
      <c r="Q2173" s="475">
        <v>44641</v>
      </c>
      <c r="R2173" s="475">
        <v>44651</v>
      </c>
      <c r="S2173" s="474" t="s">
        <v>1102</v>
      </c>
      <c r="T2173" s="474">
        <v>72</v>
      </c>
      <c r="U2173" s="474">
        <v>49303156</v>
      </c>
      <c r="V2173" s="474" t="s">
        <v>1070</v>
      </c>
      <c r="W2173" s="476">
        <v>480</v>
      </c>
      <c r="X2173" s="402">
        <f>24766-29</f>
        <v>24737</v>
      </c>
      <c r="Y2173" s="491">
        <f t="shared" si="372"/>
        <v>11873760</v>
      </c>
      <c r="Z2173" s="478">
        <v>0.42</v>
      </c>
      <c r="AA2173" s="479">
        <f t="shared" ref="AA2173:AA2180" si="378">Z2173*Y2173</f>
        <v>4986979.2</v>
      </c>
      <c r="AB2173" s="386"/>
      <c r="AC2173" s="481">
        <f t="shared" ref="AC2173:AC2180" si="379">AB2173*Y2173</f>
        <v>0</v>
      </c>
      <c r="AD2173" s="474"/>
      <c r="AE2173" s="482"/>
      <c r="AF2173" s="493">
        <f t="shared" si="366"/>
        <v>4986979.2</v>
      </c>
      <c r="AG2173" s="474" t="s">
        <v>47</v>
      </c>
      <c r="AH2173" s="447">
        <v>10</v>
      </c>
      <c r="AI2173" s="474">
        <v>30</v>
      </c>
      <c r="AJ2173" s="474" t="s">
        <v>1166</v>
      </c>
      <c r="AK2173" s="474" t="s">
        <v>1073</v>
      </c>
      <c r="AL2173" s="494" t="s">
        <v>1167</v>
      </c>
      <c r="AM2173" s="474" t="s">
        <v>52</v>
      </c>
      <c r="AN2173" s="474" t="s">
        <v>1106</v>
      </c>
      <c r="AO2173" s="474"/>
      <c r="AP2173" s="474"/>
      <c r="AQ2173" s="474" t="s">
        <v>1086</v>
      </c>
      <c r="AR2173" s="474"/>
      <c r="AS2173" s="387" t="s">
        <v>1087</v>
      </c>
      <c r="AT2173" s="387" t="s">
        <v>1076</v>
      </c>
      <c r="AU2173" s="471"/>
    </row>
    <row r="2174" spans="1:55">
      <c r="A2174" s="410"/>
      <c r="B2174" s="407"/>
      <c r="C2174" s="407"/>
      <c r="D2174" s="474" t="s">
        <v>1066</v>
      </c>
      <c r="E2174" s="388"/>
      <c r="F2174" s="474" t="s">
        <v>87</v>
      </c>
      <c r="G2174" s="474">
        <v>2022</v>
      </c>
      <c r="H2174" s="474">
        <v>3</v>
      </c>
      <c r="I2174" s="485">
        <v>127827</v>
      </c>
      <c r="J2174" s="475">
        <v>44651</v>
      </c>
      <c r="K2174" s="474" t="s">
        <v>1164</v>
      </c>
      <c r="L2174" s="475" t="s">
        <v>1165</v>
      </c>
      <c r="M2174" s="475">
        <v>44434</v>
      </c>
      <c r="N2174" s="475">
        <v>44620</v>
      </c>
      <c r="O2174" s="475"/>
      <c r="P2174" s="475">
        <v>44634</v>
      </c>
      <c r="Q2174" s="475">
        <v>44641</v>
      </c>
      <c r="R2174" s="475">
        <v>44651</v>
      </c>
      <c r="S2174" s="474" t="s">
        <v>1102</v>
      </c>
      <c r="T2174" s="474">
        <v>72</v>
      </c>
      <c r="U2174" s="474">
        <v>49303156</v>
      </c>
      <c r="V2174" s="474" t="s">
        <v>1070</v>
      </c>
      <c r="W2174" s="476">
        <v>480</v>
      </c>
      <c r="X2174" s="402">
        <f>1740</f>
        <v>1740</v>
      </c>
      <c r="Y2174" s="491">
        <f t="shared" si="372"/>
        <v>835200</v>
      </c>
      <c r="Z2174" s="478">
        <v>0.42</v>
      </c>
      <c r="AA2174" s="479">
        <f t="shared" si="378"/>
        <v>350784</v>
      </c>
      <c r="AB2174" s="386"/>
      <c r="AC2174" s="481">
        <f t="shared" si="379"/>
        <v>0</v>
      </c>
      <c r="AD2174" s="474"/>
      <c r="AE2174" s="482"/>
      <c r="AF2174" s="493">
        <f t="shared" si="366"/>
        <v>350784</v>
      </c>
      <c r="AG2174" s="474" t="s">
        <v>47</v>
      </c>
      <c r="AH2174" s="447">
        <v>10</v>
      </c>
      <c r="AI2174" s="474">
        <v>30</v>
      </c>
      <c r="AJ2174" s="474" t="s">
        <v>1166</v>
      </c>
      <c r="AK2174" s="474" t="s">
        <v>1073</v>
      </c>
      <c r="AL2174" s="494" t="s">
        <v>1167</v>
      </c>
      <c r="AM2174" s="474" t="s">
        <v>52</v>
      </c>
      <c r="AN2174" s="474" t="s">
        <v>1106</v>
      </c>
      <c r="AO2174" s="474"/>
      <c r="AP2174" s="474"/>
      <c r="AQ2174" s="474" t="s">
        <v>1086</v>
      </c>
      <c r="AR2174" s="474"/>
      <c r="AS2174" s="387" t="s">
        <v>1087</v>
      </c>
      <c r="AT2174" s="387" t="s">
        <v>1076</v>
      </c>
      <c r="AU2174" s="471"/>
    </row>
    <row r="2175" spans="1:55">
      <c r="A2175" s="410"/>
      <c r="B2175" s="407"/>
      <c r="C2175" s="407"/>
      <c r="D2175" s="474" t="s">
        <v>1066</v>
      </c>
      <c r="E2175" s="388" t="s">
        <v>1168</v>
      </c>
      <c r="F2175" s="474" t="s">
        <v>87</v>
      </c>
      <c r="G2175" s="474">
        <v>2022</v>
      </c>
      <c r="H2175" s="524">
        <v>3</v>
      </c>
      <c r="I2175" s="415">
        <v>127862</v>
      </c>
      <c r="J2175" s="538">
        <v>44651</v>
      </c>
      <c r="K2175" s="524" t="s">
        <v>1164</v>
      </c>
      <c r="L2175" s="538" t="s">
        <v>1165</v>
      </c>
      <c r="M2175" s="475">
        <v>44434</v>
      </c>
      <c r="N2175" s="475">
        <v>44620</v>
      </c>
      <c r="O2175" s="475"/>
      <c r="P2175" s="475">
        <v>44634</v>
      </c>
      <c r="Q2175" s="475">
        <v>44641</v>
      </c>
      <c r="R2175" s="475">
        <v>44651</v>
      </c>
      <c r="S2175" s="474" t="s">
        <v>1102</v>
      </c>
      <c r="T2175" s="474">
        <v>72</v>
      </c>
      <c r="U2175" s="474">
        <v>49303156</v>
      </c>
      <c r="V2175" s="474" t="s">
        <v>1070</v>
      </c>
      <c r="W2175" s="476">
        <v>480</v>
      </c>
      <c r="X2175" s="402">
        <v>29</v>
      </c>
      <c r="Y2175" s="491">
        <f t="shared" si="372"/>
        <v>13920</v>
      </c>
      <c r="Z2175" s="478">
        <v>0.42</v>
      </c>
      <c r="AA2175" s="479">
        <f t="shared" si="378"/>
        <v>5846.4</v>
      </c>
      <c r="AB2175" s="386"/>
      <c r="AC2175" s="481">
        <f t="shared" si="379"/>
        <v>0</v>
      </c>
      <c r="AD2175" s="474"/>
      <c r="AE2175" s="482"/>
      <c r="AF2175" s="493">
        <f t="shared" si="366"/>
        <v>5846.4</v>
      </c>
      <c r="AG2175" s="474" t="s">
        <v>47</v>
      </c>
      <c r="AH2175" s="447">
        <v>10</v>
      </c>
      <c r="AI2175" s="474">
        <v>30</v>
      </c>
      <c r="AJ2175" s="474" t="s">
        <v>1166</v>
      </c>
      <c r="AK2175" s="474" t="s">
        <v>1073</v>
      </c>
      <c r="AL2175" s="494" t="s">
        <v>1167</v>
      </c>
      <c r="AM2175" s="474" t="s">
        <v>52</v>
      </c>
      <c r="AN2175" s="474" t="s">
        <v>1106</v>
      </c>
      <c r="AO2175" s="474"/>
      <c r="AP2175" s="474"/>
      <c r="AQ2175" s="474" t="s">
        <v>1086</v>
      </c>
      <c r="AR2175" s="474"/>
      <c r="AS2175" s="387" t="s">
        <v>1087</v>
      </c>
      <c r="AT2175" s="387" t="s">
        <v>1076</v>
      </c>
      <c r="AU2175" s="471"/>
    </row>
    <row r="2176" spans="1:55">
      <c r="A2176" s="410"/>
      <c r="B2176" s="407"/>
      <c r="C2176" s="407"/>
      <c r="D2176" s="474" t="s">
        <v>1066</v>
      </c>
      <c r="E2176" s="388" t="s">
        <v>1169</v>
      </c>
      <c r="F2176" s="474" t="s">
        <v>87</v>
      </c>
      <c r="G2176" s="474">
        <v>2022</v>
      </c>
      <c r="H2176" s="524">
        <v>3</v>
      </c>
      <c r="I2176" s="415">
        <v>127862</v>
      </c>
      <c r="J2176" s="538">
        <v>44651</v>
      </c>
      <c r="K2176" s="524" t="s">
        <v>1164</v>
      </c>
      <c r="L2176" s="538" t="s">
        <v>1165</v>
      </c>
      <c r="M2176" s="475">
        <v>44434</v>
      </c>
      <c r="N2176" s="475">
        <v>44620</v>
      </c>
      <c r="O2176" s="475"/>
      <c r="P2176" s="475">
        <v>44634</v>
      </c>
      <c r="Q2176" s="475">
        <v>44641</v>
      </c>
      <c r="R2176" s="475">
        <v>44651</v>
      </c>
      <c r="S2176" s="474" t="s">
        <v>1102</v>
      </c>
      <c r="T2176" s="474">
        <v>72</v>
      </c>
      <c r="U2176" s="474">
        <v>49303156</v>
      </c>
      <c r="V2176" s="474" t="s">
        <v>1070</v>
      </c>
      <c r="W2176" s="476">
        <v>480</v>
      </c>
      <c r="X2176" s="402">
        <f>319+435</f>
        <v>754</v>
      </c>
      <c r="Y2176" s="491">
        <f t="shared" si="372"/>
        <v>361920</v>
      </c>
      <c r="Z2176" s="478">
        <v>0.42</v>
      </c>
      <c r="AA2176" s="479">
        <f t="shared" si="378"/>
        <v>152006.39999999999</v>
      </c>
      <c r="AB2176" s="386"/>
      <c r="AC2176" s="481">
        <f t="shared" si="379"/>
        <v>0</v>
      </c>
      <c r="AD2176" s="474"/>
      <c r="AE2176" s="482"/>
      <c r="AF2176" s="493">
        <f t="shared" si="366"/>
        <v>152006.39999999999</v>
      </c>
      <c r="AG2176" s="474" t="s">
        <v>47</v>
      </c>
      <c r="AH2176" s="447">
        <v>10</v>
      </c>
      <c r="AI2176" s="474">
        <v>30</v>
      </c>
      <c r="AJ2176" s="474" t="s">
        <v>1166</v>
      </c>
      <c r="AK2176" s="474" t="s">
        <v>1073</v>
      </c>
      <c r="AL2176" s="494" t="s">
        <v>1167</v>
      </c>
      <c r="AM2176" s="474" t="s">
        <v>52</v>
      </c>
      <c r="AN2176" s="474" t="s">
        <v>1106</v>
      </c>
      <c r="AO2176" s="474"/>
      <c r="AP2176" s="474"/>
      <c r="AQ2176" s="474" t="s">
        <v>1086</v>
      </c>
      <c r="AR2176" s="474"/>
      <c r="AS2176" s="387" t="s">
        <v>1087</v>
      </c>
      <c r="AT2176" s="387" t="s">
        <v>1076</v>
      </c>
      <c r="AU2176" s="471"/>
    </row>
    <row r="2177" spans="1:55">
      <c r="A2177" s="410"/>
      <c r="B2177" s="407">
        <v>44631</v>
      </c>
      <c r="C2177" s="407">
        <v>44631</v>
      </c>
      <c r="D2177" s="474" t="s">
        <v>1066</v>
      </c>
      <c r="E2177" s="388"/>
      <c r="F2177" s="474"/>
      <c r="G2177" s="474">
        <v>2022</v>
      </c>
      <c r="H2177" s="474">
        <v>4</v>
      </c>
      <c r="I2177" s="485" t="s">
        <v>3023</v>
      </c>
      <c r="J2177" s="475">
        <v>44679</v>
      </c>
      <c r="K2177" s="474" t="s">
        <v>1222</v>
      </c>
      <c r="L2177" s="475" t="s">
        <v>1219</v>
      </c>
      <c r="M2177" s="475">
        <v>44516</v>
      </c>
      <c r="N2177" s="475">
        <v>44585</v>
      </c>
      <c r="O2177" s="475"/>
      <c r="P2177" s="475">
        <v>44672</v>
      </c>
      <c r="Q2177" s="475">
        <v>44679</v>
      </c>
      <c r="R2177" s="475">
        <v>44679</v>
      </c>
      <c r="S2177" s="474" t="s">
        <v>1114</v>
      </c>
      <c r="T2177" s="474">
        <v>60</v>
      </c>
      <c r="U2177" s="474">
        <v>49202132</v>
      </c>
      <c r="V2177" s="474" t="s">
        <v>1223</v>
      </c>
      <c r="W2177" s="476">
        <v>360</v>
      </c>
      <c r="X2177" s="402">
        <v>676</v>
      </c>
      <c r="Y2177" s="491">
        <f t="shared" si="372"/>
        <v>243360</v>
      </c>
      <c r="Z2177" s="478">
        <v>0.83</v>
      </c>
      <c r="AA2177" s="479">
        <f t="shared" si="378"/>
        <v>201988.8</v>
      </c>
      <c r="AB2177" s="386"/>
      <c r="AC2177" s="481">
        <f t="shared" si="379"/>
        <v>0</v>
      </c>
      <c r="AD2177" s="474"/>
      <c r="AE2177" s="482"/>
      <c r="AF2177" s="493">
        <f t="shared" si="366"/>
        <v>201988.8</v>
      </c>
      <c r="AG2177" s="474" t="s">
        <v>1071</v>
      </c>
      <c r="AH2177" s="447">
        <v>0</v>
      </c>
      <c r="AI2177" s="474">
        <v>60</v>
      </c>
      <c r="AJ2177" s="474" t="s">
        <v>1220</v>
      </c>
      <c r="AK2177" s="474" t="s">
        <v>1221</v>
      </c>
      <c r="AL2177" s="494">
        <v>43125</v>
      </c>
      <c r="AM2177" s="474" t="s">
        <v>52</v>
      </c>
      <c r="AN2177" s="474" t="s">
        <v>1074</v>
      </c>
      <c r="AO2177" s="474"/>
      <c r="AP2177" s="474"/>
      <c r="AQ2177" s="474" t="s">
        <v>1086</v>
      </c>
      <c r="AR2177" s="474"/>
      <c r="AS2177" s="387" t="s">
        <v>1087</v>
      </c>
      <c r="AT2177" s="387" t="s">
        <v>1076</v>
      </c>
      <c r="AU2177" s="471"/>
    </row>
    <row r="2178" spans="1:55">
      <c r="A2178" s="410"/>
      <c r="B2178" s="407"/>
      <c r="C2178" s="407"/>
      <c r="D2178" s="474" t="s">
        <v>1066</v>
      </c>
      <c r="E2178" s="388" t="s">
        <v>1171</v>
      </c>
      <c r="F2178" s="474" t="s">
        <v>87</v>
      </c>
      <c r="G2178" s="474">
        <v>2023</v>
      </c>
      <c r="H2178" s="474">
        <v>8</v>
      </c>
      <c r="I2178" s="485" t="s">
        <v>1091</v>
      </c>
      <c r="J2178" s="475"/>
      <c r="K2178" s="474" t="s">
        <v>1172</v>
      </c>
      <c r="L2178" s="475" t="s">
        <v>1165</v>
      </c>
      <c r="M2178" s="475">
        <v>44462</v>
      </c>
      <c r="N2178" s="475">
        <v>44743</v>
      </c>
      <c r="O2178" s="475"/>
      <c r="P2178" s="475"/>
      <c r="Q2178" s="475"/>
      <c r="R2178" s="475"/>
      <c r="S2178" s="474" t="s">
        <v>1102</v>
      </c>
      <c r="T2178" s="474">
        <v>72</v>
      </c>
      <c r="U2178" s="474">
        <v>30390373</v>
      </c>
      <c r="V2178" s="474" t="s">
        <v>1070</v>
      </c>
      <c r="W2178" s="476">
        <v>485</v>
      </c>
      <c r="X2178" s="402">
        <v>51533</v>
      </c>
      <c r="Y2178" s="491">
        <f t="shared" si="372"/>
        <v>24993505</v>
      </c>
      <c r="Z2178" s="478">
        <v>0.42</v>
      </c>
      <c r="AA2178" s="479">
        <f t="shared" si="378"/>
        <v>10497272.1</v>
      </c>
      <c r="AB2178" s="386"/>
      <c r="AC2178" s="481">
        <f t="shared" si="379"/>
        <v>0</v>
      </c>
      <c r="AD2178" s="474"/>
      <c r="AE2178" s="482"/>
      <c r="AF2178" s="493">
        <f t="shared" si="366"/>
        <v>10497272.1</v>
      </c>
      <c r="AG2178" s="474" t="s">
        <v>47</v>
      </c>
      <c r="AH2178" s="447">
        <v>10</v>
      </c>
      <c r="AI2178" s="474">
        <v>30</v>
      </c>
      <c r="AJ2178" s="474" t="s">
        <v>1109</v>
      </c>
      <c r="AK2178" s="474" t="s">
        <v>1109</v>
      </c>
      <c r="AL2178" s="494" t="s">
        <v>1109</v>
      </c>
      <c r="AM2178" s="474" t="s">
        <v>52</v>
      </c>
      <c r="AN2178" s="474" t="s">
        <v>1109</v>
      </c>
      <c r="AO2178" s="474"/>
      <c r="AP2178" s="474" t="s">
        <v>38</v>
      </c>
      <c r="AQ2178" s="474" t="s">
        <v>1086</v>
      </c>
      <c r="AR2178" s="474"/>
      <c r="AS2178" s="387" t="s">
        <v>1087</v>
      </c>
      <c r="AT2178" s="387" t="s">
        <v>1076</v>
      </c>
      <c r="AU2178" s="471"/>
    </row>
    <row r="2179" spans="1:55">
      <c r="A2179" s="410"/>
      <c r="B2179" s="407"/>
      <c r="C2179" s="407"/>
      <c r="D2179" s="474" t="s">
        <v>1066</v>
      </c>
      <c r="E2179" s="388" t="s">
        <v>1171</v>
      </c>
      <c r="F2179" s="474" t="s">
        <v>87</v>
      </c>
      <c r="G2179" s="474">
        <v>2023</v>
      </c>
      <c r="H2179" s="474">
        <v>9</v>
      </c>
      <c r="I2179" s="485" t="s">
        <v>1091</v>
      </c>
      <c r="J2179" s="475"/>
      <c r="K2179" s="474" t="s">
        <v>1172</v>
      </c>
      <c r="L2179" s="475" t="s">
        <v>1165</v>
      </c>
      <c r="M2179" s="475">
        <v>44462</v>
      </c>
      <c r="N2179" s="475">
        <v>44927</v>
      </c>
      <c r="O2179" s="475"/>
      <c r="P2179" s="475"/>
      <c r="Q2179" s="475"/>
      <c r="R2179" s="475"/>
      <c r="S2179" s="474" t="s">
        <v>1102</v>
      </c>
      <c r="T2179" s="474">
        <v>72</v>
      </c>
      <c r="U2179" s="474">
        <v>30390373</v>
      </c>
      <c r="V2179" s="474" t="s">
        <v>1070</v>
      </c>
      <c r="W2179" s="476">
        <v>485</v>
      </c>
      <c r="X2179" s="402">
        <v>51533</v>
      </c>
      <c r="Y2179" s="491">
        <f t="shared" si="372"/>
        <v>24993505</v>
      </c>
      <c r="Z2179" s="478">
        <v>0.42</v>
      </c>
      <c r="AA2179" s="479">
        <f t="shared" si="378"/>
        <v>10497272.1</v>
      </c>
      <c r="AB2179" s="386"/>
      <c r="AC2179" s="481">
        <f t="shared" si="379"/>
        <v>0</v>
      </c>
      <c r="AD2179" s="474"/>
      <c r="AE2179" s="482"/>
      <c r="AF2179" s="493">
        <f t="shared" si="366"/>
        <v>10497272.1</v>
      </c>
      <c r="AG2179" s="474" t="s">
        <v>47</v>
      </c>
      <c r="AH2179" s="447">
        <v>10</v>
      </c>
      <c r="AI2179" s="474">
        <v>30</v>
      </c>
      <c r="AJ2179" s="474" t="s">
        <v>1109</v>
      </c>
      <c r="AK2179" s="474" t="s">
        <v>1109</v>
      </c>
      <c r="AL2179" s="494" t="s">
        <v>1109</v>
      </c>
      <c r="AM2179" s="474" t="s">
        <v>52</v>
      </c>
      <c r="AN2179" s="474" t="s">
        <v>1109</v>
      </c>
      <c r="AO2179" s="474"/>
      <c r="AP2179" s="474" t="s">
        <v>38</v>
      </c>
      <c r="AQ2179" s="474" t="s">
        <v>1086</v>
      </c>
      <c r="AR2179" s="474"/>
      <c r="AS2179" s="387" t="s">
        <v>1087</v>
      </c>
      <c r="AT2179" s="387" t="s">
        <v>1076</v>
      </c>
      <c r="AU2179" s="471"/>
    </row>
    <row r="2180" spans="1:55">
      <c r="A2180" s="410"/>
      <c r="B2180" s="407"/>
      <c r="C2180" s="407"/>
      <c r="D2180" s="474" t="s">
        <v>1066</v>
      </c>
      <c r="E2180" s="388" t="s">
        <v>1171</v>
      </c>
      <c r="F2180" s="474" t="s">
        <v>87</v>
      </c>
      <c r="G2180" s="474">
        <v>2023</v>
      </c>
      <c r="H2180" s="474">
        <v>11</v>
      </c>
      <c r="I2180" s="485" t="s">
        <v>1091</v>
      </c>
      <c r="J2180" s="475"/>
      <c r="K2180" s="474" t="s">
        <v>1172</v>
      </c>
      <c r="L2180" s="475" t="s">
        <v>1165</v>
      </c>
      <c r="M2180" s="475">
        <v>44462</v>
      </c>
      <c r="N2180" s="475">
        <v>44835</v>
      </c>
      <c r="O2180" s="475"/>
      <c r="P2180" s="475"/>
      <c r="Q2180" s="475"/>
      <c r="R2180" s="475"/>
      <c r="S2180" s="474" t="s">
        <v>1102</v>
      </c>
      <c r="T2180" s="474">
        <v>72</v>
      </c>
      <c r="U2180" s="474">
        <v>30390373</v>
      </c>
      <c r="V2180" s="474" t="s">
        <v>1070</v>
      </c>
      <c r="W2180" s="476">
        <v>485</v>
      </c>
      <c r="X2180" s="402">
        <v>103124</v>
      </c>
      <c r="Y2180" s="491">
        <f t="shared" si="372"/>
        <v>50015140</v>
      </c>
      <c r="Z2180" s="478">
        <v>0.42</v>
      </c>
      <c r="AA2180" s="479">
        <f t="shared" si="378"/>
        <v>21006358.800000001</v>
      </c>
      <c r="AB2180" s="386"/>
      <c r="AC2180" s="481">
        <f t="shared" si="379"/>
        <v>0</v>
      </c>
      <c r="AD2180" s="474"/>
      <c r="AE2180" s="482"/>
      <c r="AF2180" s="493">
        <f t="shared" si="366"/>
        <v>21006358.800000001</v>
      </c>
      <c r="AG2180" s="474" t="s">
        <v>47</v>
      </c>
      <c r="AH2180" s="447">
        <v>10</v>
      </c>
      <c r="AI2180" s="474">
        <v>30</v>
      </c>
      <c r="AJ2180" s="474" t="s">
        <v>1109</v>
      </c>
      <c r="AK2180" s="474" t="s">
        <v>1109</v>
      </c>
      <c r="AL2180" s="494" t="s">
        <v>1109</v>
      </c>
      <c r="AM2180" s="474" t="s">
        <v>52</v>
      </c>
      <c r="AN2180" s="474" t="s">
        <v>1109</v>
      </c>
      <c r="AO2180" s="474"/>
      <c r="AP2180" s="474" t="s">
        <v>38</v>
      </c>
      <c r="AQ2180" s="474" t="s">
        <v>1086</v>
      </c>
      <c r="AR2180" s="474"/>
      <c r="AS2180" s="387" t="s">
        <v>1087</v>
      </c>
      <c r="AT2180" s="387" t="s">
        <v>1076</v>
      </c>
      <c r="AU2180" s="471"/>
    </row>
    <row r="2181" spans="1:55">
      <c r="A2181" s="410"/>
      <c r="B2181" s="407"/>
      <c r="C2181" s="407"/>
      <c r="D2181" s="474" t="s">
        <v>1066</v>
      </c>
      <c r="E2181" s="394" t="s">
        <v>5404</v>
      </c>
      <c r="F2181" s="474" t="s">
        <v>87</v>
      </c>
      <c r="G2181" s="474">
        <v>2022</v>
      </c>
      <c r="H2181" s="474">
        <v>5</v>
      </c>
      <c r="I2181" s="485"/>
      <c r="J2181" s="475"/>
      <c r="K2181" s="519" t="s">
        <v>1308</v>
      </c>
      <c r="L2181" s="519" t="s">
        <v>1309</v>
      </c>
      <c r="M2181" s="475">
        <v>44579</v>
      </c>
      <c r="N2181" s="475">
        <v>44621</v>
      </c>
      <c r="O2181" s="475"/>
      <c r="P2181" s="475"/>
      <c r="Q2181" s="475"/>
      <c r="R2181" s="475"/>
      <c r="S2181" s="474" t="s">
        <v>1102</v>
      </c>
      <c r="T2181" s="474">
        <v>72</v>
      </c>
      <c r="U2181" s="474"/>
      <c r="V2181" s="474" t="s">
        <v>1070</v>
      </c>
      <c r="W2181" s="474">
        <v>480</v>
      </c>
      <c r="X2181" s="406">
        <v>1769</v>
      </c>
      <c r="Y2181" s="477">
        <f t="shared" si="372"/>
        <v>849120</v>
      </c>
      <c r="Z2181" s="478">
        <v>0.47</v>
      </c>
      <c r="AA2181" s="479">
        <f t="shared" ref="AA2181:AA2202" si="380">Y2181*Z2181</f>
        <v>399086.39999999997</v>
      </c>
      <c r="AB2181" s="386"/>
      <c r="AC2181" s="481">
        <v>0</v>
      </c>
      <c r="AD2181" s="474"/>
      <c r="AE2181" s="482"/>
      <c r="AF2181" s="493">
        <f t="shared" ref="AF2181:AF2244" si="381">AE2181+AD2181+AA2181</f>
        <v>399086.39999999997</v>
      </c>
      <c r="AG2181" s="474" t="s">
        <v>1071</v>
      </c>
      <c r="AH2181" s="447"/>
      <c r="AI2181" s="474">
        <v>60</v>
      </c>
      <c r="AJ2181" s="474" t="s">
        <v>1194</v>
      </c>
      <c r="AK2181" s="474" t="s">
        <v>1073</v>
      </c>
      <c r="AL2181" s="494">
        <v>21046</v>
      </c>
      <c r="AM2181" s="474" t="s">
        <v>52</v>
      </c>
      <c r="AN2181" s="474" t="s">
        <v>1085</v>
      </c>
      <c r="AO2181" s="474"/>
      <c r="AP2181" s="474" t="s">
        <v>38</v>
      </c>
      <c r="AQ2181" s="474"/>
      <c r="AR2181" s="474"/>
      <c r="AS2181" s="387"/>
      <c r="AT2181" s="387" t="s">
        <v>1076</v>
      </c>
      <c r="AU2181" s="471"/>
    </row>
    <row r="2182" spans="1:55">
      <c r="A2182" s="410"/>
      <c r="B2182" s="407"/>
      <c r="C2182" s="407"/>
      <c r="D2182" s="474" t="s">
        <v>1066</v>
      </c>
      <c r="E2182" s="394" t="s">
        <v>5404</v>
      </c>
      <c r="F2182" s="474" t="s">
        <v>87</v>
      </c>
      <c r="G2182" s="474">
        <v>2022</v>
      </c>
      <c r="H2182" s="474">
        <v>5</v>
      </c>
      <c r="I2182" s="485"/>
      <c r="J2182" s="475"/>
      <c r="K2182" s="519" t="s">
        <v>1310</v>
      </c>
      <c r="L2182" s="519" t="s">
        <v>1309</v>
      </c>
      <c r="M2182" s="475">
        <v>44504</v>
      </c>
      <c r="N2182" s="475">
        <v>44621</v>
      </c>
      <c r="O2182" s="475"/>
      <c r="P2182" s="475"/>
      <c r="Q2182" s="475"/>
      <c r="R2182" s="475"/>
      <c r="S2182" s="474" t="s">
        <v>1102</v>
      </c>
      <c r="T2182" s="474">
        <v>72</v>
      </c>
      <c r="U2182" s="474"/>
      <c r="V2182" s="474" t="s">
        <v>1070</v>
      </c>
      <c r="W2182" s="474">
        <v>480</v>
      </c>
      <c r="X2182" s="406">
        <v>1276</v>
      </c>
      <c r="Y2182" s="477">
        <f t="shared" si="372"/>
        <v>612480</v>
      </c>
      <c r="Z2182" s="478">
        <v>0.47</v>
      </c>
      <c r="AA2182" s="479">
        <f t="shared" si="380"/>
        <v>287865.59999999998</v>
      </c>
      <c r="AB2182" s="386"/>
      <c r="AC2182" s="481">
        <v>0</v>
      </c>
      <c r="AD2182" s="474"/>
      <c r="AE2182" s="482"/>
      <c r="AF2182" s="493">
        <f t="shared" si="381"/>
        <v>287865.59999999998</v>
      </c>
      <c r="AG2182" s="474" t="s">
        <v>1071</v>
      </c>
      <c r="AH2182" s="447"/>
      <c r="AI2182" s="474">
        <v>60</v>
      </c>
      <c r="AJ2182" s="474" t="s">
        <v>1194</v>
      </c>
      <c r="AK2182" s="474" t="s">
        <v>1073</v>
      </c>
      <c r="AL2182" s="494">
        <v>21046</v>
      </c>
      <c r="AM2182" s="474" t="s">
        <v>52</v>
      </c>
      <c r="AN2182" s="474" t="s">
        <v>1085</v>
      </c>
      <c r="AO2182" s="474"/>
      <c r="AP2182" s="474" t="s">
        <v>38</v>
      </c>
      <c r="AQ2182" s="474"/>
      <c r="AR2182" s="474"/>
      <c r="AS2182" s="387"/>
      <c r="AT2182" s="387" t="s">
        <v>1076</v>
      </c>
      <c r="AU2182" s="471"/>
    </row>
    <row r="2183" spans="1:55">
      <c r="A2183" s="410"/>
      <c r="B2183" s="407"/>
      <c r="C2183" s="407"/>
      <c r="D2183" s="474" t="s">
        <v>1066</v>
      </c>
      <c r="E2183" s="388"/>
      <c r="F2183" s="474"/>
      <c r="G2183" s="474">
        <v>2022</v>
      </c>
      <c r="H2183" s="474">
        <v>7</v>
      </c>
      <c r="I2183" s="485"/>
      <c r="J2183" s="475"/>
      <c r="K2183" s="474" t="s">
        <v>1178</v>
      </c>
      <c r="L2183" s="475" t="s">
        <v>1174</v>
      </c>
      <c r="M2183" s="475">
        <v>44610</v>
      </c>
      <c r="N2183" s="475">
        <v>44747</v>
      </c>
      <c r="O2183" s="475"/>
      <c r="P2183" s="475"/>
      <c r="Q2183" s="475"/>
      <c r="R2183" s="475"/>
      <c r="S2183" s="474" t="s">
        <v>1069</v>
      </c>
      <c r="T2183" s="474">
        <v>72</v>
      </c>
      <c r="U2183" s="474" t="s">
        <v>1179</v>
      </c>
      <c r="V2183" s="474" t="s">
        <v>1002</v>
      </c>
      <c r="W2183" s="476">
        <v>485</v>
      </c>
      <c r="X2183" s="402">
        <v>1276</v>
      </c>
      <c r="Y2183" s="491">
        <f t="shared" si="372"/>
        <v>618860</v>
      </c>
      <c r="Z2183" s="478">
        <f>240.07/485</f>
        <v>0.49498969072164944</v>
      </c>
      <c r="AA2183" s="479">
        <f t="shared" si="380"/>
        <v>306329.31999999995</v>
      </c>
      <c r="AB2183" s="386"/>
      <c r="AC2183" s="481">
        <v>0</v>
      </c>
      <c r="AD2183" s="474"/>
      <c r="AE2183" s="482"/>
      <c r="AF2183" s="493">
        <f t="shared" si="381"/>
        <v>306329.31999999995</v>
      </c>
      <c r="AG2183" s="474" t="s">
        <v>1071</v>
      </c>
      <c r="AH2183" s="447"/>
      <c r="AI2183" s="474">
        <v>60</v>
      </c>
      <c r="AJ2183" s="474" t="s">
        <v>1175</v>
      </c>
      <c r="AK2183" s="474" t="s">
        <v>1138</v>
      </c>
      <c r="AL2183" s="494" t="s">
        <v>1176</v>
      </c>
      <c r="AM2183" s="474" t="s">
        <v>52</v>
      </c>
      <c r="AN2183" s="474" t="s">
        <v>1109</v>
      </c>
      <c r="AO2183" s="474"/>
      <c r="AP2183" s="474" t="s">
        <v>1109</v>
      </c>
      <c r="AQ2183" s="474" t="s">
        <v>37</v>
      </c>
      <c r="AR2183" s="474"/>
      <c r="AS2183" s="387"/>
      <c r="AT2183" s="387"/>
      <c r="AU2183" s="471"/>
      <c r="AV2183" s="262" t="str">
        <f t="shared" ref="AV2183:AV2228" si="382">U2183</f>
        <v>30390373C</v>
      </c>
      <c r="AW2183" s="262" cm="1">
        <f t="array" ref="AW2183">SUM(MID(0&amp;AV2183,LARGE(INDEX(ISNUMBER(--MID(AV2183,ROW($1:$8),1))*ROW($1:$8),),ROW($1:$8))+1,1)*10^ROW($1:$8)/10)</f>
        <v>30390373</v>
      </c>
      <c r="AX2183" s="262" t="e">
        <f>VLOOKUP($AW2183,'Item Master Data'!$A:$F,3,FALSE)</f>
        <v>#N/A</v>
      </c>
      <c r="AY2183" s="262" t="e">
        <f>VLOOKUP($AW2183,'Item Master Data'!$A:$F,6,FALSE)</f>
        <v>#N/A</v>
      </c>
      <c r="AZ2183" s="262" t="e">
        <f t="shared" ref="AZ2183:AZ2228" si="383">X2183/BA2183</f>
        <v>#N/A</v>
      </c>
      <c r="BA2183" s="262" t="e">
        <f>VLOOKUP(AW2183,'Item Master Data'!$A:$G,7,FALSE)</f>
        <v>#N/A</v>
      </c>
      <c r="BC2183" s="262" t="e">
        <f t="shared" ref="BC2183:BC2228" si="384">W2183-AY2183</f>
        <v>#N/A</v>
      </c>
    </row>
    <row r="2184" spans="1:55">
      <c r="A2184" s="410"/>
      <c r="B2184" s="407"/>
      <c r="C2184" s="407"/>
      <c r="D2184" s="474" t="s">
        <v>1066</v>
      </c>
      <c r="E2184" s="394" t="s">
        <v>5404</v>
      </c>
      <c r="F2184" s="474" t="s">
        <v>87</v>
      </c>
      <c r="G2184" s="474">
        <v>2022</v>
      </c>
      <c r="H2184" s="474">
        <v>5</v>
      </c>
      <c r="I2184" s="485"/>
      <c r="J2184" s="475"/>
      <c r="K2184" s="519" t="s">
        <v>1311</v>
      </c>
      <c r="L2184" s="519" t="s">
        <v>1309</v>
      </c>
      <c r="M2184" s="475">
        <v>44579</v>
      </c>
      <c r="N2184" s="475">
        <v>44621</v>
      </c>
      <c r="O2184" s="475"/>
      <c r="P2184" s="475"/>
      <c r="Q2184" s="475"/>
      <c r="R2184" s="475"/>
      <c r="S2184" s="474" t="s">
        <v>1102</v>
      </c>
      <c r="T2184" s="474">
        <v>72</v>
      </c>
      <c r="U2184" s="474"/>
      <c r="V2184" s="474" t="s">
        <v>1070</v>
      </c>
      <c r="W2184" s="474">
        <v>480</v>
      </c>
      <c r="X2184" s="406">
        <f>2552-1769</f>
        <v>783</v>
      </c>
      <c r="Y2184" s="477">
        <f t="shared" si="372"/>
        <v>375840</v>
      </c>
      <c r="Z2184" s="478">
        <v>0.47</v>
      </c>
      <c r="AA2184" s="479">
        <f t="shared" si="380"/>
        <v>176644.8</v>
      </c>
      <c r="AB2184" s="386"/>
      <c r="AC2184" s="481">
        <v>0</v>
      </c>
      <c r="AD2184" s="474"/>
      <c r="AE2184" s="482"/>
      <c r="AF2184" s="493">
        <f t="shared" si="381"/>
        <v>176644.8</v>
      </c>
      <c r="AG2184" s="474" t="s">
        <v>1071</v>
      </c>
      <c r="AH2184" s="447"/>
      <c r="AI2184" s="474">
        <v>60</v>
      </c>
      <c r="AJ2184" s="474" t="s">
        <v>1194</v>
      </c>
      <c r="AK2184" s="474" t="s">
        <v>1073</v>
      </c>
      <c r="AL2184" s="494">
        <v>21046</v>
      </c>
      <c r="AM2184" s="474" t="s">
        <v>52</v>
      </c>
      <c r="AN2184" s="474" t="s">
        <v>1074</v>
      </c>
      <c r="AO2184" s="474"/>
      <c r="AP2184" s="474"/>
      <c r="AQ2184" s="474"/>
      <c r="AR2184" s="474"/>
      <c r="AS2184" s="387"/>
      <c r="AT2184" s="387" t="s">
        <v>1076</v>
      </c>
      <c r="AU2184" s="471"/>
      <c r="AV2184" s="262">
        <f t="shared" si="382"/>
        <v>0</v>
      </c>
      <c r="AW2184" s="262" cm="1">
        <f t="array" ref="AW2184">SUM(MID(0&amp;AV2184,LARGE(INDEX(ISNUMBER(--MID(AV2184,ROW($1:$8),1))*ROW($1:$8),),ROW($1:$8))+1,1)*10^ROW($1:$8)/10)</f>
        <v>0</v>
      </c>
      <c r="AX2184" s="262" t="e">
        <f>VLOOKUP($AW2184,'Item Master Data'!$A:$F,3,FALSE)</f>
        <v>#N/A</v>
      </c>
      <c r="AY2184" s="262" t="e">
        <f>VLOOKUP($AW2184,'Item Master Data'!$A:$F,6,FALSE)</f>
        <v>#N/A</v>
      </c>
      <c r="AZ2184" s="262" t="e">
        <f t="shared" si="383"/>
        <v>#N/A</v>
      </c>
      <c r="BA2184" s="262" t="e">
        <f>VLOOKUP(AW2184,'Item Master Data'!$A:$G,7,FALSE)</f>
        <v>#N/A</v>
      </c>
      <c r="BC2184" s="262" t="e">
        <f t="shared" si="384"/>
        <v>#N/A</v>
      </c>
    </row>
    <row r="2185" spans="1:55">
      <c r="A2185" s="410"/>
      <c r="B2185" s="407"/>
      <c r="C2185" s="407"/>
      <c r="D2185" s="474" t="s">
        <v>1066</v>
      </c>
      <c r="E2185" s="394" t="s">
        <v>5279</v>
      </c>
      <c r="F2185" s="474"/>
      <c r="G2185" s="474">
        <v>2022</v>
      </c>
      <c r="H2185" s="474">
        <v>5</v>
      </c>
      <c r="I2185" s="485"/>
      <c r="J2185" s="475"/>
      <c r="K2185" s="474" t="s">
        <v>1321</v>
      </c>
      <c r="L2185" s="475" t="s">
        <v>1313</v>
      </c>
      <c r="M2185" s="475">
        <v>44496</v>
      </c>
      <c r="N2185" s="475">
        <v>44672</v>
      </c>
      <c r="O2185" s="475"/>
      <c r="P2185" s="475" t="s">
        <v>1093</v>
      </c>
      <c r="Q2185" s="475"/>
      <c r="R2185" s="475"/>
      <c r="S2185" s="474" t="s">
        <v>1114</v>
      </c>
      <c r="T2185" s="474">
        <v>72</v>
      </c>
      <c r="U2185" s="474"/>
      <c r="V2185" s="474" t="s">
        <v>1070</v>
      </c>
      <c r="W2185" s="476">
        <v>480</v>
      </c>
      <c r="X2185" s="402">
        <v>2436</v>
      </c>
      <c r="Y2185" s="491">
        <f t="shared" si="372"/>
        <v>1169280</v>
      </c>
      <c r="Z2185" s="478">
        <v>0.47</v>
      </c>
      <c r="AA2185" s="479">
        <f t="shared" si="380"/>
        <v>549561.59999999998</v>
      </c>
      <c r="AB2185" s="386"/>
      <c r="AC2185" s="481">
        <v>0</v>
      </c>
      <c r="AD2185" s="474"/>
      <c r="AE2185" s="482"/>
      <c r="AF2185" s="493">
        <f t="shared" si="381"/>
        <v>549561.59999999998</v>
      </c>
      <c r="AG2185" s="474" t="s">
        <v>1071</v>
      </c>
      <c r="AH2185" s="447"/>
      <c r="AI2185" s="474">
        <v>60</v>
      </c>
      <c r="AJ2185" s="474" t="s">
        <v>1314</v>
      </c>
      <c r="AK2185" s="474" t="s">
        <v>1125</v>
      </c>
      <c r="AL2185" s="494" t="s">
        <v>1315</v>
      </c>
      <c r="AM2185" s="474" t="s">
        <v>52</v>
      </c>
      <c r="AN2185" s="474" t="s">
        <v>1085</v>
      </c>
      <c r="AO2185" s="474"/>
      <c r="AP2185" s="474" t="s">
        <v>92</v>
      </c>
      <c r="AQ2185" s="474" t="s">
        <v>37</v>
      </c>
      <c r="AR2185" s="474"/>
      <c r="AS2185" s="387"/>
      <c r="AT2185" s="387"/>
      <c r="AU2185" s="471"/>
      <c r="AV2185" s="262">
        <f t="shared" si="382"/>
        <v>0</v>
      </c>
      <c r="AW2185" s="262" cm="1">
        <f t="array" ref="AW2185">SUM(MID(0&amp;AV2185,LARGE(INDEX(ISNUMBER(--MID(AV2185,ROW($1:$8),1))*ROW($1:$8),),ROW($1:$8))+1,1)*10^ROW($1:$8)/10)</f>
        <v>0</v>
      </c>
      <c r="AX2185" s="262" t="e">
        <f>VLOOKUP($AW2185,'Item Master Data'!$A:$F,3,FALSE)</f>
        <v>#N/A</v>
      </c>
      <c r="AY2185" s="262" t="e">
        <f>VLOOKUP($AW2185,'Item Master Data'!$A:$F,6,FALSE)</f>
        <v>#N/A</v>
      </c>
      <c r="AZ2185" s="262" t="e">
        <f t="shared" si="383"/>
        <v>#N/A</v>
      </c>
      <c r="BA2185" s="262" t="e">
        <f>VLOOKUP(AW2185,'Item Master Data'!$A:$G,7,FALSE)</f>
        <v>#N/A</v>
      </c>
      <c r="BC2185" s="262" t="e">
        <f t="shared" si="384"/>
        <v>#N/A</v>
      </c>
    </row>
    <row r="2186" spans="1:55">
      <c r="A2186" s="410"/>
      <c r="B2186" s="407"/>
      <c r="C2186" s="407"/>
      <c r="D2186" s="474" t="s">
        <v>1066</v>
      </c>
      <c r="E2186" s="394" t="s">
        <v>5279</v>
      </c>
      <c r="F2186" s="474"/>
      <c r="G2186" s="474">
        <v>2022</v>
      </c>
      <c r="H2186" s="474">
        <v>5</v>
      </c>
      <c r="I2186" s="485"/>
      <c r="J2186" s="475"/>
      <c r="K2186" s="474" t="s">
        <v>1330</v>
      </c>
      <c r="L2186" s="475" t="s">
        <v>1313</v>
      </c>
      <c r="M2186" s="475">
        <v>44496</v>
      </c>
      <c r="N2186" s="475">
        <v>44702</v>
      </c>
      <c r="O2186" s="475"/>
      <c r="P2186" s="475"/>
      <c r="Q2186" s="475"/>
      <c r="R2186" s="475"/>
      <c r="S2186" s="474" t="s">
        <v>1114</v>
      </c>
      <c r="T2186" s="474">
        <v>72</v>
      </c>
      <c r="U2186" s="474"/>
      <c r="V2186" s="474" t="s">
        <v>1070</v>
      </c>
      <c r="W2186" s="476">
        <v>480</v>
      </c>
      <c r="X2186" s="402">
        <v>2436</v>
      </c>
      <c r="Y2186" s="491">
        <f t="shared" si="372"/>
        <v>1169280</v>
      </c>
      <c r="Z2186" s="478">
        <v>0.47</v>
      </c>
      <c r="AA2186" s="479">
        <f t="shared" si="380"/>
        <v>549561.59999999998</v>
      </c>
      <c r="AB2186" s="386"/>
      <c r="AC2186" s="481">
        <v>0</v>
      </c>
      <c r="AD2186" s="474"/>
      <c r="AE2186" s="482"/>
      <c r="AF2186" s="493">
        <f t="shared" si="381"/>
        <v>549561.59999999998</v>
      </c>
      <c r="AG2186" s="474" t="s">
        <v>1071</v>
      </c>
      <c r="AH2186" s="447"/>
      <c r="AI2186" s="474">
        <v>60</v>
      </c>
      <c r="AJ2186" s="474" t="s">
        <v>1314</v>
      </c>
      <c r="AK2186" s="474" t="s">
        <v>1125</v>
      </c>
      <c r="AL2186" s="494" t="s">
        <v>1315</v>
      </c>
      <c r="AM2186" s="474" t="s">
        <v>52</v>
      </c>
      <c r="AN2186" s="474" t="s">
        <v>1085</v>
      </c>
      <c r="AO2186" s="474"/>
      <c r="AP2186" s="474" t="s">
        <v>92</v>
      </c>
      <c r="AQ2186" s="474" t="s">
        <v>37</v>
      </c>
      <c r="AR2186" s="474"/>
      <c r="AS2186" s="387"/>
      <c r="AT2186" s="387"/>
      <c r="AU2186" s="471"/>
      <c r="AV2186" s="262">
        <f t="shared" si="382"/>
        <v>0</v>
      </c>
      <c r="AW2186" s="262" cm="1">
        <f t="array" ref="AW2186">SUM(MID(0&amp;AV2186,LARGE(INDEX(ISNUMBER(--MID(AV2186,ROW($1:$8),1))*ROW($1:$8),),ROW($1:$8))+1,1)*10^ROW($1:$8)/10)</f>
        <v>0</v>
      </c>
      <c r="AX2186" s="262" t="e">
        <f>VLOOKUP($AW2186,'Item Master Data'!$A:$F,3,FALSE)</f>
        <v>#N/A</v>
      </c>
      <c r="AY2186" s="262" t="e">
        <f>VLOOKUP($AW2186,'Item Master Data'!$A:$F,6,FALSE)</f>
        <v>#N/A</v>
      </c>
      <c r="AZ2186" s="262" t="e">
        <f t="shared" si="383"/>
        <v>#N/A</v>
      </c>
      <c r="BA2186" s="262" t="e">
        <f>VLOOKUP(AW2186,'Item Master Data'!$A:$G,7,FALSE)</f>
        <v>#N/A</v>
      </c>
      <c r="BC2186" s="262" t="e">
        <f t="shared" si="384"/>
        <v>#N/A</v>
      </c>
    </row>
    <row r="2187" spans="1:55">
      <c r="A2187" s="410"/>
      <c r="B2187" s="407"/>
      <c r="C2187" s="407"/>
      <c r="D2187" s="474" t="s">
        <v>1066</v>
      </c>
      <c r="E2187" s="388"/>
      <c r="F2187" s="385" t="s">
        <v>87</v>
      </c>
      <c r="G2187" s="474">
        <v>2022</v>
      </c>
      <c r="H2187" s="474">
        <v>5</v>
      </c>
      <c r="I2187" s="485"/>
      <c r="J2187" s="475"/>
      <c r="K2187" s="474" t="s">
        <v>1348</v>
      </c>
      <c r="L2187" s="475" t="s">
        <v>1340</v>
      </c>
      <c r="M2187" s="475">
        <v>44655</v>
      </c>
      <c r="N2187" s="475">
        <v>44680</v>
      </c>
      <c r="O2187" s="475"/>
      <c r="P2187" s="475">
        <v>44663</v>
      </c>
      <c r="Q2187" s="475"/>
      <c r="R2187" s="475"/>
      <c r="S2187" s="474" t="s">
        <v>1102</v>
      </c>
      <c r="T2187" s="474">
        <v>72</v>
      </c>
      <c r="U2187" s="474">
        <v>49303556</v>
      </c>
      <c r="V2187" s="474" t="s">
        <v>1070</v>
      </c>
      <c r="W2187" s="476">
        <v>480</v>
      </c>
      <c r="X2187" s="402">
        <v>7656</v>
      </c>
      <c r="Y2187" s="477">
        <f t="shared" si="372"/>
        <v>3674880</v>
      </c>
      <c r="Z2187" s="478">
        <v>0.505</v>
      </c>
      <c r="AA2187" s="479">
        <f t="shared" si="380"/>
        <v>1855814.4</v>
      </c>
      <c r="AB2187" s="386"/>
      <c r="AC2187" s="481">
        <v>0</v>
      </c>
      <c r="AD2187" s="474"/>
      <c r="AE2187" s="482"/>
      <c r="AF2187" s="493">
        <f t="shared" si="381"/>
        <v>1855814.4</v>
      </c>
      <c r="AG2187" s="474" t="s">
        <v>1071</v>
      </c>
      <c r="AH2187" s="447"/>
      <c r="AI2187" s="474">
        <v>60</v>
      </c>
      <c r="AJ2187" s="474" t="s">
        <v>1342</v>
      </c>
      <c r="AK2187" s="474" t="s">
        <v>1085</v>
      </c>
      <c r="AL2187" s="494">
        <v>8110</v>
      </c>
      <c r="AM2187" s="474" t="s">
        <v>52</v>
      </c>
      <c r="AN2187" s="474" t="s">
        <v>1074</v>
      </c>
      <c r="AO2187" s="474"/>
      <c r="AP2187" s="474"/>
      <c r="AQ2187" s="474" t="s">
        <v>37</v>
      </c>
      <c r="AR2187" s="474"/>
      <c r="AS2187" s="387"/>
      <c r="AT2187" s="387"/>
      <c r="AU2187" s="471"/>
      <c r="AV2187" s="262">
        <f t="shared" si="382"/>
        <v>49303556</v>
      </c>
      <c r="AW2187" s="262" cm="1">
        <f t="array" ref="AW2187">SUM(MID(0&amp;AV2187,LARGE(INDEX(ISNUMBER(--MID(AV2187,ROW($1:$8),1))*ROW($1:$8),),ROW($1:$8))+1,1)*10^ROW($1:$8)/10)</f>
        <v>49303556</v>
      </c>
      <c r="AX2187" s="262" t="str">
        <f>VLOOKUP($AW2187,'Item Master Data'!$A:$F,3,FALSE)</f>
        <v>Q.PEAK DUO XL G10 BFG</v>
      </c>
      <c r="AY2187" s="262">
        <f>VLOOKUP($AW2187,'Item Master Data'!$A:$F,6,FALSE)</f>
        <v>480</v>
      </c>
      <c r="AZ2187" s="262">
        <f t="shared" si="383"/>
        <v>264</v>
      </c>
      <c r="BA2187" s="262">
        <f>VLOOKUP(AW2187,'Item Master Data'!$A:$G,7,FALSE)</f>
        <v>29</v>
      </c>
      <c r="BC2187" s="262">
        <f t="shared" si="384"/>
        <v>0</v>
      </c>
    </row>
    <row r="2188" spans="1:55">
      <c r="A2188" s="410"/>
      <c r="B2188" s="407"/>
      <c r="C2188" s="407"/>
      <c r="D2188" s="474" t="s">
        <v>1066</v>
      </c>
      <c r="E2188" s="388"/>
      <c r="F2188" s="474" t="s">
        <v>87</v>
      </c>
      <c r="G2188" s="474">
        <v>2022</v>
      </c>
      <c r="H2188" s="474">
        <v>5</v>
      </c>
      <c r="I2188" s="485"/>
      <c r="J2188" s="475"/>
      <c r="K2188" s="474" t="s">
        <v>1348</v>
      </c>
      <c r="L2188" s="475" t="s">
        <v>1340</v>
      </c>
      <c r="M2188" s="475">
        <v>44655</v>
      </c>
      <c r="N2188" s="475">
        <v>44680</v>
      </c>
      <c r="O2188" s="475"/>
      <c r="P2188" s="475">
        <v>44663</v>
      </c>
      <c r="Q2188" s="475"/>
      <c r="R2188" s="475"/>
      <c r="S2188" s="474" t="s">
        <v>1102</v>
      </c>
      <c r="T2188" s="474">
        <v>72</v>
      </c>
      <c r="U2188" s="474">
        <v>49303556</v>
      </c>
      <c r="V2188" s="474" t="s">
        <v>1070</v>
      </c>
      <c r="W2188" s="476">
        <v>480</v>
      </c>
      <c r="X2188" s="402">
        <v>2900</v>
      </c>
      <c r="Y2188" s="491">
        <f t="shared" si="372"/>
        <v>1392000</v>
      </c>
      <c r="Z2188" s="478">
        <v>0.505</v>
      </c>
      <c r="AA2188" s="479">
        <f t="shared" si="380"/>
        <v>702960</v>
      </c>
      <c r="AB2188" s="386"/>
      <c r="AC2188" s="481">
        <v>0</v>
      </c>
      <c r="AD2188" s="474"/>
      <c r="AE2188" s="482"/>
      <c r="AF2188" s="493">
        <f t="shared" si="381"/>
        <v>702960</v>
      </c>
      <c r="AG2188" s="474" t="s">
        <v>1071</v>
      </c>
      <c r="AH2188" s="447"/>
      <c r="AI2188" s="474">
        <v>60</v>
      </c>
      <c r="AJ2188" s="474" t="s">
        <v>1346</v>
      </c>
      <c r="AK2188" s="474" t="s">
        <v>1347</v>
      </c>
      <c r="AL2188" s="494">
        <v>18301</v>
      </c>
      <c r="AM2188" s="474" t="s">
        <v>52</v>
      </c>
      <c r="AN2188" s="474" t="s">
        <v>1074</v>
      </c>
      <c r="AO2188" s="474"/>
      <c r="AP2188" s="474"/>
      <c r="AQ2188" s="474" t="s">
        <v>37</v>
      </c>
      <c r="AR2188" s="474"/>
      <c r="AS2188" s="387"/>
      <c r="AT2188" s="387"/>
      <c r="AU2188" s="471"/>
      <c r="AV2188" s="262">
        <f t="shared" si="382"/>
        <v>49303556</v>
      </c>
      <c r="AW2188" s="262" cm="1">
        <f t="array" ref="AW2188">SUM(MID(0&amp;AV2188,LARGE(INDEX(ISNUMBER(--MID(AV2188,ROW($1:$8),1))*ROW($1:$8),),ROW($1:$8))+1,1)*10^ROW($1:$8)/10)</f>
        <v>49303556</v>
      </c>
      <c r="AX2188" s="262" t="str">
        <f>VLOOKUP($AW2188,'Item Master Data'!$A:$F,3,FALSE)</f>
        <v>Q.PEAK DUO XL G10 BFG</v>
      </c>
      <c r="AY2188" s="262">
        <f>VLOOKUP($AW2188,'Item Master Data'!$A:$F,6,FALSE)</f>
        <v>480</v>
      </c>
      <c r="AZ2188" s="262">
        <f t="shared" si="383"/>
        <v>100</v>
      </c>
      <c r="BA2188" s="262">
        <f>VLOOKUP(AW2188,'Item Master Data'!$A:$G,7,FALSE)</f>
        <v>29</v>
      </c>
      <c r="BC2188" s="262">
        <f t="shared" si="384"/>
        <v>0</v>
      </c>
    </row>
    <row r="2189" spans="1:55">
      <c r="A2189" s="410"/>
      <c r="B2189" s="407"/>
      <c r="C2189" s="407"/>
      <c r="D2189" s="474" t="s">
        <v>1066</v>
      </c>
      <c r="E2189" s="388" t="s">
        <v>5403</v>
      </c>
      <c r="F2189" s="474" t="s">
        <v>87</v>
      </c>
      <c r="G2189" s="474">
        <v>2022</v>
      </c>
      <c r="H2189" s="474">
        <v>5</v>
      </c>
      <c r="I2189" s="485"/>
      <c r="J2189" s="475"/>
      <c r="K2189" s="474" t="s">
        <v>1352</v>
      </c>
      <c r="L2189" s="475" t="s">
        <v>1353</v>
      </c>
      <c r="M2189" s="475">
        <v>44572</v>
      </c>
      <c r="N2189" s="475">
        <v>44699</v>
      </c>
      <c r="O2189" s="475"/>
      <c r="P2189" s="475"/>
      <c r="Q2189" s="475"/>
      <c r="R2189" s="475"/>
      <c r="S2189" s="474" t="s">
        <v>1069</v>
      </c>
      <c r="T2189" s="474">
        <v>72</v>
      </c>
      <c r="U2189" s="474">
        <v>49303155</v>
      </c>
      <c r="V2189" s="474" t="s">
        <v>1070</v>
      </c>
      <c r="W2189" s="476">
        <v>480</v>
      </c>
      <c r="X2189" s="402">
        <v>638</v>
      </c>
      <c r="Y2189" s="491">
        <f t="shared" si="372"/>
        <v>306240</v>
      </c>
      <c r="Z2189" s="478">
        <v>0.47</v>
      </c>
      <c r="AA2189" s="479">
        <f t="shared" si="380"/>
        <v>143932.79999999999</v>
      </c>
      <c r="AB2189" s="386"/>
      <c r="AC2189" s="481">
        <v>0</v>
      </c>
      <c r="AD2189" s="474"/>
      <c r="AE2189" s="482"/>
      <c r="AF2189" s="493">
        <f t="shared" si="381"/>
        <v>143932.79999999999</v>
      </c>
      <c r="AG2189" s="474" t="s">
        <v>1071</v>
      </c>
      <c r="AH2189" s="447"/>
      <c r="AI2189" s="474">
        <v>60</v>
      </c>
      <c r="AJ2189" s="474" t="s">
        <v>1205</v>
      </c>
      <c r="AK2189" s="474" t="s">
        <v>1138</v>
      </c>
      <c r="AL2189" s="494">
        <v>14624</v>
      </c>
      <c r="AM2189" s="474" t="s">
        <v>52</v>
      </c>
      <c r="AN2189" s="474" t="s">
        <v>1074</v>
      </c>
      <c r="AO2189" s="474"/>
      <c r="AP2189" s="474"/>
      <c r="AQ2189" s="474" t="s">
        <v>37</v>
      </c>
      <c r="AR2189" s="474"/>
      <c r="AS2189" s="387"/>
      <c r="AT2189" s="387"/>
      <c r="AU2189" s="471"/>
      <c r="AV2189" s="262">
        <f t="shared" si="382"/>
        <v>49303155</v>
      </c>
      <c r="AW2189" s="262" cm="1">
        <f t="array" ref="AW2189">SUM(MID(0&amp;AV2189,LARGE(INDEX(ISNUMBER(--MID(AV2189,ROW($1:$8),1))*ROW($1:$8),),ROW($1:$8))+1,1)*10^ROW($1:$8)/10)</f>
        <v>49303155</v>
      </c>
      <c r="AX2189" s="262" t="str">
        <f>VLOOKUP($AW2189,'Item Master Data'!$A:$F,3,FALSE)</f>
        <v>Q.PEAK DUO XL G10 BFG</v>
      </c>
      <c r="AY2189" s="262">
        <f>VLOOKUP($AW2189,'Item Master Data'!$A:$F,6,FALSE)</f>
        <v>475</v>
      </c>
      <c r="AZ2189" s="262">
        <f t="shared" si="383"/>
        <v>22</v>
      </c>
      <c r="BA2189" s="262">
        <f>VLOOKUP(AW2189,'Item Master Data'!$A:$G,7,FALSE)</f>
        <v>29</v>
      </c>
      <c r="BC2189" s="262">
        <f t="shared" si="384"/>
        <v>5</v>
      </c>
    </row>
    <row r="2190" spans="1:55">
      <c r="A2190" s="410"/>
      <c r="B2190" s="407"/>
      <c r="C2190" s="407"/>
      <c r="D2190" s="474" t="s">
        <v>1066</v>
      </c>
      <c r="E2190" s="388"/>
      <c r="F2190" s="474"/>
      <c r="G2190" s="474">
        <v>2022</v>
      </c>
      <c r="H2190" s="474">
        <v>3</v>
      </c>
      <c r="I2190" s="485">
        <v>127537</v>
      </c>
      <c r="J2190" s="475">
        <v>44643</v>
      </c>
      <c r="K2190" s="474" t="s">
        <v>1186</v>
      </c>
      <c r="L2190" s="475" t="s">
        <v>1187</v>
      </c>
      <c r="M2190" s="475">
        <v>44617</v>
      </c>
      <c r="N2190" s="475">
        <v>44621</v>
      </c>
      <c r="O2190" s="475"/>
      <c r="P2190" s="475">
        <v>44635</v>
      </c>
      <c r="Q2190" s="475">
        <v>44641</v>
      </c>
      <c r="R2190" s="475">
        <v>44643</v>
      </c>
      <c r="S2190" s="474" t="s">
        <v>1069</v>
      </c>
      <c r="T2190" s="474">
        <v>72</v>
      </c>
      <c r="U2190" s="474" t="s">
        <v>1149</v>
      </c>
      <c r="V2190" s="474" t="s">
        <v>1188</v>
      </c>
      <c r="W2190" s="476">
        <v>425</v>
      </c>
      <c r="X2190" s="402">
        <v>751</v>
      </c>
      <c r="Y2190" s="491">
        <f t="shared" si="372"/>
        <v>319175</v>
      </c>
      <c r="Z2190" s="478">
        <f>184.88/425</f>
        <v>0.43501176470588232</v>
      </c>
      <c r="AA2190" s="479">
        <f t="shared" si="380"/>
        <v>138844.87999999998</v>
      </c>
      <c r="AB2190" s="386"/>
      <c r="AC2190" s="481">
        <v>0</v>
      </c>
      <c r="AD2190" s="474"/>
      <c r="AE2190" s="482"/>
      <c r="AF2190" s="493">
        <f t="shared" si="381"/>
        <v>138844.87999999998</v>
      </c>
      <c r="AG2190" s="474" t="s">
        <v>1071</v>
      </c>
      <c r="AH2190" s="447"/>
      <c r="AI2190" s="474">
        <v>60</v>
      </c>
      <c r="AJ2190" s="474" t="s">
        <v>1189</v>
      </c>
      <c r="AK2190" s="474" t="s">
        <v>1190</v>
      </c>
      <c r="AL2190" s="494">
        <v>6801</v>
      </c>
      <c r="AM2190" s="474" t="s">
        <v>52</v>
      </c>
      <c r="AN2190" s="474" t="s">
        <v>1151</v>
      </c>
      <c r="AO2190" s="474"/>
      <c r="AP2190" s="474" t="s">
        <v>38</v>
      </c>
      <c r="AQ2190" s="474" t="s">
        <v>37</v>
      </c>
      <c r="AR2190" s="474"/>
      <c r="AS2190" s="387"/>
      <c r="AT2190" s="387"/>
      <c r="AU2190" s="471"/>
      <c r="AV2190" s="262" t="str">
        <f t="shared" si="382"/>
        <v>12005804F</v>
      </c>
      <c r="AW2190" s="262" cm="1">
        <f t="array" ref="AW2190">SUM(MID(0&amp;AV2190,LARGE(INDEX(ISNUMBER(--MID(AV2190,ROW($1:$8),1))*ROW($1:$8),),ROW($1:$8))+1,1)*10^ROW($1:$8)/10)</f>
        <v>12005804</v>
      </c>
      <c r="AX2190" s="262" t="str">
        <f>VLOOKUP($AW2190,'Item Master Data'!$A:$F,3,FALSE)</f>
        <v>Q.PEAK DUO L G8</v>
      </c>
      <c r="AY2190" s="262">
        <f>VLOOKUP($AW2190,'Item Master Data'!$A:$F,6,FALSE)</f>
        <v>425</v>
      </c>
      <c r="AZ2190" s="262">
        <f t="shared" si="383"/>
        <v>25.033333333333335</v>
      </c>
      <c r="BA2190" s="262">
        <f>VLOOKUP(AW2190,'Item Master Data'!$A:$G,7,FALSE)</f>
        <v>30</v>
      </c>
      <c r="BC2190" s="262">
        <f t="shared" si="384"/>
        <v>0</v>
      </c>
    </row>
    <row r="2191" spans="1:55">
      <c r="A2191" s="410"/>
      <c r="B2191" s="407"/>
      <c r="C2191" s="407"/>
      <c r="D2191" s="474" t="s">
        <v>1066</v>
      </c>
      <c r="E2191" s="388"/>
      <c r="F2191" s="474"/>
      <c r="G2191" s="474">
        <v>2022</v>
      </c>
      <c r="H2191" s="474">
        <v>3</v>
      </c>
      <c r="I2191" s="485">
        <v>127537</v>
      </c>
      <c r="J2191" s="475">
        <v>44643</v>
      </c>
      <c r="K2191" s="474" t="s">
        <v>1186</v>
      </c>
      <c r="L2191" s="475" t="s">
        <v>1187</v>
      </c>
      <c r="M2191" s="475">
        <v>44617</v>
      </c>
      <c r="N2191" s="475">
        <v>44621</v>
      </c>
      <c r="O2191" s="475"/>
      <c r="P2191" s="475">
        <v>44635</v>
      </c>
      <c r="Q2191" s="475">
        <v>44643</v>
      </c>
      <c r="R2191" s="475">
        <v>44643</v>
      </c>
      <c r="S2191" s="474" t="s">
        <v>1069</v>
      </c>
      <c r="T2191" s="474">
        <v>72</v>
      </c>
      <c r="U2191" s="474" t="s">
        <v>1191</v>
      </c>
      <c r="V2191" s="474" t="s">
        <v>1188</v>
      </c>
      <c r="W2191" s="476">
        <v>430</v>
      </c>
      <c r="X2191" s="402">
        <v>588</v>
      </c>
      <c r="Y2191" s="491">
        <f t="shared" si="372"/>
        <v>252840</v>
      </c>
      <c r="Z2191" s="478">
        <f>189.2/430</f>
        <v>0.43999999999999995</v>
      </c>
      <c r="AA2191" s="479">
        <f t="shared" si="380"/>
        <v>111249.59999999999</v>
      </c>
      <c r="AB2191" s="386"/>
      <c r="AC2191" s="481">
        <v>0</v>
      </c>
      <c r="AD2191" s="474"/>
      <c r="AE2191" s="482"/>
      <c r="AF2191" s="493">
        <f t="shared" si="381"/>
        <v>111249.59999999999</v>
      </c>
      <c r="AG2191" s="474" t="s">
        <v>1071</v>
      </c>
      <c r="AH2191" s="447"/>
      <c r="AI2191" s="474">
        <v>60</v>
      </c>
      <c r="AJ2191" s="474" t="s">
        <v>1189</v>
      </c>
      <c r="AK2191" s="474" t="s">
        <v>1190</v>
      </c>
      <c r="AL2191" s="494">
        <v>6801</v>
      </c>
      <c r="AM2191" s="474" t="s">
        <v>52</v>
      </c>
      <c r="AN2191" s="474" t="s">
        <v>1085</v>
      </c>
      <c r="AO2191" s="474"/>
      <c r="AP2191" s="474" t="s">
        <v>38</v>
      </c>
      <c r="AQ2191" s="474" t="s">
        <v>37</v>
      </c>
      <c r="AR2191" s="474"/>
      <c r="AS2191" s="387"/>
      <c r="AT2191" s="387"/>
      <c r="AU2191" s="471"/>
      <c r="AV2191" s="262" t="str">
        <f t="shared" si="382"/>
        <v>30384562F</v>
      </c>
      <c r="AW2191" s="262" cm="1">
        <f t="array" ref="AW2191">SUM(MID(0&amp;AV2191,LARGE(INDEX(ISNUMBER(--MID(AV2191,ROW($1:$8),1))*ROW($1:$8),),ROW($1:$8))+1,1)*10^ROW($1:$8)/10)</f>
        <v>30384562</v>
      </c>
      <c r="AX2191" s="262" t="str">
        <f>VLOOKUP($AW2191,'Item Master Data'!$A:$F,3,FALSE)</f>
        <v xml:space="preserve">Q.PEAK DUO L G6 </v>
      </c>
      <c r="AY2191" s="262">
        <f>VLOOKUP($AW2191,'Item Master Data'!$A:$F,6,FALSE)</f>
        <v>430</v>
      </c>
      <c r="AZ2191" s="262">
        <f t="shared" si="383"/>
        <v>20.275862068965516</v>
      </c>
      <c r="BA2191" s="262">
        <f>VLOOKUP(AW2191,'Item Master Data'!$A:$G,7,FALSE)</f>
        <v>29</v>
      </c>
      <c r="BC2191" s="262">
        <f t="shared" si="384"/>
        <v>0</v>
      </c>
    </row>
    <row r="2192" spans="1:55">
      <c r="A2192" s="410"/>
      <c r="B2192" s="407"/>
      <c r="C2192" s="407"/>
      <c r="D2192" s="474" t="s">
        <v>1066</v>
      </c>
      <c r="E2192" s="388"/>
      <c r="F2192" s="474"/>
      <c r="G2192" s="474">
        <v>2022</v>
      </c>
      <c r="H2192" s="474">
        <v>3</v>
      </c>
      <c r="I2192" s="485">
        <v>127368</v>
      </c>
      <c r="J2192" s="475">
        <v>44635</v>
      </c>
      <c r="K2192" s="474" t="s">
        <v>1192</v>
      </c>
      <c r="L2192" s="475" t="s">
        <v>1187</v>
      </c>
      <c r="M2192" s="475">
        <v>44617</v>
      </c>
      <c r="N2192" s="475">
        <v>44621</v>
      </c>
      <c r="O2192" s="475"/>
      <c r="P2192" s="475">
        <v>44628</v>
      </c>
      <c r="Q2192" s="475">
        <v>44634</v>
      </c>
      <c r="R2192" s="475">
        <v>44636</v>
      </c>
      <c r="S2192" s="474" t="s">
        <v>1069</v>
      </c>
      <c r="T2192" s="474">
        <v>72</v>
      </c>
      <c r="U2192" s="474" t="s">
        <v>1193</v>
      </c>
      <c r="V2192" s="474" t="s">
        <v>1150</v>
      </c>
      <c r="W2192" s="476">
        <v>435</v>
      </c>
      <c r="X2192" s="402">
        <v>78</v>
      </c>
      <c r="Y2192" s="491">
        <f t="shared" si="372"/>
        <v>33930</v>
      </c>
      <c r="Z2192" s="478">
        <f>193.58/435</f>
        <v>0.44501149425287362</v>
      </c>
      <c r="AA2192" s="479">
        <f t="shared" si="380"/>
        <v>15099.240000000002</v>
      </c>
      <c r="AB2192" s="386"/>
      <c r="AC2192" s="481">
        <v>0</v>
      </c>
      <c r="AD2192" s="474"/>
      <c r="AE2192" s="482"/>
      <c r="AF2192" s="493">
        <f t="shared" si="381"/>
        <v>15099.240000000002</v>
      </c>
      <c r="AG2192" s="474" t="s">
        <v>1071</v>
      </c>
      <c r="AH2192" s="447"/>
      <c r="AI2192" s="474">
        <v>60</v>
      </c>
      <c r="AJ2192" s="474" t="s">
        <v>1194</v>
      </c>
      <c r="AK2192" s="474" t="s">
        <v>1073</v>
      </c>
      <c r="AL2192" s="494">
        <v>21046</v>
      </c>
      <c r="AM2192" s="474" t="s">
        <v>52</v>
      </c>
      <c r="AN2192" s="474" t="s">
        <v>1151</v>
      </c>
      <c r="AO2192" s="474"/>
      <c r="AP2192" s="474" t="s">
        <v>38</v>
      </c>
      <c r="AQ2192" s="474" t="s">
        <v>37</v>
      </c>
      <c r="AR2192" s="474"/>
      <c r="AS2192" s="387"/>
      <c r="AT2192" s="387"/>
      <c r="AU2192" s="471"/>
      <c r="AV2192" s="262" t="str">
        <f t="shared" si="382"/>
        <v>12005802F</v>
      </c>
      <c r="AW2192" s="262" cm="1">
        <f t="array" ref="AW2192">SUM(MID(0&amp;AV2192,LARGE(INDEX(ISNUMBER(--MID(AV2192,ROW($1:$8),1))*ROW($1:$8),),ROW($1:$8))+1,1)*10^ROW($1:$8)/10)</f>
        <v>12005802</v>
      </c>
      <c r="AX2192" s="262" t="str">
        <f>VLOOKUP($AW2192,'Item Master Data'!$A:$F,3,FALSE)</f>
        <v>Q.PEAK DUO L G8</v>
      </c>
      <c r="AY2192" s="262">
        <f>VLOOKUP($AW2192,'Item Master Data'!$A:$F,6,FALSE)</f>
        <v>435</v>
      </c>
      <c r="AZ2192" s="262">
        <f t="shared" si="383"/>
        <v>2.6</v>
      </c>
      <c r="BA2192" s="262">
        <f>VLOOKUP(AW2192,'Item Master Data'!$A:$G,7,FALSE)</f>
        <v>30</v>
      </c>
      <c r="BC2192" s="262">
        <f t="shared" si="384"/>
        <v>0</v>
      </c>
    </row>
    <row r="2193" spans="1:55">
      <c r="A2193" s="410"/>
      <c r="B2193" s="407"/>
      <c r="C2193" s="407"/>
      <c r="D2193" s="474" t="s">
        <v>1066</v>
      </c>
      <c r="E2193" s="388"/>
      <c r="F2193" s="474"/>
      <c r="G2193" s="474">
        <v>2022</v>
      </c>
      <c r="H2193" s="474">
        <v>3</v>
      </c>
      <c r="I2193" s="485">
        <v>127368</v>
      </c>
      <c r="J2193" s="475">
        <v>44635</v>
      </c>
      <c r="K2193" s="474" t="s">
        <v>1192</v>
      </c>
      <c r="L2193" s="475" t="s">
        <v>1187</v>
      </c>
      <c r="M2193" s="475">
        <v>44617</v>
      </c>
      <c r="N2193" s="475">
        <v>44621</v>
      </c>
      <c r="O2193" s="475"/>
      <c r="P2193" s="475">
        <v>44628</v>
      </c>
      <c r="Q2193" s="475">
        <v>44635</v>
      </c>
      <c r="R2193" s="475">
        <v>44636</v>
      </c>
      <c r="S2193" s="474" t="s">
        <v>1069</v>
      </c>
      <c r="T2193" s="474">
        <v>72</v>
      </c>
      <c r="U2193" s="474" t="s">
        <v>1193</v>
      </c>
      <c r="V2193" s="474" t="s">
        <v>1150</v>
      </c>
      <c r="W2193" s="476">
        <v>435</v>
      </c>
      <c r="X2193" s="402">
        <v>210</v>
      </c>
      <c r="Y2193" s="491">
        <f t="shared" si="372"/>
        <v>91350</v>
      </c>
      <c r="Z2193" s="478">
        <f>193.58/435</f>
        <v>0.44501149425287362</v>
      </c>
      <c r="AA2193" s="479">
        <f t="shared" si="380"/>
        <v>40651.800000000003</v>
      </c>
      <c r="AB2193" s="386"/>
      <c r="AC2193" s="481">
        <v>0</v>
      </c>
      <c r="AD2193" s="474"/>
      <c r="AE2193" s="482"/>
      <c r="AF2193" s="493">
        <f t="shared" si="381"/>
        <v>40651.800000000003</v>
      </c>
      <c r="AG2193" s="474" t="s">
        <v>1071</v>
      </c>
      <c r="AH2193" s="447"/>
      <c r="AI2193" s="474">
        <v>60</v>
      </c>
      <c r="AJ2193" s="474" t="s">
        <v>1194</v>
      </c>
      <c r="AK2193" s="474" t="s">
        <v>1073</v>
      </c>
      <c r="AL2193" s="494">
        <v>21046</v>
      </c>
      <c r="AM2193" s="474" t="s">
        <v>52</v>
      </c>
      <c r="AN2193" s="474" t="s">
        <v>1085</v>
      </c>
      <c r="AO2193" s="474"/>
      <c r="AP2193" s="474" t="s">
        <v>38</v>
      </c>
      <c r="AQ2193" s="474" t="s">
        <v>37</v>
      </c>
      <c r="AR2193" s="474"/>
      <c r="AS2193" s="387"/>
      <c r="AT2193" s="387"/>
      <c r="AU2193" s="471"/>
      <c r="AV2193" s="262" t="str">
        <f t="shared" si="382"/>
        <v>12005802F</v>
      </c>
      <c r="AW2193" s="262" cm="1">
        <f t="array" ref="AW2193">SUM(MID(0&amp;AV2193,LARGE(INDEX(ISNUMBER(--MID(AV2193,ROW($1:$8),1))*ROW($1:$8),),ROW($1:$8))+1,1)*10^ROW($1:$8)/10)</f>
        <v>12005802</v>
      </c>
      <c r="AX2193" s="262" t="str">
        <f>VLOOKUP($AW2193,'Item Master Data'!$A:$F,3,FALSE)</f>
        <v>Q.PEAK DUO L G8</v>
      </c>
      <c r="AY2193" s="262">
        <f>VLOOKUP($AW2193,'Item Master Data'!$A:$F,6,FALSE)</f>
        <v>435</v>
      </c>
      <c r="AZ2193" s="262">
        <f t="shared" si="383"/>
        <v>7</v>
      </c>
      <c r="BA2193" s="262">
        <f>VLOOKUP(AW2193,'Item Master Data'!$A:$G,7,FALSE)</f>
        <v>30</v>
      </c>
      <c r="BC2193" s="262">
        <f t="shared" si="384"/>
        <v>0</v>
      </c>
    </row>
    <row r="2194" spans="1:55">
      <c r="A2194" s="410"/>
      <c r="B2194" s="407"/>
      <c r="C2194" s="407"/>
      <c r="D2194" s="474" t="s">
        <v>1066</v>
      </c>
      <c r="E2194" s="388"/>
      <c r="F2194" s="474"/>
      <c r="G2194" s="474">
        <v>2022</v>
      </c>
      <c r="H2194" s="474">
        <v>3</v>
      </c>
      <c r="I2194" s="485">
        <v>127612</v>
      </c>
      <c r="J2194" s="475">
        <v>44634</v>
      </c>
      <c r="K2194" s="474" t="s">
        <v>1195</v>
      </c>
      <c r="L2194" s="475" t="s">
        <v>1187</v>
      </c>
      <c r="M2194" s="475">
        <v>44617</v>
      </c>
      <c r="N2194" s="475">
        <v>44621</v>
      </c>
      <c r="O2194" s="475"/>
      <c r="P2194" s="475">
        <v>44628</v>
      </c>
      <c r="Q2194" s="475">
        <v>44634</v>
      </c>
      <c r="R2194" s="475">
        <v>44638</v>
      </c>
      <c r="S2194" s="474" t="s">
        <v>1069</v>
      </c>
      <c r="T2194" s="474">
        <v>72</v>
      </c>
      <c r="U2194" s="474" t="s">
        <v>1196</v>
      </c>
      <c r="V2194" s="474" t="s">
        <v>1188</v>
      </c>
      <c r="W2194" s="476">
        <v>425</v>
      </c>
      <c r="X2194" s="402">
        <v>29</v>
      </c>
      <c r="Y2194" s="491">
        <f t="shared" si="372"/>
        <v>12325</v>
      </c>
      <c r="Z2194" s="478">
        <f t="shared" ref="Z2194:Z2201" si="385">184.88/425</f>
        <v>0.43501176470588232</v>
      </c>
      <c r="AA2194" s="479">
        <f t="shared" si="380"/>
        <v>5361.5199999999995</v>
      </c>
      <c r="AB2194" s="386"/>
      <c r="AC2194" s="481">
        <v>0</v>
      </c>
      <c r="AD2194" s="474"/>
      <c r="AE2194" s="482"/>
      <c r="AF2194" s="493">
        <f t="shared" si="381"/>
        <v>5361.5199999999995</v>
      </c>
      <c r="AG2194" s="474" t="s">
        <v>1071</v>
      </c>
      <c r="AH2194" s="447"/>
      <c r="AI2194" s="474">
        <v>60</v>
      </c>
      <c r="AJ2194" s="474" t="s">
        <v>1197</v>
      </c>
      <c r="AK2194" s="474" t="s">
        <v>1198</v>
      </c>
      <c r="AL2194" s="494">
        <v>48187</v>
      </c>
      <c r="AM2194" s="474" t="s">
        <v>52</v>
      </c>
      <c r="AN2194" s="474" t="s">
        <v>50</v>
      </c>
      <c r="AO2194" s="474"/>
      <c r="AP2194" s="474" t="s">
        <v>38</v>
      </c>
      <c r="AQ2194" s="474" t="s">
        <v>37</v>
      </c>
      <c r="AR2194" s="474"/>
      <c r="AS2194" s="387"/>
      <c r="AT2194" s="387"/>
      <c r="AU2194" s="471"/>
      <c r="AV2194" s="262" t="str">
        <f t="shared" si="382"/>
        <v>30380661F</v>
      </c>
      <c r="AW2194" s="262" cm="1">
        <f t="array" ref="AW2194">SUM(MID(0&amp;AV2194,LARGE(INDEX(ISNUMBER(--MID(AV2194,ROW($1:$8),1))*ROW($1:$8),),ROW($1:$8))+1,1)*10^ROW($1:$8)/10)</f>
        <v>30380661</v>
      </c>
      <c r="AX2194" s="262" t="str">
        <f>VLOOKUP($AW2194,'Item Master Data'!$A:$F,3,FALSE)</f>
        <v xml:space="preserve">Q.PEAK DUO L G6 </v>
      </c>
      <c r="AY2194" s="262">
        <f>VLOOKUP($AW2194,'Item Master Data'!$A:$F,6,FALSE)</f>
        <v>425</v>
      </c>
      <c r="AZ2194" s="262">
        <f t="shared" si="383"/>
        <v>1</v>
      </c>
      <c r="BA2194" s="262">
        <f>VLOOKUP(AW2194,'Item Master Data'!$A:$G,7,FALSE)</f>
        <v>29</v>
      </c>
      <c r="BC2194" s="262">
        <f t="shared" si="384"/>
        <v>0</v>
      </c>
    </row>
    <row r="2195" spans="1:55">
      <c r="A2195" s="410"/>
      <c r="B2195" s="407"/>
      <c r="C2195" s="407"/>
      <c r="D2195" s="474" t="s">
        <v>1066</v>
      </c>
      <c r="E2195" s="388"/>
      <c r="F2195" s="474"/>
      <c r="G2195" s="474">
        <v>2022</v>
      </c>
      <c r="H2195" s="474">
        <v>3</v>
      </c>
      <c r="I2195" s="485">
        <v>127809</v>
      </c>
      <c r="J2195" s="475">
        <v>44648</v>
      </c>
      <c r="K2195" s="474" t="s">
        <v>1195</v>
      </c>
      <c r="L2195" s="475" t="s">
        <v>1187</v>
      </c>
      <c r="M2195" s="475">
        <v>44617</v>
      </c>
      <c r="N2195" s="475">
        <v>44621</v>
      </c>
      <c r="O2195" s="475"/>
      <c r="P2195" s="475">
        <v>44628</v>
      </c>
      <c r="Q2195" s="475">
        <v>44648</v>
      </c>
      <c r="R2195" s="475">
        <v>44650</v>
      </c>
      <c r="S2195" s="474" t="s">
        <v>1069</v>
      </c>
      <c r="T2195" s="474">
        <v>72</v>
      </c>
      <c r="U2195" s="474">
        <v>46106145</v>
      </c>
      <c r="V2195" s="474" t="s">
        <v>1188</v>
      </c>
      <c r="W2195" s="476">
        <v>425</v>
      </c>
      <c r="X2195" s="402">
        <f>83+4</f>
        <v>87</v>
      </c>
      <c r="Y2195" s="491">
        <f t="shared" si="372"/>
        <v>36975</v>
      </c>
      <c r="Z2195" s="478">
        <f t="shared" si="385"/>
        <v>0.43501176470588232</v>
      </c>
      <c r="AA2195" s="479">
        <f t="shared" si="380"/>
        <v>16084.56</v>
      </c>
      <c r="AB2195" s="386"/>
      <c r="AC2195" s="481">
        <v>0</v>
      </c>
      <c r="AD2195" s="474"/>
      <c r="AE2195" s="482"/>
      <c r="AF2195" s="493">
        <f t="shared" si="381"/>
        <v>16084.56</v>
      </c>
      <c r="AG2195" s="474" t="s">
        <v>1071</v>
      </c>
      <c r="AH2195" s="447"/>
      <c r="AI2195" s="474">
        <v>60</v>
      </c>
      <c r="AJ2195" s="474" t="s">
        <v>1199</v>
      </c>
      <c r="AK2195" s="474" t="s">
        <v>1198</v>
      </c>
      <c r="AL2195" s="494">
        <v>48150</v>
      </c>
      <c r="AM2195" s="474" t="s">
        <v>52</v>
      </c>
      <c r="AN2195" s="474" t="s">
        <v>1106</v>
      </c>
      <c r="AO2195" s="474"/>
      <c r="AP2195" s="474"/>
      <c r="AQ2195" s="474" t="s">
        <v>37</v>
      </c>
      <c r="AR2195" s="474"/>
      <c r="AS2195" s="387"/>
      <c r="AT2195" s="387"/>
      <c r="AU2195" s="471"/>
      <c r="AV2195" s="262">
        <f t="shared" si="382"/>
        <v>46106145</v>
      </c>
      <c r="AW2195" s="262" cm="1">
        <f t="array" ref="AW2195">SUM(MID(0&amp;AV2195,LARGE(INDEX(ISNUMBER(--MID(AV2195,ROW($1:$8),1))*ROW($1:$8),),ROW($1:$8))+1,1)*10^ROW($1:$8)/10)</f>
        <v>46106145</v>
      </c>
      <c r="AX2195" s="262" t="str">
        <f>VLOOKUP($AW2195,'Item Master Data'!$A:$F,3,FALSE)</f>
        <v xml:space="preserve">Q.PEAK DUO L G6 </v>
      </c>
      <c r="AY2195" s="262">
        <f>VLOOKUP($AW2195,'Item Master Data'!$A:$F,6,FALSE)</f>
        <v>425</v>
      </c>
      <c r="AZ2195" s="262">
        <f t="shared" si="383"/>
        <v>3</v>
      </c>
      <c r="BA2195" s="262">
        <f>VLOOKUP(AW2195,'Item Master Data'!$A:$G,7,FALSE)</f>
        <v>29</v>
      </c>
      <c r="BC2195" s="262">
        <f t="shared" si="384"/>
        <v>0</v>
      </c>
    </row>
    <row r="2196" spans="1:55">
      <c r="A2196" s="410"/>
      <c r="B2196" s="407"/>
      <c r="C2196" s="407"/>
      <c r="D2196" s="474" t="s">
        <v>1066</v>
      </c>
      <c r="E2196" s="388" t="s">
        <v>1200</v>
      </c>
      <c r="F2196" s="474"/>
      <c r="G2196" s="474">
        <v>2022</v>
      </c>
      <c r="H2196" s="524">
        <v>3</v>
      </c>
      <c r="I2196" s="415">
        <v>127888</v>
      </c>
      <c r="J2196" s="538">
        <v>44648</v>
      </c>
      <c r="K2196" s="524" t="s">
        <v>1195</v>
      </c>
      <c r="L2196" s="538" t="s">
        <v>1187</v>
      </c>
      <c r="M2196" s="475">
        <v>44617</v>
      </c>
      <c r="N2196" s="475">
        <v>44621</v>
      </c>
      <c r="O2196" s="475"/>
      <c r="P2196" s="475">
        <v>44628</v>
      </c>
      <c r="Q2196" s="475">
        <v>44648</v>
      </c>
      <c r="R2196" s="475">
        <v>44650</v>
      </c>
      <c r="S2196" s="474" t="s">
        <v>1069</v>
      </c>
      <c r="T2196" s="474">
        <v>72</v>
      </c>
      <c r="U2196" s="474">
        <v>46109145</v>
      </c>
      <c r="V2196" s="474" t="s">
        <v>1188</v>
      </c>
      <c r="W2196" s="476">
        <v>425</v>
      </c>
      <c r="X2196" s="402">
        <v>473</v>
      </c>
      <c r="Y2196" s="491">
        <f t="shared" si="372"/>
        <v>201025</v>
      </c>
      <c r="Z2196" s="478">
        <f t="shared" si="385"/>
        <v>0.43501176470588232</v>
      </c>
      <c r="AA2196" s="479">
        <f t="shared" si="380"/>
        <v>87448.239999999991</v>
      </c>
      <c r="AB2196" s="386"/>
      <c r="AC2196" s="481">
        <v>0</v>
      </c>
      <c r="AD2196" s="474"/>
      <c r="AE2196" s="482"/>
      <c r="AF2196" s="493">
        <f t="shared" si="381"/>
        <v>87448.239999999991</v>
      </c>
      <c r="AG2196" s="474" t="s">
        <v>1071</v>
      </c>
      <c r="AH2196" s="447"/>
      <c r="AI2196" s="474">
        <v>60</v>
      </c>
      <c r="AJ2196" s="474" t="s">
        <v>1199</v>
      </c>
      <c r="AK2196" s="474" t="s">
        <v>1198</v>
      </c>
      <c r="AL2196" s="494">
        <v>48150</v>
      </c>
      <c r="AM2196" s="474" t="s">
        <v>52</v>
      </c>
      <c r="AN2196" s="474" t="s">
        <v>1106</v>
      </c>
      <c r="AO2196" s="474"/>
      <c r="AP2196" s="474"/>
      <c r="AQ2196" s="474" t="s">
        <v>37</v>
      </c>
      <c r="AR2196" s="474"/>
      <c r="AS2196" s="387"/>
      <c r="AT2196" s="387"/>
      <c r="AU2196" s="471"/>
      <c r="AV2196" s="262">
        <f t="shared" si="382"/>
        <v>46109145</v>
      </c>
      <c r="AW2196" s="262" cm="1">
        <f t="array" ref="AW2196">SUM(MID(0&amp;AV2196,LARGE(INDEX(ISNUMBER(--MID(AV2196,ROW($1:$8),1))*ROW($1:$8),),ROW($1:$8))+1,1)*10^ROW($1:$8)/10)</f>
        <v>46109145</v>
      </c>
      <c r="AX2196" s="262" t="str">
        <f>VLOOKUP($AW2196,'Item Master Data'!$A:$F,3,FALSE)</f>
        <v xml:space="preserve">Q.PEAK DUO L G6 </v>
      </c>
      <c r="AY2196" s="262">
        <f>VLOOKUP($AW2196,'Item Master Data'!$A:$F,6,FALSE)</f>
        <v>425</v>
      </c>
      <c r="AZ2196" s="262">
        <f t="shared" si="383"/>
        <v>16.310344827586206</v>
      </c>
      <c r="BA2196" s="262">
        <f>VLOOKUP(AW2196,'Item Master Data'!$A:$G,7,FALSE)</f>
        <v>29</v>
      </c>
      <c r="BC2196" s="262">
        <f t="shared" si="384"/>
        <v>0</v>
      </c>
    </row>
    <row r="2197" spans="1:55">
      <c r="A2197" s="410"/>
      <c r="B2197" s="407"/>
      <c r="C2197" s="407"/>
      <c r="D2197" s="474" t="s">
        <v>1066</v>
      </c>
      <c r="E2197" s="388"/>
      <c r="F2197" s="474"/>
      <c r="G2197" s="474">
        <v>2022</v>
      </c>
      <c r="H2197" s="474">
        <v>3</v>
      </c>
      <c r="I2197" s="485">
        <v>127612</v>
      </c>
      <c r="J2197" s="475">
        <v>44634</v>
      </c>
      <c r="K2197" s="474" t="s">
        <v>1195</v>
      </c>
      <c r="L2197" s="475" t="s">
        <v>1187</v>
      </c>
      <c r="M2197" s="475">
        <v>44617</v>
      </c>
      <c r="N2197" s="475">
        <v>44621</v>
      </c>
      <c r="O2197" s="475"/>
      <c r="P2197" s="475">
        <v>44628</v>
      </c>
      <c r="Q2197" s="475">
        <v>44634</v>
      </c>
      <c r="R2197" s="475">
        <v>44638</v>
      </c>
      <c r="S2197" s="474" t="s">
        <v>1069</v>
      </c>
      <c r="T2197" s="474">
        <v>72</v>
      </c>
      <c r="U2197" s="474" t="s">
        <v>1201</v>
      </c>
      <c r="V2197" s="474" t="s">
        <v>1188</v>
      </c>
      <c r="W2197" s="476">
        <v>425</v>
      </c>
      <c r="X2197" s="402">
        <v>174</v>
      </c>
      <c r="Y2197" s="491">
        <f t="shared" si="372"/>
        <v>73950</v>
      </c>
      <c r="Z2197" s="478">
        <f t="shared" si="385"/>
        <v>0.43501176470588232</v>
      </c>
      <c r="AA2197" s="479">
        <f t="shared" si="380"/>
        <v>32169.119999999999</v>
      </c>
      <c r="AB2197" s="386"/>
      <c r="AC2197" s="481">
        <v>0</v>
      </c>
      <c r="AD2197" s="474"/>
      <c r="AE2197" s="482"/>
      <c r="AF2197" s="493">
        <f t="shared" si="381"/>
        <v>32169.119999999999</v>
      </c>
      <c r="AG2197" s="474" t="s">
        <v>1071</v>
      </c>
      <c r="AH2197" s="447"/>
      <c r="AI2197" s="474">
        <v>60</v>
      </c>
      <c r="AJ2197" s="474" t="s">
        <v>1197</v>
      </c>
      <c r="AK2197" s="474" t="s">
        <v>1198</v>
      </c>
      <c r="AL2197" s="494">
        <v>48187</v>
      </c>
      <c r="AM2197" s="474" t="s">
        <v>52</v>
      </c>
      <c r="AN2197" s="474" t="s">
        <v>50</v>
      </c>
      <c r="AO2197" s="474"/>
      <c r="AP2197" s="474" t="s">
        <v>38</v>
      </c>
      <c r="AQ2197" s="474" t="s">
        <v>37</v>
      </c>
      <c r="AR2197" s="474"/>
      <c r="AS2197" s="387"/>
      <c r="AT2197" s="387"/>
      <c r="AU2197" s="471"/>
      <c r="AV2197" s="262" t="str">
        <f t="shared" si="382"/>
        <v>30380761F</v>
      </c>
      <c r="AW2197" s="262" cm="1">
        <f t="array" ref="AW2197">SUM(MID(0&amp;AV2197,LARGE(INDEX(ISNUMBER(--MID(AV2197,ROW($1:$8),1))*ROW($1:$8),),ROW($1:$8))+1,1)*10^ROW($1:$8)/10)</f>
        <v>30380761</v>
      </c>
      <c r="AX2197" s="262" t="str">
        <f>VLOOKUP($AW2197,'Item Master Data'!$A:$F,3,FALSE)</f>
        <v xml:space="preserve">Q.PEAK DUO L G6 </v>
      </c>
      <c r="AY2197" s="262">
        <f>VLOOKUP($AW2197,'Item Master Data'!$A:$F,6,FALSE)</f>
        <v>425</v>
      </c>
      <c r="AZ2197" s="262">
        <f t="shared" si="383"/>
        <v>6</v>
      </c>
      <c r="BA2197" s="262">
        <f>VLOOKUP(AW2197,'Item Master Data'!$A:$G,7,FALSE)</f>
        <v>29</v>
      </c>
      <c r="BC2197" s="262">
        <f t="shared" si="384"/>
        <v>0</v>
      </c>
    </row>
    <row r="2198" spans="1:55">
      <c r="A2198" s="410"/>
      <c r="B2198" s="407"/>
      <c r="C2198" s="407"/>
      <c r="D2198" s="474" t="s">
        <v>1066</v>
      </c>
      <c r="E2198" s="388"/>
      <c r="F2198" s="474"/>
      <c r="G2198" s="474">
        <v>2022</v>
      </c>
      <c r="H2198" s="474">
        <v>3</v>
      </c>
      <c r="I2198" s="485">
        <v>127612</v>
      </c>
      <c r="J2198" s="475">
        <v>44634</v>
      </c>
      <c r="K2198" s="474" t="s">
        <v>1195</v>
      </c>
      <c r="L2198" s="475" t="s">
        <v>1187</v>
      </c>
      <c r="M2198" s="475">
        <v>44617</v>
      </c>
      <c r="N2198" s="475">
        <v>44621</v>
      </c>
      <c r="O2198" s="475"/>
      <c r="P2198" s="475">
        <v>44628</v>
      </c>
      <c r="Q2198" s="475">
        <v>44634</v>
      </c>
      <c r="R2198" s="475">
        <v>44636</v>
      </c>
      <c r="S2198" s="474" t="s">
        <v>1069</v>
      </c>
      <c r="T2198" s="474">
        <v>72</v>
      </c>
      <c r="U2198" s="474" t="s">
        <v>1202</v>
      </c>
      <c r="V2198" s="474" t="s">
        <v>1188</v>
      </c>
      <c r="W2198" s="476">
        <v>425</v>
      </c>
      <c r="X2198" s="402">
        <v>735</v>
      </c>
      <c r="Y2198" s="491">
        <f t="shared" si="372"/>
        <v>312375</v>
      </c>
      <c r="Z2198" s="478">
        <f t="shared" si="385"/>
        <v>0.43501176470588232</v>
      </c>
      <c r="AA2198" s="479">
        <f t="shared" si="380"/>
        <v>135886.79999999999</v>
      </c>
      <c r="AB2198" s="386"/>
      <c r="AC2198" s="481">
        <v>0</v>
      </c>
      <c r="AD2198" s="474"/>
      <c r="AE2198" s="482"/>
      <c r="AF2198" s="493">
        <f t="shared" si="381"/>
        <v>135886.79999999999</v>
      </c>
      <c r="AG2198" s="474" t="s">
        <v>1071</v>
      </c>
      <c r="AH2198" s="447"/>
      <c r="AI2198" s="474">
        <v>60</v>
      </c>
      <c r="AJ2198" s="474" t="s">
        <v>1197</v>
      </c>
      <c r="AK2198" s="474" t="s">
        <v>1198</v>
      </c>
      <c r="AL2198" s="494">
        <v>48187</v>
      </c>
      <c r="AM2198" s="474" t="s">
        <v>52</v>
      </c>
      <c r="AN2198" s="474" t="s">
        <v>1085</v>
      </c>
      <c r="AO2198" s="474"/>
      <c r="AP2198" s="474" t="s">
        <v>38</v>
      </c>
      <c r="AQ2198" s="474" t="s">
        <v>37</v>
      </c>
      <c r="AR2198" s="474"/>
      <c r="AS2198" s="387"/>
      <c r="AT2198" s="387"/>
      <c r="AU2198" s="471"/>
      <c r="AV2198" s="262" t="str">
        <f t="shared" si="382"/>
        <v>30384561C</v>
      </c>
      <c r="AW2198" s="262" cm="1">
        <f t="array" ref="AW2198">SUM(MID(0&amp;AV2198,LARGE(INDEX(ISNUMBER(--MID(AV2198,ROW($1:$8),1))*ROW($1:$8),),ROW($1:$8))+1,1)*10^ROW($1:$8)/10)</f>
        <v>30384561</v>
      </c>
      <c r="AX2198" s="262" t="str">
        <f>VLOOKUP($AW2198,'Item Master Data'!$A:$F,3,FALSE)</f>
        <v xml:space="preserve">Q.PEAK DUO L G6 </v>
      </c>
      <c r="AY2198" s="262">
        <f>VLOOKUP($AW2198,'Item Master Data'!$A:$F,6,FALSE)</f>
        <v>425</v>
      </c>
      <c r="AZ2198" s="262">
        <f t="shared" si="383"/>
        <v>25.344827586206897</v>
      </c>
      <c r="BA2198" s="262">
        <f>VLOOKUP(AW2198,'Item Master Data'!$A:$G,7,FALSE)</f>
        <v>29</v>
      </c>
      <c r="BC2198" s="262">
        <f t="shared" si="384"/>
        <v>0</v>
      </c>
    </row>
    <row r="2199" spans="1:55">
      <c r="A2199" s="410"/>
      <c r="B2199" s="407"/>
      <c r="C2199" s="407"/>
      <c r="D2199" s="474" t="s">
        <v>1066</v>
      </c>
      <c r="E2199" s="388"/>
      <c r="F2199" s="474"/>
      <c r="G2199" s="474">
        <v>2022</v>
      </c>
      <c r="H2199" s="474">
        <v>3</v>
      </c>
      <c r="I2199" s="485">
        <v>127369</v>
      </c>
      <c r="J2199" s="475">
        <v>44636</v>
      </c>
      <c r="K2199" s="474" t="s">
        <v>1203</v>
      </c>
      <c r="L2199" s="475" t="s">
        <v>1187</v>
      </c>
      <c r="M2199" s="475">
        <v>44617</v>
      </c>
      <c r="N2199" s="475">
        <v>44621</v>
      </c>
      <c r="O2199" s="475"/>
      <c r="P2199" s="475">
        <v>44628</v>
      </c>
      <c r="Q2199" s="475">
        <v>44636</v>
      </c>
      <c r="R2199" s="475">
        <v>44641</v>
      </c>
      <c r="S2199" s="474" t="s">
        <v>1069</v>
      </c>
      <c r="T2199" s="474">
        <v>72</v>
      </c>
      <c r="U2199" s="474" t="s">
        <v>1204</v>
      </c>
      <c r="V2199" s="474" t="s">
        <v>1150</v>
      </c>
      <c r="W2199" s="476">
        <v>425</v>
      </c>
      <c r="X2199" s="402">
        <f>392-30</f>
        <v>362</v>
      </c>
      <c r="Y2199" s="491">
        <f t="shared" ref="Y2199:Y2211" si="386">W2199*X2199</f>
        <v>153850</v>
      </c>
      <c r="Z2199" s="478">
        <f t="shared" si="385"/>
        <v>0.43501176470588232</v>
      </c>
      <c r="AA2199" s="479">
        <f t="shared" si="380"/>
        <v>66926.559999999998</v>
      </c>
      <c r="AB2199" s="386"/>
      <c r="AC2199" s="481">
        <v>0</v>
      </c>
      <c r="AD2199" s="474"/>
      <c r="AE2199" s="482"/>
      <c r="AF2199" s="493">
        <f t="shared" si="381"/>
        <v>66926.559999999998</v>
      </c>
      <c r="AG2199" s="474" t="s">
        <v>1071</v>
      </c>
      <c r="AH2199" s="447"/>
      <c r="AI2199" s="474">
        <v>60</v>
      </c>
      <c r="AJ2199" s="474" t="s">
        <v>1205</v>
      </c>
      <c r="AK2199" s="474" t="s">
        <v>1138</v>
      </c>
      <c r="AL2199" s="494">
        <v>14624</v>
      </c>
      <c r="AM2199" s="474" t="s">
        <v>52</v>
      </c>
      <c r="AN2199" s="474" t="s">
        <v>50</v>
      </c>
      <c r="AO2199" s="474"/>
      <c r="AP2199" s="474" t="s">
        <v>38</v>
      </c>
      <c r="AQ2199" s="474" t="s">
        <v>37</v>
      </c>
      <c r="AR2199" s="474"/>
      <c r="AS2199" s="387"/>
      <c r="AT2199" s="387"/>
      <c r="AU2199" s="471"/>
      <c r="AV2199" s="262" t="str">
        <f t="shared" si="382"/>
        <v>12004246F</v>
      </c>
      <c r="AW2199" s="262" cm="1">
        <f t="array" ref="AW2199">SUM(MID(0&amp;AV2199,LARGE(INDEX(ISNUMBER(--MID(AV2199,ROW($1:$8),1))*ROW($1:$8),),ROW($1:$8))+1,1)*10^ROW($1:$8)/10)</f>
        <v>12004246</v>
      </c>
      <c r="AX2199" s="262" t="str">
        <f>VLOOKUP($AW2199,'Item Master Data'!$A:$F,3,FALSE)</f>
        <v>Q.PEAK DUO L G8</v>
      </c>
      <c r="AY2199" s="262">
        <f>VLOOKUP($AW2199,'Item Master Data'!$A:$F,6,FALSE)</f>
        <v>425</v>
      </c>
      <c r="AZ2199" s="262">
        <f t="shared" si="383"/>
        <v>12.066666666666666</v>
      </c>
      <c r="BA2199" s="262">
        <f>VLOOKUP(AW2199,'Item Master Data'!$A:$G,7,FALSE)</f>
        <v>30</v>
      </c>
      <c r="BC2199" s="262">
        <f t="shared" si="384"/>
        <v>0</v>
      </c>
    </row>
    <row r="2200" spans="1:55">
      <c r="A2200" s="410"/>
      <c r="B2200" s="407"/>
      <c r="C2200" s="407"/>
      <c r="D2200" s="474" t="s">
        <v>1066</v>
      </c>
      <c r="E2200" s="388"/>
      <c r="F2200" s="474"/>
      <c r="G2200" s="474">
        <v>2022</v>
      </c>
      <c r="H2200" s="474">
        <v>3</v>
      </c>
      <c r="I2200" s="485">
        <v>127369</v>
      </c>
      <c r="J2200" s="475">
        <v>44636</v>
      </c>
      <c r="K2200" s="474" t="s">
        <v>1203</v>
      </c>
      <c r="L2200" s="475" t="s">
        <v>1187</v>
      </c>
      <c r="M2200" s="475">
        <v>44617</v>
      </c>
      <c r="N2200" s="475">
        <v>44621</v>
      </c>
      <c r="O2200" s="475"/>
      <c r="P2200" s="475">
        <v>44628</v>
      </c>
      <c r="Q2200" s="475">
        <v>44634</v>
      </c>
      <c r="R2200" s="475">
        <v>44636</v>
      </c>
      <c r="S2200" s="474" t="s">
        <v>1069</v>
      </c>
      <c r="T2200" s="474">
        <v>72</v>
      </c>
      <c r="U2200" s="474" t="s">
        <v>1149</v>
      </c>
      <c r="V2200" s="474" t="s">
        <v>1150</v>
      </c>
      <c r="W2200" s="476">
        <v>425</v>
      </c>
      <c r="X2200" s="402">
        <v>359</v>
      </c>
      <c r="Y2200" s="491">
        <f t="shared" si="386"/>
        <v>152575</v>
      </c>
      <c r="Z2200" s="478">
        <f t="shared" si="385"/>
        <v>0.43501176470588232</v>
      </c>
      <c r="AA2200" s="479">
        <f t="shared" si="380"/>
        <v>66371.92</v>
      </c>
      <c r="AB2200" s="386"/>
      <c r="AC2200" s="481">
        <v>0</v>
      </c>
      <c r="AD2200" s="474"/>
      <c r="AE2200" s="482"/>
      <c r="AF2200" s="493">
        <f t="shared" si="381"/>
        <v>66371.92</v>
      </c>
      <c r="AG2200" s="474" t="s">
        <v>1071</v>
      </c>
      <c r="AH2200" s="447"/>
      <c r="AI2200" s="474">
        <v>60</v>
      </c>
      <c r="AJ2200" s="474" t="s">
        <v>1205</v>
      </c>
      <c r="AK2200" s="474" t="s">
        <v>1138</v>
      </c>
      <c r="AL2200" s="494">
        <v>14624</v>
      </c>
      <c r="AM2200" s="474" t="s">
        <v>52</v>
      </c>
      <c r="AN2200" s="474" t="s">
        <v>1151</v>
      </c>
      <c r="AO2200" s="474"/>
      <c r="AP2200" s="474" t="s">
        <v>38</v>
      </c>
      <c r="AQ2200" s="474" t="s">
        <v>37</v>
      </c>
      <c r="AR2200" s="474"/>
      <c r="AS2200" s="387"/>
      <c r="AT2200" s="387"/>
      <c r="AU2200" s="471"/>
      <c r="AV2200" s="262" t="str">
        <f t="shared" si="382"/>
        <v>12005804F</v>
      </c>
      <c r="AW2200" s="262" cm="1">
        <f t="array" ref="AW2200">SUM(MID(0&amp;AV2200,LARGE(INDEX(ISNUMBER(--MID(AV2200,ROW($1:$8),1))*ROW($1:$8),),ROW($1:$8))+1,1)*10^ROW($1:$8)/10)</f>
        <v>12005804</v>
      </c>
      <c r="AX2200" s="262" t="str">
        <f>VLOOKUP($AW2200,'Item Master Data'!$A:$F,3,FALSE)</f>
        <v>Q.PEAK DUO L G8</v>
      </c>
      <c r="AY2200" s="262">
        <f>VLOOKUP($AW2200,'Item Master Data'!$A:$F,6,FALSE)</f>
        <v>425</v>
      </c>
      <c r="AZ2200" s="262">
        <f t="shared" si="383"/>
        <v>11.966666666666667</v>
      </c>
      <c r="BA2200" s="262">
        <f>VLOOKUP(AW2200,'Item Master Data'!$A:$G,7,FALSE)</f>
        <v>30</v>
      </c>
      <c r="BC2200" s="262">
        <f t="shared" si="384"/>
        <v>0</v>
      </c>
    </row>
    <row r="2201" spans="1:55">
      <c r="A2201" s="410"/>
      <c r="B2201" s="407"/>
      <c r="C2201" s="407"/>
      <c r="D2201" s="474" t="s">
        <v>1066</v>
      </c>
      <c r="E2201" s="388"/>
      <c r="F2201" s="474"/>
      <c r="G2201" s="474">
        <v>2022</v>
      </c>
      <c r="H2201" s="474">
        <v>3</v>
      </c>
      <c r="I2201" s="485">
        <v>127370</v>
      </c>
      <c r="J2201" s="475">
        <v>44634</v>
      </c>
      <c r="K2201" s="474" t="s">
        <v>1206</v>
      </c>
      <c r="L2201" s="475" t="s">
        <v>1187</v>
      </c>
      <c r="M2201" s="475">
        <v>44617</v>
      </c>
      <c r="N2201" s="475">
        <v>44621</v>
      </c>
      <c r="O2201" s="475"/>
      <c r="P2201" s="475">
        <v>44628</v>
      </c>
      <c r="Q2201" s="475">
        <v>44634</v>
      </c>
      <c r="R2201" s="475">
        <v>44636</v>
      </c>
      <c r="S2201" s="474" t="s">
        <v>1069</v>
      </c>
      <c r="T2201" s="474">
        <v>72</v>
      </c>
      <c r="U2201" s="474" t="s">
        <v>1149</v>
      </c>
      <c r="V2201" s="474" t="s">
        <v>1150</v>
      </c>
      <c r="W2201" s="476">
        <v>425</v>
      </c>
      <c r="X2201" s="402">
        <v>751</v>
      </c>
      <c r="Y2201" s="491">
        <f t="shared" si="386"/>
        <v>319175</v>
      </c>
      <c r="Z2201" s="478">
        <f t="shared" si="385"/>
        <v>0.43501176470588232</v>
      </c>
      <c r="AA2201" s="479">
        <f t="shared" si="380"/>
        <v>138844.87999999998</v>
      </c>
      <c r="AB2201" s="386"/>
      <c r="AC2201" s="481">
        <v>0</v>
      </c>
      <c r="AD2201" s="474"/>
      <c r="AE2201" s="482"/>
      <c r="AF2201" s="493">
        <f t="shared" si="381"/>
        <v>138844.87999999998</v>
      </c>
      <c r="AG2201" s="474" t="s">
        <v>1071</v>
      </c>
      <c r="AH2201" s="447"/>
      <c r="AI2201" s="474">
        <v>60</v>
      </c>
      <c r="AJ2201" s="474" t="s">
        <v>1207</v>
      </c>
      <c r="AK2201" s="474" t="s">
        <v>1208</v>
      </c>
      <c r="AL2201" s="494">
        <v>52404</v>
      </c>
      <c r="AM2201" s="474" t="s">
        <v>52</v>
      </c>
      <c r="AN2201" s="474" t="s">
        <v>1151</v>
      </c>
      <c r="AO2201" s="474"/>
      <c r="AP2201" s="474" t="s">
        <v>38</v>
      </c>
      <c r="AQ2201" s="474" t="s">
        <v>37</v>
      </c>
      <c r="AR2201" s="474"/>
      <c r="AS2201" s="387"/>
      <c r="AT2201" s="387"/>
      <c r="AU2201" s="471"/>
      <c r="AV2201" s="262" t="str">
        <f t="shared" si="382"/>
        <v>12005804F</v>
      </c>
      <c r="AW2201" s="262" cm="1">
        <f t="array" ref="AW2201">SUM(MID(0&amp;AV2201,LARGE(INDEX(ISNUMBER(--MID(AV2201,ROW($1:$8),1))*ROW($1:$8),),ROW($1:$8))+1,1)*10^ROW($1:$8)/10)</f>
        <v>12005804</v>
      </c>
      <c r="AX2201" s="262" t="str">
        <f>VLOOKUP($AW2201,'Item Master Data'!$A:$F,3,FALSE)</f>
        <v>Q.PEAK DUO L G8</v>
      </c>
      <c r="AY2201" s="262">
        <f>VLOOKUP($AW2201,'Item Master Data'!$A:$F,6,FALSE)</f>
        <v>425</v>
      </c>
      <c r="AZ2201" s="262">
        <f t="shared" si="383"/>
        <v>25.033333333333335</v>
      </c>
      <c r="BA2201" s="262">
        <f>VLOOKUP(AW2201,'Item Master Data'!$A:$G,7,FALSE)</f>
        <v>30</v>
      </c>
      <c r="BC2201" s="262">
        <f t="shared" si="384"/>
        <v>0</v>
      </c>
    </row>
    <row r="2202" spans="1:55">
      <c r="A2202" s="410"/>
      <c r="B2202" s="407"/>
      <c r="C2202" s="407"/>
      <c r="D2202" s="474" t="s">
        <v>1066</v>
      </c>
      <c r="E2202" s="388"/>
      <c r="F2202" s="474"/>
      <c r="G2202" s="474">
        <v>2022</v>
      </c>
      <c r="H2202" s="474">
        <v>6</v>
      </c>
      <c r="I2202" s="485"/>
      <c r="J2202" s="475"/>
      <c r="K2202" s="474" t="s">
        <v>1209</v>
      </c>
      <c r="L2202" s="475" t="s">
        <v>1187</v>
      </c>
      <c r="M2202" s="475">
        <v>44619</v>
      </c>
      <c r="N2202" s="475">
        <v>44713</v>
      </c>
      <c r="O2202" s="475"/>
      <c r="P2202" s="475"/>
      <c r="Q2202" s="475"/>
      <c r="R2202" s="475"/>
      <c r="S2202" s="474" t="s">
        <v>1069</v>
      </c>
      <c r="T2202" s="474">
        <v>72</v>
      </c>
      <c r="U2202" s="474">
        <v>12005833</v>
      </c>
      <c r="V2202" s="474" t="s">
        <v>1070</v>
      </c>
      <c r="W2202" s="476">
        <v>475</v>
      </c>
      <c r="X2202" s="402">
        <v>3780</v>
      </c>
      <c r="Y2202" s="491">
        <f t="shared" si="386"/>
        <v>1795500</v>
      </c>
      <c r="Z2202" s="478">
        <v>0.5</v>
      </c>
      <c r="AA2202" s="479">
        <f t="shared" si="380"/>
        <v>897750</v>
      </c>
      <c r="AB2202" s="386"/>
      <c r="AC2202" s="481">
        <v>0</v>
      </c>
      <c r="AD2202" s="474"/>
      <c r="AE2202" s="482"/>
      <c r="AF2202" s="493">
        <f t="shared" si="381"/>
        <v>897750</v>
      </c>
      <c r="AG2202" s="474" t="s">
        <v>1071</v>
      </c>
      <c r="AH2202" s="447"/>
      <c r="AI2202" s="474">
        <v>60</v>
      </c>
      <c r="AJ2202" s="474" t="s">
        <v>1210</v>
      </c>
      <c r="AK2202" s="474" t="s">
        <v>1096</v>
      </c>
      <c r="AL2202" s="494">
        <v>1501</v>
      </c>
      <c r="AM2202" s="474" t="s">
        <v>52</v>
      </c>
      <c r="AN2202" s="474" t="s">
        <v>1074</v>
      </c>
      <c r="AO2202" s="474"/>
      <c r="AP2202" s="474"/>
      <c r="AQ2202" s="474" t="s">
        <v>37</v>
      </c>
      <c r="AR2202" s="474"/>
      <c r="AS2202" s="387"/>
      <c r="AT2202" s="387"/>
      <c r="AU2202" s="471"/>
      <c r="AV2202" s="262">
        <f t="shared" si="382"/>
        <v>12005833</v>
      </c>
      <c r="AW2202" s="262" cm="1">
        <f t="array" ref="AW2202">SUM(MID(0&amp;AV2202,LARGE(INDEX(ISNUMBER(--MID(AV2202,ROW($1:$8),1))*ROW($1:$8),),ROW($1:$8))+1,1)*10^ROW($1:$8)/10)</f>
        <v>12005833</v>
      </c>
      <c r="AX2202" s="262" t="str">
        <f>VLOOKUP($AW2202,'Item Master Data'!$A:$F,3,FALSE)</f>
        <v>Q.PEAK DUO XL G10 BFG</v>
      </c>
      <c r="AY2202" s="262">
        <f>VLOOKUP($AW2202,'Item Master Data'!$A:$F,6,FALSE)</f>
        <v>475</v>
      </c>
      <c r="AZ2202" s="262">
        <f t="shared" si="383"/>
        <v>126</v>
      </c>
      <c r="BA2202" s="262">
        <f>VLOOKUP(AW2202,'Item Master Data'!$A:$G,7,FALSE)</f>
        <v>30</v>
      </c>
      <c r="BC2202" s="262">
        <f t="shared" si="384"/>
        <v>0</v>
      </c>
    </row>
    <row r="2203" spans="1:55">
      <c r="A2203" s="410"/>
      <c r="B2203" s="407" t="s">
        <v>1211</v>
      </c>
      <c r="C2203" s="407" t="s">
        <v>1211</v>
      </c>
      <c r="D2203" s="474" t="s">
        <v>1066</v>
      </c>
      <c r="E2203" s="388"/>
      <c r="F2203" s="474" t="s">
        <v>1077</v>
      </c>
      <c r="G2203" s="474">
        <v>2022</v>
      </c>
      <c r="H2203" s="474">
        <v>3</v>
      </c>
      <c r="I2203" s="485">
        <v>127324</v>
      </c>
      <c r="J2203" s="475">
        <v>44636</v>
      </c>
      <c r="K2203" s="474" t="s">
        <v>1212</v>
      </c>
      <c r="L2203" s="475" t="s">
        <v>1213</v>
      </c>
      <c r="M2203" s="475">
        <v>44595</v>
      </c>
      <c r="N2203" s="475">
        <v>44595</v>
      </c>
      <c r="O2203" s="475"/>
      <c r="P2203" s="475">
        <v>44631</v>
      </c>
      <c r="Q2203" s="475">
        <v>44636</v>
      </c>
      <c r="R2203" s="475">
        <v>44638</v>
      </c>
      <c r="S2203" s="474" t="s">
        <v>1114</v>
      </c>
      <c r="T2203" s="474">
        <v>72</v>
      </c>
      <c r="U2203" s="474" t="s">
        <v>1103</v>
      </c>
      <c r="V2203" s="474" t="s">
        <v>1002</v>
      </c>
      <c r="W2203" s="476">
        <v>480</v>
      </c>
      <c r="X2203" s="402">
        <v>638</v>
      </c>
      <c r="Y2203" s="491">
        <f t="shared" si="386"/>
        <v>306240</v>
      </c>
      <c r="Z2203" s="478">
        <v>0.49</v>
      </c>
      <c r="AA2203" s="479">
        <f t="shared" ref="AA2203:AA2208" si="387">Z2203*Y2203</f>
        <v>150057.60000000001</v>
      </c>
      <c r="AB2203" s="386"/>
      <c r="AC2203" s="481">
        <f t="shared" ref="AC2203:AC2208" si="388">AB2203*Y2203</f>
        <v>0</v>
      </c>
      <c r="AD2203" s="474"/>
      <c r="AE2203" s="482"/>
      <c r="AF2203" s="493">
        <f t="shared" si="381"/>
        <v>150057.60000000001</v>
      </c>
      <c r="AG2203" s="474" t="s">
        <v>1071</v>
      </c>
      <c r="AH2203" s="447"/>
      <c r="AI2203" s="474">
        <v>60</v>
      </c>
      <c r="AJ2203" s="474" t="s">
        <v>1207</v>
      </c>
      <c r="AK2203" s="474" t="s">
        <v>1208</v>
      </c>
      <c r="AL2203" s="494">
        <v>52404</v>
      </c>
      <c r="AM2203" s="474" t="s">
        <v>52</v>
      </c>
      <c r="AN2203" s="474" t="s">
        <v>1085</v>
      </c>
      <c r="AO2203" s="474"/>
      <c r="AP2203" s="474" t="s">
        <v>38</v>
      </c>
      <c r="AQ2203" s="474" t="s">
        <v>1086</v>
      </c>
      <c r="AR2203" s="474"/>
      <c r="AS2203" s="387" t="s">
        <v>1087</v>
      </c>
      <c r="AT2203" s="387" t="s">
        <v>1076</v>
      </c>
      <c r="AU2203" s="471"/>
      <c r="AV2203" s="262" t="str">
        <f t="shared" si="382"/>
        <v>30397472F</v>
      </c>
      <c r="AW2203" s="262" cm="1">
        <f t="array" ref="AW2203">SUM(MID(0&amp;AV2203,LARGE(INDEX(ISNUMBER(--MID(AV2203,ROW($1:$8),1))*ROW($1:$8),),ROW($1:$8))+1,1)*10^ROW($1:$8)/10)</f>
        <v>30397472</v>
      </c>
      <c r="AX2203" s="262" t="str">
        <f>VLOOKUP($AW2203,'Item Master Data'!$A:$F,3,FALSE)</f>
        <v>Q.PEAK DUO XL G10</v>
      </c>
      <c r="AY2203" s="262">
        <f>VLOOKUP($AW2203,'Item Master Data'!$A:$F,6,FALSE)</f>
        <v>480</v>
      </c>
      <c r="AZ2203" s="262">
        <f t="shared" si="383"/>
        <v>22</v>
      </c>
      <c r="BA2203" s="262">
        <f>VLOOKUP(AW2203,'Item Master Data'!$A:$G,7,FALSE)</f>
        <v>29</v>
      </c>
      <c r="BC2203" s="262">
        <f t="shared" si="384"/>
        <v>0</v>
      </c>
    </row>
    <row r="2204" spans="1:55">
      <c r="A2204" s="400"/>
      <c r="B2204" s="387"/>
      <c r="C2204" s="387"/>
      <c r="D2204" s="392" t="s">
        <v>1066</v>
      </c>
      <c r="E2204" s="393"/>
      <c r="F2204" s="416"/>
      <c r="G2204" s="416">
        <v>2022</v>
      </c>
      <c r="H2204" s="416">
        <v>3</v>
      </c>
      <c r="I2204" s="416">
        <v>127802</v>
      </c>
      <c r="J2204" s="417">
        <v>44649</v>
      </c>
      <c r="K2204" s="416" t="s">
        <v>1214</v>
      </c>
      <c r="L2204" s="417" t="s">
        <v>1215</v>
      </c>
      <c r="M2204" s="417">
        <v>44550</v>
      </c>
      <c r="N2204" s="417">
        <v>44652</v>
      </c>
      <c r="O2204" s="417"/>
      <c r="P2204" s="417">
        <v>44630</v>
      </c>
      <c r="Q2204" s="417">
        <v>44649</v>
      </c>
      <c r="R2204" s="417">
        <v>44651</v>
      </c>
      <c r="S2204" s="416" t="s">
        <v>1114</v>
      </c>
      <c r="T2204" s="416">
        <v>60</v>
      </c>
      <c r="U2204" s="416">
        <v>49201132</v>
      </c>
      <c r="V2204" s="416" t="s">
        <v>986</v>
      </c>
      <c r="W2204" s="418">
        <v>360</v>
      </c>
      <c r="X2204" s="419">
        <v>832</v>
      </c>
      <c r="Y2204" s="426">
        <f t="shared" si="386"/>
        <v>299520</v>
      </c>
      <c r="Z2204" s="420">
        <v>0.53</v>
      </c>
      <c r="AA2204" s="421">
        <f t="shared" si="387"/>
        <v>158745.60000000001</v>
      </c>
      <c r="AB2204" s="421"/>
      <c r="AC2204" s="422">
        <f t="shared" si="388"/>
        <v>0</v>
      </c>
      <c r="AD2204" s="423"/>
      <c r="AE2204" s="424"/>
      <c r="AF2204" s="581">
        <f t="shared" si="381"/>
        <v>158745.60000000001</v>
      </c>
      <c r="AG2204" s="416" t="s">
        <v>1071</v>
      </c>
      <c r="AH2204" s="416"/>
      <c r="AI2204" s="416">
        <v>60</v>
      </c>
      <c r="AJ2204" s="416" t="s">
        <v>1207</v>
      </c>
      <c r="AK2204" s="416" t="s">
        <v>1208</v>
      </c>
      <c r="AL2204" s="425">
        <v>52404</v>
      </c>
      <c r="AM2204" s="416" t="s">
        <v>52</v>
      </c>
      <c r="AN2204" s="416" t="s">
        <v>1106</v>
      </c>
      <c r="AO2204" s="416"/>
      <c r="AP2204" s="424"/>
      <c r="AQ2204" s="424"/>
      <c r="AR2204" s="416" t="s">
        <v>1216</v>
      </c>
      <c r="AS2204" s="436"/>
      <c r="AT2204" s="436"/>
      <c r="AU2204" s="276"/>
      <c r="AV2204" s="262">
        <f t="shared" si="382"/>
        <v>49201132</v>
      </c>
      <c r="AW2204" s="262" cm="1">
        <f t="array" ref="AW2204">SUM(MID(0&amp;AV2204,LARGE(INDEX(ISNUMBER(--MID(AV2204,ROW($1:$8),1))*ROW($1:$8),),ROW($1:$8))+1,1)*10^ROW($1:$8)/10)</f>
        <v>49201132</v>
      </c>
      <c r="AX2204" s="262" t="str">
        <f>VLOOKUP($AW2204,'Item Master Data'!$A:$F,3,FALSE)</f>
        <v>Q.PEAK DUO BLK G10+</v>
      </c>
      <c r="AY2204" s="262">
        <f>VLOOKUP($AW2204,'Item Master Data'!$A:$F,6,FALSE)</f>
        <v>360</v>
      </c>
      <c r="AZ2204" s="262">
        <f t="shared" si="383"/>
        <v>26</v>
      </c>
      <c r="BA2204" s="262">
        <f>VLOOKUP(AW2204,'Item Master Data'!$A:$G,7,FALSE)</f>
        <v>32</v>
      </c>
      <c r="BC2204" s="262">
        <f t="shared" si="384"/>
        <v>0</v>
      </c>
    </row>
    <row r="2205" spans="1:55">
      <c r="A2205" s="410"/>
      <c r="B2205" s="495"/>
      <c r="C2205" s="495"/>
      <c r="D2205" s="394" t="s">
        <v>1066</v>
      </c>
      <c r="E2205" s="388" t="s">
        <v>1217</v>
      </c>
      <c r="F2205" s="474"/>
      <c r="G2205" s="474">
        <v>2022</v>
      </c>
      <c r="H2205" s="524">
        <v>3</v>
      </c>
      <c r="I2205" s="524">
        <v>127857</v>
      </c>
      <c r="J2205" s="538">
        <v>44649</v>
      </c>
      <c r="K2205" s="524" t="s">
        <v>1214</v>
      </c>
      <c r="L2205" s="538" t="s">
        <v>1213</v>
      </c>
      <c r="M2205" s="475">
        <v>44550</v>
      </c>
      <c r="N2205" s="475">
        <v>44652</v>
      </c>
      <c r="O2205" s="475"/>
      <c r="P2205" s="475">
        <v>44630</v>
      </c>
      <c r="Q2205" s="475">
        <v>44649</v>
      </c>
      <c r="R2205" s="475">
        <v>44651</v>
      </c>
      <c r="S2205" s="474" t="s">
        <v>1114</v>
      </c>
      <c r="T2205" s="474">
        <v>60</v>
      </c>
      <c r="U2205" s="474">
        <v>49201132</v>
      </c>
      <c r="V2205" s="474" t="s">
        <v>986</v>
      </c>
      <c r="W2205" s="476">
        <v>360</v>
      </c>
      <c r="X2205" s="402">
        <v>832</v>
      </c>
      <c r="Y2205" s="491">
        <f t="shared" si="386"/>
        <v>299520</v>
      </c>
      <c r="Z2205" s="478">
        <v>0.53</v>
      </c>
      <c r="AA2205" s="492">
        <f t="shared" si="387"/>
        <v>158745.60000000001</v>
      </c>
      <c r="AB2205" s="492"/>
      <c r="AC2205" s="481">
        <f t="shared" si="388"/>
        <v>0</v>
      </c>
      <c r="AD2205" s="490"/>
      <c r="AE2205" s="482"/>
      <c r="AF2205" s="493">
        <f t="shared" si="381"/>
        <v>158745.60000000001</v>
      </c>
      <c r="AG2205" s="474" t="s">
        <v>1071</v>
      </c>
      <c r="AH2205" s="474"/>
      <c r="AI2205" s="474">
        <v>60</v>
      </c>
      <c r="AJ2205" s="474" t="s">
        <v>1207</v>
      </c>
      <c r="AK2205" s="474" t="s">
        <v>1208</v>
      </c>
      <c r="AL2205" s="494">
        <v>52404</v>
      </c>
      <c r="AM2205" s="474" t="s">
        <v>52</v>
      </c>
      <c r="AN2205" s="474" t="s">
        <v>1106</v>
      </c>
      <c r="AO2205" s="474"/>
      <c r="AP2205" s="482"/>
      <c r="AQ2205" s="482"/>
      <c r="AR2205" s="474" t="s">
        <v>1216</v>
      </c>
      <c r="AS2205" s="436"/>
      <c r="AT2205" s="436"/>
      <c r="AU2205" s="471"/>
      <c r="AV2205" s="262">
        <f t="shared" si="382"/>
        <v>49201132</v>
      </c>
      <c r="AW2205" s="262" cm="1">
        <f t="array" ref="AW2205">SUM(MID(0&amp;AV2205,LARGE(INDEX(ISNUMBER(--MID(AV2205,ROW($1:$8),1))*ROW($1:$8),),ROW($1:$8))+1,1)*10^ROW($1:$8)/10)</f>
        <v>49201132</v>
      </c>
      <c r="AX2205" s="262" t="str">
        <f>VLOOKUP($AW2205,'Item Master Data'!$A:$F,3,FALSE)</f>
        <v>Q.PEAK DUO BLK G10+</v>
      </c>
      <c r="AY2205" s="262">
        <f>VLOOKUP($AW2205,'Item Master Data'!$A:$F,6,FALSE)</f>
        <v>360</v>
      </c>
      <c r="AZ2205" s="262">
        <f t="shared" si="383"/>
        <v>26</v>
      </c>
      <c r="BA2205" s="262">
        <f>VLOOKUP(AW2205,'Item Master Data'!$A:$G,7,FALSE)</f>
        <v>32</v>
      </c>
      <c r="BC2205" s="262">
        <f t="shared" si="384"/>
        <v>0</v>
      </c>
    </row>
    <row r="2206" spans="1:55">
      <c r="A2206" s="410"/>
      <c r="B2206" s="598">
        <v>44629</v>
      </c>
      <c r="C2206" s="495" t="s">
        <v>1211</v>
      </c>
      <c r="D2206" s="394" t="s">
        <v>1066</v>
      </c>
      <c r="E2206" s="474"/>
      <c r="F2206" s="474"/>
      <c r="G2206" s="474">
        <v>2022</v>
      </c>
      <c r="H2206" s="474">
        <v>3</v>
      </c>
      <c r="I2206" s="474">
        <v>127672</v>
      </c>
      <c r="J2206" s="475">
        <v>44650</v>
      </c>
      <c r="K2206" s="474" t="s">
        <v>1218</v>
      </c>
      <c r="L2206" s="475" t="s">
        <v>1219</v>
      </c>
      <c r="M2206" s="475">
        <v>44614</v>
      </c>
      <c r="N2206" s="475">
        <v>44634</v>
      </c>
      <c r="O2206" s="475"/>
      <c r="P2206" s="475">
        <v>44630</v>
      </c>
      <c r="Q2206" s="475">
        <v>44650</v>
      </c>
      <c r="R2206" s="475">
        <v>44652</v>
      </c>
      <c r="S2206" s="474" t="s">
        <v>1114</v>
      </c>
      <c r="T2206" s="474">
        <v>60</v>
      </c>
      <c r="U2206" s="474">
        <v>49201132</v>
      </c>
      <c r="V2206" s="474" t="s">
        <v>986</v>
      </c>
      <c r="W2206" s="476">
        <v>360</v>
      </c>
      <c r="X2206" s="402">
        <v>1664</v>
      </c>
      <c r="Y2206" s="477">
        <f t="shared" si="386"/>
        <v>599040</v>
      </c>
      <c r="Z2206" s="478">
        <v>0.53</v>
      </c>
      <c r="AA2206" s="479">
        <f t="shared" si="387"/>
        <v>317491.20000000001</v>
      </c>
      <c r="AB2206" s="480"/>
      <c r="AC2206" s="481">
        <f t="shared" si="388"/>
        <v>0</v>
      </c>
      <c r="AD2206" s="490"/>
      <c r="AE2206" s="482"/>
      <c r="AF2206" s="493">
        <f t="shared" si="381"/>
        <v>317491.20000000001</v>
      </c>
      <c r="AG2206" s="474" t="s">
        <v>1071</v>
      </c>
      <c r="AH2206" s="474">
        <v>0</v>
      </c>
      <c r="AI2206" s="474">
        <v>60</v>
      </c>
      <c r="AJ2206" s="474" t="s">
        <v>1220</v>
      </c>
      <c r="AK2206" s="474" t="s">
        <v>1221</v>
      </c>
      <c r="AL2206" s="494">
        <v>43125</v>
      </c>
      <c r="AM2206" s="474" t="s">
        <v>52</v>
      </c>
      <c r="AN2206" s="474" t="s">
        <v>1074</v>
      </c>
      <c r="AO2206" s="474"/>
      <c r="AP2206" s="482"/>
      <c r="AQ2206" s="482" t="s">
        <v>1086</v>
      </c>
      <c r="AR2206" s="474" t="s">
        <v>1216</v>
      </c>
      <c r="AS2206" s="436" t="s">
        <v>1087</v>
      </c>
      <c r="AT2206" s="436" t="s">
        <v>1076</v>
      </c>
      <c r="AU2206" s="471"/>
      <c r="AV2206" s="262">
        <f t="shared" si="382"/>
        <v>49201132</v>
      </c>
      <c r="AW2206" s="262" cm="1">
        <f t="array" ref="AW2206">SUM(MID(0&amp;AV2206,LARGE(INDEX(ISNUMBER(--MID(AV2206,ROW($1:$8),1))*ROW($1:$8),),ROW($1:$8))+1,1)*10^ROW($1:$8)/10)</f>
        <v>49201132</v>
      </c>
      <c r="AX2206" s="262" t="str">
        <f>VLOOKUP($AW2206,'Item Master Data'!$A:$F,3,FALSE)</f>
        <v>Q.PEAK DUO BLK G10+</v>
      </c>
      <c r="AY2206" s="262">
        <f>VLOOKUP($AW2206,'Item Master Data'!$A:$F,6,FALSE)</f>
        <v>360</v>
      </c>
      <c r="AZ2206" s="262">
        <f t="shared" si="383"/>
        <v>52</v>
      </c>
      <c r="BA2206" s="262">
        <f>VLOOKUP(AW2206,'Item Master Data'!$A:$G,7,FALSE)</f>
        <v>32</v>
      </c>
      <c r="BC2206" s="262">
        <f t="shared" si="384"/>
        <v>0</v>
      </c>
    </row>
    <row r="2207" spans="1:55">
      <c r="A2207" s="410"/>
      <c r="B2207" s="495" t="s">
        <v>1211</v>
      </c>
      <c r="C2207" s="495" t="s">
        <v>1211</v>
      </c>
      <c r="D2207" s="474" t="s">
        <v>1066</v>
      </c>
      <c r="E2207" s="388"/>
      <c r="F2207" s="474" t="s">
        <v>1147</v>
      </c>
      <c r="G2207" s="474">
        <v>2022</v>
      </c>
      <c r="H2207" s="474">
        <v>4</v>
      </c>
      <c r="I2207" s="485">
        <v>128186</v>
      </c>
      <c r="J2207" s="475">
        <v>44676</v>
      </c>
      <c r="K2207" s="474" t="s">
        <v>5005</v>
      </c>
      <c r="L2207" s="475" t="s">
        <v>1219</v>
      </c>
      <c r="M2207" s="475">
        <v>44573</v>
      </c>
      <c r="N2207" s="475">
        <v>44662</v>
      </c>
      <c r="O2207" s="475"/>
      <c r="P2207" s="475">
        <v>44671</v>
      </c>
      <c r="Q2207" s="475">
        <v>44676</v>
      </c>
      <c r="R2207" s="475">
        <v>44680</v>
      </c>
      <c r="S2207" s="474" t="s">
        <v>1114</v>
      </c>
      <c r="T2207" s="474">
        <v>60</v>
      </c>
      <c r="U2207" s="474" t="s">
        <v>1281</v>
      </c>
      <c r="V2207" s="474" t="s">
        <v>973</v>
      </c>
      <c r="W2207" s="476">
        <v>400</v>
      </c>
      <c r="X2207" s="402">
        <v>768</v>
      </c>
      <c r="Y2207" s="491">
        <f t="shared" si="386"/>
        <v>307200</v>
      </c>
      <c r="Z2207" s="478">
        <v>0.55000000000000004</v>
      </c>
      <c r="AA2207" s="479">
        <f t="shared" si="387"/>
        <v>168960</v>
      </c>
      <c r="AB2207" s="480"/>
      <c r="AC2207" s="481">
        <f t="shared" si="388"/>
        <v>0</v>
      </c>
      <c r="AD2207" s="490"/>
      <c r="AE2207" s="482"/>
      <c r="AF2207" s="493">
        <f t="shared" si="381"/>
        <v>168960</v>
      </c>
      <c r="AG2207" s="474" t="s">
        <v>1071</v>
      </c>
      <c r="AH2207" s="474">
        <v>0</v>
      </c>
      <c r="AI2207" s="474">
        <v>60</v>
      </c>
      <c r="AJ2207" s="474" t="s">
        <v>1220</v>
      </c>
      <c r="AK2207" s="474" t="s">
        <v>1221</v>
      </c>
      <c r="AL2207" s="494">
        <v>43125</v>
      </c>
      <c r="AM2207" s="474" t="s">
        <v>52</v>
      </c>
      <c r="AN2207" s="474" t="s">
        <v>50</v>
      </c>
      <c r="AO2207" s="474"/>
      <c r="AP2207" s="482" t="s">
        <v>92</v>
      </c>
      <c r="AQ2207" s="482" t="s">
        <v>1086</v>
      </c>
      <c r="AR2207" s="474" t="s">
        <v>1216</v>
      </c>
      <c r="AS2207" s="436" t="s">
        <v>1087</v>
      </c>
      <c r="AT2207" s="436" t="s">
        <v>1076</v>
      </c>
      <c r="AU2207" s="471"/>
      <c r="AV2207" s="262" t="str">
        <f t="shared" si="382"/>
        <v>30390456H</v>
      </c>
      <c r="AW2207" s="262" cm="1">
        <f t="array" ref="AW2207">SUM(MID(0&amp;AV2207,LARGE(INDEX(ISNUMBER(--MID(AV2207,ROW($1:$8),1))*ROW($1:$8),),ROW($1:$8))+1,1)*10^ROW($1:$8)/10)</f>
        <v>30390456</v>
      </c>
      <c r="AX2207" s="262" t="str">
        <f>VLOOKUP($AW2207,'Item Master Data'!$A:$F,3,FALSE)</f>
        <v>Q.PEAK DUO BLK ML G10+</v>
      </c>
      <c r="AY2207" s="262">
        <f>VLOOKUP($AW2207,'Item Master Data'!$A:$F,6,FALSE)</f>
        <v>400</v>
      </c>
      <c r="AZ2207" s="262">
        <f t="shared" si="383"/>
        <v>24</v>
      </c>
      <c r="BA2207" s="262">
        <f>VLOOKUP(AW2207,'Item Master Data'!$A:$G,7,FALSE)</f>
        <v>32</v>
      </c>
      <c r="BC2207" s="262">
        <f t="shared" si="384"/>
        <v>0</v>
      </c>
    </row>
    <row r="2208" spans="1:55">
      <c r="A2208" s="410"/>
      <c r="B2208" s="407"/>
      <c r="C2208" s="407"/>
      <c r="D2208" s="474" t="s">
        <v>1066</v>
      </c>
      <c r="E2208" s="388"/>
      <c r="F2208" s="474"/>
      <c r="G2208" s="474">
        <v>2022</v>
      </c>
      <c r="H2208" s="474">
        <v>5</v>
      </c>
      <c r="I2208" s="485" t="s">
        <v>5418</v>
      </c>
      <c r="J2208" s="475"/>
      <c r="K2208" s="474" t="s">
        <v>1251</v>
      </c>
      <c r="L2208" s="475" t="s">
        <v>1242</v>
      </c>
      <c r="M2208" s="475">
        <v>44496</v>
      </c>
      <c r="N2208" s="475">
        <v>44634</v>
      </c>
      <c r="O2208" s="475"/>
      <c r="P2208" s="475">
        <v>44663</v>
      </c>
      <c r="Q2208" s="475"/>
      <c r="R2208" s="475"/>
      <c r="S2208" s="474" t="s">
        <v>1114</v>
      </c>
      <c r="T2208" s="474">
        <v>60</v>
      </c>
      <c r="U2208" s="474">
        <v>49203132</v>
      </c>
      <c r="V2208" s="474" t="s">
        <v>986</v>
      </c>
      <c r="W2208" s="476">
        <v>360</v>
      </c>
      <c r="X2208" s="402">
        <v>832</v>
      </c>
      <c r="Y2208" s="491">
        <f t="shared" si="386"/>
        <v>299520</v>
      </c>
      <c r="Z2208" s="478">
        <v>0.53</v>
      </c>
      <c r="AA2208" s="479">
        <f t="shared" si="387"/>
        <v>158745.60000000001</v>
      </c>
      <c r="AB2208" s="386"/>
      <c r="AC2208" s="481">
        <f t="shared" si="388"/>
        <v>0</v>
      </c>
      <c r="AD2208" s="474"/>
      <c r="AE2208" s="482"/>
      <c r="AF2208" s="493">
        <f t="shared" si="381"/>
        <v>158745.60000000001</v>
      </c>
      <c r="AG2208" s="474" t="s">
        <v>1071</v>
      </c>
      <c r="AH2208" s="447">
        <v>0</v>
      </c>
      <c r="AI2208" s="474">
        <v>60</v>
      </c>
      <c r="AJ2208" s="474" t="s">
        <v>1243</v>
      </c>
      <c r="AK2208" s="474" t="s">
        <v>1244</v>
      </c>
      <c r="AL2208" s="494" t="s">
        <v>1245</v>
      </c>
      <c r="AM2208" s="474" t="s">
        <v>52</v>
      </c>
      <c r="AN2208" s="474" t="s">
        <v>1074</v>
      </c>
      <c r="AO2208" s="474"/>
      <c r="AP2208" s="474"/>
      <c r="AQ2208" s="474" t="s">
        <v>1086</v>
      </c>
      <c r="AR2208" s="474"/>
      <c r="AS2208" s="387" t="s">
        <v>1076</v>
      </c>
      <c r="AT2208" s="387" t="s">
        <v>1076</v>
      </c>
      <c r="AU2208" s="471"/>
      <c r="AV2208" s="262">
        <f t="shared" si="382"/>
        <v>49203132</v>
      </c>
      <c r="AW2208" s="262" cm="1">
        <f t="array" ref="AW2208">SUM(MID(0&amp;AV2208,LARGE(INDEX(ISNUMBER(--MID(AV2208,ROW($1:$8),1))*ROW($1:$8),),ROW($1:$8))+1,1)*10^ROW($1:$8)/10)</f>
        <v>49203132</v>
      </c>
      <c r="AX2208" s="262" t="str">
        <f>VLOOKUP($AW2208,'Item Master Data'!$A:$F,3,FALSE)</f>
        <v>Q.PEAK DUO BLK G10+</v>
      </c>
      <c r="AY2208" s="262">
        <f>VLOOKUP($AW2208,'Item Master Data'!$A:$F,6,FALSE)</f>
        <v>360</v>
      </c>
      <c r="AZ2208" s="262">
        <f t="shared" si="383"/>
        <v>26</v>
      </c>
      <c r="BA2208" s="262">
        <f>VLOOKUP(AW2208,'Item Master Data'!$A:$G,7,FALSE)</f>
        <v>32</v>
      </c>
      <c r="BC2208" s="262">
        <f t="shared" si="384"/>
        <v>0</v>
      </c>
    </row>
    <row r="2209" spans="1:55">
      <c r="A2209" s="410"/>
      <c r="B2209" s="407"/>
      <c r="C2209" s="407"/>
      <c r="D2209" s="474" t="s">
        <v>1066</v>
      </c>
      <c r="E2209" s="388"/>
      <c r="F2209" s="474" t="s">
        <v>87</v>
      </c>
      <c r="G2209" s="474">
        <v>2022</v>
      </c>
      <c r="H2209" s="474">
        <v>3</v>
      </c>
      <c r="I2209" s="485">
        <v>127378</v>
      </c>
      <c r="J2209" s="475">
        <v>44636</v>
      </c>
      <c r="K2209" s="474" t="s">
        <v>1227</v>
      </c>
      <c r="L2209" s="475" t="s">
        <v>1228</v>
      </c>
      <c r="M2209" s="475">
        <v>44539</v>
      </c>
      <c r="N2209" s="475">
        <v>44648</v>
      </c>
      <c r="O2209" s="475"/>
      <c r="P2209" s="475">
        <v>44634</v>
      </c>
      <c r="Q2209" s="475">
        <v>44636</v>
      </c>
      <c r="R2209" s="475">
        <v>44637</v>
      </c>
      <c r="S2209" s="474" t="s">
        <v>1069</v>
      </c>
      <c r="T2209" s="474">
        <v>72</v>
      </c>
      <c r="U2209" s="474" t="s">
        <v>1082</v>
      </c>
      <c r="V2209" s="474" t="s">
        <v>1070</v>
      </c>
      <c r="W2209" s="476">
        <v>475</v>
      </c>
      <c r="X2209" s="402">
        <v>1102</v>
      </c>
      <c r="Y2209" s="491">
        <f t="shared" si="386"/>
        <v>523450</v>
      </c>
      <c r="Z2209" s="478">
        <v>0.47</v>
      </c>
      <c r="AA2209" s="479">
        <f>Y2209*Z2209</f>
        <v>246021.5</v>
      </c>
      <c r="AB2209" s="386"/>
      <c r="AC2209" s="481">
        <v>0</v>
      </c>
      <c r="AD2209" s="474"/>
      <c r="AE2209" s="482"/>
      <c r="AF2209" s="493">
        <f t="shared" si="381"/>
        <v>246021.5</v>
      </c>
      <c r="AG2209" s="474" t="s">
        <v>1071</v>
      </c>
      <c r="AH2209" s="447"/>
      <c r="AI2209" s="474">
        <v>60</v>
      </c>
      <c r="AJ2209" s="474" t="s">
        <v>1189</v>
      </c>
      <c r="AK2209" s="474" t="s">
        <v>1190</v>
      </c>
      <c r="AL2209" s="494">
        <v>6801</v>
      </c>
      <c r="AM2209" s="474" t="s">
        <v>52</v>
      </c>
      <c r="AN2209" s="474" t="s">
        <v>1085</v>
      </c>
      <c r="AO2209" s="474"/>
      <c r="AP2209" s="474" t="s">
        <v>92</v>
      </c>
      <c r="AQ2209" s="474" t="s">
        <v>37</v>
      </c>
      <c r="AR2209" s="474"/>
      <c r="AS2209" s="387"/>
      <c r="AT2209" s="387"/>
      <c r="AU2209" s="471"/>
      <c r="AV2209" s="262" t="str">
        <f t="shared" si="382"/>
        <v>12005833C</v>
      </c>
      <c r="AW2209" s="262" cm="1">
        <f t="array" ref="AW2209">SUM(MID(0&amp;AV2209,LARGE(INDEX(ISNUMBER(--MID(AV2209,ROW($1:$8),1))*ROW($1:$8),),ROW($1:$8))+1,1)*10^ROW($1:$8)/10)</f>
        <v>12005833</v>
      </c>
      <c r="AX2209" s="262" t="str">
        <f>VLOOKUP($AW2209,'Item Master Data'!$A:$F,3,FALSE)</f>
        <v>Q.PEAK DUO XL G10 BFG</v>
      </c>
      <c r="AY2209" s="262">
        <f>VLOOKUP($AW2209,'Item Master Data'!$A:$F,6,FALSE)</f>
        <v>475</v>
      </c>
      <c r="AZ2209" s="262">
        <f t="shared" si="383"/>
        <v>36.733333333333334</v>
      </c>
      <c r="BA2209" s="262">
        <f>VLOOKUP(AW2209,'Item Master Data'!$A:$G,7,FALSE)</f>
        <v>30</v>
      </c>
      <c r="BC2209" s="262">
        <f t="shared" si="384"/>
        <v>0</v>
      </c>
    </row>
    <row r="2210" spans="1:55">
      <c r="A2210" s="410"/>
      <c r="B2210" s="407">
        <v>44574</v>
      </c>
      <c r="C2210" s="407">
        <v>44575</v>
      </c>
      <c r="D2210" s="474" t="s">
        <v>1066</v>
      </c>
      <c r="E2210" s="388" t="s">
        <v>5439</v>
      </c>
      <c r="F2210" s="474"/>
      <c r="G2210" s="474">
        <v>2022</v>
      </c>
      <c r="H2210" s="474">
        <v>5</v>
      </c>
      <c r="I2210" s="485"/>
      <c r="J2210" s="475"/>
      <c r="K2210" s="474" t="s">
        <v>1360</v>
      </c>
      <c r="L2210" s="475" t="s">
        <v>1358</v>
      </c>
      <c r="M2210" s="475">
        <v>44656</v>
      </c>
      <c r="N2210" s="475">
        <v>44656</v>
      </c>
      <c r="O2210" s="475"/>
      <c r="P2210" s="475"/>
      <c r="Q2210" s="475"/>
      <c r="R2210" s="475"/>
      <c r="S2210" s="474" t="s">
        <v>1114</v>
      </c>
      <c r="T2210" s="474">
        <v>72</v>
      </c>
      <c r="U2210" s="474" t="s">
        <v>1082</v>
      </c>
      <c r="V2210" s="474" t="s">
        <v>1070</v>
      </c>
      <c r="W2210" s="476">
        <v>480</v>
      </c>
      <c r="X2210" s="402">
        <v>2552</v>
      </c>
      <c r="Y2210" s="491">
        <f t="shared" si="386"/>
        <v>1224960</v>
      </c>
      <c r="Z2210" s="478">
        <v>0.505</v>
      </c>
      <c r="AA2210" s="479">
        <f>Y2210*Z2210</f>
        <v>618604.80000000005</v>
      </c>
      <c r="AB2210" s="386"/>
      <c r="AC2210" s="481">
        <v>0</v>
      </c>
      <c r="AD2210" s="474"/>
      <c r="AE2210" s="482"/>
      <c r="AF2210" s="493">
        <f t="shared" si="381"/>
        <v>618604.80000000005</v>
      </c>
      <c r="AG2210" s="474" t="s">
        <v>1071</v>
      </c>
      <c r="AH2210" s="447"/>
      <c r="AI2210" s="474">
        <v>60</v>
      </c>
      <c r="AJ2210" s="474" t="s">
        <v>1361</v>
      </c>
      <c r="AK2210" s="474" t="s">
        <v>1117</v>
      </c>
      <c r="AL2210" s="494">
        <v>61704</v>
      </c>
      <c r="AM2210" s="474" t="s">
        <v>52</v>
      </c>
      <c r="AN2210" s="474" t="s">
        <v>1074</v>
      </c>
      <c r="AO2210" s="474"/>
      <c r="AP2210" s="474"/>
      <c r="AQ2210" s="474"/>
      <c r="AR2210" s="474" t="s">
        <v>1216</v>
      </c>
      <c r="AS2210" s="387"/>
      <c r="AT2210" s="387" t="s">
        <v>1076</v>
      </c>
      <c r="AU2210" s="471"/>
      <c r="AV2210" s="262" t="str">
        <f t="shared" si="382"/>
        <v>12005833C</v>
      </c>
      <c r="AW2210" s="262" cm="1">
        <f t="array" ref="AW2210">SUM(MID(0&amp;AV2210,LARGE(INDEX(ISNUMBER(--MID(AV2210,ROW($1:$8),1))*ROW($1:$8),),ROW($1:$8))+1,1)*10^ROW($1:$8)/10)</f>
        <v>12005833</v>
      </c>
      <c r="AX2210" s="262" t="str">
        <f>VLOOKUP($AW2210,'Item Master Data'!$A:$F,3,FALSE)</f>
        <v>Q.PEAK DUO XL G10 BFG</v>
      </c>
      <c r="AY2210" s="262">
        <f>VLOOKUP($AW2210,'Item Master Data'!$A:$F,6,FALSE)</f>
        <v>475</v>
      </c>
      <c r="AZ2210" s="262">
        <f t="shared" si="383"/>
        <v>85.066666666666663</v>
      </c>
      <c r="BA2210" s="262">
        <f>VLOOKUP(AW2210,'Item Master Data'!$A:$G,7,FALSE)</f>
        <v>30</v>
      </c>
      <c r="BC2210" s="262">
        <f t="shared" si="384"/>
        <v>5</v>
      </c>
    </row>
    <row r="2211" spans="1:55">
      <c r="A2211" s="410"/>
      <c r="B2211" s="407">
        <v>44574</v>
      </c>
      <c r="C2211" s="407">
        <v>44575</v>
      </c>
      <c r="D2211" s="474" t="s">
        <v>1066</v>
      </c>
      <c r="E2211" s="388" t="s">
        <v>5439</v>
      </c>
      <c r="F2211" s="474"/>
      <c r="G2211" s="474">
        <v>2022</v>
      </c>
      <c r="H2211" s="474">
        <v>5</v>
      </c>
      <c r="I2211" s="485"/>
      <c r="J2211" s="475"/>
      <c r="K2211" s="474" t="s">
        <v>1362</v>
      </c>
      <c r="L2211" s="475" t="s">
        <v>1358</v>
      </c>
      <c r="M2211" s="475">
        <v>44656</v>
      </c>
      <c r="N2211" s="475">
        <v>44656</v>
      </c>
      <c r="O2211" s="475"/>
      <c r="P2211" s="475"/>
      <c r="Q2211" s="475"/>
      <c r="R2211" s="475"/>
      <c r="S2211" s="474" t="s">
        <v>1114</v>
      </c>
      <c r="T2211" s="474">
        <v>72</v>
      </c>
      <c r="U2211" s="474" t="s">
        <v>1082</v>
      </c>
      <c r="V2211" s="474" t="s">
        <v>1070</v>
      </c>
      <c r="W2211" s="476">
        <v>480</v>
      </c>
      <c r="X2211" s="402">
        <v>5075</v>
      </c>
      <c r="Y2211" s="491">
        <f t="shared" si="386"/>
        <v>2436000</v>
      </c>
      <c r="Z2211" s="478">
        <v>0.505</v>
      </c>
      <c r="AA2211" s="479">
        <f>Y2211*Z2211</f>
        <v>1230180</v>
      </c>
      <c r="AB2211" s="386"/>
      <c r="AC2211" s="481">
        <v>0</v>
      </c>
      <c r="AD2211" s="474"/>
      <c r="AE2211" s="482"/>
      <c r="AF2211" s="493">
        <f t="shared" si="381"/>
        <v>1230180</v>
      </c>
      <c r="AG2211" s="474" t="s">
        <v>1071</v>
      </c>
      <c r="AH2211" s="447"/>
      <c r="AI2211" s="474">
        <v>60</v>
      </c>
      <c r="AJ2211" s="474" t="s">
        <v>1361</v>
      </c>
      <c r="AK2211" s="474" t="s">
        <v>1117</v>
      </c>
      <c r="AL2211" s="494">
        <v>61704</v>
      </c>
      <c r="AM2211" s="474" t="s">
        <v>52</v>
      </c>
      <c r="AN2211" s="474" t="s">
        <v>1074</v>
      </c>
      <c r="AO2211" s="474"/>
      <c r="AP2211" s="474"/>
      <c r="AQ2211" s="474"/>
      <c r="AR2211" s="474" t="s">
        <v>1216</v>
      </c>
      <c r="AS2211" s="387"/>
      <c r="AT2211" s="387" t="s">
        <v>1076</v>
      </c>
      <c r="AU2211" s="471"/>
      <c r="AV2211" s="262" t="str">
        <f t="shared" si="382"/>
        <v>12005833C</v>
      </c>
      <c r="AW2211" s="262" cm="1">
        <f t="array" ref="AW2211">SUM(MID(0&amp;AV2211,LARGE(INDEX(ISNUMBER(--MID(AV2211,ROW($1:$8),1))*ROW($1:$8),),ROW($1:$8))+1,1)*10^ROW($1:$8)/10)</f>
        <v>12005833</v>
      </c>
      <c r="AX2211" s="262" t="str">
        <f>VLOOKUP($AW2211,'Item Master Data'!$A:$F,3,FALSE)</f>
        <v>Q.PEAK DUO XL G10 BFG</v>
      </c>
      <c r="AY2211" s="262">
        <f>VLOOKUP($AW2211,'Item Master Data'!$A:$F,6,FALSE)</f>
        <v>475</v>
      </c>
      <c r="AZ2211" s="262">
        <f t="shared" si="383"/>
        <v>169.16666666666666</v>
      </c>
      <c r="BA2211" s="262">
        <f>VLOOKUP(AW2211,'Item Master Data'!$A:$G,7,FALSE)</f>
        <v>30</v>
      </c>
      <c r="BC2211" s="262">
        <f t="shared" si="384"/>
        <v>5</v>
      </c>
    </row>
    <row r="2212" spans="1:55">
      <c r="A2212" s="410"/>
      <c r="B2212" s="495" t="s">
        <v>1211</v>
      </c>
      <c r="C2212" s="495" t="s">
        <v>1211</v>
      </c>
      <c r="D2212" s="474" t="s">
        <v>1066</v>
      </c>
      <c r="E2212" s="388" t="s">
        <v>5595</v>
      </c>
      <c r="F2212" s="474" t="s">
        <v>87</v>
      </c>
      <c r="G2212" s="474">
        <v>2022</v>
      </c>
      <c r="H2212" s="474">
        <v>6</v>
      </c>
      <c r="I2212" s="485"/>
      <c r="J2212" s="475"/>
      <c r="K2212" s="474" t="s">
        <v>5596</v>
      </c>
      <c r="L2212" s="475" t="s">
        <v>3286</v>
      </c>
      <c r="M2212" s="475">
        <v>44664</v>
      </c>
      <c r="N2212" s="475">
        <v>44713</v>
      </c>
      <c r="O2212" s="475"/>
      <c r="P2212" s="475"/>
      <c r="Q2212" s="475"/>
      <c r="R2212" s="475"/>
      <c r="S2212" s="474" t="s">
        <v>5283</v>
      </c>
      <c r="T2212" s="474">
        <v>72</v>
      </c>
      <c r="U2212" s="474"/>
      <c r="V2212" s="474" t="s">
        <v>1115</v>
      </c>
      <c r="W2212" s="476">
        <v>580</v>
      </c>
      <c r="X2212" s="402">
        <v>1427</v>
      </c>
      <c r="Y2212" s="477">
        <f>X2212*W2212</f>
        <v>827660</v>
      </c>
      <c r="Z2212" s="478">
        <v>0.57499999999999996</v>
      </c>
      <c r="AA2212" s="479">
        <f>Z2212*Y2212</f>
        <v>475904.49999999994</v>
      </c>
      <c r="AB2212" s="480"/>
      <c r="AC2212" s="481">
        <f>AB2212*Y2212</f>
        <v>0</v>
      </c>
      <c r="AD2212" s="490"/>
      <c r="AE2212" s="482"/>
      <c r="AF2212" s="493">
        <f t="shared" si="381"/>
        <v>475904.49999999994</v>
      </c>
      <c r="AG2212" s="474" t="s">
        <v>1071</v>
      </c>
      <c r="AH2212" s="474">
        <v>0</v>
      </c>
      <c r="AI2212" s="474">
        <v>60</v>
      </c>
      <c r="AJ2212" s="474" t="s">
        <v>5597</v>
      </c>
      <c r="AK2212" s="474" t="s">
        <v>1096</v>
      </c>
      <c r="AL2212" s="494">
        <v>2745</v>
      </c>
      <c r="AM2212" s="474" t="s">
        <v>52</v>
      </c>
      <c r="AN2212" s="474" t="s">
        <v>1074</v>
      </c>
      <c r="AO2212" s="474"/>
      <c r="AP2212" s="482"/>
      <c r="AQ2212" s="482" t="s">
        <v>1086</v>
      </c>
      <c r="AR2212" s="474" t="s">
        <v>1216</v>
      </c>
      <c r="AS2212" s="436" t="s">
        <v>1087</v>
      </c>
      <c r="AT2212" s="436" t="s">
        <v>1076</v>
      </c>
      <c r="AU2212" s="471"/>
      <c r="AV2212" s="262">
        <f t="shared" si="382"/>
        <v>0</v>
      </c>
      <c r="AW2212" s="262" cm="1">
        <f t="array" ref="AW2212">SUM(MID(0&amp;AV2212,LARGE(INDEX(ISNUMBER(--MID(AV2212,ROW($1:$8),1))*ROW($1:$8),),ROW($1:$8))+1,1)*10^ROW($1:$8)/10)</f>
        <v>0</v>
      </c>
      <c r="AX2212" s="262" t="e">
        <f>VLOOKUP($AW2212,'Item Master Data'!$A:$F,3,FALSE)</f>
        <v>#N/A</v>
      </c>
      <c r="AY2212" s="262" t="e">
        <f>VLOOKUP($AW2212,'Item Master Data'!$A:$F,6,FALSE)</f>
        <v>#N/A</v>
      </c>
      <c r="AZ2212" s="262" t="e">
        <f t="shared" si="383"/>
        <v>#N/A</v>
      </c>
      <c r="BA2212" s="262" t="e">
        <f>VLOOKUP(AW2212,'Item Master Data'!$A:$G,7,FALSE)</f>
        <v>#N/A</v>
      </c>
      <c r="BC2212" s="262" t="e">
        <f t="shared" si="384"/>
        <v>#N/A</v>
      </c>
    </row>
    <row r="2213" spans="1:55">
      <c r="A2213" s="410"/>
      <c r="B2213" s="407"/>
      <c r="C2213" s="407"/>
      <c r="D2213" s="474" t="s">
        <v>1066</v>
      </c>
      <c r="E2213" s="388"/>
      <c r="F2213" s="474"/>
      <c r="G2213" s="474">
        <v>2022</v>
      </c>
      <c r="H2213" s="474">
        <v>5</v>
      </c>
      <c r="I2213" s="485" t="s">
        <v>5418</v>
      </c>
      <c r="J2213" s="475"/>
      <c r="K2213" s="474" t="s">
        <v>1359</v>
      </c>
      <c r="L2213" s="475" t="s">
        <v>1358</v>
      </c>
      <c r="M2213" s="475">
        <v>44574</v>
      </c>
      <c r="N2213" s="475">
        <v>44652</v>
      </c>
      <c r="O2213" s="475"/>
      <c r="P2213" s="475">
        <v>44665</v>
      </c>
      <c r="Q2213" s="475"/>
      <c r="R2213" s="475"/>
      <c r="S2213" s="474" t="s">
        <v>1114</v>
      </c>
      <c r="T2213" s="474">
        <v>72</v>
      </c>
      <c r="U2213" s="474">
        <v>49303156</v>
      </c>
      <c r="V2213" s="474" t="s">
        <v>1070</v>
      </c>
      <c r="W2213" s="476">
        <v>480</v>
      </c>
      <c r="X2213" s="402">
        <v>580</v>
      </c>
      <c r="Y2213" s="491">
        <f>W2213*X2213</f>
        <v>278400</v>
      </c>
      <c r="Z2213" s="478">
        <v>0.47</v>
      </c>
      <c r="AA2213" s="479">
        <f>Y2213*Z2213</f>
        <v>130847.99999999999</v>
      </c>
      <c r="AB2213" s="386"/>
      <c r="AC2213" s="481">
        <v>0</v>
      </c>
      <c r="AD2213" s="474"/>
      <c r="AE2213" s="482"/>
      <c r="AF2213" s="493">
        <f t="shared" si="381"/>
        <v>130847.99999999999</v>
      </c>
      <c r="AG2213" s="474" t="s">
        <v>1071</v>
      </c>
      <c r="AH2213" s="447"/>
      <c r="AI2213" s="474">
        <v>60</v>
      </c>
      <c r="AJ2213" s="474" t="s">
        <v>1282</v>
      </c>
      <c r="AK2213" s="474" t="s">
        <v>1276</v>
      </c>
      <c r="AL2213" s="494">
        <v>63134</v>
      </c>
      <c r="AM2213" s="474" t="s">
        <v>52</v>
      </c>
      <c r="AN2213" s="474" t="s">
        <v>1074</v>
      </c>
      <c r="AO2213" s="474"/>
      <c r="AP2213" s="474"/>
      <c r="AQ2213" s="474"/>
      <c r="AR2213" s="474"/>
      <c r="AS2213" s="387"/>
      <c r="AT2213" s="387" t="s">
        <v>1076</v>
      </c>
      <c r="AU2213" s="471"/>
      <c r="AV2213" s="262">
        <f t="shared" si="382"/>
        <v>49303156</v>
      </c>
      <c r="AW2213" s="262" cm="1">
        <f t="array" ref="AW2213">SUM(MID(0&amp;AV2213,LARGE(INDEX(ISNUMBER(--MID(AV2213,ROW($1:$8),1))*ROW($1:$8),),ROW($1:$8))+1,1)*10^ROW($1:$8)/10)</f>
        <v>49303156</v>
      </c>
      <c r="AX2213" s="262" t="str">
        <f>VLOOKUP($AW2213,'Item Master Data'!$A:$F,3,FALSE)</f>
        <v>Q.PEAK DUO XL G10 BFG</v>
      </c>
      <c r="AY2213" s="262">
        <f>VLOOKUP($AW2213,'Item Master Data'!$A:$F,6,FALSE)</f>
        <v>480</v>
      </c>
      <c r="AZ2213" s="262">
        <f t="shared" si="383"/>
        <v>20</v>
      </c>
      <c r="BA2213" s="262">
        <f>VLOOKUP(AW2213,'Item Master Data'!$A:$G,7,FALSE)</f>
        <v>29</v>
      </c>
      <c r="BC2213" s="262">
        <f t="shared" si="384"/>
        <v>0</v>
      </c>
    </row>
    <row r="2214" spans="1:55">
      <c r="A2214" s="410"/>
      <c r="B2214" s="495" t="s">
        <v>1211</v>
      </c>
      <c r="C2214" s="495" t="s">
        <v>1211</v>
      </c>
      <c r="D2214" s="474" t="s">
        <v>1066</v>
      </c>
      <c r="E2214" s="388"/>
      <c r="F2214" s="474" t="s">
        <v>1147</v>
      </c>
      <c r="G2214" s="474">
        <v>2022</v>
      </c>
      <c r="H2214" s="474">
        <v>5</v>
      </c>
      <c r="I2214" s="485"/>
      <c r="J2214" s="475"/>
      <c r="K2214" s="474" t="s">
        <v>5006</v>
      </c>
      <c r="L2214" s="475" t="s">
        <v>1219</v>
      </c>
      <c r="M2214" s="475">
        <v>44573</v>
      </c>
      <c r="N2214" s="475">
        <v>44692</v>
      </c>
      <c r="O2214" s="475"/>
      <c r="P2214" s="502">
        <v>44680</v>
      </c>
      <c r="Q2214" s="475"/>
      <c r="R2214" s="475"/>
      <c r="S2214" s="474" t="s">
        <v>1114</v>
      </c>
      <c r="T2214" s="474">
        <v>60</v>
      </c>
      <c r="U2214" s="474" t="s">
        <v>1760</v>
      </c>
      <c r="V2214" s="474" t="s">
        <v>973</v>
      </c>
      <c r="W2214" s="476">
        <v>400</v>
      </c>
      <c r="X2214" s="402">
        <v>768</v>
      </c>
      <c r="Y2214" s="477">
        <f>X2214*W2214</f>
        <v>307200</v>
      </c>
      <c r="Z2214" s="478">
        <v>0.55000000000000004</v>
      </c>
      <c r="AA2214" s="479">
        <f>Z2214*Y2214</f>
        <v>168960</v>
      </c>
      <c r="AB2214" s="480"/>
      <c r="AC2214" s="481">
        <f>AB2214*Y2214</f>
        <v>0</v>
      </c>
      <c r="AD2214" s="490"/>
      <c r="AE2214" s="482"/>
      <c r="AF2214" s="493">
        <f t="shared" si="381"/>
        <v>168960</v>
      </c>
      <c r="AG2214" s="474" t="s">
        <v>1071</v>
      </c>
      <c r="AH2214" s="474">
        <v>0</v>
      </c>
      <c r="AI2214" s="474">
        <v>60</v>
      </c>
      <c r="AJ2214" s="474" t="s">
        <v>1220</v>
      </c>
      <c r="AK2214" s="474" t="s">
        <v>1221</v>
      </c>
      <c r="AL2214" s="494">
        <v>43125</v>
      </c>
      <c r="AM2214" s="474" t="s">
        <v>52</v>
      </c>
      <c r="AN2214" s="474" t="s">
        <v>50</v>
      </c>
      <c r="AO2214" s="474"/>
      <c r="AP2214" s="482" t="s">
        <v>38</v>
      </c>
      <c r="AQ2214" s="482" t="s">
        <v>1086</v>
      </c>
      <c r="AR2214" s="474" t="s">
        <v>1216</v>
      </c>
      <c r="AS2214" s="436" t="s">
        <v>1087</v>
      </c>
      <c r="AT2214" s="436" t="s">
        <v>1076</v>
      </c>
      <c r="AU2214" s="471"/>
      <c r="AV2214" s="262" t="str">
        <f t="shared" si="382"/>
        <v>30390156H</v>
      </c>
      <c r="AW2214" s="262" cm="1">
        <f t="array" ref="AW2214">SUM(MID(0&amp;AV2214,LARGE(INDEX(ISNUMBER(--MID(AV2214,ROW($1:$8),1))*ROW($1:$8),),ROW($1:$8))+1,1)*10^ROW($1:$8)/10)</f>
        <v>30390156</v>
      </c>
      <c r="AX2214" s="262" t="str">
        <f>VLOOKUP($AW2214,'Item Master Data'!$A:$F,3,FALSE)</f>
        <v>Q.PEAK DUO BLK ML G10+</v>
      </c>
      <c r="AY2214" s="262">
        <f>VLOOKUP($AW2214,'Item Master Data'!$A:$F,6,FALSE)</f>
        <v>400</v>
      </c>
      <c r="AZ2214" s="262">
        <f t="shared" si="383"/>
        <v>24</v>
      </c>
      <c r="BA2214" s="262">
        <f>VLOOKUP(AW2214,'Item Master Data'!$A:$G,7,FALSE)</f>
        <v>32</v>
      </c>
      <c r="BC2214" s="262">
        <f t="shared" si="384"/>
        <v>0</v>
      </c>
    </row>
    <row r="2215" spans="1:55">
      <c r="A2215" s="410"/>
      <c r="B2215" s="407"/>
      <c r="C2215" s="407"/>
      <c r="D2215" s="474" t="s">
        <v>1066</v>
      </c>
      <c r="E2215" s="388" t="s">
        <v>5403</v>
      </c>
      <c r="F2215" s="474" t="s">
        <v>87</v>
      </c>
      <c r="G2215" s="474">
        <v>2022</v>
      </c>
      <c r="H2215" s="474">
        <v>5</v>
      </c>
      <c r="I2215" s="485"/>
      <c r="J2215" s="475"/>
      <c r="K2215" s="474" t="s">
        <v>1229</v>
      </c>
      <c r="L2215" s="475" t="s">
        <v>1228</v>
      </c>
      <c r="M2215" s="475">
        <v>44538</v>
      </c>
      <c r="N2215" s="475">
        <v>44227</v>
      </c>
      <c r="O2215" s="475"/>
      <c r="P2215" s="475" t="s">
        <v>5737</v>
      </c>
      <c r="Q2215" s="475"/>
      <c r="R2215" s="475"/>
      <c r="S2215" s="474" t="s">
        <v>1069</v>
      </c>
      <c r="T2215" s="474">
        <v>72</v>
      </c>
      <c r="U2215" s="474">
        <v>49303155</v>
      </c>
      <c r="V2215" s="474" t="s">
        <v>1070</v>
      </c>
      <c r="W2215" s="476">
        <v>475</v>
      </c>
      <c r="X2215" s="402">
        <v>1102</v>
      </c>
      <c r="Y2215" s="491">
        <f t="shared" ref="Y2215:Y2257" si="389">W2215*X2215</f>
        <v>523450</v>
      </c>
      <c r="Z2215" s="478">
        <v>0.47</v>
      </c>
      <c r="AA2215" s="479">
        <f>Y2215*Z2215</f>
        <v>246021.5</v>
      </c>
      <c r="AB2215" s="386"/>
      <c r="AC2215" s="481">
        <v>0</v>
      </c>
      <c r="AD2215" s="474"/>
      <c r="AE2215" s="482"/>
      <c r="AF2215" s="493">
        <f t="shared" si="381"/>
        <v>246021.5</v>
      </c>
      <c r="AG2215" s="474" t="s">
        <v>1071</v>
      </c>
      <c r="AH2215" s="447"/>
      <c r="AI2215" s="474">
        <v>60</v>
      </c>
      <c r="AJ2215" s="474" t="s">
        <v>1230</v>
      </c>
      <c r="AK2215" s="474" t="s">
        <v>1190</v>
      </c>
      <c r="AL2215" s="494">
        <v>6492</v>
      </c>
      <c r="AM2215" s="474" t="s">
        <v>52</v>
      </c>
      <c r="AN2215" s="474" t="s">
        <v>1074</v>
      </c>
      <c r="AO2215" s="474"/>
      <c r="AP2215" s="474"/>
      <c r="AQ2215" s="474" t="s">
        <v>37</v>
      </c>
      <c r="AR2215" s="474"/>
      <c r="AS2215" s="387"/>
      <c r="AT2215" s="387"/>
      <c r="AU2215" s="471"/>
      <c r="AV2215" s="262">
        <f t="shared" si="382"/>
        <v>49303155</v>
      </c>
      <c r="AW2215" s="262" cm="1">
        <f t="array" ref="AW2215">SUM(MID(0&amp;AV2215,LARGE(INDEX(ISNUMBER(--MID(AV2215,ROW($1:$8),1))*ROW($1:$8),),ROW($1:$8))+1,1)*10^ROW($1:$8)/10)</f>
        <v>49303155</v>
      </c>
      <c r="AX2215" s="262" t="str">
        <f>VLOOKUP($AW2215,'Item Master Data'!$A:$F,3,FALSE)</f>
        <v>Q.PEAK DUO XL G10 BFG</v>
      </c>
      <c r="AY2215" s="262">
        <f>VLOOKUP($AW2215,'Item Master Data'!$A:$F,6,FALSE)</f>
        <v>475</v>
      </c>
      <c r="AZ2215" s="262">
        <f t="shared" si="383"/>
        <v>38</v>
      </c>
      <c r="BA2215" s="262">
        <f>VLOOKUP(AW2215,'Item Master Data'!$A:$G,7,FALSE)</f>
        <v>29</v>
      </c>
      <c r="BC2215" s="262">
        <f t="shared" si="384"/>
        <v>0</v>
      </c>
    </row>
    <row r="2216" spans="1:55">
      <c r="A2216" s="410"/>
      <c r="B2216" s="407"/>
      <c r="C2216" s="407"/>
      <c r="D2216" s="474" t="s">
        <v>1066</v>
      </c>
      <c r="E2216" s="388" t="s">
        <v>1283</v>
      </c>
      <c r="F2216" s="474" t="s">
        <v>1077</v>
      </c>
      <c r="G2216" s="474">
        <v>2022</v>
      </c>
      <c r="H2216" s="474">
        <v>5</v>
      </c>
      <c r="I2216" s="485" t="s">
        <v>5418</v>
      </c>
      <c r="J2216" s="475"/>
      <c r="K2216" s="483" t="s">
        <v>1372</v>
      </c>
      <c r="L2216" s="475" t="s">
        <v>1373</v>
      </c>
      <c r="M2216" s="475">
        <v>44655</v>
      </c>
      <c r="N2216" s="475">
        <v>44655</v>
      </c>
      <c r="O2216" s="475"/>
      <c r="P2216" s="475">
        <v>44663</v>
      </c>
      <c r="Q2216" s="475"/>
      <c r="R2216" s="475"/>
      <c r="S2216" s="474" t="s">
        <v>1102</v>
      </c>
      <c r="T2216" s="474">
        <v>72</v>
      </c>
      <c r="U2216" s="474">
        <v>49303556</v>
      </c>
      <c r="V2216" s="474" t="s">
        <v>1070</v>
      </c>
      <c r="W2216" s="476">
        <v>480</v>
      </c>
      <c r="X2216" s="402">
        <v>10556</v>
      </c>
      <c r="Y2216" s="470">
        <f t="shared" si="389"/>
        <v>5066880</v>
      </c>
      <c r="Z2216" s="478">
        <v>0.505</v>
      </c>
      <c r="AA2216" s="492">
        <f>Z2216*Y2216</f>
        <v>2558774.4</v>
      </c>
      <c r="AB2216" s="386"/>
      <c r="AC2216" s="481">
        <f>AB2216*Y2216</f>
        <v>0</v>
      </c>
      <c r="AD2216" s="474"/>
      <c r="AE2216" s="482"/>
      <c r="AF2216" s="493">
        <f t="shared" si="381"/>
        <v>2558774.4</v>
      </c>
      <c r="AG2216" s="474" t="s">
        <v>1071</v>
      </c>
      <c r="AH2216" s="447">
        <v>0</v>
      </c>
      <c r="AI2216" s="474">
        <v>60</v>
      </c>
      <c r="AJ2216" s="474" t="s">
        <v>1374</v>
      </c>
      <c r="AK2216" s="474" t="s">
        <v>1375</v>
      </c>
      <c r="AL2216" s="494">
        <v>23222</v>
      </c>
      <c r="AM2216" s="474" t="s">
        <v>52</v>
      </c>
      <c r="AN2216" s="474" t="s">
        <v>1074</v>
      </c>
      <c r="AO2216" s="474"/>
      <c r="AP2216" s="474"/>
      <c r="AQ2216" s="474" t="s">
        <v>1086</v>
      </c>
      <c r="AR2216" s="474"/>
      <c r="AS2216" s="387" t="s">
        <v>1087</v>
      </c>
      <c r="AT2216" s="387" t="s">
        <v>1076</v>
      </c>
      <c r="AU2216" s="471"/>
      <c r="AV2216" s="262">
        <f t="shared" si="382"/>
        <v>49303556</v>
      </c>
      <c r="AW2216" s="262" cm="1">
        <f t="array" ref="AW2216">SUM(MID(0&amp;AV2216,LARGE(INDEX(ISNUMBER(--MID(AV2216,ROW($1:$8),1))*ROW($1:$8),),ROW($1:$8))+1,1)*10^ROW($1:$8)/10)</f>
        <v>49303556</v>
      </c>
      <c r="AX2216" s="262" t="str">
        <f>VLOOKUP($AW2216,'Item Master Data'!$A:$F,3,FALSE)</f>
        <v>Q.PEAK DUO XL G10 BFG</v>
      </c>
      <c r="AY2216" s="262">
        <f>VLOOKUP($AW2216,'Item Master Data'!$A:$F,6,FALSE)</f>
        <v>480</v>
      </c>
      <c r="AZ2216" s="262">
        <f t="shared" si="383"/>
        <v>364</v>
      </c>
      <c r="BA2216" s="262">
        <f>VLOOKUP(AW2216,'Item Master Data'!$A:$G,7,FALSE)</f>
        <v>29</v>
      </c>
      <c r="BC2216" s="262">
        <f t="shared" si="384"/>
        <v>0</v>
      </c>
    </row>
    <row r="2217" spans="1:55">
      <c r="A2217" s="410"/>
      <c r="B2217" s="407"/>
      <c r="C2217" s="407"/>
      <c r="D2217" s="474" t="s">
        <v>1066</v>
      </c>
      <c r="E2217" s="388" t="s">
        <v>1171</v>
      </c>
      <c r="F2217" s="474" t="s">
        <v>87</v>
      </c>
      <c r="G2217" s="474">
        <v>2022</v>
      </c>
      <c r="H2217" s="474">
        <v>7</v>
      </c>
      <c r="I2217" s="485"/>
      <c r="J2217" s="475"/>
      <c r="K2217" s="474" t="s">
        <v>1235</v>
      </c>
      <c r="L2217" s="475" t="s">
        <v>1228</v>
      </c>
      <c r="M2217" s="475">
        <v>44641</v>
      </c>
      <c r="N2217" s="475">
        <v>44753</v>
      </c>
      <c r="O2217" s="475"/>
      <c r="P2217" s="475"/>
      <c r="Q2217" s="475"/>
      <c r="R2217" s="475"/>
      <c r="S2217" s="474" t="s">
        <v>1069</v>
      </c>
      <c r="T2217" s="474">
        <v>72</v>
      </c>
      <c r="U2217" s="474">
        <v>49303155</v>
      </c>
      <c r="V2217" s="474" t="s">
        <v>1070</v>
      </c>
      <c r="W2217" s="476">
        <v>475</v>
      </c>
      <c r="X2217" s="402">
        <v>1914</v>
      </c>
      <c r="Y2217" s="491">
        <f t="shared" si="389"/>
        <v>909150</v>
      </c>
      <c r="Z2217" s="478">
        <v>0.47</v>
      </c>
      <c r="AA2217" s="479">
        <f>Y2217*Z2217</f>
        <v>427300.5</v>
      </c>
      <c r="AB2217" s="386"/>
      <c r="AC2217" s="481">
        <v>0</v>
      </c>
      <c r="AD2217" s="474"/>
      <c r="AE2217" s="482"/>
      <c r="AF2217" s="493">
        <f t="shared" si="381"/>
        <v>427300.5</v>
      </c>
      <c r="AG2217" s="474" t="s">
        <v>1071</v>
      </c>
      <c r="AH2217" s="447"/>
      <c r="AI2217" s="474">
        <v>60</v>
      </c>
      <c r="AJ2217" s="474" t="s">
        <v>1230</v>
      </c>
      <c r="AK2217" s="474" t="s">
        <v>1190</v>
      </c>
      <c r="AL2217" s="494">
        <v>6492</v>
      </c>
      <c r="AM2217" s="474" t="s">
        <v>52</v>
      </c>
      <c r="AN2217" s="474" t="s">
        <v>1085</v>
      </c>
      <c r="AO2217" s="474"/>
      <c r="AP2217" s="474" t="s">
        <v>92</v>
      </c>
      <c r="AQ2217" s="474" t="s">
        <v>37</v>
      </c>
      <c r="AR2217" s="474"/>
      <c r="AS2217" s="387"/>
      <c r="AT2217" s="387"/>
      <c r="AU2217" s="471"/>
      <c r="AV2217" s="262">
        <f t="shared" si="382"/>
        <v>49303155</v>
      </c>
      <c r="AW2217" s="262" cm="1">
        <f t="array" ref="AW2217">SUM(MID(0&amp;AV2217,LARGE(INDEX(ISNUMBER(--MID(AV2217,ROW($1:$8),1))*ROW($1:$8),),ROW($1:$8))+1,1)*10^ROW($1:$8)/10)</f>
        <v>49303155</v>
      </c>
      <c r="AX2217" s="262" t="str">
        <f>VLOOKUP($AW2217,'Item Master Data'!$A:$F,3,FALSE)</f>
        <v>Q.PEAK DUO XL G10 BFG</v>
      </c>
      <c r="AY2217" s="262">
        <f>VLOOKUP($AW2217,'Item Master Data'!$A:$F,6,FALSE)</f>
        <v>475</v>
      </c>
      <c r="AZ2217" s="262">
        <f t="shared" si="383"/>
        <v>66</v>
      </c>
      <c r="BA2217" s="262">
        <f>VLOOKUP(AW2217,'Item Master Data'!$A:$G,7,FALSE)</f>
        <v>29</v>
      </c>
      <c r="BC2217" s="262">
        <f t="shared" si="384"/>
        <v>0</v>
      </c>
    </row>
    <row r="2218" spans="1:55">
      <c r="A2218" s="410"/>
      <c r="B2218" s="407"/>
      <c r="C2218" s="407"/>
      <c r="D2218" s="474" t="s">
        <v>1066</v>
      </c>
      <c r="E2218" s="388" t="s">
        <v>5403</v>
      </c>
      <c r="F2218" s="474" t="s">
        <v>87</v>
      </c>
      <c r="G2218" s="474">
        <v>2022</v>
      </c>
      <c r="H2218" s="474">
        <v>5</v>
      </c>
      <c r="I2218" s="485"/>
      <c r="J2218" s="475"/>
      <c r="K2218" s="474" t="s">
        <v>1367</v>
      </c>
      <c r="L2218" s="475" t="s">
        <v>1368</v>
      </c>
      <c r="M2218" s="475">
        <v>44575</v>
      </c>
      <c r="N2218" s="475">
        <v>44652</v>
      </c>
      <c r="O2218" s="475"/>
      <c r="P2218" s="475"/>
      <c r="Q2218" s="475"/>
      <c r="R2218" s="475"/>
      <c r="S2218" s="474" t="s">
        <v>1069</v>
      </c>
      <c r="T2218" s="474">
        <v>72</v>
      </c>
      <c r="U2218" s="474">
        <v>49303155</v>
      </c>
      <c r="V2218" s="474" t="s">
        <v>1070</v>
      </c>
      <c r="W2218" s="476">
        <v>480</v>
      </c>
      <c r="X2218" s="402">
        <v>696</v>
      </c>
      <c r="Y2218" s="491">
        <f t="shared" si="389"/>
        <v>334080</v>
      </c>
      <c r="Z2218" s="478">
        <v>0.49</v>
      </c>
      <c r="AA2218" s="479">
        <f t="shared" ref="AA2218:AA2228" si="390">Z2218*Y2218</f>
        <v>163699.19999999998</v>
      </c>
      <c r="AB2218" s="386"/>
      <c r="AC2218" s="481">
        <f t="shared" ref="AC2218:AC2228" si="391">AB2218*Y2218</f>
        <v>0</v>
      </c>
      <c r="AD2218" s="474"/>
      <c r="AE2218" s="482"/>
      <c r="AF2218" s="493">
        <f t="shared" si="381"/>
        <v>163699.19999999998</v>
      </c>
      <c r="AG2218" s="474" t="s">
        <v>1071</v>
      </c>
      <c r="AH2218" s="447">
        <v>0</v>
      </c>
      <c r="AI2218" s="474">
        <v>60</v>
      </c>
      <c r="AJ2218" s="474" t="s">
        <v>1369</v>
      </c>
      <c r="AK2218" s="474" t="s">
        <v>1370</v>
      </c>
      <c r="AL2218" s="494">
        <v>5401</v>
      </c>
      <c r="AM2218" s="474" t="s">
        <v>52</v>
      </c>
      <c r="AN2218" s="474" t="s">
        <v>1074</v>
      </c>
      <c r="AO2218" s="474"/>
      <c r="AP2218" s="474"/>
      <c r="AQ2218" s="474" t="s">
        <v>1086</v>
      </c>
      <c r="AR2218" s="474"/>
      <c r="AS2218" s="387" t="s">
        <v>1087</v>
      </c>
      <c r="AT2218" s="387" t="s">
        <v>1076</v>
      </c>
      <c r="AU2218" s="471"/>
      <c r="AV2218" s="262">
        <f t="shared" si="382"/>
        <v>49303155</v>
      </c>
      <c r="AW2218" s="262" cm="1">
        <f t="array" ref="AW2218">SUM(MID(0&amp;AV2218,LARGE(INDEX(ISNUMBER(--MID(AV2218,ROW($1:$8),1))*ROW($1:$8),),ROW($1:$8))+1,1)*10^ROW($1:$8)/10)</f>
        <v>49303155</v>
      </c>
      <c r="AX2218" s="262" t="str">
        <f>VLOOKUP($AW2218,'Item Master Data'!$A:$F,3,FALSE)</f>
        <v>Q.PEAK DUO XL G10 BFG</v>
      </c>
      <c r="AY2218" s="262">
        <f>VLOOKUP($AW2218,'Item Master Data'!$A:$F,6,FALSE)</f>
        <v>475</v>
      </c>
      <c r="AZ2218" s="262">
        <f t="shared" si="383"/>
        <v>24</v>
      </c>
      <c r="BA2218" s="262">
        <f>VLOOKUP(AW2218,'Item Master Data'!$A:$G,7,FALSE)</f>
        <v>29</v>
      </c>
      <c r="BC2218" s="262">
        <f t="shared" si="384"/>
        <v>5</v>
      </c>
    </row>
    <row r="2219" spans="1:55">
      <c r="A2219" s="410"/>
      <c r="B2219" s="407">
        <v>44560</v>
      </c>
      <c r="C2219" s="495" t="s">
        <v>1211</v>
      </c>
      <c r="D2219" s="474" t="s">
        <v>1066</v>
      </c>
      <c r="E2219" s="394"/>
      <c r="F2219" s="474"/>
      <c r="G2219" s="474">
        <v>2022</v>
      </c>
      <c r="H2219" s="474">
        <v>3</v>
      </c>
      <c r="I2219" s="485">
        <v>127803</v>
      </c>
      <c r="J2219" s="475">
        <v>44649</v>
      </c>
      <c r="K2219" s="474" t="s">
        <v>1237</v>
      </c>
      <c r="L2219" s="474" t="s">
        <v>1238</v>
      </c>
      <c r="M2219" s="475">
        <v>44560</v>
      </c>
      <c r="N2219" s="475">
        <v>44562</v>
      </c>
      <c r="O2219" s="475"/>
      <c r="P2219" s="475">
        <v>44631</v>
      </c>
      <c r="Q2219" s="475">
        <v>44649</v>
      </c>
      <c r="R2219" s="475">
        <v>44651</v>
      </c>
      <c r="S2219" s="474" t="s">
        <v>1114</v>
      </c>
      <c r="T2219" s="474">
        <v>60</v>
      </c>
      <c r="U2219" s="474">
        <v>49201132</v>
      </c>
      <c r="V2219" s="474" t="s">
        <v>986</v>
      </c>
      <c r="W2219" s="474">
        <v>360</v>
      </c>
      <c r="X2219" s="406">
        <v>960</v>
      </c>
      <c r="Y2219" s="477">
        <f t="shared" si="389"/>
        <v>345600</v>
      </c>
      <c r="Z2219" s="478">
        <v>0.53</v>
      </c>
      <c r="AA2219" s="479">
        <f t="shared" si="390"/>
        <v>183168</v>
      </c>
      <c r="AB2219" s="386"/>
      <c r="AC2219" s="481">
        <f t="shared" si="391"/>
        <v>0</v>
      </c>
      <c r="AD2219" s="474"/>
      <c r="AE2219" s="482"/>
      <c r="AF2219" s="493">
        <f t="shared" si="381"/>
        <v>183168</v>
      </c>
      <c r="AG2219" s="474" t="s">
        <v>1071</v>
      </c>
      <c r="AH2219" s="447"/>
      <c r="AI2219" s="474">
        <v>60</v>
      </c>
      <c r="AJ2219" s="474" t="s">
        <v>1199</v>
      </c>
      <c r="AK2219" s="474" t="s">
        <v>1198</v>
      </c>
      <c r="AL2219" s="494">
        <v>48150</v>
      </c>
      <c r="AM2219" s="474" t="s">
        <v>52</v>
      </c>
      <c r="AN2219" s="474" t="s">
        <v>1074</v>
      </c>
      <c r="AO2219" s="474"/>
      <c r="AP2219" s="474"/>
      <c r="AQ2219" s="474"/>
      <c r="AR2219" s="474" t="s">
        <v>1216</v>
      </c>
      <c r="AS2219" s="387"/>
      <c r="AT2219" s="387"/>
      <c r="AU2219" s="471"/>
      <c r="AV2219" s="262">
        <f t="shared" si="382"/>
        <v>49201132</v>
      </c>
      <c r="AW2219" s="262" cm="1">
        <f t="array" ref="AW2219">SUM(MID(0&amp;AV2219,LARGE(INDEX(ISNUMBER(--MID(AV2219,ROW($1:$8),1))*ROW($1:$8),),ROW($1:$8))+1,1)*10^ROW($1:$8)/10)</f>
        <v>49201132</v>
      </c>
      <c r="AX2219" s="262" t="str">
        <f>VLOOKUP($AW2219,'Item Master Data'!$A:$F,3,FALSE)</f>
        <v>Q.PEAK DUO BLK G10+</v>
      </c>
      <c r="AY2219" s="262">
        <f>VLOOKUP($AW2219,'Item Master Data'!$A:$F,6,FALSE)</f>
        <v>360</v>
      </c>
      <c r="AZ2219" s="262">
        <f t="shared" si="383"/>
        <v>30</v>
      </c>
      <c r="BA2219" s="262">
        <f>VLOOKUP(AW2219,'Item Master Data'!$A:$G,7,FALSE)</f>
        <v>32</v>
      </c>
      <c r="BC2219" s="262">
        <f t="shared" si="384"/>
        <v>0</v>
      </c>
    </row>
    <row r="2220" spans="1:55">
      <c r="A2220" s="410"/>
      <c r="B2220" s="407">
        <v>44560</v>
      </c>
      <c r="C2220" s="495" t="s">
        <v>1211</v>
      </c>
      <c r="D2220" s="474" t="s">
        <v>1066</v>
      </c>
      <c r="E2220" s="394" t="s">
        <v>1239</v>
      </c>
      <c r="F2220" s="474"/>
      <c r="G2220" s="474">
        <v>2022</v>
      </c>
      <c r="H2220" s="524">
        <v>3</v>
      </c>
      <c r="I2220" s="415">
        <v>127863</v>
      </c>
      <c r="J2220" s="538">
        <v>44648</v>
      </c>
      <c r="K2220" s="524" t="s">
        <v>1237</v>
      </c>
      <c r="L2220" s="524" t="s">
        <v>1238</v>
      </c>
      <c r="M2220" s="475">
        <v>44560</v>
      </c>
      <c r="N2220" s="475">
        <v>44562</v>
      </c>
      <c r="O2220" s="475"/>
      <c r="P2220" s="475">
        <v>44631</v>
      </c>
      <c r="Q2220" s="475">
        <v>44648</v>
      </c>
      <c r="R2220" s="475">
        <v>44651</v>
      </c>
      <c r="S2220" s="474" t="s">
        <v>1114</v>
      </c>
      <c r="T2220" s="474">
        <v>60</v>
      </c>
      <c r="U2220" s="474">
        <v>49201132</v>
      </c>
      <c r="V2220" s="474" t="s">
        <v>986</v>
      </c>
      <c r="W2220" s="474">
        <v>360</v>
      </c>
      <c r="X2220" s="406">
        <v>704</v>
      </c>
      <c r="Y2220" s="477">
        <f t="shared" si="389"/>
        <v>253440</v>
      </c>
      <c r="Z2220" s="478">
        <v>0.53</v>
      </c>
      <c r="AA2220" s="479">
        <f t="shared" si="390"/>
        <v>134323.20000000001</v>
      </c>
      <c r="AB2220" s="386"/>
      <c r="AC2220" s="481">
        <f t="shared" si="391"/>
        <v>0</v>
      </c>
      <c r="AD2220" s="474"/>
      <c r="AE2220" s="482"/>
      <c r="AF2220" s="493">
        <f t="shared" si="381"/>
        <v>134323.20000000001</v>
      </c>
      <c r="AG2220" s="474" t="s">
        <v>1071</v>
      </c>
      <c r="AH2220" s="447"/>
      <c r="AI2220" s="474">
        <v>60</v>
      </c>
      <c r="AJ2220" s="474" t="s">
        <v>1199</v>
      </c>
      <c r="AK2220" s="474" t="s">
        <v>1198</v>
      </c>
      <c r="AL2220" s="494">
        <v>48150</v>
      </c>
      <c r="AM2220" s="474" t="s">
        <v>52</v>
      </c>
      <c r="AN2220" s="474" t="s">
        <v>1074</v>
      </c>
      <c r="AO2220" s="474"/>
      <c r="AP2220" s="474"/>
      <c r="AQ2220" s="474"/>
      <c r="AR2220" s="474" t="s">
        <v>1216</v>
      </c>
      <c r="AS2220" s="387"/>
      <c r="AT2220" s="387"/>
      <c r="AU2220" s="471"/>
      <c r="AV2220" s="262">
        <f t="shared" si="382"/>
        <v>49201132</v>
      </c>
      <c r="AW2220" s="262" cm="1">
        <f t="array" ref="AW2220">SUM(MID(0&amp;AV2220,LARGE(INDEX(ISNUMBER(--MID(AV2220,ROW($1:$8),1))*ROW($1:$8),),ROW($1:$8))+1,1)*10^ROW($1:$8)/10)</f>
        <v>49201132</v>
      </c>
      <c r="AX2220" s="262" t="str">
        <f>VLOOKUP($AW2220,'Item Master Data'!$A:$F,3,FALSE)</f>
        <v>Q.PEAK DUO BLK G10+</v>
      </c>
      <c r="AY2220" s="262">
        <f>VLOOKUP($AW2220,'Item Master Data'!$A:$F,6,FALSE)</f>
        <v>360</v>
      </c>
      <c r="AZ2220" s="262">
        <f t="shared" si="383"/>
        <v>22</v>
      </c>
      <c r="BA2220" s="262">
        <f>VLOOKUP(AW2220,'Item Master Data'!$A:$G,7,FALSE)</f>
        <v>32</v>
      </c>
      <c r="BC2220" s="262">
        <f t="shared" si="384"/>
        <v>0</v>
      </c>
    </row>
    <row r="2221" spans="1:55">
      <c r="A2221" s="410"/>
      <c r="B2221" s="407" t="s">
        <v>1211</v>
      </c>
      <c r="C2221" s="407" t="s">
        <v>1211</v>
      </c>
      <c r="D2221" s="474" t="s">
        <v>1066</v>
      </c>
      <c r="E2221" s="394" t="s">
        <v>1240</v>
      </c>
      <c r="F2221" s="474"/>
      <c r="G2221" s="474">
        <v>2022</v>
      </c>
      <c r="H2221" s="524">
        <v>3</v>
      </c>
      <c r="I2221" s="415">
        <v>127804</v>
      </c>
      <c r="J2221" s="538">
        <v>44645</v>
      </c>
      <c r="K2221" s="524" t="s">
        <v>1241</v>
      </c>
      <c r="L2221" s="538" t="s">
        <v>1242</v>
      </c>
      <c r="M2221" s="475">
        <v>44574</v>
      </c>
      <c r="N2221" s="475">
        <v>44621</v>
      </c>
      <c r="O2221" s="475"/>
      <c r="P2221" s="475">
        <v>44630</v>
      </c>
      <c r="Q2221" s="475">
        <v>44645</v>
      </c>
      <c r="R2221" s="475">
        <v>44648</v>
      </c>
      <c r="S2221" s="474" t="s">
        <v>1114</v>
      </c>
      <c r="T2221" s="474">
        <v>72</v>
      </c>
      <c r="U2221" s="474">
        <v>49303156</v>
      </c>
      <c r="V2221" s="474" t="s">
        <v>1070</v>
      </c>
      <c r="W2221" s="476">
        <v>480</v>
      </c>
      <c r="X2221" s="402">
        <v>783</v>
      </c>
      <c r="Y2221" s="491">
        <f t="shared" si="389"/>
        <v>375840</v>
      </c>
      <c r="Z2221" s="478">
        <v>0.48</v>
      </c>
      <c r="AA2221" s="479">
        <f t="shared" si="390"/>
        <v>180403.19999999998</v>
      </c>
      <c r="AB2221" s="386"/>
      <c r="AC2221" s="481">
        <f t="shared" si="391"/>
        <v>0</v>
      </c>
      <c r="AD2221" s="474"/>
      <c r="AE2221" s="482"/>
      <c r="AF2221" s="493">
        <f t="shared" si="381"/>
        <v>180403.19999999998</v>
      </c>
      <c r="AG2221" s="474" t="s">
        <v>1071</v>
      </c>
      <c r="AH2221" s="447">
        <v>0</v>
      </c>
      <c r="AI2221" s="474">
        <v>60</v>
      </c>
      <c r="AJ2221" s="474" t="s">
        <v>1243</v>
      </c>
      <c r="AK2221" s="474" t="s">
        <v>1244</v>
      </c>
      <c r="AL2221" s="494" t="s">
        <v>1245</v>
      </c>
      <c r="AM2221" s="474" t="s">
        <v>52</v>
      </c>
      <c r="AN2221" s="474" t="s">
        <v>1106</v>
      </c>
      <c r="AO2221" s="474"/>
      <c r="AP2221" s="474"/>
      <c r="AQ2221" s="474" t="s">
        <v>1086</v>
      </c>
      <c r="AR2221" s="474"/>
      <c r="AS2221" s="387" t="s">
        <v>1076</v>
      </c>
      <c r="AT2221" s="387" t="s">
        <v>1076</v>
      </c>
      <c r="AU2221" s="471"/>
      <c r="AV2221" s="262">
        <f t="shared" si="382"/>
        <v>49303156</v>
      </c>
      <c r="AW2221" s="262" cm="1">
        <f t="array" ref="AW2221">SUM(MID(0&amp;AV2221,LARGE(INDEX(ISNUMBER(--MID(AV2221,ROW($1:$8),1))*ROW($1:$8),),ROW($1:$8))+1,1)*10^ROW($1:$8)/10)</f>
        <v>49303156</v>
      </c>
      <c r="AX2221" s="262" t="str">
        <f>VLOOKUP($AW2221,'Item Master Data'!$A:$F,3,FALSE)</f>
        <v>Q.PEAK DUO XL G10 BFG</v>
      </c>
      <c r="AY2221" s="262">
        <f>VLOOKUP($AW2221,'Item Master Data'!$A:$F,6,FALSE)</f>
        <v>480</v>
      </c>
      <c r="AZ2221" s="262">
        <f t="shared" si="383"/>
        <v>27</v>
      </c>
      <c r="BA2221" s="262">
        <f>VLOOKUP(AW2221,'Item Master Data'!$A:$G,7,FALSE)</f>
        <v>29</v>
      </c>
      <c r="BC2221" s="262">
        <f t="shared" si="384"/>
        <v>0</v>
      </c>
    </row>
    <row r="2222" spans="1:55">
      <c r="A2222" s="410">
        <v>10</v>
      </c>
      <c r="B2222" s="407">
        <v>44574</v>
      </c>
      <c r="C2222" s="407">
        <v>44574</v>
      </c>
      <c r="D2222" s="474" t="s">
        <v>1066</v>
      </c>
      <c r="E2222" s="388"/>
      <c r="F2222" s="474"/>
      <c r="G2222" s="474">
        <v>2022</v>
      </c>
      <c r="H2222" s="474">
        <v>3</v>
      </c>
      <c r="I2222" s="485">
        <v>127507</v>
      </c>
      <c r="J2222" s="475">
        <v>44644</v>
      </c>
      <c r="K2222" s="474" t="s">
        <v>1246</v>
      </c>
      <c r="L2222" s="475" t="s">
        <v>1242</v>
      </c>
      <c r="M2222" s="475">
        <v>44502</v>
      </c>
      <c r="N2222" s="475">
        <v>44599</v>
      </c>
      <c r="O2222" s="475"/>
      <c r="P2222" s="475">
        <v>44630</v>
      </c>
      <c r="Q2222" s="475">
        <v>44644</v>
      </c>
      <c r="R2222" s="475">
        <v>44648</v>
      </c>
      <c r="S2222" s="474" t="s">
        <v>1114</v>
      </c>
      <c r="T2222" s="474">
        <v>60</v>
      </c>
      <c r="U2222" s="474" t="s">
        <v>1247</v>
      </c>
      <c r="V2222" s="474" t="s">
        <v>973</v>
      </c>
      <c r="W2222" s="476">
        <v>400</v>
      </c>
      <c r="X2222" s="402">
        <v>768</v>
      </c>
      <c r="Y2222" s="491">
        <f t="shared" si="389"/>
        <v>307200</v>
      </c>
      <c r="Z2222" s="478">
        <v>0.55000000000000004</v>
      </c>
      <c r="AA2222" s="479">
        <f t="shared" si="390"/>
        <v>168960</v>
      </c>
      <c r="AB2222" s="386"/>
      <c r="AC2222" s="481">
        <f t="shared" si="391"/>
        <v>0</v>
      </c>
      <c r="AD2222" s="474"/>
      <c r="AE2222" s="482"/>
      <c r="AF2222" s="493">
        <f t="shared" si="381"/>
        <v>168960</v>
      </c>
      <c r="AG2222" s="474" t="s">
        <v>1071</v>
      </c>
      <c r="AH2222" s="447">
        <v>0</v>
      </c>
      <c r="AI2222" s="474">
        <v>60</v>
      </c>
      <c r="AJ2222" s="474" t="s">
        <v>1243</v>
      </c>
      <c r="AK2222" s="474" t="s">
        <v>1244</v>
      </c>
      <c r="AL2222" s="494" t="s">
        <v>1245</v>
      </c>
      <c r="AM2222" s="474" t="s">
        <v>52</v>
      </c>
      <c r="AN2222" s="474" t="s">
        <v>50</v>
      </c>
      <c r="AO2222" s="474"/>
      <c r="AP2222" s="474" t="s">
        <v>38</v>
      </c>
      <c r="AQ2222" s="474" t="s">
        <v>1086</v>
      </c>
      <c r="AR2222" s="474" t="s">
        <v>1248</v>
      </c>
      <c r="AS2222" s="387" t="s">
        <v>1076</v>
      </c>
      <c r="AT2222" s="387" t="s">
        <v>1076</v>
      </c>
      <c r="AU2222" s="471">
        <v>0.52</v>
      </c>
      <c r="AV2222" s="262" t="str">
        <f t="shared" si="382"/>
        <v>30390456C</v>
      </c>
      <c r="AW2222" s="262" cm="1">
        <f t="array" ref="AW2222">SUM(MID(0&amp;AV2222,LARGE(INDEX(ISNUMBER(--MID(AV2222,ROW($1:$8),1))*ROW($1:$8),),ROW($1:$8))+1,1)*10^ROW($1:$8)/10)</f>
        <v>30390456</v>
      </c>
      <c r="AX2222" s="262" t="str">
        <f>VLOOKUP($AW2222,'Item Master Data'!$A:$F,3,FALSE)</f>
        <v>Q.PEAK DUO BLK ML G10+</v>
      </c>
      <c r="AY2222" s="262">
        <f>VLOOKUP($AW2222,'Item Master Data'!$A:$F,6,FALSE)</f>
        <v>400</v>
      </c>
      <c r="AZ2222" s="262">
        <f t="shared" si="383"/>
        <v>24</v>
      </c>
      <c r="BA2222" s="262">
        <f>VLOOKUP(AW2222,'Item Master Data'!$A:$G,7,FALSE)</f>
        <v>32</v>
      </c>
      <c r="BC2222" s="262">
        <f t="shared" si="384"/>
        <v>0</v>
      </c>
    </row>
    <row r="2223" spans="1:55">
      <c r="A2223" s="410"/>
      <c r="B2223" s="407"/>
      <c r="C2223" s="407"/>
      <c r="D2223" s="474" t="s">
        <v>1066</v>
      </c>
      <c r="E2223" s="388"/>
      <c r="F2223" s="474"/>
      <c r="G2223" s="474">
        <v>2022</v>
      </c>
      <c r="H2223" s="474">
        <v>3</v>
      </c>
      <c r="I2223" s="485">
        <v>127673</v>
      </c>
      <c r="J2223" s="475">
        <v>44642</v>
      </c>
      <c r="K2223" s="474" t="s">
        <v>1249</v>
      </c>
      <c r="L2223" s="475" t="s">
        <v>1242</v>
      </c>
      <c r="M2223" s="475">
        <v>44504</v>
      </c>
      <c r="N2223" s="475">
        <v>44594</v>
      </c>
      <c r="O2223" s="475"/>
      <c r="P2223" s="475">
        <v>44628</v>
      </c>
      <c r="Q2223" s="475">
        <v>44642</v>
      </c>
      <c r="R2223" s="475">
        <v>44643</v>
      </c>
      <c r="S2223" s="474" t="s">
        <v>1114</v>
      </c>
      <c r="T2223" s="474">
        <v>60</v>
      </c>
      <c r="U2223" s="474">
        <v>49201132</v>
      </c>
      <c r="V2223" s="474" t="s">
        <v>986</v>
      </c>
      <c r="W2223" s="476">
        <v>360</v>
      </c>
      <c r="X2223" s="402">
        <v>1664</v>
      </c>
      <c r="Y2223" s="491">
        <f t="shared" si="389"/>
        <v>599040</v>
      </c>
      <c r="Z2223" s="478">
        <v>0.53</v>
      </c>
      <c r="AA2223" s="479">
        <f t="shared" si="390"/>
        <v>317491.20000000001</v>
      </c>
      <c r="AB2223" s="386"/>
      <c r="AC2223" s="481">
        <f t="shared" si="391"/>
        <v>0</v>
      </c>
      <c r="AD2223" s="474"/>
      <c r="AE2223" s="482"/>
      <c r="AF2223" s="493">
        <f t="shared" si="381"/>
        <v>317491.20000000001</v>
      </c>
      <c r="AG2223" s="474" t="s">
        <v>1071</v>
      </c>
      <c r="AH2223" s="447">
        <v>0</v>
      </c>
      <c r="AI2223" s="474">
        <v>60</v>
      </c>
      <c r="AJ2223" s="474" t="s">
        <v>1243</v>
      </c>
      <c r="AK2223" s="474" t="s">
        <v>1244</v>
      </c>
      <c r="AL2223" s="494" t="s">
        <v>1245</v>
      </c>
      <c r="AM2223" s="474" t="s">
        <v>52</v>
      </c>
      <c r="AN2223" s="474" t="s">
        <v>1074</v>
      </c>
      <c r="AO2223" s="474"/>
      <c r="AP2223" s="474"/>
      <c r="AQ2223" s="474" t="s">
        <v>1086</v>
      </c>
      <c r="AR2223" s="474"/>
      <c r="AS2223" s="387" t="s">
        <v>1076</v>
      </c>
      <c r="AT2223" s="387" t="s">
        <v>1076</v>
      </c>
      <c r="AU2223" s="471"/>
      <c r="AV2223" s="262">
        <f t="shared" si="382"/>
        <v>49201132</v>
      </c>
      <c r="AW2223" s="262" cm="1">
        <f t="array" ref="AW2223">SUM(MID(0&amp;AV2223,LARGE(INDEX(ISNUMBER(--MID(AV2223,ROW($1:$8),1))*ROW($1:$8),),ROW($1:$8))+1,1)*10^ROW($1:$8)/10)</f>
        <v>49201132</v>
      </c>
      <c r="AX2223" s="262" t="str">
        <f>VLOOKUP($AW2223,'Item Master Data'!$A:$F,3,FALSE)</f>
        <v>Q.PEAK DUO BLK G10+</v>
      </c>
      <c r="AY2223" s="262">
        <f>VLOOKUP($AW2223,'Item Master Data'!$A:$F,6,FALSE)</f>
        <v>360</v>
      </c>
      <c r="AZ2223" s="262">
        <f t="shared" si="383"/>
        <v>52</v>
      </c>
      <c r="BA2223" s="262">
        <f>VLOOKUP(AW2223,'Item Master Data'!$A:$G,7,FALSE)</f>
        <v>32</v>
      </c>
      <c r="BC2223" s="262">
        <f t="shared" si="384"/>
        <v>0</v>
      </c>
    </row>
    <row r="2224" spans="1:55">
      <c r="A2224" s="410"/>
      <c r="B2224" s="407">
        <v>44574</v>
      </c>
      <c r="C2224" s="407">
        <v>44574</v>
      </c>
      <c r="D2224" s="474" t="s">
        <v>1066</v>
      </c>
      <c r="E2224" s="388"/>
      <c r="F2224" s="474"/>
      <c r="G2224" s="474">
        <v>2022</v>
      </c>
      <c r="H2224" s="474">
        <v>4</v>
      </c>
      <c r="I2224" s="485">
        <v>128093</v>
      </c>
      <c r="J2224" s="475">
        <v>44670</v>
      </c>
      <c r="K2224" s="474" t="s">
        <v>1252</v>
      </c>
      <c r="L2224" s="475" t="s">
        <v>1242</v>
      </c>
      <c r="M2224" s="475">
        <v>44502</v>
      </c>
      <c r="N2224" s="475">
        <v>44627</v>
      </c>
      <c r="O2224" s="475"/>
      <c r="P2224" s="475">
        <v>44664</v>
      </c>
      <c r="Q2224" s="475">
        <v>44670</v>
      </c>
      <c r="R2224" s="475">
        <v>44673</v>
      </c>
      <c r="S2224" s="474" t="s">
        <v>1114</v>
      </c>
      <c r="T2224" s="474">
        <v>60</v>
      </c>
      <c r="U2224" s="474" t="s">
        <v>1281</v>
      </c>
      <c r="V2224" s="474" t="s">
        <v>973</v>
      </c>
      <c r="W2224" s="476">
        <v>400</v>
      </c>
      <c r="X2224" s="402">
        <v>1536</v>
      </c>
      <c r="Y2224" s="491">
        <f t="shared" si="389"/>
        <v>614400</v>
      </c>
      <c r="Z2224" s="478">
        <v>0.55000000000000004</v>
      </c>
      <c r="AA2224" s="479">
        <f t="shared" si="390"/>
        <v>337920</v>
      </c>
      <c r="AB2224" s="386"/>
      <c r="AC2224" s="481">
        <f t="shared" si="391"/>
        <v>0</v>
      </c>
      <c r="AD2224" s="474"/>
      <c r="AE2224" s="482"/>
      <c r="AF2224" s="493">
        <f t="shared" si="381"/>
        <v>337920</v>
      </c>
      <c r="AG2224" s="474" t="s">
        <v>1071</v>
      </c>
      <c r="AH2224" s="447">
        <v>0</v>
      </c>
      <c r="AI2224" s="474">
        <v>60</v>
      </c>
      <c r="AJ2224" s="474" t="s">
        <v>1243</v>
      </c>
      <c r="AK2224" s="474" t="s">
        <v>1244</v>
      </c>
      <c r="AL2224" s="494" t="s">
        <v>1245</v>
      </c>
      <c r="AM2224" s="474" t="s">
        <v>52</v>
      </c>
      <c r="AN2224" s="474" t="s">
        <v>50</v>
      </c>
      <c r="AO2224" s="474"/>
      <c r="AP2224" s="474" t="s">
        <v>38</v>
      </c>
      <c r="AQ2224" s="474" t="s">
        <v>1086</v>
      </c>
      <c r="AR2224" s="474" t="s">
        <v>1216</v>
      </c>
      <c r="AS2224" s="387" t="s">
        <v>1076</v>
      </c>
      <c r="AT2224" s="387" t="s">
        <v>1076</v>
      </c>
      <c r="AU2224" s="471">
        <v>0.52</v>
      </c>
      <c r="AV2224" s="262" t="str">
        <f t="shared" si="382"/>
        <v>30390456H</v>
      </c>
      <c r="AW2224" s="262" cm="1">
        <f t="array" ref="AW2224">SUM(MID(0&amp;AV2224,LARGE(INDEX(ISNUMBER(--MID(AV2224,ROW($1:$8),1))*ROW($1:$8),),ROW($1:$8))+1,1)*10^ROW($1:$8)/10)</f>
        <v>30390456</v>
      </c>
      <c r="AX2224" s="262" t="str">
        <f>VLOOKUP($AW2224,'Item Master Data'!$A:$F,3,FALSE)</f>
        <v>Q.PEAK DUO BLK ML G10+</v>
      </c>
      <c r="AY2224" s="262">
        <f>VLOOKUP($AW2224,'Item Master Data'!$A:$F,6,FALSE)</f>
        <v>400</v>
      </c>
      <c r="AZ2224" s="262">
        <f t="shared" si="383"/>
        <v>48</v>
      </c>
      <c r="BA2224" s="262">
        <f>VLOOKUP(AW2224,'Item Master Data'!$A:$G,7,FALSE)</f>
        <v>32</v>
      </c>
      <c r="BC2224" s="262">
        <f t="shared" si="384"/>
        <v>0</v>
      </c>
    </row>
    <row r="2225" spans="1:55">
      <c r="A2225" s="410">
        <v>10</v>
      </c>
      <c r="B2225" s="407"/>
      <c r="C2225" s="407"/>
      <c r="D2225" s="474" t="s">
        <v>1066</v>
      </c>
      <c r="E2225" s="388"/>
      <c r="F2225" s="474"/>
      <c r="G2225" s="474">
        <v>2022</v>
      </c>
      <c r="H2225" s="474">
        <v>4</v>
      </c>
      <c r="I2225" s="485">
        <v>128174</v>
      </c>
      <c r="J2225" s="475">
        <v>44677</v>
      </c>
      <c r="K2225" s="474" t="s">
        <v>1273</v>
      </c>
      <c r="L2225" s="475" t="s">
        <v>1274</v>
      </c>
      <c r="M2225" s="475">
        <v>44497</v>
      </c>
      <c r="N2225" s="475">
        <v>44594</v>
      </c>
      <c r="O2225" s="475" t="s">
        <v>1280</v>
      </c>
      <c r="P2225" s="475">
        <v>44673</v>
      </c>
      <c r="Q2225" s="475">
        <v>44677</v>
      </c>
      <c r="R2225" s="475">
        <v>44680</v>
      </c>
      <c r="S2225" s="474" t="s">
        <v>1114</v>
      </c>
      <c r="T2225" s="474">
        <v>60</v>
      </c>
      <c r="U2225" s="474" t="s">
        <v>1281</v>
      </c>
      <c r="V2225" s="474" t="s">
        <v>973</v>
      </c>
      <c r="W2225" s="476">
        <v>400</v>
      </c>
      <c r="X2225" s="402">
        <v>1664</v>
      </c>
      <c r="Y2225" s="491">
        <f t="shared" si="389"/>
        <v>665600</v>
      </c>
      <c r="Z2225" s="478">
        <v>0.55000000000000004</v>
      </c>
      <c r="AA2225" s="479">
        <f t="shared" si="390"/>
        <v>366080.00000000006</v>
      </c>
      <c r="AB2225" s="386"/>
      <c r="AC2225" s="481">
        <f t="shared" si="391"/>
        <v>0</v>
      </c>
      <c r="AD2225" s="474"/>
      <c r="AE2225" s="482"/>
      <c r="AF2225" s="493">
        <f t="shared" si="381"/>
        <v>366080.00000000006</v>
      </c>
      <c r="AG2225" s="474" t="s">
        <v>1071</v>
      </c>
      <c r="AH2225" s="447"/>
      <c r="AI2225" s="474">
        <v>60</v>
      </c>
      <c r="AJ2225" s="474" t="s">
        <v>1275</v>
      </c>
      <c r="AK2225" s="474" t="s">
        <v>1276</v>
      </c>
      <c r="AL2225" s="494" t="s">
        <v>1277</v>
      </c>
      <c r="AM2225" s="474" t="s">
        <v>52</v>
      </c>
      <c r="AN2225" s="474" t="s">
        <v>50</v>
      </c>
      <c r="AO2225" s="474"/>
      <c r="AP2225" s="474" t="s">
        <v>38</v>
      </c>
      <c r="AQ2225" s="474"/>
      <c r="AR2225" s="474"/>
      <c r="AS2225" s="387"/>
      <c r="AT2225" s="387"/>
      <c r="AU2225" s="471"/>
      <c r="AV2225" s="262" t="str">
        <f t="shared" si="382"/>
        <v>30390456H</v>
      </c>
      <c r="AW2225" s="262" cm="1">
        <f t="array" ref="AW2225">SUM(MID(0&amp;AV2225,LARGE(INDEX(ISNUMBER(--MID(AV2225,ROW($1:$8),1))*ROW($1:$8),),ROW($1:$8))+1,1)*10^ROW($1:$8)/10)</f>
        <v>30390456</v>
      </c>
      <c r="AX2225" s="262" t="str">
        <f>VLOOKUP($AW2225,'Item Master Data'!$A:$F,3,FALSE)</f>
        <v>Q.PEAK DUO BLK ML G10+</v>
      </c>
      <c r="AY2225" s="262">
        <f>VLOOKUP($AW2225,'Item Master Data'!$A:$F,6,FALSE)</f>
        <v>400</v>
      </c>
      <c r="AZ2225" s="262">
        <f t="shared" si="383"/>
        <v>52</v>
      </c>
      <c r="BA2225" s="262">
        <f>VLOOKUP(AW2225,'Item Master Data'!$A:$G,7,FALSE)</f>
        <v>32</v>
      </c>
      <c r="BC2225" s="262">
        <f t="shared" si="384"/>
        <v>0</v>
      </c>
    </row>
    <row r="2226" spans="1:55">
      <c r="A2226" s="410">
        <v>10</v>
      </c>
      <c r="B2226" s="407"/>
      <c r="C2226" s="407"/>
      <c r="D2226" s="474" t="s">
        <v>1066</v>
      </c>
      <c r="E2226" s="388"/>
      <c r="F2226" s="474"/>
      <c r="G2226" s="474">
        <v>2022</v>
      </c>
      <c r="H2226" s="474">
        <v>4</v>
      </c>
      <c r="I2226" s="485">
        <v>128173</v>
      </c>
      <c r="J2226" s="475">
        <v>44676</v>
      </c>
      <c r="K2226" s="474" t="s">
        <v>1273</v>
      </c>
      <c r="L2226" s="475" t="s">
        <v>1274</v>
      </c>
      <c r="M2226" s="475">
        <v>44497</v>
      </c>
      <c r="N2226" s="475">
        <v>44594</v>
      </c>
      <c r="O2226" s="475" t="s">
        <v>1280</v>
      </c>
      <c r="P2226" s="475">
        <v>44673</v>
      </c>
      <c r="Q2226" s="475">
        <v>44676</v>
      </c>
      <c r="R2226" s="475">
        <v>44679</v>
      </c>
      <c r="S2226" s="474" t="s">
        <v>1114</v>
      </c>
      <c r="T2226" s="474">
        <v>60</v>
      </c>
      <c r="U2226" s="474" t="s">
        <v>1281</v>
      </c>
      <c r="V2226" s="474" t="s">
        <v>973</v>
      </c>
      <c r="W2226" s="476">
        <v>400</v>
      </c>
      <c r="X2226" s="402">
        <v>832</v>
      </c>
      <c r="Y2226" s="491">
        <f t="shared" si="389"/>
        <v>332800</v>
      </c>
      <c r="Z2226" s="478">
        <v>0.55000000000000004</v>
      </c>
      <c r="AA2226" s="479">
        <f t="shared" si="390"/>
        <v>183040.00000000003</v>
      </c>
      <c r="AB2226" s="386"/>
      <c r="AC2226" s="481">
        <f t="shared" si="391"/>
        <v>0</v>
      </c>
      <c r="AD2226" s="474"/>
      <c r="AE2226" s="482"/>
      <c r="AF2226" s="493">
        <f t="shared" si="381"/>
        <v>183040.00000000003</v>
      </c>
      <c r="AG2226" s="474" t="s">
        <v>1071</v>
      </c>
      <c r="AH2226" s="447"/>
      <c r="AI2226" s="474">
        <v>60</v>
      </c>
      <c r="AJ2226" s="474" t="s">
        <v>1275</v>
      </c>
      <c r="AK2226" s="474" t="s">
        <v>1276</v>
      </c>
      <c r="AL2226" s="494" t="s">
        <v>1277</v>
      </c>
      <c r="AM2226" s="474" t="s">
        <v>52</v>
      </c>
      <c r="AN2226" s="474" t="s">
        <v>50</v>
      </c>
      <c r="AO2226" s="474"/>
      <c r="AP2226" s="474" t="s">
        <v>38</v>
      </c>
      <c r="AQ2226" s="474"/>
      <c r="AR2226" s="474"/>
      <c r="AS2226" s="387"/>
      <c r="AT2226" s="387"/>
      <c r="AU2226" s="471"/>
      <c r="AV2226" s="262" t="str">
        <f t="shared" si="382"/>
        <v>30390456H</v>
      </c>
      <c r="AW2226" s="262" cm="1">
        <f t="array" ref="AW2226">SUM(MID(0&amp;AV2226,LARGE(INDEX(ISNUMBER(--MID(AV2226,ROW($1:$8),1))*ROW($1:$8),),ROW($1:$8))+1,1)*10^ROW($1:$8)/10)</f>
        <v>30390456</v>
      </c>
      <c r="AX2226" s="262" t="str">
        <f>VLOOKUP($AW2226,'Item Master Data'!$A:$F,3,FALSE)</f>
        <v>Q.PEAK DUO BLK ML G10+</v>
      </c>
      <c r="AY2226" s="262">
        <f>VLOOKUP($AW2226,'Item Master Data'!$A:$F,6,FALSE)</f>
        <v>400</v>
      </c>
      <c r="AZ2226" s="262">
        <f t="shared" si="383"/>
        <v>26</v>
      </c>
      <c r="BA2226" s="262">
        <f>VLOOKUP(AW2226,'Item Master Data'!$A:$G,7,FALSE)</f>
        <v>32</v>
      </c>
      <c r="BC2226" s="262">
        <f t="shared" si="384"/>
        <v>0</v>
      </c>
    </row>
    <row r="2227" spans="1:55">
      <c r="A2227" s="410"/>
      <c r="B2227" s="407"/>
      <c r="C2227" s="407"/>
      <c r="D2227" s="474" t="s">
        <v>1066</v>
      </c>
      <c r="E2227" s="388" t="s">
        <v>1106</v>
      </c>
      <c r="F2227" s="474"/>
      <c r="G2227" s="474">
        <v>2022</v>
      </c>
      <c r="H2227" s="474">
        <v>4</v>
      </c>
      <c r="I2227" s="485" t="s">
        <v>3023</v>
      </c>
      <c r="J2227" s="475">
        <v>44655</v>
      </c>
      <c r="K2227" s="474" t="s">
        <v>1273</v>
      </c>
      <c r="L2227" s="475" t="s">
        <v>1274</v>
      </c>
      <c r="M2227" s="475">
        <v>44497</v>
      </c>
      <c r="N2227" s="475">
        <v>44594</v>
      </c>
      <c r="O2227" s="475"/>
      <c r="P2227" s="475">
        <v>44629</v>
      </c>
      <c r="Q2227" s="475">
        <v>44655</v>
      </c>
      <c r="R2227" s="475">
        <v>44656</v>
      </c>
      <c r="S2227" s="474" t="s">
        <v>1114</v>
      </c>
      <c r="T2227" s="474">
        <v>60</v>
      </c>
      <c r="U2227" s="474">
        <v>49201132</v>
      </c>
      <c r="V2227" s="474" t="s">
        <v>986</v>
      </c>
      <c r="W2227" s="476">
        <v>360</v>
      </c>
      <c r="X2227" s="402">
        <v>832</v>
      </c>
      <c r="Y2227" s="491">
        <f t="shared" si="389"/>
        <v>299520</v>
      </c>
      <c r="Z2227" s="478">
        <v>0.53</v>
      </c>
      <c r="AA2227" s="479">
        <f t="shared" si="390"/>
        <v>158745.60000000001</v>
      </c>
      <c r="AB2227" s="386"/>
      <c r="AC2227" s="481">
        <f t="shared" si="391"/>
        <v>0</v>
      </c>
      <c r="AD2227" s="474"/>
      <c r="AE2227" s="482"/>
      <c r="AF2227" s="493">
        <f t="shared" si="381"/>
        <v>158745.60000000001</v>
      </c>
      <c r="AG2227" s="474" t="s">
        <v>1071</v>
      </c>
      <c r="AH2227" s="447"/>
      <c r="AI2227" s="474">
        <v>60</v>
      </c>
      <c r="AJ2227" s="474" t="s">
        <v>1282</v>
      </c>
      <c r="AK2227" s="474" t="s">
        <v>1276</v>
      </c>
      <c r="AL2227" s="494">
        <v>63134</v>
      </c>
      <c r="AM2227" s="474" t="s">
        <v>52</v>
      </c>
      <c r="AN2227" s="474" t="s">
        <v>1074</v>
      </c>
      <c r="AO2227" s="474"/>
      <c r="AP2227" s="474"/>
      <c r="AQ2227" s="474"/>
      <c r="AR2227" s="474"/>
      <c r="AS2227" s="387"/>
      <c r="AT2227" s="387"/>
      <c r="AU2227" s="471"/>
      <c r="AV2227" s="262">
        <f t="shared" si="382"/>
        <v>49201132</v>
      </c>
      <c r="AW2227" s="262" cm="1">
        <f t="array" ref="AW2227">SUM(MID(0&amp;AV2227,LARGE(INDEX(ISNUMBER(--MID(AV2227,ROW($1:$8),1))*ROW($1:$8),),ROW($1:$8))+1,1)*10^ROW($1:$8)/10)</f>
        <v>49201132</v>
      </c>
      <c r="AX2227" s="262" t="str">
        <f>VLOOKUP($AW2227,'Item Master Data'!$A:$F,3,FALSE)</f>
        <v>Q.PEAK DUO BLK G10+</v>
      </c>
      <c r="AY2227" s="262">
        <f>VLOOKUP($AW2227,'Item Master Data'!$A:$F,6,FALSE)</f>
        <v>360</v>
      </c>
      <c r="AZ2227" s="262">
        <f t="shared" si="383"/>
        <v>26</v>
      </c>
      <c r="BA2227" s="262">
        <f>VLOOKUP(AW2227,'Item Master Data'!$A:$G,7,FALSE)</f>
        <v>32</v>
      </c>
      <c r="BC2227" s="262">
        <f t="shared" si="384"/>
        <v>0</v>
      </c>
    </row>
    <row r="2228" spans="1:55">
      <c r="A2228" s="410"/>
      <c r="B2228" s="495" t="s">
        <v>1211</v>
      </c>
      <c r="C2228" s="495" t="s">
        <v>1211</v>
      </c>
      <c r="D2228" s="474" t="s">
        <v>1066</v>
      </c>
      <c r="E2228" s="388" t="s">
        <v>1106</v>
      </c>
      <c r="F2228" s="474"/>
      <c r="G2228" s="474">
        <v>2022</v>
      </c>
      <c r="H2228" s="474">
        <v>4</v>
      </c>
      <c r="I2228" s="485" t="s">
        <v>3023</v>
      </c>
      <c r="J2228" s="475">
        <v>44664</v>
      </c>
      <c r="K2228" s="474" t="s">
        <v>1284</v>
      </c>
      <c r="L2228" s="474" t="s">
        <v>1274</v>
      </c>
      <c r="M2228" s="475">
        <v>44517</v>
      </c>
      <c r="N2228" s="475">
        <v>44652</v>
      </c>
      <c r="O2228" s="475"/>
      <c r="P2228" s="475">
        <v>44630</v>
      </c>
      <c r="Q2228" s="475">
        <v>44664</v>
      </c>
      <c r="R2228" s="475">
        <v>44667</v>
      </c>
      <c r="S2228" s="474" t="s">
        <v>1114</v>
      </c>
      <c r="T2228" s="474">
        <v>60</v>
      </c>
      <c r="U2228" s="474">
        <v>49203132</v>
      </c>
      <c r="V2228" s="474" t="s">
        <v>986</v>
      </c>
      <c r="W2228" s="474">
        <v>360</v>
      </c>
      <c r="X2228" s="406">
        <v>832</v>
      </c>
      <c r="Y2228" s="491">
        <f t="shared" si="389"/>
        <v>299520</v>
      </c>
      <c r="Z2228" s="478">
        <v>0.53</v>
      </c>
      <c r="AA2228" s="479">
        <f t="shared" si="390"/>
        <v>158745.60000000001</v>
      </c>
      <c r="AB2228" s="386"/>
      <c r="AC2228" s="481">
        <f t="shared" si="391"/>
        <v>0</v>
      </c>
      <c r="AD2228" s="474"/>
      <c r="AE2228" s="482"/>
      <c r="AF2228" s="493">
        <f t="shared" si="381"/>
        <v>158745.60000000001</v>
      </c>
      <c r="AG2228" s="474" t="s">
        <v>1071</v>
      </c>
      <c r="AH2228" s="447"/>
      <c r="AI2228" s="474">
        <v>60</v>
      </c>
      <c r="AJ2228" s="474" t="s">
        <v>1275</v>
      </c>
      <c r="AK2228" s="474" t="s">
        <v>1276</v>
      </c>
      <c r="AL2228" s="494" t="s">
        <v>1277</v>
      </c>
      <c r="AM2228" s="474" t="s">
        <v>52</v>
      </c>
      <c r="AN2228" s="474" t="s">
        <v>1074</v>
      </c>
      <c r="AO2228" s="474"/>
      <c r="AP2228" s="474"/>
      <c r="AQ2228" s="474"/>
      <c r="AR2228" s="474" t="s">
        <v>1216</v>
      </c>
      <c r="AS2228" s="387"/>
      <c r="AT2228" s="387"/>
      <c r="AU2228" s="471"/>
      <c r="AV2228" s="262">
        <f t="shared" si="382"/>
        <v>49203132</v>
      </c>
      <c r="AW2228" s="262" cm="1">
        <f t="array" ref="AW2228">SUM(MID(0&amp;AV2228,LARGE(INDEX(ISNUMBER(--MID(AV2228,ROW($1:$8),1))*ROW($1:$8),),ROW($1:$8))+1,1)*10^ROW($1:$8)/10)</f>
        <v>49203132</v>
      </c>
      <c r="AX2228" s="262" t="str">
        <f>VLOOKUP($AW2228,'Item Master Data'!$A:$F,3,FALSE)</f>
        <v>Q.PEAK DUO BLK G10+</v>
      </c>
      <c r="AY2228" s="262">
        <f>VLOOKUP($AW2228,'Item Master Data'!$A:$F,6,FALSE)</f>
        <v>360</v>
      </c>
      <c r="AZ2228" s="262">
        <f t="shared" si="383"/>
        <v>26</v>
      </c>
      <c r="BA2228" s="262">
        <f>VLOOKUP(AW2228,'Item Master Data'!$A:$G,7,FALSE)</f>
        <v>32</v>
      </c>
      <c r="BC2228" s="262">
        <f t="shared" si="384"/>
        <v>0</v>
      </c>
    </row>
    <row r="2229" spans="1:55">
      <c r="A2229" s="410"/>
      <c r="B2229" s="407"/>
      <c r="C2229" s="407"/>
      <c r="D2229" s="474" t="s">
        <v>1066</v>
      </c>
      <c r="E2229" s="388" t="s">
        <v>1106</v>
      </c>
      <c r="F2229" s="474"/>
      <c r="G2229" s="474">
        <v>2022</v>
      </c>
      <c r="H2229" s="474">
        <v>4</v>
      </c>
      <c r="I2229" s="485" t="s">
        <v>3023</v>
      </c>
      <c r="J2229" s="475">
        <v>44652</v>
      </c>
      <c r="K2229" s="474" t="s">
        <v>1316</v>
      </c>
      <c r="L2229" s="475" t="s">
        <v>1313</v>
      </c>
      <c r="M2229" s="475">
        <v>44496</v>
      </c>
      <c r="N2229" s="475">
        <v>44634</v>
      </c>
      <c r="O2229" s="475"/>
      <c r="P2229" s="475">
        <v>44628</v>
      </c>
      <c r="Q2229" s="475">
        <v>44650</v>
      </c>
      <c r="R2229" s="475">
        <v>44652</v>
      </c>
      <c r="S2229" s="474" t="s">
        <v>1114</v>
      </c>
      <c r="T2229" s="474">
        <v>60</v>
      </c>
      <c r="U2229" s="474">
        <v>49201132</v>
      </c>
      <c r="V2229" s="474" t="s">
        <v>986</v>
      </c>
      <c r="W2229" s="476">
        <v>360</v>
      </c>
      <c r="X2229" s="402">
        <v>832</v>
      </c>
      <c r="Y2229" s="491">
        <f t="shared" si="389"/>
        <v>299520</v>
      </c>
      <c r="Z2229" s="478">
        <v>0.53</v>
      </c>
      <c r="AA2229" s="479">
        <f>Y2229*Z2229</f>
        <v>158745.60000000001</v>
      </c>
      <c r="AB2229" s="386"/>
      <c r="AC2229" s="481">
        <v>0</v>
      </c>
      <c r="AD2229" s="474"/>
      <c r="AE2229" s="482"/>
      <c r="AF2229" s="493">
        <f t="shared" si="381"/>
        <v>158745.60000000001</v>
      </c>
      <c r="AG2229" s="474" t="s">
        <v>1071</v>
      </c>
      <c r="AH2229" s="447"/>
      <c r="AI2229" s="474">
        <v>60</v>
      </c>
      <c r="AJ2229" s="474" t="s">
        <v>1314</v>
      </c>
      <c r="AK2229" s="474" t="s">
        <v>1125</v>
      </c>
      <c r="AL2229" s="494" t="s">
        <v>1315</v>
      </c>
      <c r="AM2229" s="474" t="s">
        <v>52</v>
      </c>
      <c r="AN2229" s="474" t="s">
        <v>1074</v>
      </c>
      <c r="AO2229" s="474"/>
      <c r="AP2229" s="474"/>
      <c r="AQ2229" s="474" t="s">
        <v>37</v>
      </c>
      <c r="AR2229" s="474"/>
      <c r="AS2229" s="387"/>
      <c r="AT2229" s="387"/>
      <c r="AU2229" s="471"/>
    </row>
    <row r="2230" spans="1:55">
      <c r="A2230" s="410">
        <v>10</v>
      </c>
      <c r="B2230" s="407"/>
      <c r="C2230" s="407"/>
      <c r="D2230" s="474" t="s">
        <v>1066</v>
      </c>
      <c r="E2230" s="394"/>
      <c r="F2230" s="474"/>
      <c r="G2230" s="474">
        <v>2022</v>
      </c>
      <c r="H2230" s="474">
        <v>4</v>
      </c>
      <c r="I2230" s="485">
        <v>128092</v>
      </c>
      <c r="J2230" s="475">
        <v>44666</v>
      </c>
      <c r="K2230" s="474" t="s">
        <v>1319</v>
      </c>
      <c r="L2230" s="475" t="s">
        <v>1313</v>
      </c>
      <c r="M2230" s="475">
        <v>44501</v>
      </c>
      <c r="N2230" s="475">
        <v>44621</v>
      </c>
      <c r="O2230" s="475"/>
      <c r="P2230" s="475">
        <v>44630</v>
      </c>
      <c r="Q2230" s="475">
        <v>44666</v>
      </c>
      <c r="R2230" s="475">
        <v>44669</v>
      </c>
      <c r="S2230" s="474" t="s">
        <v>1114</v>
      </c>
      <c r="T2230" s="474">
        <v>60</v>
      </c>
      <c r="U2230" s="474" t="s">
        <v>1281</v>
      </c>
      <c r="V2230" s="474" t="s">
        <v>973</v>
      </c>
      <c r="W2230" s="476">
        <v>400</v>
      </c>
      <c r="X2230" s="402">
        <v>2304</v>
      </c>
      <c r="Y2230" s="491">
        <f t="shared" si="389"/>
        <v>921600</v>
      </c>
      <c r="Z2230" s="478">
        <v>0.55000000000000004</v>
      </c>
      <c r="AA2230" s="479">
        <f>Y2230*Z2230</f>
        <v>506880.00000000006</v>
      </c>
      <c r="AB2230" s="386"/>
      <c r="AC2230" s="481">
        <v>0</v>
      </c>
      <c r="AD2230" s="474"/>
      <c r="AE2230" s="482"/>
      <c r="AF2230" s="493">
        <f t="shared" si="381"/>
        <v>506880.00000000006</v>
      </c>
      <c r="AG2230" s="474" t="s">
        <v>1071</v>
      </c>
      <c r="AH2230" s="447"/>
      <c r="AI2230" s="474">
        <v>60</v>
      </c>
      <c r="AJ2230" s="474" t="s">
        <v>1314</v>
      </c>
      <c r="AK2230" s="474" t="s">
        <v>1125</v>
      </c>
      <c r="AL2230" s="494" t="s">
        <v>1315</v>
      </c>
      <c r="AM2230" s="474" t="s">
        <v>52</v>
      </c>
      <c r="AN2230" s="474" t="s">
        <v>50</v>
      </c>
      <c r="AO2230" s="474"/>
      <c r="AP2230" s="474" t="s">
        <v>38</v>
      </c>
      <c r="AQ2230" s="474" t="s">
        <v>37</v>
      </c>
      <c r="AR2230" s="474"/>
      <c r="AS2230" s="387"/>
      <c r="AT2230" s="387"/>
      <c r="AU2230" s="471"/>
    </row>
    <row r="2231" spans="1:55">
      <c r="A2231" s="410"/>
      <c r="B2231" s="407"/>
      <c r="C2231" s="407"/>
      <c r="D2231" s="474" t="s">
        <v>1066</v>
      </c>
      <c r="E2231" s="388" t="s">
        <v>1106</v>
      </c>
      <c r="F2231" s="474"/>
      <c r="G2231" s="474">
        <v>2022</v>
      </c>
      <c r="H2231" s="474">
        <v>4</v>
      </c>
      <c r="I2231" s="485" t="s">
        <v>3023</v>
      </c>
      <c r="J2231" s="475">
        <v>44652</v>
      </c>
      <c r="K2231" s="474" t="s">
        <v>1316</v>
      </c>
      <c r="L2231" s="475" t="s">
        <v>1313</v>
      </c>
      <c r="M2231" s="475">
        <v>44496</v>
      </c>
      <c r="N2231" s="475">
        <v>44634</v>
      </c>
      <c r="O2231" s="475"/>
      <c r="P2231" s="475">
        <v>44628</v>
      </c>
      <c r="Q2231" s="475">
        <v>44652</v>
      </c>
      <c r="R2231" s="475">
        <v>44655</v>
      </c>
      <c r="S2231" s="474" t="s">
        <v>1114</v>
      </c>
      <c r="T2231" s="474">
        <v>60</v>
      </c>
      <c r="U2231" s="474">
        <v>49201132</v>
      </c>
      <c r="V2231" s="474" t="s">
        <v>986</v>
      </c>
      <c r="W2231" s="476">
        <v>360</v>
      </c>
      <c r="X2231" s="402">
        <v>832</v>
      </c>
      <c r="Y2231" s="491">
        <f t="shared" si="389"/>
        <v>299520</v>
      </c>
      <c r="Z2231" s="478">
        <v>0.53</v>
      </c>
      <c r="AA2231" s="479">
        <f>Y2231*Z2231</f>
        <v>158745.60000000001</v>
      </c>
      <c r="AB2231" s="386"/>
      <c r="AC2231" s="481">
        <v>0</v>
      </c>
      <c r="AD2231" s="474"/>
      <c r="AE2231" s="482"/>
      <c r="AF2231" s="493">
        <f t="shared" si="381"/>
        <v>158745.60000000001</v>
      </c>
      <c r="AG2231" s="474" t="s">
        <v>1071</v>
      </c>
      <c r="AH2231" s="447"/>
      <c r="AI2231" s="474">
        <v>60</v>
      </c>
      <c r="AJ2231" s="474" t="s">
        <v>1314</v>
      </c>
      <c r="AK2231" s="474" t="s">
        <v>1125</v>
      </c>
      <c r="AL2231" s="494" t="s">
        <v>1315</v>
      </c>
      <c r="AM2231" s="474" t="s">
        <v>52</v>
      </c>
      <c r="AN2231" s="474" t="s">
        <v>1074</v>
      </c>
      <c r="AO2231" s="474"/>
      <c r="AP2231" s="474"/>
      <c r="AQ2231" s="474" t="s">
        <v>37</v>
      </c>
      <c r="AR2231" s="474"/>
      <c r="AS2231" s="387"/>
      <c r="AT2231" s="387"/>
      <c r="AU2231" s="471"/>
    </row>
    <row r="2232" spans="1:55">
      <c r="A2232" s="410"/>
      <c r="B2232" s="407"/>
      <c r="C2232" s="407"/>
      <c r="D2232" s="474" t="s">
        <v>1066</v>
      </c>
      <c r="E2232" s="394"/>
      <c r="F2232" s="474" t="s">
        <v>87</v>
      </c>
      <c r="G2232" s="474">
        <v>2022</v>
      </c>
      <c r="H2232" s="474">
        <v>4</v>
      </c>
      <c r="I2232" s="485" t="s">
        <v>5419</v>
      </c>
      <c r="J2232" s="475"/>
      <c r="K2232" s="474" t="s">
        <v>1320</v>
      </c>
      <c r="L2232" s="475" t="s">
        <v>1313</v>
      </c>
      <c r="M2232" s="475">
        <v>44501</v>
      </c>
      <c r="N2232" s="475">
        <v>44634</v>
      </c>
      <c r="O2232" s="475"/>
      <c r="P2232" s="475">
        <v>44673</v>
      </c>
      <c r="Q2232" s="475">
        <v>44678</v>
      </c>
      <c r="R2232" s="475">
        <v>44680</v>
      </c>
      <c r="S2232" s="474" t="s">
        <v>1114</v>
      </c>
      <c r="T2232" s="474">
        <v>72</v>
      </c>
      <c r="U2232" s="474">
        <v>49303156</v>
      </c>
      <c r="V2232" s="474" t="s">
        <v>1070</v>
      </c>
      <c r="W2232" s="476">
        <v>480</v>
      </c>
      <c r="X2232" s="402">
        <f>2436-493-493</f>
        <v>1450</v>
      </c>
      <c r="Y2232" s="491">
        <f t="shared" si="389"/>
        <v>696000</v>
      </c>
      <c r="Z2232" s="478">
        <v>0.48</v>
      </c>
      <c r="AA2232" s="479">
        <f>Y2232*Z2232</f>
        <v>334080</v>
      </c>
      <c r="AB2232" s="386"/>
      <c r="AC2232" s="481">
        <v>0</v>
      </c>
      <c r="AD2232" s="474"/>
      <c r="AE2232" s="482"/>
      <c r="AF2232" s="493">
        <f t="shared" si="381"/>
        <v>334080</v>
      </c>
      <c r="AG2232" s="474" t="s">
        <v>1071</v>
      </c>
      <c r="AH2232" s="447"/>
      <c r="AI2232" s="474">
        <v>60</v>
      </c>
      <c r="AJ2232" s="474" t="s">
        <v>5438</v>
      </c>
      <c r="AK2232" s="474" t="s">
        <v>1125</v>
      </c>
      <c r="AL2232" s="494">
        <v>55113</v>
      </c>
      <c r="AM2232" s="474" t="s">
        <v>52</v>
      </c>
      <c r="AN2232" s="474" t="s">
        <v>1074</v>
      </c>
      <c r="AO2232" s="474"/>
      <c r="AP2232" s="474" t="s">
        <v>92</v>
      </c>
      <c r="AQ2232" s="474" t="s">
        <v>37</v>
      </c>
      <c r="AR2232" s="474"/>
      <c r="AS2232" s="387"/>
      <c r="AT2232" s="387"/>
      <c r="AU2232" s="471"/>
    </row>
    <row r="2233" spans="1:55">
      <c r="A2233" s="410"/>
      <c r="B2233" s="407" t="s">
        <v>1211</v>
      </c>
      <c r="C2233" s="407">
        <v>44573</v>
      </c>
      <c r="D2233" s="474" t="s">
        <v>1066</v>
      </c>
      <c r="E2233" s="414"/>
      <c r="F2233" s="474" t="s">
        <v>1376</v>
      </c>
      <c r="G2233" s="474">
        <v>2022</v>
      </c>
      <c r="H2233" s="474">
        <v>3</v>
      </c>
      <c r="I2233" s="485">
        <v>127890</v>
      </c>
      <c r="J2233" s="475">
        <v>44651</v>
      </c>
      <c r="K2233" s="474" t="s">
        <v>1377</v>
      </c>
      <c r="L2233" s="475" t="s">
        <v>1378</v>
      </c>
      <c r="M2233" s="475">
        <v>44246</v>
      </c>
      <c r="N2233" s="475">
        <v>44445</v>
      </c>
      <c r="O2233" s="475"/>
      <c r="P2233" s="475">
        <v>44602</v>
      </c>
      <c r="Q2233" s="475">
        <v>44621</v>
      </c>
      <c r="R2233" s="475">
        <v>44651</v>
      </c>
      <c r="S2233" s="474" t="s">
        <v>1102</v>
      </c>
      <c r="T2233" s="474">
        <v>72</v>
      </c>
      <c r="U2233" s="474" t="s">
        <v>1379</v>
      </c>
      <c r="V2233" s="474" t="s">
        <v>1070</v>
      </c>
      <c r="W2233" s="476">
        <v>480</v>
      </c>
      <c r="X2233" s="412">
        <v>4200</v>
      </c>
      <c r="Y2233" s="491">
        <f t="shared" si="389"/>
        <v>2016000</v>
      </c>
      <c r="Z2233" s="478">
        <v>0.38159999999999999</v>
      </c>
      <c r="AA2233" s="479">
        <f>Z2233*Y2233</f>
        <v>769305.59999999998</v>
      </c>
      <c r="AB2233" s="386"/>
      <c r="AC2233" s="481">
        <f>AB2233*Y2233</f>
        <v>0</v>
      </c>
      <c r="AD2233" s="474"/>
      <c r="AE2233" s="482"/>
      <c r="AF2233" s="493">
        <f t="shared" si="381"/>
        <v>769305.59999999998</v>
      </c>
      <c r="AG2233" s="474" t="s">
        <v>47</v>
      </c>
      <c r="AH2233" s="447">
        <v>5</v>
      </c>
      <c r="AI2233" s="474">
        <v>30</v>
      </c>
      <c r="AJ2233" s="474" t="s">
        <v>1380</v>
      </c>
      <c r="AK2233" s="474" t="s">
        <v>1144</v>
      </c>
      <c r="AL2233" s="494">
        <v>76904</v>
      </c>
      <c r="AM2233" s="474" t="s">
        <v>52</v>
      </c>
      <c r="AN2233" s="474" t="s">
        <v>50</v>
      </c>
      <c r="AO2233" s="474"/>
      <c r="AP2233" s="474" t="s">
        <v>38</v>
      </c>
      <c r="AQ2233" s="474" t="s">
        <v>1086</v>
      </c>
      <c r="AR2233" s="474"/>
      <c r="AS2233" s="387" t="s">
        <v>1087</v>
      </c>
      <c r="AT2233" s="387" t="s">
        <v>1076</v>
      </c>
      <c r="AU2233" s="471"/>
    </row>
    <row r="2234" spans="1:55">
      <c r="A2234" s="410"/>
      <c r="B2234" s="407"/>
      <c r="C2234" s="407"/>
      <c r="D2234" s="474" t="s">
        <v>1066</v>
      </c>
      <c r="E2234" s="388"/>
      <c r="F2234" s="474"/>
      <c r="G2234" s="474">
        <v>2022</v>
      </c>
      <c r="H2234" s="474">
        <v>5</v>
      </c>
      <c r="I2234" s="485" t="s">
        <v>5418</v>
      </c>
      <c r="J2234" s="475"/>
      <c r="K2234" s="474" t="s">
        <v>1322</v>
      </c>
      <c r="L2234" s="475" t="s">
        <v>1313</v>
      </c>
      <c r="M2234" s="475">
        <v>44496</v>
      </c>
      <c r="N2234" s="475">
        <v>44665</v>
      </c>
      <c r="O2234" s="475"/>
      <c r="P2234" s="475">
        <v>44663</v>
      </c>
      <c r="Q2234" s="475"/>
      <c r="R2234" s="475"/>
      <c r="S2234" s="474" t="s">
        <v>1114</v>
      </c>
      <c r="T2234" s="474">
        <v>60</v>
      </c>
      <c r="U2234" s="474">
        <v>49203132</v>
      </c>
      <c r="V2234" s="474" t="s">
        <v>986</v>
      </c>
      <c r="W2234" s="476">
        <v>360</v>
      </c>
      <c r="X2234" s="402">
        <v>2496</v>
      </c>
      <c r="Y2234" s="491">
        <f t="shared" si="389"/>
        <v>898560</v>
      </c>
      <c r="Z2234" s="478">
        <v>0.53</v>
      </c>
      <c r="AA2234" s="479">
        <f>Y2234*Z2234</f>
        <v>476236.80000000005</v>
      </c>
      <c r="AB2234" s="386"/>
      <c r="AC2234" s="481">
        <v>0</v>
      </c>
      <c r="AD2234" s="474"/>
      <c r="AE2234" s="482"/>
      <c r="AF2234" s="493">
        <f t="shared" si="381"/>
        <v>476236.80000000005</v>
      </c>
      <c r="AG2234" s="474" t="s">
        <v>1071</v>
      </c>
      <c r="AH2234" s="447"/>
      <c r="AI2234" s="474">
        <v>60</v>
      </c>
      <c r="AJ2234" s="474" t="s">
        <v>1314</v>
      </c>
      <c r="AK2234" s="474" t="s">
        <v>1125</v>
      </c>
      <c r="AL2234" s="494" t="s">
        <v>1315</v>
      </c>
      <c r="AM2234" s="474" t="s">
        <v>52</v>
      </c>
      <c r="AN2234" s="474" t="s">
        <v>1074</v>
      </c>
      <c r="AO2234" s="474"/>
      <c r="AP2234" s="474"/>
      <c r="AQ2234" s="474" t="s">
        <v>37</v>
      </c>
      <c r="AR2234" s="474"/>
      <c r="AS2234" s="387"/>
      <c r="AT2234" s="387"/>
      <c r="AU2234" s="471"/>
    </row>
    <row r="2235" spans="1:55">
      <c r="A2235" s="410"/>
      <c r="B2235" s="407"/>
      <c r="C2235" s="407"/>
      <c r="D2235" s="474" t="s">
        <v>1066</v>
      </c>
      <c r="E2235" s="603" t="s">
        <v>5403</v>
      </c>
      <c r="F2235" s="474" t="s">
        <v>87</v>
      </c>
      <c r="G2235" s="474">
        <v>2022</v>
      </c>
      <c r="H2235" s="474">
        <v>5</v>
      </c>
      <c r="I2235" s="485" t="s">
        <v>1091</v>
      </c>
      <c r="J2235" s="475"/>
      <c r="K2235" s="474" t="s">
        <v>1401</v>
      </c>
      <c r="L2235" s="475" t="s">
        <v>1387</v>
      </c>
      <c r="M2235" s="475">
        <v>44357</v>
      </c>
      <c r="N2235" s="475"/>
      <c r="O2235" s="475"/>
      <c r="P2235" s="475"/>
      <c r="Q2235" s="475"/>
      <c r="R2235" s="475"/>
      <c r="S2235" s="474" t="s">
        <v>1388</v>
      </c>
      <c r="T2235" s="474">
        <v>72</v>
      </c>
      <c r="U2235" s="474" t="s">
        <v>1082</v>
      </c>
      <c r="V2235" s="474" t="s">
        <v>1070</v>
      </c>
      <c r="W2235" s="530">
        <v>480</v>
      </c>
      <c r="X2235" s="649">
        <v>17760</v>
      </c>
      <c r="Y2235" s="491">
        <f t="shared" si="389"/>
        <v>8524800</v>
      </c>
      <c r="Z2235" s="478">
        <f>189.6/480</f>
        <v>0.39499999999999996</v>
      </c>
      <c r="AA2235" s="479">
        <f>Y2235*Z2235</f>
        <v>3367295.9999999995</v>
      </c>
      <c r="AB2235" s="386"/>
      <c r="AC2235" s="481">
        <v>0</v>
      </c>
      <c r="AD2235" s="474"/>
      <c r="AE2235" s="482"/>
      <c r="AF2235" s="493">
        <f t="shared" si="381"/>
        <v>3367295.9999999995</v>
      </c>
      <c r="AG2235" s="474" t="s">
        <v>47</v>
      </c>
      <c r="AH2235" s="447">
        <v>10</v>
      </c>
      <c r="AI2235" s="474">
        <v>60</v>
      </c>
      <c r="AJ2235" s="474" t="s">
        <v>1402</v>
      </c>
      <c r="AK2235" s="474" t="s">
        <v>1085</v>
      </c>
      <c r="AL2235" s="494">
        <v>8832</v>
      </c>
      <c r="AM2235" s="474" t="s">
        <v>52</v>
      </c>
      <c r="AN2235" s="474" t="s">
        <v>1085</v>
      </c>
      <c r="AO2235" s="474"/>
      <c r="AP2235" s="474" t="s">
        <v>92</v>
      </c>
      <c r="AQ2235" s="474" t="s">
        <v>1109</v>
      </c>
      <c r="AR2235" s="474"/>
      <c r="AS2235" s="387" t="s">
        <v>1076</v>
      </c>
      <c r="AT2235" s="387" t="s">
        <v>1076</v>
      </c>
      <c r="AU2235" s="471"/>
    </row>
    <row r="2236" spans="1:55">
      <c r="A2236" s="410"/>
      <c r="B2236" s="407"/>
      <c r="C2236" s="407"/>
      <c r="D2236" s="474" t="s">
        <v>1066</v>
      </c>
      <c r="E2236" s="603" t="s">
        <v>5403</v>
      </c>
      <c r="F2236" s="474" t="s">
        <v>87</v>
      </c>
      <c r="G2236" s="474">
        <v>2022</v>
      </c>
      <c r="H2236" s="474">
        <v>5</v>
      </c>
      <c r="I2236" s="485" t="s">
        <v>1091</v>
      </c>
      <c r="J2236" s="475"/>
      <c r="K2236" s="474" t="s">
        <v>1404</v>
      </c>
      <c r="L2236" s="475" t="s">
        <v>1387</v>
      </c>
      <c r="M2236" s="475">
        <v>44357</v>
      </c>
      <c r="N2236" s="475"/>
      <c r="O2236" s="475"/>
      <c r="P2236" s="475"/>
      <c r="Q2236" s="475"/>
      <c r="R2236" s="475"/>
      <c r="S2236" s="474" t="s">
        <v>1388</v>
      </c>
      <c r="T2236" s="474">
        <v>72</v>
      </c>
      <c r="U2236" s="474" t="s">
        <v>1082</v>
      </c>
      <c r="V2236" s="474" t="s">
        <v>1070</v>
      </c>
      <c r="W2236" s="530">
        <v>480</v>
      </c>
      <c r="X2236" s="649">
        <v>14040</v>
      </c>
      <c r="Y2236" s="491">
        <f t="shared" si="389"/>
        <v>6739200</v>
      </c>
      <c r="Z2236" s="478">
        <f>189.6/480</f>
        <v>0.39499999999999996</v>
      </c>
      <c r="AA2236" s="479">
        <f>Y2236*Z2236</f>
        <v>2661983.9999999995</v>
      </c>
      <c r="AB2236" s="386"/>
      <c r="AC2236" s="481">
        <v>0</v>
      </c>
      <c r="AD2236" s="474"/>
      <c r="AE2236" s="482"/>
      <c r="AF2236" s="493">
        <f t="shared" si="381"/>
        <v>2661983.9999999995</v>
      </c>
      <c r="AG2236" s="474" t="s">
        <v>47</v>
      </c>
      <c r="AH2236" s="447">
        <v>10</v>
      </c>
      <c r="AI2236" s="474">
        <v>60</v>
      </c>
      <c r="AJ2236" s="474" t="s">
        <v>1402</v>
      </c>
      <c r="AK2236" s="474" t="s">
        <v>1085</v>
      </c>
      <c r="AL2236" s="494">
        <v>8832</v>
      </c>
      <c r="AM2236" s="474" t="s">
        <v>52</v>
      </c>
      <c r="AN2236" s="474" t="s">
        <v>1085</v>
      </c>
      <c r="AO2236" s="474"/>
      <c r="AP2236" s="474" t="s">
        <v>92</v>
      </c>
      <c r="AQ2236" s="474" t="s">
        <v>1109</v>
      </c>
      <c r="AR2236" s="474"/>
      <c r="AS2236" s="387" t="s">
        <v>1076</v>
      </c>
      <c r="AT2236" s="387" t="s">
        <v>1076</v>
      </c>
      <c r="AU2236" s="471"/>
    </row>
    <row r="2237" spans="1:55">
      <c r="A2237" s="410"/>
      <c r="B2237" s="407"/>
      <c r="C2237" s="407"/>
      <c r="D2237" s="474" t="s">
        <v>1066</v>
      </c>
      <c r="E2237" s="603" t="s">
        <v>5403</v>
      </c>
      <c r="F2237" s="474" t="s">
        <v>87</v>
      </c>
      <c r="G2237" s="474">
        <v>2022</v>
      </c>
      <c r="H2237" s="474">
        <v>5</v>
      </c>
      <c r="I2237" s="485" t="s">
        <v>1091</v>
      </c>
      <c r="J2237" s="475"/>
      <c r="K2237" s="474" t="s">
        <v>1405</v>
      </c>
      <c r="L2237" s="475" t="s">
        <v>1387</v>
      </c>
      <c r="M2237" s="475">
        <v>44357</v>
      </c>
      <c r="N2237" s="475"/>
      <c r="O2237" s="475"/>
      <c r="P2237" s="475"/>
      <c r="Q2237" s="475"/>
      <c r="R2237" s="475"/>
      <c r="S2237" s="474" t="s">
        <v>1388</v>
      </c>
      <c r="T2237" s="474">
        <v>72</v>
      </c>
      <c r="U2237" s="474" t="s">
        <v>1082</v>
      </c>
      <c r="V2237" s="474" t="s">
        <v>1070</v>
      </c>
      <c r="W2237" s="530">
        <v>480</v>
      </c>
      <c r="X2237" s="649">
        <v>6990</v>
      </c>
      <c r="Y2237" s="491">
        <f t="shared" si="389"/>
        <v>3355200</v>
      </c>
      <c r="Z2237" s="478">
        <f>189.6/480</f>
        <v>0.39499999999999996</v>
      </c>
      <c r="AA2237" s="479">
        <f>Y2237*Z2237</f>
        <v>1325303.9999999998</v>
      </c>
      <c r="AB2237" s="386"/>
      <c r="AC2237" s="481">
        <v>0</v>
      </c>
      <c r="AD2237" s="474"/>
      <c r="AE2237" s="482"/>
      <c r="AF2237" s="493">
        <f t="shared" si="381"/>
        <v>1325303.9999999998</v>
      </c>
      <c r="AG2237" s="474" t="s">
        <v>47</v>
      </c>
      <c r="AH2237" s="447">
        <v>10</v>
      </c>
      <c r="AI2237" s="474">
        <v>60</v>
      </c>
      <c r="AJ2237" s="474" t="s">
        <v>1394</v>
      </c>
      <c r="AK2237" s="474" t="s">
        <v>1395</v>
      </c>
      <c r="AL2237" s="494">
        <v>89431</v>
      </c>
      <c r="AM2237" s="474" t="s">
        <v>52</v>
      </c>
      <c r="AN2237" s="474" t="s">
        <v>1085</v>
      </c>
      <c r="AO2237" s="474"/>
      <c r="AP2237" s="474" t="s">
        <v>92</v>
      </c>
      <c r="AQ2237" s="474" t="s">
        <v>1109</v>
      </c>
      <c r="AR2237" s="474"/>
      <c r="AS2237" s="387" t="s">
        <v>1076</v>
      </c>
      <c r="AT2237" s="387" t="s">
        <v>1076</v>
      </c>
      <c r="AU2237" s="471"/>
    </row>
    <row r="2238" spans="1:55">
      <c r="A2238" s="410"/>
      <c r="B2238" s="407"/>
      <c r="C2238" s="407"/>
      <c r="D2238" s="474" t="s">
        <v>1066</v>
      </c>
      <c r="E2238" s="388"/>
      <c r="F2238" s="474" t="s">
        <v>1077</v>
      </c>
      <c r="G2238" s="474">
        <v>2022</v>
      </c>
      <c r="H2238" s="474">
        <v>5</v>
      </c>
      <c r="I2238" s="485" t="s">
        <v>5419</v>
      </c>
      <c r="J2238" s="475"/>
      <c r="K2238" s="474" t="s">
        <v>1481</v>
      </c>
      <c r="L2238" s="475" t="s">
        <v>1478</v>
      </c>
      <c r="M2238" s="475">
        <v>44532</v>
      </c>
      <c r="N2238" s="475">
        <v>44621</v>
      </c>
      <c r="O2238" s="475"/>
      <c r="P2238" s="475">
        <v>44671</v>
      </c>
      <c r="Q2238" s="475"/>
      <c r="R2238" s="475"/>
      <c r="S2238" s="474" t="s">
        <v>1114</v>
      </c>
      <c r="T2238" s="474">
        <v>72</v>
      </c>
      <c r="U2238" s="474">
        <v>49303156</v>
      </c>
      <c r="V2238" s="474" t="s">
        <v>1226</v>
      </c>
      <c r="W2238" s="476">
        <v>480</v>
      </c>
      <c r="X2238" s="402">
        <f>551+638</f>
        <v>1189</v>
      </c>
      <c r="Y2238" s="491">
        <f t="shared" si="389"/>
        <v>570720</v>
      </c>
      <c r="Z2238" s="478">
        <v>0.44500000000000001</v>
      </c>
      <c r="AA2238" s="479">
        <f>Z2238*Y2238</f>
        <v>253970.4</v>
      </c>
      <c r="AB2238" s="386"/>
      <c r="AC2238" s="481">
        <f>AB2238*Y2238</f>
        <v>0</v>
      </c>
      <c r="AD2238" s="474"/>
      <c r="AE2238" s="482"/>
      <c r="AF2238" s="493">
        <f t="shared" si="381"/>
        <v>253970.4</v>
      </c>
      <c r="AG2238" s="474" t="s">
        <v>47</v>
      </c>
      <c r="AH2238" s="447">
        <v>10</v>
      </c>
      <c r="AI2238" s="474">
        <v>30</v>
      </c>
      <c r="AJ2238" s="474" t="s">
        <v>1482</v>
      </c>
      <c r="AK2238" s="474" t="s">
        <v>1244</v>
      </c>
      <c r="AL2238" s="494">
        <v>46933</v>
      </c>
      <c r="AM2238" s="474" t="s">
        <v>52</v>
      </c>
      <c r="AN2238" s="474" t="s">
        <v>1074</v>
      </c>
      <c r="AO2238" s="474"/>
      <c r="AP2238" s="474"/>
      <c r="AQ2238" s="474" t="s">
        <v>1086</v>
      </c>
      <c r="AR2238" s="474"/>
      <c r="AS2238" s="387" t="s">
        <v>1076</v>
      </c>
      <c r="AT2238" s="387" t="s">
        <v>1076</v>
      </c>
      <c r="AU2238" s="471"/>
    </row>
    <row r="2239" spans="1:55">
      <c r="A2239" s="410"/>
      <c r="B2239" s="407"/>
      <c r="C2239" s="407"/>
      <c r="D2239" s="474" t="s">
        <v>1066</v>
      </c>
      <c r="E2239" s="388" t="s">
        <v>1106</v>
      </c>
      <c r="F2239" s="474"/>
      <c r="G2239" s="474">
        <v>2022</v>
      </c>
      <c r="H2239" s="474">
        <v>4</v>
      </c>
      <c r="I2239" s="485">
        <v>128146</v>
      </c>
      <c r="J2239" s="475">
        <v>44656</v>
      </c>
      <c r="K2239" s="474" t="s">
        <v>1357</v>
      </c>
      <c r="L2239" s="475" t="s">
        <v>1358</v>
      </c>
      <c r="M2239" s="475">
        <v>44496</v>
      </c>
      <c r="N2239" s="475">
        <v>44562</v>
      </c>
      <c r="O2239" s="475">
        <v>44621</v>
      </c>
      <c r="P2239" s="475">
        <v>44628</v>
      </c>
      <c r="Q2239" s="475">
        <v>44656</v>
      </c>
      <c r="R2239" s="475">
        <v>44657</v>
      </c>
      <c r="S2239" s="474" t="s">
        <v>1114</v>
      </c>
      <c r="T2239" s="474">
        <v>60</v>
      </c>
      <c r="U2239" s="474">
        <v>49201132</v>
      </c>
      <c r="V2239" s="474" t="s">
        <v>986</v>
      </c>
      <c r="W2239" s="476">
        <v>360</v>
      </c>
      <c r="X2239" s="402">
        <v>832</v>
      </c>
      <c r="Y2239" s="491">
        <f t="shared" si="389"/>
        <v>299520</v>
      </c>
      <c r="Z2239" s="478">
        <v>0.53</v>
      </c>
      <c r="AA2239" s="479">
        <f>Y2239*Z2239</f>
        <v>158745.60000000001</v>
      </c>
      <c r="AB2239" s="386"/>
      <c r="AC2239" s="481">
        <v>0</v>
      </c>
      <c r="AD2239" s="474"/>
      <c r="AE2239" s="482"/>
      <c r="AF2239" s="493">
        <f t="shared" si="381"/>
        <v>158745.60000000001</v>
      </c>
      <c r="AG2239" s="474" t="s">
        <v>1071</v>
      </c>
      <c r="AH2239" s="447"/>
      <c r="AI2239" s="474">
        <v>60</v>
      </c>
      <c r="AJ2239" s="474" t="s">
        <v>1282</v>
      </c>
      <c r="AK2239" s="474" t="s">
        <v>1276</v>
      </c>
      <c r="AL2239" s="494">
        <v>63134</v>
      </c>
      <c r="AM2239" s="474" t="s">
        <v>52</v>
      </c>
      <c r="AN2239" s="474" t="s">
        <v>1074</v>
      </c>
      <c r="AO2239" s="474"/>
      <c r="AP2239" s="474"/>
      <c r="AQ2239" s="474"/>
      <c r="AR2239" s="474"/>
      <c r="AS2239" s="387"/>
      <c r="AT2239" s="387" t="s">
        <v>1076</v>
      </c>
      <c r="AU2239" s="471"/>
    </row>
    <row r="2240" spans="1:55">
      <c r="A2240" s="410"/>
      <c r="B2240" s="407"/>
      <c r="C2240" s="407"/>
      <c r="D2240" s="474" t="s">
        <v>1066</v>
      </c>
      <c r="E2240" s="388"/>
      <c r="F2240" s="474" t="s">
        <v>1077</v>
      </c>
      <c r="G2240" s="474">
        <v>2022</v>
      </c>
      <c r="H2240" s="474">
        <v>5</v>
      </c>
      <c r="I2240" s="485" t="s">
        <v>5419</v>
      </c>
      <c r="J2240" s="475"/>
      <c r="K2240" s="474" t="s">
        <v>1485</v>
      </c>
      <c r="L2240" s="475" t="s">
        <v>1478</v>
      </c>
      <c r="M2240" s="475">
        <v>44532</v>
      </c>
      <c r="N2240" s="475">
        <v>44652</v>
      </c>
      <c r="O2240" s="475"/>
      <c r="P2240" s="475">
        <v>44671</v>
      </c>
      <c r="Q2240" s="475"/>
      <c r="R2240" s="475"/>
      <c r="S2240" s="474" t="s">
        <v>1114</v>
      </c>
      <c r="T2240" s="474">
        <v>72</v>
      </c>
      <c r="U2240" s="474">
        <v>49303156</v>
      </c>
      <c r="V2240" s="474" t="s">
        <v>1226</v>
      </c>
      <c r="W2240" s="476">
        <v>480</v>
      </c>
      <c r="X2240" s="402">
        <v>609</v>
      </c>
      <c r="Y2240" s="491">
        <f t="shared" si="389"/>
        <v>292320</v>
      </c>
      <c r="Z2240" s="478">
        <v>0.44500000000000001</v>
      </c>
      <c r="AA2240" s="479">
        <f>Z2240*Y2240</f>
        <v>130082.40000000001</v>
      </c>
      <c r="AB2240" s="386"/>
      <c r="AC2240" s="481">
        <f>AB2240*Y2240</f>
        <v>0</v>
      </c>
      <c r="AD2240" s="474"/>
      <c r="AE2240" s="482"/>
      <c r="AF2240" s="493">
        <f t="shared" si="381"/>
        <v>130082.40000000001</v>
      </c>
      <c r="AG2240" s="474" t="s">
        <v>47</v>
      </c>
      <c r="AH2240" s="447">
        <v>10</v>
      </c>
      <c r="AI2240" s="474">
        <v>30</v>
      </c>
      <c r="AJ2240" s="474" t="s">
        <v>1374</v>
      </c>
      <c r="AK2240" s="474" t="s">
        <v>1244</v>
      </c>
      <c r="AL2240" s="494">
        <v>47374</v>
      </c>
      <c r="AM2240" s="474" t="s">
        <v>52</v>
      </c>
      <c r="AN2240" s="474" t="s">
        <v>1074</v>
      </c>
      <c r="AO2240" s="474"/>
      <c r="AP2240" s="474"/>
      <c r="AQ2240" s="474" t="s">
        <v>1086</v>
      </c>
      <c r="AR2240" s="474"/>
      <c r="AS2240" s="387" t="s">
        <v>1076</v>
      </c>
      <c r="AT2240" s="387" t="s">
        <v>1076</v>
      </c>
      <c r="AU2240" s="471"/>
    </row>
    <row r="2241" spans="1:55">
      <c r="A2241" s="410"/>
      <c r="B2241" s="407"/>
      <c r="C2241" s="407"/>
      <c r="D2241" s="474" t="s">
        <v>1066</v>
      </c>
      <c r="E2241" s="388" t="s">
        <v>5403</v>
      </c>
      <c r="F2241" s="474" t="s">
        <v>87</v>
      </c>
      <c r="G2241" s="474">
        <v>2022</v>
      </c>
      <c r="H2241" s="474">
        <v>5</v>
      </c>
      <c r="I2241" s="485"/>
      <c r="J2241" s="475"/>
      <c r="K2241" s="474" t="s">
        <v>1232</v>
      </c>
      <c r="L2241" s="475" t="s">
        <v>1228</v>
      </c>
      <c r="M2241" s="475">
        <v>44539</v>
      </c>
      <c r="N2241" s="475">
        <v>44683</v>
      </c>
      <c r="O2241" s="475"/>
      <c r="P2241" s="475" t="s">
        <v>5737</v>
      </c>
      <c r="Q2241" s="475"/>
      <c r="R2241" s="475"/>
      <c r="S2241" s="474" t="s">
        <v>1069</v>
      </c>
      <c r="T2241" s="474">
        <v>72</v>
      </c>
      <c r="U2241" s="474"/>
      <c r="V2241" s="474" t="s">
        <v>1070</v>
      </c>
      <c r="W2241" s="476">
        <v>475</v>
      </c>
      <c r="X2241" s="402">
        <v>638</v>
      </c>
      <c r="Y2241" s="491">
        <f t="shared" si="389"/>
        <v>303050</v>
      </c>
      <c r="Z2241" s="478">
        <v>0.47</v>
      </c>
      <c r="AA2241" s="479">
        <f>Y2241*Z2241</f>
        <v>142433.5</v>
      </c>
      <c r="AB2241" s="386"/>
      <c r="AC2241" s="481">
        <v>0</v>
      </c>
      <c r="AD2241" s="474"/>
      <c r="AE2241" s="482"/>
      <c r="AF2241" s="493">
        <f t="shared" si="381"/>
        <v>142433.5</v>
      </c>
      <c r="AG2241" s="474" t="s">
        <v>1071</v>
      </c>
      <c r="AH2241" s="447"/>
      <c r="AI2241" s="474">
        <v>60</v>
      </c>
      <c r="AJ2241" s="474" t="s">
        <v>1233</v>
      </c>
      <c r="AK2241" s="474" t="s">
        <v>1190</v>
      </c>
      <c r="AL2241" s="494" t="s">
        <v>1234</v>
      </c>
      <c r="AM2241" s="474" t="s">
        <v>52</v>
      </c>
      <c r="AN2241" s="474" t="s">
        <v>1074</v>
      </c>
      <c r="AO2241" s="474"/>
      <c r="AP2241" s="474"/>
      <c r="AQ2241" s="474" t="s">
        <v>37</v>
      </c>
      <c r="AR2241" s="474"/>
      <c r="AS2241" s="387"/>
      <c r="AT2241" s="387"/>
      <c r="AU2241" s="471"/>
    </row>
    <row r="2242" spans="1:55">
      <c r="A2242" s="410"/>
      <c r="B2242" s="407"/>
      <c r="C2242" s="407"/>
      <c r="D2242" s="474" t="s">
        <v>1066</v>
      </c>
      <c r="E2242" s="388"/>
      <c r="F2242" s="474" t="s">
        <v>1376</v>
      </c>
      <c r="G2242" s="474">
        <v>2022</v>
      </c>
      <c r="H2242" s="474">
        <v>5</v>
      </c>
      <c r="I2242" s="485"/>
      <c r="J2242" s="475"/>
      <c r="K2242" s="474" t="s">
        <v>1470</v>
      </c>
      <c r="L2242" s="475" t="s">
        <v>1471</v>
      </c>
      <c r="M2242" s="475">
        <v>44559</v>
      </c>
      <c r="N2242" s="475">
        <v>44614</v>
      </c>
      <c r="O2242" s="475"/>
      <c r="P2242" s="475">
        <v>44600</v>
      </c>
      <c r="Q2242" s="475"/>
      <c r="R2242" s="475"/>
      <c r="S2242" s="474" t="s">
        <v>1472</v>
      </c>
      <c r="T2242" s="474">
        <v>72</v>
      </c>
      <c r="U2242" s="474">
        <v>49303156</v>
      </c>
      <c r="V2242" s="474" t="s">
        <v>1070</v>
      </c>
      <c r="W2242" s="476">
        <v>480</v>
      </c>
      <c r="X2242" s="402">
        <v>2233</v>
      </c>
      <c r="Y2242" s="491">
        <f t="shared" si="389"/>
        <v>1071840</v>
      </c>
      <c r="Z2242" s="478">
        <v>0.45</v>
      </c>
      <c r="AA2242" s="479">
        <f t="shared" ref="AA2242:AA2259" si="392">Z2242*Y2242</f>
        <v>482328</v>
      </c>
      <c r="AB2242" s="386"/>
      <c r="AC2242" s="481">
        <f t="shared" ref="AC2242:AC2259" si="393">AB2242*Y2242</f>
        <v>0</v>
      </c>
      <c r="AD2242" s="474"/>
      <c r="AE2242" s="482"/>
      <c r="AF2242" s="493">
        <f t="shared" si="381"/>
        <v>482328</v>
      </c>
      <c r="AG2242" s="474" t="s">
        <v>47</v>
      </c>
      <c r="AH2242" s="447">
        <v>0</v>
      </c>
      <c r="AI2242" s="474">
        <v>45</v>
      </c>
      <c r="AJ2242" s="474" t="s">
        <v>1473</v>
      </c>
      <c r="AK2242" s="474" t="s">
        <v>1190</v>
      </c>
      <c r="AL2242" s="494">
        <v>6410</v>
      </c>
      <c r="AM2242" s="474" t="s">
        <v>52</v>
      </c>
      <c r="AN2242" s="474" t="s">
        <v>1074</v>
      </c>
      <c r="AO2242" s="474"/>
      <c r="AP2242" s="474"/>
      <c r="AQ2242" s="474" t="s">
        <v>1086</v>
      </c>
      <c r="AR2242" s="474"/>
      <c r="AS2242" s="387" t="s">
        <v>1087</v>
      </c>
      <c r="AT2242" s="387" t="s">
        <v>1076</v>
      </c>
      <c r="AU2242" s="471"/>
    </row>
    <row r="2243" spans="1:55">
      <c r="A2243" s="410"/>
      <c r="B2243" s="407"/>
      <c r="C2243" s="407"/>
      <c r="D2243" s="474" t="s">
        <v>1066</v>
      </c>
      <c r="E2243" s="388"/>
      <c r="F2243" s="474"/>
      <c r="G2243" s="474">
        <v>2022</v>
      </c>
      <c r="H2243" s="474">
        <v>5</v>
      </c>
      <c r="I2243" s="485"/>
      <c r="J2243" s="475"/>
      <c r="K2243" s="474" t="s">
        <v>1253</v>
      </c>
      <c r="L2243" s="475" t="s">
        <v>1242</v>
      </c>
      <c r="M2243" s="475">
        <v>44496</v>
      </c>
      <c r="N2243" s="475">
        <v>44634</v>
      </c>
      <c r="O2243" s="475"/>
      <c r="P2243" s="475"/>
      <c r="Q2243" s="475"/>
      <c r="R2243" s="475"/>
      <c r="S2243" s="474" t="s">
        <v>1114</v>
      </c>
      <c r="T2243" s="474">
        <v>60</v>
      </c>
      <c r="U2243" s="474">
        <v>49201132</v>
      </c>
      <c r="V2243" s="474" t="s">
        <v>986</v>
      </c>
      <c r="W2243" s="476">
        <v>360</v>
      </c>
      <c r="X2243" s="402">
        <v>832</v>
      </c>
      <c r="Y2243" s="491">
        <f t="shared" si="389"/>
        <v>299520</v>
      </c>
      <c r="Z2243" s="478">
        <v>0.53</v>
      </c>
      <c r="AA2243" s="479">
        <f t="shared" si="392"/>
        <v>158745.60000000001</v>
      </c>
      <c r="AB2243" s="386"/>
      <c r="AC2243" s="481">
        <f t="shared" si="393"/>
        <v>0</v>
      </c>
      <c r="AD2243" s="474"/>
      <c r="AE2243" s="482"/>
      <c r="AF2243" s="493">
        <f t="shared" si="381"/>
        <v>158745.60000000001</v>
      </c>
      <c r="AG2243" s="474" t="s">
        <v>1071</v>
      </c>
      <c r="AH2243" s="447">
        <v>0</v>
      </c>
      <c r="AI2243" s="474">
        <v>60</v>
      </c>
      <c r="AJ2243" s="474" t="s">
        <v>1243</v>
      </c>
      <c r="AK2243" s="474" t="s">
        <v>1244</v>
      </c>
      <c r="AL2243" s="494" t="s">
        <v>1245</v>
      </c>
      <c r="AM2243" s="474" t="s">
        <v>52</v>
      </c>
      <c r="AN2243" s="474" t="s">
        <v>1074</v>
      </c>
      <c r="AO2243" s="474"/>
      <c r="AP2243" s="474"/>
      <c r="AQ2243" s="474" t="s">
        <v>1086</v>
      </c>
      <c r="AR2243" s="474"/>
      <c r="AS2243" s="387" t="s">
        <v>1076</v>
      </c>
      <c r="AT2243" s="387" t="s">
        <v>1076</v>
      </c>
      <c r="AU2243" s="471"/>
    </row>
    <row r="2244" spans="1:55">
      <c r="A2244" s="410"/>
      <c r="B2244" s="407"/>
      <c r="C2244" s="407"/>
      <c r="D2244" s="474" t="s">
        <v>1066</v>
      </c>
      <c r="E2244" s="388"/>
      <c r="F2244" s="474"/>
      <c r="G2244" s="474">
        <v>2022</v>
      </c>
      <c r="H2244" s="474">
        <v>5</v>
      </c>
      <c r="I2244" s="485"/>
      <c r="J2244" s="475"/>
      <c r="K2244" s="474" t="s">
        <v>1254</v>
      </c>
      <c r="L2244" s="475" t="s">
        <v>1242</v>
      </c>
      <c r="M2244" s="475">
        <v>44504</v>
      </c>
      <c r="N2244" s="475">
        <v>44652</v>
      </c>
      <c r="O2244" s="475"/>
      <c r="P2244" s="475"/>
      <c r="Q2244" s="475"/>
      <c r="R2244" s="475"/>
      <c r="S2244" s="474" t="s">
        <v>1114</v>
      </c>
      <c r="T2244" s="474">
        <v>60</v>
      </c>
      <c r="U2244" s="474">
        <v>49201132</v>
      </c>
      <c r="V2244" s="474" t="s">
        <v>986</v>
      </c>
      <c r="W2244" s="476">
        <v>360</v>
      </c>
      <c r="X2244" s="402">
        <v>1664</v>
      </c>
      <c r="Y2244" s="491">
        <f t="shared" si="389"/>
        <v>599040</v>
      </c>
      <c r="Z2244" s="478">
        <v>0.53</v>
      </c>
      <c r="AA2244" s="479">
        <f t="shared" si="392"/>
        <v>317491.20000000001</v>
      </c>
      <c r="AB2244" s="386"/>
      <c r="AC2244" s="481">
        <f t="shared" si="393"/>
        <v>0</v>
      </c>
      <c r="AD2244" s="474"/>
      <c r="AE2244" s="482"/>
      <c r="AF2244" s="493">
        <f t="shared" si="381"/>
        <v>317491.20000000001</v>
      </c>
      <c r="AG2244" s="474" t="s">
        <v>1071</v>
      </c>
      <c r="AH2244" s="447">
        <v>0</v>
      </c>
      <c r="AI2244" s="474">
        <v>60</v>
      </c>
      <c r="AJ2244" s="474" t="s">
        <v>1243</v>
      </c>
      <c r="AK2244" s="474" t="s">
        <v>1244</v>
      </c>
      <c r="AL2244" s="494" t="s">
        <v>1245</v>
      </c>
      <c r="AM2244" s="474" t="s">
        <v>52</v>
      </c>
      <c r="AN2244" s="474" t="s">
        <v>1074</v>
      </c>
      <c r="AO2244" s="474"/>
      <c r="AP2244" s="474"/>
      <c r="AQ2244" s="474" t="s">
        <v>1086</v>
      </c>
      <c r="AR2244" s="474"/>
      <c r="AS2244" s="387" t="s">
        <v>1076</v>
      </c>
      <c r="AT2244" s="387" t="s">
        <v>1076</v>
      </c>
      <c r="AU2244" s="471"/>
    </row>
    <row r="2245" spans="1:55">
      <c r="A2245" s="410"/>
      <c r="B2245" s="407"/>
      <c r="C2245" s="407"/>
      <c r="D2245" s="474" t="s">
        <v>1066</v>
      </c>
      <c r="E2245" s="388"/>
      <c r="F2245" s="474" t="s">
        <v>1077</v>
      </c>
      <c r="G2245" s="474">
        <v>2022</v>
      </c>
      <c r="H2245" s="474">
        <v>5</v>
      </c>
      <c r="I2245" s="485">
        <v>2005205</v>
      </c>
      <c r="J2245" s="475"/>
      <c r="K2245" s="483" t="s">
        <v>184</v>
      </c>
      <c r="L2245" s="475" t="s">
        <v>1509</v>
      </c>
      <c r="M2245" s="475">
        <v>44530</v>
      </c>
      <c r="N2245" s="475">
        <v>44652</v>
      </c>
      <c r="O2245" s="475"/>
      <c r="P2245" s="475" t="s">
        <v>1093</v>
      </c>
      <c r="Q2245" s="475"/>
      <c r="R2245" s="475"/>
      <c r="S2245" s="474" t="s">
        <v>1506</v>
      </c>
      <c r="T2245" s="474">
        <v>72</v>
      </c>
      <c r="U2245" s="474"/>
      <c r="V2245" s="474" t="s">
        <v>1070</v>
      </c>
      <c r="W2245" s="476">
        <v>480</v>
      </c>
      <c r="X2245" s="402">
        <v>1514</v>
      </c>
      <c r="Y2245" s="491">
        <f t="shared" si="389"/>
        <v>726720</v>
      </c>
      <c r="Z2245" s="478">
        <v>0.39500000000000002</v>
      </c>
      <c r="AA2245" s="492">
        <f t="shared" si="392"/>
        <v>287054.40000000002</v>
      </c>
      <c r="AB2245" s="386"/>
      <c r="AC2245" s="481">
        <f t="shared" si="393"/>
        <v>0</v>
      </c>
      <c r="AD2245" s="474"/>
      <c r="AE2245" s="482">
        <f>22246.72</f>
        <v>22246.720000000001</v>
      </c>
      <c r="AF2245" s="493">
        <f t="shared" ref="AF2245:AF2308" si="394">AE2245+AD2245+AA2245</f>
        <v>309301.12</v>
      </c>
      <c r="AG2245" s="474" t="s">
        <v>47</v>
      </c>
      <c r="AH2245" s="447">
        <v>30</v>
      </c>
      <c r="AI2245" s="474">
        <v>30</v>
      </c>
      <c r="AJ2245" s="474" t="s">
        <v>1510</v>
      </c>
      <c r="AK2245" s="474" t="s">
        <v>50</v>
      </c>
      <c r="AL2245" s="494">
        <v>92210</v>
      </c>
      <c r="AM2245" s="474" t="s">
        <v>52</v>
      </c>
      <c r="AN2245" s="474" t="s">
        <v>1074</v>
      </c>
      <c r="AO2245" s="474"/>
      <c r="AP2245" s="474"/>
      <c r="AQ2245" s="474" t="s">
        <v>1086</v>
      </c>
      <c r="AR2245" s="474"/>
      <c r="AS2245" s="387" t="s">
        <v>1087</v>
      </c>
      <c r="AT2245" s="387" t="s">
        <v>1076</v>
      </c>
      <c r="AU2245" s="471"/>
    </row>
    <row r="2246" spans="1:55">
      <c r="A2246" s="410"/>
      <c r="B2246" s="407"/>
      <c r="C2246" s="407"/>
      <c r="D2246" s="474" t="s">
        <v>1066</v>
      </c>
      <c r="E2246" s="394"/>
      <c r="F2246" s="474"/>
      <c r="G2246" s="474">
        <v>2022</v>
      </c>
      <c r="H2246" s="474">
        <v>3</v>
      </c>
      <c r="I2246" s="485">
        <v>127805</v>
      </c>
      <c r="J2246" s="475">
        <v>44651</v>
      </c>
      <c r="K2246" s="474" t="s">
        <v>1273</v>
      </c>
      <c r="L2246" s="475" t="s">
        <v>1274</v>
      </c>
      <c r="M2246" s="475">
        <v>44497</v>
      </c>
      <c r="N2246" s="475">
        <v>44594</v>
      </c>
      <c r="O2246" s="475"/>
      <c r="P2246" s="475">
        <v>44629</v>
      </c>
      <c r="Q2246" s="475">
        <v>44651</v>
      </c>
      <c r="R2246" s="475">
        <v>44653</v>
      </c>
      <c r="S2246" s="474" t="s">
        <v>1114</v>
      </c>
      <c r="T2246" s="474">
        <v>60</v>
      </c>
      <c r="U2246" s="474">
        <v>49201132</v>
      </c>
      <c r="V2246" s="474" t="s">
        <v>986</v>
      </c>
      <c r="W2246" s="476">
        <v>360</v>
      </c>
      <c r="X2246" s="402">
        <v>1472</v>
      </c>
      <c r="Y2246" s="491">
        <f t="shared" si="389"/>
        <v>529920</v>
      </c>
      <c r="Z2246" s="478">
        <v>0.53</v>
      </c>
      <c r="AA2246" s="479">
        <f t="shared" si="392"/>
        <v>280857.60000000003</v>
      </c>
      <c r="AB2246" s="386"/>
      <c r="AC2246" s="481">
        <f t="shared" si="393"/>
        <v>0</v>
      </c>
      <c r="AD2246" s="474"/>
      <c r="AE2246" s="482"/>
      <c r="AF2246" s="493">
        <f t="shared" si="394"/>
        <v>280857.60000000003</v>
      </c>
      <c r="AG2246" s="474" t="s">
        <v>1071</v>
      </c>
      <c r="AH2246" s="447"/>
      <c r="AI2246" s="474">
        <v>60</v>
      </c>
      <c r="AJ2246" s="474" t="s">
        <v>1275</v>
      </c>
      <c r="AK2246" s="474" t="s">
        <v>1276</v>
      </c>
      <c r="AL2246" s="494" t="s">
        <v>1277</v>
      </c>
      <c r="AM2246" s="474" t="s">
        <v>52</v>
      </c>
      <c r="AN2246" s="474" t="s">
        <v>1074</v>
      </c>
      <c r="AO2246" s="474"/>
      <c r="AP2246" s="474"/>
      <c r="AQ2246" s="474"/>
      <c r="AR2246" s="474"/>
      <c r="AS2246" s="387"/>
      <c r="AT2246" s="387"/>
      <c r="AU2246" s="471"/>
    </row>
    <row r="2247" spans="1:55">
      <c r="A2247" s="410"/>
      <c r="B2247" s="407"/>
      <c r="C2247" s="407"/>
      <c r="D2247" s="474" t="s">
        <v>1066</v>
      </c>
      <c r="E2247" s="394" t="s">
        <v>1278</v>
      </c>
      <c r="F2247" s="474"/>
      <c r="G2247" s="474">
        <v>2022</v>
      </c>
      <c r="H2247" s="524">
        <v>3</v>
      </c>
      <c r="I2247" s="415">
        <v>127858</v>
      </c>
      <c r="J2247" s="538">
        <v>44651</v>
      </c>
      <c r="K2247" s="524" t="s">
        <v>1273</v>
      </c>
      <c r="L2247" s="538" t="s">
        <v>1274</v>
      </c>
      <c r="M2247" s="475">
        <v>44497</v>
      </c>
      <c r="N2247" s="475">
        <v>44594</v>
      </c>
      <c r="O2247" s="475"/>
      <c r="P2247" s="475">
        <v>44629</v>
      </c>
      <c r="Q2247" s="475">
        <v>44651</v>
      </c>
      <c r="R2247" s="475">
        <v>44653</v>
      </c>
      <c r="S2247" s="474" t="s">
        <v>1114</v>
      </c>
      <c r="T2247" s="474">
        <v>60</v>
      </c>
      <c r="U2247" s="474">
        <v>49201132</v>
      </c>
      <c r="V2247" s="474" t="s">
        <v>986</v>
      </c>
      <c r="W2247" s="476">
        <v>360</v>
      </c>
      <c r="X2247" s="402">
        <v>192</v>
      </c>
      <c r="Y2247" s="491">
        <f t="shared" si="389"/>
        <v>69120</v>
      </c>
      <c r="Z2247" s="478">
        <v>0.53</v>
      </c>
      <c r="AA2247" s="479">
        <f t="shared" si="392"/>
        <v>36633.599999999999</v>
      </c>
      <c r="AB2247" s="386"/>
      <c r="AC2247" s="481">
        <f t="shared" si="393"/>
        <v>0</v>
      </c>
      <c r="AD2247" s="474"/>
      <c r="AE2247" s="482"/>
      <c r="AF2247" s="493">
        <f t="shared" si="394"/>
        <v>36633.599999999999</v>
      </c>
      <c r="AG2247" s="474" t="s">
        <v>1071</v>
      </c>
      <c r="AH2247" s="447"/>
      <c r="AI2247" s="474">
        <v>60</v>
      </c>
      <c r="AJ2247" s="474" t="s">
        <v>1275</v>
      </c>
      <c r="AK2247" s="474" t="s">
        <v>1276</v>
      </c>
      <c r="AL2247" s="494" t="s">
        <v>1277</v>
      </c>
      <c r="AM2247" s="474" t="s">
        <v>52</v>
      </c>
      <c r="AN2247" s="474" t="s">
        <v>1074</v>
      </c>
      <c r="AO2247" s="474"/>
      <c r="AP2247" s="474"/>
      <c r="AQ2247" s="474"/>
      <c r="AR2247" s="474"/>
      <c r="AS2247" s="387"/>
      <c r="AT2247" s="387"/>
      <c r="AU2247" s="471"/>
    </row>
    <row r="2248" spans="1:55">
      <c r="A2248" s="410"/>
      <c r="B2248" s="407"/>
      <c r="C2248" s="407"/>
      <c r="D2248" s="474" t="s">
        <v>1066</v>
      </c>
      <c r="E2248" s="388"/>
      <c r="F2248" s="474"/>
      <c r="G2248" s="474">
        <v>2022</v>
      </c>
      <c r="H2248" s="474">
        <v>3</v>
      </c>
      <c r="I2248" s="485">
        <v>127313</v>
      </c>
      <c r="J2248" s="475">
        <v>44630</v>
      </c>
      <c r="K2248" s="474" t="s">
        <v>1279</v>
      </c>
      <c r="L2248" s="475" t="s">
        <v>1274</v>
      </c>
      <c r="M2248" s="475">
        <v>44497</v>
      </c>
      <c r="N2248" s="475">
        <v>44531</v>
      </c>
      <c r="O2248" s="475" t="s">
        <v>1280</v>
      </c>
      <c r="P2248" s="475">
        <v>44596</v>
      </c>
      <c r="Q2248" s="475">
        <v>44630</v>
      </c>
      <c r="R2248" s="475">
        <v>44631</v>
      </c>
      <c r="S2248" s="474" t="s">
        <v>1114</v>
      </c>
      <c r="T2248" s="474">
        <v>60</v>
      </c>
      <c r="U2248" s="474">
        <v>49403140</v>
      </c>
      <c r="V2248" s="474" t="s">
        <v>973</v>
      </c>
      <c r="W2248" s="476">
        <v>400</v>
      </c>
      <c r="X2248" s="402">
        <v>1344</v>
      </c>
      <c r="Y2248" s="491">
        <f t="shared" si="389"/>
        <v>537600</v>
      </c>
      <c r="Z2248" s="478">
        <v>0.55000000000000004</v>
      </c>
      <c r="AA2248" s="479">
        <f t="shared" si="392"/>
        <v>295680</v>
      </c>
      <c r="AB2248" s="386"/>
      <c r="AC2248" s="481">
        <f t="shared" si="393"/>
        <v>0</v>
      </c>
      <c r="AD2248" s="474"/>
      <c r="AE2248" s="482"/>
      <c r="AF2248" s="493">
        <f t="shared" si="394"/>
        <v>295680</v>
      </c>
      <c r="AG2248" s="474" t="s">
        <v>1071</v>
      </c>
      <c r="AH2248" s="447"/>
      <c r="AI2248" s="474">
        <v>60</v>
      </c>
      <c r="AJ2248" s="474" t="s">
        <v>1275</v>
      </c>
      <c r="AK2248" s="474" t="s">
        <v>1276</v>
      </c>
      <c r="AL2248" s="494" t="s">
        <v>1277</v>
      </c>
      <c r="AM2248" s="474" t="s">
        <v>52</v>
      </c>
      <c r="AN2248" s="474" t="s">
        <v>1074</v>
      </c>
      <c r="AO2248" s="474"/>
      <c r="AP2248" s="474"/>
      <c r="AQ2248" s="474"/>
      <c r="AR2248" s="474"/>
      <c r="AS2248" s="387"/>
      <c r="AT2248" s="387"/>
      <c r="AU2248" s="471"/>
    </row>
    <row r="2249" spans="1:55">
      <c r="A2249" s="410"/>
      <c r="B2249" s="407">
        <v>44574</v>
      </c>
      <c r="C2249" s="407">
        <v>44574</v>
      </c>
      <c r="D2249" s="474" t="s">
        <v>1066</v>
      </c>
      <c r="E2249" s="388" t="s">
        <v>1171</v>
      </c>
      <c r="F2249" s="474"/>
      <c r="G2249" s="474">
        <v>2022</v>
      </c>
      <c r="H2249" s="474">
        <v>5</v>
      </c>
      <c r="I2249" s="485"/>
      <c r="J2249" s="475"/>
      <c r="K2249" s="474" t="s">
        <v>1257</v>
      </c>
      <c r="L2249" s="475" t="s">
        <v>1242</v>
      </c>
      <c r="M2249" s="475">
        <v>44502</v>
      </c>
      <c r="N2249" s="475">
        <v>44658</v>
      </c>
      <c r="O2249" s="475"/>
      <c r="P2249" s="502" t="s">
        <v>5813</v>
      </c>
      <c r="Q2249" s="475"/>
      <c r="R2249" s="475"/>
      <c r="S2249" s="474" t="s">
        <v>1114</v>
      </c>
      <c r="T2249" s="474">
        <v>60</v>
      </c>
      <c r="U2249" s="474" t="s">
        <v>1281</v>
      </c>
      <c r="V2249" s="474" t="s">
        <v>973</v>
      </c>
      <c r="W2249" s="476">
        <v>400</v>
      </c>
      <c r="X2249" s="402">
        <v>1536</v>
      </c>
      <c r="Y2249" s="491">
        <f t="shared" si="389"/>
        <v>614400</v>
      </c>
      <c r="Z2249" s="478">
        <v>0.55000000000000004</v>
      </c>
      <c r="AA2249" s="479">
        <f t="shared" si="392"/>
        <v>337920</v>
      </c>
      <c r="AB2249" s="386"/>
      <c r="AC2249" s="481">
        <f t="shared" si="393"/>
        <v>0</v>
      </c>
      <c r="AD2249" s="474"/>
      <c r="AE2249" s="482"/>
      <c r="AF2249" s="493">
        <f t="shared" si="394"/>
        <v>337920</v>
      </c>
      <c r="AG2249" s="474" t="s">
        <v>1071</v>
      </c>
      <c r="AH2249" s="447">
        <v>0</v>
      </c>
      <c r="AI2249" s="474">
        <v>60</v>
      </c>
      <c r="AJ2249" s="474" t="s">
        <v>1243</v>
      </c>
      <c r="AK2249" s="474" t="s">
        <v>1244</v>
      </c>
      <c r="AL2249" s="494" t="s">
        <v>1245</v>
      </c>
      <c r="AM2249" s="474" t="s">
        <v>52</v>
      </c>
      <c r="AN2249" s="474" t="s">
        <v>50</v>
      </c>
      <c r="AO2249" s="474"/>
      <c r="AP2249" s="474" t="s">
        <v>92</v>
      </c>
      <c r="AQ2249" s="474" t="s">
        <v>1086</v>
      </c>
      <c r="AR2249" s="474" t="s">
        <v>1248</v>
      </c>
      <c r="AS2249" s="387" t="s">
        <v>1076</v>
      </c>
      <c r="AT2249" s="387" t="s">
        <v>1076</v>
      </c>
      <c r="AU2249" s="471">
        <v>0.52</v>
      </c>
    </row>
    <row r="2250" spans="1:55">
      <c r="A2250" s="410"/>
      <c r="B2250" s="407"/>
      <c r="C2250" s="407"/>
      <c r="D2250" s="474" t="s">
        <v>1066</v>
      </c>
      <c r="E2250" s="388"/>
      <c r="F2250" s="474" t="s">
        <v>1077</v>
      </c>
      <c r="G2250" s="474">
        <v>2022</v>
      </c>
      <c r="H2250" s="474">
        <v>5</v>
      </c>
      <c r="I2250" s="485">
        <v>2005205</v>
      </c>
      <c r="J2250" s="475"/>
      <c r="K2250" s="483" t="s">
        <v>184</v>
      </c>
      <c r="L2250" s="475" t="s">
        <v>1509</v>
      </c>
      <c r="M2250" s="475">
        <v>44530</v>
      </c>
      <c r="N2250" s="475">
        <v>44652</v>
      </c>
      <c r="O2250" s="475"/>
      <c r="P2250" s="475" t="s">
        <v>1093</v>
      </c>
      <c r="Q2250" s="475"/>
      <c r="R2250" s="475"/>
      <c r="S2250" s="474" t="s">
        <v>1506</v>
      </c>
      <c r="T2250" s="474">
        <v>72</v>
      </c>
      <c r="U2250" s="474"/>
      <c r="V2250" s="474" t="s">
        <v>1070</v>
      </c>
      <c r="W2250" s="476">
        <v>480</v>
      </c>
      <c r="X2250" s="402">
        <v>638</v>
      </c>
      <c r="Y2250" s="491">
        <f t="shared" si="389"/>
        <v>306240</v>
      </c>
      <c r="Z2250" s="478">
        <v>0.39500000000000002</v>
      </c>
      <c r="AA2250" s="492">
        <f t="shared" si="392"/>
        <v>120964.8</v>
      </c>
      <c r="AB2250" s="386"/>
      <c r="AC2250" s="481">
        <f t="shared" si="393"/>
        <v>0</v>
      </c>
      <c r="AD2250" s="474"/>
      <c r="AE2250" s="482">
        <v>9374.77</v>
      </c>
      <c r="AF2250" s="493">
        <f t="shared" si="394"/>
        <v>130339.57</v>
      </c>
      <c r="AG2250" s="474" t="s">
        <v>47</v>
      </c>
      <c r="AH2250" s="447">
        <v>30</v>
      </c>
      <c r="AI2250" s="474">
        <v>30</v>
      </c>
      <c r="AJ2250" s="474" t="s">
        <v>1510</v>
      </c>
      <c r="AK2250" s="474" t="s">
        <v>50</v>
      </c>
      <c r="AL2250" s="494">
        <v>92210</v>
      </c>
      <c r="AM2250" s="474" t="s">
        <v>52</v>
      </c>
      <c r="AN2250" s="474" t="s">
        <v>1074</v>
      </c>
      <c r="AO2250" s="474"/>
      <c r="AP2250" s="474"/>
      <c r="AQ2250" s="474" t="s">
        <v>1086</v>
      </c>
      <c r="AR2250" s="474"/>
      <c r="AS2250" s="387" t="s">
        <v>1087</v>
      </c>
      <c r="AT2250" s="387" t="s">
        <v>1076</v>
      </c>
      <c r="AU2250" s="471"/>
    </row>
    <row r="2251" spans="1:55">
      <c r="A2251" s="410"/>
      <c r="B2251" s="495" t="s">
        <v>1211</v>
      </c>
      <c r="C2251" s="495" t="s">
        <v>1211</v>
      </c>
      <c r="D2251" s="474" t="s">
        <v>1066</v>
      </c>
      <c r="E2251" s="388" t="s">
        <v>5403</v>
      </c>
      <c r="F2251" s="474"/>
      <c r="G2251" s="474">
        <v>2022</v>
      </c>
      <c r="H2251" s="474">
        <v>5</v>
      </c>
      <c r="I2251" s="474"/>
      <c r="J2251" s="475"/>
      <c r="K2251" s="474" t="s">
        <v>1285</v>
      </c>
      <c r="L2251" s="474" t="s">
        <v>1274</v>
      </c>
      <c r="M2251" s="475">
        <v>44639</v>
      </c>
      <c r="N2251" s="475">
        <v>44668</v>
      </c>
      <c r="O2251" s="475"/>
      <c r="P2251" s="475" t="s">
        <v>5737</v>
      </c>
      <c r="Q2251" s="475"/>
      <c r="R2251" s="475"/>
      <c r="S2251" s="474" t="s">
        <v>1114</v>
      </c>
      <c r="T2251" s="474">
        <v>72</v>
      </c>
      <c r="U2251" s="474" t="s">
        <v>1082</v>
      </c>
      <c r="V2251" s="474" t="s">
        <v>1070</v>
      </c>
      <c r="W2251" s="474">
        <v>475</v>
      </c>
      <c r="X2251" s="406">
        <v>580</v>
      </c>
      <c r="Y2251" s="477">
        <f t="shared" si="389"/>
        <v>275500</v>
      </c>
      <c r="Z2251" s="478">
        <v>0.5</v>
      </c>
      <c r="AA2251" s="479">
        <f t="shared" si="392"/>
        <v>137750</v>
      </c>
      <c r="AB2251" s="386"/>
      <c r="AC2251" s="481">
        <f t="shared" si="393"/>
        <v>0</v>
      </c>
      <c r="AD2251" s="474"/>
      <c r="AE2251" s="482"/>
      <c r="AF2251" s="493">
        <f t="shared" si="394"/>
        <v>137750</v>
      </c>
      <c r="AG2251" s="474" t="s">
        <v>1071</v>
      </c>
      <c r="AH2251" s="447"/>
      <c r="AI2251" s="474">
        <v>60</v>
      </c>
      <c r="AJ2251" s="474" t="s">
        <v>1275</v>
      </c>
      <c r="AK2251" s="474" t="s">
        <v>1276</v>
      </c>
      <c r="AL2251" s="494" t="s">
        <v>1277</v>
      </c>
      <c r="AM2251" s="474" t="s">
        <v>52</v>
      </c>
      <c r="AN2251" s="474" t="s">
        <v>1085</v>
      </c>
      <c r="AO2251" s="474"/>
      <c r="AP2251" s="474" t="s">
        <v>92</v>
      </c>
      <c r="AQ2251" s="474"/>
      <c r="AR2251" s="474" t="s">
        <v>1216</v>
      </c>
      <c r="AS2251" s="387"/>
      <c r="AT2251" s="387"/>
      <c r="AU2251" s="471"/>
    </row>
    <row r="2252" spans="1:55">
      <c r="A2252" s="410">
        <v>10</v>
      </c>
      <c r="B2252" s="407"/>
      <c r="C2252" s="407"/>
      <c r="D2252" s="474" t="s">
        <v>1066</v>
      </c>
      <c r="E2252" s="388"/>
      <c r="F2252" s="474"/>
      <c r="G2252" s="474">
        <v>2022</v>
      </c>
      <c r="H2252" s="474">
        <v>5</v>
      </c>
      <c r="I2252" s="485" t="s">
        <v>1286</v>
      </c>
      <c r="J2252" s="475"/>
      <c r="K2252" s="474" t="s">
        <v>1273</v>
      </c>
      <c r="L2252" s="475" t="s">
        <v>1274</v>
      </c>
      <c r="M2252" s="475">
        <v>44497</v>
      </c>
      <c r="N2252" s="475">
        <v>44594</v>
      </c>
      <c r="O2252" s="475" t="s">
        <v>1280</v>
      </c>
      <c r="P2252" s="502">
        <v>44680</v>
      </c>
      <c r="Q2252" s="475"/>
      <c r="R2252" s="475"/>
      <c r="S2252" s="474" t="s">
        <v>1114</v>
      </c>
      <c r="T2252" s="474">
        <v>60</v>
      </c>
      <c r="U2252" s="474" t="s">
        <v>1760</v>
      </c>
      <c r="V2252" s="474" t="s">
        <v>973</v>
      </c>
      <c r="W2252" s="476">
        <v>400</v>
      </c>
      <c r="X2252" s="402">
        <v>1344</v>
      </c>
      <c r="Y2252" s="491">
        <f t="shared" si="389"/>
        <v>537600</v>
      </c>
      <c r="Z2252" s="478">
        <v>0.55000000000000004</v>
      </c>
      <c r="AA2252" s="479">
        <f t="shared" si="392"/>
        <v>295680</v>
      </c>
      <c r="AB2252" s="386"/>
      <c r="AC2252" s="481">
        <f t="shared" si="393"/>
        <v>0</v>
      </c>
      <c r="AD2252" s="474"/>
      <c r="AE2252" s="482"/>
      <c r="AF2252" s="493">
        <f t="shared" si="394"/>
        <v>295680</v>
      </c>
      <c r="AG2252" s="474" t="s">
        <v>1071</v>
      </c>
      <c r="AH2252" s="447"/>
      <c r="AI2252" s="474">
        <v>60</v>
      </c>
      <c r="AJ2252" s="474" t="s">
        <v>1275</v>
      </c>
      <c r="AK2252" s="474" t="s">
        <v>1276</v>
      </c>
      <c r="AL2252" s="494" t="s">
        <v>1277</v>
      </c>
      <c r="AM2252" s="474" t="s">
        <v>52</v>
      </c>
      <c r="AN2252" s="474" t="s">
        <v>50</v>
      </c>
      <c r="AO2252" s="474"/>
      <c r="AP2252" s="474" t="s">
        <v>92</v>
      </c>
      <c r="AQ2252" s="474"/>
      <c r="AR2252" s="474"/>
      <c r="AS2252" s="387"/>
      <c r="AT2252" s="387"/>
      <c r="AU2252" s="471"/>
    </row>
    <row r="2253" spans="1:55">
      <c r="A2253" s="410"/>
      <c r="B2253" s="407" t="s">
        <v>1211</v>
      </c>
      <c r="C2253" s="407" t="s">
        <v>1211</v>
      </c>
      <c r="D2253" s="474" t="s">
        <v>1066</v>
      </c>
      <c r="E2253" s="388"/>
      <c r="F2253" s="474"/>
      <c r="G2253" s="474">
        <v>2022</v>
      </c>
      <c r="H2253" s="474">
        <v>5</v>
      </c>
      <c r="I2253" s="485"/>
      <c r="J2253" s="475"/>
      <c r="K2253" s="474" t="s">
        <v>1287</v>
      </c>
      <c r="L2253" s="475" t="s">
        <v>1274</v>
      </c>
      <c r="M2253" s="475">
        <v>44517</v>
      </c>
      <c r="N2253" s="475">
        <v>44562</v>
      </c>
      <c r="O2253" s="475"/>
      <c r="P2253" s="502">
        <v>44680</v>
      </c>
      <c r="Q2253" s="475"/>
      <c r="R2253" s="475"/>
      <c r="S2253" s="474" t="s">
        <v>1114</v>
      </c>
      <c r="T2253" s="474">
        <v>60</v>
      </c>
      <c r="U2253" s="474" t="s">
        <v>1760</v>
      </c>
      <c r="V2253" s="474" t="s">
        <v>973</v>
      </c>
      <c r="W2253" s="476">
        <v>400</v>
      </c>
      <c r="X2253" s="402">
        <v>768</v>
      </c>
      <c r="Y2253" s="491">
        <f t="shared" si="389"/>
        <v>307200</v>
      </c>
      <c r="Z2253" s="478">
        <v>0.55000000000000004</v>
      </c>
      <c r="AA2253" s="479">
        <f t="shared" si="392"/>
        <v>168960</v>
      </c>
      <c r="AB2253" s="386"/>
      <c r="AC2253" s="481">
        <f t="shared" si="393"/>
        <v>0</v>
      </c>
      <c r="AD2253" s="474"/>
      <c r="AE2253" s="482"/>
      <c r="AF2253" s="493">
        <f t="shared" si="394"/>
        <v>168960</v>
      </c>
      <c r="AG2253" s="474" t="s">
        <v>1071</v>
      </c>
      <c r="AH2253" s="447"/>
      <c r="AI2253" s="474">
        <v>60</v>
      </c>
      <c r="AJ2253" s="474" t="s">
        <v>1275</v>
      </c>
      <c r="AK2253" s="474" t="s">
        <v>1276</v>
      </c>
      <c r="AL2253" s="494" t="s">
        <v>1277</v>
      </c>
      <c r="AM2253" s="474" t="s">
        <v>52</v>
      </c>
      <c r="AN2253" s="474" t="s">
        <v>50</v>
      </c>
      <c r="AO2253" s="474"/>
      <c r="AP2253" s="474" t="s">
        <v>92</v>
      </c>
      <c r="AQ2253" s="474"/>
      <c r="AR2253" s="474" t="s">
        <v>1288</v>
      </c>
      <c r="AS2253" s="387"/>
      <c r="AT2253" s="387"/>
      <c r="AU2253" s="471">
        <v>0.46500000000000002</v>
      </c>
      <c r="AV2253" s="262" t="str">
        <f>U2253</f>
        <v>30390156H</v>
      </c>
      <c r="AW2253" s="262" cm="1">
        <f t="array" ref="AW2253">SUM(MID(0&amp;AV2253,LARGE(INDEX(ISNUMBER(--MID(AV2253,ROW($1:$8),1))*ROW($1:$8),),ROW($1:$8))+1,1)*10^ROW($1:$8)/10)</f>
        <v>30390156</v>
      </c>
      <c r="AX2253" s="262" t="str">
        <f>VLOOKUP($AW2253,'Item Master Data'!$A:$F,3,FALSE)</f>
        <v>Q.PEAK DUO BLK ML G10+</v>
      </c>
      <c r="AY2253" s="262">
        <f>VLOOKUP($AW2253,'Item Master Data'!$A:$F,6,FALSE)</f>
        <v>400</v>
      </c>
      <c r="AZ2253" s="262">
        <f>X2253/BA2253</f>
        <v>24</v>
      </c>
      <c r="BA2253" s="262">
        <f>VLOOKUP(AW2253,'Item Master Data'!$A:$G,7,FALSE)</f>
        <v>32</v>
      </c>
      <c r="BC2253" s="262">
        <f>W2253-AY2253</f>
        <v>0</v>
      </c>
    </row>
    <row r="2254" spans="1:55">
      <c r="A2254" s="410"/>
      <c r="B2254" s="495" t="s">
        <v>1211</v>
      </c>
      <c r="C2254" s="495" t="s">
        <v>1211</v>
      </c>
      <c r="D2254" s="474" t="s">
        <v>1066</v>
      </c>
      <c r="E2254" s="394" t="s">
        <v>1283</v>
      </c>
      <c r="F2254" s="474"/>
      <c r="G2254" s="474">
        <v>2022</v>
      </c>
      <c r="H2254" s="474">
        <v>5</v>
      </c>
      <c r="I2254" s="474"/>
      <c r="J2254" s="475"/>
      <c r="K2254" s="474" t="s">
        <v>1284</v>
      </c>
      <c r="L2254" s="474" t="s">
        <v>1274</v>
      </c>
      <c r="M2254" s="475">
        <v>44517</v>
      </c>
      <c r="N2254" s="475">
        <v>44652</v>
      </c>
      <c r="O2254" s="475"/>
      <c r="P2254" s="475"/>
      <c r="Q2254" s="475"/>
      <c r="R2254" s="475"/>
      <c r="S2254" s="474" t="s">
        <v>1114</v>
      </c>
      <c r="T2254" s="474">
        <v>60</v>
      </c>
      <c r="U2254" s="474">
        <v>49201132</v>
      </c>
      <c r="V2254" s="474" t="s">
        <v>986</v>
      </c>
      <c r="W2254" s="474">
        <v>360</v>
      </c>
      <c r="X2254" s="406">
        <f>1664+832</f>
        <v>2496</v>
      </c>
      <c r="Y2254" s="477">
        <f t="shared" si="389"/>
        <v>898560</v>
      </c>
      <c r="Z2254" s="478">
        <v>0.53</v>
      </c>
      <c r="AA2254" s="479">
        <f t="shared" si="392"/>
        <v>476236.80000000005</v>
      </c>
      <c r="AB2254" s="386"/>
      <c r="AC2254" s="481">
        <f t="shared" si="393"/>
        <v>0</v>
      </c>
      <c r="AD2254" s="474"/>
      <c r="AE2254" s="482"/>
      <c r="AF2254" s="493">
        <f t="shared" si="394"/>
        <v>476236.80000000005</v>
      </c>
      <c r="AG2254" s="474" t="s">
        <v>1071</v>
      </c>
      <c r="AH2254" s="447"/>
      <c r="AI2254" s="474">
        <v>60</v>
      </c>
      <c r="AJ2254" s="474" t="s">
        <v>1275</v>
      </c>
      <c r="AK2254" s="474" t="s">
        <v>1276</v>
      </c>
      <c r="AL2254" s="494" t="s">
        <v>1277</v>
      </c>
      <c r="AM2254" s="474" t="s">
        <v>52</v>
      </c>
      <c r="AN2254" s="474" t="s">
        <v>1074</v>
      </c>
      <c r="AO2254" s="474"/>
      <c r="AP2254" s="474"/>
      <c r="AQ2254" s="474"/>
      <c r="AR2254" s="474" t="s">
        <v>1216</v>
      </c>
      <c r="AS2254" s="387"/>
      <c r="AT2254" s="387"/>
      <c r="AU2254" s="471"/>
      <c r="AV2254" s="262">
        <f>U2254</f>
        <v>49201132</v>
      </c>
      <c r="AW2254" s="262" cm="1">
        <f t="array" ref="AW2254">SUM(MID(0&amp;AV2254,LARGE(INDEX(ISNUMBER(--MID(AV2254,ROW($1:$8),1))*ROW($1:$8),),ROW($1:$8))+1,1)*10^ROW($1:$8)/10)</f>
        <v>49201132</v>
      </c>
      <c r="AX2254" s="262" t="str">
        <f>VLOOKUP($AW2254,'Item Master Data'!$A:$F,3,FALSE)</f>
        <v>Q.PEAK DUO BLK G10+</v>
      </c>
      <c r="AY2254" s="262">
        <f>VLOOKUP($AW2254,'Item Master Data'!$A:$F,6,FALSE)</f>
        <v>360</v>
      </c>
      <c r="AZ2254" s="262">
        <f>X2254/BA2254</f>
        <v>78</v>
      </c>
      <c r="BA2254" s="262">
        <f>VLOOKUP(AW2254,'Item Master Data'!$A:$G,7,FALSE)</f>
        <v>32</v>
      </c>
      <c r="BC2254" s="262">
        <f>W2254-AY2254</f>
        <v>0</v>
      </c>
    </row>
    <row r="2255" spans="1:55">
      <c r="A2255" s="410"/>
      <c r="B2255" s="407"/>
      <c r="C2255" s="407"/>
      <c r="D2255" s="474" t="s">
        <v>1066</v>
      </c>
      <c r="E2255" s="388"/>
      <c r="F2255" s="474" t="s">
        <v>1077</v>
      </c>
      <c r="G2255" s="474">
        <v>2022</v>
      </c>
      <c r="H2255" s="474">
        <v>5</v>
      </c>
      <c r="I2255" s="485">
        <v>2005205</v>
      </c>
      <c r="J2255" s="475"/>
      <c r="K2255" s="483" t="s">
        <v>184</v>
      </c>
      <c r="L2255" s="475" t="s">
        <v>1509</v>
      </c>
      <c r="M2255" s="475">
        <v>44530</v>
      </c>
      <c r="N2255" s="475">
        <v>44652</v>
      </c>
      <c r="O2255" s="475"/>
      <c r="P2255" s="475" t="s">
        <v>1093</v>
      </c>
      <c r="Q2255" s="475"/>
      <c r="R2255" s="475"/>
      <c r="S2255" s="474" t="s">
        <v>1506</v>
      </c>
      <c r="T2255" s="474">
        <v>72</v>
      </c>
      <c r="U2255" s="474"/>
      <c r="V2255" s="474" t="s">
        <v>1070</v>
      </c>
      <c r="W2255" s="476">
        <v>480</v>
      </c>
      <c r="X2255" s="402">
        <v>638</v>
      </c>
      <c r="Y2255" s="491">
        <f t="shared" si="389"/>
        <v>306240</v>
      </c>
      <c r="Z2255" s="478">
        <v>0.39500000000000002</v>
      </c>
      <c r="AA2255" s="492">
        <f t="shared" si="392"/>
        <v>120964.8</v>
      </c>
      <c r="AB2255" s="386"/>
      <c r="AC2255" s="481">
        <f t="shared" si="393"/>
        <v>0</v>
      </c>
      <c r="AD2255" s="474"/>
      <c r="AE2255" s="482">
        <v>9374.77</v>
      </c>
      <c r="AF2255" s="493">
        <f t="shared" si="394"/>
        <v>130339.57</v>
      </c>
      <c r="AG2255" s="474" t="s">
        <v>47</v>
      </c>
      <c r="AH2255" s="447">
        <v>30</v>
      </c>
      <c r="AI2255" s="474">
        <v>30</v>
      </c>
      <c r="AJ2255" s="474" t="s">
        <v>1510</v>
      </c>
      <c r="AK2255" s="474" t="s">
        <v>50</v>
      </c>
      <c r="AL2255" s="494">
        <v>92210</v>
      </c>
      <c r="AM2255" s="474" t="s">
        <v>52</v>
      </c>
      <c r="AN2255" s="474" t="s">
        <v>1074</v>
      </c>
      <c r="AO2255" s="474"/>
      <c r="AP2255" s="474"/>
      <c r="AQ2255" s="474" t="s">
        <v>1086</v>
      </c>
      <c r="AR2255" s="474"/>
      <c r="AS2255" s="387" t="s">
        <v>1087</v>
      </c>
      <c r="AT2255" s="387" t="s">
        <v>1076</v>
      </c>
      <c r="AU2255" s="471"/>
      <c r="AV2255" s="262">
        <f>U2255</f>
        <v>0</v>
      </c>
      <c r="AW2255" s="262" cm="1">
        <f t="array" ref="AW2255">SUM(MID(0&amp;AV2255,LARGE(INDEX(ISNUMBER(--MID(AV2255,ROW($1:$8),1))*ROW($1:$8),),ROW($1:$8))+1,1)*10^ROW($1:$8)/10)</f>
        <v>0</v>
      </c>
      <c r="AX2255" s="262" t="e">
        <f>VLOOKUP($AW2255,'Item Master Data'!$A:$F,3,FALSE)</f>
        <v>#N/A</v>
      </c>
      <c r="AY2255" s="262" t="e">
        <f>VLOOKUP($AW2255,'Item Master Data'!$A:$F,6,FALSE)</f>
        <v>#N/A</v>
      </c>
      <c r="AZ2255" s="262" t="e">
        <f>X2255/BA2255</f>
        <v>#N/A</v>
      </c>
      <c r="BA2255" s="262" t="e">
        <f>VLOOKUP(AW2255,'Item Master Data'!$A:$G,7,FALSE)</f>
        <v>#N/A</v>
      </c>
      <c r="BC2255" s="262" t="e">
        <f>W2255-AY2255</f>
        <v>#N/A</v>
      </c>
    </row>
    <row r="2256" spans="1:55">
      <c r="A2256" s="410"/>
      <c r="B2256" s="407"/>
      <c r="C2256" s="407"/>
      <c r="D2256" s="474" t="s">
        <v>1066</v>
      </c>
      <c r="E2256" s="388" t="s">
        <v>5279</v>
      </c>
      <c r="F2256" s="474" t="s">
        <v>1077</v>
      </c>
      <c r="G2256" s="474">
        <v>2022</v>
      </c>
      <c r="H2256" s="474">
        <v>5</v>
      </c>
      <c r="I2256" s="485">
        <v>2005116</v>
      </c>
      <c r="J2256" s="475"/>
      <c r="K2256" s="474" t="s">
        <v>1511</v>
      </c>
      <c r="L2256" s="475" t="s">
        <v>1512</v>
      </c>
      <c r="M2256" s="475">
        <v>44575</v>
      </c>
      <c r="N2256" s="475">
        <v>44682</v>
      </c>
      <c r="O2256" s="475"/>
      <c r="P2256" s="475"/>
      <c r="Q2256" s="475"/>
      <c r="R2256" s="475"/>
      <c r="S2256" s="474" t="s">
        <v>1069</v>
      </c>
      <c r="T2256" s="474">
        <v>72</v>
      </c>
      <c r="U2256" s="474"/>
      <c r="V2256" s="474" t="s">
        <v>1070</v>
      </c>
      <c r="W2256" s="476">
        <v>480</v>
      </c>
      <c r="X2256" s="402">
        <v>4698</v>
      </c>
      <c r="Y2256" s="491">
        <f t="shared" si="389"/>
        <v>2255040</v>
      </c>
      <c r="Z2256" s="478">
        <v>0.48499999999999999</v>
      </c>
      <c r="AA2256" s="479">
        <f t="shared" si="392"/>
        <v>1093694.3999999999</v>
      </c>
      <c r="AB2256" s="386"/>
      <c r="AC2256" s="481">
        <f t="shared" si="393"/>
        <v>0</v>
      </c>
      <c r="AD2256" s="474"/>
      <c r="AE2256" s="482"/>
      <c r="AF2256" s="493">
        <f t="shared" si="394"/>
        <v>1093694.3999999999</v>
      </c>
      <c r="AG2256" s="474" t="s">
        <v>1071</v>
      </c>
      <c r="AH2256" s="447">
        <v>10</v>
      </c>
      <c r="AI2256" s="474">
        <v>30</v>
      </c>
      <c r="AJ2256" s="474" t="s">
        <v>1109</v>
      </c>
      <c r="AK2256" s="474" t="s">
        <v>1138</v>
      </c>
      <c r="AL2256" s="494" t="s">
        <v>1109</v>
      </c>
      <c r="AM2256" s="474" t="s">
        <v>52</v>
      </c>
      <c r="AN2256" s="474" t="s">
        <v>1074</v>
      </c>
      <c r="AO2256" s="474"/>
      <c r="AP2256" s="474"/>
      <c r="AQ2256" s="474" t="s">
        <v>1086</v>
      </c>
      <c r="AR2256" s="474"/>
      <c r="AS2256" s="387" t="s">
        <v>1087</v>
      </c>
      <c r="AT2256" s="387" t="s">
        <v>1076</v>
      </c>
      <c r="AU2256" s="471"/>
      <c r="AV2256" s="262">
        <f>U2256</f>
        <v>0</v>
      </c>
      <c r="AW2256" s="262" cm="1">
        <f t="array" ref="AW2256">SUM(MID(0&amp;AV2256,LARGE(INDEX(ISNUMBER(--MID(AV2256,ROW($1:$8),1))*ROW($1:$8),),ROW($1:$8))+1,1)*10^ROW($1:$8)/10)</f>
        <v>0</v>
      </c>
      <c r="AX2256" s="262" t="e">
        <f>VLOOKUP($AW2256,'Item Master Data'!$A:$F,3,FALSE)</f>
        <v>#N/A</v>
      </c>
      <c r="AY2256" s="262" t="e">
        <f>VLOOKUP($AW2256,'Item Master Data'!$A:$F,6,FALSE)</f>
        <v>#N/A</v>
      </c>
      <c r="AZ2256" s="262" t="e">
        <f>X2256/BA2256</f>
        <v>#N/A</v>
      </c>
      <c r="BA2256" s="262" t="e">
        <f>VLOOKUP(AW2256,'Item Master Data'!$A:$G,7,FALSE)</f>
        <v>#N/A</v>
      </c>
      <c r="BC2256" s="262" t="e">
        <f>W2256-AY2256</f>
        <v>#N/A</v>
      </c>
    </row>
    <row r="2257" spans="1:55">
      <c r="A2257" s="410"/>
      <c r="B2257" s="407"/>
      <c r="C2257" s="407"/>
      <c r="D2257" s="474" t="s">
        <v>1066</v>
      </c>
      <c r="E2257" s="388" t="s">
        <v>1665</v>
      </c>
      <c r="F2257" s="474" t="s">
        <v>1077</v>
      </c>
      <c r="G2257" s="474">
        <v>2022</v>
      </c>
      <c r="H2257" s="474">
        <v>5</v>
      </c>
      <c r="I2257" s="485">
        <v>2005199</v>
      </c>
      <c r="J2257" s="475"/>
      <c r="K2257" s="474">
        <v>2111420</v>
      </c>
      <c r="L2257" s="475" t="s">
        <v>1656</v>
      </c>
      <c r="M2257" s="475">
        <v>44490</v>
      </c>
      <c r="N2257" s="475">
        <v>44287</v>
      </c>
      <c r="O2257" s="475"/>
      <c r="P2257" s="475"/>
      <c r="Q2257" s="475"/>
      <c r="R2257" s="475"/>
      <c r="S2257" s="474" t="s">
        <v>1102</v>
      </c>
      <c r="T2257" s="474">
        <v>72</v>
      </c>
      <c r="U2257" s="474">
        <v>12005832</v>
      </c>
      <c r="V2257" s="474" t="s">
        <v>1070</v>
      </c>
      <c r="W2257" s="476">
        <v>480</v>
      </c>
      <c r="X2257" s="402">
        <f>12441+638+638</f>
        <v>13717</v>
      </c>
      <c r="Y2257" s="491">
        <f t="shared" si="389"/>
        <v>6584160</v>
      </c>
      <c r="Z2257" s="478">
        <v>0.42</v>
      </c>
      <c r="AA2257" s="492">
        <f t="shared" si="392"/>
        <v>2765347.1999999997</v>
      </c>
      <c r="AB2257" s="386"/>
      <c r="AC2257" s="481">
        <f t="shared" si="393"/>
        <v>0</v>
      </c>
      <c r="AD2257" s="474"/>
      <c r="AE2257" s="482"/>
      <c r="AF2257" s="493">
        <f t="shared" si="394"/>
        <v>2765347.1999999997</v>
      </c>
      <c r="AG2257" s="474" t="s">
        <v>1071</v>
      </c>
      <c r="AH2257" s="447">
        <v>3</v>
      </c>
      <c r="AI2257" s="474">
        <v>60</v>
      </c>
      <c r="AJ2257" s="474" t="s">
        <v>1659</v>
      </c>
      <c r="AK2257" s="474" t="s">
        <v>1138</v>
      </c>
      <c r="AL2257" s="494" t="s">
        <v>1660</v>
      </c>
      <c r="AM2257" s="474" t="s">
        <v>52</v>
      </c>
      <c r="AN2257" s="474" t="s">
        <v>1085</v>
      </c>
      <c r="AO2257" s="474"/>
      <c r="AP2257" s="474" t="s">
        <v>92</v>
      </c>
      <c r="AQ2257" s="474" t="s">
        <v>1086</v>
      </c>
      <c r="AR2257" s="474"/>
      <c r="AS2257" s="387" t="s">
        <v>1087</v>
      </c>
      <c r="AT2257" s="387" t="s">
        <v>1076</v>
      </c>
      <c r="AU2257" s="471"/>
    </row>
    <row r="2258" spans="1:55">
      <c r="A2258" s="410"/>
      <c r="B2258" s="495"/>
      <c r="C2258" s="495"/>
      <c r="D2258" s="394" t="s">
        <v>1066</v>
      </c>
      <c r="E2258" s="474" t="s">
        <v>1170</v>
      </c>
      <c r="F2258" s="474"/>
      <c r="G2258" s="474">
        <v>2022</v>
      </c>
      <c r="H2258" s="474">
        <v>5</v>
      </c>
      <c r="I2258" s="474"/>
      <c r="J2258" s="475"/>
      <c r="K2258" s="474" t="s">
        <v>5602</v>
      </c>
      <c r="L2258" s="475" t="s">
        <v>5603</v>
      </c>
      <c r="M2258" s="475">
        <v>44677</v>
      </c>
      <c r="N2258" s="475">
        <v>44682</v>
      </c>
      <c r="O2258" s="475"/>
      <c r="P2258" s="475"/>
      <c r="Q2258" s="475"/>
      <c r="R2258" s="475"/>
      <c r="S2258" s="474" t="s">
        <v>5198</v>
      </c>
      <c r="T2258" s="474">
        <v>72</v>
      </c>
      <c r="U2258" s="474"/>
      <c r="V2258" s="474" t="s">
        <v>1070</v>
      </c>
      <c r="W2258" s="476">
        <v>480</v>
      </c>
      <c r="X2258" s="402">
        <v>1392</v>
      </c>
      <c r="Y2258" s="477">
        <f>X2258*W2258</f>
        <v>668160</v>
      </c>
      <c r="Z2258" s="478">
        <v>0.47</v>
      </c>
      <c r="AA2258" s="479">
        <f t="shared" si="392"/>
        <v>314035.19999999995</v>
      </c>
      <c r="AB2258" s="480"/>
      <c r="AC2258" s="481">
        <f t="shared" si="393"/>
        <v>0</v>
      </c>
      <c r="AD2258" s="490"/>
      <c r="AE2258" s="482">
        <f>AA2258*0.0825</f>
        <v>25907.903999999999</v>
      </c>
      <c r="AF2258" s="493">
        <f t="shared" si="394"/>
        <v>339943.10399999993</v>
      </c>
      <c r="AG2258" s="474" t="s">
        <v>47</v>
      </c>
      <c r="AH2258" s="474">
        <v>0</v>
      </c>
      <c r="AI2258" s="474">
        <v>30</v>
      </c>
      <c r="AJ2258" s="474" t="s">
        <v>1790</v>
      </c>
      <c r="AK2258" s="474" t="s">
        <v>50</v>
      </c>
      <c r="AL2258" s="494">
        <v>95605</v>
      </c>
      <c r="AM2258" s="474" t="s">
        <v>52</v>
      </c>
      <c r="AN2258" s="474" t="s">
        <v>1074</v>
      </c>
      <c r="AO2258" s="474"/>
      <c r="AP2258" s="482"/>
      <c r="AQ2258" s="482"/>
      <c r="AR2258" s="474"/>
      <c r="AS2258" s="472"/>
      <c r="AT2258" s="436"/>
      <c r="AU2258" s="276"/>
      <c r="AV2258" s="262">
        <f>U2258</f>
        <v>0</v>
      </c>
      <c r="AW2258" s="262" cm="1">
        <f t="array" ref="AW2258">SUM(MID(0&amp;AV2258,LARGE(INDEX(ISNUMBER(--MID(AV2258,ROW($1:$8),1))*ROW($1:$8),),ROW($1:$8))+1,1)*10^ROW($1:$8)/10)</f>
        <v>0</v>
      </c>
      <c r="AX2258" s="262" t="e">
        <f>VLOOKUP($AW2258,'Item Master Data'!$A:$F,3,FALSE)</f>
        <v>#N/A</v>
      </c>
      <c r="AY2258" s="262" t="e">
        <f>VLOOKUP($AW2258,'Item Master Data'!$A:$F,6,FALSE)</f>
        <v>#N/A</v>
      </c>
      <c r="AZ2258" s="262" t="e">
        <f>X2258/BA2258</f>
        <v>#N/A</v>
      </c>
      <c r="BA2258" s="262" t="e">
        <f>VLOOKUP(AW2258,'Item Master Data'!$A:$G,7,FALSE)</f>
        <v>#N/A</v>
      </c>
      <c r="BC2258" s="262" t="e">
        <f>W2258-AY2258</f>
        <v>#N/A</v>
      </c>
    </row>
    <row r="2259" spans="1:55">
      <c r="A2259" s="410"/>
      <c r="B2259" s="495" t="s">
        <v>1211</v>
      </c>
      <c r="C2259" s="495" t="s">
        <v>1211</v>
      </c>
      <c r="D2259" s="474" t="s">
        <v>1066</v>
      </c>
      <c r="E2259" s="388" t="s">
        <v>1097</v>
      </c>
      <c r="F2259" s="474" t="s">
        <v>87</v>
      </c>
      <c r="G2259" s="474">
        <v>2022</v>
      </c>
      <c r="H2259" s="474">
        <v>6</v>
      </c>
      <c r="I2259" s="485"/>
      <c r="J2259" s="475"/>
      <c r="K2259" s="474" t="s">
        <v>5665</v>
      </c>
      <c r="L2259" s="475" t="s">
        <v>3286</v>
      </c>
      <c r="M2259" s="475">
        <v>44666</v>
      </c>
      <c r="N2259" s="475">
        <v>44682</v>
      </c>
      <c r="O2259" s="475"/>
      <c r="P2259" s="475"/>
      <c r="Q2259" s="475"/>
      <c r="R2259" s="475"/>
      <c r="S2259" s="474" t="s">
        <v>5283</v>
      </c>
      <c r="T2259" s="474">
        <v>72</v>
      </c>
      <c r="U2259" s="474"/>
      <c r="V2259" s="474" t="s">
        <v>1070</v>
      </c>
      <c r="W2259" s="476">
        <v>480</v>
      </c>
      <c r="X2259" s="402">
        <f>5220-638</f>
        <v>4582</v>
      </c>
      <c r="Y2259" s="477">
        <f>X2259*W2259</f>
        <v>2199360</v>
      </c>
      <c r="Z2259" s="478">
        <v>0.55000000000000004</v>
      </c>
      <c r="AA2259" s="479">
        <f t="shared" si="392"/>
        <v>1209648</v>
      </c>
      <c r="AB2259" s="480"/>
      <c r="AC2259" s="481">
        <f t="shared" si="393"/>
        <v>0</v>
      </c>
      <c r="AD2259" s="490"/>
      <c r="AE2259" s="482"/>
      <c r="AF2259" s="493">
        <f t="shared" si="394"/>
        <v>1209648</v>
      </c>
      <c r="AG2259" s="474" t="s">
        <v>1071</v>
      </c>
      <c r="AH2259" s="474">
        <v>0</v>
      </c>
      <c r="AI2259" s="474">
        <v>60</v>
      </c>
      <c r="AJ2259" s="474" t="s">
        <v>1275</v>
      </c>
      <c r="AK2259" s="474" t="s">
        <v>2411</v>
      </c>
      <c r="AL2259" s="494">
        <v>66105</v>
      </c>
      <c r="AM2259" s="474" t="s">
        <v>52</v>
      </c>
      <c r="AN2259" s="474" t="s">
        <v>1074</v>
      </c>
      <c r="AO2259" s="474"/>
      <c r="AP2259" s="482"/>
      <c r="AQ2259" s="482" t="s">
        <v>1086</v>
      </c>
      <c r="AR2259" s="474" t="s">
        <v>1216</v>
      </c>
      <c r="AS2259" s="436" t="s">
        <v>1087</v>
      </c>
      <c r="AT2259" s="436" t="s">
        <v>1076</v>
      </c>
      <c r="AU2259" s="471"/>
      <c r="AV2259" s="262">
        <f>U2259</f>
        <v>0</v>
      </c>
      <c r="AW2259" s="262" cm="1">
        <f t="array" ref="AW2259">SUM(MID(0&amp;AV2259,LARGE(INDEX(ISNUMBER(--MID(AV2259,ROW($1:$8),1))*ROW($1:$8),),ROW($1:$8))+1,1)*10^ROW($1:$8)/10)</f>
        <v>0</v>
      </c>
      <c r="AX2259" s="262" t="e">
        <f>VLOOKUP($AW2259,'Item Master Data'!$A:$F,3,FALSE)</f>
        <v>#N/A</v>
      </c>
      <c r="AY2259" s="262" t="e">
        <f>VLOOKUP($AW2259,'Item Master Data'!$A:$F,6,FALSE)</f>
        <v>#N/A</v>
      </c>
      <c r="AZ2259" s="262" t="e">
        <f>X2259/BA2259</f>
        <v>#N/A</v>
      </c>
      <c r="BA2259" s="262" t="e">
        <f>VLOOKUP(AW2259,'Item Master Data'!$A:$G,7,FALSE)</f>
        <v>#N/A</v>
      </c>
      <c r="BC2259" s="262" t="e">
        <f>W2259-AY2259</f>
        <v>#N/A</v>
      </c>
    </row>
    <row r="2260" spans="1:55">
      <c r="A2260" s="410"/>
      <c r="B2260" s="407"/>
      <c r="C2260" s="407"/>
      <c r="D2260" s="474" t="s">
        <v>1066</v>
      </c>
      <c r="E2260" s="388" t="s">
        <v>5279</v>
      </c>
      <c r="F2260" s="474" t="s">
        <v>87</v>
      </c>
      <c r="G2260" s="474">
        <v>2022</v>
      </c>
      <c r="H2260" s="474">
        <v>6</v>
      </c>
      <c r="I2260" s="485"/>
      <c r="J2260" s="475"/>
      <c r="K2260" s="474" t="s">
        <v>1299</v>
      </c>
      <c r="L2260" s="475" t="s">
        <v>1295</v>
      </c>
      <c r="M2260" s="475">
        <v>44575</v>
      </c>
      <c r="N2260" s="475">
        <v>44742</v>
      </c>
      <c r="O2260" s="475"/>
      <c r="P2260" s="475"/>
      <c r="Q2260" s="475"/>
      <c r="R2260" s="475"/>
      <c r="S2260" s="474" t="s">
        <v>1069</v>
      </c>
      <c r="T2260" s="474">
        <v>72</v>
      </c>
      <c r="U2260" s="474">
        <v>49303155</v>
      </c>
      <c r="V2260" s="474" t="s">
        <v>1070</v>
      </c>
      <c r="W2260" s="476">
        <v>480</v>
      </c>
      <c r="X2260" s="402">
        <v>638</v>
      </c>
      <c r="Y2260" s="491">
        <f t="shared" ref="Y2260:Y2293" si="395">W2260*X2260</f>
        <v>306240</v>
      </c>
      <c r="Z2260" s="478">
        <v>0.49</v>
      </c>
      <c r="AA2260" s="479">
        <f>Y2260*Z2260</f>
        <v>150057.60000000001</v>
      </c>
      <c r="AB2260" s="386"/>
      <c r="AC2260" s="481">
        <v>0</v>
      </c>
      <c r="AD2260" s="474"/>
      <c r="AE2260" s="482"/>
      <c r="AF2260" s="493">
        <f t="shared" si="394"/>
        <v>150057.60000000001</v>
      </c>
      <c r="AG2260" s="474" t="s">
        <v>1071</v>
      </c>
      <c r="AH2260" s="447"/>
      <c r="AI2260" s="474">
        <v>60</v>
      </c>
      <c r="AJ2260" s="474" t="s">
        <v>1296</v>
      </c>
      <c r="AK2260" s="474" t="s">
        <v>1297</v>
      </c>
      <c r="AL2260" s="494" t="s">
        <v>1298</v>
      </c>
      <c r="AM2260" s="474" t="s">
        <v>52</v>
      </c>
      <c r="AN2260" s="474" t="s">
        <v>1074</v>
      </c>
      <c r="AO2260" s="474"/>
      <c r="AP2260" s="474"/>
      <c r="AQ2260" s="474" t="s">
        <v>37</v>
      </c>
      <c r="AR2260" s="474"/>
      <c r="AS2260" s="387"/>
      <c r="AT2260" s="387"/>
      <c r="AU2260" s="471"/>
    </row>
    <row r="2261" spans="1:55">
      <c r="A2261" s="410"/>
      <c r="B2261" s="407"/>
      <c r="C2261" s="407"/>
      <c r="D2261" s="474" t="s">
        <v>1066</v>
      </c>
      <c r="E2261" s="388" t="s">
        <v>1323</v>
      </c>
      <c r="F2261" s="474"/>
      <c r="G2261" s="474">
        <v>2022</v>
      </c>
      <c r="H2261" s="474">
        <v>5</v>
      </c>
      <c r="I2261" s="485"/>
      <c r="J2261" s="475"/>
      <c r="K2261" s="474" t="s">
        <v>1324</v>
      </c>
      <c r="L2261" s="475" t="s">
        <v>1313</v>
      </c>
      <c r="M2261" s="475">
        <v>44502</v>
      </c>
      <c r="N2261" s="475">
        <v>44564</v>
      </c>
      <c r="O2261" s="475"/>
      <c r="P2261" s="475"/>
      <c r="Q2261" s="475"/>
      <c r="R2261" s="475"/>
      <c r="S2261" s="474" t="s">
        <v>1114</v>
      </c>
      <c r="T2261" s="474">
        <v>60</v>
      </c>
      <c r="U2261" s="474">
        <v>49201132</v>
      </c>
      <c r="V2261" s="474" t="s">
        <v>986</v>
      </c>
      <c r="W2261" s="476">
        <v>360</v>
      </c>
      <c r="X2261" s="402">
        <f>9152-2496-832</f>
        <v>5824</v>
      </c>
      <c r="Y2261" s="491">
        <f t="shared" si="395"/>
        <v>2096640</v>
      </c>
      <c r="Z2261" s="478">
        <v>0.53</v>
      </c>
      <c r="AA2261" s="479">
        <f>Z2261*Y2261</f>
        <v>1111219.2</v>
      </c>
      <c r="AB2261" s="386"/>
      <c r="AC2261" s="481">
        <f>AB2261*Y2261</f>
        <v>0</v>
      </c>
      <c r="AD2261" s="474"/>
      <c r="AE2261" s="482"/>
      <c r="AF2261" s="493">
        <f t="shared" si="394"/>
        <v>1111219.2</v>
      </c>
      <c r="AG2261" s="474" t="s">
        <v>1071</v>
      </c>
      <c r="AH2261" s="447"/>
      <c r="AI2261" s="474">
        <v>60</v>
      </c>
      <c r="AJ2261" s="474" t="s">
        <v>1314</v>
      </c>
      <c r="AK2261" s="474" t="s">
        <v>1125</v>
      </c>
      <c r="AL2261" s="494">
        <v>55421</v>
      </c>
      <c r="AM2261" s="474" t="s">
        <v>52</v>
      </c>
      <c r="AN2261" s="474" t="s">
        <v>1074</v>
      </c>
      <c r="AO2261" s="474"/>
      <c r="AP2261" s="474"/>
      <c r="AQ2261" s="474"/>
      <c r="AR2261" s="474" t="s">
        <v>1318</v>
      </c>
      <c r="AS2261" s="387"/>
      <c r="AT2261" s="387"/>
      <c r="AU2261" s="471"/>
    </row>
    <row r="2262" spans="1:55">
      <c r="A2262" s="410"/>
      <c r="B2262" s="407"/>
      <c r="C2262" s="407"/>
      <c r="D2262" s="474" t="s">
        <v>1066</v>
      </c>
      <c r="E2262" s="388"/>
      <c r="F2262" s="474"/>
      <c r="G2262" s="474">
        <v>2022</v>
      </c>
      <c r="H2262" s="474">
        <v>5</v>
      </c>
      <c r="I2262" s="485"/>
      <c r="J2262" s="475"/>
      <c r="K2262" s="474" t="s">
        <v>1325</v>
      </c>
      <c r="L2262" s="475" t="s">
        <v>1313</v>
      </c>
      <c r="M2262" s="475">
        <v>44502</v>
      </c>
      <c r="N2262" s="475">
        <v>44564</v>
      </c>
      <c r="O2262" s="475"/>
      <c r="P2262" s="502">
        <v>44680</v>
      </c>
      <c r="Q2262" s="475"/>
      <c r="R2262" s="475"/>
      <c r="S2262" s="474" t="s">
        <v>1114</v>
      </c>
      <c r="T2262" s="474">
        <v>60</v>
      </c>
      <c r="U2262" s="474" t="s">
        <v>1281</v>
      </c>
      <c r="V2262" s="474" t="s">
        <v>973</v>
      </c>
      <c r="W2262" s="476">
        <v>400</v>
      </c>
      <c r="X2262" s="402">
        <v>3328</v>
      </c>
      <c r="Y2262" s="491">
        <f t="shared" si="395"/>
        <v>1331200</v>
      </c>
      <c r="Z2262" s="478">
        <v>0.55000000000000004</v>
      </c>
      <c r="AA2262" s="479">
        <f>Z2262*Y2262</f>
        <v>732160.00000000012</v>
      </c>
      <c r="AB2262" s="386"/>
      <c r="AC2262" s="481">
        <f>AB2262*Y2262</f>
        <v>0</v>
      </c>
      <c r="AD2262" s="474"/>
      <c r="AE2262" s="482"/>
      <c r="AF2262" s="493">
        <f t="shared" si="394"/>
        <v>732160.00000000012</v>
      </c>
      <c r="AG2262" s="474" t="s">
        <v>1071</v>
      </c>
      <c r="AH2262" s="447"/>
      <c r="AI2262" s="474">
        <v>60</v>
      </c>
      <c r="AJ2262" s="474" t="s">
        <v>1314</v>
      </c>
      <c r="AK2262" s="474" t="s">
        <v>1125</v>
      </c>
      <c r="AL2262" s="494">
        <v>55421</v>
      </c>
      <c r="AM2262" s="474" t="s">
        <v>52</v>
      </c>
      <c r="AN2262" s="474" t="s">
        <v>1085</v>
      </c>
      <c r="AO2262" s="474"/>
      <c r="AP2262" s="474" t="s">
        <v>38</v>
      </c>
      <c r="AQ2262" s="474"/>
      <c r="AR2262" s="474"/>
      <c r="AS2262" s="387"/>
      <c r="AT2262" s="387"/>
      <c r="AU2262" s="471"/>
    </row>
    <row r="2263" spans="1:55">
      <c r="A2263" s="410"/>
      <c r="B2263" s="407" t="s">
        <v>1211</v>
      </c>
      <c r="C2263" s="407" t="s">
        <v>1211</v>
      </c>
      <c r="D2263" s="474" t="s">
        <v>1066</v>
      </c>
      <c r="E2263" s="388" t="s">
        <v>5279</v>
      </c>
      <c r="F2263" s="474" t="s">
        <v>87</v>
      </c>
      <c r="G2263" s="474">
        <v>2022</v>
      </c>
      <c r="H2263" s="474">
        <v>6</v>
      </c>
      <c r="I2263" s="485"/>
      <c r="J2263" s="475"/>
      <c r="K2263" s="474" t="s">
        <v>1300</v>
      </c>
      <c r="L2263" s="475" t="s">
        <v>1295</v>
      </c>
      <c r="M2263" s="475">
        <v>44628</v>
      </c>
      <c r="N2263" s="475">
        <v>44713</v>
      </c>
      <c r="O2263" s="475"/>
      <c r="P2263" s="475"/>
      <c r="Q2263" s="475"/>
      <c r="R2263" s="475"/>
      <c r="S2263" s="474" t="s">
        <v>1069</v>
      </c>
      <c r="T2263" s="474">
        <v>72</v>
      </c>
      <c r="U2263" s="474">
        <v>49303155</v>
      </c>
      <c r="V2263" s="474" t="s">
        <v>1070</v>
      </c>
      <c r="W2263" s="476">
        <v>480</v>
      </c>
      <c r="X2263" s="402">
        <v>638</v>
      </c>
      <c r="Y2263" s="491">
        <f t="shared" si="395"/>
        <v>306240</v>
      </c>
      <c r="Z2263" s="478">
        <v>0.49</v>
      </c>
      <c r="AA2263" s="479">
        <f>Y2263*Z2263</f>
        <v>150057.60000000001</v>
      </c>
      <c r="AB2263" s="386"/>
      <c r="AC2263" s="481">
        <v>0</v>
      </c>
      <c r="AD2263" s="474"/>
      <c r="AE2263" s="482"/>
      <c r="AF2263" s="493">
        <f t="shared" si="394"/>
        <v>150057.60000000001</v>
      </c>
      <c r="AG2263" s="474" t="s">
        <v>1071</v>
      </c>
      <c r="AH2263" s="447"/>
      <c r="AI2263" s="474">
        <v>60</v>
      </c>
      <c r="AJ2263" s="474" t="s">
        <v>1296</v>
      </c>
      <c r="AK2263" s="474" t="s">
        <v>1297</v>
      </c>
      <c r="AL2263" s="494" t="s">
        <v>1298</v>
      </c>
      <c r="AM2263" s="474" t="s">
        <v>52</v>
      </c>
      <c r="AN2263" s="474" t="s">
        <v>1074</v>
      </c>
      <c r="AO2263" s="474"/>
      <c r="AP2263" s="474"/>
      <c r="AQ2263" s="474" t="s">
        <v>37</v>
      </c>
      <c r="AR2263" s="474"/>
      <c r="AS2263" s="387"/>
      <c r="AT2263" s="387"/>
      <c r="AU2263" s="471"/>
    </row>
    <row r="2264" spans="1:55">
      <c r="A2264" s="410"/>
      <c r="B2264" s="407"/>
      <c r="C2264" s="407"/>
      <c r="D2264" s="474" t="s">
        <v>1066</v>
      </c>
      <c r="E2264" s="388" t="s">
        <v>5279</v>
      </c>
      <c r="F2264" s="474"/>
      <c r="G2264" s="474">
        <v>2022</v>
      </c>
      <c r="H2264" s="474">
        <v>6</v>
      </c>
      <c r="I2264" s="485"/>
      <c r="J2264" s="475"/>
      <c r="K2264" s="474" t="s">
        <v>1261</v>
      </c>
      <c r="L2264" s="475" t="s">
        <v>1242</v>
      </c>
      <c r="M2264" s="475">
        <v>44613</v>
      </c>
      <c r="N2264" s="475">
        <v>44713</v>
      </c>
      <c r="O2264" s="475"/>
      <c r="P2264" s="475"/>
      <c r="Q2264" s="475"/>
      <c r="R2264" s="475"/>
      <c r="S2264" s="474" t="s">
        <v>1114</v>
      </c>
      <c r="T2264" s="474">
        <v>72</v>
      </c>
      <c r="U2264" s="474"/>
      <c r="V2264" s="474" t="s">
        <v>1070</v>
      </c>
      <c r="W2264" s="476">
        <v>480</v>
      </c>
      <c r="X2264" s="402">
        <v>1740</v>
      </c>
      <c r="Y2264" s="491">
        <f t="shared" si="395"/>
        <v>835200</v>
      </c>
      <c r="Z2264" s="478">
        <v>0.505</v>
      </c>
      <c r="AA2264" s="479">
        <f>Z2264*Y2264</f>
        <v>421776</v>
      </c>
      <c r="AB2264" s="386"/>
      <c r="AC2264" s="481">
        <f>AB2264*Y2264</f>
        <v>0</v>
      </c>
      <c r="AD2264" s="474"/>
      <c r="AE2264" s="482"/>
      <c r="AF2264" s="493">
        <f t="shared" si="394"/>
        <v>421776</v>
      </c>
      <c r="AG2264" s="474" t="s">
        <v>1071</v>
      </c>
      <c r="AH2264" s="447">
        <v>0</v>
      </c>
      <c r="AI2264" s="474">
        <v>60</v>
      </c>
      <c r="AJ2264" s="474" t="s">
        <v>1243</v>
      </c>
      <c r="AK2264" s="474" t="s">
        <v>1244</v>
      </c>
      <c r="AL2264" s="494" t="s">
        <v>1245</v>
      </c>
      <c r="AM2264" s="474" t="s">
        <v>52</v>
      </c>
      <c r="AN2264" s="474" t="s">
        <v>1085</v>
      </c>
      <c r="AO2264" s="474"/>
      <c r="AP2264" s="474" t="s">
        <v>38</v>
      </c>
      <c r="AQ2264" s="474" t="s">
        <v>1086</v>
      </c>
      <c r="AR2264" s="474"/>
      <c r="AS2264" s="387" t="s">
        <v>1076</v>
      </c>
      <c r="AT2264" s="387" t="s">
        <v>1076</v>
      </c>
      <c r="AU2264" s="471"/>
      <c r="AV2264" s="262">
        <f>U2264</f>
        <v>0</v>
      </c>
      <c r="AW2264" s="262" cm="1">
        <f t="array" ref="AW2264">SUM(MID(0&amp;AV2264,LARGE(INDEX(ISNUMBER(--MID(AV2264,ROW($1:$8),1))*ROW($1:$8),),ROW($1:$8))+1,1)*10^ROW($1:$8)/10)</f>
        <v>0</v>
      </c>
      <c r="AX2264" s="262" t="e">
        <f>VLOOKUP($AW2264,'Item Master Data'!$A:$F,3,FALSE)</f>
        <v>#N/A</v>
      </c>
      <c r="AY2264" s="262" t="e">
        <f>VLOOKUP($AW2264,'Item Master Data'!$A:$F,6,FALSE)</f>
        <v>#N/A</v>
      </c>
      <c r="AZ2264" s="262" t="e">
        <f>X2264/BA2264</f>
        <v>#N/A</v>
      </c>
      <c r="BA2264" s="262" t="e">
        <f>VLOOKUP(AW2264,'Item Master Data'!$A:$G,7,FALSE)</f>
        <v>#N/A</v>
      </c>
      <c r="BC2264" s="262" t="e">
        <f>W2264-AY2264</f>
        <v>#N/A</v>
      </c>
    </row>
    <row r="2265" spans="1:55">
      <c r="A2265" s="410"/>
      <c r="B2265" s="407"/>
      <c r="C2265" s="407"/>
      <c r="D2265" s="474" t="s">
        <v>1066</v>
      </c>
      <c r="E2265" s="388" t="s">
        <v>5279</v>
      </c>
      <c r="F2265" s="474"/>
      <c r="G2265" s="474">
        <v>2022</v>
      </c>
      <c r="H2265" s="474">
        <v>6</v>
      </c>
      <c r="I2265" s="485"/>
      <c r="J2265" s="475"/>
      <c r="K2265" s="474" t="s">
        <v>1262</v>
      </c>
      <c r="L2265" s="475" t="s">
        <v>1242</v>
      </c>
      <c r="M2265" s="475">
        <v>44613</v>
      </c>
      <c r="N2265" s="475">
        <v>44743</v>
      </c>
      <c r="O2265" s="475"/>
      <c r="P2265" s="475"/>
      <c r="Q2265" s="475"/>
      <c r="R2265" s="475"/>
      <c r="S2265" s="474" t="s">
        <v>1114</v>
      </c>
      <c r="T2265" s="474">
        <v>72</v>
      </c>
      <c r="U2265" s="474"/>
      <c r="V2265" s="474" t="s">
        <v>1070</v>
      </c>
      <c r="W2265" s="476">
        <v>480</v>
      </c>
      <c r="X2265" s="402">
        <v>1740</v>
      </c>
      <c r="Y2265" s="491">
        <f t="shared" si="395"/>
        <v>835200</v>
      </c>
      <c r="Z2265" s="478">
        <v>0.505</v>
      </c>
      <c r="AA2265" s="479">
        <f>Z2265*Y2265</f>
        <v>421776</v>
      </c>
      <c r="AB2265" s="386"/>
      <c r="AC2265" s="481">
        <f>AB2265*Y2265</f>
        <v>0</v>
      </c>
      <c r="AD2265" s="474"/>
      <c r="AE2265" s="482"/>
      <c r="AF2265" s="493">
        <f t="shared" si="394"/>
        <v>421776</v>
      </c>
      <c r="AG2265" s="474" t="s">
        <v>1071</v>
      </c>
      <c r="AH2265" s="447">
        <v>0</v>
      </c>
      <c r="AI2265" s="474">
        <v>60</v>
      </c>
      <c r="AJ2265" s="474" t="s">
        <v>1243</v>
      </c>
      <c r="AK2265" s="474" t="s">
        <v>1244</v>
      </c>
      <c r="AL2265" s="494" t="s">
        <v>1245</v>
      </c>
      <c r="AM2265" s="474" t="s">
        <v>52</v>
      </c>
      <c r="AN2265" s="474" t="s">
        <v>1085</v>
      </c>
      <c r="AO2265" s="474"/>
      <c r="AP2265" s="474" t="s">
        <v>38</v>
      </c>
      <c r="AQ2265" s="474" t="s">
        <v>1086</v>
      </c>
      <c r="AR2265" s="474"/>
      <c r="AS2265" s="387" t="s">
        <v>1076</v>
      </c>
      <c r="AT2265" s="387" t="s">
        <v>1076</v>
      </c>
      <c r="AU2265" s="471"/>
    </row>
    <row r="2266" spans="1:55">
      <c r="A2266" s="410"/>
      <c r="B2266" s="407"/>
      <c r="C2266" s="407"/>
      <c r="D2266" s="474" t="s">
        <v>1066</v>
      </c>
      <c r="E2266" s="394" t="s">
        <v>5279</v>
      </c>
      <c r="F2266" s="474"/>
      <c r="G2266" s="474">
        <v>2022</v>
      </c>
      <c r="H2266" s="474">
        <v>6</v>
      </c>
      <c r="I2266" s="485"/>
      <c r="J2266" s="475"/>
      <c r="K2266" s="474" t="s">
        <v>1332</v>
      </c>
      <c r="L2266" s="475" t="s">
        <v>1313</v>
      </c>
      <c r="M2266" s="475">
        <v>44496</v>
      </c>
      <c r="N2266" s="475">
        <v>44733</v>
      </c>
      <c r="O2266" s="475"/>
      <c r="P2266" s="475"/>
      <c r="Q2266" s="475"/>
      <c r="R2266" s="475"/>
      <c r="S2266" s="474" t="s">
        <v>1114</v>
      </c>
      <c r="T2266" s="474">
        <v>72</v>
      </c>
      <c r="U2266" s="474"/>
      <c r="V2266" s="474" t="s">
        <v>1070</v>
      </c>
      <c r="W2266" s="476">
        <v>480</v>
      </c>
      <c r="X2266" s="402">
        <v>2436</v>
      </c>
      <c r="Y2266" s="491">
        <f t="shared" si="395"/>
        <v>1169280</v>
      </c>
      <c r="Z2266" s="478">
        <v>0.47</v>
      </c>
      <c r="AA2266" s="479">
        <f>Y2266*Z2266</f>
        <v>549561.59999999998</v>
      </c>
      <c r="AB2266" s="386"/>
      <c r="AC2266" s="481">
        <v>0</v>
      </c>
      <c r="AD2266" s="474"/>
      <c r="AE2266" s="482"/>
      <c r="AF2266" s="493">
        <f t="shared" si="394"/>
        <v>549561.59999999998</v>
      </c>
      <c r="AG2266" s="474" t="s">
        <v>1071</v>
      </c>
      <c r="AH2266" s="447"/>
      <c r="AI2266" s="474">
        <v>60</v>
      </c>
      <c r="AJ2266" s="474" t="s">
        <v>1314</v>
      </c>
      <c r="AK2266" s="474" t="s">
        <v>1125</v>
      </c>
      <c r="AL2266" s="494" t="s">
        <v>1315</v>
      </c>
      <c r="AM2266" s="474" t="s">
        <v>52</v>
      </c>
      <c r="AN2266" s="474" t="s">
        <v>1085</v>
      </c>
      <c r="AO2266" s="474"/>
      <c r="AP2266" s="474" t="s">
        <v>92</v>
      </c>
      <c r="AQ2266" s="474" t="s">
        <v>37</v>
      </c>
      <c r="AR2266" s="474"/>
      <c r="AS2266" s="387"/>
      <c r="AT2266" s="387"/>
      <c r="AU2266" s="471"/>
      <c r="AV2266" s="262">
        <f t="shared" ref="AV2266:AV2273" si="396">U2266</f>
        <v>0</v>
      </c>
      <c r="AW2266" s="262" cm="1">
        <f t="array" ref="AW2266">SUM(MID(0&amp;AV2266,LARGE(INDEX(ISNUMBER(--MID(AV2266,ROW($1:$8),1))*ROW($1:$8),),ROW($1:$8))+1,1)*10^ROW($1:$8)/10)</f>
        <v>0</v>
      </c>
      <c r="AX2266" s="262" t="e">
        <f>VLOOKUP($AW2266,'Item Master Data'!$A:$F,3,FALSE)</f>
        <v>#N/A</v>
      </c>
      <c r="AY2266" s="262" t="e">
        <f>VLOOKUP($AW2266,'Item Master Data'!$A:$F,6,FALSE)</f>
        <v>#N/A</v>
      </c>
      <c r="AZ2266" s="262" t="e">
        <f t="shared" ref="AZ2266:AZ2273" si="397">X2266/BA2266</f>
        <v>#N/A</v>
      </c>
      <c r="BA2266" s="262" t="e">
        <f>VLOOKUP(AW2266,'Item Master Data'!$A:$G,7,FALSE)</f>
        <v>#N/A</v>
      </c>
      <c r="BC2266" s="262" t="e">
        <f t="shared" ref="BC2266:BC2273" si="398">W2266-AY2266</f>
        <v>#N/A</v>
      </c>
    </row>
    <row r="2267" spans="1:55">
      <c r="A2267" s="410"/>
      <c r="B2267" s="407"/>
      <c r="C2267" s="407"/>
      <c r="D2267" s="474" t="s">
        <v>1066</v>
      </c>
      <c r="E2267" s="388" t="s">
        <v>1336</v>
      </c>
      <c r="F2267" s="474"/>
      <c r="G2267" s="474">
        <v>2022</v>
      </c>
      <c r="H2267" s="474">
        <v>6</v>
      </c>
      <c r="I2267" s="485"/>
      <c r="J2267" s="475"/>
      <c r="K2267" s="474" t="s">
        <v>1337</v>
      </c>
      <c r="L2267" s="475" t="s">
        <v>1313</v>
      </c>
      <c r="M2267" s="475">
        <v>44511</v>
      </c>
      <c r="N2267" s="475">
        <v>44713</v>
      </c>
      <c r="O2267" s="475"/>
      <c r="P2267" s="475"/>
      <c r="Q2267" s="475"/>
      <c r="R2267" s="475"/>
      <c r="S2267" s="474" t="s">
        <v>1114</v>
      </c>
      <c r="T2267" s="474">
        <v>72</v>
      </c>
      <c r="U2267" s="474">
        <v>49303155</v>
      </c>
      <c r="V2267" s="474" t="s">
        <v>1070</v>
      </c>
      <c r="W2267" s="476">
        <v>480</v>
      </c>
      <c r="X2267" s="402">
        <v>2436</v>
      </c>
      <c r="Y2267" s="491">
        <f t="shared" si="395"/>
        <v>1169280</v>
      </c>
      <c r="Z2267" s="478">
        <v>0.49</v>
      </c>
      <c r="AA2267" s="479">
        <f>Y2267*Z2267</f>
        <v>572947.19999999995</v>
      </c>
      <c r="AB2267" s="386"/>
      <c r="AC2267" s="481">
        <v>0</v>
      </c>
      <c r="AD2267" s="474"/>
      <c r="AE2267" s="482"/>
      <c r="AF2267" s="493">
        <f t="shared" si="394"/>
        <v>572947.19999999995</v>
      </c>
      <c r="AG2267" s="474" t="s">
        <v>1071</v>
      </c>
      <c r="AH2267" s="447"/>
      <c r="AI2267" s="474">
        <v>60</v>
      </c>
      <c r="AJ2267" s="474" t="s">
        <v>1314</v>
      </c>
      <c r="AK2267" s="474" t="s">
        <v>1125</v>
      </c>
      <c r="AL2267" s="494" t="s">
        <v>1315</v>
      </c>
      <c r="AM2267" s="474" t="s">
        <v>52</v>
      </c>
      <c r="AN2267" s="474" t="s">
        <v>1074</v>
      </c>
      <c r="AO2267" s="474"/>
      <c r="AP2267" s="474"/>
      <c r="AQ2267" s="474" t="s">
        <v>37</v>
      </c>
      <c r="AR2267" s="474"/>
      <c r="AS2267" s="387"/>
      <c r="AT2267" s="387"/>
      <c r="AU2267" s="471"/>
      <c r="AV2267" s="262">
        <f t="shared" si="396"/>
        <v>49303155</v>
      </c>
      <c r="AW2267" s="262" cm="1">
        <f t="array" ref="AW2267">SUM(MID(0&amp;AV2267,LARGE(INDEX(ISNUMBER(--MID(AV2267,ROW($1:$8),1))*ROW($1:$8),),ROW($1:$8))+1,1)*10^ROW($1:$8)/10)</f>
        <v>49303155</v>
      </c>
      <c r="AX2267" s="262" t="str">
        <f>VLOOKUP($AW2267,'Item Master Data'!$A:$F,3,FALSE)</f>
        <v>Q.PEAK DUO XL G10 BFG</v>
      </c>
      <c r="AY2267" s="262">
        <f>VLOOKUP($AW2267,'Item Master Data'!$A:$F,6,FALSE)</f>
        <v>475</v>
      </c>
      <c r="AZ2267" s="262">
        <f t="shared" si="397"/>
        <v>84</v>
      </c>
      <c r="BA2267" s="262">
        <f>VLOOKUP(AW2267,'Item Master Data'!$A:$G,7,FALSE)</f>
        <v>29</v>
      </c>
      <c r="BC2267" s="262">
        <f t="shared" si="398"/>
        <v>5</v>
      </c>
    </row>
    <row r="2268" spans="1:55">
      <c r="A2268" s="410"/>
      <c r="B2268" s="407"/>
      <c r="C2268" s="407"/>
      <c r="D2268" s="474" t="s">
        <v>1066</v>
      </c>
      <c r="E2268" s="388" t="s">
        <v>1336</v>
      </c>
      <c r="F2268" s="474"/>
      <c r="G2268" s="474">
        <v>2022</v>
      </c>
      <c r="H2268" s="474">
        <v>6</v>
      </c>
      <c r="I2268" s="485"/>
      <c r="J2268" s="475"/>
      <c r="K2268" s="474" t="s">
        <v>1337</v>
      </c>
      <c r="L2268" s="475" t="s">
        <v>1313</v>
      </c>
      <c r="M2268" s="475">
        <v>44511</v>
      </c>
      <c r="N2268" s="475">
        <v>44713</v>
      </c>
      <c r="O2268" s="475"/>
      <c r="P2268" s="475"/>
      <c r="Q2268" s="475"/>
      <c r="R2268" s="475"/>
      <c r="S2268" s="474" t="s">
        <v>1114</v>
      </c>
      <c r="T2268" s="474">
        <v>72</v>
      </c>
      <c r="U2268" s="474">
        <v>49303155</v>
      </c>
      <c r="V2268" s="474" t="s">
        <v>1070</v>
      </c>
      <c r="W2268" s="476">
        <v>480</v>
      </c>
      <c r="X2268" s="402">
        <v>15774</v>
      </c>
      <c r="Y2268" s="491">
        <f t="shared" si="395"/>
        <v>7571520</v>
      </c>
      <c r="Z2268" s="478">
        <v>0.47499999999999998</v>
      </c>
      <c r="AA2268" s="479">
        <f>Y2268*Z2268</f>
        <v>3596472</v>
      </c>
      <c r="AB2268" s="386"/>
      <c r="AC2268" s="481">
        <v>0</v>
      </c>
      <c r="AD2268" s="474"/>
      <c r="AE2268" s="482"/>
      <c r="AF2268" s="493">
        <f t="shared" si="394"/>
        <v>3596472</v>
      </c>
      <c r="AG2268" s="474" t="s">
        <v>1071</v>
      </c>
      <c r="AH2268" s="447"/>
      <c r="AI2268" s="474">
        <v>60</v>
      </c>
      <c r="AJ2268" s="474" t="s">
        <v>1314</v>
      </c>
      <c r="AK2268" s="474" t="s">
        <v>1125</v>
      </c>
      <c r="AL2268" s="494" t="s">
        <v>1315</v>
      </c>
      <c r="AM2268" s="474" t="s">
        <v>52</v>
      </c>
      <c r="AN2268" s="474" t="s">
        <v>1074</v>
      </c>
      <c r="AO2268" s="474"/>
      <c r="AP2268" s="474"/>
      <c r="AQ2268" s="474" t="s">
        <v>37</v>
      </c>
      <c r="AR2268" s="474"/>
      <c r="AS2268" s="387"/>
      <c r="AT2268" s="387"/>
      <c r="AU2268" s="471"/>
      <c r="AV2268" s="262">
        <f t="shared" si="396"/>
        <v>49303155</v>
      </c>
      <c r="AW2268" s="262" cm="1">
        <f t="array" ref="AW2268">SUM(MID(0&amp;AV2268,LARGE(INDEX(ISNUMBER(--MID(AV2268,ROW($1:$8),1))*ROW($1:$8),),ROW($1:$8))+1,1)*10^ROW($1:$8)/10)</f>
        <v>49303155</v>
      </c>
      <c r="AX2268" s="262" t="str">
        <f>VLOOKUP($AW2268,'Item Master Data'!$A:$F,3,FALSE)</f>
        <v>Q.PEAK DUO XL G10 BFG</v>
      </c>
      <c r="AY2268" s="262">
        <f>VLOOKUP($AW2268,'Item Master Data'!$A:$F,6,FALSE)</f>
        <v>475</v>
      </c>
      <c r="AZ2268" s="262">
        <f t="shared" si="397"/>
        <v>543.93103448275861</v>
      </c>
      <c r="BA2268" s="262">
        <f>VLOOKUP(AW2268,'Item Master Data'!$A:$G,7,FALSE)</f>
        <v>29</v>
      </c>
      <c r="BC2268" s="262">
        <f t="shared" si="398"/>
        <v>5</v>
      </c>
    </row>
    <row r="2269" spans="1:55">
      <c r="A2269" s="410"/>
      <c r="B2269" s="407"/>
      <c r="C2269" s="407"/>
      <c r="D2269" s="474" t="s">
        <v>1066</v>
      </c>
      <c r="E2269" s="388" t="s">
        <v>1171</v>
      </c>
      <c r="F2269" s="474" t="s">
        <v>87</v>
      </c>
      <c r="G2269" s="474">
        <v>2022</v>
      </c>
      <c r="H2269" s="474">
        <v>6</v>
      </c>
      <c r="I2269" s="485"/>
      <c r="J2269" s="475"/>
      <c r="K2269" s="474" t="s">
        <v>1371</v>
      </c>
      <c r="L2269" s="475" t="s">
        <v>1368</v>
      </c>
      <c r="M2269" s="475">
        <v>44575</v>
      </c>
      <c r="N2269" s="475">
        <v>44713</v>
      </c>
      <c r="O2269" s="475"/>
      <c r="P2269" s="475"/>
      <c r="Q2269" s="475"/>
      <c r="R2269" s="475"/>
      <c r="S2269" s="474" t="s">
        <v>1069</v>
      </c>
      <c r="T2269" s="474">
        <v>72</v>
      </c>
      <c r="U2269" s="474">
        <v>49303155</v>
      </c>
      <c r="V2269" s="474" t="s">
        <v>1070</v>
      </c>
      <c r="W2269" s="476">
        <v>480</v>
      </c>
      <c r="X2269" s="402">
        <v>696</v>
      </c>
      <c r="Y2269" s="491">
        <f t="shared" si="395"/>
        <v>334080</v>
      </c>
      <c r="Z2269" s="478">
        <v>0.49</v>
      </c>
      <c r="AA2269" s="479">
        <f>Z2269*Y2269</f>
        <v>163699.19999999998</v>
      </c>
      <c r="AB2269" s="386"/>
      <c r="AC2269" s="481">
        <f>AB2269*Y2269</f>
        <v>0</v>
      </c>
      <c r="AD2269" s="474"/>
      <c r="AE2269" s="482"/>
      <c r="AF2269" s="493">
        <f t="shared" si="394"/>
        <v>163699.19999999998</v>
      </c>
      <c r="AG2269" s="474" t="s">
        <v>1071</v>
      </c>
      <c r="AH2269" s="447">
        <v>0</v>
      </c>
      <c r="AI2269" s="474">
        <v>60</v>
      </c>
      <c r="AJ2269" s="474" t="s">
        <v>1369</v>
      </c>
      <c r="AK2269" s="474" t="s">
        <v>1370</v>
      </c>
      <c r="AL2269" s="494">
        <v>5401</v>
      </c>
      <c r="AM2269" s="474" t="s">
        <v>52</v>
      </c>
      <c r="AN2269" s="474" t="s">
        <v>1074</v>
      </c>
      <c r="AO2269" s="474"/>
      <c r="AP2269" s="474"/>
      <c r="AQ2269" s="474" t="s">
        <v>1086</v>
      </c>
      <c r="AR2269" s="474"/>
      <c r="AS2269" s="387" t="s">
        <v>1087</v>
      </c>
      <c r="AT2269" s="387" t="s">
        <v>1076</v>
      </c>
      <c r="AU2269" s="471"/>
      <c r="AV2269" s="262">
        <f t="shared" si="396"/>
        <v>49303155</v>
      </c>
      <c r="AW2269" s="262" cm="1">
        <f t="array" ref="AW2269">SUM(MID(0&amp;AV2269,LARGE(INDEX(ISNUMBER(--MID(AV2269,ROW($1:$8),1))*ROW($1:$8),),ROW($1:$8))+1,1)*10^ROW($1:$8)/10)</f>
        <v>49303155</v>
      </c>
      <c r="AX2269" s="262" t="str">
        <f>VLOOKUP($AW2269,'Item Master Data'!$A:$F,3,FALSE)</f>
        <v>Q.PEAK DUO XL G10 BFG</v>
      </c>
      <c r="AY2269" s="262">
        <f>VLOOKUP($AW2269,'Item Master Data'!$A:$F,6,FALSE)</f>
        <v>475</v>
      </c>
      <c r="AZ2269" s="262">
        <f t="shared" si="397"/>
        <v>24</v>
      </c>
      <c r="BA2269" s="262">
        <f>VLOOKUP(AW2269,'Item Master Data'!$A:$G,7,FALSE)</f>
        <v>29</v>
      </c>
      <c r="BC2269" s="262">
        <f t="shared" si="398"/>
        <v>5</v>
      </c>
    </row>
    <row r="2270" spans="1:55">
      <c r="A2270" s="410"/>
      <c r="B2270" s="407"/>
      <c r="C2270" s="407"/>
      <c r="D2270" s="474" t="s">
        <v>1066</v>
      </c>
      <c r="E2270" s="388" t="s">
        <v>1323</v>
      </c>
      <c r="F2270" s="474" t="s">
        <v>87</v>
      </c>
      <c r="G2270" s="474">
        <v>2022</v>
      </c>
      <c r="H2270" s="474">
        <v>6</v>
      </c>
      <c r="I2270" s="485" t="s">
        <v>1091</v>
      </c>
      <c r="J2270" s="475"/>
      <c r="K2270" s="474" t="s">
        <v>1408</v>
      </c>
      <c r="L2270" s="475" t="s">
        <v>1387</v>
      </c>
      <c r="M2270" s="475">
        <v>44357</v>
      </c>
      <c r="N2270" s="475"/>
      <c r="O2270" s="475"/>
      <c r="P2270" s="475"/>
      <c r="Q2270" s="475"/>
      <c r="R2270" s="475"/>
      <c r="S2270" s="474" t="s">
        <v>1388</v>
      </c>
      <c r="T2270" s="474">
        <v>72</v>
      </c>
      <c r="U2270" s="474" t="s">
        <v>1082</v>
      </c>
      <c r="V2270" s="474" t="s">
        <v>1070</v>
      </c>
      <c r="W2270" s="530">
        <v>480</v>
      </c>
      <c r="X2270" s="649">
        <v>17024</v>
      </c>
      <c r="Y2270" s="491">
        <f t="shared" si="395"/>
        <v>8171520</v>
      </c>
      <c r="Z2270" s="478">
        <f>189.6/480</f>
        <v>0.39499999999999996</v>
      </c>
      <c r="AA2270" s="479">
        <f>Y2270*Z2270</f>
        <v>3227750.3999999999</v>
      </c>
      <c r="AB2270" s="386"/>
      <c r="AC2270" s="481">
        <v>0</v>
      </c>
      <c r="AD2270" s="474"/>
      <c r="AE2270" s="482"/>
      <c r="AF2270" s="493">
        <f t="shared" si="394"/>
        <v>3227750.3999999999</v>
      </c>
      <c r="AG2270" s="474" t="s">
        <v>47</v>
      </c>
      <c r="AH2270" s="447">
        <v>10</v>
      </c>
      <c r="AI2270" s="474">
        <v>60</v>
      </c>
      <c r="AJ2270" s="474" t="s">
        <v>1402</v>
      </c>
      <c r="AK2270" s="474" t="s">
        <v>1085</v>
      </c>
      <c r="AL2270" s="494">
        <v>8832</v>
      </c>
      <c r="AM2270" s="474" t="s">
        <v>52</v>
      </c>
      <c r="AN2270" s="474" t="s">
        <v>1085</v>
      </c>
      <c r="AO2270" s="474"/>
      <c r="AP2270" s="474" t="s">
        <v>92</v>
      </c>
      <c r="AQ2270" s="474" t="s">
        <v>1109</v>
      </c>
      <c r="AR2270" s="474"/>
      <c r="AS2270" s="387" t="s">
        <v>1076</v>
      </c>
      <c r="AT2270" s="387" t="s">
        <v>1076</v>
      </c>
      <c r="AU2270" s="471"/>
      <c r="AV2270" s="262" t="str">
        <f t="shared" si="396"/>
        <v>12005833C</v>
      </c>
      <c r="AW2270" s="262" cm="1">
        <f t="array" ref="AW2270">SUM(MID(0&amp;AV2270,LARGE(INDEX(ISNUMBER(--MID(AV2270,ROW($1:$8),1))*ROW($1:$8),),ROW($1:$8))+1,1)*10^ROW($1:$8)/10)</f>
        <v>12005833</v>
      </c>
      <c r="AX2270" s="262" t="str">
        <f>VLOOKUP($AW2270,'Item Master Data'!$A:$F,3,FALSE)</f>
        <v>Q.PEAK DUO XL G10 BFG</v>
      </c>
      <c r="AY2270" s="262">
        <f>VLOOKUP($AW2270,'Item Master Data'!$A:$F,6,FALSE)</f>
        <v>475</v>
      </c>
      <c r="AZ2270" s="262">
        <f t="shared" si="397"/>
        <v>567.4666666666667</v>
      </c>
      <c r="BA2270" s="262">
        <f>VLOOKUP(AW2270,'Item Master Data'!$A:$G,7,FALSE)</f>
        <v>30</v>
      </c>
      <c r="BC2270" s="262">
        <f t="shared" si="398"/>
        <v>5</v>
      </c>
    </row>
    <row r="2271" spans="1:55">
      <c r="A2271" s="410"/>
      <c r="B2271" s="407"/>
      <c r="C2271" s="407"/>
      <c r="D2271" s="474" t="s">
        <v>1066</v>
      </c>
      <c r="E2271" s="388" t="s">
        <v>1323</v>
      </c>
      <c r="F2271" s="474" t="s">
        <v>87</v>
      </c>
      <c r="G2271" s="474">
        <v>2022</v>
      </c>
      <c r="H2271" s="474">
        <v>6</v>
      </c>
      <c r="I2271" s="485" t="s">
        <v>1091</v>
      </c>
      <c r="J2271" s="475"/>
      <c r="K2271" s="474" t="s">
        <v>5598</v>
      </c>
      <c r="L2271" s="475" t="s">
        <v>1387</v>
      </c>
      <c r="M2271" s="475">
        <v>44357</v>
      </c>
      <c r="N2271" s="475"/>
      <c r="O2271" s="475"/>
      <c r="P2271" s="475"/>
      <c r="Q2271" s="475"/>
      <c r="R2271" s="475"/>
      <c r="S2271" s="474" t="s">
        <v>1388</v>
      </c>
      <c r="T2271" s="474">
        <v>72</v>
      </c>
      <c r="U2271" s="474" t="s">
        <v>1082</v>
      </c>
      <c r="V2271" s="474" t="s">
        <v>1070</v>
      </c>
      <c r="W2271" s="530">
        <v>480</v>
      </c>
      <c r="X2271" s="649">
        <v>6264</v>
      </c>
      <c r="Y2271" s="491">
        <f t="shared" si="395"/>
        <v>3006720</v>
      </c>
      <c r="Z2271" s="478">
        <f>189.6/480</f>
        <v>0.39499999999999996</v>
      </c>
      <c r="AA2271" s="479">
        <f>Y2271*Z2271</f>
        <v>1187654.3999999999</v>
      </c>
      <c r="AB2271" s="386"/>
      <c r="AC2271" s="481">
        <v>0</v>
      </c>
      <c r="AD2271" s="474"/>
      <c r="AE2271" s="482"/>
      <c r="AF2271" s="493">
        <f t="shared" si="394"/>
        <v>1187654.3999999999</v>
      </c>
      <c r="AG2271" s="474" t="s">
        <v>47</v>
      </c>
      <c r="AH2271" s="447">
        <v>10</v>
      </c>
      <c r="AI2271" s="474">
        <v>60</v>
      </c>
      <c r="AJ2271" s="474" t="s">
        <v>1402</v>
      </c>
      <c r="AK2271" s="474" t="s">
        <v>1085</v>
      </c>
      <c r="AL2271" s="494">
        <v>8832</v>
      </c>
      <c r="AM2271" s="474" t="s">
        <v>52</v>
      </c>
      <c r="AN2271" s="474" t="s">
        <v>1085</v>
      </c>
      <c r="AO2271" s="474"/>
      <c r="AP2271" s="474" t="s">
        <v>92</v>
      </c>
      <c r="AQ2271" s="474" t="s">
        <v>1109</v>
      </c>
      <c r="AR2271" s="474"/>
      <c r="AS2271" s="387" t="s">
        <v>1076</v>
      </c>
      <c r="AT2271" s="387" t="s">
        <v>1076</v>
      </c>
      <c r="AU2271" s="471"/>
      <c r="AV2271" s="262" t="str">
        <f t="shared" si="396"/>
        <v>12005833C</v>
      </c>
      <c r="AW2271" s="262" cm="1">
        <f t="array" ref="AW2271">SUM(MID(0&amp;AV2271,LARGE(INDEX(ISNUMBER(--MID(AV2271,ROW($1:$8),1))*ROW($1:$8),),ROW($1:$8))+1,1)*10^ROW($1:$8)/10)</f>
        <v>12005833</v>
      </c>
      <c r="AX2271" s="262" t="str">
        <f>VLOOKUP($AW2271,'Item Master Data'!$A:$F,3,FALSE)</f>
        <v>Q.PEAK DUO XL G10 BFG</v>
      </c>
      <c r="AY2271" s="262">
        <f>VLOOKUP($AW2271,'Item Master Data'!$A:$F,6,FALSE)</f>
        <v>475</v>
      </c>
      <c r="AZ2271" s="262">
        <f t="shared" si="397"/>
        <v>208.8</v>
      </c>
      <c r="BA2271" s="262">
        <f>VLOOKUP(AW2271,'Item Master Data'!$A:$G,7,FALSE)</f>
        <v>30</v>
      </c>
      <c r="BC2271" s="262">
        <f t="shared" si="398"/>
        <v>5</v>
      </c>
    </row>
    <row r="2272" spans="1:55">
      <c r="A2272" s="410"/>
      <c r="B2272" s="407"/>
      <c r="C2272" s="407"/>
      <c r="D2272" s="474" t="s">
        <v>1066</v>
      </c>
      <c r="E2272" s="388" t="s">
        <v>1655</v>
      </c>
      <c r="F2272" s="474" t="s">
        <v>1077</v>
      </c>
      <c r="G2272" s="474">
        <v>2023</v>
      </c>
      <c r="H2272" s="474">
        <v>6</v>
      </c>
      <c r="I2272" s="485"/>
      <c r="J2272" s="475"/>
      <c r="K2272" s="474">
        <v>21171820</v>
      </c>
      <c r="L2272" s="475" t="s">
        <v>1656</v>
      </c>
      <c r="M2272" s="475">
        <v>44490</v>
      </c>
      <c r="N2272" s="475">
        <v>44287</v>
      </c>
      <c r="O2272" s="475"/>
      <c r="P2272" s="475"/>
      <c r="Q2272" s="475"/>
      <c r="R2272" s="475"/>
      <c r="S2272" s="474" t="s">
        <v>1102</v>
      </c>
      <c r="T2272" s="474">
        <v>72</v>
      </c>
      <c r="U2272" s="474" t="s">
        <v>1657</v>
      </c>
      <c r="V2272" s="474" t="s">
        <v>1658</v>
      </c>
      <c r="W2272" s="476">
        <v>480</v>
      </c>
      <c r="X2272" s="402">
        <v>124990</v>
      </c>
      <c r="Y2272" s="491">
        <f t="shared" si="395"/>
        <v>59995200</v>
      </c>
      <c r="Z2272" s="478">
        <v>0.38500000000000001</v>
      </c>
      <c r="AA2272" s="492">
        <f>Z2272*Y2272</f>
        <v>23098152</v>
      </c>
      <c r="AB2272" s="386"/>
      <c r="AC2272" s="481">
        <f>AB2272*Y2272</f>
        <v>0</v>
      </c>
      <c r="AD2272" s="474"/>
      <c r="AE2272" s="482"/>
      <c r="AF2272" s="493">
        <f t="shared" si="394"/>
        <v>23098152</v>
      </c>
      <c r="AG2272" s="474" t="s">
        <v>47</v>
      </c>
      <c r="AH2272" s="447">
        <v>3</v>
      </c>
      <c r="AI2272" s="474">
        <v>45</v>
      </c>
      <c r="AJ2272" s="474" t="s">
        <v>1109</v>
      </c>
      <c r="AK2272" s="474" t="s">
        <v>1109</v>
      </c>
      <c r="AL2272" s="494" t="s">
        <v>1109</v>
      </c>
      <c r="AM2272" s="474" t="s">
        <v>52</v>
      </c>
      <c r="AN2272" s="474" t="s">
        <v>1109</v>
      </c>
      <c r="AO2272" s="474"/>
      <c r="AP2272" s="474" t="s">
        <v>38</v>
      </c>
      <c r="AQ2272" s="474" t="s">
        <v>1086</v>
      </c>
      <c r="AR2272" s="474"/>
      <c r="AS2272" s="387" t="s">
        <v>1087</v>
      </c>
      <c r="AT2272" s="387" t="s">
        <v>1076</v>
      </c>
      <c r="AU2272" s="471"/>
      <c r="AV2272" s="262" t="str">
        <f t="shared" si="396"/>
        <v>30397272F</v>
      </c>
      <c r="AW2272" s="262" cm="1">
        <f t="array" ref="AW2272">SUM(MID(0&amp;AV2272,LARGE(INDEX(ISNUMBER(--MID(AV2272,ROW($1:$8),1))*ROW($1:$8),),ROW($1:$8))+1,1)*10^ROW($1:$8)/10)</f>
        <v>30397272</v>
      </c>
      <c r="AX2272" s="262" t="str">
        <f>VLOOKUP($AW2272,'Item Master Data'!$A:$F,3,FALSE)</f>
        <v>Q.PEAK DUO XL G10 BFG</v>
      </c>
      <c r="AY2272" s="262">
        <f>VLOOKUP($AW2272,'Item Master Data'!$A:$F,6,FALSE)</f>
        <v>480</v>
      </c>
      <c r="AZ2272" s="262">
        <f t="shared" si="397"/>
        <v>4310</v>
      </c>
      <c r="BA2272" s="262">
        <f>VLOOKUP(AW2272,'Item Master Data'!$A:$G,7,FALSE)</f>
        <v>29</v>
      </c>
      <c r="BC2272" s="262">
        <f t="shared" si="398"/>
        <v>0</v>
      </c>
    </row>
    <row r="2273" spans="1:55">
      <c r="A2273" s="410">
        <v>10</v>
      </c>
      <c r="B2273" s="407"/>
      <c r="C2273" s="407"/>
      <c r="D2273" s="474" t="s">
        <v>1066</v>
      </c>
      <c r="E2273" s="394"/>
      <c r="F2273" s="474"/>
      <c r="G2273" s="474">
        <v>2022</v>
      </c>
      <c r="H2273" s="474">
        <v>3</v>
      </c>
      <c r="I2273" s="485">
        <v>127508</v>
      </c>
      <c r="J2273" s="475">
        <v>44644</v>
      </c>
      <c r="K2273" s="474" t="s">
        <v>1312</v>
      </c>
      <c r="L2273" s="475" t="s">
        <v>1313</v>
      </c>
      <c r="M2273" s="475">
        <v>44496</v>
      </c>
      <c r="N2273" s="475">
        <v>44621</v>
      </c>
      <c r="O2273" s="475"/>
      <c r="P2273" s="475">
        <v>44630</v>
      </c>
      <c r="Q2273" s="475">
        <v>44644</v>
      </c>
      <c r="R2273" s="475">
        <v>44648</v>
      </c>
      <c r="S2273" s="474" t="s">
        <v>1114</v>
      </c>
      <c r="T2273" s="474">
        <v>60</v>
      </c>
      <c r="U2273" s="474" t="s">
        <v>1247</v>
      </c>
      <c r="V2273" s="474" t="s">
        <v>973</v>
      </c>
      <c r="W2273" s="476">
        <v>400</v>
      </c>
      <c r="X2273" s="402">
        <v>768</v>
      </c>
      <c r="Y2273" s="491">
        <f t="shared" si="395"/>
        <v>307200</v>
      </c>
      <c r="Z2273" s="478">
        <v>0.55000000000000004</v>
      </c>
      <c r="AA2273" s="479">
        <f>Y2273*Z2273</f>
        <v>168960</v>
      </c>
      <c r="AB2273" s="386"/>
      <c r="AC2273" s="481">
        <v>0</v>
      </c>
      <c r="AD2273" s="474"/>
      <c r="AE2273" s="482"/>
      <c r="AF2273" s="493">
        <f t="shared" si="394"/>
        <v>168960</v>
      </c>
      <c r="AG2273" s="474" t="s">
        <v>1071</v>
      </c>
      <c r="AH2273" s="447"/>
      <c r="AI2273" s="474">
        <v>60</v>
      </c>
      <c r="AJ2273" s="474" t="s">
        <v>1314</v>
      </c>
      <c r="AK2273" s="474" t="s">
        <v>1125</v>
      </c>
      <c r="AL2273" s="494" t="s">
        <v>1315</v>
      </c>
      <c r="AM2273" s="474" t="s">
        <v>52</v>
      </c>
      <c r="AN2273" s="474" t="s">
        <v>50</v>
      </c>
      <c r="AO2273" s="474"/>
      <c r="AP2273" s="474" t="s">
        <v>38</v>
      </c>
      <c r="AQ2273" s="474" t="s">
        <v>37</v>
      </c>
      <c r="AR2273" s="474"/>
      <c r="AS2273" s="387"/>
      <c r="AT2273" s="387"/>
      <c r="AU2273" s="471"/>
      <c r="AV2273" s="262" t="str">
        <f t="shared" si="396"/>
        <v>30390456C</v>
      </c>
      <c r="AW2273" s="262" cm="1">
        <f t="array" ref="AW2273">SUM(MID(0&amp;AV2273,LARGE(INDEX(ISNUMBER(--MID(AV2273,ROW($1:$8),1))*ROW($1:$8),),ROW($1:$8))+1,1)*10^ROW($1:$8)/10)</f>
        <v>30390456</v>
      </c>
      <c r="AX2273" s="262" t="str">
        <f>VLOOKUP($AW2273,'Item Master Data'!$A:$F,3,FALSE)</f>
        <v>Q.PEAK DUO BLK ML G10+</v>
      </c>
      <c r="AY2273" s="262">
        <f>VLOOKUP($AW2273,'Item Master Data'!$A:$F,6,FALSE)</f>
        <v>400</v>
      </c>
      <c r="AZ2273" s="262">
        <f t="shared" si="397"/>
        <v>24</v>
      </c>
      <c r="BA2273" s="262">
        <f>VLOOKUP(AW2273,'Item Master Data'!$A:$G,7,FALSE)</f>
        <v>32</v>
      </c>
      <c r="BC2273" s="262">
        <f t="shared" si="398"/>
        <v>0</v>
      </c>
    </row>
    <row r="2274" spans="1:55">
      <c r="A2274" s="410"/>
      <c r="B2274" s="407"/>
      <c r="C2274" s="407"/>
      <c r="D2274" s="474" t="s">
        <v>1066</v>
      </c>
      <c r="E2274" s="388" t="s">
        <v>1097</v>
      </c>
      <c r="F2274" s="474" t="s">
        <v>1077</v>
      </c>
      <c r="G2274" s="474">
        <v>2022</v>
      </c>
      <c r="H2274" s="474">
        <v>6</v>
      </c>
      <c r="I2274" s="485" t="s">
        <v>5405</v>
      </c>
      <c r="J2274" s="475"/>
      <c r="K2274" s="474" t="s">
        <v>1112</v>
      </c>
      <c r="L2274" s="475" t="s">
        <v>1113</v>
      </c>
      <c r="M2274" s="475">
        <v>44656</v>
      </c>
      <c r="N2274" s="475">
        <v>44727</v>
      </c>
      <c r="O2274" s="475"/>
      <c r="P2274" s="475"/>
      <c r="Q2274" s="475"/>
      <c r="R2274" s="475"/>
      <c r="S2274" s="474" t="s">
        <v>1114</v>
      </c>
      <c r="T2274" s="474">
        <v>72</v>
      </c>
      <c r="U2274" s="474"/>
      <c r="V2274" s="474" t="s">
        <v>1115</v>
      </c>
      <c r="W2274" s="476">
        <v>580</v>
      </c>
      <c r="X2274" s="402">
        <v>5425</v>
      </c>
      <c r="Y2274" s="491">
        <f t="shared" si="395"/>
        <v>3146500</v>
      </c>
      <c r="Z2274" s="478">
        <v>0.53</v>
      </c>
      <c r="AA2274" s="492">
        <f>Z2274*Y2274</f>
        <v>1667645</v>
      </c>
      <c r="AB2274" s="386"/>
      <c r="AC2274" s="481">
        <f>AB2274*Y2274</f>
        <v>0</v>
      </c>
      <c r="AD2274" s="474"/>
      <c r="AE2274" s="482">
        <f>AA2274*0.0885</f>
        <v>147586.58249999999</v>
      </c>
      <c r="AF2274" s="493">
        <f t="shared" si="394"/>
        <v>1815231.5825</v>
      </c>
      <c r="AG2274" s="474" t="s">
        <v>1071</v>
      </c>
      <c r="AH2274" s="447">
        <v>10</v>
      </c>
      <c r="AI2274" s="474">
        <v>30</v>
      </c>
      <c r="AJ2274" s="474" t="s">
        <v>1116</v>
      </c>
      <c r="AK2274" s="474" t="s">
        <v>1117</v>
      </c>
      <c r="AL2274" s="494">
        <v>62205</v>
      </c>
      <c r="AM2274" s="474" t="s">
        <v>52</v>
      </c>
      <c r="AN2274" s="474" t="s">
        <v>1085</v>
      </c>
      <c r="AO2274" s="474"/>
      <c r="AP2274" s="474" t="s">
        <v>92</v>
      </c>
      <c r="AQ2274" s="474" t="s">
        <v>1086</v>
      </c>
      <c r="AR2274" s="474"/>
      <c r="AS2274" s="387" t="s">
        <v>1087</v>
      </c>
      <c r="AT2274" s="387" t="s">
        <v>1076</v>
      </c>
      <c r="AU2274" s="471"/>
    </row>
    <row r="2275" spans="1:55">
      <c r="A2275" s="410"/>
      <c r="B2275" s="407"/>
      <c r="C2275" s="407"/>
      <c r="D2275" s="474" t="s">
        <v>1066</v>
      </c>
      <c r="E2275" s="394"/>
      <c r="F2275" s="474">
        <v>4</v>
      </c>
      <c r="G2275" s="474">
        <v>2022</v>
      </c>
      <c r="H2275" s="474">
        <v>3</v>
      </c>
      <c r="I2275" s="485">
        <v>127674</v>
      </c>
      <c r="J2275" s="475">
        <v>44650</v>
      </c>
      <c r="K2275" s="474" t="s">
        <v>1317</v>
      </c>
      <c r="L2275" s="475" t="s">
        <v>1313</v>
      </c>
      <c r="M2275" s="475">
        <v>44502</v>
      </c>
      <c r="N2275" s="475">
        <v>44564</v>
      </c>
      <c r="O2275" s="475"/>
      <c r="P2275" s="475">
        <v>44644</v>
      </c>
      <c r="Q2275" s="475">
        <v>44650</v>
      </c>
      <c r="R2275" s="475">
        <v>44652</v>
      </c>
      <c r="S2275" s="474" t="s">
        <v>1114</v>
      </c>
      <c r="T2275" s="474">
        <v>60</v>
      </c>
      <c r="U2275" s="474">
        <v>49203132</v>
      </c>
      <c r="V2275" s="474" t="s">
        <v>986</v>
      </c>
      <c r="W2275" s="476">
        <v>360</v>
      </c>
      <c r="X2275" s="402">
        <v>832</v>
      </c>
      <c r="Y2275" s="491">
        <f t="shared" si="395"/>
        <v>299520</v>
      </c>
      <c r="Z2275" s="478">
        <v>0.53</v>
      </c>
      <c r="AA2275" s="479">
        <f>Z2275*Y2275</f>
        <v>158745.60000000001</v>
      </c>
      <c r="AB2275" s="386"/>
      <c r="AC2275" s="481">
        <f>AB2275*Y2275</f>
        <v>0</v>
      </c>
      <c r="AD2275" s="474"/>
      <c r="AE2275" s="482"/>
      <c r="AF2275" s="493">
        <f t="shared" si="394"/>
        <v>158745.60000000001</v>
      </c>
      <c r="AG2275" s="474" t="s">
        <v>1071</v>
      </c>
      <c r="AH2275" s="447"/>
      <c r="AI2275" s="474">
        <v>60</v>
      </c>
      <c r="AJ2275" s="474" t="s">
        <v>1314</v>
      </c>
      <c r="AK2275" s="474" t="s">
        <v>1125</v>
      </c>
      <c r="AL2275" s="494">
        <v>55421</v>
      </c>
      <c r="AM2275" s="474" t="s">
        <v>52</v>
      </c>
      <c r="AN2275" s="474" t="s">
        <v>1074</v>
      </c>
      <c r="AO2275" s="474"/>
      <c r="AP2275" s="474"/>
      <c r="AQ2275" s="474"/>
      <c r="AR2275" s="474" t="s">
        <v>1318</v>
      </c>
      <c r="AS2275" s="387"/>
      <c r="AT2275" s="387"/>
      <c r="AU2275" s="471"/>
      <c r="AV2275" s="262">
        <f>U2275</f>
        <v>49203132</v>
      </c>
      <c r="AW2275" s="262" cm="1">
        <f t="array" ref="AW2275">SUM(MID(0&amp;AV2275,LARGE(INDEX(ISNUMBER(--MID(AV2275,ROW($1:$8),1))*ROW($1:$8),),ROW($1:$8))+1,1)*10^ROW($1:$8)/10)</f>
        <v>49203132</v>
      </c>
      <c r="AX2275" s="262" t="str">
        <f>VLOOKUP($AW2275,'Item Master Data'!$A:$F,3,FALSE)</f>
        <v>Q.PEAK DUO BLK G10+</v>
      </c>
      <c r="AY2275" s="262">
        <f>VLOOKUP($AW2275,'Item Master Data'!$A:$F,6,FALSE)</f>
        <v>360</v>
      </c>
      <c r="AZ2275" s="262">
        <f>X2275/BA2275</f>
        <v>26</v>
      </c>
      <c r="BA2275" s="262">
        <f>VLOOKUP(AW2275,'Item Master Data'!$A:$G,7,FALSE)</f>
        <v>32</v>
      </c>
      <c r="BC2275" s="262">
        <f>W2275-AY2275</f>
        <v>0</v>
      </c>
    </row>
    <row r="2276" spans="1:55">
      <c r="A2276" s="410">
        <v>10</v>
      </c>
      <c r="B2276" s="407"/>
      <c r="C2276" s="407"/>
      <c r="D2276" s="474" t="s">
        <v>1066</v>
      </c>
      <c r="E2276" s="394"/>
      <c r="F2276" s="474"/>
      <c r="G2276" s="474">
        <v>2022</v>
      </c>
      <c r="H2276" s="474">
        <v>3</v>
      </c>
      <c r="I2276" s="485">
        <v>127611</v>
      </c>
      <c r="J2276" s="475">
        <v>44648</v>
      </c>
      <c r="K2276" s="474" t="s">
        <v>1319</v>
      </c>
      <c r="L2276" s="475" t="s">
        <v>1313</v>
      </c>
      <c r="M2276" s="475">
        <v>44501</v>
      </c>
      <c r="N2276" s="475">
        <v>44621</v>
      </c>
      <c r="O2276" s="475"/>
      <c r="P2276" s="475">
        <v>44630</v>
      </c>
      <c r="Q2276" s="475">
        <v>44648</v>
      </c>
      <c r="R2276" s="475">
        <v>44652</v>
      </c>
      <c r="S2276" s="474" t="s">
        <v>1114</v>
      </c>
      <c r="T2276" s="474">
        <v>60</v>
      </c>
      <c r="U2276" s="474" t="s">
        <v>1281</v>
      </c>
      <c r="V2276" s="474" t="s">
        <v>973</v>
      </c>
      <c r="W2276" s="476">
        <v>400</v>
      </c>
      <c r="X2276" s="402">
        <v>768</v>
      </c>
      <c r="Y2276" s="491">
        <f t="shared" si="395"/>
        <v>307200</v>
      </c>
      <c r="Z2276" s="478">
        <v>0.55000000000000004</v>
      </c>
      <c r="AA2276" s="479">
        <f>Y2276*Z2276</f>
        <v>168960</v>
      </c>
      <c r="AB2276" s="386"/>
      <c r="AC2276" s="481">
        <v>0</v>
      </c>
      <c r="AD2276" s="474"/>
      <c r="AE2276" s="482"/>
      <c r="AF2276" s="493">
        <f t="shared" si="394"/>
        <v>168960</v>
      </c>
      <c r="AG2276" s="474" t="s">
        <v>1071</v>
      </c>
      <c r="AH2276" s="447"/>
      <c r="AI2276" s="474">
        <v>60</v>
      </c>
      <c r="AJ2276" s="474" t="s">
        <v>1314</v>
      </c>
      <c r="AK2276" s="474" t="s">
        <v>1125</v>
      </c>
      <c r="AL2276" s="494" t="s">
        <v>1315</v>
      </c>
      <c r="AM2276" s="474" t="s">
        <v>52</v>
      </c>
      <c r="AN2276" s="474" t="s">
        <v>50</v>
      </c>
      <c r="AO2276" s="474"/>
      <c r="AP2276" s="474" t="s">
        <v>38</v>
      </c>
      <c r="AQ2276" s="474" t="s">
        <v>37</v>
      </c>
      <c r="AR2276" s="474"/>
      <c r="AS2276" s="387"/>
      <c r="AT2276" s="387"/>
      <c r="AU2276" s="471"/>
      <c r="AV2276" s="262" t="str">
        <f>U2276</f>
        <v>30390456H</v>
      </c>
      <c r="AW2276" s="262" cm="1">
        <f t="array" ref="AW2276">SUM(MID(0&amp;AV2276,LARGE(INDEX(ISNUMBER(--MID(AV2276,ROW($1:$8),1))*ROW($1:$8),),ROW($1:$8))+1,1)*10^ROW($1:$8)/10)</f>
        <v>30390456</v>
      </c>
      <c r="AX2276" s="262" t="str">
        <f>VLOOKUP($AW2276,'Item Master Data'!$A:$F,3,FALSE)</f>
        <v>Q.PEAK DUO BLK ML G10+</v>
      </c>
      <c r="AY2276" s="262">
        <f>VLOOKUP($AW2276,'Item Master Data'!$A:$F,6,FALSE)</f>
        <v>400</v>
      </c>
      <c r="AZ2276" s="262">
        <f>X2276/BA2276</f>
        <v>24</v>
      </c>
      <c r="BA2276" s="262">
        <f>VLOOKUP(AW2276,'Item Master Data'!$A:$G,7,FALSE)</f>
        <v>32</v>
      </c>
      <c r="BC2276" s="262">
        <f>W2276-AY2276</f>
        <v>0</v>
      </c>
    </row>
    <row r="2277" spans="1:55">
      <c r="A2277" s="410"/>
      <c r="B2277" s="407"/>
      <c r="C2277" s="407"/>
      <c r="D2277" s="474" t="s">
        <v>1066</v>
      </c>
      <c r="E2277" s="388"/>
      <c r="F2277" s="474"/>
      <c r="G2277" s="474">
        <v>2022</v>
      </c>
      <c r="H2277" s="474">
        <v>6</v>
      </c>
      <c r="I2277" s="485"/>
      <c r="J2277" s="475"/>
      <c r="K2277" s="474" t="s">
        <v>1255</v>
      </c>
      <c r="L2277" s="475" t="s">
        <v>1242</v>
      </c>
      <c r="M2277" s="475">
        <v>44504</v>
      </c>
      <c r="N2277" s="475">
        <v>44652</v>
      </c>
      <c r="O2277" s="475"/>
      <c r="P2277" s="475"/>
      <c r="Q2277" s="475"/>
      <c r="R2277" s="475"/>
      <c r="S2277" s="474" t="s">
        <v>1114</v>
      </c>
      <c r="T2277" s="474">
        <v>60</v>
      </c>
      <c r="U2277" s="474">
        <v>49201132</v>
      </c>
      <c r="V2277" s="474" t="s">
        <v>986</v>
      </c>
      <c r="W2277" s="476">
        <v>360</v>
      </c>
      <c r="X2277" s="402">
        <v>832</v>
      </c>
      <c r="Y2277" s="491">
        <f t="shared" si="395"/>
        <v>299520</v>
      </c>
      <c r="Z2277" s="478">
        <v>0.53</v>
      </c>
      <c r="AA2277" s="479">
        <f t="shared" ref="AA2277:AA2285" si="399">Z2277*Y2277</f>
        <v>158745.60000000001</v>
      </c>
      <c r="AB2277" s="386"/>
      <c r="AC2277" s="481">
        <f t="shared" ref="AC2277:AC2285" si="400">AB2277*Y2277</f>
        <v>0</v>
      </c>
      <c r="AD2277" s="474"/>
      <c r="AE2277" s="482"/>
      <c r="AF2277" s="493">
        <f t="shared" si="394"/>
        <v>158745.60000000001</v>
      </c>
      <c r="AG2277" s="474" t="s">
        <v>1071</v>
      </c>
      <c r="AH2277" s="447">
        <v>0</v>
      </c>
      <c r="AI2277" s="474">
        <v>60</v>
      </c>
      <c r="AJ2277" s="474" t="s">
        <v>1243</v>
      </c>
      <c r="AK2277" s="474" t="s">
        <v>1244</v>
      </c>
      <c r="AL2277" s="494" t="s">
        <v>1245</v>
      </c>
      <c r="AM2277" s="474" t="s">
        <v>52</v>
      </c>
      <c r="AN2277" s="474" t="s">
        <v>1074</v>
      </c>
      <c r="AO2277" s="474"/>
      <c r="AP2277" s="474"/>
      <c r="AQ2277" s="474" t="s">
        <v>1086</v>
      </c>
      <c r="AR2277" s="474"/>
      <c r="AS2277" s="387" t="s">
        <v>1076</v>
      </c>
      <c r="AT2277" s="387" t="s">
        <v>1076</v>
      </c>
      <c r="AU2277" s="471"/>
      <c r="AV2277" s="262">
        <f>U2277</f>
        <v>49201132</v>
      </c>
      <c r="AW2277" s="262" cm="1">
        <f t="array" ref="AW2277">SUM(MID(0&amp;AV2277,LARGE(INDEX(ISNUMBER(--MID(AV2277,ROW($1:$8),1))*ROW($1:$8),),ROW($1:$8))+1,1)*10^ROW($1:$8)/10)</f>
        <v>49201132</v>
      </c>
      <c r="AX2277" s="262" t="str">
        <f>VLOOKUP($AW2277,'Item Master Data'!$A:$F,3,FALSE)</f>
        <v>Q.PEAK DUO BLK G10+</v>
      </c>
      <c r="AY2277" s="262">
        <f>VLOOKUP($AW2277,'Item Master Data'!$A:$F,6,FALSE)</f>
        <v>360</v>
      </c>
      <c r="AZ2277" s="262">
        <f>X2277/BA2277</f>
        <v>26</v>
      </c>
      <c r="BA2277" s="262">
        <f>VLOOKUP(AW2277,'Item Master Data'!$A:$G,7,FALSE)</f>
        <v>32</v>
      </c>
      <c r="BC2277" s="262">
        <f>W2277-AY2277</f>
        <v>0</v>
      </c>
    </row>
    <row r="2278" spans="1:55">
      <c r="A2278" s="410"/>
      <c r="B2278" s="407"/>
      <c r="C2278" s="407"/>
      <c r="D2278" s="474" t="s">
        <v>1066</v>
      </c>
      <c r="E2278" s="388"/>
      <c r="F2278" s="474"/>
      <c r="G2278" s="474">
        <v>2022</v>
      </c>
      <c r="H2278" s="474">
        <v>6</v>
      </c>
      <c r="I2278" s="485"/>
      <c r="J2278" s="475"/>
      <c r="K2278" s="474" t="s">
        <v>1259</v>
      </c>
      <c r="L2278" s="475" t="s">
        <v>1242</v>
      </c>
      <c r="M2278" s="475">
        <v>44504</v>
      </c>
      <c r="N2278" s="475">
        <v>44682</v>
      </c>
      <c r="O2278" s="475"/>
      <c r="P2278" s="475"/>
      <c r="Q2278" s="475"/>
      <c r="R2278" s="475"/>
      <c r="S2278" s="474" t="s">
        <v>1114</v>
      </c>
      <c r="T2278" s="474">
        <v>60</v>
      </c>
      <c r="U2278" s="474">
        <v>49201132</v>
      </c>
      <c r="V2278" s="474" t="s">
        <v>986</v>
      </c>
      <c r="W2278" s="476">
        <v>360</v>
      </c>
      <c r="X2278" s="402">
        <v>1664</v>
      </c>
      <c r="Y2278" s="491">
        <f t="shared" si="395"/>
        <v>599040</v>
      </c>
      <c r="Z2278" s="478">
        <v>0.53</v>
      </c>
      <c r="AA2278" s="479">
        <f t="shared" si="399"/>
        <v>317491.20000000001</v>
      </c>
      <c r="AB2278" s="386"/>
      <c r="AC2278" s="481">
        <f t="shared" si="400"/>
        <v>0</v>
      </c>
      <c r="AD2278" s="474"/>
      <c r="AE2278" s="482"/>
      <c r="AF2278" s="493">
        <f t="shared" si="394"/>
        <v>317491.20000000001</v>
      </c>
      <c r="AG2278" s="474" t="s">
        <v>1071</v>
      </c>
      <c r="AH2278" s="447">
        <v>0</v>
      </c>
      <c r="AI2278" s="474">
        <v>60</v>
      </c>
      <c r="AJ2278" s="474" t="s">
        <v>1243</v>
      </c>
      <c r="AK2278" s="474" t="s">
        <v>1244</v>
      </c>
      <c r="AL2278" s="494" t="s">
        <v>1245</v>
      </c>
      <c r="AM2278" s="474" t="s">
        <v>52</v>
      </c>
      <c r="AN2278" s="474" t="s">
        <v>1074</v>
      </c>
      <c r="AO2278" s="474"/>
      <c r="AP2278" s="474"/>
      <c r="AQ2278" s="474" t="s">
        <v>1086</v>
      </c>
      <c r="AR2278" s="474"/>
      <c r="AS2278" s="387" t="s">
        <v>1076</v>
      </c>
      <c r="AT2278" s="387" t="s">
        <v>1076</v>
      </c>
      <c r="AU2278" s="471"/>
      <c r="AV2278" s="262">
        <f>U2278</f>
        <v>49201132</v>
      </c>
      <c r="AW2278" s="262" cm="1">
        <f t="array" ref="AW2278">SUM(MID(0&amp;AV2278,LARGE(INDEX(ISNUMBER(--MID(AV2278,ROW($1:$8),1))*ROW($1:$8),),ROW($1:$8))+1,1)*10^ROW($1:$8)/10)</f>
        <v>49201132</v>
      </c>
      <c r="AX2278" s="262" t="str">
        <f>VLOOKUP($AW2278,'Item Master Data'!$A:$F,3,FALSE)</f>
        <v>Q.PEAK DUO BLK G10+</v>
      </c>
      <c r="AY2278" s="262">
        <f>VLOOKUP($AW2278,'Item Master Data'!$A:$F,6,FALSE)</f>
        <v>360</v>
      </c>
      <c r="AZ2278" s="262">
        <f>X2278/BA2278</f>
        <v>52</v>
      </c>
      <c r="BA2278" s="262">
        <f>VLOOKUP(AW2278,'Item Master Data'!$A:$G,7,FALSE)</f>
        <v>32</v>
      </c>
      <c r="BC2278" s="262">
        <f>W2278-AY2278</f>
        <v>0</v>
      </c>
    </row>
    <row r="2279" spans="1:55">
      <c r="A2279" s="410"/>
      <c r="B2279" s="407">
        <v>44574</v>
      </c>
      <c r="C2279" s="407">
        <v>44574</v>
      </c>
      <c r="D2279" s="474" t="s">
        <v>1066</v>
      </c>
      <c r="E2279" s="388" t="s">
        <v>1267</v>
      </c>
      <c r="F2279" s="474"/>
      <c r="G2279" s="474">
        <v>2022</v>
      </c>
      <c r="H2279" s="474">
        <v>6</v>
      </c>
      <c r="I2279" s="485"/>
      <c r="J2279" s="475"/>
      <c r="K2279" s="474" t="s">
        <v>1268</v>
      </c>
      <c r="L2279" s="475" t="s">
        <v>1242</v>
      </c>
      <c r="M2279" s="475">
        <v>44502</v>
      </c>
      <c r="N2279" s="475">
        <v>44683</v>
      </c>
      <c r="O2279" s="475"/>
      <c r="P2279" s="475" t="s">
        <v>1258</v>
      </c>
      <c r="Q2279" s="475"/>
      <c r="R2279" s="475"/>
      <c r="S2279" s="474" t="s">
        <v>1114</v>
      </c>
      <c r="T2279" s="474">
        <v>60</v>
      </c>
      <c r="U2279" s="474">
        <v>49401140</v>
      </c>
      <c r="V2279" s="474" t="s">
        <v>973</v>
      </c>
      <c r="W2279" s="476">
        <v>400</v>
      </c>
      <c r="X2279" s="402">
        <v>1536</v>
      </c>
      <c r="Y2279" s="491">
        <f t="shared" si="395"/>
        <v>614400</v>
      </c>
      <c r="Z2279" s="478">
        <v>0.52</v>
      </c>
      <c r="AA2279" s="479">
        <f t="shared" si="399"/>
        <v>319488</v>
      </c>
      <c r="AB2279" s="386"/>
      <c r="AC2279" s="481">
        <f t="shared" si="400"/>
        <v>0</v>
      </c>
      <c r="AD2279" s="474"/>
      <c r="AE2279" s="482"/>
      <c r="AF2279" s="493">
        <f t="shared" si="394"/>
        <v>319488</v>
      </c>
      <c r="AG2279" s="474" t="s">
        <v>1071</v>
      </c>
      <c r="AH2279" s="447">
        <v>0</v>
      </c>
      <c r="AI2279" s="474">
        <v>60</v>
      </c>
      <c r="AJ2279" s="474" t="s">
        <v>1243</v>
      </c>
      <c r="AK2279" s="474" t="s">
        <v>1244</v>
      </c>
      <c r="AL2279" s="494" t="s">
        <v>1245</v>
      </c>
      <c r="AM2279" s="474" t="s">
        <v>52</v>
      </c>
      <c r="AN2279" s="474" t="s">
        <v>1074</v>
      </c>
      <c r="AO2279" s="474"/>
      <c r="AP2279" s="474"/>
      <c r="AQ2279" s="474" t="s">
        <v>1086</v>
      </c>
      <c r="AR2279" s="474" t="s">
        <v>1248</v>
      </c>
      <c r="AS2279" s="387" t="s">
        <v>1076</v>
      </c>
      <c r="AT2279" s="387" t="s">
        <v>1076</v>
      </c>
      <c r="AU2279" s="471">
        <v>0.52</v>
      </c>
      <c r="AV2279" s="262">
        <f>U2279</f>
        <v>49401140</v>
      </c>
      <c r="AW2279" s="262" cm="1">
        <f t="array" ref="AW2279">SUM(MID(0&amp;AV2279,LARGE(INDEX(ISNUMBER(--MID(AV2279,ROW($1:$8),1))*ROW($1:$8),),ROW($1:$8))+1,1)*10^ROW($1:$8)/10)</f>
        <v>49401140</v>
      </c>
      <c r="AX2279" s="262" t="str">
        <f>VLOOKUP($AW2279,'Item Master Data'!$A:$F,3,FALSE)</f>
        <v>Q.PEAK DUO BLK ML G10.a+</v>
      </c>
      <c r="AY2279" s="262">
        <f>VLOOKUP($AW2279,'Item Master Data'!$A:$F,6,FALSE)</f>
        <v>400</v>
      </c>
      <c r="AZ2279" s="262">
        <f>X2279/BA2279</f>
        <v>48</v>
      </c>
      <c r="BA2279" s="262">
        <f>VLOOKUP(AW2279,'Item Master Data'!$A:$G,7,FALSE)</f>
        <v>32</v>
      </c>
      <c r="BC2279" s="262">
        <f>W2279-AY2279</f>
        <v>0</v>
      </c>
    </row>
    <row r="2280" spans="1:55">
      <c r="A2280" s="410"/>
      <c r="B2280" s="407"/>
      <c r="C2280" s="407"/>
      <c r="D2280" s="474" t="s">
        <v>1066</v>
      </c>
      <c r="E2280" s="388"/>
      <c r="F2280" s="474"/>
      <c r="G2280" s="474">
        <v>2022</v>
      </c>
      <c r="H2280" s="474">
        <v>6</v>
      </c>
      <c r="I2280" s="485"/>
      <c r="J2280" s="475"/>
      <c r="K2280" s="474" t="s">
        <v>1289</v>
      </c>
      <c r="L2280" s="475" t="s">
        <v>1274</v>
      </c>
      <c r="M2280" s="475">
        <v>44497</v>
      </c>
      <c r="N2280" s="475">
        <v>44562</v>
      </c>
      <c r="O2280" s="475" t="s">
        <v>1280</v>
      </c>
      <c r="P2280" s="475"/>
      <c r="Q2280" s="475"/>
      <c r="R2280" s="475"/>
      <c r="S2280" s="474" t="s">
        <v>1114</v>
      </c>
      <c r="T2280" s="474">
        <v>60</v>
      </c>
      <c r="U2280" s="474">
        <v>49401140</v>
      </c>
      <c r="V2280" s="474" t="s">
        <v>973</v>
      </c>
      <c r="W2280" s="476">
        <v>400</v>
      </c>
      <c r="X2280" s="402">
        <v>1536</v>
      </c>
      <c r="Y2280" s="491">
        <f t="shared" si="395"/>
        <v>614400</v>
      </c>
      <c r="Z2280" s="478">
        <v>0.55000000000000004</v>
      </c>
      <c r="AA2280" s="479">
        <f t="shared" si="399"/>
        <v>337920</v>
      </c>
      <c r="AB2280" s="386"/>
      <c r="AC2280" s="481">
        <f t="shared" si="400"/>
        <v>0</v>
      </c>
      <c r="AD2280" s="474"/>
      <c r="AE2280" s="482"/>
      <c r="AF2280" s="493">
        <f t="shared" si="394"/>
        <v>337920</v>
      </c>
      <c r="AG2280" s="474" t="s">
        <v>1071</v>
      </c>
      <c r="AH2280" s="447"/>
      <c r="AI2280" s="474">
        <v>60</v>
      </c>
      <c r="AJ2280" s="474" t="s">
        <v>1275</v>
      </c>
      <c r="AK2280" s="474" t="s">
        <v>1276</v>
      </c>
      <c r="AL2280" s="494" t="s">
        <v>1277</v>
      </c>
      <c r="AM2280" s="474" t="s">
        <v>52</v>
      </c>
      <c r="AN2280" s="474" t="s">
        <v>1074</v>
      </c>
      <c r="AO2280" s="474"/>
      <c r="AP2280" s="474"/>
      <c r="AQ2280" s="474"/>
      <c r="AR2280" s="474"/>
      <c r="AS2280" s="387"/>
      <c r="AT2280" s="387"/>
      <c r="AU2280" s="471"/>
    </row>
    <row r="2281" spans="1:55">
      <c r="A2281" s="410"/>
      <c r="B2281" s="407" t="s">
        <v>1211</v>
      </c>
      <c r="C2281" s="407" t="s">
        <v>1211</v>
      </c>
      <c r="D2281" s="474" t="s">
        <v>1066</v>
      </c>
      <c r="E2281" s="388"/>
      <c r="F2281" s="474"/>
      <c r="G2281" s="474">
        <v>2022</v>
      </c>
      <c r="H2281" s="474">
        <v>6</v>
      </c>
      <c r="I2281" s="485"/>
      <c r="J2281" s="475"/>
      <c r="K2281" s="474" t="s">
        <v>1290</v>
      </c>
      <c r="L2281" s="475" t="s">
        <v>1274</v>
      </c>
      <c r="M2281" s="475">
        <v>44517</v>
      </c>
      <c r="N2281" s="475">
        <v>44593</v>
      </c>
      <c r="O2281" s="475"/>
      <c r="P2281" s="475" t="s">
        <v>5737</v>
      </c>
      <c r="Q2281" s="475"/>
      <c r="R2281" s="475"/>
      <c r="S2281" s="474" t="s">
        <v>1114</v>
      </c>
      <c r="T2281" s="474">
        <v>60</v>
      </c>
      <c r="U2281" s="474">
        <v>49401140</v>
      </c>
      <c r="V2281" s="474" t="s">
        <v>973</v>
      </c>
      <c r="W2281" s="476">
        <v>400</v>
      </c>
      <c r="X2281" s="402">
        <v>768</v>
      </c>
      <c r="Y2281" s="491">
        <f t="shared" si="395"/>
        <v>307200</v>
      </c>
      <c r="Z2281" s="478">
        <v>0.46500000000000002</v>
      </c>
      <c r="AA2281" s="479">
        <f t="shared" si="399"/>
        <v>142848</v>
      </c>
      <c r="AB2281" s="386"/>
      <c r="AC2281" s="481">
        <f t="shared" si="400"/>
        <v>0</v>
      </c>
      <c r="AD2281" s="474"/>
      <c r="AE2281" s="482"/>
      <c r="AF2281" s="493">
        <f t="shared" si="394"/>
        <v>142848</v>
      </c>
      <c r="AG2281" s="474" t="s">
        <v>1071</v>
      </c>
      <c r="AH2281" s="447"/>
      <c r="AI2281" s="474">
        <v>60</v>
      </c>
      <c r="AJ2281" s="474" t="s">
        <v>1275</v>
      </c>
      <c r="AK2281" s="474" t="s">
        <v>1276</v>
      </c>
      <c r="AL2281" s="494" t="s">
        <v>1277</v>
      </c>
      <c r="AM2281" s="474" t="s">
        <v>52</v>
      </c>
      <c r="AN2281" s="474" t="s">
        <v>1074</v>
      </c>
      <c r="AO2281" s="474"/>
      <c r="AP2281" s="474"/>
      <c r="AQ2281" s="474"/>
      <c r="AR2281" s="474" t="s">
        <v>1288</v>
      </c>
      <c r="AS2281" s="387"/>
      <c r="AT2281" s="387"/>
      <c r="AU2281" s="471">
        <v>0.46500000000000002</v>
      </c>
    </row>
    <row r="2282" spans="1:55">
      <c r="A2282" s="410"/>
      <c r="B2282" s="495" t="s">
        <v>1211</v>
      </c>
      <c r="C2282" s="495" t="s">
        <v>1211</v>
      </c>
      <c r="D2282" s="474" t="s">
        <v>1066</v>
      </c>
      <c r="E2282" s="394" t="s">
        <v>1283</v>
      </c>
      <c r="F2282" s="474"/>
      <c r="G2282" s="474">
        <v>2022</v>
      </c>
      <c r="H2282" s="474">
        <v>6</v>
      </c>
      <c r="I2282" s="474"/>
      <c r="J2282" s="475"/>
      <c r="K2282" s="474" t="s">
        <v>1292</v>
      </c>
      <c r="L2282" s="474" t="s">
        <v>1274</v>
      </c>
      <c r="M2282" s="475">
        <v>44517</v>
      </c>
      <c r="N2282" s="475">
        <v>44682</v>
      </c>
      <c r="O2282" s="475"/>
      <c r="P2282" s="475"/>
      <c r="Q2282" s="475"/>
      <c r="R2282" s="475"/>
      <c r="S2282" s="474" t="s">
        <v>1114</v>
      </c>
      <c r="T2282" s="474">
        <v>60</v>
      </c>
      <c r="U2282" s="474">
        <v>49201132</v>
      </c>
      <c r="V2282" s="474" t="s">
        <v>986</v>
      </c>
      <c r="W2282" s="474">
        <v>360</v>
      </c>
      <c r="X2282" s="406">
        <f>2496-832+832</f>
        <v>2496</v>
      </c>
      <c r="Y2282" s="477">
        <f t="shared" si="395"/>
        <v>898560</v>
      </c>
      <c r="Z2282" s="478">
        <v>0.53</v>
      </c>
      <c r="AA2282" s="479">
        <f t="shared" si="399"/>
        <v>476236.80000000005</v>
      </c>
      <c r="AB2282" s="386"/>
      <c r="AC2282" s="481">
        <f t="shared" si="400"/>
        <v>0</v>
      </c>
      <c r="AD2282" s="474"/>
      <c r="AE2282" s="482"/>
      <c r="AF2282" s="493">
        <f t="shared" si="394"/>
        <v>476236.80000000005</v>
      </c>
      <c r="AG2282" s="474" t="s">
        <v>1071</v>
      </c>
      <c r="AH2282" s="447"/>
      <c r="AI2282" s="474">
        <v>60</v>
      </c>
      <c r="AJ2282" s="474" t="s">
        <v>1275</v>
      </c>
      <c r="AK2282" s="474" t="s">
        <v>1276</v>
      </c>
      <c r="AL2282" s="494" t="s">
        <v>1277</v>
      </c>
      <c r="AM2282" s="474" t="s">
        <v>52</v>
      </c>
      <c r="AN2282" s="474" t="s">
        <v>1074</v>
      </c>
      <c r="AO2282" s="474"/>
      <c r="AP2282" s="474"/>
      <c r="AQ2282" s="474"/>
      <c r="AR2282" s="474" t="s">
        <v>1216</v>
      </c>
      <c r="AS2282" s="387"/>
      <c r="AT2282" s="387"/>
      <c r="AU2282" s="471"/>
    </row>
    <row r="2283" spans="1:55">
      <c r="A2283" s="410"/>
      <c r="B2283" s="407"/>
      <c r="C2283" s="407"/>
      <c r="D2283" s="474" t="s">
        <v>1066</v>
      </c>
      <c r="E2283" s="388" t="s">
        <v>1170</v>
      </c>
      <c r="F2283" s="474" t="s">
        <v>1077</v>
      </c>
      <c r="G2283" s="474">
        <v>2022</v>
      </c>
      <c r="H2283" s="474">
        <v>6</v>
      </c>
      <c r="I2283" s="485"/>
      <c r="J2283" s="475"/>
      <c r="K2283" s="474" t="s">
        <v>5196</v>
      </c>
      <c r="L2283" s="475" t="s">
        <v>5197</v>
      </c>
      <c r="M2283" s="475">
        <v>44664</v>
      </c>
      <c r="N2283" s="475">
        <v>44741</v>
      </c>
      <c r="O2283" s="475"/>
      <c r="P2283" s="475"/>
      <c r="Q2283" s="475"/>
      <c r="R2283" s="475"/>
      <c r="S2283" s="474" t="s">
        <v>5198</v>
      </c>
      <c r="T2283" s="474">
        <v>72</v>
      </c>
      <c r="U2283" s="474"/>
      <c r="V2283" s="474" t="s">
        <v>1070</v>
      </c>
      <c r="W2283" s="476">
        <v>480</v>
      </c>
      <c r="X2283" s="402">
        <v>12209</v>
      </c>
      <c r="Y2283" s="491">
        <f t="shared" si="395"/>
        <v>5860320</v>
      </c>
      <c r="Z2283" s="478">
        <v>0.54</v>
      </c>
      <c r="AA2283" s="492">
        <f t="shared" si="399"/>
        <v>3164572.8000000003</v>
      </c>
      <c r="AB2283" s="386"/>
      <c r="AC2283" s="481">
        <f t="shared" si="400"/>
        <v>0</v>
      </c>
      <c r="AD2283" s="474"/>
      <c r="AE2283" s="482"/>
      <c r="AF2283" s="493">
        <f t="shared" si="394"/>
        <v>3164572.8000000003</v>
      </c>
      <c r="AG2283" s="474" t="s">
        <v>47</v>
      </c>
      <c r="AH2283" s="447">
        <v>100</v>
      </c>
      <c r="AI2283" s="474">
        <v>0</v>
      </c>
      <c r="AJ2283" s="474" t="s">
        <v>5199</v>
      </c>
      <c r="AK2283" s="474" t="s">
        <v>1096</v>
      </c>
      <c r="AL2283" s="494">
        <v>1475</v>
      </c>
      <c r="AM2283" s="474" t="s">
        <v>52</v>
      </c>
      <c r="AN2283" s="474" t="s">
        <v>1074</v>
      </c>
      <c r="AO2283" s="474"/>
      <c r="AP2283" s="474"/>
      <c r="AQ2283" s="474" t="s">
        <v>1086</v>
      </c>
      <c r="AR2283" s="474"/>
      <c r="AS2283" s="387" t="s">
        <v>1087</v>
      </c>
      <c r="AT2283" s="387" t="s">
        <v>1076</v>
      </c>
      <c r="AU2283" s="471"/>
    </row>
    <row r="2284" spans="1:55">
      <c r="A2284" s="410"/>
      <c r="B2284" s="407"/>
      <c r="C2284" s="407"/>
      <c r="D2284" s="474" t="s">
        <v>1066</v>
      </c>
      <c r="E2284" s="388" t="s">
        <v>1323</v>
      </c>
      <c r="F2284" s="474"/>
      <c r="G2284" s="474">
        <v>2022</v>
      </c>
      <c r="H2284" s="474">
        <v>6</v>
      </c>
      <c r="I2284" s="485"/>
      <c r="J2284" s="475"/>
      <c r="K2284" s="474" t="s">
        <v>1325</v>
      </c>
      <c r="L2284" s="475" t="s">
        <v>1313</v>
      </c>
      <c r="M2284" s="475">
        <v>44502</v>
      </c>
      <c r="N2284" s="475">
        <v>44564</v>
      </c>
      <c r="O2284" s="475"/>
      <c r="P2284" s="475"/>
      <c r="Q2284" s="475"/>
      <c r="R2284" s="475"/>
      <c r="S2284" s="474" t="s">
        <v>1114</v>
      </c>
      <c r="T2284" s="474">
        <v>60</v>
      </c>
      <c r="U2284" s="474">
        <v>49201132</v>
      </c>
      <c r="V2284" s="474" t="s">
        <v>986</v>
      </c>
      <c r="W2284" s="476">
        <v>360</v>
      </c>
      <c r="X2284" s="402">
        <v>832</v>
      </c>
      <c r="Y2284" s="491">
        <f t="shared" si="395"/>
        <v>299520</v>
      </c>
      <c r="Z2284" s="478">
        <v>0.53</v>
      </c>
      <c r="AA2284" s="479">
        <f t="shared" si="399"/>
        <v>158745.60000000001</v>
      </c>
      <c r="AB2284" s="386"/>
      <c r="AC2284" s="481">
        <f t="shared" si="400"/>
        <v>0</v>
      </c>
      <c r="AD2284" s="474"/>
      <c r="AE2284" s="482"/>
      <c r="AF2284" s="493">
        <f t="shared" si="394"/>
        <v>158745.60000000001</v>
      </c>
      <c r="AG2284" s="474" t="s">
        <v>1071</v>
      </c>
      <c r="AH2284" s="447"/>
      <c r="AI2284" s="474">
        <v>60</v>
      </c>
      <c r="AJ2284" s="474" t="s">
        <v>1314</v>
      </c>
      <c r="AK2284" s="474" t="s">
        <v>1125</v>
      </c>
      <c r="AL2284" s="494">
        <v>55421</v>
      </c>
      <c r="AM2284" s="474" t="s">
        <v>52</v>
      </c>
      <c r="AN2284" s="474" t="s">
        <v>1074</v>
      </c>
      <c r="AO2284" s="474"/>
      <c r="AP2284" s="474"/>
      <c r="AQ2284" s="474"/>
      <c r="AR2284" s="474" t="s">
        <v>1318</v>
      </c>
      <c r="AS2284" s="387"/>
      <c r="AT2284" s="387"/>
      <c r="AU2284" s="471"/>
    </row>
    <row r="2285" spans="1:55">
      <c r="A2285" s="410"/>
      <c r="B2285" s="407"/>
      <c r="C2285" s="407"/>
      <c r="D2285" s="474" t="s">
        <v>1066</v>
      </c>
      <c r="E2285" s="388"/>
      <c r="F2285" s="474"/>
      <c r="G2285" s="474">
        <v>2022</v>
      </c>
      <c r="H2285" s="474">
        <v>6</v>
      </c>
      <c r="I2285" s="485"/>
      <c r="J2285" s="475"/>
      <c r="K2285" s="474" t="s">
        <v>1326</v>
      </c>
      <c r="L2285" s="475" t="s">
        <v>1313</v>
      </c>
      <c r="M2285" s="475">
        <v>44502</v>
      </c>
      <c r="N2285" s="475">
        <v>44564</v>
      </c>
      <c r="O2285" s="475"/>
      <c r="P2285" s="475"/>
      <c r="Q2285" s="475"/>
      <c r="R2285" s="475"/>
      <c r="S2285" s="474" t="s">
        <v>1114</v>
      </c>
      <c r="T2285" s="474">
        <v>60</v>
      </c>
      <c r="U2285" s="474">
        <v>49401140</v>
      </c>
      <c r="V2285" s="474" t="s">
        <v>973</v>
      </c>
      <c r="W2285" s="476">
        <v>400</v>
      </c>
      <c r="X2285" s="402">
        <v>2496</v>
      </c>
      <c r="Y2285" s="491">
        <f t="shared" si="395"/>
        <v>998400</v>
      </c>
      <c r="Z2285" s="478">
        <v>0.55000000000000004</v>
      </c>
      <c r="AA2285" s="479">
        <f t="shared" si="399"/>
        <v>549120</v>
      </c>
      <c r="AB2285" s="386"/>
      <c r="AC2285" s="481">
        <f t="shared" si="400"/>
        <v>0</v>
      </c>
      <c r="AD2285" s="474"/>
      <c r="AE2285" s="482"/>
      <c r="AF2285" s="493">
        <f t="shared" si="394"/>
        <v>549120</v>
      </c>
      <c r="AG2285" s="474" t="s">
        <v>1071</v>
      </c>
      <c r="AH2285" s="447"/>
      <c r="AI2285" s="474">
        <v>60</v>
      </c>
      <c r="AJ2285" s="474" t="s">
        <v>1314</v>
      </c>
      <c r="AK2285" s="474" t="s">
        <v>1125</v>
      </c>
      <c r="AL2285" s="494">
        <v>55421</v>
      </c>
      <c r="AM2285" s="474" t="s">
        <v>52</v>
      </c>
      <c r="AN2285" s="474" t="s">
        <v>1074</v>
      </c>
      <c r="AO2285" s="474"/>
      <c r="AP2285" s="474"/>
      <c r="AQ2285" s="474"/>
      <c r="AR2285" s="474"/>
      <c r="AS2285" s="387"/>
      <c r="AT2285" s="387"/>
      <c r="AU2285" s="471"/>
      <c r="AV2285" s="262">
        <f t="shared" ref="AV2285:AV2316" si="401">U2285</f>
        <v>49401140</v>
      </c>
      <c r="AW2285" s="262" cm="1">
        <f t="array" ref="AW2285">SUM(MID(0&amp;AV2285,LARGE(INDEX(ISNUMBER(--MID(AV2285,ROW($1:$8),1))*ROW($1:$8),),ROW($1:$8))+1,1)*10^ROW($1:$8)/10)</f>
        <v>49401140</v>
      </c>
      <c r="AX2285" s="262" t="str">
        <f>VLOOKUP($AW2285,'Item Master Data'!$A:$F,3,FALSE)</f>
        <v>Q.PEAK DUO BLK ML G10.a+</v>
      </c>
      <c r="AY2285" s="262">
        <f>VLOOKUP($AW2285,'Item Master Data'!$A:$F,6,FALSE)</f>
        <v>400</v>
      </c>
      <c r="AZ2285" s="262">
        <f t="shared" ref="AZ2285:AZ2316" si="402">X2285/BA2285</f>
        <v>78</v>
      </c>
      <c r="BA2285" s="262">
        <f>VLOOKUP(AW2285,'Item Master Data'!$A:$G,7,FALSE)</f>
        <v>32</v>
      </c>
      <c r="BC2285" s="262">
        <f t="shared" ref="BC2285:BC2316" si="403">W2285-AY2285</f>
        <v>0</v>
      </c>
    </row>
    <row r="2286" spans="1:55">
      <c r="A2286" s="410"/>
      <c r="B2286" s="407"/>
      <c r="C2286" s="407"/>
      <c r="D2286" s="474" t="s">
        <v>1066</v>
      </c>
      <c r="E2286" s="388"/>
      <c r="F2286" s="474"/>
      <c r="G2286" s="474">
        <v>2022</v>
      </c>
      <c r="H2286" s="474">
        <v>6</v>
      </c>
      <c r="I2286" s="485" t="s">
        <v>1085</v>
      </c>
      <c r="J2286" s="475"/>
      <c r="K2286" s="474" t="s">
        <v>1328</v>
      </c>
      <c r="L2286" s="475" t="s">
        <v>1313</v>
      </c>
      <c r="M2286" s="475">
        <v>44496</v>
      </c>
      <c r="N2286" s="475">
        <v>44695</v>
      </c>
      <c r="O2286" s="475"/>
      <c r="P2286" s="475"/>
      <c r="Q2286" s="475"/>
      <c r="R2286" s="475"/>
      <c r="S2286" s="474" t="s">
        <v>1114</v>
      </c>
      <c r="T2286" s="474">
        <v>60</v>
      </c>
      <c r="U2286" s="474" t="s">
        <v>1109</v>
      </c>
      <c r="V2286" s="474" t="s">
        <v>986</v>
      </c>
      <c r="W2286" s="476">
        <v>360</v>
      </c>
      <c r="X2286" s="402">
        <v>3328</v>
      </c>
      <c r="Y2286" s="491">
        <f t="shared" si="395"/>
        <v>1198080</v>
      </c>
      <c r="Z2286" s="478">
        <v>0.53</v>
      </c>
      <c r="AA2286" s="479">
        <f>Y2286*Z2286</f>
        <v>634982.40000000002</v>
      </c>
      <c r="AB2286" s="386"/>
      <c r="AC2286" s="481">
        <v>0</v>
      </c>
      <c r="AD2286" s="474"/>
      <c r="AE2286" s="482"/>
      <c r="AF2286" s="493">
        <f t="shared" si="394"/>
        <v>634982.40000000002</v>
      </c>
      <c r="AG2286" s="474" t="s">
        <v>1071</v>
      </c>
      <c r="AH2286" s="447"/>
      <c r="AI2286" s="474">
        <v>60</v>
      </c>
      <c r="AJ2286" s="474" t="s">
        <v>1314</v>
      </c>
      <c r="AK2286" s="474" t="s">
        <v>1125</v>
      </c>
      <c r="AL2286" s="494" t="s">
        <v>1315</v>
      </c>
      <c r="AM2286" s="474" t="s">
        <v>52</v>
      </c>
      <c r="AN2286" s="474" t="s">
        <v>1074</v>
      </c>
      <c r="AO2286" s="474"/>
      <c r="AP2286" s="474"/>
      <c r="AQ2286" s="474" t="s">
        <v>37</v>
      </c>
      <c r="AR2286" s="474"/>
      <c r="AS2286" s="387"/>
      <c r="AT2286" s="387"/>
      <c r="AU2286" s="471"/>
      <c r="AV2286" s="262" t="str">
        <f t="shared" si="401"/>
        <v>TBD</v>
      </c>
      <c r="AW2286" s="262" cm="1">
        <f t="array" ref="AW2286">SUM(MID(0&amp;AV2286,LARGE(INDEX(ISNUMBER(--MID(AV2286,ROW($1:$8),1))*ROW($1:$8),),ROW($1:$8))+1,1)*10^ROW($1:$8)/10)</f>
        <v>0</v>
      </c>
      <c r="AX2286" s="262" t="e">
        <f>VLOOKUP($AW2286,'Item Master Data'!$A:$F,3,FALSE)</f>
        <v>#N/A</v>
      </c>
      <c r="AY2286" s="262" t="e">
        <f>VLOOKUP($AW2286,'Item Master Data'!$A:$F,6,FALSE)</f>
        <v>#N/A</v>
      </c>
      <c r="AZ2286" s="262" t="e">
        <f t="shared" si="402"/>
        <v>#N/A</v>
      </c>
      <c r="BA2286" s="262" t="e">
        <f>VLOOKUP(AW2286,'Item Master Data'!$A:$G,7,FALSE)</f>
        <v>#N/A</v>
      </c>
      <c r="BC2286" s="262" t="e">
        <f t="shared" si="403"/>
        <v>#N/A</v>
      </c>
    </row>
    <row r="2287" spans="1:55">
      <c r="A2287" s="410"/>
      <c r="B2287" s="407"/>
      <c r="C2287" s="407"/>
      <c r="D2287" s="474" t="s">
        <v>1066</v>
      </c>
      <c r="E2287" s="388" t="s">
        <v>5459</v>
      </c>
      <c r="F2287" s="474"/>
      <c r="G2287" s="474">
        <v>2022</v>
      </c>
      <c r="H2287" s="474">
        <v>7</v>
      </c>
      <c r="I2287" s="485"/>
      <c r="J2287" s="475"/>
      <c r="K2287" s="474" t="s">
        <v>1180</v>
      </c>
      <c r="L2287" s="475" t="s">
        <v>1174</v>
      </c>
      <c r="M2287" s="475">
        <v>44656</v>
      </c>
      <c r="N2287" s="475">
        <v>44747</v>
      </c>
      <c r="O2287" s="475"/>
      <c r="P2287" s="475"/>
      <c r="Q2287" s="475"/>
      <c r="R2287" s="475"/>
      <c r="S2287" s="474" t="s">
        <v>1069</v>
      </c>
      <c r="T2287" s="474">
        <v>72</v>
      </c>
      <c r="U2287" s="474"/>
      <c r="V2287" s="474" t="s">
        <v>1070</v>
      </c>
      <c r="W2287" s="476">
        <v>480</v>
      </c>
      <c r="X2287" s="402">
        <v>1914</v>
      </c>
      <c r="Y2287" s="491">
        <f t="shared" si="395"/>
        <v>918720</v>
      </c>
      <c r="Z2287" s="478">
        <v>0.5</v>
      </c>
      <c r="AA2287" s="479">
        <f>Y2287*Z2287</f>
        <v>459360</v>
      </c>
      <c r="AB2287" s="386"/>
      <c r="AC2287" s="481">
        <v>0</v>
      </c>
      <c r="AD2287" s="474"/>
      <c r="AE2287" s="482"/>
      <c r="AF2287" s="493">
        <f t="shared" si="394"/>
        <v>459360</v>
      </c>
      <c r="AG2287" s="474" t="s">
        <v>1071</v>
      </c>
      <c r="AH2287" s="447"/>
      <c r="AI2287" s="474">
        <v>60</v>
      </c>
      <c r="AJ2287" s="474" t="s">
        <v>1175</v>
      </c>
      <c r="AK2287" s="474" t="s">
        <v>1138</v>
      </c>
      <c r="AL2287" s="494" t="s">
        <v>1176</v>
      </c>
      <c r="AM2287" s="474" t="s">
        <v>52</v>
      </c>
      <c r="AN2287" s="474" t="s">
        <v>1109</v>
      </c>
      <c r="AO2287" s="474"/>
      <c r="AP2287" s="474" t="s">
        <v>1109</v>
      </c>
      <c r="AQ2287" s="474" t="s">
        <v>37</v>
      </c>
      <c r="AR2287" s="474"/>
      <c r="AS2287" s="387"/>
      <c r="AT2287" s="387"/>
      <c r="AU2287" s="471"/>
      <c r="AV2287" s="262">
        <f t="shared" si="401"/>
        <v>0</v>
      </c>
      <c r="AW2287" s="262" cm="1">
        <f t="array" ref="AW2287">SUM(MID(0&amp;AV2287,LARGE(INDEX(ISNUMBER(--MID(AV2287,ROW($1:$8),1))*ROW($1:$8),),ROW($1:$8))+1,1)*10^ROW($1:$8)/10)</f>
        <v>0</v>
      </c>
      <c r="AX2287" s="262" t="e">
        <f>VLOOKUP($AW2287,'Item Master Data'!$A:$F,3,FALSE)</f>
        <v>#N/A</v>
      </c>
      <c r="AY2287" s="262" t="e">
        <f>VLOOKUP($AW2287,'Item Master Data'!$A:$F,6,FALSE)</f>
        <v>#N/A</v>
      </c>
      <c r="AZ2287" s="262" t="e">
        <f t="shared" si="402"/>
        <v>#N/A</v>
      </c>
      <c r="BA2287" s="262" t="e">
        <f>VLOOKUP(AW2287,'Item Master Data'!$A:$G,7,FALSE)</f>
        <v>#N/A</v>
      </c>
      <c r="BC2287" s="262" t="e">
        <f t="shared" si="403"/>
        <v>#N/A</v>
      </c>
    </row>
    <row r="2288" spans="1:55">
      <c r="A2288" s="410"/>
      <c r="B2288" s="407"/>
      <c r="C2288" s="407"/>
      <c r="D2288" s="474" t="s">
        <v>1066</v>
      </c>
      <c r="E2288" s="388" t="s">
        <v>1483</v>
      </c>
      <c r="F2288" s="474" t="s">
        <v>1077</v>
      </c>
      <c r="G2288" s="474">
        <v>2022</v>
      </c>
      <c r="H2288" s="474">
        <v>7</v>
      </c>
      <c r="I2288" s="485" t="s">
        <v>1091</v>
      </c>
      <c r="J2288" s="475"/>
      <c r="K2288" s="474" t="s">
        <v>1488</v>
      </c>
      <c r="L2288" s="475" t="s">
        <v>1478</v>
      </c>
      <c r="M2288" s="475">
        <v>44532</v>
      </c>
      <c r="N2288" s="475">
        <v>44835</v>
      </c>
      <c r="O2288" s="475"/>
      <c r="P2288" s="475"/>
      <c r="Q2288" s="475"/>
      <c r="R2288" s="475"/>
      <c r="S2288" s="474" t="s">
        <v>1114</v>
      </c>
      <c r="T2288" s="474">
        <v>72</v>
      </c>
      <c r="U2288" s="474" t="s">
        <v>1156</v>
      </c>
      <c r="V2288" s="474" t="s">
        <v>1226</v>
      </c>
      <c r="W2288" s="476">
        <v>480</v>
      </c>
      <c r="X2288" s="402">
        <v>27347</v>
      </c>
      <c r="Y2288" s="491">
        <f t="shared" si="395"/>
        <v>13126560</v>
      </c>
      <c r="Z2288" s="478">
        <v>0.44500000000000001</v>
      </c>
      <c r="AA2288" s="479">
        <f>Z2288*Y2288</f>
        <v>5841319.2000000002</v>
      </c>
      <c r="AB2288" s="386"/>
      <c r="AC2288" s="481">
        <f>AB2288*Y2288</f>
        <v>0</v>
      </c>
      <c r="AD2288" s="474"/>
      <c r="AE2288" s="482"/>
      <c r="AF2288" s="493">
        <f t="shared" si="394"/>
        <v>5841319.2000000002</v>
      </c>
      <c r="AG2288" s="474" t="s">
        <v>47</v>
      </c>
      <c r="AH2288" s="447">
        <v>10</v>
      </c>
      <c r="AI2288" s="474">
        <v>30</v>
      </c>
      <c r="AJ2288" s="474" t="s">
        <v>1374</v>
      </c>
      <c r="AK2288" s="474" t="s">
        <v>1244</v>
      </c>
      <c r="AL2288" s="494">
        <v>47374</v>
      </c>
      <c r="AM2288" s="474" t="s">
        <v>52</v>
      </c>
      <c r="AN2288" s="474" t="s">
        <v>1085</v>
      </c>
      <c r="AO2288" s="474"/>
      <c r="AP2288" s="474" t="s">
        <v>38</v>
      </c>
      <c r="AQ2288" s="474" t="s">
        <v>1086</v>
      </c>
      <c r="AR2288" s="474"/>
      <c r="AS2288" s="387" t="s">
        <v>1076</v>
      </c>
      <c r="AT2288" s="387" t="s">
        <v>1076</v>
      </c>
      <c r="AU2288" s="471"/>
      <c r="AV2288" s="262" t="str">
        <f t="shared" si="401"/>
        <v>12005832C</v>
      </c>
      <c r="AW2288" s="262" cm="1">
        <f t="array" ref="AW2288">SUM(MID(0&amp;AV2288,LARGE(INDEX(ISNUMBER(--MID(AV2288,ROW($1:$8),1))*ROW($1:$8),),ROW($1:$8))+1,1)*10^ROW($1:$8)/10)</f>
        <v>12005832</v>
      </c>
      <c r="AX2288" s="262" t="str">
        <f>VLOOKUP($AW2288,'Item Master Data'!$A:$F,3,FALSE)</f>
        <v>Q.PEAK DUO XL G10 BFG</v>
      </c>
      <c r="AY2288" s="262">
        <f>VLOOKUP($AW2288,'Item Master Data'!$A:$F,6,FALSE)</f>
        <v>480</v>
      </c>
      <c r="AZ2288" s="262" t="e">
        <f t="shared" si="402"/>
        <v>#VALUE!</v>
      </c>
      <c r="BA2288" s="262" t="str">
        <f>VLOOKUP(AW2288,'Item Master Data'!$A:$G,7,FALSE)</f>
        <v> 30</v>
      </c>
      <c r="BC2288" s="262">
        <f t="shared" si="403"/>
        <v>0</v>
      </c>
    </row>
    <row r="2289" spans="1:55">
      <c r="A2289" s="410"/>
      <c r="B2289" s="407"/>
      <c r="C2289" s="407"/>
      <c r="D2289" s="474" t="s">
        <v>1066</v>
      </c>
      <c r="E2289" s="388" t="s">
        <v>1333</v>
      </c>
      <c r="F2289" s="474"/>
      <c r="G2289" s="474">
        <v>2022</v>
      </c>
      <c r="H2289" s="474">
        <v>6</v>
      </c>
      <c r="I2289" s="485"/>
      <c r="J2289" s="475"/>
      <c r="K2289" s="474" t="s">
        <v>1334</v>
      </c>
      <c r="L2289" s="475" t="s">
        <v>1313</v>
      </c>
      <c r="M2289" s="475">
        <v>44517</v>
      </c>
      <c r="N2289" s="475">
        <v>44729</v>
      </c>
      <c r="O2289" s="475"/>
      <c r="P2289" s="475"/>
      <c r="Q2289" s="475"/>
      <c r="R2289" s="475"/>
      <c r="S2289" s="474" t="s">
        <v>1114</v>
      </c>
      <c r="T2289" s="474">
        <v>72</v>
      </c>
      <c r="U2289" s="474" t="s">
        <v>1335</v>
      </c>
      <c r="V2289" s="474" t="s">
        <v>1070</v>
      </c>
      <c r="W2289" s="476">
        <v>475</v>
      </c>
      <c r="X2289" s="402">
        <f>17052-2320</f>
        <v>14732</v>
      </c>
      <c r="Y2289" s="491">
        <f t="shared" si="395"/>
        <v>6997700</v>
      </c>
      <c r="Z2289" s="478">
        <v>0.48</v>
      </c>
      <c r="AA2289" s="479">
        <f>Y2289*Z2289</f>
        <v>3358896</v>
      </c>
      <c r="AB2289" s="386"/>
      <c r="AC2289" s="481">
        <v>0</v>
      </c>
      <c r="AD2289" s="474"/>
      <c r="AE2289" s="482"/>
      <c r="AF2289" s="493">
        <f t="shared" si="394"/>
        <v>3358896</v>
      </c>
      <c r="AG2289" s="474" t="s">
        <v>1071</v>
      </c>
      <c r="AH2289" s="447"/>
      <c r="AI2289" s="474">
        <v>60</v>
      </c>
      <c r="AJ2289" s="474" t="s">
        <v>1314</v>
      </c>
      <c r="AK2289" s="474" t="s">
        <v>1125</v>
      </c>
      <c r="AL2289" s="494" t="s">
        <v>1315</v>
      </c>
      <c r="AM2289" s="474" t="s">
        <v>52</v>
      </c>
      <c r="AN2289" s="474" t="s">
        <v>1085</v>
      </c>
      <c r="AO2289" s="474"/>
      <c r="AP2289" s="474" t="s">
        <v>92</v>
      </c>
      <c r="AQ2289" s="474" t="s">
        <v>37</v>
      </c>
      <c r="AR2289" s="474"/>
      <c r="AS2289" s="387"/>
      <c r="AT2289" s="387"/>
      <c r="AU2289" s="471"/>
      <c r="AV2289" s="262" t="str">
        <f t="shared" si="401"/>
        <v>30397572F</v>
      </c>
      <c r="AW2289" s="262" cm="1">
        <f t="array" ref="AW2289">SUM(MID(0&amp;AV2289,LARGE(INDEX(ISNUMBER(--MID(AV2289,ROW($1:$8),1))*ROW($1:$8),),ROW($1:$8))+1,1)*10^ROW($1:$8)/10)</f>
        <v>30397572</v>
      </c>
      <c r="AX2289" s="262" t="str">
        <f>VLOOKUP($AW2289,'Item Master Data'!$A:$F,3,FALSE)</f>
        <v>Q.PEAK DUO XL G10 BFG</v>
      </c>
      <c r="AY2289" s="262">
        <f>VLOOKUP($AW2289,'Item Master Data'!$A:$F,6,FALSE)</f>
        <v>480</v>
      </c>
      <c r="AZ2289" s="262">
        <f t="shared" si="402"/>
        <v>508</v>
      </c>
      <c r="BA2289" s="262">
        <f>VLOOKUP(AW2289,'Item Master Data'!$A:$G,7,FALSE)</f>
        <v>29</v>
      </c>
      <c r="BC2289" s="262">
        <f t="shared" si="403"/>
        <v>-5</v>
      </c>
    </row>
    <row r="2290" spans="1:55">
      <c r="A2290" s="410"/>
      <c r="B2290" s="407"/>
      <c r="C2290" s="407"/>
      <c r="D2290" s="474" t="s">
        <v>1066</v>
      </c>
      <c r="E2290" s="388" t="s">
        <v>1283</v>
      </c>
      <c r="F2290" s="474" t="s">
        <v>1077</v>
      </c>
      <c r="G2290" s="474">
        <v>2022</v>
      </c>
      <c r="H2290" s="474">
        <v>7</v>
      </c>
      <c r="I2290" s="485" t="s">
        <v>1091</v>
      </c>
      <c r="J2290" s="475"/>
      <c r="K2290" s="474" t="s">
        <v>1517</v>
      </c>
      <c r="L2290" s="475" t="s">
        <v>1514</v>
      </c>
      <c r="M2290" s="475">
        <v>44655</v>
      </c>
      <c r="N2290" s="475">
        <v>44774</v>
      </c>
      <c r="O2290" s="475"/>
      <c r="P2290" s="475"/>
      <c r="Q2290" s="475"/>
      <c r="R2290" s="475"/>
      <c r="S2290" s="474" t="s">
        <v>1069</v>
      </c>
      <c r="T2290" s="474">
        <v>72</v>
      </c>
      <c r="U2290" s="474" t="s">
        <v>1082</v>
      </c>
      <c r="V2290" s="474" t="s">
        <v>1070</v>
      </c>
      <c r="W2290" s="476">
        <v>480</v>
      </c>
      <c r="X2290" s="402">
        <v>4167</v>
      </c>
      <c r="Y2290" s="491">
        <f t="shared" si="395"/>
        <v>2000160</v>
      </c>
      <c r="Z2290" s="478">
        <v>0.53</v>
      </c>
      <c r="AA2290" s="479">
        <f>Z2290*Y2290</f>
        <v>1060084.8</v>
      </c>
      <c r="AB2290" s="386"/>
      <c r="AC2290" s="481">
        <f>AB2290*Y2290</f>
        <v>0</v>
      </c>
      <c r="AD2290" s="474"/>
      <c r="AE2290" s="482"/>
      <c r="AF2290" s="493">
        <f t="shared" si="394"/>
        <v>1060084.8</v>
      </c>
      <c r="AG2290" s="474" t="s">
        <v>47</v>
      </c>
      <c r="AH2290" s="447">
        <v>0</v>
      </c>
      <c r="AI2290" s="474">
        <v>45</v>
      </c>
      <c r="AJ2290" s="474" t="s">
        <v>1516</v>
      </c>
      <c r="AK2290" s="474" t="s">
        <v>1096</v>
      </c>
      <c r="AL2290" s="494">
        <v>2766</v>
      </c>
      <c r="AM2290" s="474" t="s">
        <v>52</v>
      </c>
      <c r="AN2290" s="474" t="s">
        <v>1085</v>
      </c>
      <c r="AO2290" s="474"/>
      <c r="AP2290" s="474" t="s">
        <v>38</v>
      </c>
      <c r="AQ2290" s="474" t="s">
        <v>1086</v>
      </c>
      <c r="AR2290" s="474"/>
      <c r="AS2290" s="387" t="s">
        <v>1087</v>
      </c>
      <c r="AT2290" s="387" t="s">
        <v>1076</v>
      </c>
      <c r="AU2290" s="471"/>
      <c r="AV2290" s="262" t="str">
        <f t="shared" si="401"/>
        <v>12005833C</v>
      </c>
      <c r="AW2290" s="262" cm="1">
        <f t="array" ref="AW2290">SUM(MID(0&amp;AV2290,LARGE(INDEX(ISNUMBER(--MID(AV2290,ROW($1:$8),1))*ROW($1:$8),),ROW($1:$8))+1,1)*10^ROW($1:$8)/10)</f>
        <v>12005833</v>
      </c>
      <c r="AX2290" s="262" t="str">
        <f>VLOOKUP($AW2290,'Item Master Data'!$A:$F,3,FALSE)</f>
        <v>Q.PEAK DUO XL G10 BFG</v>
      </c>
      <c r="AY2290" s="262">
        <f>VLOOKUP($AW2290,'Item Master Data'!$A:$F,6,FALSE)</f>
        <v>475</v>
      </c>
      <c r="AZ2290" s="262">
        <f t="shared" si="402"/>
        <v>138.9</v>
      </c>
      <c r="BA2290" s="262">
        <f>VLOOKUP(AW2290,'Item Master Data'!$A:$G,7,FALSE)</f>
        <v>30</v>
      </c>
      <c r="BC2290" s="262">
        <f t="shared" si="403"/>
        <v>5</v>
      </c>
    </row>
    <row r="2291" spans="1:55">
      <c r="A2291" s="410"/>
      <c r="B2291" s="407"/>
      <c r="C2291" s="407"/>
      <c r="D2291" s="474" t="s">
        <v>1066</v>
      </c>
      <c r="E2291" s="388" t="s">
        <v>1283</v>
      </c>
      <c r="F2291" s="474" t="s">
        <v>1147</v>
      </c>
      <c r="G2291" s="474">
        <v>2022</v>
      </c>
      <c r="H2291" s="474">
        <v>7</v>
      </c>
      <c r="I2291" s="485">
        <v>2005235</v>
      </c>
      <c r="J2291" s="475"/>
      <c r="K2291" s="516" t="s">
        <v>1519</v>
      </c>
      <c r="L2291" s="475" t="s">
        <v>1520</v>
      </c>
      <c r="M2291" s="475">
        <v>44481</v>
      </c>
      <c r="N2291" s="475">
        <v>44771</v>
      </c>
      <c r="O2291" s="475"/>
      <c r="P2291" s="475"/>
      <c r="Q2291" s="475"/>
      <c r="R2291" s="475"/>
      <c r="S2291" s="474" t="s">
        <v>1388</v>
      </c>
      <c r="T2291" s="474">
        <v>72</v>
      </c>
      <c r="U2291" s="474">
        <v>49303156</v>
      </c>
      <c r="V2291" s="474" t="s">
        <v>1070</v>
      </c>
      <c r="W2291" s="476">
        <v>480</v>
      </c>
      <c r="X2291" s="402">
        <v>11550</v>
      </c>
      <c r="Y2291" s="491">
        <f t="shared" si="395"/>
        <v>5544000</v>
      </c>
      <c r="Z2291" s="478">
        <v>0.39500000000000002</v>
      </c>
      <c r="AA2291" s="479">
        <f>Z2291*Y2291</f>
        <v>2189880</v>
      </c>
      <c r="AB2291" s="386"/>
      <c r="AC2291" s="481">
        <f>AB2291*Y2291</f>
        <v>0</v>
      </c>
      <c r="AD2291" s="474"/>
      <c r="AE2291" s="482"/>
      <c r="AF2291" s="493">
        <f t="shared" si="394"/>
        <v>2189880</v>
      </c>
      <c r="AG2291" s="474" t="s">
        <v>47</v>
      </c>
      <c r="AH2291" s="447">
        <v>10</v>
      </c>
      <c r="AI2291" s="474">
        <v>45</v>
      </c>
      <c r="AJ2291" s="474" t="s">
        <v>1521</v>
      </c>
      <c r="AK2291" s="474" t="s">
        <v>1158</v>
      </c>
      <c r="AL2291" s="494">
        <v>27292</v>
      </c>
      <c r="AM2291" s="474" t="s">
        <v>52</v>
      </c>
      <c r="AN2291" s="474" t="s">
        <v>1109</v>
      </c>
      <c r="AO2291" s="474"/>
      <c r="AP2291" s="474" t="s">
        <v>1109</v>
      </c>
      <c r="AQ2291" s="474"/>
      <c r="AR2291" s="474"/>
      <c r="AS2291" s="387"/>
      <c r="AT2291" s="387"/>
      <c r="AU2291" s="471"/>
      <c r="AV2291" s="262">
        <f t="shared" si="401"/>
        <v>49303156</v>
      </c>
      <c r="AW2291" s="262" cm="1">
        <f t="array" ref="AW2291">SUM(MID(0&amp;AV2291,LARGE(INDEX(ISNUMBER(--MID(AV2291,ROW($1:$8),1))*ROW($1:$8),),ROW($1:$8))+1,1)*10^ROW($1:$8)/10)</f>
        <v>49303156</v>
      </c>
      <c r="AX2291" s="262" t="str">
        <f>VLOOKUP($AW2291,'Item Master Data'!$A:$F,3,FALSE)</f>
        <v>Q.PEAK DUO XL G10 BFG</v>
      </c>
      <c r="AY2291" s="262">
        <f>VLOOKUP($AW2291,'Item Master Data'!$A:$F,6,FALSE)</f>
        <v>480</v>
      </c>
      <c r="AZ2291" s="262">
        <f t="shared" si="402"/>
        <v>398.27586206896552</v>
      </c>
      <c r="BA2291" s="262">
        <f>VLOOKUP(AW2291,'Item Master Data'!$A:$G,7,FALSE)</f>
        <v>29</v>
      </c>
      <c r="BC2291" s="262">
        <f t="shared" si="403"/>
        <v>0</v>
      </c>
    </row>
    <row r="2292" spans="1:55">
      <c r="A2292" s="410"/>
      <c r="B2292" s="407"/>
      <c r="C2292" s="407"/>
      <c r="D2292" s="474" t="s">
        <v>1066</v>
      </c>
      <c r="E2292" s="388"/>
      <c r="F2292" s="474"/>
      <c r="G2292" s="474">
        <v>2022</v>
      </c>
      <c r="H2292" s="474">
        <v>6</v>
      </c>
      <c r="I2292" s="485" t="s">
        <v>1091</v>
      </c>
      <c r="J2292" s="475"/>
      <c r="K2292" s="474">
        <v>6220316</v>
      </c>
      <c r="L2292" s="475" t="s">
        <v>1502</v>
      </c>
      <c r="M2292" s="475">
        <v>44636</v>
      </c>
      <c r="N2292" s="475">
        <v>44727</v>
      </c>
      <c r="O2292" s="475"/>
      <c r="P2292" s="475"/>
      <c r="Q2292" s="475"/>
      <c r="R2292" s="475"/>
      <c r="S2292" s="474" t="s">
        <v>1114</v>
      </c>
      <c r="T2292" s="474">
        <v>72</v>
      </c>
      <c r="U2292" s="474" t="s">
        <v>1082</v>
      </c>
      <c r="V2292" s="474" t="s">
        <v>1070</v>
      </c>
      <c r="W2292" s="476">
        <v>480</v>
      </c>
      <c r="X2292" s="402">
        <v>986</v>
      </c>
      <c r="Y2292" s="491">
        <f t="shared" si="395"/>
        <v>473280</v>
      </c>
      <c r="Z2292" s="478">
        <v>0.51500000000000001</v>
      </c>
      <c r="AA2292" s="492">
        <f>Z2292*Y2292</f>
        <v>243739.2</v>
      </c>
      <c r="AB2292" s="386"/>
      <c r="AC2292" s="481">
        <f>AB2292*Y2292</f>
        <v>0</v>
      </c>
      <c r="AD2292" s="474"/>
      <c r="AE2292" s="482">
        <f>AA2292*0.06</f>
        <v>14624.352000000001</v>
      </c>
      <c r="AF2292" s="493">
        <f t="shared" si="394"/>
        <v>258363.55200000003</v>
      </c>
      <c r="AG2292" s="474" t="s">
        <v>47</v>
      </c>
      <c r="AH2292" s="447">
        <v>100</v>
      </c>
      <c r="AI2292" s="474">
        <v>0</v>
      </c>
      <c r="AJ2292" s="474" t="s">
        <v>1503</v>
      </c>
      <c r="AK2292" s="474" t="s">
        <v>1198</v>
      </c>
      <c r="AL2292" s="494">
        <v>49512</v>
      </c>
      <c r="AM2292" s="474" t="s">
        <v>52</v>
      </c>
      <c r="AN2292" s="474" t="s">
        <v>1085</v>
      </c>
      <c r="AO2292" s="474"/>
      <c r="AP2292" s="474" t="s">
        <v>92</v>
      </c>
      <c r="AQ2292" s="474"/>
      <c r="AR2292" s="474"/>
      <c r="AS2292" s="387"/>
      <c r="AT2292" s="387"/>
      <c r="AU2292" s="471"/>
      <c r="AV2292" s="262" t="str">
        <f t="shared" si="401"/>
        <v>12005833C</v>
      </c>
      <c r="AW2292" s="262" cm="1">
        <f t="array" ref="AW2292">SUM(MID(0&amp;AV2292,LARGE(INDEX(ISNUMBER(--MID(AV2292,ROW($1:$8),1))*ROW($1:$8),),ROW($1:$8))+1,1)*10^ROW($1:$8)/10)</f>
        <v>12005833</v>
      </c>
      <c r="AX2292" s="262" t="str">
        <f>VLOOKUP($AW2292,'Item Master Data'!$A:$F,3,FALSE)</f>
        <v>Q.PEAK DUO XL G10 BFG</v>
      </c>
      <c r="AY2292" s="262">
        <f>VLOOKUP($AW2292,'Item Master Data'!$A:$F,6,FALSE)</f>
        <v>475</v>
      </c>
      <c r="AZ2292" s="262">
        <f t="shared" si="402"/>
        <v>32.866666666666667</v>
      </c>
      <c r="BA2292" s="262">
        <f>VLOOKUP(AW2292,'Item Master Data'!$A:$G,7,FALSE)</f>
        <v>30</v>
      </c>
      <c r="BC2292" s="262">
        <f t="shared" si="403"/>
        <v>5</v>
      </c>
    </row>
    <row r="2293" spans="1:55">
      <c r="A2293" s="410"/>
      <c r="B2293" s="407">
        <v>44574</v>
      </c>
      <c r="C2293" s="407">
        <v>44575</v>
      </c>
      <c r="D2293" s="474" t="s">
        <v>1066</v>
      </c>
      <c r="E2293" s="388" t="s">
        <v>1364</v>
      </c>
      <c r="F2293" s="474"/>
      <c r="G2293" s="474">
        <v>2022</v>
      </c>
      <c r="H2293" s="474">
        <v>6</v>
      </c>
      <c r="I2293" s="485"/>
      <c r="J2293" s="475"/>
      <c r="K2293" s="474" t="s">
        <v>1359</v>
      </c>
      <c r="L2293" s="475" t="s">
        <v>1358</v>
      </c>
      <c r="M2293" s="475">
        <v>44574</v>
      </c>
      <c r="N2293" s="475">
        <v>44713</v>
      </c>
      <c r="O2293" s="475"/>
      <c r="P2293" s="475"/>
      <c r="Q2293" s="475"/>
      <c r="R2293" s="475"/>
      <c r="S2293" s="474" t="s">
        <v>1114</v>
      </c>
      <c r="T2293" s="474">
        <v>60</v>
      </c>
      <c r="U2293" s="474" t="s">
        <v>1109</v>
      </c>
      <c r="V2293" s="474" t="s">
        <v>986</v>
      </c>
      <c r="W2293" s="476">
        <v>360</v>
      </c>
      <c r="X2293" s="402">
        <v>832</v>
      </c>
      <c r="Y2293" s="491">
        <f t="shared" si="395"/>
        <v>299520</v>
      </c>
      <c r="Z2293" s="478">
        <v>0.53</v>
      </c>
      <c r="AA2293" s="479">
        <f>Y2293*Z2293</f>
        <v>158745.60000000001</v>
      </c>
      <c r="AB2293" s="386"/>
      <c r="AC2293" s="481">
        <v>0</v>
      </c>
      <c r="AD2293" s="474"/>
      <c r="AE2293" s="482"/>
      <c r="AF2293" s="493">
        <f t="shared" si="394"/>
        <v>158745.60000000001</v>
      </c>
      <c r="AG2293" s="474" t="s">
        <v>1071</v>
      </c>
      <c r="AH2293" s="447"/>
      <c r="AI2293" s="474">
        <v>60</v>
      </c>
      <c r="AJ2293" s="474" t="s">
        <v>1282</v>
      </c>
      <c r="AK2293" s="474" t="s">
        <v>1276</v>
      </c>
      <c r="AL2293" s="494">
        <v>63134</v>
      </c>
      <c r="AM2293" s="474" t="s">
        <v>52</v>
      </c>
      <c r="AN2293" s="474" t="s">
        <v>1074</v>
      </c>
      <c r="AO2293" s="474"/>
      <c r="AP2293" s="474"/>
      <c r="AQ2293" s="474"/>
      <c r="AR2293" s="474" t="s">
        <v>1216</v>
      </c>
      <c r="AS2293" s="387"/>
      <c r="AT2293" s="387" t="s">
        <v>1076</v>
      </c>
      <c r="AU2293" s="471"/>
      <c r="AV2293" s="262" t="str">
        <f t="shared" si="401"/>
        <v>TBD</v>
      </c>
      <c r="AW2293" s="262" cm="1">
        <f t="array" ref="AW2293">SUM(MID(0&amp;AV2293,LARGE(INDEX(ISNUMBER(--MID(AV2293,ROW($1:$8),1))*ROW($1:$8),),ROW($1:$8))+1,1)*10^ROW($1:$8)/10)</f>
        <v>0</v>
      </c>
      <c r="AX2293" s="262" t="e">
        <f>VLOOKUP($AW2293,'Item Master Data'!$A:$F,3,FALSE)</f>
        <v>#N/A</v>
      </c>
      <c r="AY2293" s="262" t="e">
        <f>VLOOKUP($AW2293,'Item Master Data'!$A:$F,6,FALSE)</f>
        <v>#N/A</v>
      </c>
      <c r="AZ2293" s="262" t="e">
        <f t="shared" si="402"/>
        <v>#N/A</v>
      </c>
      <c r="BA2293" s="262" t="e">
        <f>VLOOKUP(AW2293,'Item Master Data'!$A:$G,7,FALSE)</f>
        <v>#N/A</v>
      </c>
      <c r="BC2293" s="262" t="e">
        <f t="shared" si="403"/>
        <v>#N/A</v>
      </c>
    </row>
    <row r="2294" spans="1:55">
      <c r="A2294" s="410"/>
      <c r="B2294" s="495" t="s">
        <v>1211</v>
      </c>
      <c r="C2294" s="495" t="s">
        <v>1211</v>
      </c>
      <c r="D2294" s="474" t="s">
        <v>1066</v>
      </c>
      <c r="E2294" s="388" t="s">
        <v>1097</v>
      </c>
      <c r="F2294" s="474" t="s">
        <v>1147</v>
      </c>
      <c r="G2294" s="474">
        <v>2022</v>
      </c>
      <c r="H2294" s="474">
        <v>6</v>
      </c>
      <c r="I2294" s="485"/>
      <c r="J2294" s="475"/>
      <c r="K2294" s="474" t="s">
        <v>5007</v>
      </c>
      <c r="L2294" s="475" t="s">
        <v>1219</v>
      </c>
      <c r="M2294" s="475">
        <v>44573</v>
      </c>
      <c r="N2294" s="475">
        <v>44723</v>
      </c>
      <c r="O2294" s="475"/>
      <c r="P2294" s="475" t="s">
        <v>1258</v>
      </c>
      <c r="Q2294" s="475"/>
      <c r="R2294" s="475"/>
      <c r="S2294" s="474" t="s">
        <v>1114</v>
      </c>
      <c r="T2294" s="474">
        <v>60</v>
      </c>
      <c r="U2294" s="474"/>
      <c r="V2294" s="474" t="s">
        <v>973</v>
      </c>
      <c r="W2294" s="476">
        <v>400</v>
      </c>
      <c r="X2294" s="402">
        <v>768</v>
      </c>
      <c r="Y2294" s="477">
        <f>X2294*W2294</f>
        <v>307200</v>
      </c>
      <c r="Z2294" s="478">
        <v>0.55000000000000004</v>
      </c>
      <c r="AA2294" s="479">
        <f t="shared" ref="AA2294:AA2299" si="404">Z2294*Y2294</f>
        <v>168960</v>
      </c>
      <c r="AB2294" s="480"/>
      <c r="AC2294" s="481">
        <f t="shared" ref="AC2294:AC2299" si="405">AB2294*Y2294</f>
        <v>0</v>
      </c>
      <c r="AD2294" s="490"/>
      <c r="AE2294" s="482"/>
      <c r="AF2294" s="493">
        <f t="shared" si="394"/>
        <v>168960</v>
      </c>
      <c r="AG2294" s="474" t="s">
        <v>1071</v>
      </c>
      <c r="AH2294" s="474">
        <v>0</v>
      </c>
      <c r="AI2294" s="474">
        <v>60</v>
      </c>
      <c r="AJ2294" s="474" t="s">
        <v>1220</v>
      </c>
      <c r="AK2294" s="474" t="s">
        <v>1221</v>
      </c>
      <c r="AL2294" s="494">
        <v>43125</v>
      </c>
      <c r="AM2294" s="474" t="s">
        <v>52</v>
      </c>
      <c r="AN2294" s="474" t="s">
        <v>1074</v>
      </c>
      <c r="AO2294" s="474"/>
      <c r="AP2294" s="482"/>
      <c r="AQ2294" s="482" t="s">
        <v>1086</v>
      </c>
      <c r="AR2294" s="474" t="s">
        <v>1216</v>
      </c>
      <c r="AS2294" s="436" t="s">
        <v>1087</v>
      </c>
      <c r="AT2294" s="436" t="s">
        <v>1076</v>
      </c>
      <c r="AU2294" s="471"/>
      <c r="AV2294" s="262">
        <f t="shared" si="401"/>
        <v>0</v>
      </c>
      <c r="AW2294" s="262" cm="1">
        <f t="array" ref="AW2294">SUM(MID(0&amp;AV2294,LARGE(INDEX(ISNUMBER(--MID(AV2294,ROW($1:$8),1))*ROW($1:$8),),ROW($1:$8))+1,1)*10^ROW($1:$8)/10)</f>
        <v>0</v>
      </c>
      <c r="AX2294" s="262" t="e">
        <f>VLOOKUP($AW2294,'Item Master Data'!$A:$F,3,FALSE)</f>
        <v>#N/A</v>
      </c>
      <c r="AY2294" s="262" t="e">
        <f>VLOOKUP($AW2294,'Item Master Data'!$A:$F,6,FALSE)</f>
        <v>#N/A</v>
      </c>
      <c r="AZ2294" s="262" t="e">
        <f t="shared" si="402"/>
        <v>#N/A</v>
      </c>
      <c r="BA2294" s="262" t="e">
        <f>VLOOKUP(AW2294,'Item Master Data'!$A:$G,7,FALSE)</f>
        <v>#N/A</v>
      </c>
      <c r="BC2294" s="262" t="e">
        <f t="shared" si="403"/>
        <v>#N/A</v>
      </c>
    </row>
    <row r="2295" spans="1:55">
      <c r="A2295" s="410"/>
      <c r="B2295" s="407"/>
      <c r="C2295" s="407"/>
      <c r="D2295" s="474" t="s">
        <v>1066</v>
      </c>
      <c r="E2295" s="388"/>
      <c r="F2295" s="474"/>
      <c r="G2295" s="474">
        <v>2022</v>
      </c>
      <c r="H2295" s="474">
        <v>7</v>
      </c>
      <c r="I2295" s="485"/>
      <c r="J2295" s="475"/>
      <c r="K2295" s="474" t="s">
        <v>1260</v>
      </c>
      <c r="L2295" s="475" t="s">
        <v>1242</v>
      </c>
      <c r="M2295" s="475">
        <v>44504</v>
      </c>
      <c r="N2295" s="475">
        <v>44682</v>
      </c>
      <c r="O2295" s="475"/>
      <c r="P2295" s="475"/>
      <c r="Q2295" s="475"/>
      <c r="R2295" s="475"/>
      <c r="S2295" s="474" t="s">
        <v>1114</v>
      </c>
      <c r="T2295" s="474">
        <v>60</v>
      </c>
      <c r="U2295" s="474">
        <v>49201132</v>
      </c>
      <c r="V2295" s="474" t="s">
        <v>986</v>
      </c>
      <c r="W2295" s="476">
        <v>360</v>
      </c>
      <c r="X2295" s="402">
        <v>832</v>
      </c>
      <c r="Y2295" s="491">
        <f t="shared" ref="Y2295:Y2358" si="406">W2295*X2295</f>
        <v>299520</v>
      </c>
      <c r="Z2295" s="478">
        <v>0.53</v>
      </c>
      <c r="AA2295" s="479">
        <f t="shared" si="404"/>
        <v>158745.60000000001</v>
      </c>
      <c r="AB2295" s="386"/>
      <c r="AC2295" s="481">
        <f t="shared" si="405"/>
        <v>0</v>
      </c>
      <c r="AD2295" s="474"/>
      <c r="AE2295" s="482"/>
      <c r="AF2295" s="493">
        <f t="shared" si="394"/>
        <v>158745.60000000001</v>
      </c>
      <c r="AG2295" s="474" t="s">
        <v>1071</v>
      </c>
      <c r="AH2295" s="447">
        <v>0</v>
      </c>
      <c r="AI2295" s="474">
        <v>60</v>
      </c>
      <c r="AJ2295" s="474" t="s">
        <v>1243</v>
      </c>
      <c r="AK2295" s="474" t="s">
        <v>1244</v>
      </c>
      <c r="AL2295" s="494" t="s">
        <v>1245</v>
      </c>
      <c r="AM2295" s="474" t="s">
        <v>52</v>
      </c>
      <c r="AN2295" s="474" t="s">
        <v>1074</v>
      </c>
      <c r="AO2295" s="474"/>
      <c r="AP2295" s="474"/>
      <c r="AQ2295" s="474" t="s">
        <v>1086</v>
      </c>
      <c r="AR2295" s="474"/>
      <c r="AS2295" s="387" t="s">
        <v>1076</v>
      </c>
      <c r="AT2295" s="387" t="s">
        <v>1076</v>
      </c>
      <c r="AU2295" s="471"/>
      <c r="AV2295" s="262">
        <f t="shared" si="401"/>
        <v>49201132</v>
      </c>
      <c r="AW2295" s="262" cm="1">
        <f t="array" ref="AW2295">SUM(MID(0&amp;AV2295,LARGE(INDEX(ISNUMBER(--MID(AV2295,ROW($1:$8),1))*ROW($1:$8),),ROW($1:$8))+1,1)*10^ROW($1:$8)/10)</f>
        <v>49201132</v>
      </c>
      <c r="AX2295" s="262" t="str">
        <f>VLOOKUP($AW2295,'Item Master Data'!$A:$F,3,FALSE)</f>
        <v>Q.PEAK DUO BLK G10+</v>
      </c>
      <c r="AY2295" s="262">
        <f>VLOOKUP($AW2295,'Item Master Data'!$A:$F,6,FALSE)</f>
        <v>360</v>
      </c>
      <c r="AZ2295" s="262">
        <f t="shared" si="402"/>
        <v>26</v>
      </c>
      <c r="BA2295" s="262">
        <f>VLOOKUP(AW2295,'Item Master Data'!$A:$G,7,FALSE)</f>
        <v>32</v>
      </c>
      <c r="BC2295" s="262">
        <f t="shared" si="403"/>
        <v>0</v>
      </c>
    </row>
    <row r="2296" spans="1:55">
      <c r="A2296" s="410"/>
      <c r="B2296" s="407"/>
      <c r="C2296" s="407"/>
      <c r="D2296" s="474" t="s">
        <v>1066</v>
      </c>
      <c r="E2296" s="388"/>
      <c r="F2296" s="474"/>
      <c r="G2296" s="474">
        <v>2022</v>
      </c>
      <c r="H2296" s="474">
        <v>7</v>
      </c>
      <c r="I2296" s="485"/>
      <c r="J2296" s="475"/>
      <c r="K2296" s="474" t="s">
        <v>1269</v>
      </c>
      <c r="L2296" s="475" t="s">
        <v>1242</v>
      </c>
      <c r="M2296" s="475">
        <v>44504</v>
      </c>
      <c r="N2296" s="475">
        <v>44713</v>
      </c>
      <c r="O2296" s="475"/>
      <c r="P2296" s="475"/>
      <c r="Q2296" s="475"/>
      <c r="R2296" s="475"/>
      <c r="S2296" s="474" t="s">
        <v>1114</v>
      </c>
      <c r="T2296" s="474">
        <v>60</v>
      </c>
      <c r="U2296" s="474">
        <v>49201132</v>
      </c>
      <c r="V2296" s="474" t="s">
        <v>986</v>
      </c>
      <c r="W2296" s="476">
        <v>360</v>
      </c>
      <c r="X2296" s="402">
        <v>2496</v>
      </c>
      <c r="Y2296" s="491">
        <f t="shared" si="406"/>
        <v>898560</v>
      </c>
      <c r="Z2296" s="478">
        <v>0.53</v>
      </c>
      <c r="AA2296" s="479">
        <f t="shared" si="404"/>
        <v>476236.80000000005</v>
      </c>
      <c r="AB2296" s="386"/>
      <c r="AC2296" s="481">
        <f t="shared" si="405"/>
        <v>0</v>
      </c>
      <c r="AD2296" s="474"/>
      <c r="AE2296" s="482"/>
      <c r="AF2296" s="493">
        <f t="shared" si="394"/>
        <v>476236.80000000005</v>
      </c>
      <c r="AG2296" s="474" t="s">
        <v>1071</v>
      </c>
      <c r="AH2296" s="447">
        <v>0</v>
      </c>
      <c r="AI2296" s="474">
        <v>60</v>
      </c>
      <c r="AJ2296" s="474" t="s">
        <v>1243</v>
      </c>
      <c r="AK2296" s="474" t="s">
        <v>1244</v>
      </c>
      <c r="AL2296" s="494" t="s">
        <v>1245</v>
      </c>
      <c r="AM2296" s="474" t="s">
        <v>52</v>
      </c>
      <c r="AN2296" s="474" t="s">
        <v>1074</v>
      </c>
      <c r="AO2296" s="474"/>
      <c r="AP2296" s="474"/>
      <c r="AQ2296" s="474" t="s">
        <v>1086</v>
      </c>
      <c r="AR2296" s="474"/>
      <c r="AS2296" s="387" t="s">
        <v>1076</v>
      </c>
      <c r="AT2296" s="387" t="s">
        <v>1076</v>
      </c>
      <c r="AU2296" s="471"/>
      <c r="AV2296" s="262">
        <f t="shared" si="401"/>
        <v>49201132</v>
      </c>
      <c r="AW2296" s="262" cm="1">
        <f t="array" ref="AW2296">SUM(MID(0&amp;AV2296,LARGE(INDEX(ISNUMBER(--MID(AV2296,ROW($1:$8),1))*ROW($1:$8),),ROW($1:$8))+1,1)*10^ROW($1:$8)/10)</f>
        <v>49201132</v>
      </c>
      <c r="AX2296" s="262" t="str">
        <f>VLOOKUP($AW2296,'Item Master Data'!$A:$F,3,FALSE)</f>
        <v>Q.PEAK DUO BLK G10+</v>
      </c>
      <c r="AY2296" s="262">
        <f>VLOOKUP($AW2296,'Item Master Data'!$A:$F,6,FALSE)</f>
        <v>360</v>
      </c>
      <c r="AZ2296" s="262">
        <f t="shared" si="402"/>
        <v>78</v>
      </c>
      <c r="BA2296" s="262">
        <f>VLOOKUP(AW2296,'Item Master Data'!$A:$G,7,FALSE)</f>
        <v>32</v>
      </c>
      <c r="BC2296" s="262">
        <f t="shared" si="403"/>
        <v>0</v>
      </c>
    </row>
    <row r="2297" spans="1:55">
      <c r="A2297" s="410"/>
      <c r="B2297" s="407"/>
      <c r="C2297" s="407"/>
      <c r="D2297" s="474" t="s">
        <v>1066</v>
      </c>
      <c r="E2297" s="388" t="s">
        <v>1267</v>
      </c>
      <c r="F2297" s="474"/>
      <c r="G2297" s="474">
        <v>2022</v>
      </c>
      <c r="H2297" s="474">
        <v>7</v>
      </c>
      <c r="I2297" s="485"/>
      <c r="J2297" s="475"/>
      <c r="K2297" s="474" t="s">
        <v>1270</v>
      </c>
      <c r="L2297" s="475" t="s">
        <v>1242</v>
      </c>
      <c r="M2297" s="475">
        <v>44502</v>
      </c>
      <c r="N2297" s="475">
        <v>44714</v>
      </c>
      <c r="O2297" s="475"/>
      <c r="P2297" s="475"/>
      <c r="Q2297" s="475"/>
      <c r="R2297" s="475"/>
      <c r="S2297" s="474" t="s">
        <v>1114</v>
      </c>
      <c r="T2297" s="474">
        <v>60</v>
      </c>
      <c r="U2297" s="474">
        <v>49401140</v>
      </c>
      <c r="V2297" s="474" t="s">
        <v>973</v>
      </c>
      <c r="W2297" s="476">
        <v>400</v>
      </c>
      <c r="X2297" s="402">
        <v>3072</v>
      </c>
      <c r="Y2297" s="491">
        <f t="shared" si="406"/>
        <v>1228800</v>
      </c>
      <c r="Z2297" s="478">
        <v>0.52</v>
      </c>
      <c r="AA2297" s="479">
        <f t="shared" si="404"/>
        <v>638976</v>
      </c>
      <c r="AB2297" s="386"/>
      <c r="AC2297" s="481">
        <f t="shared" si="405"/>
        <v>0</v>
      </c>
      <c r="AD2297" s="474"/>
      <c r="AE2297" s="482"/>
      <c r="AF2297" s="493">
        <f t="shared" si="394"/>
        <v>638976</v>
      </c>
      <c r="AG2297" s="474" t="s">
        <v>1071</v>
      </c>
      <c r="AH2297" s="447">
        <v>0</v>
      </c>
      <c r="AI2297" s="474">
        <v>60</v>
      </c>
      <c r="AJ2297" s="474" t="s">
        <v>1243</v>
      </c>
      <c r="AK2297" s="474" t="s">
        <v>1244</v>
      </c>
      <c r="AL2297" s="494" t="s">
        <v>1245</v>
      </c>
      <c r="AM2297" s="474" t="s">
        <v>52</v>
      </c>
      <c r="AN2297" s="474" t="s">
        <v>1074</v>
      </c>
      <c r="AO2297" s="474"/>
      <c r="AP2297" s="474"/>
      <c r="AQ2297" s="474" t="s">
        <v>1086</v>
      </c>
      <c r="AR2297" s="474" t="s">
        <v>1248</v>
      </c>
      <c r="AS2297" s="387" t="s">
        <v>1076</v>
      </c>
      <c r="AT2297" s="387" t="s">
        <v>1076</v>
      </c>
      <c r="AU2297" s="471">
        <v>0.52</v>
      </c>
      <c r="AV2297" s="262">
        <f t="shared" si="401"/>
        <v>49401140</v>
      </c>
      <c r="AW2297" s="262" cm="1">
        <f t="array" ref="AW2297">SUM(MID(0&amp;AV2297,LARGE(INDEX(ISNUMBER(--MID(AV2297,ROW($1:$8),1))*ROW($1:$8),),ROW($1:$8))+1,1)*10^ROW($1:$8)/10)</f>
        <v>49401140</v>
      </c>
      <c r="AX2297" s="262" t="str">
        <f>VLOOKUP($AW2297,'Item Master Data'!$A:$F,3,FALSE)</f>
        <v>Q.PEAK DUO BLK ML G10.a+</v>
      </c>
      <c r="AY2297" s="262">
        <f>VLOOKUP($AW2297,'Item Master Data'!$A:$F,6,FALSE)</f>
        <v>400</v>
      </c>
      <c r="AZ2297" s="262">
        <f t="shared" si="402"/>
        <v>96</v>
      </c>
      <c r="BA2297" s="262">
        <f>VLOOKUP(AW2297,'Item Master Data'!$A:$G,7,FALSE)</f>
        <v>32</v>
      </c>
      <c r="BC2297" s="262">
        <f t="shared" si="403"/>
        <v>0</v>
      </c>
    </row>
    <row r="2298" spans="1:55">
      <c r="A2298" s="410"/>
      <c r="B2298" s="407"/>
      <c r="C2298" s="407"/>
      <c r="D2298" s="474" t="s">
        <v>1066</v>
      </c>
      <c r="E2298" s="388"/>
      <c r="F2298" s="474"/>
      <c r="G2298" s="474">
        <v>2022</v>
      </c>
      <c r="H2298" s="474">
        <v>7</v>
      </c>
      <c r="I2298" s="485"/>
      <c r="J2298" s="475"/>
      <c r="K2298" s="474" t="s">
        <v>1289</v>
      </c>
      <c r="L2298" s="475" t="s">
        <v>1274</v>
      </c>
      <c r="M2298" s="475">
        <v>44497</v>
      </c>
      <c r="N2298" s="475">
        <v>44562</v>
      </c>
      <c r="O2298" s="475" t="s">
        <v>1280</v>
      </c>
      <c r="P2298" s="475"/>
      <c r="Q2298" s="475"/>
      <c r="R2298" s="475"/>
      <c r="S2298" s="474" t="s">
        <v>1114</v>
      </c>
      <c r="T2298" s="474">
        <v>60</v>
      </c>
      <c r="U2298" s="474">
        <v>49401140</v>
      </c>
      <c r="V2298" s="474" t="s">
        <v>973</v>
      </c>
      <c r="W2298" s="476">
        <v>400</v>
      </c>
      <c r="X2298" s="402">
        <v>1536</v>
      </c>
      <c r="Y2298" s="491">
        <f t="shared" si="406"/>
        <v>614400</v>
      </c>
      <c r="Z2298" s="478">
        <v>0.55000000000000004</v>
      </c>
      <c r="AA2298" s="479">
        <f t="shared" si="404"/>
        <v>337920</v>
      </c>
      <c r="AB2298" s="386"/>
      <c r="AC2298" s="481">
        <f t="shared" si="405"/>
        <v>0</v>
      </c>
      <c r="AD2298" s="474"/>
      <c r="AE2298" s="482"/>
      <c r="AF2298" s="493">
        <f t="shared" si="394"/>
        <v>337920</v>
      </c>
      <c r="AG2298" s="474" t="s">
        <v>1071</v>
      </c>
      <c r="AH2298" s="447"/>
      <c r="AI2298" s="474">
        <v>60</v>
      </c>
      <c r="AJ2298" s="474" t="s">
        <v>1275</v>
      </c>
      <c r="AK2298" s="474" t="s">
        <v>1276</v>
      </c>
      <c r="AL2298" s="494" t="s">
        <v>1277</v>
      </c>
      <c r="AM2298" s="474" t="s">
        <v>52</v>
      </c>
      <c r="AN2298" s="474" t="s">
        <v>1074</v>
      </c>
      <c r="AO2298" s="474"/>
      <c r="AP2298" s="474"/>
      <c r="AQ2298" s="474"/>
      <c r="AR2298" s="474"/>
      <c r="AS2298" s="387"/>
      <c r="AT2298" s="387"/>
      <c r="AU2298" s="471"/>
      <c r="AV2298" s="262">
        <f t="shared" si="401"/>
        <v>49401140</v>
      </c>
      <c r="AW2298" s="262" cm="1">
        <f t="array" ref="AW2298">SUM(MID(0&amp;AV2298,LARGE(INDEX(ISNUMBER(--MID(AV2298,ROW($1:$8),1))*ROW($1:$8),),ROW($1:$8))+1,1)*10^ROW($1:$8)/10)</f>
        <v>49401140</v>
      </c>
      <c r="AX2298" s="262" t="str">
        <f>VLOOKUP($AW2298,'Item Master Data'!$A:$F,3,FALSE)</f>
        <v>Q.PEAK DUO BLK ML G10.a+</v>
      </c>
      <c r="AY2298" s="262">
        <f>VLOOKUP($AW2298,'Item Master Data'!$A:$F,6,FALSE)</f>
        <v>400</v>
      </c>
      <c r="AZ2298" s="262">
        <f t="shared" si="402"/>
        <v>48</v>
      </c>
      <c r="BA2298" s="262">
        <f>VLOOKUP(AW2298,'Item Master Data'!$A:$G,7,FALSE)</f>
        <v>32</v>
      </c>
      <c r="BC2298" s="262">
        <f t="shared" si="403"/>
        <v>0</v>
      </c>
    </row>
    <row r="2299" spans="1:55">
      <c r="A2299" s="410"/>
      <c r="B2299" s="407" t="s">
        <v>1211</v>
      </c>
      <c r="C2299" s="407" t="s">
        <v>1211</v>
      </c>
      <c r="D2299" s="474" t="s">
        <v>1066</v>
      </c>
      <c r="E2299" s="388" t="s">
        <v>1271</v>
      </c>
      <c r="F2299" s="474"/>
      <c r="G2299" s="474">
        <v>2022</v>
      </c>
      <c r="H2299" s="474">
        <v>7</v>
      </c>
      <c r="I2299" s="485"/>
      <c r="J2299" s="475"/>
      <c r="K2299" s="474" t="s">
        <v>1291</v>
      </c>
      <c r="L2299" s="475" t="s">
        <v>1274</v>
      </c>
      <c r="M2299" s="475">
        <v>44517</v>
      </c>
      <c r="N2299" s="475">
        <v>44682</v>
      </c>
      <c r="O2299" s="475"/>
      <c r="P2299" s="475" t="s">
        <v>5737</v>
      </c>
      <c r="Q2299" s="475"/>
      <c r="R2299" s="475"/>
      <c r="S2299" s="474" t="s">
        <v>1114</v>
      </c>
      <c r="T2299" s="474">
        <v>60</v>
      </c>
      <c r="U2299" s="474">
        <v>49401140</v>
      </c>
      <c r="V2299" s="474" t="s">
        <v>973</v>
      </c>
      <c r="W2299" s="476">
        <v>400</v>
      </c>
      <c r="X2299" s="402">
        <v>1088</v>
      </c>
      <c r="Y2299" s="491">
        <f t="shared" si="406"/>
        <v>435200</v>
      </c>
      <c r="Z2299" s="478">
        <v>0.46500000000000002</v>
      </c>
      <c r="AA2299" s="479">
        <f t="shared" si="404"/>
        <v>202368</v>
      </c>
      <c r="AB2299" s="386"/>
      <c r="AC2299" s="481">
        <f t="shared" si="405"/>
        <v>0</v>
      </c>
      <c r="AD2299" s="474"/>
      <c r="AE2299" s="482"/>
      <c r="AF2299" s="493">
        <f t="shared" si="394"/>
        <v>202368</v>
      </c>
      <c r="AG2299" s="474" t="s">
        <v>1071</v>
      </c>
      <c r="AH2299" s="447"/>
      <c r="AI2299" s="474">
        <v>60</v>
      </c>
      <c r="AJ2299" s="474" t="s">
        <v>1275</v>
      </c>
      <c r="AK2299" s="474" t="s">
        <v>1276</v>
      </c>
      <c r="AL2299" s="494" t="s">
        <v>1277</v>
      </c>
      <c r="AM2299" s="474" t="s">
        <v>52</v>
      </c>
      <c r="AN2299" s="474" t="s">
        <v>1074</v>
      </c>
      <c r="AO2299" s="474"/>
      <c r="AP2299" s="474"/>
      <c r="AQ2299" s="474"/>
      <c r="AR2299" s="474" t="s">
        <v>1288</v>
      </c>
      <c r="AS2299" s="387"/>
      <c r="AT2299" s="387"/>
      <c r="AU2299" s="471">
        <v>0.46500000000000002</v>
      </c>
      <c r="AV2299" s="262">
        <f t="shared" si="401"/>
        <v>49401140</v>
      </c>
      <c r="AW2299" s="262" cm="1">
        <f t="array" ref="AW2299">SUM(MID(0&amp;AV2299,LARGE(INDEX(ISNUMBER(--MID(AV2299,ROW($1:$8),1))*ROW($1:$8),),ROW($1:$8))+1,1)*10^ROW($1:$8)/10)</f>
        <v>49401140</v>
      </c>
      <c r="AX2299" s="262" t="str">
        <f>VLOOKUP($AW2299,'Item Master Data'!$A:$F,3,FALSE)</f>
        <v>Q.PEAK DUO BLK ML G10.a+</v>
      </c>
      <c r="AY2299" s="262">
        <f>VLOOKUP($AW2299,'Item Master Data'!$A:$F,6,FALSE)</f>
        <v>400</v>
      </c>
      <c r="AZ2299" s="262">
        <f t="shared" si="402"/>
        <v>34</v>
      </c>
      <c r="BA2299" s="262">
        <f>VLOOKUP(AW2299,'Item Master Data'!$A:$G,7,FALSE)</f>
        <v>32</v>
      </c>
      <c r="BC2299" s="262">
        <f t="shared" si="403"/>
        <v>0</v>
      </c>
    </row>
    <row r="2300" spans="1:55">
      <c r="A2300" s="410"/>
      <c r="B2300" s="407"/>
      <c r="C2300" s="407"/>
      <c r="D2300" s="474" t="s">
        <v>1066</v>
      </c>
      <c r="E2300" s="388"/>
      <c r="F2300" s="474" t="s">
        <v>87</v>
      </c>
      <c r="G2300" s="474">
        <v>2022</v>
      </c>
      <c r="H2300" s="474">
        <v>3</v>
      </c>
      <c r="I2300" s="485">
        <v>127891</v>
      </c>
      <c r="J2300" s="475">
        <v>44649</v>
      </c>
      <c r="K2300" s="474" t="s">
        <v>1339</v>
      </c>
      <c r="L2300" s="475" t="s">
        <v>1340</v>
      </c>
      <c r="M2300" s="475">
        <v>44602</v>
      </c>
      <c r="N2300" s="475">
        <v>44651</v>
      </c>
      <c r="O2300" s="475"/>
      <c r="P2300" s="475">
        <v>44617</v>
      </c>
      <c r="Q2300" s="475">
        <v>44649</v>
      </c>
      <c r="R2300" s="475">
        <v>44651</v>
      </c>
      <c r="S2300" s="474" t="s">
        <v>1102</v>
      </c>
      <c r="T2300" s="474">
        <v>72</v>
      </c>
      <c r="U2300" s="474">
        <v>30368359</v>
      </c>
      <c r="V2300" s="474" t="s">
        <v>1341</v>
      </c>
      <c r="W2300" s="476">
        <v>415</v>
      </c>
      <c r="X2300" s="402">
        <v>435</v>
      </c>
      <c r="Y2300" s="491">
        <f t="shared" si="406"/>
        <v>180525</v>
      </c>
      <c r="Z2300" s="478">
        <v>0.44</v>
      </c>
      <c r="AA2300" s="479">
        <f t="shared" ref="AA2300:AA2308" si="407">Y2300*Z2300</f>
        <v>79431</v>
      </c>
      <c r="AB2300" s="386"/>
      <c r="AC2300" s="481">
        <v>0</v>
      </c>
      <c r="AD2300" s="474"/>
      <c r="AE2300" s="482"/>
      <c r="AF2300" s="493">
        <f t="shared" si="394"/>
        <v>79431</v>
      </c>
      <c r="AG2300" s="474" t="s">
        <v>1071</v>
      </c>
      <c r="AH2300" s="447"/>
      <c r="AI2300" s="474">
        <v>60</v>
      </c>
      <c r="AJ2300" s="474" t="s">
        <v>1342</v>
      </c>
      <c r="AK2300" s="474" t="s">
        <v>1085</v>
      </c>
      <c r="AL2300" s="494">
        <v>8110</v>
      </c>
      <c r="AM2300" s="474" t="s">
        <v>52</v>
      </c>
      <c r="AN2300" s="474" t="s">
        <v>1343</v>
      </c>
      <c r="AO2300" s="474"/>
      <c r="AP2300" s="474"/>
      <c r="AQ2300" s="474" t="s">
        <v>37</v>
      </c>
      <c r="AR2300" s="474"/>
      <c r="AS2300" s="387"/>
      <c r="AT2300" s="387"/>
      <c r="AU2300" s="471"/>
      <c r="AV2300" s="262">
        <f t="shared" si="401"/>
        <v>30368359</v>
      </c>
      <c r="AW2300" s="262" cm="1">
        <f t="array" ref="AW2300">SUM(MID(0&amp;AV2300,LARGE(INDEX(ISNUMBER(--MID(AV2300,ROW($1:$8),1))*ROW($1:$8),),ROW($1:$8))+1,1)*10^ROW($1:$8)/10)</f>
        <v>30368359</v>
      </c>
      <c r="AX2300" s="262" t="str">
        <f>VLOOKUP($AW2300,'Item Master Data'!$A:$F,3,FALSE)</f>
        <v>Q.PEAK DUO L G8 BGT</v>
      </c>
      <c r="AY2300" s="262">
        <f>VLOOKUP($AW2300,'Item Master Data'!$A:$F,6,FALSE)</f>
        <v>415</v>
      </c>
      <c r="AZ2300" s="262">
        <f t="shared" si="402"/>
        <v>15</v>
      </c>
      <c r="BA2300" s="262">
        <f>VLOOKUP(AW2300,'Item Master Data'!$A:$G,7,FALSE)</f>
        <v>29</v>
      </c>
      <c r="BC2300" s="262">
        <f t="shared" si="403"/>
        <v>0</v>
      </c>
    </row>
    <row r="2301" spans="1:55">
      <c r="A2301" s="410"/>
      <c r="B2301" s="407"/>
      <c r="C2301" s="407"/>
      <c r="D2301" s="474" t="s">
        <v>1066</v>
      </c>
      <c r="E2301" s="388"/>
      <c r="F2301" s="474" t="s">
        <v>87</v>
      </c>
      <c r="G2301" s="474">
        <v>2022</v>
      </c>
      <c r="H2301" s="474">
        <v>3</v>
      </c>
      <c r="I2301" s="485">
        <v>127891</v>
      </c>
      <c r="J2301" s="475">
        <v>44649</v>
      </c>
      <c r="K2301" s="474" t="s">
        <v>1339</v>
      </c>
      <c r="L2301" s="475" t="s">
        <v>1340</v>
      </c>
      <c r="M2301" s="475">
        <v>44602</v>
      </c>
      <c r="N2301" s="475">
        <v>44651</v>
      </c>
      <c r="O2301" s="475"/>
      <c r="P2301" s="475">
        <v>44617</v>
      </c>
      <c r="Q2301" s="475">
        <v>44649</v>
      </c>
      <c r="R2301" s="475">
        <v>44651</v>
      </c>
      <c r="S2301" s="474" t="s">
        <v>1102</v>
      </c>
      <c r="T2301" s="474">
        <v>72</v>
      </c>
      <c r="U2301" s="474">
        <v>30368360</v>
      </c>
      <c r="V2301" s="474" t="s">
        <v>1341</v>
      </c>
      <c r="W2301" s="476">
        <v>420</v>
      </c>
      <c r="X2301" s="402">
        <v>406</v>
      </c>
      <c r="Y2301" s="491">
        <f t="shared" si="406"/>
        <v>170520</v>
      </c>
      <c r="Z2301" s="478">
        <v>0.44</v>
      </c>
      <c r="AA2301" s="479">
        <f t="shared" si="407"/>
        <v>75028.800000000003</v>
      </c>
      <c r="AB2301" s="386"/>
      <c r="AC2301" s="481">
        <v>0</v>
      </c>
      <c r="AD2301" s="474"/>
      <c r="AE2301" s="482"/>
      <c r="AF2301" s="493">
        <f t="shared" si="394"/>
        <v>75028.800000000003</v>
      </c>
      <c r="AG2301" s="474" t="s">
        <v>1071</v>
      </c>
      <c r="AH2301" s="447"/>
      <c r="AI2301" s="474">
        <v>60</v>
      </c>
      <c r="AJ2301" s="474" t="s">
        <v>1342</v>
      </c>
      <c r="AK2301" s="474" t="s">
        <v>1085</v>
      </c>
      <c r="AL2301" s="494">
        <v>8110</v>
      </c>
      <c r="AM2301" s="474" t="s">
        <v>52</v>
      </c>
      <c r="AN2301" s="474" t="s">
        <v>1343</v>
      </c>
      <c r="AO2301" s="474"/>
      <c r="AP2301" s="474"/>
      <c r="AQ2301" s="474" t="s">
        <v>37</v>
      </c>
      <c r="AR2301" s="474"/>
      <c r="AS2301" s="387"/>
      <c r="AT2301" s="387"/>
      <c r="AU2301" s="471"/>
      <c r="AV2301" s="262">
        <f t="shared" si="401"/>
        <v>30368360</v>
      </c>
      <c r="AW2301" s="262" cm="1">
        <f t="array" ref="AW2301">SUM(MID(0&amp;AV2301,LARGE(INDEX(ISNUMBER(--MID(AV2301,ROW($1:$8),1))*ROW($1:$8),),ROW($1:$8))+1,1)*10^ROW($1:$8)/10)</f>
        <v>30368360</v>
      </c>
      <c r="AX2301" s="262" t="str">
        <f>VLOOKUP($AW2301,'Item Master Data'!$A:$F,3,FALSE)</f>
        <v>Q.PEAK DUO L G8 BGT</v>
      </c>
      <c r="AY2301" s="262">
        <f>VLOOKUP($AW2301,'Item Master Data'!$A:$F,6,FALSE)</f>
        <v>420</v>
      </c>
      <c r="AZ2301" s="262">
        <f t="shared" si="402"/>
        <v>14</v>
      </c>
      <c r="BA2301" s="262">
        <f>VLOOKUP(AW2301,'Item Master Data'!$A:$G,7,FALSE)</f>
        <v>29</v>
      </c>
      <c r="BC2301" s="262">
        <f t="shared" si="403"/>
        <v>0</v>
      </c>
    </row>
    <row r="2302" spans="1:55">
      <c r="A2302" s="410"/>
      <c r="B2302" s="407"/>
      <c r="C2302" s="407"/>
      <c r="D2302" s="474" t="s">
        <v>1066</v>
      </c>
      <c r="E2302" s="388"/>
      <c r="F2302" s="474" t="s">
        <v>87</v>
      </c>
      <c r="G2302" s="474">
        <v>2022</v>
      </c>
      <c r="H2302" s="474">
        <v>3</v>
      </c>
      <c r="I2302" s="485">
        <v>127891</v>
      </c>
      <c r="J2302" s="475">
        <v>44649</v>
      </c>
      <c r="K2302" s="474" t="s">
        <v>1339</v>
      </c>
      <c r="L2302" s="475" t="s">
        <v>1340</v>
      </c>
      <c r="M2302" s="475">
        <v>44602</v>
      </c>
      <c r="N2302" s="475">
        <v>44651</v>
      </c>
      <c r="O2302" s="475"/>
      <c r="P2302" s="475">
        <v>44617</v>
      </c>
      <c r="Q2302" s="475">
        <v>44649</v>
      </c>
      <c r="R2302" s="475">
        <v>44651</v>
      </c>
      <c r="S2302" s="474" t="s">
        <v>1102</v>
      </c>
      <c r="T2302" s="474">
        <v>72</v>
      </c>
      <c r="U2302" s="474">
        <v>30381259</v>
      </c>
      <c r="V2302" s="474" t="s">
        <v>1344</v>
      </c>
      <c r="W2302" s="476">
        <v>415</v>
      </c>
      <c r="X2302" s="402">
        <v>783</v>
      </c>
      <c r="Y2302" s="491">
        <f t="shared" si="406"/>
        <v>324945</v>
      </c>
      <c r="Z2302" s="478">
        <v>0.44</v>
      </c>
      <c r="AA2302" s="479">
        <f t="shared" si="407"/>
        <v>142975.79999999999</v>
      </c>
      <c r="AB2302" s="386"/>
      <c r="AC2302" s="481">
        <v>0</v>
      </c>
      <c r="AD2302" s="474"/>
      <c r="AE2302" s="482"/>
      <c r="AF2302" s="493">
        <f t="shared" si="394"/>
        <v>142975.79999999999</v>
      </c>
      <c r="AG2302" s="474" t="s">
        <v>1071</v>
      </c>
      <c r="AH2302" s="447"/>
      <c r="AI2302" s="474">
        <v>60</v>
      </c>
      <c r="AJ2302" s="474" t="s">
        <v>1342</v>
      </c>
      <c r="AK2302" s="474" t="s">
        <v>1085</v>
      </c>
      <c r="AL2302" s="494">
        <v>8110</v>
      </c>
      <c r="AM2302" s="474" t="s">
        <v>52</v>
      </c>
      <c r="AN2302" s="474" t="s">
        <v>1343</v>
      </c>
      <c r="AO2302" s="474"/>
      <c r="AP2302" s="474"/>
      <c r="AQ2302" s="474" t="s">
        <v>37</v>
      </c>
      <c r="AR2302" s="474"/>
      <c r="AS2302" s="387"/>
      <c r="AT2302" s="387"/>
      <c r="AU2302" s="471"/>
      <c r="AV2302" s="262">
        <f t="shared" si="401"/>
        <v>30381259</v>
      </c>
      <c r="AW2302" s="262" cm="1">
        <f t="array" ref="AW2302">SUM(MID(0&amp;AV2302,LARGE(INDEX(ISNUMBER(--MID(AV2302,ROW($1:$8),1))*ROW($1:$8),),ROW($1:$8))+1,1)*10^ROW($1:$8)/10)</f>
        <v>30381259</v>
      </c>
      <c r="AX2302" s="262" t="str">
        <f>VLOOKUP($AW2302,'Item Master Data'!$A:$F,3,FALSE)</f>
        <v>Q.PEAK DUO L G6 BFG</v>
      </c>
      <c r="AY2302" s="262">
        <f>VLOOKUP($AW2302,'Item Master Data'!$A:$F,6,FALSE)</f>
        <v>415</v>
      </c>
      <c r="AZ2302" s="262">
        <f t="shared" si="402"/>
        <v>27</v>
      </c>
      <c r="BA2302" s="262">
        <f>VLOOKUP(AW2302,'Item Master Data'!$A:$G,7,FALSE)</f>
        <v>29</v>
      </c>
      <c r="BC2302" s="262">
        <f t="shared" si="403"/>
        <v>0</v>
      </c>
    </row>
    <row r="2303" spans="1:55">
      <c r="A2303" s="410"/>
      <c r="B2303" s="407"/>
      <c r="C2303" s="407"/>
      <c r="D2303" s="474" t="s">
        <v>1066</v>
      </c>
      <c r="E2303" s="388"/>
      <c r="F2303" s="474" t="s">
        <v>87</v>
      </c>
      <c r="G2303" s="474">
        <v>2022</v>
      </c>
      <c r="H2303" s="474">
        <v>3</v>
      </c>
      <c r="I2303" s="485">
        <v>127891</v>
      </c>
      <c r="J2303" s="475">
        <v>44649</v>
      </c>
      <c r="K2303" s="474" t="s">
        <v>1339</v>
      </c>
      <c r="L2303" s="475" t="s">
        <v>1340</v>
      </c>
      <c r="M2303" s="475">
        <v>44602</v>
      </c>
      <c r="N2303" s="475">
        <v>44651</v>
      </c>
      <c r="O2303" s="475"/>
      <c r="P2303" s="475">
        <v>44617</v>
      </c>
      <c r="Q2303" s="475">
        <v>44649</v>
      </c>
      <c r="R2303" s="475">
        <v>44651</v>
      </c>
      <c r="S2303" s="474" t="s">
        <v>1102</v>
      </c>
      <c r="T2303" s="474">
        <v>72</v>
      </c>
      <c r="U2303" s="474">
        <v>30381260</v>
      </c>
      <c r="V2303" s="474" t="s">
        <v>1344</v>
      </c>
      <c r="W2303" s="476">
        <v>420</v>
      </c>
      <c r="X2303" s="402">
        <v>1247</v>
      </c>
      <c r="Y2303" s="491">
        <f t="shared" si="406"/>
        <v>523740</v>
      </c>
      <c r="Z2303" s="478">
        <v>0.44</v>
      </c>
      <c r="AA2303" s="479">
        <f t="shared" si="407"/>
        <v>230445.6</v>
      </c>
      <c r="AB2303" s="386"/>
      <c r="AC2303" s="481">
        <v>0</v>
      </c>
      <c r="AD2303" s="474"/>
      <c r="AE2303" s="482"/>
      <c r="AF2303" s="493">
        <f t="shared" si="394"/>
        <v>230445.6</v>
      </c>
      <c r="AG2303" s="474" t="s">
        <v>1071</v>
      </c>
      <c r="AH2303" s="447"/>
      <c r="AI2303" s="474">
        <v>60</v>
      </c>
      <c r="AJ2303" s="474" t="s">
        <v>1342</v>
      </c>
      <c r="AK2303" s="474" t="s">
        <v>1085</v>
      </c>
      <c r="AL2303" s="494">
        <v>8110</v>
      </c>
      <c r="AM2303" s="474" t="s">
        <v>52</v>
      </c>
      <c r="AN2303" s="474" t="s">
        <v>1343</v>
      </c>
      <c r="AO2303" s="474"/>
      <c r="AP2303" s="474"/>
      <c r="AQ2303" s="474" t="s">
        <v>37</v>
      </c>
      <c r="AR2303" s="474"/>
      <c r="AS2303" s="387"/>
      <c r="AT2303" s="387"/>
      <c r="AU2303" s="471"/>
      <c r="AV2303" s="262">
        <f t="shared" si="401"/>
        <v>30381260</v>
      </c>
      <c r="AW2303" s="262" cm="1">
        <f t="array" ref="AW2303">SUM(MID(0&amp;AV2303,LARGE(INDEX(ISNUMBER(--MID(AV2303,ROW($1:$8),1))*ROW($1:$8),),ROW($1:$8))+1,1)*10^ROW($1:$8)/10)</f>
        <v>30381260</v>
      </c>
      <c r="AX2303" s="262" t="str">
        <f>VLOOKUP($AW2303,'Item Master Data'!$A:$F,3,FALSE)</f>
        <v>Q.PEAK DUO L G6 BFG</v>
      </c>
      <c r="AY2303" s="262">
        <f>VLOOKUP($AW2303,'Item Master Data'!$A:$F,6,FALSE)</f>
        <v>420</v>
      </c>
      <c r="AZ2303" s="262">
        <f t="shared" si="402"/>
        <v>43</v>
      </c>
      <c r="BA2303" s="262">
        <f>VLOOKUP(AW2303,'Item Master Data'!$A:$G,7,FALSE)</f>
        <v>29</v>
      </c>
      <c r="BC2303" s="262">
        <f t="shared" si="403"/>
        <v>0</v>
      </c>
    </row>
    <row r="2304" spans="1:55">
      <c r="A2304" s="410"/>
      <c r="B2304" s="407"/>
      <c r="C2304" s="407"/>
      <c r="D2304" s="474" t="s">
        <v>1066</v>
      </c>
      <c r="E2304" s="388"/>
      <c r="F2304" s="474" t="s">
        <v>87</v>
      </c>
      <c r="G2304" s="474">
        <v>2022</v>
      </c>
      <c r="H2304" s="474">
        <v>3</v>
      </c>
      <c r="I2304" s="485">
        <v>127891</v>
      </c>
      <c r="J2304" s="475">
        <v>44649</v>
      </c>
      <c r="K2304" s="474" t="s">
        <v>1339</v>
      </c>
      <c r="L2304" s="475" t="s">
        <v>1340</v>
      </c>
      <c r="M2304" s="475">
        <v>44602</v>
      </c>
      <c r="N2304" s="475">
        <v>44651</v>
      </c>
      <c r="O2304" s="475"/>
      <c r="P2304" s="475">
        <v>44617</v>
      </c>
      <c r="Q2304" s="475">
        <v>44649</v>
      </c>
      <c r="R2304" s="475">
        <v>44651</v>
      </c>
      <c r="S2304" s="474" t="s">
        <v>1102</v>
      </c>
      <c r="T2304" s="474">
        <v>72</v>
      </c>
      <c r="U2304" s="474">
        <v>30381261</v>
      </c>
      <c r="V2304" s="474" t="s">
        <v>1344</v>
      </c>
      <c r="W2304" s="476">
        <v>425</v>
      </c>
      <c r="X2304" s="402">
        <v>377</v>
      </c>
      <c r="Y2304" s="491">
        <f t="shared" si="406"/>
        <v>160225</v>
      </c>
      <c r="Z2304" s="478">
        <v>0.44</v>
      </c>
      <c r="AA2304" s="479">
        <f t="shared" si="407"/>
        <v>70499</v>
      </c>
      <c r="AB2304" s="386"/>
      <c r="AC2304" s="481">
        <v>0</v>
      </c>
      <c r="AD2304" s="474"/>
      <c r="AE2304" s="482"/>
      <c r="AF2304" s="493">
        <f t="shared" si="394"/>
        <v>70499</v>
      </c>
      <c r="AG2304" s="474" t="s">
        <v>1071</v>
      </c>
      <c r="AH2304" s="447"/>
      <c r="AI2304" s="474">
        <v>60</v>
      </c>
      <c r="AJ2304" s="474" t="s">
        <v>1342</v>
      </c>
      <c r="AK2304" s="474" t="s">
        <v>1085</v>
      </c>
      <c r="AL2304" s="494">
        <v>8110</v>
      </c>
      <c r="AM2304" s="474" t="s">
        <v>52</v>
      </c>
      <c r="AN2304" s="474" t="s">
        <v>1343</v>
      </c>
      <c r="AO2304" s="474"/>
      <c r="AP2304" s="474"/>
      <c r="AQ2304" s="474" t="s">
        <v>37</v>
      </c>
      <c r="AR2304" s="474"/>
      <c r="AS2304" s="387"/>
      <c r="AT2304" s="387"/>
      <c r="AU2304" s="471"/>
      <c r="AV2304" s="262">
        <f t="shared" si="401"/>
        <v>30381261</v>
      </c>
      <c r="AW2304" s="262" cm="1">
        <f t="array" ref="AW2304">SUM(MID(0&amp;AV2304,LARGE(INDEX(ISNUMBER(--MID(AV2304,ROW($1:$8),1))*ROW($1:$8),),ROW($1:$8))+1,1)*10^ROW($1:$8)/10)</f>
        <v>30381261</v>
      </c>
      <c r="AX2304" s="262" t="str">
        <f>VLOOKUP($AW2304,'Item Master Data'!$A:$F,3,FALSE)</f>
        <v>Q.PEAK DUO L G6 BFG</v>
      </c>
      <c r="AY2304" s="262">
        <f>VLOOKUP($AW2304,'Item Master Data'!$A:$F,6,FALSE)</f>
        <v>425</v>
      </c>
      <c r="AZ2304" s="262">
        <f t="shared" si="402"/>
        <v>13</v>
      </c>
      <c r="BA2304" s="262">
        <f>VLOOKUP(AW2304,'Item Master Data'!$A:$G,7,FALSE)</f>
        <v>29</v>
      </c>
      <c r="BC2304" s="262">
        <f t="shared" si="403"/>
        <v>0</v>
      </c>
    </row>
    <row r="2305" spans="1:55">
      <c r="A2305" s="410"/>
      <c r="B2305" s="407"/>
      <c r="C2305" s="407"/>
      <c r="D2305" s="474" t="s">
        <v>1066</v>
      </c>
      <c r="E2305" s="388"/>
      <c r="F2305" s="474" t="s">
        <v>87</v>
      </c>
      <c r="G2305" s="474">
        <v>2022</v>
      </c>
      <c r="H2305" s="474">
        <v>3</v>
      </c>
      <c r="I2305" s="485">
        <v>127891</v>
      </c>
      <c r="J2305" s="475">
        <v>44649</v>
      </c>
      <c r="K2305" s="474" t="s">
        <v>1339</v>
      </c>
      <c r="L2305" s="475" t="s">
        <v>1340</v>
      </c>
      <c r="M2305" s="475">
        <v>44602</v>
      </c>
      <c r="N2305" s="475">
        <v>44651</v>
      </c>
      <c r="O2305" s="475"/>
      <c r="P2305" s="475">
        <v>44617</v>
      </c>
      <c r="Q2305" s="475">
        <v>44649</v>
      </c>
      <c r="R2305" s="475">
        <v>44651</v>
      </c>
      <c r="S2305" s="474" t="s">
        <v>1102</v>
      </c>
      <c r="T2305" s="474">
        <v>72</v>
      </c>
      <c r="U2305" s="474">
        <v>30384260</v>
      </c>
      <c r="V2305" s="474" t="s">
        <v>1344</v>
      </c>
      <c r="W2305" s="476">
        <v>420</v>
      </c>
      <c r="X2305" s="402">
        <v>1653</v>
      </c>
      <c r="Y2305" s="491">
        <f t="shared" si="406"/>
        <v>694260</v>
      </c>
      <c r="Z2305" s="478">
        <v>0.44</v>
      </c>
      <c r="AA2305" s="479">
        <f t="shared" si="407"/>
        <v>305474.40000000002</v>
      </c>
      <c r="AB2305" s="386"/>
      <c r="AC2305" s="481">
        <v>0</v>
      </c>
      <c r="AD2305" s="474"/>
      <c r="AE2305" s="482"/>
      <c r="AF2305" s="493">
        <f t="shared" si="394"/>
        <v>305474.40000000002</v>
      </c>
      <c r="AG2305" s="474" t="s">
        <v>1071</v>
      </c>
      <c r="AH2305" s="447"/>
      <c r="AI2305" s="474">
        <v>60</v>
      </c>
      <c r="AJ2305" s="474" t="s">
        <v>1342</v>
      </c>
      <c r="AK2305" s="474" t="s">
        <v>1085</v>
      </c>
      <c r="AL2305" s="494">
        <v>8110</v>
      </c>
      <c r="AM2305" s="474" t="s">
        <v>52</v>
      </c>
      <c r="AN2305" s="474" t="s">
        <v>1343</v>
      </c>
      <c r="AO2305" s="474"/>
      <c r="AP2305" s="474"/>
      <c r="AQ2305" s="474" t="s">
        <v>37</v>
      </c>
      <c r="AR2305" s="474"/>
      <c r="AS2305" s="387"/>
      <c r="AT2305" s="387"/>
      <c r="AU2305" s="471"/>
      <c r="AV2305" s="262">
        <f t="shared" si="401"/>
        <v>30384260</v>
      </c>
      <c r="AW2305" s="262" cm="1">
        <f t="array" ref="AW2305">SUM(MID(0&amp;AV2305,LARGE(INDEX(ISNUMBER(--MID(AV2305,ROW($1:$8),1))*ROW($1:$8),),ROW($1:$8))+1,1)*10^ROW($1:$8)/10)</f>
        <v>30384260</v>
      </c>
      <c r="AX2305" s="262" t="str">
        <f>VLOOKUP($AW2305,'Item Master Data'!$A:$F,3,FALSE)</f>
        <v>Q.PEAK DUO L G6 BFG</v>
      </c>
      <c r="AY2305" s="262">
        <f>VLOOKUP($AW2305,'Item Master Data'!$A:$F,6,FALSE)</f>
        <v>420</v>
      </c>
      <c r="AZ2305" s="262">
        <f t="shared" si="402"/>
        <v>57</v>
      </c>
      <c r="BA2305" s="262">
        <f>VLOOKUP(AW2305,'Item Master Data'!$A:$G,7,FALSE)</f>
        <v>29</v>
      </c>
      <c r="BC2305" s="262">
        <f t="shared" si="403"/>
        <v>0</v>
      </c>
    </row>
    <row r="2306" spans="1:55">
      <c r="A2306" s="410"/>
      <c r="B2306" s="407"/>
      <c r="C2306" s="407"/>
      <c r="D2306" s="474" t="s">
        <v>1066</v>
      </c>
      <c r="E2306" s="388"/>
      <c r="F2306" s="474" t="s">
        <v>87</v>
      </c>
      <c r="G2306" s="474">
        <v>2022</v>
      </c>
      <c r="H2306" s="474">
        <v>3</v>
      </c>
      <c r="I2306" s="485">
        <v>127212</v>
      </c>
      <c r="J2306" s="475">
        <v>44622</v>
      </c>
      <c r="K2306" s="474" t="s">
        <v>1345</v>
      </c>
      <c r="L2306" s="475" t="s">
        <v>1340</v>
      </c>
      <c r="M2306" s="475">
        <v>44509</v>
      </c>
      <c r="N2306" s="475">
        <v>44564</v>
      </c>
      <c r="O2306" s="475"/>
      <c r="P2306" s="475">
        <v>44617</v>
      </c>
      <c r="Q2306" s="475">
        <v>44622</v>
      </c>
      <c r="R2306" s="475">
        <v>44624</v>
      </c>
      <c r="S2306" s="474" t="s">
        <v>1102</v>
      </c>
      <c r="T2306" s="474">
        <v>72</v>
      </c>
      <c r="U2306" s="474">
        <v>49301156</v>
      </c>
      <c r="V2306" s="474" t="s">
        <v>1002</v>
      </c>
      <c r="W2306" s="476">
        <v>480</v>
      </c>
      <c r="X2306" s="402">
        <v>2262</v>
      </c>
      <c r="Y2306" s="491">
        <f t="shared" si="406"/>
        <v>1085760</v>
      </c>
      <c r="Z2306" s="478">
        <v>0.47</v>
      </c>
      <c r="AA2306" s="479">
        <f t="shared" si="407"/>
        <v>510307.19999999995</v>
      </c>
      <c r="AB2306" s="386"/>
      <c r="AC2306" s="481">
        <v>0</v>
      </c>
      <c r="AD2306" s="474"/>
      <c r="AE2306" s="482"/>
      <c r="AF2306" s="493">
        <f t="shared" si="394"/>
        <v>510307.19999999995</v>
      </c>
      <c r="AG2306" s="474" t="s">
        <v>1071</v>
      </c>
      <c r="AH2306" s="447"/>
      <c r="AI2306" s="474">
        <v>60</v>
      </c>
      <c r="AJ2306" s="474" t="s">
        <v>1346</v>
      </c>
      <c r="AK2306" s="474" t="s">
        <v>1347</v>
      </c>
      <c r="AL2306" s="494">
        <v>18301</v>
      </c>
      <c r="AM2306" s="474" t="s">
        <v>52</v>
      </c>
      <c r="AN2306" s="474" t="s">
        <v>1074</v>
      </c>
      <c r="AO2306" s="474"/>
      <c r="AP2306" s="474"/>
      <c r="AQ2306" s="474" t="s">
        <v>37</v>
      </c>
      <c r="AR2306" s="474"/>
      <c r="AS2306" s="387"/>
      <c r="AT2306" s="387"/>
      <c r="AU2306" s="471"/>
      <c r="AV2306" s="262">
        <f t="shared" si="401"/>
        <v>49301156</v>
      </c>
      <c r="AW2306" s="262" cm="1">
        <f t="array" ref="AW2306">SUM(MID(0&amp;AV2306,LARGE(INDEX(ISNUMBER(--MID(AV2306,ROW($1:$8),1))*ROW($1:$8),),ROW($1:$8))+1,1)*10^ROW($1:$8)/10)</f>
        <v>49301156</v>
      </c>
      <c r="AX2306" s="262" t="str">
        <f>VLOOKUP($AW2306,'Item Master Data'!$A:$F,3,FALSE)</f>
        <v>Q.PEAK DUO XL G10</v>
      </c>
      <c r="AY2306" s="262">
        <f>VLOOKUP($AW2306,'Item Master Data'!$A:$F,6,FALSE)</f>
        <v>480</v>
      </c>
      <c r="AZ2306" s="262">
        <f t="shared" si="402"/>
        <v>78</v>
      </c>
      <c r="BA2306" s="262">
        <f>VLOOKUP(AW2306,'Item Master Data'!$A:$G,7,FALSE)</f>
        <v>29</v>
      </c>
      <c r="BC2306" s="262">
        <f t="shared" si="403"/>
        <v>0</v>
      </c>
    </row>
    <row r="2307" spans="1:55">
      <c r="A2307" s="410"/>
      <c r="B2307" s="407"/>
      <c r="C2307" s="407"/>
      <c r="D2307" s="474" t="s">
        <v>1066</v>
      </c>
      <c r="E2307" s="388"/>
      <c r="F2307" s="474" t="s">
        <v>87</v>
      </c>
      <c r="G2307" s="474">
        <v>2022</v>
      </c>
      <c r="H2307" s="474">
        <v>3</v>
      </c>
      <c r="I2307" s="485">
        <v>127891</v>
      </c>
      <c r="J2307" s="475">
        <v>44649</v>
      </c>
      <c r="K2307" s="474" t="s">
        <v>1339</v>
      </c>
      <c r="L2307" s="475" t="s">
        <v>1340</v>
      </c>
      <c r="M2307" s="475">
        <v>44602</v>
      </c>
      <c r="N2307" s="475">
        <v>44651</v>
      </c>
      <c r="O2307" s="475"/>
      <c r="P2307" s="475">
        <v>44617</v>
      </c>
      <c r="Q2307" s="475">
        <v>44649</v>
      </c>
      <c r="R2307" s="475">
        <v>44651</v>
      </c>
      <c r="S2307" s="474" t="s">
        <v>1102</v>
      </c>
      <c r="T2307" s="474">
        <v>72</v>
      </c>
      <c r="U2307" s="474">
        <v>30384261</v>
      </c>
      <c r="V2307" s="474" t="s">
        <v>1344</v>
      </c>
      <c r="W2307" s="476">
        <v>425</v>
      </c>
      <c r="X2307" s="402">
        <v>116</v>
      </c>
      <c r="Y2307" s="491">
        <f t="shared" si="406"/>
        <v>49300</v>
      </c>
      <c r="Z2307" s="478">
        <v>0.44</v>
      </c>
      <c r="AA2307" s="479">
        <f t="shared" si="407"/>
        <v>21692</v>
      </c>
      <c r="AB2307" s="386"/>
      <c r="AC2307" s="481">
        <v>0</v>
      </c>
      <c r="AD2307" s="474"/>
      <c r="AE2307" s="482"/>
      <c r="AF2307" s="493">
        <f t="shared" si="394"/>
        <v>21692</v>
      </c>
      <c r="AG2307" s="474" t="s">
        <v>1071</v>
      </c>
      <c r="AH2307" s="447"/>
      <c r="AI2307" s="474">
        <v>60</v>
      </c>
      <c r="AJ2307" s="474" t="s">
        <v>1342</v>
      </c>
      <c r="AK2307" s="474" t="s">
        <v>1085</v>
      </c>
      <c r="AL2307" s="494">
        <v>8110</v>
      </c>
      <c r="AM2307" s="474" t="s">
        <v>52</v>
      </c>
      <c r="AN2307" s="474" t="s">
        <v>1343</v>
      </c>
      <c r="AO2307" s="474"/>
      <c r="AP2307" s="474"/>
      <c r="AQ2307" s="474" t="s">
        <v>37</v>
      </c>
      <c r="AR2307" s="474"/>
      <c r="AS2307" s="387"/>
      <c r="AT2307" s="387"/>
      <c r="AU2307" s="471"/>
      <c r="AV2307" s="262">
        <f t="shared" si="401"/>
        <v>30384261</v>
      </c>
      <c r="AW2307" s="262" cm="1">
        <f t="array" ref="AW2307">SUM(MID(0&amp;AV2307,LARGE(INDEX(ISNUMBER(--MID(AV2307,ROW($1:$8),1))*ROW($1:$8),),ROW($1:$8))+1,1)*10^ROW($1:$8)/10)</f>
        <v>30384261</v>
      </c>
      <c r="AX2307" s="262" t="str">
        <f>VLOOKUP($AW2307,'Item Master Data'!$A:$F,3,FALSE)</f>
        <v>Q.PEAK DUO L G6 BFG</v>
      </c>
      <c r="AY2307" s="262">
        <f>VLOOKUP($AW2307,'Item Master Data'!$A:$F,6,FALSE)</f>
        <v>425</v>
      </c>
      <c r="AZ2307" s="262">
        <f t="shared" si="402"/>
        <v>4</v>
      </c>
      <c r="BA2307" s="262">
        <f>VLOOKUP(AW2307,'Item Master Data'!$A:$G,7,FALSE)</f>
        <v>29</v>
      </c>
      <c r="BC2307" s="262">
        <f t="shared" si="403"/>
        <v>0</v>
      </c>
    </row>
    <row r="2308" spans="1:55">
      <c r="A2308" s="410"/>
      <c r="B2308" s="407"/>
      <c r="C2308" s="407"/>
      <c r="D2308" s="474" t="s">
        <v>1066</v>
      </c>
      <c r="E2308" s="388"/>
      <c r="F2308" s="474" t="s">
        <v>87</v>
      </c>
      <c r="G2308" s="474">
        <v>2022</v>
      </c>
      <c r="H2308" s="474">
        <v>3</v>
      </c>
      <c r="I2308" s="485">
        <v>127891</v>
      </c>
      <c r="J2308" s="475">
        <v>44649</v>
      </c>
      <c r="K2308" s="474" t="s">
        <v>1339</v>
      </c>
      <c r="L2308" s="475" t="s">
        <v>1340</v>
      </c>
      <c r="M2308" s="475">
        <v>44602</v>
      </c>
      <c r="N2308" s="475">
        <v>44651</v>
      </c>
      <c r="O2308" s="475"/>
      <c r="P2308" s="475">
        <v>44617</v>
      </c>
      <c r="Q2308" s="475">
        <v>44649</v>
      </c>
      <c r="R2308" s="475">
        <v>44651</v>
      </c>
      <c r="S2308" s="474" t="s">
        <v>1102</v>
      </c>
      <c r="T2308" s="474">
        <v>72</v>
      </c>
      <c r="U2308" s="474">
        <v>30368358</v>
      </c>
      <c r="V2308" s="474" t="s">
        <v>1341</v>
      </c>
      <c r="W2308" s="476">
        <v>410</v>
      </c>
      <c r="X2308" s="402">
        <v>377</v>
      </c>
      <c r="Y2308" s="491">
        <f t="shared" si="406"/>
        <v>154570</v>
      </c>
      <c r="Z2308" s="478">
        <v>0.44</v>
      </c>
      <c r="AA2308" s="479">
        <f t="shared" si="407"/>
        <v>68010.8</v>
      </c>
      <c r="AB2308" s="386"/>
      <c r="AC2308" s="481">
        <v>0</v>
      </c>
      <c r="AD2308" s="474"/>
      <c r="AE2308" s="482"/>
      <c r="AF2308" s="493">
        <f t="shared" si="394"/>
        <v>68010.8</v>
      </c>
      <c r="AG2308" s="474" t="s">
        <v>1071</v>
      </c>
      <c r="AH2308" s="447"/>
      <c r="AI2308" s="474">
        <v>60</v>
      </c>
      <c r="AJ2308" s="474" t="s">
        <v>1342</v>
      </c>
      <c r="AK2308" s="474" t="s">
        <v>1085</v>
      </c>
      <c r="AL2308" s="494">
        <v>8110</v>
      </c>
      <c r="AM2308" s="474" t="s">
        <v>52</v>
      </c>
      <c r="AN2308" s="474" t="s">
        <v>1343</v>
      </c>
      <c r="AO2308" s="474"/>
      <c r="AP2308" s="474"/>
      <c r="AQ2308" s="474" t="s">
        <v>37</v>
      </c>
      <c r="AR2308" s="474"/>
      <c r="AS2308" s="387"/>
      <c r="AT2308" s="387"/>
      <c r="AU2308" s="471"/>
      <c r="AV2308" s="262">
        <f t="shared" si="401"/>
        <v>30368358</v>
      </c>
      <c r="AW2308" s="262" cm="1">
        <f t="array" ref="AW2308">SUM(MID(0&amp;AV2308,LARGE(INDEX(ISNUMBER(--MID(AV2308,ROW($1:$8),1))*ROW($1:$8),),ROW($1:$8))+1,1)*10^ROW($1:$8)/10)</f>
        <v>30368358</v>
      </c>
      <c r="AX2308" s="262" t="str">
        <f>VLOOKUP($AW2308,'Item Master Data'!$A:$F,3,FALSE)</f>
        <v>Q.PEAK DUO L G8 BGT</v>
      </c>
      <c r="AY2308" s="262">
        <f>VLOOKUP($AW2308,'Item Master Data'!$A:$F,6,FALSE)</f>
        <v>410</v>
      </c>
      <c r="AZ2308" s="262">
        <f t="shared" si="402"/>
        <v>13</v>
      </c>
      <c r="BA2308" s="262">
        <f>VLOOKUP(AW2308,'Item Master Data'!$A:$G,7,FALSE)</f>
        <v>29</v>
      </c>
      <c r="BC2308" s="262">
        <f t="shared" si="403"/>
        <v>0</v>
      </c>
    </row>
    <row r="2309" spans="1:55">
      <c r="A2309" s="410"/>
      <c r="B2309" s="407"/>
      <c r="C2309" s="407"/>
      <c r="D2309" s="474" t="s">
        <v>1066</v>
      </c>
      <c r="E2309" s="388" t="s">
        <v>1283</v>
      </c>
      <c r="F2309" s="474" t="s">
        <v>1147</v>
      </c>
      <c r="G2309" s="474">
        <v>2022</v>
      </c>
      <c r="H2309" s="474">
        <v>7</v>
      </c>
      <c r="I2309" s="485">
        <v>2005239</v>
      </c>
      <c r="J2309" s="475"/>
      <c r="K2309" s="516" t="s">
        <v>1527</v>
      </c>
      <c r="L2309" s="475" t="s">
        <v>1520</v>
      </c>
      <c r="M2309" s="475">
        <v>44481</v>
      </c>
      <c r="N2309" s="475">
        <v>44746</v>
      </c>
      <c r="O2309" s="475"/>
      <c r="P2309" s="475"/>
      <c r="Q2309" s="475"/>
      <c r="R2309" s="475"/>
      <c r="S2309" s="474" t="s">
        <v>1388</v>
      </c>
      <c r="T2309" s="474">
        <v>72</v>
      </c>
      <c r="U2309" s="474">
        <v>49303156</v>
      </c>
      <c r="V2309" s="474" t="s">
        <v>1070</v>
      </c>
      <c r="W2309" s="476">
        <v>480</v>
      </c>
      <c r="X2309" s="402">
        <v>10740</v>
      </c>
      <c r="Y2309" s="491">
        <f t="shared" si="406"/>
        <v>5155200</v>
      </c>
      <c r="Z2309" s="478">
        <v>0.39500000000000002</v>
      </c>
      <c r="AA2309" s="479">
        <f>Z2309*Y2309</f>
        <v>2036304</v>
      </c>
      <c r="AB2309" s="386"/>
      <c r="AC2309" s="481">
        <f>AB2309*Y2309</f>
        <v>0</v>
      </c>
      <c r="AD2309" s="474"/>
      <c r="AE2309" s="482"/>
      <c r="AF2309" s="493">
        <f t="shared" ref="AF2309:AF2372" si="408">AE2309+AD2309+AA2309</f>
        <v>2036304</v>
      </c>
      <c r="AG2309" s="474" t="s">
        <v>47</v>
      </c>
      <c r="AH2309" s="447">
        <v>10</v>
      </c>
      <c r="AI2309" s="474">
        <v>45</v>
      </c>
      <c r="AJ2309" s="474" t="s">
        <v>1528</v>
      </c>
      <c r="AK2309" s="474" t="s">
        <v>1158</v>
      </c>
      <c r="AL2309" s="494">
        <v>27549</v>
      </c>
      <c r="AM2309" s="474" t="s">
        <v>52</v>
      </c>
      <c r="AN2309" s="474" t="s">
        <v>1109</v>
      </c>
      <c r="AO2309" s="474"/>
      <c r="AP2309" s="474" t="s">
        <v>1109</v>
      </c>
      <c r="AQ2309" s="474"/>
      <c r="AR2309" s="474"/>
      <c r="AS2309" s="387"/>
      <c r="AT2309" s="387"/>
      <c r="AU2309" s="471"/>
      <c r="AV2309" s="262">
        <f t="shared" si="401"/>
        <v>49303156</v>
      </c>
      <c r="AW2309" s="262" cm="1">
        <f t="array" ref="AW2309">SUM(MID(0&amp;AV2309,LARGE(INDEX(ISNUMBER(--MID(AV2309,ROW($1:$8),1))*ROW($1:$8),),ROW($1:$8))+1,1)*10^ROW($1:$8)/10)</f>
        <v>49303156</v>
      </c>
      <c r="AX2309" s="262" t="str">
        <f>VLOOKUP($AW2309,'Item Master Data'!$A:$F,3,FALSE)</f>
        <v>Q.PEAK DUO XL G10 BFG</v>
      </c>
      <c r="AY2309" s="262">
        <f>VLOOKUP($AW2309,'Item Master Data'!$A:$F,6,FALSE)</f>
        <v>480</v>
      </c>
      <c r="AZ2309" s="262">
        <f t="shared" si="402"/>
        <v>370.34482758620692</v>
      </c>
      <c r="BA2309" s="262">
        <f>VLOOKUP(AW2309,'Item Master Data'!$A:$G,7,FALSE)</f>
        <v>29</v>
      </c>
      <c r="BC2309" s="262">
        <f t="shared" si="403"/>
        <v>0</v>
      </c>
    </row>
    <row r="2310" spans="1:55">
      <c r="A2310" s="410"/>
      <c r="B2310" s="407"/>
      <c r="C2310" s="407"/>
      <c r="D2310" s="474" t="s">
        <v>1066</v>
      </c>
      <c r="E2310" s="388" t="s">
        <v>1171</v>
      </c>
      <c r="F2310" s="474" t="s">
        <v>1077</v>
      </c>
      <c r="G2310" s="474">
        <v>2023</v>
      </c>
      <c r="H2310" s="474">
        <v>7</v>
      </c>
      <c r="I2310" s="485"/>
      <c r="J2310" s="475"/>
      <c r="K2310" s="474" t="s">
        <v>1550</v>
      </c>
      <c r="L2310" s="475" t="s">
        <v>1535</v>
      </c>
      <c r="M2310" s="475">
        <v>44644</v>
      </c>
      <c r="N2310" s="475">
        <v>44743</v>
      </c>
      <c r="O2310" s="475"/>
      <c r="P2310" s="475"/>
      <c r="Q2310" s="475"/>
      <c r="R2310" s="475"/>
      <c r="S2310" s="474" t="s">
        <v>1102</v>
      </c>
      <c r="T2310" s="474">
        <v>72</v>
      </c>
      <c r="U2310" s="474"/>
      <c r="V2310" s="474" t="s">
        <v>1070</v>
      </c>
      <c r="W2310" s="476">
        <v>480</v>
      </c>
      <c r="X2310" s="402">
        <v>20822</v>
      </c>
      <c r="Y2310" s="491">
        <f t="shared" si="406"/>
        <v>9994560</v>
      </c>
      <c r="Z2310" s="478">
        <v>0.43</v>
      </c>
      <c r="AA2310" s="479">
        <f>Z2310*Y2310</f>
        <v>4297660.8</v>
      </c>
      <c r="AB2310" s="386"/>
      <c r="AC2310" s="481">
        <f>AB2310*Y2310</f>
        <v>0</v>
      </c>
      <c r="AD2310" s="474"/>
      <c r="AE2310" s="482"/>
      <c r="AF2310" s="493">
        <f t="shared" si="408"/>
        <v>4297660.8</v>
      </c>
      <c r="AG2310" s="474" t="s">
        <v>47</v>
      </c>
      <c r="AH2310" s="447">
        <v>100</v>
      </c>
      <c r="AI2310" s="474">
        <v>0</v>
      </c>
      <c r="AJ2310" s="474" t="s">
        <v>1109</v>
      </c>
      <c r="AK2310" s="474" t="s">
        <v>1109</v>
      </c>
      <c r="AL2310" s="494" t="s">
        <v>1109</v>
      </c>
      <c r="AM2310" s="474" t="s">
        <v>52</v>
      </c>
      <c r="AN2310" s="474" t="s">
        <v>1109</v>
      </c>
      <c r="AO2310" s="474"/>
      <c r="AP2310" s="474" t="s">
        <v>38</v>
      </c>
      <c r="AQ2310" s="474" t="s">
        <v>1086</v>
      </c>
      <c r="AR2310" s="474"/>
      <c r="AS2310" s="387" t="s">
        <v>1087</v>
      </c>
      <c r="AT2310" s="387" t="s">
        <v>1076</v>
      </c>
      <c r="AU2310" s="471"/>
      <c r="AV2310" s="262">
        <f t="shared" si="401"/>
        <v>0</v>
      </c>
      <c r="AW2310" s="262" cm="1">
        <f t="array" ref="AW2310">SUM(MID(0&amp;AV2310,LARGE(INDEX(ISNUMBER(--MID(AV2310,ROW($1:$8),1))*ROW($1:$8),),ROW($1:$8))+1,1)*10^ROW($1:$8)/10)</f>
        <v>0</v>
      </c>
      <c r="AX2310" s="262" t="e">
        <f>VLOOKUP($AW2310,'Item Master Data'!$A:$F,3,FALSE)</f>
        <v>#N/A</v>
      </c>
      <c r="AY2310" s="262" t="e">
        <f>VLOOKUP($AW2310,'Item Master Data'!$A:$F,6,FALSE)</f>
        <v>#N/A</v>
      </c>
      <c r="AZ2310" s="262" t="e">
        <f t="shared" si="402"/>
        <v>#N/A</v>
      </c>
      <c r="BA2310" s="262" t="e">
        <f>VLOOKUP(AW2310,'Item Master Data'!$A:$G,7,FALSE)</f>
        <v>#N/A</v>
      </c>
      <c r="BC2310" s="262" t="e">
        <f t="shared" si="403"/>
        <v>#N/A</v>
      </c>
    </row>
    <row r="2311" spans="1:55">
      <c r="A2311" s="410"/>
      <c r="B2311" s="407"/>
      <c r="C2311" s="407"/>
      <c r="D2311" s="474" t="s">
        <v>1066</v>
      </c>
      <c r="E2311" s="388" t="s">
        <v>1283</v>
      </c>
      <c r="F2311" s="474" t="s">
        <v>1077</v>
      </c>
      <c r="G2311" s="474">
        <v>2022</v>
      </c>
      <c r="H2311" s="474">
        <v>7</v>
      </c>
      <c r="I2311" s="485" t="s">
        <v>1091</v>
      </c>
      <c r="J2311" s="475"/>
      <c r="K2311" s="474" t="s">
        <v>1670</v>
      </c>
      <c r="L2311" s="475" t="s">
        <v>1671</v>
      </c>
      <c r="M2311" s="475">
        <v>44657</v>
      </c>
      <c r="N2311" s="475">
        <v>44743</v>
      </c>
      <c r="O2311" s="475"/>
      <c r="P2311" s="475"/>
      <c r="Q2311" s="475"/>
      <c r="R2311" s="475"/>
      <c r="S2311" s="474" t="s">
        <v>1388</v>
      </c>
      <c r="T2311" s="474">
        <v>72</v>
      </c>
      <c r="U2311" s="474"/>
      <c r="V2311" s="474" t="s">
        <v>1070</v>
      </c>
      <c r="W2311" s="476">
        <v>480</v>
      </c>
      <c r="X2311" s="402">
        <v>3132</v>
      </c>
      <c r="Y2311" s="477">
        <f t="shared" si="406"/>
        <v>1503360</v>
      </c>
      <c r="Z2311" s="478">
        <v>0.5</v>
      </c>
      <c r="AA2311" s="479">
        <f>Z2311*Y2311</f>
        <v>751680</v>
      </c>
      <c r="AB2311" s="386"/>
      <c r="AC2311" s="481">
        <f>AB2311*Y2311</f>
        <v>0</v>
      </c>
      <c r="AD2311" s="474"/>
      <c r="AE2311" s="482"/>
      <c r="AF2311" s="493">
        <f t="shared" si="408"/>
        <v>751680</v>
      </c>
      <c r="AG2311" s="474" t="s">
        <v>47</v>
      </c>
      <c r="AH2311" s="447">
        <v>10</v>
      </c>
      <c r="AI2311" s="474">
        <v>30</v>
      </c>
      <c r="AJ2311" s="474" t="s">
        <v>1672</v>
      </c>
      <c r="AK2311" s="474" t="s">
        <v>1096</v>
      </c>
      <c r="AL2311" s="494">
        <v>1915</v>
      </c>
      <c r="AM2311" s="474" t="s">
        <v>52</v>
      </c>
      <c r="AN2311" s="474" t="s">
        <v>1074</v>
      </c>
      <c r="AO2311" s="474"/>
      <c r="AP2311" s="474"/>
      <c r="AQ2311" s="474" t="s">
        <v>1086</v>
      </c>
      <c r="AR2311" s="474"/>
      <c r="AS2311" s="387" t="s">
        <v>1087</v>
      </c>
      <c r="AT2311" s="387" t="s">
        <v>1076</v>
      </c>
      <c r="AU2311" s="471"/>
      <c r="AV2311" s="262">
        <f t="shared" si="401"/>
        <v>0</v>
      </c>
      <c r="AW2311" s="262" cm="1">
        <f t="array" ref="AW2311">SUM(MID(0&amp;AV2311,LARGE(INDEX(ISNUMBER(--MID(AV2311,ROW($1:$8),1))*ROW($1:$8),),ROW($1:$8))+1,1)*10^ROW($1:$8)/10)</f>
        <v>0</v>
      </c>
      <c r="AX2311" s="262" t="e">
        <f>VLOOKUP($AW2311,'Item Master Data'!$A:$F,3,FALSE)</f>
        <v>#N/A</v>
      </c>
      <c r="AY2311" s="262" t="e">
        <f>VLOOKUP($AW2311,'Item Master Data'!$A:$F,6,FALSE)</f>
        <v>#N/A</v>
      </c>
      <c r="AZ2311" s="262" t="e">
        <f t="shared" si="402"/>
        <v>#N/A</v>
      </c>
      <c r="BA2311" s="262" t="e">
        <f>VLOOKUP(AW2311,'Item Master Data'!$A:$G,7,FALSE)</f>
        <v>#N/A</v>
      </c>
      <c r="BC2311" s="262" t="e">
        <f t="shared" si="403"/>
        <v>#N/A</v>
      </c>
    </row>
    <row r="2312" spans="1:55">
      <c r="A2312" s="410"/>
      <c r="B2312" s="407">
        <v>44650</v>
      </c>
      <c r="C2312" s="407">
        <v>44650</v>
      </c>
      <c r="D2312" s="474" t="s">
        <v>1066</v>
      </c>
      <c r="E2312" s="388" t="s">
        <v>1106</v>
      </c>
      <c r="F2312" s="474" t="s">
        <v>87</v>
      </c>
      <c r="G2312" s="474">
        <v>2022</v>
      </c>
      <c r="H2312" s="474">
        <v>4</v>
      </c>
      <c r="I2312" s="485" t="s">
        <v>5280</v>
      </c>
      <c r="J2312" s="475">
        <v>44658</v>
      </c>
      <c r="K2312" s="474" t="s">
        <v>1365</v>
      </c>
      <c r="L2312" s="475" t="s">
        <v>1366</v>
      </c>
      <c r="M2312" s="475">
        <v>44573</v>
      </c>
      <c r="N2312" s="475">
        <v>44713</v>
      </c>
      <c r="O2312" s="475"/>
      <c r="P2312" s="475">
        <v>44650</v>
      </c>
      <c r="Q2312" s="475">
        <v>44658</v>
      </c>
      <c r="R2312" s="475">
        <v>44662</v>
      </c>
      <c r="S2312" s="474" t="s">
        <v>1102</v>
      </c>
      <c r="T2312" s="474">
        <v>72</v>
      </c>
      <c r="U2312" s="474">
        <v>49303156</v>
      </c>
      <c r="V2312" s="474" t="s">
        <v>1070</v>
      </c>
      <c r="W2312" s="476">
        <v>480</v>
      </c>
      <c r="X2312" s="402">
        <v>2146</v>
      </c>
      <c r="Y2312" s="491">
        <f t="shared" si="406"/>
        <v>1030080</v>
      </c>
      <c r="Z2312" s="478">
        <v>0.47</v>
      </c>
      <c r="AA2312" s="479">
        <f>Y2312*Z2312</f>
        <v>484137.6</v>
      </c>
      <c r="AB2312" s="386"/>
      <c r="AC2312" s="481">
        <v>0</v>
      </c>
      <c r="AD2312" s="474"/>
      <c r="AE2312" s="482"/>
      <c r="AF2312" s="493">
        <f t="shared" si="408"/>
        <v>484137.6</v>
      </c>
      <c r="AG2312" s="474" t="s">
        <v>1071</v>
      </c>
      <c r="AH2312" s="447"/>
      <c r="AI2312" s="474">
        <v>60</v>
      </c>
      <c r="AJ2312" s="474" t="s">
        <v>1342</v>
      </c>
      <c r="AK2312" s="474" t="s">
        <v>1085</v>
      </c>
      <c r="AL2312" s="494">
        <v>18360</v>
      </c>
      <c r="AM2312" s="474" t="s">
        <v>52</v>
      </c>
      <c r="AN2312" s="474" t="s">
        <v>1074</v>
      </c>
      <c r="AO2312" s="474"/>
      <c r="AP2312" s="474"/>
      <c r="AQ2312" s="474" t="s">
        <v>37</v>
      </c>
      <c r="AR2312" s="474"/>
      <c r="AS2312" s="387" t="s">
        <v>1076</v>
      </c>
      <c r="AT2312" s="387" t="s">
        <v>1076</v>
      </c>
      <c r="AU2312" s="471"/>
      <c r="AV2312" s="262">
        <f t="shared" si="401"/>
        <v>49303156</v>
      </c>
      <c r="AW2312" s="262" cm="1">
        <f t="array" ref="AW2312">SUM(MID(0&amp;AV2312,LARGE(INDEX(ISNUMBER(--MID(AV2312,ROW($1:$8),1))*ROW($1:$8),),ROW($1:$8))+1,1)*10^ROW($1:$8)/10)</f>
        <v>49303156</v>
      </c>
      <c r="AX2312" s="262" t="str">
        <f>VLOOKUP($AW2312,'Item Master Data'!$A:$F,3,FALSE)</f>
        <v>Q.PEAK DUO XL G10 BFG</v>
      </c>
      <c r="AY2312" s="262">
        <f>VLOOKUP($AW2312,'Item Master Data'!$A:$F,6,FALSE)</f>
        <v>480</v>
      </c>
      <c r="AZ2312" s="262">
        <f t="shared" si="402"/>
        <v>74</v>
      </c>
      <c r="BA2312" s="262">
        <f>VLOOKUP(AW2312,'Item Master Data'!$A:$G,7,FALSE)</f>
        <v>29</v>
      </c>
      <c r="BC2312" s="262">
        <f t="shared" si="403"/>
        <v>0</v>
      </c>
    </row>
    <row r="2313" spans="1:55">
      <c r="A2313" s="410"/>
      <c r="B2313" s="407">
        <v>44650</v>
      </c>
      <c r="C2313" s="407">
        <v>44650</v>
      </c>
      <c r="D2313" s="474" t="s">
        <v>1066</v>
      </c>
      <c r="E2313" s="388" t="s">
        <v>1106</v>
      </c>
      <c r="F2313" s="474" t="s">
        <v>87</v>
      </c>
      <c r="G2313" s="474">
        <v>2022</v>
      </c>
      <c r="H2313" s="474">
        <v>4</v>
      </c>
      <c r="I2313" s="485" t="s">
        <v>5280</v>
      </c>
      <c r="J2313" s="475">
        <v>44658</v>
      </c>
      <c r="K2313" s="474" t="s">
        <v>1365</v>
      </c>
      <c r="L2313" s="475" t="s">
        <v>1366</v>
      </c>
      <c r="M2313" s="475">
        <v>44573</v>
      </c>
      <c r="N2313" s="475">
        <v>44713</v>
      </c>
      <c r="O2313" s="475"/>
      <c r="P2313" s="475">
        <v>44650</v>
      </c>
      <c r="Q2313" s="475">
        <v>44657</v>
      </c>
      <c r="R2313" s="475">
        <v>44659</v>
      </c>
      <c r="S2313" s="474" t="s">
        <v>1102</v>
      </c>
      <c r="T2313" s="474">
        <v>72</v>
      </c>
      <c r="U2313" s="474">
        <v>49303156</v>
      </c>
      <c r="V2313" s="474" t="s">
        <v>1070</v>
      </c>
      <c r="W2313" s="476">
        <v>480</v>
      </c>
      <c r="X2313" s="402">
        <f>10440-2146</f>
        <v>8294</v>
      </c>
      <c r="Y2313" s="491">
        <f t="shared" si="406"/>
        <v>3981120</v>
      </c>
      <c r="Z2313" s="478">
        <v>0.47</v>
      </c>
      <c r="AA2313" s="479">
        <f>Y2313*Z2313</f>
        <v>1871126.4</v>
      </c>
      <c r="AB2313" s="386"/>
      <c r="AC2313" s="481">
        <v>0</v>
      </c>
      <c r="AD2313" s="474"/>
      <c r="AE2313" s="482"/>
      <c r="AF2313" s="493">
        <f t="shared" si="408"/>
        <v>1871126.4</v>
      </c>
      <c r="AG2313" s="474" t="s">
        <v>1071</v>
      </c>
      <c r="AH2313" s="447"/>
      <c r="AI2313" s="474">
        <v>60</v>
      </c>
      <c r="AJ2313" s="474" t="s">
        <v>1346</v>
      </c>
      <c r="AK2313" s="474" t="s">
        <v>1347</v>
      </c>
      <c r="AL2313" s="494">
        <v>18360</v>
      </c>
      <c r="AM2313" s="474" t="s">
        <v>52</v>
      </c>
      <c r="AN2313" s="474" t="s">
        <v>1074</v>
      </c>
      <c r="AO2313" s="474"/>
      <c r="AP2313" s="474"/>
      <c r="AQ2313" s="474" t="s">
        <v>37</v>
      </c>
      <c r="AR2313" s="474"/>
      <c r="AS2313" s="387" t="s">
        <v>1076</v>
      </c>
      <c r="AT2313" s="387" t="s">
        <v>1076</v>
      </c>
      <c r="AU2313" s="471"/>
      <c r="AV2313" s="262">
        <f t="shared" si="401"/>
        <v>49303156</v>
      </c>
      <c r="AW2313" s="262" cm="1">
        <f t="array" ref="AW2313">SUM(MID(0&amp;AV2313,LARGE(INDEX(ISNUMBER(--MID(AV2313,ROW($1:$8),1))*ROW($1:$8),),ROW($1:$8))+1,1)*10^ROW($1:$8)/10)</f>
        <v>49303156</v>
      </c>
      <c r="AX2313" s="262" t="str">
        <f>VLOOKUP($AW2313,'Item Master Data'!$A:$F,3,FALSE)</f>
        <v>Q.PEAK DUO XL G10 BFG</v>
      </c>
      <c r="AY2313" s="262">
        <f>VLOOKUP($AW2313,'Item Master Data'!$A:$F,6,FALSE)</f>
        <v>480</v>
      </c>
      <c r="AZ2313" s="262">
        <f t="shared" si="402"/>
        <v>286</v>
      </c>
      <c r="BA2313" s="262">
        <f>VLOOKUP(AW2313,'Item Master Data'!$A:$G,7,FALSE)</f>
        <v>29</v>
      </c>
      <c r="BC2313" s="262">
        <f t="shared" si="403"/>
        <v>0</v>
      </c>
    </row>
    <row r="2314" spans="1:55">
      <c r="A2314" s="410"/>
      <c r="B2314" s="407"/>
      <c r="C2314" s="407"/>
      <c r="D2314" s="474" t="s">
        <v>1066</v>
      </c>
      <c r="E2314" s="388" t="s">
        <v>1283</v>
      </c>
      <c r="F2314" s="474" t="s">
        <v>1077</v>
      </c>
      <c r="G2314" s="474">
        <v>2022</v>
      </c>
      <c r="H2314" s="474">
        <v>7</v>
      </c>
      <c r="I2314" s="485" t="s">
        <v>1091</v>
      </c>
      <c r="J2314" s="475"/>
      <c r="K2314" s="474" t="s">
        <v>1670</v>
      </c>
      <c r="L2314" s="475" t="s">
        <v>1671</v>
      </c>
      <c r="M2314" s="475">
        <v>44657</v>
      </c>
      <c r="N2314" s="475">
        <v>44743</v>
      </c>
      <c r="O2314" s="475"/>
      <c r="P2314" s="475"/>
      <c r="Q2314" s="475"/>
      <c r="R2314" s="475"/>
      <c r="S2314" s="474" t="s">
        <v>1388</v>
      </c>
      <c r="T2314" s="474">
        <v>72</v>
      </c>
      <c r="U2314" s="474"/>
      <c r="V2314" s="474" t="s">
        <v>1070</v>
      </c>
      <c r="W2314" s="476">
        <v>480</v>
      </c>
      <c r="X2314" s="402">
        <v>1189</v>
      </c>
      <c r="Y2314" s="491">
        <f t="shared" si="406"/>
        <v>570720</v>
      </c>
      <c r="Z2314" s="478">
        <v>0.5</v>
      </c>
      <c r="AA2314" s="492">
        <f>Z2314*Y2314</f>
        <v>285360</v>
      </c>
      <c r="AB2314" s="386"/>
      <c r="AC2314" s="481">
        <f>AB2314*Y2314</f>
        <v>0</v>
      </c>
      <c r="AD2314" s="474"/>
      <c r="AE2314" s="482"/>
      <c r="AF2314" s="493">
        <f t="shared" si="408"/>
        <v>285360</v>
      </c>
      <c r="AG2314" s="474" t="s">
        <v>47</v>
      </c>
      <c r="AH2314" s="447">
        <v>10</v>
      </c>
      <c r="AI2314" s="474">
        <v>30</v>
      </c>
      <c r="AJ2314" s="474" t="s">
        <v>1672</v>
      </c>
      <c r="AK2314" s="474" t="s">
        <v>1096</v>
      </c>
      <c r="AL2314" s="494">
        <v>1915</v>
      </c>
      <c r="AM2314" s="474" t="s">
        <v>52</v>
      </c>
      <c r="AN2314" s="474" t="s">
        <v>1074</v>
      </c>
      <c r="AO2314" s="474"/>
      <c r="AP2314" s="474"/>
      <c r="AQ2314" s="474" t="s">
        <v>1086</v>
      </c>
      <c r="AR2314" s="474"/>
      <c r="AS2314" s="387" t="s">
        <v>1087</v>
      </c>
      <c r="AT2314" s="387" t="s">
        <v>1076</v>
      </c>
      <c r="AU2314" s="471"/>
      <c r="AV2314" s="262">
        <f t="shared" si="401"/>
        <v>0</v>
      </c>
      <c r="AW2314" s="262" cm="1">
        <f t="array" ref="AW2314">SUM(MID(0&amp;AV2314,LARGE(INDEX(ISNUMBER(--MID(AV2314,ROW($1:$8),1))*ROW($1:$8),),ROW($1:$8))+1,1)*10^ROW($1:$8)/10)</f>
        <v>0</v>
      </c>
      <c r="AX2314" s="262" t="e">
        <f>VLOOKUP($AW2314,'Item Master Data'!$A:$F,3,FALSE)</f>
        <v>#N/A</v>
      </c>
      <c r="AY2314" s="262" t="e">
        <f>VLOOKUP($AW2314,'Item Master Data'!$A:$F,6,FALSE)</f>
        <v>#N/A</v>
      </c>
      <c r="AZ2314" s="262" t="e">
        <f t="shared" si="402"/>
        <v>#N/A</v>
      </c>
      <c r="BA2314" s="262" t="e">
        <f>VLOOKUP(AW2314,'Item Master Data'!$A:$G,7,FALSE)</f>
        <v>#N/A</v>
      </c>
      <c r="BC2314" s="262" t="e">
        <f t="shared" si="403"/>
        <v>#N/A</v>
      </c>
    </row>
    <row r="2315" spans="1:55">
      <c r="A2315" s="410"/>
      <c r="B2315" s="407">
        <v>44574</v>
      </c>
      <c r="C2315" s="407">
        <v>44575</v>
      </c>
      <c r="D2315" s="474" t="s">
        <v>1066</v>
      </c>
      <c r="E2315" s="388" t="s">
        <v>1363</v>
      </c>
      <c r="F2315" s="474"/>
      <c r="G2315" s="474">
        <v>2022</v>
      </c>
      <c r="H2315" s="474">
        <v>5</v>
      </c>
      <c r="I2315" s="485"/>
      <c r="J2315" s="475"/>
      <c r="K2315" s="474" t="s">
        <v>1359</v>
      </c>
      <c r="L2315" s="475" t="s">
        <v>1358</v>
      </c>
      <c r="M2315" s="475">
        <v>44574</v>
      </c>
      <c r="N2315" s="475">
        <v>44682</v>
      </c>
      <c r="O2315" s="475"/>
      <c r="P2315" s="475"/>
      <c r="Q2315" s="475"/>
      <c r="R2315" s="475"/>
      <c r="S2315" s="474" t="s">
        <v>1114</v>
      </c>
      <c r="T2315" s="474">
        <v>60</v>
      </c>
      <c r="U2315" s="474" t="s">
        <v>1109</v>
      </c>
      <c r="V2315" s="474" t="s">
        <v>986</v>
      </c>
      <c r="W2315" s="476">
        <v>360</v>
      </c>
      <c r="X2315" s="402">
        <v>832</v>
      </c>
      <c r="Y2315" s="491">
        <f t="shared" si="406"/>
        <v>299520</v>
      </c>
      <c r="Z2315" s="478">
        <v>0.53</v>
      </c>
      <c r="AA2315" s="479">
        <f>Y2315*Z2315</f>
        <v>158745.60000000001</v>
      </c>
      <c r="AB2315" s="386"/>
      <c r="AC2315" s="481">
        <v>0</v>
      </c>
      <c r="AD2315" s="474"/>
      <c r="AE2315" s="482"/>
      <c r="AF2315" s="493">
        <f t="shared" si="408"/>
        <v>158745.60000000001</v>
      </c>
      <c r="AG2315" s="474" t="s">
        <v>1071</v>
      </c>
      <c r="AH2315" s="447"/>
      <c r="AI2315" s="474">
        <v>60</v>
      </c>
      <c r="AJ2315" s="474" t="s">
        <v>1282</v>
      </c>
      <c r="AK2315" s="474" t="s">
        <v>1276</v>
      </c>
      <c r="AL2315" s="494">
        <v>63134</v>
      </c>
      <c r="AM2315" s="474" t="s">
        <v>52</v>
      </c>
      <c r="AN2315" s="474" t="s">
        <v>1074</v>
      </c>
      <c r="AO2315" s="474"/>
      <c r="AP2315" s="474"/>
      <c r="AQ2315" s="474"/>
      <c r="AR2315" s="474" t="s">
        <v>1216</v>
      </c>
      <c r="AS2315" s="387"/>
      <c r="AT2315" s="387" t="s">
        <v>1076</v>
      </c>
      <c r="AU2315" s="471"/>
      <c r="AV2315" s="262" t="str">
        <f t="shared" si="401"/>
        <v>TBD</v>
      </c>
      <c r="AW2315" s="262" cm="1">
        <f t="array" ref="AW2315">SUM(MID(0&amp;AV2315,LARGE(INDEX(ISNUMBER(--MID(AV2315,ROW($1:$8),1))*ROW($1:$8),),ROW($1:$8))+1,1)*10^ROW($1:$8)/10)</f>
        <v>0</v>
      </c>
      <c r="AX2315" s="262" t="e">
        <f>VLOOKUP($AW2315,'Item Master Data'!$A:$F,3,FALSE)</f>
        <v>#N/A</v>
      </c>
      <c r="AY2315" s="262" t="e">
        <f>VLOOKUP($AW2315,'Item Master Data'!$A:$F,6,FALSE)</f>
        <v>#N/A</v>
      </c>
      <c r="AZ2315" s="262" t="e">
        <f t="shared" si="402"/>
        <v>#N/A</v>
      </c>
      <c r="BA2315" s="262" t="e">
        <f>VLOOKUP(AW2315,'Item Master Data'!$A:$G,7,FALSE)</f>
        <v>#N/A</v>
      </c>
      <c r="BC2315" s="262" t="e">
        <f t="shared" si="403"/>
        <v>#N/A</v>
      </c>
    </row>
    <row r="2316" spans="1:55">
      <c r="A2316" s="410"/>
      <c r="B2316" s="407"/>
      <c r="C2316" s="407"/>
      <c r="D2316" s="474" t="s">
        <v>1066</v>
      </c>
      <c r="E2316" s="388" t="s">
        <v>1097</v>
      </c>
      <c r="F2316" s="474"/>
      <c r="G2316" s="474">
        <v>2022</v>
      </c>
      <c r="H2316" s="474">
        <v>8</v>
      </c>
      <c r="I2316" s="485"/>
      <c r="J2316" s="475"/>
      <c r="K2316" s="474" t="s">
        <v>5588</v>
      </c>
      <c r="L2316" s="475" t="s">
        <v>1089</v>
      </c>
      <c r="M2316" s="475">
        <v>44676</v>
      </c>
      <c r="N2316" s="475">
        <v>44774</v>
      </c>
      <c r="O2316" s="475"/>
      <c r="P2316" s="475"/>
      <c r="Q2316" s="475"/>
      <c r="R2316" s="475"/>
      <c r="S2316" s="474" t="s">
        <v>1069</v>
      </c>
      <c r="T2316" s="474">
        <v>72</v>
      </c>
      <c r="U2316" s="474"/>
      <c r="V2316" s="474" t="s">
        <v>1070</v>
      </c>
      <c r="W2316" s="476">
        <v>480</v>
      </c>
      <c r="X2316" s="402">
        <v>638</v>
      </c>
      <c r="Y2316" s="491">
        <f t="shared" si="406"/>
        <v>306240</v>
      </c>
      <c r="Z2316" s="478">
        <v>0.59</v>
      </c>
      <c r="AA2316" s="479">
        <f>Y2316*Z2316</f>
        <v>180681.59999999998</v>
      </c>
      <c r="AB2316" s="386"/>
      <c r="AC2316" s="481">
        <v>0</v>
      </c>
      <c r="AD2316" s="474"/>
      <c r="AE2316" s="482"/>
      <c r="AF2316" s="493">
        <f t="shared" si="408"/>
        <v>180681.59999999998</v>
      </c>
      <c r="AG2316" s="474" t="s">
        <v>1071</v>
      </c>
      <c r="AH2316" s="447">
        <v>10</v>
      </c>
      <c r="AI2316" s="474">
        <v>30</v>
      </c>
      <c r="AJ2316" s="474" t="s">
        <v>1095</v>
      </c>
      <c r="AK2316" s="474" t="s">
        <v>1096</v>
      </c>
      <c r="AL2316" s="494">
        <v>1719</v>
      </c>
      <c r="AM2316" s="474" t="s">
        <v>52</v>
      </c>
      <c r="AN2316" s="474" t="s">
        <v>1085</v>
      </c>
      <c r="AO2316" s="474"/>
      <c r="AP2316" s="474" t="s">
        <v>92</v>
      </c>
      <c r="AQ2316" s="474" t="s">
        <v>37</v>
      </c>
      <c r="AR2316" s="474"/>
      <c r="AS2316" s="387"/>
      <c r="AT2316" s="387"/>
      <c r="AU2316" s="471"/>
      <c r="AV2316" s="262">
        <f t="shared" si="401"/>
        <v>0</v>
      </c>
      <c r="AW2316" s="262" cm="1">
        <f t="array" ref="AW2316">SUM(MID(0&amp;AV2316,LARGE(INDEX(ISNUMBER(--MID(AV2316,ROW($1:$8),1))*ROW($1:$8),),ROW($1:$8))+1,1)*10^ROW($1:$8)/10)</f>
        <v>0</v>
      </c>
      <c r="AX2316" s="262" t="e">
        <f>VLOOKUP($AW2316,'Item Master Data'!$A:$F,3,FALSE)</f>
        <v>#N/A</v>
      </c>
      <c r="AY2316" s="262" t="e">
        <f>VLOOKUP($AW2316,'Item Master Data'!$A:$F,6,FALSE)</f>
        <v>#N/A</v>
      </c>
      <c r="AZ2316" s="262" t="e">
        <f t="shared" si="402"/>
        <v>#N/A</v>
      </c>
      <c r="BA2316" s="262" t="e">
        <f>VLOOKUP(AW2316,'Item Master Data'!$A:$G,7,FALSE)</f>
        <v>#N/A</v>
      </c>
      <c r="BC2316" s="262" t="e">
        <f t="shared" si="403"/>
        <v>#N/A</v>
      </c>
    </row>
    <row r="2317" spans="1:55">
      <c r="A2317" s="410"/>
      <c r="B2317" s="407"/>
      <c r="C2317" s="407"/>
      <c r="D2317" s="474" t="s">
        <v>1066</v>
      </c>
      <c r="E2317" s="388" t="s">
        <v>1153</v>
      </c>
      <c r="F2317" s="474"/>
      <c r="G2317" s="474">
        <v>2022</v>
      </c>
      <c r="H2317" s="474">
        <v>8</v>
      </c>
      <c r="I2317" s="485" t="s">
        <v>1078</v>
      </c>
      <c r="J2317" s="475"/>
      <c r="K2317" s="474" t="s">
        <v>1154</v>
      </c>
      <c r="L2317" s="475" t="s">
        <v>1155</v>
      </c>
      <c r="M2317" s="475">
        <v>44607</v>
      </c>
      <c r="N2317" s="475">
        <v>44774</v>
      </c>
      <c r="O2317" s="475"/>
      <c r="P2317" s="475"/>
      <c r="Q2317" s="475"/>
      <c r="R2317" s="475"/>
      <c r="S2317" s="474" t="s">
        <v>1081</v>
      </c>
      <c r="T2317" s="474">
        <v>72</v>
      </c>
      <c r="U2317" s="474" t="s">
        <v>1156</v>
      </c>
      <c r="V2317" s="474" t="s">
        <v>1070</v>
      </c>
      <c r="W2317" s="476">
        <v>480</v>
      </c>
      <c r="X2317" s="402">
        <v>377</v>
      </c>
      <c r="Y2317" s="491">
        <f t="shared" si="406"/>
        <v>180960</v>
      </c>
      <c r="Z2317" s="478">
        <v>0.48</v>
      </c>
      <c r="AA2317" s="479">
        <f>Z2317*Y2317</f>
        <v>86860.800000000003</v>
      </c>
      <c r="AB2317" s="386"/>
      <c r="AC2317" s="481">
        <f>AB2317*Y2317</f>
        <v>0</v>
      </c>
      <c r="AD2317" s="474"/>
      <c r="AE2317" s="482">
        <f>AA2317*0.0675</f>
        <v>5863.1040000000003</v>
      </c>
      <c r="AF2317" s="493">
        <f t="shared" si="408"/>
        <v>92723.90400000001</v>
      </c>
      <c r="AG2317" s="474" t="s">
        <v>47</v>
      </c>
      <c r="AH2317" s="447">
        <v>100</v>
      </c>
      <c r="AI2317" s="474">
        <v>0</v>
      </c>
      <c r="AJ2317" s="474" t="s">
        <v>1157</v>
      </c>
      <c r="AK2317" s="474" t="s">
        <v>1158</v>
      </c>
      <c r="AL2317" s="494">
        <v>28734</v>
      </c>
      <c r="AM2317" s="474" t="s">
        <v>52</v>
      </c>
      <c r="AN2317" s="474" t="s">
        <v>1109</v>
      </c>
      <c r="AO2317" s="474"/>
      <c r="AP2317" s="474" t="s">
        <v>1109</v>
      </c>
      <c r="AQ2317" s="474"/>
      <c r="AR2317" s="474"/>
      <c r="AS2317" s="387"/>
      <c r="AT2317" s="387"/>
      <c r="AU2317" s="471"/>
      <c r="AV2317" s="262" t="str">
        <f t="shared" ref="AV2317:AV2342" si="409">U2317</f>
        <v>12005832C</v>
      </c>
      <c r="AW2317" s="262" cm="1">
        <f t="array" ref="AW2317">SUM(MID(0&amp;AV2317,LARGE(INDEX(ISNUMBER(--MID(AV2317,ROW($1:$8),1))*ROW($1:$8),),ROW($1:$8))+1,1)*10^ROW($1:$8)/10)</f>
        <v>12005832</v>
      </c>
      <c r="AX2317" s="262" t="str">
        <f>VLOOKUP($AW2317,'Item Master Data'!$A:$F,3,FALSE)</f>
        <v>Q.PEAK DUO XL G10 BFG</v>
      </c>
      <c r="AY2317" s="262">
        <f>VLOOKUP($AW2317,'Item Master Data'!$A:$F,6,FALSE)</f>
        <v>480</v>
      </c>
      <c r="AZ2317" s="262" t="e">
        <f t="shared" ref="AZ2317:AZ2348" si="410">X2317/BA2317</f>
        <v>#VALUE!</v>
      </c>
      <c r="BA2317" s="262" t="str">
        <f>VLOOKUP(AW2317,'Item Master Data'!$A:$G,7,FALSE)</f>
        <v> 30</v>
      </c>
      <c r="BC2317" s="262">
        <f t="shared" ref="BC2317:BC2342" si="411">W2317-AY2317</f>
        <v>0</v>
      </c>
    </row>
    <row r="2318" spans="1:55">
      <c r="A2318" s="410"/>
      <c r="B2318" s="407"/>
      <c r="C2318" s="407"/>
      <c r="D2318" s="474" t="s">
        <v>1066</v>
      </c>
      <c r="E2318" s="388" t="s">
        <v>1153</v>
      </c>
      <c r="F2318" s="474"/>
      <c r="G2318" s="474">
        <v>2022</v>
      </c>
      <c r="H2318" s="474">
        <v>8</v>
      </c>
      <c r="I2318" s="485" t="s">
        <v>1078</v>
      </c>
      <c r="J2318" s="475"/>
      <c r="K2318" s="474" t="s">
        <v>1154</v>
      </c>
      <c r="L2318" s="475" t="s">
        <v>1155</v>
      </c>
      <c r="M2318" s="475">
        <v>44607</v>
      </c>
      <c r="N2318" s="475">
        <v>44774</v>
      </c>
      <c r="O2318" s="475"/>
      <c r="P2318" s="475"/>
      <c r="Q2318" s="475"/>
      <c r="R2318" s="475"/>
      <c r="S2318" s="474" t="s">
        <v>1081</v>
      </c>
      <c r="T2318" s="474">
        <v>72</v>
      </c>
      <c r="U2318" s="474" t="s">
        <v>1156</v>
      </c>
      <c r="V2318" s="474" t="s">
        <v>1070</v>
      </c>
      <c r="W2318" s="476">
        <v>480</v>
      </c>
      <c r="X2318" s="402">
        <v>522</v>
      </c>
      <c r="Y2318" s="491">
        <f t="shared" si="406"/>
        <v>250560</v>
      </c>
      <c r="Z2318" s="478">
        <v>0.48</v>
      </c>
      <c r="AA2318" s="479">
        <f>Z2318*Y2318</f>
        <v>120268.79999999999</v>
      </c>
      <c r="AB2318" s="386"/>
      <c r="AC2318" s="481">
        <f>AB2318*Y2318</f>
        <v>0</v>
      </c>
      <c r="AD2318" s="474"/>
      <c r="AE2318" s="482">
        <f>AA2318*0.07</f>
        <v>8418.8160000000007</v>
      </c>
      <c r="AF2318" s="493">
        <f t="shared" si="408"/>
        <v>128687.61599999999</v>
      </c>
      <c r="AG2318" s="474" t="s">
        <v>47</v>
      </c>
      <c r="AH2318" s="447">
        <v>100</v>
      </c>
      <c r="AI2318" s="474">
        <v>0</v>
      </c>
      <c r="AJ2318" s="474" t="s">
        <v>1159</v>
      </c>
      <c r="AK2318" s="474" t="s">
        <v>1158</v>
      </c>
      <c r="AL2318" s="494">
        <v>28659</v>
      </c>
      <c r="AM2318" s="474" t="s">
        <v>52</v>
      </c>
      <c r="AN2318" s="474" t="s">
        <v>1109</v>
      </c>
      <c r="AO2318" s="474"/>
      <c r="AP2318" s="474" t="s">
        <v>1109</v>
      </c>
      <c r="AQ2318" s="474"/>
      <c r="AR2318" s="474"/>
      <c r="AS2318" s="387"/>
      <c r="AT2318" s="387"/>
      <c r="AU2318" s="471"/>
      <c r="AV2318" s="262" t="str">
        <f t="shared" si="409"/>
        <v>12005832C</v>
      </c>
      <c r="AW2318" s="262" cm="1">
        <f t="array" ref="AW2318">SUM(MID(0&amp;AV2318,LARGE(INDEX(ISNUMBER(--MID(AV2318,ROW($1:$8),1))*ROW($1:$8),),ROW($1:$8))+1,1)*10^ROW($1:$8)/10)</f>
        <v>12005832</v>
      </c>
      <c r="AX2318" s="262" t="str">
        <f>VLOOKUP($AW2318,'Item Master Data'!$A:$F,3,FALSE)</f>
        <v>Q.PEAK DUO XL G10 BFG</v>
      </c>
      <c r="AY2318" s="262">
        <f>VLOOKUP($AW2318,'Item Master Data'!$A:$F,6,FALSE)</f>
        <v>480</v>
      </c>
      <c r="AZ2318" s="262" t="e">
        <f t="shared" si="410"/>
        <v>#VALUE!</v>
      </c>
      <c r="BA2318" s="262" t="str">
        <f>VLOOKUP(AW2318,'Item Master Data'!$A:$G,7,FALSE)</f>
        <v> 30</v>
      </c>
      <c r="BC2318" s="262">
        <f t="shared" si="411"/>
        <v>0</v>
      </c>
    </row>
    <row r="2319" spans="1:55">
      <c r="A2319" s="410"/>
      <c r="B2319" s="495" t="s">
        <v>1211</v>
      </c>
      <c r="C2319" s="495" t="s">
        <v>1211</v>
      </c>
      <c r="D2319" s="474" t="s">
        <v>1066</v>
      </c>
      <c r="E2319" s="394" t="s">
        <v>1283</v>
      </c>
      <c r="F2319" s="474"/>
      <c r="G2319" s="474">
        <v>2022</v>
      </c>
      <c r="H2319" s="474">
        <v>7</v>
      </c>
      <c r="I2319" s="474"/>
      <c r="J2319" s="475"/>
      <c r="K2319" s="474" t="s">
        <v>1293</v>
      </c>
      <c r="L2319" s="474" t="s">
        <v>1274</v>
      </c>
      <c r="M2319" s="475">
        <v>44517</v>
      </c>
      <c r="N2319" s="475">
        <v>44713</v>
      </c>
      <c r="O2319" s="475"/>
      <c r="P2319" s="475"/>
      <c r="Q2319" s="475"/>
      <c r="R2319" s="475"/>
      <c r="S2319" s="474" t="s">
        <v>1114</v>
      </c>
      <c r="T2319" s="474">
        <v>60</v>
      </c>
      <c r="U2319" s="474">
        <v>49201132</v>
      </c>
      <c r="V2319" s="474" t="s">
        <v>986</v>
      </c>
      <c r="W2319" s="474">
        <v>360</v>
      </c>
      <c r="X2319" s="406">
        <f>2496-832</f>
        <v>1664</v>
      </c>
      <c r="Y2319" s="477">
        <f t="shared" si="406"/>
        <v>599040</v>
      </c>
      <c r="Z2319" s="478">
        <v>0.53</v>
      </c>
      <c r="AA2319" s="479">
        <f>Z2319*Y2319</f>
        <v>317491.20000000001</v>
      </c>
      <c r="AB2319" s="386"/>
      <c r="AC2319" s="481">
        <f>AB2319*Y2319</f>
        <v>0</v>
      </c>
      <c r="AD2319" s="474"/>
      <c r="AE2319" s="482"/>
      <c r="AF2319" s="493">
        <f t="shared" si="408"/>
        <v>317491.20000000001</v>
      </c>
      <c r="AG2319" s="474" t="s">
        <v>1071</v>
      </c>
      <c r="AH2319" s="447"/>
      <c r="AI2319" s="474">
        <v>60</v>
      </c>
      <c r="AJ2319" s="474" t="s">
        <v>1275</v>
      </c>
      <c r="AK2319" s="474" t="s">
        <v>1276</v>
      </c>
      <c r="AL2319" s="494" t="s">
        <v>1277</v>
      </c>
      <c r="AM2319" s="474" t="s">
        <v>52</v>
      </c>
      <c r="AN2319" s="474" t="s">
        <v>1074</v>
      </c>
      <c r="AO2319" s="474"/>
      <c r="AP2319" s="474"/>
      <c r="AQ2319" s="474"/>
      <c r="AR2319" s="474" t="s">
        <v>1216</v>
      </c>
      <c r="AS2319" s="387"/>
      <c r="AT2319" s="387"/>
      <c r="AU2319" s="471"/>
      <c r="AV2319" s="262">
        <f t="shared" si="409"/>
        <v>49201132</v>
      </c>
      <c r="AW2319" s="262" cm="1">
        <f t="array" ref="AW2319">SUM(MID(0&amp;AV2319,LARGE(INDEX(ISNUMBER(--MID(AV2319,ROW($1:$8),1))*ROW($1:$8),),ROW($1:$8))+1,1)*10^ROW($1:$8)/10)</f>
        <v>49201132</v>
      </c>
      <c r="AX2319" s="262" t="str">
        <f>VLOOKUP($AW2319,'Item Master Data'!$A:$F,3,FALSE)</f>
        <v>Q.PEAK DUO BLK G10+</v>
      </c>
      <c r="AY2319" s="262">
        <f>VLOOKUP($AW2319,'Item Master Data'!$A:$F,6,FALSE)</f>
        <v>360</v>
      </c>
      <c r="AZ2319" s="262">
        <f t="shared" si="410"/>
        <v>52</v>
      </c>
      <c r="BA2319" s="262">
        <f>VLOOKUP(AW2319,'Item Master Data'!$A:$G,7,FALSE)</f>
        <v>32</v>
      </c>
      <c r="BC2319" s="262">
        <f t="shared" si="411"/>
        <v>0</v>
      </c>
    </row>
    <row r="2320" spans="1:55">
      <c r="A2320" s="410"/>
      <c r="B2320" s="407"/>
      <c r="C2320" s="407"/>
      <c r="D2320" s="474" t="s">
        <v>1066</v>
      </c>
      <c r="E2320" s="388"/>
      <c r="F2320" s="474"/>
      <c r="G2320" s="474">
        <v>2022</v>
      </c>
      <c r="H2320" s="474">
        <v>7</v>
      </c>
      <c r="I2320" s="485"/>
      <c r="J2320" s="475"/>
      <c r="K2320" s="474" t="s">
        <v>1327</v>
      </c>
      <c r="L2320" s="475" t="s">
        <v>1313</v>
      </c>
      <c r="M2320" s="475">
        <v>44502</v>
      </c>
      <c r="N2320" s="475">
        <v>44564</v>
      </c>
      <c r="O2320" s="475"/>
      <c r="P2320" s="475"/>
      <c r="Q2320" s="475"/>
      <c r="R2320" s="475"/>
      <c r="S2320" s="474" t="s">
        <v>1114</v>
      </c>
      <c r="T2320" s="474">
        <v>60</v>
      </c>
      <c r="U2320" s="474">
        <v>49401140</v>
      </c>
      <c r="V2320" s="474" t="s">
        <v>973</v>
      </c>
      <c r="W2320" s="476">
        <v>400</v>
      </c>
      <c r="X2320" s="402">
        <v>832</v>
      </c>
      <c r="Y2320" s="491">
        <f t="shared" si="406"/>
        <v>332800</v>
      </c>
      <c r="Z2320" s="478">
        <v>0.55000000000000004</v>
      </c>
      <c r="AA2320" s="479">
        <f>Z2320*Y2320</f>
        <v>183040.00000000003</v>
      </c>
      <c r="AB2320" s="386"/>
      <c r="AC2320" s="481">
        <f>AB2320*Y2320</f>
        <v>0</v>
      </c>
      <c r="AD2320" s="474"/>
      <c r="AE2320" s="482"/>
      <c r="AF2320" s="493">
        <f t="shared" si="408"/>
        <v>183040.00000000003</v>
      </c>
      <c r="AG2320" s="474" t="s">
        <v>1071</v>
      </c>
      <c r="AH2320" s="447"/>
      <c r="AI2320" s="474">
        <v>60</v>
      </c>
      <c r="AJ2320" s="474" t="s">
        <v>1314</v>
      </c>
      <c r="AK2320" s="474" t="s">
        <v>1125</v>
      </c>
      <c r="AL2320" s="494">
        <v>55421</v>
      </c>
      <c r="AM2320" s="474" t="s">
        <v>52</v>
      </c>
      <c r="AN2320" s="474" t="s">
        <v>1074</v>
      </c>
      <c r="AO2320" s="474"/>
      <c r="AP2320" s="474"/>
      <c r="AQ2320" s="474"/>
      <c r="AR2320" s="474"/>
      <c r="AS2320" s="387"/>
      <c r="AT2320" s="387"/>
      <c r="AU2320" s="471"/>
      <c r="AV2320" s="262">
        <f t="shared" si="409"/>
        <v>49401140</v>
      </c>
      <c r="AW2320" s="262" cm="1">
        <f t="array" ref="AW2320">SUM(MID(0&amp;AV2320,LARGE(INDEX(ISNUMBER(--MID(AV2320,ROW($1:$8),1))*ROW($1:$8),),ROW($1:$8))+1,1)*10^ROW($1:$8)/10)</f>
        <v>49401140</v>
      </c>
      <c r="AX2320" s="262" t="str">
        <f>VLOOKUP($AW2320,'Item Master Data'!$A:$F,3,FALSE)</f>
        <v>Q.PEAK DUO BLK ML G10.a+</v>
      </c>
      <c r="AY2320" s="262">
        <f>VLOOKUP($AW2320,'Item Master Data'!$A:$F,6,FALSE)</f>
        <v>400</v>
      </c>
      <c r="AZ2320" s="262">
        <f t="shared" si="410"/>
        <v>26</v>
      </c>
      <c r="BA2320" s="262">
        <f>VLOOKUP(AW2320,'Item Master Data'!$A:$G,7,FALSE)</f>
        <v>32</v>
      </c>
      <c r="BC2320" s="262">
        <f t="shared" si="411"/>
        <v>0</v>
      </c>
    </row>
    <row r="2321" spans="1:55">
      <c r="A2321" s="410"/>
      <c r="B2321" s="407"/>
      <c r="C2321" s="407"/>
      <c r="D2321" s="474" t="s">
        <v>1066</v>
      </c>
      <c r="E2321" s="388"/>
      <c r="F2321" s="474"/>
      <c r="G2321" s="474">
        <v>2022</v>
      </c>
      <c r="H2321" s="474">
        <v>7</v>
      </c>
      <c r="I2321" s="485"/>
      <c r="J2321" s="475"/>
      <c r="K2321" s="474" t="s">
        <v>1329</v>
      </c>
      <c r="L2321" s="475" t="s">
        <v>1313</v>
      </c>
      <c r="M2321" s="475">
        <v>44508</v>
      </c>
      <c r="N2321" s="475">
        <v>44682</v>
      </c>
      <c r="O2321" s="475"/>
      <c r="P2321" s="475"/>
      <c r="Q2321" s="475"/>
      <c r="R2321" s="475"/>
      <c r="S2321" s="474" t="s">
        <v>1114</v>
      </c>
      <c r="T2321" s="474">
        <v>60</v>
      </c>
      <c r="U2321" s="474">
        <v>49201132</v>
      </c>
      <c r="V2321" s="474" t="s">
        <v>986</v>
      </c>
      <c r="W2321" s="476">
        <v>360</v>
      </c>
      <c r="X2321" s="402">
        <v>9984</v>
      </c>
      <c r="Y2321" s="491">
        <f t="shared" si="406"/>
        <v>3594240</v>
      </c>
      <c r="Z2321" s="478">
        <v>0.5</v>
      </c>
      <c r="AA2321" s="479">
        <f>Y2321*Z2321</f>
        <v>1797120</v>
      </c>
      <c r="AB2321" s="386"/>
      <c r="AC2321" s="481">
        <v>0</v>
      </c>
      <c r="AD2321" s="474"/>
      <c r="AE2321" s="482"/>
      <c r="AF2321" s="493">
        <f t="shared" si="408"/>
        <v>1797120</v>
      </c>
      <c r="AG2321" s="474" t="s">
        <v>1071</v>
      </c>
      <c r="AH2321" s="447"/>
      <c r="AI2321" s="474">
        <v>60</v>
      </c>
      <c r="AJ2321" s="474" t="s">
        <v>1314</v>
      </c>
      <c r="AK2321" s="474" t="s">
        <v>1125</v>
      </c>
      <c r="AL2321" s="494" t="s">
        <v>1315</v>
      </c>
      <c r="AM2321" s="474" t="s">
        <v>52</v>
      </c>
      <c r="AN2321" s="474" t="s">
        <v>1074</v>
      </c>
      <c r="AO2321" s="474"/>
      <c r="AP2321" s="474"/>
      <c r="AQ2321" s="474" t="s">
        <v>37</v>
      </c>
      <c r="AR2321" s="474"/>
      <c r="AS2321" s="387"/>
      <c r="AT2321" s="387"/>
      <c r="AU2321" s="471"/>
      <c r="AV2321" s="262">
        <f t="shared" si="409"/>
        <v>49201132</v>
      </c>
      <c r="AW2321" s="262" cm="1">
        <f t="array" ref="AW2321">SUM(MID(0&amp;AV2321,LARGE(INDEX(ISNUMBER(--MID(AV2321,ROW($1:$8),1))*ROW($1:$8),),ROW($1:$8))+1,1)*10^ROW($1:$8)/10)</f>
        <v>49201132</v>
      </c>
      <c r="AX2321" s="262" t="str">
        <f>VLOOKUP($AW2321,'Item Master Data'!$A:$F,3,FALSE)</f>
        <v>Q.PEAK DUO BLK G10+</v>
      </c>
      <c r="AY2321" s="262">
        <f>VLOOKUP($AW2321,'Item Master Data'!$A:$F,6,FALSE)</f>
        <v>360</v>
      </c>
      <c r="AZ2321" s="262">
        <f t="shared" si="410"/>
        <v>312</v>
      </c>
      <c r="BA2321" s="262">
        <f>VLOOKUP(AW2321,'Item Master Data'!$A:$G,7,FALSE)</f>
        <v>32</v>
      </c>
      <c r="BC2321" s="262">
        <f t="shared" si="411"/>
        <v>0</v>
      </c>
    </row>
    <row r="2322" spans="1:55">
      <c r="A2322" s="410"/>
      <c r="B2322" s="407"/>
      <c r="C2322" s="407"/>
      <c r="D2322" s="474" t="s">
        <v>1066</v>
      </c>
      <c r="E2322" s="388"/>
      <c r="F2322" s="474"/>
      <c r="G2322" s="474">
        <v>2022</v>
      </c>
      <c r="H2322" s="474">
        <v>7</v>
      </c>
      <c r="I2322" s="485"/>
      <c r="J2322" s="475"/>
      <c r="K2322" s="474" t="s">
        <v>1329</v>
      </c>
      <c r="L2322" s="475" t="s">
        <v>1313</v>
      </c>
      <c r="M2322" s="475">
        <v>44508</v>
      </c>
      <c r="N2322" s="475">
        <v>44682</v>
      </c>
      <c r="O2322" s="475"/>
      <c r="P2322" s="475"/>
      <c r="Q2322" s="475"/>
      <c r="R2322" s="475"/>
      <c r="S2322" s="474" t="s">
        <v>1114</v>
      </c>
      <c r="T2322" s="474">
        <v>60</v>
      </c>
      <c r="U2322" s="474">
        <v>49401140</v>
      </c>
      <c r="V2322" s="474" t="s">
        <v>973</v>
      </c>
      <c r="W2322" s="476">
        <v>400</v>
      </c>
      <c r="X2322" s="402">
        <v>6656</v>
      </c>
      <c r="Y2322" s="491">
        <f t="shared" si="406"/>
        <v>2662400</v>
      </c>
      <c r="Z2322" s="478">
        <v>0.52</v>
      </c>
      <c r="AA2322" s="479">
        <f>Y2322*Z2322</f>
        <v>1384448</v>
      </c>
      <c r="AB2322" s="386"/>
      <c r="AC2322" s="481">
        <v>0</v>
      </c>
      <c r="AD2322" s="474"/>
      <c r="AE2322" s="482"/>
      <c r="AF2322" s="493">
        <f t="shared" si="408"/>
        <v>1384448</v>
      </c>
      <c r="AG2322" s="474" t="s">
        <v>1071</v>
      </c>
      <c r="AH2322" s="447"/>
      <c r="AI2322" s="474">
        <v>60</v>
      </c>
      <c r="AJ2322" s="474" t="s">
        <v>1314</v>
      </c>
      <c r="AK2322" s="474" t="s">
        <v>1125</v>
      </c>
      <c r="AL2322" s="494" t="s">
        <v>1315</v>
      </c>
      <c r="AM2322" s="474" t="s">
        <v>52</v>
      </c>
      <c r="AN2322" s="474" t="s">
        <v>1074</v>
      </c>
      <c r="AO2322" s="474"/>
      <c r="AP2322" s="474"/>
      <c r="AQ2322" s="474" t="s">
        <v>37</v>
      </c>
      <c r="AR2322" s="474"/>
      <c r="AS2322" s="387"/>
      <c r="AT2322" s="387"/>
      <c r="AU2322" s="471"/>
      <c r="AV2322" s="262">
        <f t="shared" si="409"/>
        <v>49401140</v>
      </c>
      <c r="AW2322" s="262" cm="1">
        <f t="array" ref="AW2322">SUM(MID(0&amp;AV2322,LARGE(INDEX(ISNUMBER(--MID(AV2322,ROW($1:$8),1))*ROW($1:$8),),ROW($1:$8))+1,1)*10^ROW($1:$8)/10)</f>
        <v>49401140</v>
      </c>
      <c r="AX2322" s="262" t="str">
        <f>VLOOKUP($AW2322,'Item Master Data'!$A:$F,3,FALSE)</f>
        <v>Q.PEAK DUO BLK ML G10.a+</v>
      </c>
      <c r="AY2322" s="262">
        <f>VLOOKUP($AW2322,'Item Master Data'!$A:$F,6,FALSE)</f>
        <v>400</v>
      </c>
      <c r="AZ2322" s="262">
        <f t="shared" si="410"/>
        <v>208</v>
      </c>
      <c r="BA2322" s="262">
        <f>VLOOKUP(AW2322,'Item Master Data'!$A:$G,7,FALSE)</f>
        <v>32</v>
      </c>
      <c r="BC2322" s="262">
        <f t="shared" si="411"/>
        <v>0</v>
      </c>
    </row>
    <row r="2323" spans="1:55">
      <c r="A2323" s="410"/>
      <c r="B2323" s="407"/>
      <c r="C2323" s="407"/>
      <c r="D2323" s="474" t="s">
        <v>1066</v>
      </c>
      <c r="E2323" s="388"/>
      <c r="F2323" s="474"/>
      <c r="G2323" s="474">
        <v>2022</v>
      </c>
      <c r="H2323" s="474">
        <v>7</v>
      </c>
      <c r="I2323" s="485" t="s">
        <v>1085</v>
      </c>
      <c r="J2323" s="475"/>
      <c r="K2323" s="474" t="s">
        <v>1331</v>
      </c>
      <c r="L2323" s="475" t="s">
        <v>1313</v>
      </c>
      <c r="M2323" s="475">
        <v>44496</v>
      </c>
      <c r="N2323" s="475">
        <v>44695</v>
      </c>
      <c r="O2323" s="475"/>
      <c r="P2323" s="475"/>
      <c r="Q2323" s="475"/>
      <c r="R2323" s="475"/>
      <c r="S2323" s="474" t="s">
        <v>1114</v>
      </c>
      <c r="T2323" s="474">
        <v>60</v>
      </c>
      <c r="U2323" s="474" t="s">
        <v>1109</v>
      </c>
      <c r="V2323" s="474" t="s">
        <v>986</v>
      </c>
      <c r="W2323" s="476">
        <v>360</v>
      </c>
      <c r="X2323" s="402">
        <v>2496</v>
      </c>
      <c r="Y2323" s="491">
        <f t="shared" si="406"/>
        <v>898560</v>
      </c>
      <c r="Z2323" s="478">
        <v>0.53</v>
      </c>
      <c r="AA2323" s="479">
        <f>Y2323*Z2323</f>
        <v>476236.80000000005</v>
      </c>
      <c r="AB2323" s="386"/>
      <c r="AC2323" s="481">
        <v>0</v>
      </c>
      <c r="AD2323" s="474"/>
      <c r="AE2323" s="482"/>
      <c r="AF2323" s="493">
        <f t="shared" si="408"/>
        <v>476236.80000000005</v>
      </c>
      <c r="AG2323" s="474" t="s">
        <v>1071</v>
      </c>
      <c r="AH2323" s="447"/>
      <c r="AI2323" s="474">
        <v>60</v>
      </c>
      <c r="AJ2323" s="474" t="s">
        <v>1314</v>
      </c>
      <c r="AK2323" s="474" t="s">
        <v>1125</v>
      </c>
      <c r="AL2323" s="494" t="s">
        <v>1315</v>
      </c>
      <c r="AM2323" s="474" t="s">
        <v>52</v>
      </c>
      <c r="AN2323" s="474" t="s">
        <v>1074</v>
      </c>
      <c r="AO2323" s="474"/>
      <c r="AP2323" s="474"/>
      <c r="AQ2323" s="474" t="s">
        <v>37</v>
      </c>
      <c r="AR2323" s="474"/>
      <c r="AS2323" s="387"/>
      <c r="AT2323" s="387"/>
      <c r="AU2323" s="471"/>
      <c r="AV2323" s="262" t="str">
        <f t="shared" si="409"/>
        <v>TBD</v>
      </c>
      <c r="AW2323" s="262" cm="1">
        <f t="array" ref="AW2323">SUM(MID(0&amp;AV2323,LARGE(INDEX(ISNUMBER(--MID(AV2323,ROW($1:$8),1))*ROW($1:$8),),ROW($1:$8))+1,1)*10^ROW($1:$8)/10)</f>
        <v>0</v>
      </c>
      <c r="AX2323" s="262" t="e">
        <f>VLOOKUP($AW2323,'Item Master Data'!$A:$F,3,FALSE)</f>
        <v>#N/A</v>
      </c>
      <c r="AY2323" s="262" t="e">
        <f>VLOOKUP($AW2323,'Item Master Data'!$A:$F,6,FALSE)</f>
        <v>#N/A</v>
      </c>
      <c r="AZ2323" s="262" t="e">
        <f t="shared" si="410"/>
        <v>#N/A</v>
      </c>
      <c r="BA2323" s="262" t="e">
        <f>VLOOKUP(AW2323,'Item Master Data'!$A:$G,7,FALSE)</f>
        <v>#N/A</v>
      </c>
      <c r="BC2323" s="262" t="e">
        <f t="shared" si="411"/>
        <v>#N/A</v>
      </c>
    </row>
    <row r="2324" spans="1:55">
      <c r="A2324" s="410"/>
      <c r="B2324" s="407"/>
      <c r="C2324" s="407"/>
      <c r="D2324" s="474" t="s">
        <v>1066</v>
      </c>
      <c r="E2324" s="388"/>
      <c r="F2324" s="474"/>
      <c r="G2324" s="474">
        <v>2022</v>
      </c>
      <c r="H2324" s="474">
        <v>7</v>
      </c>
      <c r="I2324" s="485"/>
      <c r="J2324" s="475"/>
      <c r="K2324" s="474" t="s">
        <v>1329</v>
      </c>
      <c r="L2324" s="475" t="s">
        <v>1313</v>
      </c>
      <c r="M2324" s="475">
        <v>44508</v>
      </c>
      <c r="N2324" s="475">
        <v>44713</v>
      </c>
      <c r="O2324" s="475"/>
      <c r="P2324" s="475"/>
      <c r="Q2324" s="475"/>
      <c r="R2324" s="475"/>
      <c r="S2324" s="474" t="s">
        <v>1114</v>
      </c>
      <c r="T2324" s="474">
        <v>60</v>
      </c>
      <c r="U2324" s="474">
        <v>49401140</v>
      </c>
      <c r="V2324" s="474" t="s">
        <v>973</v>
      </c>
      <c r="W2324" s="476">
        <v>400</v>
      </c>
      <c r="X2324" s="402">
        <v>9984</v>
      </c>
      <c r="Y2324" s="491">
        <f t="shared" si="406"/>
        <v>3993600</v>
      </c>
      <c r="Z2324" s="478">
        <v>0.52</v>
      </c>
      <c r="AA2324" s="479">
        <f>Y2324*Z2324</f>
        <v>2076672</v>
      </c>
      <c r="AB2324" s="386"/>
      <c r="AC2324" s="481">
        <v>0</v>
      </c>
      <c r="AD2324" s="474"/>
      <c r="AE2324" s="482"/>
      <c r="AF2324" s="493">
        <f t="shared" si="408"/>
        <v>2076672</v>
      </c>
      <c r="AG2324" s="474" t="s">
        <v>1071</v>
      </c>
      <c r="AH2324" s="447"/>
      <c r="AI2324" s="474">
        <v>60</v>
      </c>
      <c r="AJ2324" s="474" t="s">
        <v>1314</v>
      </c>
      <c r="AK2324" s="474" t="s">
        <v>1125</v>
      </c>
      <c r="AL2324" s="494" t="s">
        <v>1315</v>
      </c>
      <c r="AM2324" s="474" t="s">
        <v>52</v>
      </c>
      <c r="AN2324" s="474" t="s">
        <v>1074</v>
      </c>
      <c r="AO2324" s="474"/>
      <c r="AP2324" s="474"/>
      <c r="AQ2324" s="474" t="s">
        <v>37</v>
      </c>
      <c r="AR2324" s="474"/>
      <c r="AS2324" s="387"/>
      <c r="AT2324" s="387"/>
      <c r="AU2324" s="471"/>
      <c r="AV2324" s="262">
        <f t="shared" si="409"/>
        <v>49401140</v>
      </c>
      <c r="AW2324" s="262" cm="1">
        <f t="array" ref="AW2324">SUM(MID(0&amp;AV2324,LARGE(INDEX(ISNUMBER(--MID(AV2324,ROW($1:$8),1))*ROW($1:$8),),ROW($1:$8))+1,1)*10^ROW($1:$8)/10)</f>
        <v>49401140</v>
      </c>
      <c r="AX2324" s="262" t="str">
        <f>VLOOKUP($AW2324,'Item Master Data'!$A:$F,3,FALSE)</f>
        <v>Q.PEAK DUO BLK ML G10.a+</v>
      </c>
      <c r="AY2324" s="262">
        <f>VLOOKUP($AW2324,'Item Master Data'!$A:$F,6,FALSE)</f>
        <v>400</v>
      </c>
      <c r="AZ2324" s="262">
        <f t="shared" si="410"/>
        <v>312</v>
      </c>
      <c r="BA2324" s="262">
        <f>VLOOKUP(AW2324,'Item Master Data'!$A:$G,7,FALSE)</f>
        <v>32</v>
      </c>
      <c r="BC2324" s="262">
        <f t="shared" si="411"/>
        <v>0</v>
      </c>
    </row>
    <row r="2325" spans="1:55">
      <c r="A2325" s="410"/>
      <c r="B2325" s="407" t="s">
        <v>1211</v>
      </c>
      <c r="C2325" s="407">
        <v>44573</v>
      </c>
      <c r="D2325" s="474" t="s">
        <v>1066</v>
      </c>
      <c r="E2325" s="414"/>
      <c r="F2325" s="474" t="s">
        <v>1376</v>
      </c>
      <c r="G2325" s="474">
        <v>2022</v>
      </c>
      <c r="H2325" s="474">
        <v>3</v>
      </c>
      <c r="I2325" s="485">
        <v>127890</v>
      </c>
      <c r="J2325" s="475">
        <v>44651</v>
      </c>
      <c r="K2325" s="474" t="s">
        <v>1377</v>
      </c>
      <c r="L2325" s="475" t="s">
        <v>1378</v>
      </c>
      <c r="M2325" s="475">
        <v>44246</v>
      </c>
      <c r="N2325" s="475">
        <v>44445</v>
      </c>
      <c r="O2325" s="475"/>
      <c r="P2325" s="475">
        <v>44602</v>
      </c>
      <c r="Q2325" s="475">
        <v>44621</v>
      </c>
      <c r="R2325" s="475">
        <v>44651</v>
      </c>
      <c r="S2325" s="474" t="s">
        <v>1102</v>
      </c>
      <c r="T2325" s="474">
        <v>72</v>
      </c>
      <c r="U2325" s="474" t="s">
        <v>1156</v>
      </c>
      <c r="V2325" s="474" t="s">
        <v>1070</v>
      </c>
      <c r="W2325" s="476">
        <v>480</v>
      </c>
      <c r="X2325" s="412">
        <v>21000</v>
      </c>
      <c r="Y2325" s="491">
        <f t="shared" si="406"/>
        <v>10080000</v>
      </c>
      <c r="Z2325" s="478">
        <v>0.38159999999999999</v>
      </c>
      <c r="AA2325" s="479">
        <f t="shared" ref="AA2325:AA2335" si="412">Z2325*Y2325</f>
        <v>3846528</v>
      </c>
      <c r="AB2325" s="386"/>
      <c r="AC2325" s="481">
        <f t="shared" ref="AC2325:AC2349" si="413">AB2325*Y2325</f>
        <v>0</v>
      </c>
      <c r="AD2325" s="474"/>
      <c r="AE2325" s="482"/>
      <c r="AF2325" s="493">
        <f t="shared" si="408"/>
        <v>3846528</v>
      </c>
      <c r="AG2325" s="474" t="s">
        <v>47</v>
      </c>
      <c r="AH2325" s="447">
        <v>5</v>
      </c>
      <c r="AI2325" s="474">
        <v>30</v>
      </c>
      <c r="AJ2325" s="474" t="s">
        <v>1380</v>
      </c>
      <c r="AK2325" s="474" t="s">
        <v>1144</v>
      </c>
      <c r="AL2325" s="494">
        <v>76904</v>
      </c>
      <c r="AM2325" s="474" t="s">
        <v>52</v>
      </c>
      <c r="AN2325" s="474" t="s">
        <v>50</v>
      </c>
      <c r="AO2325" s="474"/>
      <c r="AP2325" s="474" t="s">
        <v>38</v>
      </c>
      <c r="AQ2325" s="474" t="s">
        <v>1086</v>
      </c>
      <c r="AR2325" s="474"/>
      <c r="AS2325" s="387" t="s">
        <v>1087</v>
      </c>
      <c r="AT2325" s="387" t="s">
        <v>1076</v>
      </c>
      <c r="AU2325" s="471"/>
      <c r="AV2325" s="262" t="str">
        <f t="shared" si="409"/>
        <v>12005832C</v>
      </c>
      <c r="AW2325" s="262" cm="1">
        <f t="array" ref="AW2325">SUM(MID(0&amp;AV2325,LARGE(INDEX(ISNUMBER(--MID(AV2325,ROW($1:$8),1))*ROW($1:$8),),ROW($1:$8))+1,1)*10^ROW($1:$8)/10)</f>
        <v>12005832</v>
      </c>
      <c r="AX2325" s="262" t="str">
        <f>VLOOKUP($AW2325,'Item Master Data'!$A:$F,3,FALSE)</f>
        <v>Q.PEAK DUO XL G10 BFG</v>
      </c>
      <c r="AY2325" s="262">
        <f>VLOOKUP($AW2325,'Item Master Data'!$A:$F,6,FALSE)</f>
        <v>480</v>
      </c>
      <c r="AZ2325" s="262" t="e">
        <f t="shared" si="410"/>
        <v>#VALUE!</v>
      </c>
      <c r="BA2325" s="262" t="str">
        <f>VLOOKUP(AW2325,'Item Master Data'!$A:$G,7,FALSE)</f>
        <v> 30</v>
      </c>
      <c r="BC2325" s="262">
        <f t="shared" si="411"/>
        <v>0</v>
      </c>
    </row>
    <row r="2326" spans="1:55">
      <c r="A2326" s="410"/>
      <c r="B2326" s="407" t="s">
        <v>1211</v>
      </c>
      <c r="C2326" s="407">
        <v>44573</v>
      </c>
      <c r="D2326" s="474" t="s">
        <v>1066</v>
      </c>
      <c r="E2326" s="414"/>
      <c r="F2326" s="474" t="s">
        <v>1376</v>
      </c>
      <c r="G2326" s="474">
        <v>2022</v>
      </c>
      <c r="H2326" s="474">
        <v>3</v>
      </c>
      <c r="I2326" s="485">
        <v>127890</v>
      </c>
      <c r="J2326" s="475">
        <v>44651</v>
      </c>
      <c r="K2326" s="474" t="s">
        <v>1377</v>
      </c>
      <c r="L2326" s="475" t="s">
        <v>1378</v>
      </c>
      <c r="M2326" s="475">
        <v>44246</v>
      </c>
      <c r="N2326" s="475">
        <v>44445</v>
      </c>
      <c r="O2326" s="475"/>
      <c r="P2326" s="475">
        <v>44602</v>
      </c>
      <c r="Q2326" s="475">
        <v>44621</v>
      </c>
      <c r="R2326" s="475">
        <v>44651</v>
      </c>
      <c r="S2326" s="474" t="s">
        <v>1102</v>
      </c>
      <c r="T2326" s="474">
        <v>72</v>
      </c>
      <c r="U2326" s="474" t="s">
        <v>1156</v>
      </c>
      <c r="V2326" s="474" t="s">
        <v>1070</v>
      </c>
      <c r="W2326" s="476">
        <v>480</v>
      </c>
      <c r="X2326" s="412">
        <v>3776</v>
      </c>
      <c r="Y2326" s="491">
        <f t="shared" si="406"/>
        <v>1812480</v>
      </c>
      <c r="Z2326" s="478">
        <v>0.38159999999999999</v>
      </c>
      <c r="AA2326" s="479">
        <f t="shared" si="412"/>
        <v>691642.36800000002</v>
      </c>
      <c r="AB2326" s="386"/>
      <c r="AC2326" s="481">
        <f t="shared" si="413"/>
        <v>0</v>
      </c>
      <c r="AD2326" s="474"/>
      <c r="AE2326" s="482"/>
      <c r="AF2326" s="493">
        <f t="shared" si="408"/>
        <v>691642.36800000002</v>
      </c>
      <c r="AG2326" s="474" t="s">
        <v>47</v>
      </c>
      <c r="AH2326" s="447">
        <v>5</v>
      </c>
      <c r="AI2326" s="474">
        <v>30</v>
      </c>
      <c r="AJ2326" s="474" t="s">
        <v>1380</v>
      </c>
      <c r="AK2326" s="474" t="s">
        <v>1144</v>
      </c>
      <c r="AL2326" s="494">
        <v>76904</v>
      </c>
      <c r="AM2326" s="474" t="s">
        <v>52</v>
      </c>
      <c r="AN2326" s="474" t="s">
        <v>50</v>
      </c>
      <c r="AO2326" s="474"/>
      <c r="AP2326" s="474" t="s">
        <v>38</v>
      </c>
      <c r="AQ2326" s="474" t="s">
        <v>1086</v>
      </c>
      <c r="AR2326" s="474"/>
      <c r="AS2326" s="387" t="s">
        <v>1087</v>
      </c>
      <c r="AT2326" s="387" t="s">
        <v>1076</v>
      </c>
      <c r="AU2326" s="471"/>
      <c r="AV2326" s="262" t="str">
        <f t="shared" si="409"/>
        <v>12005832C</v>
      </c>
      <c r="AW2326" s="262" cm="1">
        <f t="array" ref="AW2326">SUM(MID(0&amp;AV2326,LARGE(INDEX(ISNUMBER(--MID(AV2326,ROW($1:$8),1))*ROW($1:$8),),ROW($1:$8))+1,1)*10^ROW($1:$8)/10)</f>
        <v>12005832</v>
      </c>
      <c r="AX2326" s="262" t="str">
        <f>VLOOKUP($AW2326,'Item Master Data'!$A:$F,3,FALSE)</f>
        <v>Q.PEAK DUO XL G10 BFG</v>
      </c>
      <c r="AY2326" s="262">
        <f>VLOOKUP($AW2326,'Item Master Data'!$A:$F,6,FALSE)</f>
        <v>480</v>
      </c>
      <c r="AZ2326" s="262" t="e">
        <f t="shared" si="410"/>
        <v>#VALUE!</v>
      </c>
      <c r="BA2326" s="262" t="str">
        <f>VLOOKUP(AW2326,'Item Master Data'!$A:$G,7,FALSE)</f>
        <v> 30</v>
      </c>
      <c r="BC2326" s="262">
        <f t="shared" si="411"/>
        <v>0</v>
      </c>
    </row>
    <row r="2327" spans="1:55">
      <c r="A2327" s="410"/>
      <c r="B2327" s="407"/>
      <c r="C2327" s="407"/>
      <c r="D2327" s="474" t="s">
        <v>1066</v>
      </c>
      <c r="E2327" s="388" t="s">
        <v>1153</v>
      </c>
      <c r="F2327" s="474"/>
      <c r="G2327" s="474">
        <v>2022</v>
      </c>
      <c r="H2327" s="474">
        <v>8</v>
      </c>
      <c r="I2327" s="485" t="s">
        <v>1078</v>
      </c>
      <c r="J2327" s="475"/>
      <c r="K2327" s="474" t="s">
        <v>1154</v>
      </c>
      <c r="L2327" s="475" t="s">
        <v>1155</v>
      </c>
      <c r="M2327" s="475">
        <v>44607</v>
      </c>
      <c r="N2327" s="475">
        <v>44774</v>
      </c>
      <c r="O2327" s="475"/>
      <c r="P2327" s="475"/>
      <c r="Q2327" s="475"/>
      <c r="R2327" s="475"/>
      <c r="S2327" s="474" t="s">
        <v>1081</v>
      </c>
      <c r="T2327" s="474">
        <v>72</v>
      </c>
      <c r="U2327" s="474" t="s">
        <v>1156</v>
      </c>
      <c r="V2327" s="474" t="s">
        <v>1070</v>
      </c>
      <c r="W2327" s="476">
        <v>480</v>
      </c>
      <c r="X2327" s="402">
        <v>290</v>
      </c>
      <c r="Y2327" s="491">
        <f t="shared" si="406"/>
        <v>139200</v>
      </c>
      <c r="Z2327" s="478">
        <v>0.48</v>
      </c>
      <c r="AA2327" s="479">
        <f t="shared" si="412"/>
        <v>66816</v>
      </c>
      <c r="AB2327" s="386"/>
      <c r="AC2327" s="481">
        <f t="shared" si="413"/>
        <v>0</v>
      </c>
      <c r="AD2327" s="474"/>
      <c r="AE2327" s="482">
        <f>AA2327*0.0675</f>
        <v>4510.08</v>
      </c>
      <c r="AF2327" s="493">
        <f t="shared" si="408"/>
        <v>71326.080000000002</v>
      </c>
      <c r="AG2327" s="474" t="s">
        <v>47</v>
      </c>
      <c r="AH2327" s="447">
        <v>100</v>
      </c>
      <c r="AI2327" s="474">
        <v>0</v>
      </c>
      <c r="AJ2327" s="474" t="s">
        <v>1160</v>
      </c>
      <c r="AK2327" s="474" t="s">
        <v>1158</v>
      </c>
      <c r="AL2327" s="494">
        <v>28345</v>
      </c>
      <c r="AM2327" s="474" t="s">
        <v>52</v>
      </c>
      <c r="AN2327" s="474" t="s">
        <v>1109</v>
      </c>
      <c r="AO2327" s="474"/>
      <c r="AP2327" s="474" t="s">
        <v>1109</v>
      </c>
      <c r="AQ2327" s="474"/>
      <c r="AR2327" s="474"/>
      <c r="AS2327" s="387"/>
      <c r="AT2327" s="387"/>
      <c r="AU2327" s="471"/>
      <c r="AV2327" s="262" t="str">
        <f t="shared" si="409"/>
        <v>12005832C</v>
      </c>
      <c r="AW2327" s="262" cm="1">
        <f t="array" ref="AW2327">SUM(MID(0&amp;AV2327,LARGE(INDEX(ISNUMBER(--MID(AV2327,ROW($1:$8),1))*ROW($1:$8),),ROW($1:$8))+1,1)*10^ROW($1:$8)/10)</f>
        <v>12005832</v>
      </c>
      <c r="AX2327" s="262" t="str">
        <f>VLOOKUP($AW2327,'Item Master Data'!$A:$F,3,FALSE)</f>
        <v>Q.PEAK DUO XL G10 BFG</v>
      </c>
      <c r="AY2327" s="262">
        <f>VLOOKUP($AW2327,'Item Master Data'!$A:$F,6,FALSE)</f>
        <v>480</v>
      </c>
      <c r="AZ2327" s="262" t="e">
        <f t="shared" si="410"/>
        <v>#VALUE!</v>
      </c>
      <c r="BA2327" s="262" t="str">
        <f>VLOOKUP(AW2327,'Item Master Data'!$A:$G,7,FALSE)</f>
        <v> 30</v>
      </c>
      <c r="BC2327" s="262">
        <f t="shared" si="411"/>
        <v>0</v>
      </c>
    </row>
    <row r="2328" spans="1:55">
      <c r="A2328" s="410"/>
      <c r="B2328" s="407"/>
      <c r="C2328" s="407"/>
      <c r="D2328" s="474" t="s">
        <v>1066</v>
      </c>
      <c r="E2328" s="388" t="s">
        <v>1153</v>
      </c>
      <c r="F2328" s="474"/>
      <c r="G2328" s="474">
        <v>2022</v>
      </c>
      <c r="H2328" s="474">
        <v>8</v>
      </c>
      <c r="I2328" s="485" t="s">
        <v>1078</v>
      </c>
      <c r="J2328" s="475"/>
      <c r="K2328" s="474" t="s">
        <v>1154</v>
      </c>
      <c r="L2328" s="475" t="s">
        <v>1155</v>
      </c>
      <c r="M2328" s="475">
        <v>44607</v>
      </c>
      <c r="N2328" s="475">
        <v>44774</v>
      </c>
      <c r="O2328" s="475"/>
      <c r="P2328" s="475"/>
      <c r="Q2328" s="475"/>
      <c r="R2328" s="475"/>
      <c r="S2328" s="474" t="s">
        <v>1081</v>
      </c>
      <c r="T2328" s="474">
        <v>72</v>
      </c>
      <c r="U2328" s="474" t="s">
        <v>1156</v>
      </c>
      <c r="V2328" s="474" t="s">
        <v>1070</v>
      </c>
      <c r="W2328" s="476">
        <v>480</v>
      </c>
      <c r="X2328" s="402">
        <v>522</v>
      </c>
      <c r="Y2328" s="491">
        <f t="shared" si="406"/>
        <v>250560</v>
      </c>
      <c r="Z2328" s="478">
        <v>0.48</v>
      </c>
      <c r="AA2328" s="479">
        <f t="shared" si="412"/>
        <v>120268.79999999999</v>
      </c>
      <c r="AB2328" s="386"/>
      <c r="AC2328" s="481">
        <f t="shared" si="413"/>
        <v>0</v>
      </c>
      <c r="AD2328" s="474"/>
      <c r="AE2328" s="482">
        <f>AA2328*0.0675</f>
        <v>8118.1439999999993</v>
      </c>
      <c r="AF2328" s="493">
        <f t="shared" si="408"/>
        <v>128386.94399999999</v>
      </c>
      <c r="AG2328" s="474" t="s">
        <v>47</v>
      </c>
      <c r="AH2328" s="447">
        <v>100</v>
      </c>
      <c r="AI2328" s="474">
        <v>0</v>
      </c>
      <c r="AJ2328" s="474" t="s">
        <v>1161</v>
      </c>
      <c r="AK2328" s="474" t="s">
        <v>1158</v>
      </c>
      <c r="AL2328" s="494">
        <v>28759</v>
      </c>
      <c r="AM2328" s="474" t="s">
        <v>52</v>
      </c>
      <c r="AN2328" s="474" t="s">
        <v>1109</v>
      </c>
      <c r="AO2328" s="474"/>
      <c r="AP2328" s="474" t="s">
        <v>1109</v>
      </c>
      <c r="AQ2328" s="474"/>
      <c r="AR2328" s="474"/>
      <c r="AS2328" s="387"/>
      <c r="AT2328" s="387"/>
      <c r="AU2328" s="471"/>
      <c r="AV2328" s="262" t="str">
        <f t="shared" si="409"/>
        <v>12005832C</v>
      </c>
      <c r="AW2328" s="262" cm="1">
        <f t="array" ref="AW2328">SUM(MID(0&amp;AV2328,LARGE(INDEX(ISNUMBER(--MID(AV2328,ROW($1:$8),1))*ROW($1:$8),),ROW($1:$8))+1,1)*10^ROW($1:$8)/10)</f>
        <v>12005832</v>
      </c>
      <c r="AX2328" s="262" t="str">
        <f>VLOOKUP($AW2328,'Item Master Data'!$A:$F,3,FALSE)</f>
        <v>Q.PEAK DUO XL G10 BFG</v>
      </c>
      <c r="AY2328" s="262">
        <f>VLOOKUP($AW2328,'Item Master Data'!$A:$F,6,FALSE)</f>
        <v>480</v>
      </c>
      <c r="AZ2328" s="262" t="e">
        <f t="shared" si="410"/>
        <v>#VALUE!</v>
      </c>
      <c r="BA2328" s="262" t="str">
        <f>VLOOKUP(AW2328,'Item Master Data'!$A:$G,7,FALSE)</f>
        <v> 30</v>
      </c>
      <c r="BC2328" s="262">
        <f t="shared" si="411"/>
        <v>0</v>
      </c>
    </row>
    <row r="2329" spans="1:55">
      <c r="A2329" s="410"/>
      <c r="B2329" s="407"/>
      <c r="C2329" s="407"/>
      <c r="D2329" s="474" t="s">
        <v>1066</v>
      </c>
      <c r="E2329" s="388" t="s">
        <v>5403</v>
      </c>
      <c r="F2329" s="474" t="s">
        <v>87</v>
      </c>
      <c r="G2329" s="474">
        <v>2022</v>
      </c>
      <c r="H2329" s="474">
        <v>5</v>
      </c>
      <c r="I2329" s="485"/>
      <c r="J2329" s="475"/>
      <c r="K2329" s="474" t="s">
        <v>5189</v>
      </c>
      <c r="L2329" s="475" t="s">
        <v>1368</v>
      </c>
      <c r="M2329" s="475">
        <v>44665</v>
      </c>
      <c r="N2329" s="475">
        <v>44682</v>
      </c>
      <c r="O2329" s="475"/>
      <c r="P2329" s="475"/>
      <c r="Q2329" s="475"/>
      <c r="R2329" s="475"/>
      <c r="S2329" s="474" t="s">
        <v>1069</v>
      </c>
      <c r="T2329" s="474">
        <v>72</v>
      </c>
      <c r="U2329" s="474"/>
      <c r="V2329" s="474" t="s">
        <v>1070</v>
      </c>
      <c r="W2329" s="476">
        <v>480</v>
      </c>
      <c r="X2329" s="402">
        <v>1595</v>
      </c>
      <c r="Y2329" s="491">
        <f t="shared" si="406"/>
        <v>765600</v>
      </c>
      <c r="Z2329" s="478">
        <v>0.55000000000000004</v>
      </c>
      <c r="AA2329" s="479">
        <f t="shared" si="412"/>
        <v>421080.00000000006</v>
      </c>
      <c r="AB2329" s="386"/>
      <c r="AC2329" s="481">
        <f t="shared" si="413"/>
        <v>0</v>
      </c>
      <c r="AD2329" s="474"/>
      <c r="AE2329" s="482"/>
      <c r="AF2329" s="493">
        <f t="shared" si="408"/>
        <v>421080.00000000006</v>
      </c>
      <c r="AG2329" s="474" t="s">
        <v>1071</v>
      </c>
      <c r="AH2329" s="447">
        <v>0</v>
      </c>
      <c r="AI2329" s="474">
        <v>60</v>
      </c>
      <c r="AJ2329" s="474" t="s">
        <v>5190</v>
      </c>
      <c r="AK2329" s="474" t="s">
        <v>1370</v>
      </c>
      <c r="AL2329" s="494">
        <v>5655</v>
      </c>
      <c r="AM2329" s="474" t="s">
        <v>52</v>
      </c>
      <c r="AN2329" s="474" t="s">
        <v>1074</v>
      </c>
      <c r="AO2329" s="474"/>
      <c r="AP2329" s="474"/>
      <c r="AQ2329" s="474" t="s">
        <v>1086</v>
      </c>
      <c r="AR2329" s="474"/>
      <c r="AS2329" s="387" t="s">
        <v>1087</v>
      </c>
      <c r="AT2329" s="387" t="s">
        <v>1076</v>
      </c>
      <c r="AU2329" s="471"/>
      <c r="AV2329" s="262">
        <f t="shared" si="409"/>
        <v>0</v>
      </c>
      <c r="AW2329" s="262" cm="1">
        <f t="array" ref="AW2329">SUM(MID(0&amp;AV2329,LARGE(INDEX(ISNUMBER(--MID(AV2329,ROW($1:$8),1))*ROW($1:$8),),ROW($1:$8))+1,1)*10^ROW($1:$8)/10)</f>
        <v>0</v>
      </c>
      <c r="AX2329" s="262" t="e">
        <f>VLOOKUP($AW2329,'Item Master Data'!$A:$F,3,FALSE)</f>
        <v>#N/A</v>
      </c>
      <c r="AY2329" s="262" t="e">
        <f>VLOOKUP($AW2329,'Item Master Data'!$A:$F,6,FALSE)</f>
        <v>#N/A</v>
      </c>
      <c r="AZ2329" s="262" t="e">
        <f t="shared" si="410"/>
        <v>#N/A</v>
      </c>
      <c r="BA2329" s="262" t="e">
        <f>VLOOKUP(AW2329,'Item Master Data'!$A:$G,7,FALSE)</f>
        <v>#N/A</v>
      </c>
      <c r="BC2329" s="262" t="e">
        <f t="shared" si="411"/>
        <v>#N/A</v>
      </c>
    </row>
    <row r="2330" spans="1:55">
      <c r="A2330" s="410"/>
      <c r="B2330" s="407" t="s">
        <v>1211</v>
      </c>
      <c r="C2330" s="407">
        <v>44573</v>
      </c>
      <c r="D2330" s="474" t="s">
        <v>1066</v>
      </c>
      <c r="E2330" s="414"/>
      <c r="F2330" s="474" t="s">
        <v>1376</v>
      </c>
      <c r="G2330" s="474">
        <v>2022</v>
      </c>
      <c r="H2330" s="474">
        <v>3</v>
      </c>
      <c r="I2330" s="485">
        <v>127890</v>
      </c>
      <c r="J2330" s="475">
        <v>44651</v>
      </c>
      <c r="K2330" s="474" t="s">
        <v>1377</v>
      </c>
      <c r="L2330" s="475" t="s">
        <v>1378</v>
      </c>
      <c r="M2330" s="475">
        <v>44246</v>
      </c>
      <c r="N2330" s="475">
        <v>44445</v>
      </c>
      <c r="O2330" s="475"/>
      <c r="P2330" s="475">
        <v>44602</v>
      </c>
      <c r="Q2330" s="475">
        <v>44621</v>
      </c>
      <c r="R2330" s="475">
        <v>44651</v>
      </c>
      <c r="S2330" s="474" t="s">
        <v>1102</v>
      </c>
      <c r="T2330" s="474">
        <v>72</v>
      </c>
      <c r="U2330" s="474">
        <v>12005832</v>
      </c>
      <c r="V2330" s="474" t="s">
        <v>1070</v>
      </c>
      <c r="W2330" s="476">
        <v>480</v>
      </c>
      <c r="X2330" s="412">
        <v>2824</v>
      </c>
      <c r="Y2330" s="491">
        <f t="shared" si="406"/>
        <v>1355520</v>
      </c>
      <c r="Z2330" s="478">
        <v>0.38159999999999999</v>
      </c>
      <c r="AA2330" s="479">
        <f t="shared" si="412"/>
        <v>517266.43199999997</v>
      </c>
      <c r="AB2330" s="386"/>
      <c r="AC2330" s="481">
        <f t="shared" si="413"/>
        <v>0</v>
      </c>
      <c r="AD2330" s="474"/>
      <c r="AE2330" s="482"/>
      <c r="AF2330" s="493">
        <f t="shared" si="408"/>
        <v>517266.43199999997</v>
      </c>
      <c r="AG2330" s="474" t="s">
        <v>47</v>
      </c>
      <c r="AH2330" s="447">
        <v>5</v>
      </c>
      <c r="AI2330" s="474">
        <v>30</v>
      </c>
      <c r="AJ2330" s="474" t="s">
        <v>1380</v>
      </c>
      <c r="AK2330" s="474" t="s">
        <v>1144</v>
      </c>
      <c r="AL2330" s="494">
        <v>76904</v>
      </c>
      <c r="AM2330" s="474" t="s">
        <v>52</v>
      </c>
      <c r="AN2330" s="474" t="s">
        <v>50</v>
      </c>
      <c r="AO2330" s="474"/>
      <c r="AP2330" s="474"/>
      <c r="AQ2330" s="474" t="s">
        <v>1086</v>
      </c>
      <c r="AR2330" s="474"/>
      <c r="AS2330" s="387" t="s">
        <v>1087</v>
      </c>
      <c r="AT2330" s="387" t="s">
        <v>1076</v>
      </c>
      <c r="AU2330" s="471"/>
      <c r="AV2330" s="262">
        <f t="shared" si="409"/>
        <v>12005832</v>
      </c>
      <c r="AW2330" s="262" cm="1">
        <f t="array" ref="AW2330">SUM(MID(0&amp;AV2330,LARGE(INDEX(ISNUMBER(--MID(AV2330,ROW($1:$8),1))*ROW($1:$8),),ROW($1:$8))+1,1)*10^ROW($1:$8)/10)</f>
        <v>12005832</v>
      </c>
      <c r="AX2330" s="262" t="str">
        <f>VLOOKUP($AW2330,'Item Master Data'!$A:$F,3,FALSE)</f>
        <v>Q.PEAK DUO XL G10 BFG</v>
      </c>
      <c r="AY2330" s="262">
        <f>VLOOKUP($AW2330,'Item Master Data'!$A:$F,6,FALSE)</f>
        <v>480</v>
      </c>
      <c r="AZ2330" s="262" t="e">
        <f t="shared" si="410"/>
        <v>#VALUE!</v>
      </c>
      <c r="BA2330" s="262" t="str">
        <f>VLOOKUP(AW2330,'Item Master Data'!$A:$G,7,FALSE)</f>
        <v> 30</v>
      </c>
      <c r="BC2330" s="262">
        <f t="shared" si="411"/>
        <v>0</v>
      </c>
    </row>
    <row r="2331" spans="1:55">
      <c r="A2331" s="410"/>
      <c r="B2331" s="407" t="s">
        <v>1211</v>
      </c>
      <c r="C2331" s="407">
        <v>44573</v>
      </c>
      <c r="D2331" s="474" t="s">
        <v>1066</v>
      </c>
      <c r="E2331" s="414"/>
      <c r="F2331" s="474" t="s">
        <v>1376</v>
      </c>
      <c r="G2331" s="474">
        <v>2022</v>
      </c>
      <c r="H2331" s="474">
        <v>3</v>
      </c>
      <c r="I2331" s="485">
        <v>127890</v>
      </c>
      <c r="J2331" s="475">
        <v>44651</v>
      </c>
      <c r="K2331" s="474" t="s">
        <v>1377</v>
      </c>
      <c r="L2331" s="475" t="s">
        <v>1378</v>
      </c>
      <c r="M2331" s="475">
        <v>44246</v>
      </c>
      <c r="N2331" s="475">
        <v>44445</v>
      </c>
      <c r="O2331" s="475"/>
      <c r="P2331" s="475">
        <v>44602</v>
      </c>
      <c r="Q2331" s="475">
        <v>44621</v>
      </c>
      <c r="R2331" s="475">
        <v>44651</v>
      </c>
      <c r="S2331" s="474" t="s">
        <v>1102</v>
      </c>
      <c r="T2331" s="474">
        <v>72</v>
      </c>
      <c r="U2331" s="474" t="s">
        <v>1156</v>
      </c>
      <c r="V2331" s="474" t="s">
        <v>1070</v>
      </c>
      <c r="W2331" s="476">
        <v>480</v>
      </c>
      <c r="X2331" s="412">
        <v>23850</v>
      </c>
      <c r="Y2331" s="491">
        <f t="shared" si="406"/>
        <v>11448000</v>
      </c>
      <c r="Z2331" s="478">
        <v>0.38159999999999999</v>
      </c>
      <c r="AA2331" s="479">
        <f t="shared" si="412"/>
        <v>4368556.8</v>
      </c>
      <c r="AB2331" s="386"/>
      <c r="AC2331" s="481">
        <f t="shared" si="413"/>
        <v>0</v>
      </c>
      <c r="AD2331" s="474"/>
      <c r="AE2331" s="482"/>
      <c r="AF2331" s="493">
        <f t="shared" si="408"/>
        <v>4368556.8</v>
      </c>
      <c r="AG2331" s="474" t="s">
        <v>47</v>
      </c>
      <c r="AH2331" s="447">
        <v>5</v>
      </c>
      <c r="AI2331" s="474">
        <v>30</v>
      </c>
      <c r="AJ2331" s="474" t="s">
        <v>1380</v>
      </c>
      <c r="AK2331" s="474" t="s">
        <v>1144</v>
      </c>
      <c r="AL2331" s="494">
        <v>76904</v>
      </c>
      <c r="AM2331" s="474" t="s">
        <v>52</v>
      </c>
      <c r="AN2331" s="474" t="s">
        <v>1085</v>
      </c>
      <c r="AO2331" s="474"/>
      <c r="AP2331" s="474" t="s">
        <v>38</v>
      </c>
      <c r="AQ2331" s="474" t="s">
        <v>1086</v>
      </c>
      <c r="AR2331" s="474"/>
      <c r="AS2331" s="387" t="s">
        <v>1087</v>
      </c>
      <c r="AT2331" s="387" t="s">
        <v>1076</v>
      </c>
      <c r="AU2331" s="471"/>
      <c r="AV2331" s="262" t="str">
        <f t="shared" si="409"/>
        <v>12005832C</v>
      </c>
      <c r="AW2331" s="262" cm="1">
        <f t="array" ref="AW2331">SUM(MID(0&amp;AV2331,LARGE(INDEX(ISNUMBER(--MID(AV2331,ROW($1:$8),1))*ROW($1:$8),),ROW($1:$8))+1,1)*10^ROW($1:$8)/10)</f>
        <v>12005832</v>
      </c>
      <c r="AX2331" s="262" t="str">
        <f>VLOOKUP($AW2331,'Item Master Data'!$A:$F,3,FALSE)</f>
        <v>Q.PEAK DUO XL G10 BFG</v>
      </c>
      <c r="AY2331" s="262">
        <f>VLOOKUP($AW2331,'Item Master Data'!$A:$F,6,FALSE)</f>
        <v>480</v>
      </c>
      <c r="AZ2331" s="262" t="e">
        <f t="shared" si="410"/>
        <v>#VALUE!</v>
      </c>
      <c r="BA2331" s="262" t="str">
        <f>VLOOKUP(AW2331,'Item Master Data'!$A:$G,7,FALSE)</f>
        <v> 30</v>
      </c>
      <c r="BC2331" s="262">
        <f t="shared" si="411"/>
        <v>0</v>
      </c>
    </row>
    <row r="2332" spans="1:55">
      <c r="A2332" s="410"/>
      <c r="B2332" s="407" t="s">
        <v>1211</v>
      </c>
      <c r="C2332" s="407">
        <v>44573</v>
      </c>
      <c r="D2332" s="474" t="s">
        <v>1066</v>
      </c>
      <c r="E2332" s="414"/>
      <c r="F2332" s="474" t="s">
        <v>1376</v>
      </c>
      <c r="G2332" s="474">
        <v>2022</v>
      </c>
      <c r="H2332" s="474">
        <v>3</v>
      </c>
      <c r="I2332" s="485">
        <v>127890</v>
      </c>
      <c r="J2332" s="475">
        <v>44651</v>
      </c>
      <c r="K2332" s="474" t="s">
        <v>1377</v>
      </c>
      <c r="L2332" s="475" t="s">
        <v>1378</v>
      </c>
      <c r="M2332" s="475">
        <v>44246</v>
      </c>
      <c r="N2332" s="475">
        <v>44445</v>
      </c>
      <c r="O2332" s="475"/>
      <c r="P2332" s="475">
        <v>44602</v>
      </c>
      <c r="Q2332" s="475">
        <v>44621</v>
      </c>
      <c r="R2332" s="475">
        <v>44651</v>
      </c>
      <c r="S2332" s="474" t="s">
        <v>1102</v>
      </c>
      <c r="T2332" s="474">
        <v>72</v>
      </c>
      <c r="U2332" s="474" t="s">
        <v>1156</v>
      </c>
      <c r="V2332" s="474" t="s">
        <v>1070</v>
      </c>
      <c r="W2332" s="476">
        <v>480</v>
      </c>
      <c r="X2332" s="412">
        <v>16800</v>
      </c>
      <c r="Y2332" s="491">
        <f t="shared" si="406"/>
        <v>8064000</v>
      </c>
      <c r="Z2332" s="478">
        <v>0.38159999999999999</v>
      </c>
      <c r="AA2332" s="479">
        <f t="shared" si="412"/>
        <v>3077222.3999999999</v>
      </c>
      <c r="AB2332" s="386"/>
      <c r="AC2332" s="481">
        <f t="shared" si="413"/>
        <v>0</v>
      </c>
      <c r="AD2332" s="474"/>
      <c r="AE2332" s="482"/>
      <c r="AF2332" s="493">
        <f t="shared" si="408"/>
        <v>3077222.3999999999</v>
      </c>
      <c r="AG2332" s="474" t="s">
        <v>47</v>
      </c>
      <c r="AH2332" s="447">
        <v>5</v>
      </c>
      <c r="AI2332" s="474">
        <v>30</v>
      </c>
      <c r="AJ2332" s="474" t="s">
        <v>1380</v>
      </c>
      <c r="AK2332" s="474" t="s">
        <v>1144</v>
      </c>
      <c r="AL2332" s="494">
        <v>76904</v>
      </c>
      <c r="AM2332" s="474" t="s">
        <v>52</v>
      </c>
      <c r="AN2332" s="474" t="s">
        <v>1085</v>
      </c>
      <c r="AO2332" s="474"/>
      <c r="AP2332" s="474" t="s">
        <v>38</v>
      </c>
      <c r="AQ2332" s="474" t="s">
        <v>1086</v>
      </c>
      <c r="AR2332" s="474"/>
      <c r="AS2332" s="387" t="s">
        <v>1087</v>
      </c>
      <c r="AT2332" s="387" t="s">
        <v>1076</v>
      </c>
      <c r="AU2332" s="471"/>
      <c r="AV2332" s="262" t="str">
        <f t="shared" si="409"/>
        <v>12005832C</v>
      </c>
      <c r="AW2332" s="262" cm="1">
        <f t="array" ref="AW2332">SUM(MID(0&amp;AV2332,LARGE(INDEX(ISNUMBER(--MID(AV2332,ROW($1:$8),1))*ROW($1:$8),),ROW($1:$8))+1,1)*10^ROW($1:$8)/10)</f>
        <v>12005832</v>
      </c>
      <c r="AX2332" s="262" t="str">
        <f>VLOOKUP($AW2332,'Item Master Data'!$A:$F,3,FALSE)</f>
        <v>Q.PEAK DUO XL G10 BFG</v>
      </c>
      <c r="AY2332" s="262">
        <f>VLOOKUP($AW2332,'Item Master Data'!$A:$F,6,FALSE)</f>
        <v>480</v>
      </c>
      <c r="AZ2332" s="262" t="e">
        <f t="shared" si="410"/>
        <v>#VALUE!</v>
      </c>
      <c r="BA2332" s="262" t="str">
        <f>VLOOKUP(AW2332,'Item Master Data'!$A:$G,7,FALSE)</f>
        <v> 30</v>
      </c>
      <c r="BC2332" s="262">
        <f t="shared" si="411"/>
        <v>0</v>
      </c>
    </row>
    <row r="2333" spans="1:55">
      <c r="A2333" s="410"/>
      <c r="B2333" s="407" t="s">
        <v>1211</v>
      </c>
      <c r="C2333" s="407">
        <v>44573</v>
      </c>
      <c r="D2333" s="474" t="s">
        <v>1066</v>
      </c>
      <c r="E2333" s="414"/>
      <c r="F2333" s="474" t="s">
        <v>1376</v>
      </c>
      <c r="G2333" s="474">
        <v>2022</v>
      </c>
      <c r="H2333" s="474">
        <v>3</v>
      </c>
      <c r="I2333" s="485">
        <v>127890</v>
      </c>
      <c r="J2333" s="475">
        <v>44651</v>
      </c>
      <c r="K2333" s="474" t="s">
        <v>1377</v>
      </c>
      <c r="L2333" s="475" t="s">
        <v>1378</v>
      </c>
      <c r="M2333" s="475">
        <v>44246</v>
      </c>
      <c r="N2333" s="475">
        <v>44445</v>
      </c>
      <c r="O2333" s="475"/>
      <c r="P2333" s="475">
        <v>44602</v>
      </c>
      <c r="Q2333" s="475">
        <v>44621</v>
      </c>
      <c r="R2333" s="475">
        <v>44651</v>
      </c>
      <c r="S2333" s="474" t="s">
        <v>1102</v>
      </c>
      <c r="T2333" s="474">
        <v>72</v>
      </c>
      <c r="U2333" s="474" t="s">
        <v>1381</v>
      </c>
      <c r="V2333" s="474" t="s">
        <v>1070</v>
      </c>
      <c r="W2333" s="476">
        <v>480</v>
      </c>
      <c r="X2333" s="412">
        <v>14848</v>
      </c>
      <c r="Y2333" s="491">
        <f t="shared" si="406"/>
        <v>7127040</v>
      </c>
      <c r="Z2333" s="478">
        <v>0.38159999999999999</v>
      </c>
      <c r="AA2333" s="479">
        <f t="shared" si="412"/>
        <v>2719678.4640000002</v>
      </c>
      <c r="AB2333" s="386"/>
      <c r="AC2333" s="481">
        <f t="shared" si="413"/>
        <v>0</v>
      </c>
      <c r="AD2333" s="474"/>
      <c r="AE2333" s="482"/>
      <c r="AF2333" s="493">
        <f t="shared" si="408"/>
        <v>2719678.4640000002</v>
      </c>
      <c r="AG2333" s="474" t="s">
        <v>47</v>
      </c>
      <c r="AH2333" s="447">
        <v>5</v>
      </c>
      <c r="AI2333" s="474">
        <v>30</v>
      </c>
      <c r="AJ2333" s="474" t="s">
        <v>1380</v>
      </c>
      <c r="AK2333" s="474" t="s">
        <v>1144</v>
      </c>
      <c r="AL2333" s="494">
        <v>76904</v>
      </c>
      <c r="AM2333" s="474" t="s">
        <v>52</v>
      </c>
      <c r="AN2333" s="474" t="s">
        <v>1085</v>
      </c>
      <c r="AO2333" s="474"/>
      <c r="AP2333" s="474" t="s">
        <v>38</v>
      </c>
      <c r="AQ2333" s="474" t="s">
        <v>1086</v>
      </c>
      <c r="AR2333" s="474"/>
      <c r="AS2333" s="387" t="s">
        <v>1087</v>
      </c>
      <c r="AT2333" s="387" t="s">
        <v>1076</v>
      </c>
      <c r="AU2333" s="471"/>
      <c r="AV2333" s="262" t="str">
        <f t="shared" si="409"/>
        <v>30390372C</v>
      </c>
      <c r="AW2333" s="262" cm="1">
        <f t="array" ref="AW2333">SUM(MID(0&amp;AV2333,LARGE(INDEX(ISNUMBER(--MID(AV2333,ROW($1:$8),1))*ROW($1:$8),),ROW($1:$8))+1,1)*10^ROW($1:$8)/10)</f>
        <v>30390372</v>
      </c>
      <c r="AX2333" s="262" t="str">
        <f>VLOOKUP($AW2333,'Item Master Data'!$A:$F,3,FALSE)</f>
        <v>Q.PEAK DUO XL G10 BFG</v>
      </c>
      <c r="AY2333" s="262">
        <f>VLOOKUP($AW2333,'Item Master Data'!$A:$F,6,FALSE)</f>
        <v>480</v>
      </c>
      <c r="AZ2333" s="262">
        <f t="shared" si="410"/>
        <v>512</v>
      </c>
      <c r="BA2333" s="262">
        <f>VLOOKUP(AW2333,'Item Master Data'!$A:$G,7,FALSE)</f>
        <v>29</v>
      </c>
      <c r="BC2333" s="262">
        <f t="shared" si="411"/>
        <v>0</v>
      </c>
    </row>
    <row r="2334" spans="1:55">
      <c r="A2334" s="410"/>
      <c r="B2334" s="407" t="s">
        <v>1211</v>
      </c>
      <c r="C2334" s="407">
        <v>44573</v>
      </c>
      <c r="D2334" s="474" t="s">
        <v>1066</v>
      </c>
      <c r="E2334" s="414"/>
      <c r="F2334" s="474" t="s">
        <v>1376</v>
      </c>
      <c r="G2334" s="474">
        <v>2022</v>
      </c>
      <c r="H2334" s="474">
        <v>3</v>
      </c>
      <c r="I2334" s="485">
        <v>127890</v>
      </c>
      <c r="J2334" s="475">
        <v>44651</v>
      </c>
      <c r="K2334" s="474" t="s">
        <v>1377</v>
      </c>
      <c r="L2334" s="475" t="s">
        <v>1378</v>
      </c>
      <c r="M2334" s="475">
        <v>44246</v>
      </c>
      <c r="N2334" s="475">
        <v>44445</v>
      </c>
      <c r="O2334" s="475"/>
      <c r="P2334" s="475">
        <v>44602</v>
      </c>
      <c r="Q2334" s="475">
        <v>44621</v>
      </c>
      <c r="R2334" s="475">
        <v>44651</v>
      </c>
      <c r="S2334" s="474" t="s">
        <v>1102</v>
      </c>
      <c r="T2334" s="474">
        <v>72</v>
      </c>
      <c r="U2334" s="474" t="s">
        <v>1381</v>
      </c>
      <c r="V2334" s="474" t="s">
        <v>1070</v>
      </c>
      <c r="W2334" s="476">
        <v>480</v>
      </c>
      <c r="X2334" s="412">
        <v>3828</v>
      </c>
      <c r="Y2334" s="491">
        <f t="shared" si="406"/>
        <v>1837440</v>
      </c>
      <c r="Z2334" s="478">
        <v>0.38159999999999999</v>
      </c>
      <c r="AA2334" s="479">
        <f t="shared" si="412"/>
        <v>701167.10399999993</v>
      </c>
      <c r="AB2334" s="386"/>
      <c r="AC2334" s="481">
        <f t="shared" si="413"/>
        <v>0</v>
      </c>
      <c r="AD2334" s="474"/>
      <c r="AE2334" s="482"/>
      <c r="AF2334" s="493">
        <f t="shared" si="408"/>
        <v>701167.10399999993</v>
      </c>
      <c r="AG2334" s="474" t="s">
        <v>47</v>
      </c>
      <c r="AH2334" s="447">
        <v>5</v>
      </c>
      <c r="AI2334" s="474">
        <v>30</v>
      </c>
      <c r="AJ2334" s="474" t="s">
        <v>1380</v>
      </c>
      <c r="AK2334" s="474" t="s">
        <v>1144</v>
      </c>
      <c r="AL2334" s="494">
        <v>76904</v>
      </c>
      <c r="AM2334" s="474" t="s">
        <v>52</v>
      </c>
      <c r="AN2334" s="474" t="s">
        <v>1085</v>
      </c>
      <c r="AO2334" s="474"/>
      <c r="AP2334" s="474" t="s">
        <v>38</v>
      </c>
      <c r="AQ2334" s="474" t="s">
        <v>1086</v>
      </c>
      <c r="AR2334" s="474"/>
      <c r="AS2334" s="387" t="s">
        <v>1087</v>
      </c>
      <c r="AT2334" s="387" t="s">
        <v>1076</v>
      </c>
      <c r="AU2334" s="471"/>
      <c r="AV2334" s="262" t="str">
        <f t="shared" si="409"/>
        <v>30390372C</v>
      </c>
      <c r="AW2334" s="262" cm="1">
        <f t="array" ref="AW2334">SUM(MID(0&amp;AV2334,LARGE(INDEX(ISNUMBER(--MID(AV2334,ROW($1:$8),1))*ROW($1:$8),),ROW($1:$8))+1,1)*10^ROW($1:$8)/10)</f>
        <v>30390372</v>
      </c>
      <c r="AX2334" s="262" t="str">
        <f>VLOOKUP($AW2334,'Item Master Data'!$A:$F,3,FALSE)</f>
        <v>Q.PEAK DUO XL G10 BFG</v>
      </c>
      <c r="AY2334" s="262">
        <f>VLOOKUP($AW2334,'Item Master Data'!$A:$F,6,FALSE)</f>
        <v>480</v>
      </c>
      <c r="AZ2334" s="262">
        <f t="shared" si="410"/>
        <v>132</v>
      </c>
      <c r="BA2334" s="262">
        <f>VLOOKUP(AW2334,'Item Master Data'!$A:$G,7,FALSE)</f>
        <v>29</v>
      </c>
      <c r="BC2334" s="262">
        <f t="shared" si="411"/>
        <v>0</v>
      </c>
    </row>
    <row r="2335" spans="1:55">
      <c r="A2335" s="410"/>
      <c r="B2335" s="407" t="s">
        <v>1211</v>
      </c>
      <c r="C2335" s="407">
        <v>44573</v>
      </c>
      <c r="D2335" s="474" t="s">
        <v>1066</v>
      </c>
      <c r="E2335" s="414"/>
      <c r="F2335" s="474" t="s">
        <v>1376</v>
      </c>
      <c r="G2335" s="474">
        <v>2022</v>
      </c>
      <c r="H2335" s="474">
        <v>3</v>
      </c>
      <c r="I2335" s="485">
        <v>127890</v>
      </c>
      <c r="J2335" s="475">
        <v>44651</v>
      </c>
      <c r="K2335" s="474" t="s">
        <v>1382</v>
      </c>
      <c r="L2335" s="475" t="s">
        <v>1378</v>
      </c>
      <c r="M2335" s="475">
        <v>44246</v>
      </c>
      <c r="N2335" s="475">
        <v>44498</v>
      </c>
      <c r="O2335" s="475"/>
      <c r="P2335" s="475">
        <v>44623</v>
      </c>
      <c r="Q2335" s="475">
        <v>44621</v>
      </c>
      <c r="R2335" s="475">
        <v>44651</v>
      </c>
      <c r="S2335" s="474" t="s">
        <v>1102</v>
      </c>
      <c r="T2335" s="474">
        <v>72</v>
      </c>
      <c r="U2335" s="474" t="s">
        <v>1383</v>
      </c>
      <c r="V2335" s="474" t="s">
        <v>1070</v>
      </c>
      <c r="W2335" s="476">
        <v>480</v>
      </c>
      <c r="X2335" s="412">
        <v>26274</v>
      </c>
      <c r="Y2335" s="491">
        <f t="shared" si="406"/>
        <v>12611520</v>
      </c>
      <c r="Z2335" s="478">
        <v>0.38159999999999999</v>
      </c>
      <c r="AA2335" s="479">
        <f t="shared" si="412"/>
        <v>4812556.0319999997</v>
      </c>
      <c r="AB2335" s="386"/>
      <c r="AC2335" s="481">
        <f t="shared" si="413"/>
        <v>0</v>
      </c>
      <c r="AD2335" s="474"/>
      <c r="AE2335" s="482"/>
      <c r="AF2335" s="493">
        <f t="shared" si="408"/>
        <v>4812556.0319999997</v>
      </c>
      <c r="AG2335" s="501" t="s">
        <v>47</v>
      </c>
      <c r="AH2335" s="409">
        <v>5</v>
      </c>
      <c r="AI2335" s="501">
        <v>30</v>
      </c>
      <c r="AJ2335" s="501" t="s">
        <v>1380</v>
      </c>
      <c r="AK2335" s="501" t="s">
        <v>1144</v>
      </c>
      <c r="AL2335" s="509">
        <v>76904</v>
      </c>
      <c r="AM2335" s="501" t="s">
        <v>52</v>
      </c>
      <c r="AN2335" s="501" t="s">
        <v>1085</v>
      </c>
      <c r="AO2335" s="474"/>
      <c r="AP2335" s="474" t="s">
        <v>38</v>
      </c>
      <c r="AQ2335" s="474" t="s">
        <v>1086</v>
      </c>
      <c r="AR2335" s="474"/>
      <c r="AS2335" s="387" t="s">
        <v>1087</v>
      </c>
      <c r="AT2335" s="387" t="s">
        <v>1076</v>
      </c>
      <c r="AU2335" s="471"/>
      <c r="AV2335" s="262" t="str">
        <f t="shared" si="409"/>
        <v>30397572C</v>
      </c>
      <c r="AW2335" s="262" cm="1">
        <f t="array" ref="AW2335">SUM(MID(0&amp;AV2335,LARGE(INDEX(ISNUMBER(--MID(AV2335,ROW($1:$8),1))*ROW($1:$8),),ROW($1:$8))+1,1)*10^ROW($1:$8)/10)</f>
        <v>30397572</v>
      </c>
      <c r="AX2335" s="262" t="str">
        <f>VLOOKUP($AW2335,'Item Master Data'!$A:$F,3,FALSE)</f>
        <v>Q.PEAK DUO XL G10 BFG</v>
      </c>
      <c r="AY2335" s="262">
        <f>VLOOKUP($AW2335,'Item Master Data'!$A:$F,6,FALSE)</f>
        <v>480</v>
      </c>
      <c r="AZ2335" s="262">
        <f t="shared" si="410"/>
        <v>906</v>
      </c>
      <c r="BA2335" s="262">
        <f>VLOOKUP(AW2335,'Item Master Data'!$A:$G,7,FALSE)</f>
        <v>29</v>
      </c>
      <c r="BC2335" s="262">
        <f t="shared" si="411"/>
        <v>0</v>
      </c>
    </row>
    <row r="2336" spans="1:55">
      <c r="A2336" s="410"/>
      <c r="B2336" s="407" t="s">
        <v>1211</v>
      </c>
      <c r="C2336" s="407">
        <v>44573</v>
      </c>
      <c r="D2336" s="474" t="s">
        <v>1066</v>
      </c>
      <c r="E2336" s="414"/>
      <c r="F2336" s="474" t="s">
        <v>1376</v>
      </c>
      <c r="G2336" s="474">
        <v>2022</v>
      </c>
      <c r="H2336" s="474">
        <v>3</v>
      </c>
      <c r="I2336" s="485">
        <v>127890</v>
      </c>
      <c r="J2336" s="475">
        <v>44651</v>
      </c>
      <c r="K2336" s="474" t="s">
        <v>1382</v>
      </c>
      <c r="L2336" s="475" t="s">
        <v>1378</v>
      </c>
      <c r="M2336" s="475">
        <v>44246</v>
      </c>
      <c r="N2336" s="475">
        <v>44498</v>
      </c>
      <c r="O2336" s="475"/>
      <c r="P2336" s="475">
        <v>44623</v>
      </c>
      <c r="Q2336" s="475">
        <v>44621</v>
      </c>
      <c r="R2336" s="475">
        <v>44651</v>
      </c>
      <c r="S2336" s="474" t="s">
        <v>1102</v>
      </c>
      <c r="T2336" s="474">
        <v>72</v>
      </c>
      <c r="U2336" s="474" t="s">
        <v>1383</v>
      </c>
      <c r="V2336" s="474" t="s">
        <v>1070</v>
      </c>
      <c r="W2336" s="476">
        <v>480</v>
      </c>
      <c r="X2336" s="412">
        <v>9512</v>
      </c>
      <c r="Y2336" s="491">
        <f t="shared" si="406"/>
        <v>4565760</v>
      </c>
      <c r="Z2336" s="478">
        <v>0.38159999999999999</v>
      </c>
      <c r="AA2336" s="479">
        <f>Z2336*Y2336-0.01</f>
        <v>1742294.0060000001</v>
      </c>
      <c r="AB2336" s="386"/>
      <c r="AC2336" s="481">
        <f t="shared" si="413"/>
        <v>0</v>
      </c>
      <c r="AD2336" s="474"/>
      <c r="AE2336" s="482"/>
      <c r="AF2336" s="493">
        <f t="shared" si="408"/>
        <v>1742294.0060000001</v>
      </c>
      <c r="AG2336" s="501" t="s">
        <v>47</v>
      </c>
      <c r="AH2336" s="409">
        <v>5</v>
      </c>
      <c r="AI2336" s="501">
        <v>30</v>
      </c>
      <c r="AJ2336" s="501" t="s">
        <v>1380</v>
      </c>
      <c r="AK2336" s="501" t="s">
        <v>1144</v>
      </c>
      <c r="AL2336" s="509">
        <v>76904</v>
      </c>
      <c r="AM2336" s="501" t="s">
        <v>52</v>
      </c>
      <c r="AN2336" s="501" t="s">
        <v>1085</v>
      </c>
      <c r="AO2336" s="474"/>
      <c r="AP2336" s="474" t="s">
        <v>38</v>
      </c>
      <c r="AQ2336" s="474" t="s">
        <v>1086</v>
      </c>
      <c r="AR2336" s="474"/>
      <c r="AS2336" s="387" t="s">
        <v>1087</v>
      </c>
      <c r="AT2336" s="387" t="s">
        <v>1076</v>
      </c>
      <c r="AU2336" s="471"/>
      <c r="AV2336" s="262" t="str">
        <f t="shared" si="409"/>
        <v>30397572C</v>
      </c>
      <c r="AW2336" s="262" cm="1">
        <f t="array" ref="AW2336">SUM(MID(0&amp;AV2336,LARGE(INDEX(ISNUMBER(--MID(AV2336,ROW($1:$8),1))*ROW($1:$8),),ROW($1:$8))+1,1)*10^ROW($1:$8)/10)</f>
        <v>30397572</v>
      </c>
      <c r="AX2336" s="262" t="str">
        <f>VLOOKUP($AW2336,'Item Master Data'!$A:$F,3,FALSE)</f>
        <v>Q.PEAK DUO XL G10 BFG</v>
      </c>
      <c r="AY2336" s="262">
        <f>VLOOKUP($AW2336,'Item Master Data'!$A:$F,6,FALSE)</f>
        <v>480</v>
      </c>
      <c r="AZ2336" s="262">
        <f t="shared" si="410"/>
        <v>328</v>
      </c>
      <c r="BA2336" s="262">
        <f>VLOOKUP(AW2336,'Item Master Data'!$A:$G,7,FALSE)</f>
        <v>29</v>
      </c>
      <c r="BC2336" s="262">
        <f t="shared" si="411"/>
        <v>0</v>
      </c>
    </row>
    <row r="2337" spans="1:55">
      <c r="A2337" s="410"/>
      <c r="B2337" s="407" t="s">
        <v>1211</v>
      </c>
      <c r="C2337" s="407">
        <v>44573</v>
      </c>
      <c r="D2337" s="474" t="s">
        <v>1066</v>
      </c>
      <c r="E2337" s="414"/>
      <c r="F2337" s="474" t="s">
        <v>1376</v>
      </c>
      <c r="G2337" s="474">
        <v>2022</v>
      </c>
      <c r="H2337" s="474">
        <v>3</v>
      </c>
      <c r="I2337" s="485">
        <v>127890</v>
      </c>
      <c r="J2337" s="475">
        <v>44651</v>
      </c>
      <c r="K2337" s="474" t="s">
        <v>1382</v>
      </c>
      <c r="L2337" s="475" t="s">
        <v>1378</v>
      </c>
      <c r="M2337" s="475">
        <v>44246</v>
      </c>
      <c r="N2337" s="475">
        <v>44498</v>
      </c>
      <c r="O2337" s="475"/>
      <c r="P2337" s="475">
        <v>44623</v>
      </c>
      <c r="Q2337" s="475">
        <v>44621</v>
      </c>
      <c r="R2337" s="475">
        <v>44651</v>
      </c>
      <c r="S2337" s="474" t="s">
        <v>1102</v>
      </c>
      <c r="T2337" s="474">
        <v>72</v>
      </c>
      <c r="U2337" s="474" t="s">
        <v>1156</v>
      </c>
      <c r="V2337" s="474" t="s">
        <v>1070</v>
      </c>
      <c r="W2337" s="476">
        <v>480</v>
      </c>
      <c r="X2337" s="412">
        <v>28020</v>
      </c>
      <c r="Y2337" s="491">
        <f t="shared" si="406"/>
        <v>13449600</v>
      </c>
      <c r="Z2337" s="478">
        <v>0.38159999999999999</v>
      </c>
      <c r="AA2337" s="479">
        <f t="shared" ref="AA2337:AA2349" si="414">Z2337*Y2337</f>
        <v>5132367.3600000003</v>
      </c>
      <c r="AB2337" s="386"/>
      <c r="AC2337" s="481">
        <f t="shared" si="413"/>
        <v>0</v>
      </c>
      <c r="AD2337" s="474"/>
      <c r="AE2337" s="482"/>
      <c r="AF2337" s="493">
        <f t="shared" si="408"/>
        <v>5132367.3600000003</v>
      </c>
      <c r="AG2337" s="501" t="s">
        <v>47</v>
      </c>
      <c r="AH2337" s="409">
        <v>5</v>
      </c>
      <c r="AI2337" s="501">
        <v>30</v>
      </c>
      <c r="AJ2337" s="501" t="s">
        <v>1380</v>
      </c>
      <c r="AK2337" s="501" t="s">
        <v>1144</v>
      </c>
      <c r="AL2337" s="509">
        <v>76904</v>
      </c>
      <c r="AM2337" s="501" t="s">
        <v>52</v>
      </c>
      <c r="AN2337" s="501" t="s">
        <v>1384</v>
      </c>
      <c r="AO2337" s="474"/>
      <c r="AP2337" s="474" t="s">
        <v>38</v>
      </c>
      <c r="AQ2337" s="474" t="s">
        <v>1086</v>
      </c>
      <c r="AR2337" s="474"/>
      <c r="AS2337" s="387" t="s">
        <v>1087</v>
      </c>
      <c r="AT2337" s="387" t="s">
        <v>1076</v>
      </c>
      <c r="AU2337" s="471"/>
      <c r="AV2337" s="262" t="str">
        <f t="shared" si="409"/>
        <v>12005832C</v>
      </c>
      <c r="AW2337" s="262" cm="1">
        <f t="array" ref="AW2337">SUM(MID(0&amp;AV2337,LARGE(INDEX(ISNUMBER(--MID(AV2337,ROW($1:$8),1))*ROW($1:$8),),ROW($1:$8))+1,1)*10^ROW($1:$8)/10)</f>
        <v>12005832</v>
      </c>
      <c r="AX2337" s="262" t="str">
        <f>VLOOKUP($AW2337,'Item Master Data'!$A:$F,3,FALSE)</f>
        <v>Q.PEAK DUO XL G10 BFG</v>
      </c>
      <c r="AY2337" s="262">
        <f>VLOOKUP($AW2337,'Item Master Data'!$A:$F,6,FALSE)</f>
        <v>480</v>
      </c>
      <c r="AZ2337" s="262" t="e">
        <f t="shared" si="410"/>
        <v>#VALUE!</v>
      </c>
      <c r="BA2337" s="262" t="str">
        <f>VLOOKUP(AW2337,'Item Master Data'!$A:$G,7,FALSE)</f>
        <v> 30</v>
      </c>
      <c r="BC2337" s="262">
        <f t="shared" si="411"/>
        <v>0</v>
      </c>
    </row>
    <row r="2338" spans="1:55">
      <c r="A2338" s="410"/>
      <c r="B2338" s="407" t="s">
        <v>1211</v>
      </c>
      <c r="C2338" s="407">
        <v>44573</v>
      </c>
      <c r="D2338" s="474" t="s">
        <v>1066</v>
      </c>
      <c r="E2338" s="414"/>
      <c r="F2338" s="474" t="s">
        <v>1376</v>
      </c>
      <c r="G2338" s="474">
        <v>2022</v>
      </c>
      <c r="H2338" s="474">
        <v>3</v>
      </c>
      <c r="I2338" s="485">
        <v>127890</v>
      </c>
      <c r="J2338" s="475">
        <v>44651</v>
      </c>
      <c r="K2338" s="474" t="s">
        <v>1382</v>
      </c>
      <c r="L2338" s="475" t="s">
        <v>1378</v>
      </c>
      <c r="M2338" s="475">
        <v>44246</v>
      </c>
      <c r="N2338" s="475">
        <v>44498</v>
      </c>
      <c r="O2338" s="475"/>
      <c r="P2338" s="475">
        <v>44623</v>
      </c>
      <c r="Q2338" s="475">
        <v>44621</v>
      </c>
      <c r="R2338" s="475">
        <v>44651</v>
      </c>
      <c r="S2338" s="474" t="s">
        <v>1102</v>
      </c>
      <c r="T2338" s="474">
        <v>72</v>
      </c>
      <c r="U2338" s="474" t="s">
        <v>1383</v>
      </c>
      <c r="V2338" s="474" t="s">
        <v>1070</v>
      </c>
      <c r="W2338" s="476">
        <v>480</v>
      </c>
      <c r="X2338" s="412">
        <f>37990-580</f>
        <v>37410</v>
      </c>
      <c r="Y2338" s="491">
        <f t="shared" si="406"/>
        <v>17956800</v>
      </c>
      <c r="Z2338" s="478">
        <v>0.38159999999999999</v>
      </c>
      <c r="AA2338" s="479">
        <f t="shared" si="414"/>
        <v>6852314.8799999999</v>
      </c>
      <c r="AB2338" s="386"/>
      <c r="AC2338" s="481">
        <f t="shared" si="413"/>
        <v>0</v>
      </c>
      <c r="AD2338" s="474"/>
      <c r="AE2338" s="482"/>
      <c r="AF2338" s="493">
        <f t="shared" si="408"/>
        <v>6852314.8799999999</v>
      </c>
      <c r="AG2338" s="501" t="s">
        <v>47</v>
      </c>
      <c r="AH2338" s="409">
        <v>5</v>
      </c>
      <c r="AI2338" s="501">
        <v>30</v>
      </c>
      <c r="AJ2338" s="501" t="s">
        <v>1380</v>
      </c>
      <c r="AK2338" s="501" t="s">
        <v>1144</v>
      </c>
      <c r="AL2338" s="509">
        <v>76904</v>
      </c>
      <c r="AM2338" s="501" t="s">
        <v>52</v>
      </c>
      <c r="AN2338" s="501" t="s">
        <v>1384</v>
      </c>
      <c r="AO2338" s="474"/>
      <c r="AP2338" s="474" t="s">
        <v>38</v>
      </c>
      <c r="AQ2338" s="474" t="s">
        <v>1086</v>
      </c>
      <c r="AR2338" s="474"/>
      <c r="AS2338" s="387" t="s">
        <v>1087</v>
      </c>
      <c r="AT2338" s="387" t="s">
        <v>1076</v>
      </c>
      <c r="AU2338" s="471"/>
      <c r="AV2338" s="262" t="str">
        <f t="shared" si="409"/>
        <v>30397572C</v>
      </c>
      <c r="AW2338" s="262" cm="1">
        <f t="array" ref="AW2338">SUM(MID(0&amp;AV2338,LARGE(INDEX(ISNUMBER(--MID(AV2338,ROW($1:$8),1))*ROW($1:$8),),ROW($1:$8))+1,1)*10^ROW($1:$8)/10)</f>
        <v>30397572</v>
      </c>
      <c r="AX2338" s="262" t="str">
        <f>VLOOKUP($AW2338,'Item Master Data'!$A:$F,3,FALSE)</f>
        <v>Q.PEAK DUO XL G10 BFG</v>
      </c>
      <c r="AY2338" s="262">
        <f>VLOOKUP($AW2338,'Item Master Data'!$A:$F,6,FALSE)</f>
        <v>480</v>
      </c>
      <c r="AZ2338" s="262">
        <f t="shared" si="410"/>
        <v>1290</v>
      </c>
      <c r="BA2338" s="262">
        <f>VLOOKUP(AW2338,'Item Master Data'!$A:$G,7,FALSE)</f>
        <v>29</v>
      </c>
      <c r="BC2338" s="262">
        <f t="shared" si="411"/>
        <v>0</v>
      </c>
    </row>
    <row r="2339" spans="1:55">
      <c r="A2339" s="410"/>
      <c r="B2339" s="407" t="s">
        <v>1211</v>
      </c>
      <c r="C2339" s="407">
        <v>44573</v>
      </c>
      <c r="D2339" s="474" t="s">
        <v>1066</v>
      </c>
      <c r="E2339" s="414" t="s">
        <v>1385</v>
      </c>
      <c r="F2339" s="474" t="s">
        <v>1376</v>
      </c>
      <c r="G2339" s="474">
        <v>2022</v>
      </c>
      <c r="H2339" s="524">
        <v>3</v>
      </c>
      <c r="I2339" s="415">
        <v>127890</v>
      </c>
      <c r="J2339" s="538">
        <v>44651</v>
      </c>
      <c r="K2339" s="524" t="s">
        <v>1382</v>
      </c>
      <c r="L2339" s="538" t="s">
        <v>1378</v>
      </c>
      <c r="M2339" s="475">
        <v>44246</v>
      </c>
      <c r="N2339" s="475">
        <v>44498</v>
      </c>
      <c r="O2339" s="475"/>
      <c r="P2339" s="475">
        <v>44623</v>
      </c>
      <c r="Q2339" s="475">
        <v>44621</v>
      </c>
      <c r="R2339" s="475">
        <v>44651</v>
      </c>
      <c r="S2339" s="474" t="s">
        <v>1102</v>
      </c>
      <c r="T2339" s="474">
        <v>72</v>
      </c>
      <c r="U2339" s="474" t="s">
        <v>1383</v>
      </c>
      <c r="V2339" s="474" t="s">
        <v>1070</v>
      </c>
      <c r="W2339" s="476">
        <v>480</v>
      </c>
      <c r="X2339" s="412">
        <v>580</v>
      </c>
      <c r="Y2339" s="491">
        <f t="shared" si="406"/>
        <v>278400</v>
      </c>
      <c r="Z2339" s="478">
        <v>0.38159999999999999</v>
      </c>
      <c r="AA2339" s="479">
        <f t="shared" si="414"/>
        <v>106237.44</v>
      </c>
      <c r="AB2339" s="386"/>
      <c r="AC2339" s="481">
        <f t="shared" si="413"/>
        <v>0</v>
      </c>
      <c r="AD2339" s="474"/>
      <c r="AE2339" s="482"/>
      <c r="AF2339" s="493">
        <f t="shared" si="408"/>
        <v>106237.44</v>
      </c>
      <c r="AG2339" s="501" t="s">
        <v>47</v>
      </c>
      <c r="AH2339" s="409">
        <v>5</v>
      </c>
      <c r="AI2339" s="501">
        <v>30</v>
      </c>
      <c r="AJ2339" s="501" t="s">
        <v>1380</v>
      </c>
      <c r="AK2339" s="501" t="s">
        <v>1144</v>
      </c>
      <c r="AL2339" s="509">
        <v>76904</v>
      </c>
      <c r="AM2339" s="501" t="s">
        <v>52</v>
      </c>
      <c r="AN2339" s="501" t="s">
        <v>1384</v>
      </c>
      <c r="AO2339" s="474"/>
      <c r="AP2339" s="474" t="s">
        <v>38</v>
      </c>
      <c r="AQ2339" s="474" t="s">
        <v>1086</v>
      </c>
      <c r="AR2339" s="474"/>
      <c r="AS2339" s="387" t="s">
        <v>1087</v>
      </c>
      <c r="AT2339" s="387" t="s">
        <v>1076</v>
      </c>
      <c r="AU2339" s="471"/>
      <c r="AV2339" s="262" t="str">
        <f t="shared" si="409"/>
        <v>30397572C</v>
      </c>
      <c r="AW2339" s="262" cm="1">
        <f t="array" ref="AW2339">SUM(MID(0&amp;AV2339,LARGE(INDEX(ISNUMBER(--MID(AV2339,ROW($1:$8),1))*ROW($1:$8),),ROW($1:$8))+1,1)*10^ROW($1:$8)/10)</f>
        <v>30397572</v>
      </c>
      <c r="AX2339" s="262" t="str">
        <f>VLOOKUP($AW2339,'Item Master Data'!$A:$F,3,FALSE)</f>
        <v>Q.PEAK DUO XL G10 BFG</v>
      </c>
      <c r="AY2339" s="262">
        <f>VLOOKUP($AW2339,'Item Master Data'!$A:$F,6,FALSE)</f>
        <v>480</v>
      </c>
      <c r="AZ2339" s="262">
        <f t="shared" si="410"/>
        <v>20</v>
      </c>
      <c r="BA2339" s="262">
        <f>VLOOKUP(AW2339,'Item Master Data'!$A:$G,7,FALSE)</f>
        <v>29</v>
      </c>
      <c r="BC2339" s="262">
        <f t="shared" si="411"/>
        <v>0</v>
      </c>
    </row>
    <row r="2340" spans="1:55">
      <c r="A2340" s="410"/>
      <c r="B2340" s="407" t="s">
        <v>1211</v>
      </c>
      <c r="C2340" s="407">
        <v>44573</v>
      </c>
      <c r="D2340" s="474" t="s">
        <v>1066</v>
      </c>
      <c r="E2340" s="414">
        <v>22800</v>
      </c>
      <c r="F2340" s="474" t="s">
        <v>1376</v>
      </c>
      <c r="G2340" s="474">
        <v>2022</v>
      </c>
      <c r="H2340" s="474">
        <v>4</v>
      </c>
      <c r="I2340" s="485" t="s">
        <v>5191</v>
      </c>
      <c r="J2340" s="475" t="s">
        <v>50</v>
      </c>
      <c r="K2340" s="474" t="s">
        <v>1382</v>
      </c>
      <c r="L2340" s="474" t="s">
        <v>1378</v>
      </c>
      <c r="M2340" s="475">
        <v>44246</v>
      </c>
      <c r="N2340" s="475">
        <v>44498</v>
      </c>
      <c r="O2340" s="475"/>
      <c r="P2340" s="475">
        <v>44623</v>
      </c>
      <c r="Q2340" s="475">
        <v>44662</v>
      </c>
      <c r="R2340" s="475">
        <v>44670</v>
      </c>
      <c r="S2340" s="474" t="s">
        <v>1102</v>
      </c>
      <c r="T2340" s="474">
        <v>72</v>
      </c>
      <c r="U2340" s="474">
        <v>12005832</v>
      </c>
      <c r="V2340" s="474" t="s">
        <v>1070</v>
      </c>
      <c r="W2340" s="474">
        <v>480</v>
      </c>
      <c r="X2340" s="427">
        <f>35400-12600</f>
        <v>22800</v>
      </c>
      <c r="Y2340" s="477">
        <f t="shared" si="406"/>
        <v>10944000</v>
      </c>
      <c r="Z2340" s="478">
        <v>0.38159999999999999</v>
      </c>
      <c r="AA2340" s="479">
        <f t="shared" si="414"/>
        <v>4176230.3999999999</v>
      </c>
      <c r="AB2340" s="386"/>
      <c r="AC2340" s="481">
        <f t="shared" si="413"/>
        <v>0</v>
      </c>
      <c r="AD2340" s="474"/>
      <c r="AE2340" s="482"/>
      <c r="AF2340" s="493">
        <f t="shared" si="408"/>
        <v>4176230.3999999999</v>
      </c>
      <c r="AG2340" s="501" t="s">
        <v>47</v>
      </c>
      <c r="AH2340" s="409">
        <v>5</v>
      </c>
      <c r="AI2340" s="501">
        <v>30</v>
      </c>
      <c r="AJ2340" s="501" t="s">
        <v>1380</v>
      </c>
      <c r="AK2340" s="501" t="s">
        <v>1144</v>
      </c>
      <c r="AL2340" s="509">
        <v>76904</v>
      </c>
      <c r="AM2340" s="501" t="s">
        <v>52</v>
      </c>
      <c r="AN2340" s="501" t="s">
        <v>50</v>
      </c>
      <c r="AO2340" s="474"/>
      <c r="AP2340" s="474" t="s">
        <v>38</v>
      </c>
      <c r="AQ2340" s="474" t="s">
        <v>1086</v>
      </c>
      <c r="AR2340" s="474"/>
      <c r="AS2340" s="387" t="s">
        <v>1087</v>
      </c>
      <c r="AT2340" s="387" t="s">
        <v>1076</v>
      </c>
      <c r="AU2340" s="471"/>
      <c r="AV2340" s="262">
        <f t="shared" si="409"/>
        <v>12005832</v>
      </c>
      <c r="AW2340" s="262" cm="1">
        <f t="array" ref="AW2340">SUM(MID(0&amp;AV2340,LARGE(INDEX(ISNUMBER(--MID(AV2340,ROW($1:$8),1))*ROW($1:$8),),ROW($1:$8))+1,1)*10^ROW($1:$8)/10)</f>
        <v>12005832</v>
      </c>
      <c r="AX2340" s="262" t="str">
        <f>VLOOKUP($AW2340,'Item Master Data'!$A:$F,3,FALSE)</f>
        <v>Q.PEAK DUO XL G10 BFG</v>
      </c>
      <c r="AY2340" s="262">
        <f>VLOOKUP($AW2340,'Item Master Data'!$A:$F,6,FALSE)</f>
        <v>480</v>
      </c>
      <c r="AZ2340" s="262" t="e">
        <f t="shared" si="410"/>
        <v>#VALUE!</v>
      </c>
      <c r="BA2340" s="262" t="str">
        <f>VLOOKUP(AW2340,'Item Master Data'!$A:$G,7,FALSE)</f>
        <v> 30</v>
      </c>
      <c r="BC2340" s="262">
        <f t="shared" si="411"/>
        <v>0</v>
      </c>
    </row>
    <row r="2341" spans="1:55">
      <c r="A2341" s="410"/>
      <c r="B2341" s="407" t="s">
        <v>1211</v>
      </c>
      <c r="C2341" s="407">
        <v>44573</v>
      </c>
      <c r="D2341" s="474" t="s">
        <v>1066</v>
      </c>
      <c r="E2341" s="428">
        <v>29040</v>
      </c>
      <c r="F2341" s="474" t="s">
        <v>1376</v>
      </c>
      <c r="G2341" s="474">
        <v>2022</v>
      </c>
      <c r="H2341" s="474">
        <v>4</v>
      </c>
      <c r="I2341" s="485"/>
      <c r="J2341" s="475" t="s">
        <v>1144</v>
      </c>
      <c r="K2341" s="474" t="s">
        <v>1382</v>
      </c>
      <c r="L2341" s="475" t="s">
        <v>1378</v>
      </c>
      <c r="M2341" s="475">
        <v>44246</v>
      </c>
      <c r="N2341" s="475">
        <v>44498</v>
      </c>
      <c r="O2341" s="475"/>
      <c r="P2341" s="475">
        <v>44623</v>
      </c>
      <c r="Q2341" s="475">
        <v>44676</v>
      </c>
      <c r="R2341" s="475">
        <v>44677</v>
      </c>
      <c r="S2341" s="474" t="s">
        <v>1102</v>
      </c>
      <c r="T2341" s="474">
        <v>72</v>
      </c>
      <c r="U2341" s="474">
        <v>12005832</v>
      </c>
      <c r="V2341" s="474" t="s">
        <v>1070</v>
      </c>
      <c r="W2341" s="476">
        <v>480</v>
      </c>
      <c r="X2341" s="412">
        <f>25200+4200-600+3000-420+660-600</f>
        <v>31440</v>
      </c>
      <c r="Y2341" s="491">
        <f t="shared" si="406"/>
        <v>15091200</v>
      </c>
      <c r="Z2341" s="478">
        <v>0.38159999999999999</v>
      </c>
      <c r="AA2341" s="479">
        <f t="shared" si="414"/>
        <v>5758801.9199999999</v>
      </c>
      <c r="AB2341" s="386"/>
      <c r="AC2341" s="481">
        <f t="shared" si="413"/>
        <v>0</v>
      </c>
      <c r="AD2341" s="474"/>
      <c r="AE2341" s="482"/>
      <c r="AF2341" s="493">
        <f t="shared" si="408"/>
        <v>5758801.9199999999</v>
      </c>
      <c r="AG2341" s="501" t="s">
        <v>47</v>
      </c>
      <c r="AH2341" s="409">
        <v>5</v>
      </c>
      <c r="AI2341" s="501">
        <v>30</v>
      </c>
      <c r="AJ2341" s="501" t="s">
        <v>1380</v>
      </c>
      <c r="AK2341" s="501" t="s">
        <v>1144</v>
      </c>
      <c r="AL2341" s="509">
        <v>76904</v>
      </c>
      <c r="AM2341" s="501" t="s">
        <v>52</v>
      </c>
      <c r="AN2341" s="501" t="s">
        <v>1384</v>
      </c>
      <c r="AO2341" s="474"/>
      <c r="AP2341" s="474" t="s">
        <v>38</v>
      </c>
      <c r="AQ2341" s="474" t="s">
        <v>1086</v>
      </c>
      <c r="AR2341" s="474"/>
      <c r="AS2341" s="387" t="s">
        <v>1087</v>
      </c>
      <c r="AT2341" s="387" t="s">
        <v>1076</v>
      </c>
      <c r="AU2341" s="471"/>
      <c r="AV2341" s="262">
        <f t="shared" si="409"/>
        <v>12005832</v>
      </c>
      <c r="AW2341" s="262" cm="1">
        <f t="array" ref="AW2341">SUM(MID(0&amp;AV2341,LARGE(INDEX(ISNUMBER(--MID(AV2341,ROW($1:$8),1))*ROW($1:$8),),ROW($1:$8))+1,1)*10^ROW($1:$8)/10)</f>
        <v>12005832</v>
      </c>
      <c r="AX2341" s="262" t="str">
        <f>VLOOKUP($AW2341,'Item Master Data'!$A:$F,3,FALSE)</f>
        <v>Q.PEAK DUO XL G10 BFG</v>
      </c>
      <c r="AY2341" s="262">
        <f>VLOOKUP($AW2341,'Item Master Data'!$A:$F,6,FALSE)</f>
        <v>480</v>
      </c>
      <c r="AZ2341" s="262" t="e">
        <f t="shared" si="410"/>
        <v>#VALUE!</v>
      </c>
      <c r="BA2341" s="262" t="str">
        <f>VLOOKUP(AW2341,'Item Master Data'!$A:$G,7,FALSE)</f>
        <v> 30</v>
      </c>
      <c r="BC2341" s="262">
        <f t="shared" si="411"/>
        <v>0</v>
      </c>
    </row>
    <row r="2342" spans="1:55">
      <c r="A2342" s="410"/>
      <c r="B2342" s="407" t="s">
        <v>1211</v>
      </c>
      <c r="C2342" s="407">
        <v>44573</v>
      </c>
      <c r="D2342" s="474" t="s">
        <v>1066</v>
      </c>
      <c r="E2342" s="428">
        <v>27222</v>
      </c>
      <c r="F2342" s="474" t="s">
        <v>1376</v>
      </c>
      <c r="G2342" s="474">
        <v>2022</v>
      </c>
      <c r="H2342" s="474">
        <v>4</v>
      </c>
      <c r="I2342" s="485" t="s">
        <v>5191</v>
      </c>
      <c r="J2342" s="475" t="s">
        <v>1144</v>
      </c>
      <c r="K2342" s="474" t="s">
        <v>1382</v>
      </c>
      <c r="L2342" s="475" t="s">
        <v>1378</v>
      </c>
      <c r="M2342" s="475">
        <v>44246</v>
      </c>
      <c r="N2342" s="475">
        <v>44498</v>
      </c>
      <c r="O2342" s="475"/>
      <c r="P2342" s="475">
        <v>44623</v>
      </c>
      <c r="Q2342" s="475">
        <v>44676</v>
      </c>
      <c r="R2342" s="475">
        <v>44677</v>
      </c>
      <c r="S2342" s="474" t="s">
        <v>1102</v>
      </c>
      <c r="T2342" s="474">
        <v>72</v>
      </c>
      <c r="U2342" s="474">
        <v>30397572</v>
      </c>
      <c r="V2342" s="474" t="s">
        <v>1070</v>
      </c>
      <c r="W2342" s="476">
        <v>480</v>
      </c>
      <c r="X2342" s="412">
        <f>19372+8586+1816-2552</f>
        <v>27222</v>
      </c>
      <c r="Y2342" s="491">
        <f t="shared" si="406"/>
        <v>13066560</v>
      </c>
      <c r="Z2342" s="478">
        <v>0.38159999999999999</v>
      </c>
      <c r="AA2342" s="479">
        <f t="shared" si="414"/>
        <v>4986199.2960000001</v>
      </c>
      <c r="AB2342" s="386"/>
      <c r="AC2342" s="481">
        <f t="shared" si="413"/>
        <v>0</v>
      </c>
      <c r="AD2342" s="474"/>
      <c r="AE2342" s="482"/>
      <c r="AF2342" s="493">
        <f t="shared" si="408"/>
        <v>4986199.2960000001</v>
      </c>
      <c r="AG2342" s="501" t="s">
        <v>47</v>
      </c>
      <c r="AH2342" s="409">
        <v>5</v>
      </c>
      <c r="AI2342" s="501">
        <v>30</v>
      </c>
      <c r="AJ2342" s="501" t="s">
        <v>1380</v>
      </c>
      <c r="AK2342" s="501" t="s">
        <v>1144</v>
      </c>
      <c r="AL2342" s="509">
        <v>76904</v>
      </c>
      <c r="AM2342" s="501" t="s">
        <v>52</v>
      </c>
      <c r="AN2342" s="501" t="s">
        <v>1384</v>
      </c>
      <c r="AO2342" s="474"/>
      <c r="AP2342" s="474" t="s">
        <v>38</v>
      </c>
      <c r="AQ2342" s="474" t="s">
        <v>1086</v>
      </c>
      <c r="AR2342" s="474"/>
      <c r="AS2342" s="387" t="s">
        <v>1087</v>
      </c>
      <c r="AT2342" s="387" t="s">
        <v>1076</v>
      </c>
      <c r="AU2342" s="471"/>
      <c r="AV2342" s="262">
        <f t="shared" si="409"/>
        <v>30397572</v>
      </c>
      <c r="AW2342" s="262" cm="1">
        <f t="array" ref="AW2342">SUM(MID(0&amp;AV2342,LARGE(INDEX(ISNUMBER(--MID(AV2342,ROW($1:$8),1))*ROW($1:$8),),ROW($1:$8))+1,1)*10^ROW($1:$8)/10)</f>
        <v>30397572</v>
      </c>
      <c r="AX2342" s="262" t="str">
        <f>VLOOKUP($AW2342,'Item Master Data'!$A:$F,3,FALSE)</f>
        <v>Q.PEAK DUO XL G10 BFG</v>
      </c>
      <c r="AY2342" s="262">
        <f>VLOOKUP($AW2342,'Item Master Data'!$A:$F,6,FALSE)</f>
        <v>480</v>
      </c>
      <c r="AZ2342" s="262">
        <f t="shared" si="410"/>
        <v>938.68965517241384</v>
      </c>
      <c r="BA2342" s="262">
        <f>VLOOKUP(AW2342,'Item Master Data'!$A:$G,7,FALSE)</f>
        <v>29</v>
      </c>
      <c r="BC2342" s="262">
        <f t="shared" si="411"/>
        <v>0</v>
      </c>
    </row>
    <row r="2343" spans="1:55">
      <c r="A2343" s="410"/>
      <c r="B2343" s="407" t="s">
        <v>1211</v>
      </c>
      <c r="C2343" s="407">
        <v>44573</v>
      </c>
      <c r="D2343" s="474" t="s">
        <v>1066</v>
      </c>
      <c r="E2343" s="428">
        <v>5278</v>
      </c>
      <c r="F2343" s="474" t="s">
        <v>1376</v>
      </c>
      <c r="G2343" s="474">
        <v>2022</v>
      </c>
      <c r="H2343" s="474">
        <v>4</v>
      </c>
      <c r="I2343" s="485" t="s">
        <v>5191</v>
      </c>
      <c r="J2343" s="475" t="s">
        <v>1144</v>
      </c>
      <c r="K2343" s="474" t="s">
        <v>1382</v>
      </c>
      <c r="L2343" s="475" t="s">
        <v>1378</v>
      </c>
      <c r="M2343" s="475">
        <v>44246</v>
      </c>
      <c r="N2343" s="475">
        <v>44498</v>
      </c>
      <c r="O2343" s="475"/>
      <c r="P2343" s="475">
        <v>44623</v>
      </c>
      <c r="Q2343" s="475">
        <v>44670</v>
      </c>
      <c r="R2343" s="475">
        <v>44671</v>
      </c>
      <c r="S2343" s="474" t="s">
        <v>1102</v>
      </c>
      <c r="T2343" s="474">
        <v>72</v>
      </c>
      <c r="U2343" s="474">
        <v>30390372</v>
      </c>
      <c r="V2343" s="474" t="s">
        <v>1070</v>
      </c>
      <c r="W2343" s="476">
        <v>480</v>
      </c>
      <c r="X2343" s="412">
        <f>3714+984+580</f>
        <v>5278</v>
      </c>
      <c r="Y2343" s="491">
        <f t="shared" si="406"/>
        <v>2533440</v>
      </c>
      <c r="Z2343" s="478">
        <v>0.38159999999999999</v>
      </c>
      <c r="AA2343" s="479">
        <f t="shared" si="414"/>
        <v>966760.70400000003</v>
      </c>
      <c r="AB2343" s="386"/>
      <c r="AC2343" s="481">
        <f t="shared" si="413"/>
        <v>0</v>
      </c>
      <c r="AD2343" s="474"/>
      <c r="AE2343" s="482"/>
      <c r="AF2343" s="493">
        <f t="shared" si="408"/>
        <v>966760.70400000003</v>
      </c>
      <c r="AG2343" s="501" t="s">
        <v>47</v>
      </c>
      <c r="AH2343" s="409">
        <v>5</v>
      </c>
      <c r="AI2343" s="501">
        <v>30</v>
      </c>
      <c r="AJ2343" s="501" t="s">
        <v>1380</v>
      </c>
      <c r="AK2343" s="501" t="s">
        <v>1144</v>
      </c>
      <c r="AL2343" s="509">
        <v>76904</v>
      </c>
      <c r="AM2343" s="501" t="s">
        <v>52</v>
      </c>
      <c r="AN2343" s="501" t="s">
        <v>1384</v>
      </c>
      <c r="AO2343" s="474"/>
      <c r="AP2343" s="474" t="s">
        <v>38</v>
      </c>
      <c r="AQ2343" s="474" t="s">
        <v>1086</v>
      </c>
      <c r="AR2343" s="474"/>
      <c r="AS2343" s="387" t="s">
        <v>1087</v>
      </c>
      <c r="AT2343" s="387" t="s">
        <v>1076</v>
      </c>
      <c r="AU2343" s="471"/>
    </row>
    <row r="2344" spans="1:55">
      <c r="A2344" s="410"/>
      <c r="B2344" s="407" t="s">
        <v>1211</v>
      </c>
      <c r="C2344" s="407">
        <v>44573</v>
      </c>
      <c r="D2344" s="474" t="s">
        <v>1066</v>
      </c>
      <c r="E2344" s="428">
        <v>27600</v>
      </c>
      <c r="F2344" s="474" t="s">
        <v>1376</v>
      </c>
      <c r="G2344" s="474">
        <v>2022</v>
      </c>
      <c r="H2344" s="474">
        <v>4</v>
      </c>
      <c r="I2344" s="485" t="s">
        <v>5191</v>
      </c>
      <c r="J2344" s="475" t="s">
        <v>1085</v>
      </c>
      <c r="K2344" s="474" t="s">
        <v>1382</v>
      </c>
      <c r="L2344" s="475" t="s">
        <v>1378</v>
      </c>
      <c r="M2344" s="475">
        <v>44246</v>
      </c>
      <c r="N2344" s="475">
        <v>44498</v>
      </c>
      <c r="O2344" s="475"/>
      <c r="P2344" s="475">
        <v>44623</v>
      </c>
      <c r="Q2344" s="475">
        <v>44671</v>
      </c>
      <c r="R2344" s="475">
        <v>44674</v>
      </c>
      <c r="S2344" s="474" t="s">
        <v>1102</v>
      </c>
      <c r="T2344" s="474">
        <v>72</v>
      </c>
      <c r="U2344" s="474">
        <v>12005832</v>
      </c>
      <c r="V2344" s="474" t="s">
        <v>1070</v>
      </c>
      <c r="W2344" s="476">
        <v>480</v>
      </c>
      <c r="X2344" s="412">
        <f>32400-600-3000-1200</f>
        <v>27600</v>
      </c>
      <c r="Y2344" s="491">
        <f t="shared" si="406"/>
        <v>13248000</v>
      </c>
      <c r="Z2344" s="478">
        <v>0.38159999999999999</v>
      </c>
      <c r="AA2344" s="479">
        <f t="shared" si="414"/>
        <v>5055436.7999999998</v>
      </c>
      <c r="AB2344" s="386"/>
      <c r="AC2344" s="481">
        <f t="shared" si="413"/>
        <v>0</v>
      </c>
      <c r="AD2344" s="474"/>
      <c r="AE2344" s="482"/>
      <c r="AF2344" s="493">
        <f t="shared" si="408"/>
        <v>5055436.7999999998</v>
      </c>
      <c r="AG2344" s="501" t="s">
        <v>47</v>
      </c>
      <c r="AH2344" s="409">
        <v>5</v>
      </c>
      <c r="AI2344" s="501">
        <v>30</v>
      </c>
      <c r="AJ2344" s="501" t="s">
        <v>1380</v>
      </c>
      <c r="AK2344" s="501" t="s">
        <v>1144</v>
      </c>
      <c r="AL2344" s="509">
        <v>76904</v>
      </c>
      <c r="AM2344" s="501" t="s">
        <v>52</v>
      </c>
      <c r="AN2344" s="501" t="s">
        <v>1085</v>
      </c>
      <c r="AO2344" s="474"/>
      <c r="AP2344" s="474" t="s">
        <v>38</v>
      </c>
      <c r="AQ2344" s="474" t="s">
        <v>1086</v>
      </c>
      <c r="AR2344" s="474"/>
      <c r="AS2344" s="387" t="s">
        <v>1087</v>
      </c>
      <c r="AT2344" s="387" t="s">
        <v>1076</v>
      </c>
      <c r="AU2344" s="471"/>
      <c r="AV2344" s="262">
        <f>U2344</f>
        <v>12005832</v>
      </c>
      <c r="AW2344" s="262" cm="1">
        <f t="array" ref="AW2344">SUM(MID(0&amp;AV2344,LARGE(INDEX(ISNUMBER(--MID(AV2344,ROW($1:$8),1))*ROW($1:$8),),ROW($1:$8))+1,1)*10^ROW($1:$8)/10)</f>
        <v>12005832</v>
      </c>
      <c r="AX2344" s="262" t="str">
        <f>VLOOKUP($AW2344,'Item Master Data'!$A:$F,3,FALSE)</f>
        <v>Q.PEAK DUO XL G10 BFG</v>
      </c>
      <c r="AY2344" s="262">
        <f>VLOOKUP($AW2344,'Item Master Data'!$A:$F,6,FALSE)</f>
        <v>480</v>
      </c>
      <c r="AZ2344" s="262" t="e">
        <f>X2344/BA2344</f>
        <v>#VALUE!</v>
      </c>
      <c r="BA2344" s="262" t="str">
        <f>VLOOKUP(AW2344,'Item Master Data'!$A:$G,7,FALSE)</f>
        <v> 30</v>
      </c>
      <c r="BC2344" s="262">
        <f>W2344-AY2344</f>
        <v>0</v>
      </c>
    </row>
    <row r="2345" spans="1:55">
      <c r="A2345" s="410"/>
      <c r="B2345" s="407" t="s">
        <v>1211</v>
      </c>
      <c r="C2345" s="407">
        <v>44573</v>
      </c>
      <c r="D2345" s="474" t="s">
        <v>1066</v>
      </c>
      <c r="E2345" s="428">
        <v>5278</v>
      </c>
      <c r="F2345" s="474" t="s">
        <v>1376</v>
      </c>
      <c r="G2345" s="474">
        <v>2022</v>
      </c>
      <c r="H2345" s="474">
        <v>4</v>
      </c>
      <c r="I2345" s="485" t="s">
        <v>5191</v>
      </c>
      <c r="J2345" s="475" t="s">
        <v>1085</v>
      </c>
      <c r="K2345" s="474" t="s">
        <v>1382</v>
      </c>
      <c r="L2345" s="475" t="s">
        <v>1378</v>
      </c>
      <c r="M2345" s="475">
        <v>44246</v>
      </c>
      <c r="N2345" s="475">
        <v>44498</v>
      </c>
      <c r="O2345" s="475"/>
      <c r="P2345" s="475">
        <v>44623</v>
      </c>
      <c r="Q2345" s="475">
        <v>44656</v>
      </c>
      <c r="R2345" s="475">
        <v>44659</v>
      </c>
      <c r="S2345" s="474" t="s">
        <v>1102</v>
      </c>
      <c r="T2345" s="474">
        <v>72</v>
      </c>
      <c r="U2345" s="474">
        <v>30390372</v>
      </c>
      <c r="V2345" s="474" t="s">
        <v>1070</v>
      </c>
      <c r="W2345" s="476">
        <v>480</v>
      </c>
      <c r="X2345" s="412">
        <f>5568-638+522-174</f>
        <v>5278</v>
      </c>
      <c r="Y2345" s="491">
        <f t="shared" si="406"/>
        <v>2533440</v>
      </c>
      <c r="Z2345" s="478">
        <v>0.38159999999999999</v>
      </c>
      <c r="AA2345" s="479">
        <f t="shared" si="414"/>
        <v>966760.70400000003</v>
      </c>
      <c r="AB2345" s="386"/>
      <c r="AC2345" s="481">
        <f t="shared" si="413"/>
        <v>0</v>
      </c>
      <c r="AD2345" s="474"/>
      <c r="AE2345" s="482"/>
      <c r="AF2345" s="493">
        <f t="shared" si="408"/>
        <v>966760.70400000003</v>
      </c>
      <c r="AG2345" s="501" t="s">
        <v>47</v>
      </c>
      <c r="AH2345" s="409">
        <v>5</v>
      </c>
      <c r="AI2345" s="501">
        <v>30</v>
      </c>
      <c r="AJ2345" s="501" t="s">
        <v>1380</v>
      </c>
      <c r="AK2345" s="501" t="s">
        <v>1144</v>
      </c>
      <c r="AL2345" s="509">
        <v>76904</v>
      </c>
      <c r="AM2345" s="501" t="s">
        <v>52</v>
      </c>
      <c r="AN2345" s="501" t="s">
        <v>1085</v>
      </c>
      <c r="AO2345" s="474"/>
      <c r="AP2345" s="474" t="s">
        <v>38</v>
      </c>
      <c r="AQ2345" s="474" t="s">
        <v>1086</v>
      </c>
      <c r="AR2345" s="474"/>
      <c r="AS2345" s="387" t="s">
        <v>1087</v>
      </c>
      <c r="AT2345" s="387" t="s">
        <v>1076</v>
      </c>
      <c r="AU2345" s="471"/>
    </row>
    <row r="2346" spans="1:55">
      <c r="A2346" s="410"/>
      <c r="B2346" s="407" t="s">
        <v>1211</v>
      </c>
      <c r="C2346" s="407">
        <v>44573</v>
      </c>
      <c r="D2346" s="474" t="s">
        <v>1066</v>
      </c>
      <c r="E2346" s="428">
        <v>41876</v>
      </c>
      <c r="F2346" s="474" t="s">
        <v>1376</v>
      </c>
      <c r="G2346" s="474">
        <v>2022</v>
      </c>
      <c r="H2346" s="474">
        <v>4</v>
      </c>
      <c r="I2346" s="485" t="s">
        <v>5191</v>
      </c>
      <c r="J2346" s="475" t="s">
        <v>1085</v>
      </c>
      <c r="K2346" s="474" t="s">
        <v>1382</v>
      </c>
      <c r="L2346" s="475" t="s">
        <v>1378</v>
      </c>
      <c r="M2346" s="475">
        <v>44246</v>
      </c>
      <c r="N2346" s="475">
        <v>44498</v>
      </c>
      <c r="O2346" s="475"/>
      <c r="P2346" s="475">
        <v>44623</v>
      </c>
      <c r="Q2346" s="475">
        <v>44678</v>
      </c>
      <c r="R2346" s="475">
        <v>44681</v>
      </c>
      <c r="S2346" s="474" t="s">
        <v>1102</v>
      </c>
      <c r="T2346" s="474">
        <v>72</v>
      </c>
      <c r="U2346" s="474">
        <v>30397572</v>
      </c>
      <c r="V2346" s="474" t="s">
        <v>1070</v>
      </c>
      <c r="W2346" s="476">
        <v>480</v>
      </c>
      <c r="X2346" s="412">
        <f>47966+2378-9860+696-15950+12528+6420-678-1624</f>
        <v>41876</v>
      </c>
      <c r="Y2346" s="491">
        <f t="shared" si="406"/>
        <v>20100480</v>
      </c>
      <c r="Z2346" s="478">
        <v>0.38159999999999999</v>
      </c>
      <c r="AA2346" s="479">
        <f t="shared" si="414"/>
        <v>7670343.1679999996</v>
      </c>
      <c r="AB2346" s="386"/>
      <c r="AC2346" s="481">
        <f t="shared" si="413"/>
        <v>0</v>
      </c>
      <c r="AD2346" s="474"/>
      <c r="AE2346" s="482"/>
      <c r="AF2346" s="493">
        <f t="shared" si="408"/>
        <v>7670343.1679999996</v>
      </c>
      <c r="AG2346" s="501" t="s">
        <v>47</v>
      </c>
      <c r="AH2346" s="409">
        <v>5</v>
      </c>
      <c r="AI2346" s="501">
        <v>30</v>
      </c>
      <c r="AJ2346" s="501" t="s">
        <v>1380</v>
      </c>
      <c r="AK2346" s="501" t="s">
        <v>1144</v>
      </c>
      <c r="AL2346" s="509">
        <v>76904</v>
      </c>
      <c r="AM2346" s="501" t="s">
        <v>52</v>
      </c>
      <c r="AN2346" s="501" t="s">
        <v>1085</v>
      </c>
      <c r="AO2346" s="474"/>
      <c r="AP2346" s="474" t="s">
        <v>38</v>
      </c>
      <c r="AQ2346" s="474" t="s">
        <v>1086</v>
      </c>
      <c r="AR2346" s="474"/>
      <c r="AS2346" s="387" t="s">
        <v>1087</v>
      </c>
      <c r="AT2346" s="387" t="s">
        <v>1076</v>
      </c>
      <c r="AU2346" s="471"/>
    </row>
    <row r="2347" spans="1:55">
      <c r="A2347" s="410"/>
      <c r="B2347" s="407" t="s">
        <v>1211</v>
      </c>
      <c r="C2347" s="407">
        <v>44573</v>
      </c>
      <c r="D2347" s="474" t="s">
        <v>1066</v>
      </c>
      <c r="E2347" s="428">
        <v>15950</v>
      </c>
      <c r="F2347" s="474" t="s">
        <v>1376</v>
      </c>
      <c r="G2347" s="474">
        <v>2022</v>
      </c>
      <c r="H2347" s="474">
        <v>4</v>
      </c>
      <c r="I2347" s="485"/>
      <c r="J2347" s="475" t="s">
        <v>1106</v>
      </c>
      <c r="K2347" s="474" t="s">
        <v>1382</v>
      </c>
      <c r="L2347" s="475" t="s">
        <v>1378</v>
      </c>
      <c r="M2347" s="475">
        <v>44246</v>
      </c>
      <c r="N2347" s="475">
        <v>44498</v>
      </c>
      <c r="O2347" s="475"/>
      <c r="P2347" s="475">
        <v>44623</v>
      </c>
      <c r="Q2347" s="475">
        <v>44672</v>
      </c>
      <c r="R2347" s="475">
        <v>44679</v>
      </c>
      <c r="S2347" s="474" t="s">
        <v>1102</v>
      </c>
      <c r="T2347" s="474">
        <v>72</v>
      </c>
      <c r="U2347" s="474">
        <v>49303156</v>
      </c>
      <c r="V2347" s="474" t="s">
        <v>1070</v>
      </c>
      <c r="W2347" s="476">
        <v>480</v>
      </c>
      <c r="X2347" s="412">
        <f>12760+6380+15950-6380-4466</f>
        <v>24244</v>
      </c>
      <c r="Y2347" s="491">
        <f t="shared" si="406"/>
        <v>11637120</v>
      </c>
      <c r="Z2347" s="478">
        <v>0.38159999999999999</v>
      </c>
      <c r="AA2347" s="479">
        <f t="shared" si="414"/>
        <v>4440724.9919999996</v>
      </c>
      <c r="AB2347" s="386"/>
      <c r="AC2347" s="481">
        <f t="shared" si="413"/>
        <v>0</v>
      </c>
      <c r="AD2347" s="474"/>
      <c r="AE2347" s="482"/>
      <c r="AF2347" s="493">
        <f t="shared" si="408"/>
        <v>4440724.9919999996</v>
      </c>
      <c r="AG2347" s="501" t="s">
        <v>47</v>
      </c>
      <c r="AH2347" s="409">
        <v>5</v>
      </c>
      <c r="AI2347" s="501">
        <v>30</v>
      </c>
      <c r="AJ2347" s="501" t="s">
        <v>1380</v>
      </c>
      <c r="AK2347" s="501" t="s">
        <v>1144</v>
      </c>
      <c r="AL2347" s="509">
        <v>76904</v>
      </c>
      <c r="AM2347" s="501" t="s">
        <v>52</v>
      </c>
      <c r="AN2347" s="501" t="s">
        <v>1106</v>
      </c>
      <c r="AO2347" s="474"/>
      <c r="AP2347" s="474"/>
      <c r="AQ2347" s="474" t="s">
        <v>1086</v>
      </c>
      <c r="AR2347" s="474"/>
      <c r="AS2347" s="387" t="s">
        <v>1087</v>
      </c>
      <c r="AT2347" s="387" t="s">
        <v>1076</v>
      </c>
      <c r="AU2347" s="471"/>
    </row>
    <row r="2348" spans="1:55">
      <c r="A2348" s="410"/>
      <c r="B2348" s="407" t="s">
        <v>1211</v>
      </c>
      <c r="C2348" s="407">
        <v>44573</v>
      </c>
      <c r="D2348" s="474" t="s">
        <v>1066</v>
      </c>
      <c r="E2348" s="428"/>
      <c r="F2348" s="474" t="s">
        <v>1376</v>
      </c>
      <c r="G2348" s="474">
        <v>2022</v>
      </c>
      <c r="H2348" s="474">
        <v>4</v>
      </c>
      <c r="I2348" s="485"/>
      <c r="J2348" s="475" t="s">
        <v>1109</v>
      </c>
      <c r="K2348" s="519" t="s">
        <v>1382</v>
      </c>
      <c r="L2348" s="521" t="s">
        <v>1378</v>
      </c>
      <c r="M2348" s="521">
        <v>44246</v>
      </c>
      <c r="N2348" s="521">
        <v>44498</v>
      </c>
      <c r="O2348" s="521"/>
      <c r="P2348" s="521">
        <v>44623</v>
      </c>
      <c r="Q2348" s="521"/>
      <c r="R2348" s="521"/>
      <c r="S2348" s="519" t="s">
        <v>1102</v>
      </c>
      <c r="T2348" s="519">
        <v>72</v>
      </c>
      <c r="U2348" s="519">
        <v>12005832</v>
      </c>
      <c r="V2348" s="519" t="s">
        <v>1070</v>
      </c>
      <c r="W2348" s="522">
        <v>480</v>
      </c>
      <c r="X2348" s="648">
        <f>20880+638-2378-984-8586+12600-4200+600+9860-12760-6380-3190+600-580+3000-3000+1200-696+6380+420-1816-660-522-12528+678+2552+1624+4466+600</f>
        <v>7818</v>
      </c>
      <c r="Y2348" s="470">
        <f t="shared" si="406"/>
        <v>3752640</v>
      </c>
      <c r="Z2348" s="478">
        <v>0.38159999999999999</v>
      </c>
      <c r="AA2348" s="479">
        <f t="shared" si="414"/>
        <v>1432007.4239999999</v>
      </c>
      <c r="AB2348" s="386"/>
      <c r="AC2348" s="481">
        <f t="shared" si="413"/>
        <v>0</v>
      </c>
      <c r="AD2348" s="474"/>
      <c r="AE2348" s="482"/>
      <c r="AF2348" s="493">
        <f t="shared" si="408"/>
        <v>1432007.4239999999</v>
      </c>
      <c r="AG2348" s="501" t="s">
        <v>47</v>
      </c>
      <c r="AH2348" s="409">
        <v>5</v>
      </c>
      <c r="AI2348" s="501">
        <v>30</v>
      </c>
      <c r="AJ2348" s="501" t="s">
        <v>1380</v>
      </c>
      <c r="AK2348" s="501" t="s">
        <v>1144</v>
      </c>
      <c r="AL2348" s="509">
        <v>76904</v>
      </c>
      <c r="AM2348" s="501" t="s">
        <v>52</v>
      </c>
      <c r="AN2348" s="501" t="s">
        <v>1384</v>
      </c>
      <c r="AO2348" s="474"/>
      <c r="AP2348" s="474" t="s">
        <v>38</v>
      </c>
      <c r="AQ2348" s="474" t="s">
        <v>1086</v>
      </c>
      <c r="AR2348" s="474"/>
      <c r="AS2348" s="387" t="s">
        <v>1087</v>
      </c>
      <c r="AT2348" s="387" t="s">
        <v>1076</v>
      </c>
      <c r="AU2348" s="471"/>
    </row>
    <row r="2349" spans="1:55">
      <c r="A2349" s="410"/>
      <c r="B2349" s="407" t="s">
        <v>1211</v>
      </c>
      <c r="C2349" s="407">
        <v>44573</v>
      </c>
      <c r="D2349" s="474" t="s">
        <v>1066</v>
      </c>
      <c r="E2349" s="428"/>
      <c r="F2349" s="474" t="s">
        <v>1376</v>
      </c>
      <c r="G2349" s="474">
        <v>2022</v>
      </c>
      <c r="H2349" s="474">
        <v>5</v>
      </c>
      <c r="I2349" s="485"/>
      <c r="J2349" s="475"/>
      <c r="K2349" s="474" t="s">
        <v>1382</v>
      </c>
      <c r="L2349" s="475" t="s">
        <v>1378</v>
      </c>
      <c r="M2349" s="475">
        <v>44246</v>
      </c>
      <c r="N2349" s="475">
        <v>44498</v>
      </c>
      <c r="O2349" s="475"/>
      <c r="P2349" s="475">
        <v>44623</v>
      </c>
      <c r="Q2349" s="475"/>
      <c r="R2349" s="475"/>
      <c r="S2349" s="474" t="s">
        <v>1102</v>
      </c>
      <c r="T2349" s="474">
        <v>72</v>
      </c>
      <c r="U2349" s="474">
        <v>12005832</v>
      </c>
      <c r="V2349" s="474" t="s">
        <v>1070</v>
      </c>
      <c r="W2349" s="476">
        <v>480</v>
      </c>
      <c r="X2349" s="402">
        <f>60203-20880</f>
        <v>39323</v>
      </c>
      <c r="Y2349" s="491">
        <f t="shared" si="406"/>
        <v>18875040</v>
      </c>
      <c r="Z2349" s="478">
        <v>0.38159999999999999</v>
      </c>
      <c r="AA2349" s="479">
        <f t="shared" si="414"/>
        <v>7202715.2639999995</v>
      </c>
      <c r="AB2349" s="386"/>
      <c r="AC2349" s="481">
        <f t="shared" si="413"/>
        <v>0</v>
      </c>
      <c r="AD2349" s="474"/>
      <c r="AE2349" s="482"/>
      <c r="AF2349" s="493">
        <f t="shared" si="408"/>
        <v>7202715.2639999995</v>
      </c>
      <c r="AG2349" s="501" t="s">
        <v>47</v>
      </c>
      <c r="AH2349" s="409">
        <v>5</v>
      </c>
      <c r="AI2349" s="501">
        <v>30</v>
      </c>
      <c r="AJ2349" s="501" t="s">
        <v>1380</v>
      </c>
      <c r="AK2349" s="501" t="s">
        <v>1144</v>
      </c>
      <c r="AL2349" s="509">
        <v>76904</v>
      </c>
      <c r="AM2349" s="501" t="s">
        <v>52</v>
      </c>
      <c r="AN2349" s="501" t="s">
        <v>1384</v>
      </c>
      <c r="AO2349" s="474"/>
      <c r="AP2349" s="474" t="s">
        <v>38</v>
      </c>
      <c r="AQ2349" s="474" t="s">
        <v>1086</v>
      </c>
      <c r="AR2349" s="474"/>
      <c r="AS2349" s="387" t="s">
        <v>1087</v>
      </c>
      <c r="AT2349" s="387" t="s">
        <v>1076</v>
      </c>
      <c r="AU2349" s="471"/>
    </row>
    <row r="2350" spans="1:55">
      <c r="A2350" s="410"/>
      <c r="B2350" s="407"/>
      <c r="C2350" s="407"/>
      <c r="D2350" s="474" t="s">
        <v>1066</v>
      </c>
      <c r="E2350" s="388"/>
      <c r="F2350" s="474" t="s">
        <v>87</v>
      </c>
      <c r="G2350" s="474">
        <v>2022</v>
      </c>
      <c r="H2350" s="474">
        <v>3</v>
      </c>
      <c r="I2350" s="485">
        <v>127659</v>
      </c>
      <c r="J2350" s="475">
        <v>44651</v>
      </c>
      <c r="K2350" s="474" t="s">
        <v>1391</v>
      </c>
      <c r="L2350" s="475" t="s">
        <v>1387</v>
      </c>
      <c r="M2350" s="475">
        <v>44357</v>
      </c>
      <c r="N2350" s="475"/>
      <c r="O2350" s="475"/>
      <c r="P2350" s="475">
        <v>44635</v>
      </c>
      <c r="Q2350" s="475">
        <v>44641</v>
      </c>
      <c r="R2350" s="475">
        <v>44651</v>
      </c>
      <c r="S2350" s="474" t="s">
        <v>1388</v>
      </c>
      <c r="T2350" s="474">
        <v>72</v>
      </c>
      <c r="U2350" s="474" t="s">
        <v>1389</v>
      </c>
      <c r="V2350" s="474" t="s">
        <v>1070</v>
      </c>
      <c r="W2350" s="476">
        <v>475</v>
      </c>
      <c r="X2350" s="649">
        <v>11130</v>
      </c>
      <c r="Y2350" s="491">
        <f t="shared" si="406"/>
        <v>5286750</v>
      </c>
      <c r="Z2350" s="478">
        <f>189.6/480</f>
        <v>0.39499999999999996</v>
      </c>
      <c r="AA2350" s="479">
        <f>Y2350*Z2350</f>
        <v>2088266.2499999998</v>
      </c>
      <c r="AB2350" s="386"/>
      <c r="AC2350" s="481">
        <v>0</v>
      </c>
      <c r="AD2350" s="474"/>
      <c r="AE2350" s="482"/>
      <c r="AF2350" s="493">
        <f t="shared" si="408"/>
        <v>2088266.2499999998</v>
      </c>
      <c r="AG2350" s="474" t="s">
        <v>47</v>
      </c>
      <c r="AH2350" s="447">
        <v>10</v>
      </c>
      <c r="AI2350" s="474">
        <v>60</v>
      </c>
      <c r="AJ2350" s="474" t="s">
        <v>1392</v>
      </c>
      <c r="AK2350" s="474" t="s">
        <v>1190</v>
      </c>
      <c r="AL2350" s="494">
        <v>6460</v>
      </c>
      <c r="AM2350" s="474" t="s">
        <v>52</v>
      </c>
      <c r="AN2350" s="474" t="s">
        <v>1085</v>
      </c>
      <c r="AO2350" s="474"/>
      <c r="AP2350" s="474" t="s">
        <v>92</v>
      </c>
      <c r="AQ2350" s="474" t="s">
        <v>1109</v>
      </c>
      <c r="AR2350" s="474"/>
      <c r="AS2350" s="387" t="s">
        <v>1076</v>
      </c>
      <c r="AT2350" s="387" t="s">
        <v>1076</v>
      </c>
      <c r="AU2350" s="471"/>
    </row>
    <row r="2351" spans="1:55">
      <c r="A2351" s="410"/>
      <c r="B2351" s="407"/>
      <c r="C2351" s="407"/>
      <c r="D2351" s="474" t="s">
        <v>1066</v>
      </c>
      <c r="E2351" s="388"/>
      <c r="F2351" s="474" t="s">
        <v>87</v>
      </c>
      <c r="G2351" s="474">
        <v>2022</v>
      </c>
      <c r="H2351" s="474">
        <v>3</v>
      </c>
      <c r="I2351" s="485">
        <v>127578</v>
      </c>
      <c r="J2351" s="475">
        <v>44645</v>
      </c>
      <c r="K2351" s="474" t="s">
        <v>1393</v>
      </c>
      <c r="L2351" s="475" t="s">
        <v>1387</v>
      </c>
      <c r="M2351" s="475">
        <v>44357</v>
      </c>
      <c r="N2351" s="475"/>
      <c r="O2351" s="475"/>
      <c r="P2351" s="475">
        <v>44631</v>
      </c>
      <c r="Q2351" s="475">
        <v>44637</v>
      </c>
      <c r="R2351" s="475">
        <v>44645</v>
      </c>
      <c r="S2351" s="474" t="s">
        <v>1388</v>
      </c>
      <c r="T2351" s="474">
        <v>72</v>
      </c>
      <c r="U2351" s="474" t="s">
        <v>1082</v>
      </c>
      <c r="V2351" s="474" t="s">
        <v>1070</v>
      </c>
      <c r="W2351" s="476">
        <v>475</v>
      </c>
      <c r="X2351" s="649">
        <v>2760</v>
      </c>
      <c r="Y2351" s="491">
        <f t="shared" si="406"/>
        <v>1311000</v>
      </c>
      <c r="Z2351" s="478">
        <f>189.6/480</f>
        <v>0.39499999999999996</v>
      </c>
      <c r="AA2351" s="479">
        <f>Y2351*Z2351</f>
        <v>517844.99999999994</v>
      </c>
      <c r="AB2351" s="386"/>
      <c r="AC2351" s="481">
        <v>0</v>
      </c>
      <c r="AD2351" s="474"/>
      <c r="AE2351" s="482"/>
      <c r="AF2351" s="493">
        <f t="shared" si="408"/>
        <v>517844.99999999994</v>
      </c>
      <c r="AG2351" s="474" t="s">
        <v>47</v>
      </c>
      <c r="AH2351" s="447">
        <v>10</v>
      </c>
      <c r="AI2351" s="474">
        <v>60</v>
      </c>
      <c r="AJ2351" s="474" t="s">
        <v>1394</v>
      </c>
      <c r="AK2351" s="474" t="s">
        <v>1395</v>
      </c>
      <c r="AL2351" s="494">
        <v>89461</v>
      </c>
      <c r="AM2351" s="474" t="s">
        <v>52</v>
      </c>
      <c r="AN2351" s="474" t="s">
        <v>1085</v>
      </c>
      <c r="AO2351" s="474"/>
      <c r="AP2351" s="474" t="s">
        <v>92</v>
      </c>
      <c r="AQ2351" s="474" t="s">
        <v>1109</v>
      </c>
      <c r="AR2351" s="474"/>
      <c r="AS2351" s="387" t="s">
        <v>1076</v>
      </c>
      <c r="AT2351" s="387" t="s">
        <v>1076</v>
      </c>
      <c r="AU2351" s="471"/>
    </row>
    <row r="2352" spans="1:55">
      <c r="A2352" s="410"/>
      <c r="B2352" s="407"/>
      <c r="C2352" s="407"/>
      <c r="D2352" s="474" t="s">
        <v>1066</v>
      </c>
      <c r="E2352" s="388"/>
      <c r="F2352" s="474" t="s">
        <v>87</v>
      </c>
      <c r="G2352" s="474">
        <v>2022</v>
      </c>
      <c r="H2352" s="474">
        <v>4</v>
      </c>
      <c r="I2352" s="485">
        <v>127948</v>
      </c>
      <c r="J2352" s="475">
        <v>44663</v>
      </c>
      <c r="K2352" s="474" t="s">
        <v>1396</v>
      </c>
      <c r="L2352" s="475" t="s">
        <v>1387</v>
      </c>
      <c r="M2352" s="475">
        <v>44357</v>
      </c>
      <c r="N2352" s="475"/>
      <c r="O2352" s="475"/>
      <c r="P2352" s="475">
        <v>44635</v>
      </c>
      <c r="Q2352" s="475">
        <v>44662</v>
      </c>
      <c r="R2352" s="475">
        <v>44663</v>
      </c>
      <c r="S2352" s="474" t="s">
        <v>1388</v>
      </c>
      <c r="T2352" s="474">
        <v>72</v>
      </c>
      <c r="U2352" s="474" t="s">
        <v>1082</v>
      </c>
      <c r="V2352" s="474" t="s">
        <v>1070</v>
      </c>
      <c r="W2352" s="476">
        <v>475</v>
      </c>
      <c r="X2352" s="649">
        <v>1170</v>
      </c>
      <c r="Y2352" s="491">
        <f t="shared" si="406"/>
        <v>555750</v>
      </c>
      <c r="Z2352" s="478">
        <f>189.6/480</f>
        <v>0.39499999999999996</v>
      </c>
      <c r="AA2352" s="479">
        <f>Y2352*Z2352</f>
        <v>219521.24999999997</v>
      </c>
      <c r="AB2352" s="386"/>
      <c r="AC2352" s="481">
        <v>0</v>
      </c>
      <c r="AD2352" s="474"/>
      <c r="AE2352" s="482"/>
      <c r="AF2352" s="493">
        <f t="shared" si="408"/>
        <v>219521.24999999997</v>
      </c>
      <c r="AG2352" s="474" t="s">
        <v>47</v>
      </c>
      <c r="AH2352" s="447">
        <v>10</v>
      </c>
      <c r="AI2352" s="474">
        <v>60</v>
      </c>
      <c r="AJ2352" s="474" t="s">
        <v>1397</v>
      </c>
      <c r="AK2352" s="474" t="s">
        <v>1085</v>
      </c>
      <c r="AL2352" s="494">
        <v>8902</v>
      </c>
      <c r="AM2352" s="474" t="s">
        <v>52</v>
      </c>
      <c r="AN2352" s="474" t="s">
        <v>1085</v>
      </c>
      <c r="AO2352" s="474"/>
      <c r="AP2352" s="474" t="s">
        <v>92</v>
      </c>
      <c r="AQ2352" s="474" t="s">
        <v>1109</v>
      </c>
      <c r="AR2352" s="474"/>
      <c r="AS2352" s="387" t="s">
        <v>1076</v>
      </c>
      <c r="AT2352" s="387" t="s">
        <v>1076</v>
      </c>
      <c r="AU2352" s="471"/>
      <c r="AV2352" s="262" t="str">
        <f t="shared" ref="AV2352:AV2381" si="415">U2352</f>
        <v>12005833C</v>
      </c>
      <c r="AW2352" s="262" cm="1">
        <f t="array" ref="AW2352">SUM(MID(0&amp;AV2352,LARGE(INDEX(ISNUMBER(--MID(AV2352,ROW($1:$8),1))*ROW($1:$8),),ROW($1:$8))+1,1)*10^ROW($1:$8)/10)</f>
        <v>12005833</v>
      </c>
      <c r="AX2352" s="262" t="str">
        <f>VLOOKUP($AW2352,'Item Master Data'!$A:$F,3,FALSE)</f>
        <v>Q.PEAK DUO XL G10 BFG</v>
      </c>
      <c r="AY2352" s="262">
        <f>VLOOKUP($AW2352,'Item Master Data'!$A:$F,6,FALSE)</f>
        <v>475</v>
      </c>
      <c r="AZ2352" s="262">
        <f t="shared" ref="AZ2352:AZ2381" si="416">X2352/BA2352</f>
        <v>39</v>
      </c>
      <c r="BA2352" s="262">
        <f>VLOOKUP(AW2352,'Item Master Data'!$A:$G,7,FALSE)</f>
        <v>30</v>
      </c>
      <c r="BC2352" s="262">
        <f t="shared" ref="BC2352:BC2381" si="417">W2352-AY2352</f>
        <v>0</v>
      </c>
    </row>
    <row r="2353" spans="1:55">
      <c r="A2353" s="410"/>
      <c r="B2353" s="407"/>
      <c r="C2353" s="407"/>
      <c r="D2353" s="474" t="s">
        <v>1066</v>
      </c>
      <c r="E2353" s="388" t="s">
        <v>1153</v>
      </c>
      <c r="F2353" s="474"/>
      <c r="G2353" s="474">
        <v>2022</v>
      </c>
      <c r="H2353" s="474">
        <v>8</v>
      </c>
      <c r="I2353" s="485" t="s">
        <v>1078</v>
      </c>
      <c r="J2353" s="475"/>
      <c r="K2353" s="474" t="s">
        <v>1154</v>
      </c>
      <c r="L2353" s="475" t="s">
        <v>1155</v>
      </c>
      <c r="M2353" s="475">
        <v>44607</v>
      </c>
      <c r="N2353" s="475">
        <v>44774</v>
      </c>
      <c r="O2353" s="475"/>
      <c r="P2353" s="475"/>
      <c r="Q2353" s="475"/>
      <c r="R2353" s="475"/>
      <c r="S2353" s="474" t="s">
        <v>1081</v>
      </c>
      <c r="T2353" s="474">
        <v>72</v>
      </c>
      <c r="U2353" s="474" t="s">
        <v>1156</v>
      </c>
      <c r="V2353" s="474" t="s">
        <v>1070</v>
      </c>
      <c r="W2353" s="476">
        <v>480</v>
      </c>
      <c r="X2353" s="402">
        <v>348</v>
      </c>
      <c r="Y2353" s="491">
        <f t="shared" si="406"/>
        <v>167040</v>
      </c>
      <c r="Z2353" s="478">
        <v>0.48</v>
      </c>
      <c r="AA2353" s="479">
        <f>Z2353*Y2353</f>
        <v>80179.199999999997</v>
      </c>
      <c r="AB2353" s="386"/>
      <c r="AC2353" s="481">
        <f>AB2353*Y2353</f>
        <v>0</v>
      </c>
      <c r="AD2353" s="474"/>
      <c r="AE2353" s="482">
        <f>AA2353*0.0725</f>
        <v>5812.9919999999993</v>
      </c>
      <c r="AF2353" s="493">
        <f t="shared" si="408"/>
        <v>85992.191999999995</v>
      </c>
      <c r="AG2353" s="474" t="s">
        <v>47</v>
      </c>
      <c r="AH2353" s="447">
        <v>100</v>
      </c>
      <c r="AI2353" s="474">
        <v>0</v>
      </c>
      <c r="AJ2353" s="474" t="s">
        <v>1162</v>
      </c>
      <c r="AK2353" s="474" t="s">
        <v>1158</v>
      </c>
      <c r="AL2353" s="494">
        <v>28216</v>
      </c>
      <c r="AM2353" s="474" t="s">
        <v>52</v>
      </c>
      <c r="AN2353" s="474" t="s">
        <v>1109</v>
      </c>
      <c r="AO2353" s="474"/>
      <c r="AP2353" s="474" t="s">
        <v>1109</v>
      </c>
      <c r="AQ2353" s="474"/>
      <c r="AR2353" s="474"/>
      <c r="AS2353" s="387"/>
      <c r="AT2353" s="387"/>
      <c r="AU2353" s="471"/>
      <c r="AV2353" s="262" t="str">
        <f t="shared" si="415"/>
        <v>12005832C</v>
      </c>
      <c r="AW2353" s="262" cm="1">
        <f t="array" ref="AW2353">SUM(MID(0&amp;AV2353,LARGE(INDEX(ISNUMBER(--MID(AV2353,ROW($1:$8),1))*ROW($1:$8),),ROW($1:$8))+1,1)*10^ROW($1:$8)/10)</f>
        <v>12005832</v>
      </c>
      <c r="AX2353" s="262" t="str">
        <f>VLOOKUP($AW2353,'Item Master Data'!$A:$F,3,FALSE)</f>
        <v>Q.PEAK DUO XL G10 BFG</v>
      </c>
      <c r="AY2353" s="262">
        <f>VLOOKUP($AW2353,'Item Master Data'!$A:$F,6,FALSE)</f>
        <v>480</v>
      </c>
      <c r="AZ2353" s="262" t="e">
        <f t="shared" si="416"/>
        <v>#VALUE!</v>
      </c>
      <c r="BA2353" s="262" t="str">
        <f>VLOOKUP(AW2353,'Item Master Data'!$A:$G,7,FALSE)</f>
        <v> 30</v>
      </c>
      <c r="BC2353" s="262">
        <f t="shared" si="417"/>
        <v>0</v>
      </c>
    </row>
    <row r="2354" spans="1:55">
      <c r="A2354" s="410"/>
      <c r="B2354" s="407"/>
      <c r="C2354" s="407"/>
      <c r="D2354" s="474" t="s">
        <v>1066</v>
      </c>
      <c r="E2354" s="388"/>
      <c r="F2354" s="474" t="s">
        <v>87</v>
      </c>
      <c r="G2354" s="474">
        <v>2022</v>
      </c>
      <c r="H2354" s="474">
        <v>3</v>
      </c>
      <c r="I2354" s="485">
        <v>127660</v>
      </c>
      <c r="J2354" s="475">
        <v>44651</v>
      </c>
      <c r="K2354" s="474" t="s">
        <v>1386</v>
      </c>
      <c r="L2354" s="475" t="s">
        <v>1387</v>
      </c>
      <c r="M2354" s="475">
        <v>44609</v>
      </c>
      <c r="N2354" s="475"/>
      <c r="O2354" s="475"/>
      <c r="P2354" s="475">
        <v>44629</v>
      </c>
      <c r="Q2354" s="475">
        <v>44648</v>
      </c>
      <c r="R2354" s="475">
        <v>44651</v>
      </c>
      <c r="S2354" s="474" t="s">
        <v>1388</v>
      </c>
      <c r="T2354" s="474">
        <v>72</v>
      </c>
      <c r="U2354" s="474" t="s">
        <v>1389</v>
      </c>
      <c r="V2354" s="474" t="s">
        <v>1070</v>
      </c>
      <c r="W2354" s="476">
        <v>475</v>
      </c>
      <c r="X2354" s="402">
        <v>1653</v>
      </c>
      <c r="Y2354" s="491">
        <f t="shared" si="406"/>
        <v>785175</v>
      </c>
      <c r="Z2354" s="478">
        <v>0.47</v>
      </c>
      <c r="AA2354" s="479">
        <f t="shared" ref="AA2354:AA2365" si="418">Y2354*Z2354</f>
        <v>369032.25</v>
      </c>
      <c r="AB2354" s="386"/>
      <c r="AC2354" s="481">
        <v>0</v>
      </c>
      <c r="AD2354" s="474"/>
      <c r="AE2354" s="482"/>
      <c r="AF2354" s="493">
        <f t="shared" si="408"/>
        <v>369032.25</v>
      </c>
      <c r="AG2354" s="474" t="s">
        <v>47</v>
      </c>
      <c r="AH2354" s="447">
        <v>10</v>
      </c>
      <c r="AI2354" s="474">
        <v>60</v>
      </c>
      <c r="AJ2354" s="474" t="s">
        <v>1390</v>
      </c>
      <c r="AK2354" s="474" t="s">
        <v>1221</v>
      </c>
      <c r="AL2354" s="494">
        <v>45810</v>
      </c>
      <c r="AM2354" s="474" t="s">
        <v>52</v>
      </c>
      <c r="AN2354" s="474" t="s">
        <v>1085</v>
      </c>
      <c r="AO2354" s="474"/>
      <c r="AP2354" s="474" t="s">
        <v>92</v>
      </c>
      <c r="AQ2354" s="474" t="s">
        <v>1109</v>
      </c>
      <c r="AR2354" s="474"/>
      <c r="AS2354" s="387" t="s">
        <v>1076</v>
      </c>
      <c r="AT2354" s="387" t="s">
        <v>1076</v>
      </c>
      <c r="AU2354" s="471"/>
      <c r="AV2354" s="262" t="str">
        <f t="shared" si="415"/>
        <v>12005833F</v>
      </c>
      <c r="AW2354" s="262" cm="1">
        <f t="array" ref="AW2354">SUM(MID(0&amp;AV2354,LARGE(INDEX(ISNUMBER(--MID(AV2354,ROW($1:$8),1))*ROW($1:$8),),ROW($1:$8))+1,1)*10^ROW($1:$8)/10)</f>
        <v>12005833</v>
      </c>
      <c r="AX2354" s="262" t="str">
        <f>VLOOKUP($AW2354,'Item Master Data'!$A:$F,3,FALSE)</f>
        <v>Q.PEAK DUO XL G10 BFG</v>
      </c>
      <c r="AY2354" s="262">
        <f>VLOOKUP($AW2354,'Item Master Data'!$A:$F,6,FALSE)</f>
        <v>475</v>
      </c>
      <c r="AZ2354" s="262">
        <f t="shared" si="416"/>
        <v>55.1</v>
      </c>
      <c r="BA2354" s="262">
        <f>VLOOKUP(AW2354,'Item Master Data'!$A:$G,7,FALSE)</f>
        <v>30</v>
      </c>
      <c r="BC2354" s="262">
        <f t="shared" si="417"/>
        <v>0</v>
      </c>
    </row>
    <row r="2355" spans="1:55">
      <c r="A2355" s="410"/>
      <c r="B2355" s="407"/>
      <c r="C2355" s="407"/>
      <c r="D2355" s="474" t="s">
        <v>1066</v>
      </c>
      <c r="E2355" s="388"/>
      <c r="F2355" s="474" t="s">
        <v>87</v>
      </c>
      <c r="G2355" s="474">
        <v>2022</v>
      </c>
      <c r="H2355" s="474">
        <v>4</v>
      </c>
      <c r="I2355" s="485">
        <v>128095</v>
      </c>
      <c r="J2355" s="475">
        <v>44664</v>
      </c>
      <c r="K2355" s="474" t="s">
        <v>1398</v>
      </c>
      <c r="L2355" s="475" t="s">
        <v>1387</v>
      </c>
      <c r="M2355" s="475">
        <v>44357</v>
      </c>
      <c r="N2355" s="475"/>
      <c r="O2355" s="475"/>
      <c r="P2355" s="475">
        <v>44652</v>
      </c>
      <c r="Q2355" s="475">
        <v>44657</v>
      </c>
      <c r="R2355" s="475">
        <v>44664</v>
      </c>
      <c r="S2355" s="474" t="s">
        <v>1388</v>
      </c>
      <c r="T2355" s="474">
        <v>72</v>
      </c>
      <c r="U2355" s="474" t="s">
        <v>1082</v>
      </c>
      <c r="V2355" s="474" t="s">
        <v>1070</v>
      </c>
      <c r="W2355" s="476">
        <v>475</v>
      </c>
      <c r="X2355" s="649">
        <v>1950</v>
      </c>
      <c r="Y2355" s="491">
        <f t="shared" si="406"/>
        <v>926250</v>
      </c>
      <c r="Z2355" s="478">
        <f t="shared" ref="Z2355:Z2364" si="419">189.6/480</f>
        <v>0.39499999999999996</v>
      </c>
      <c r="AA2355" s="479">
        <f t="shared" si="418"/>
        <v>365868.74999999994</v>
      </c>
      <c r="AB2355" s="386"/>
      <c r="AC2355" s="481">
        <v>0</v>
      </c>
      <c r="AD2355" s="474"/>
      <c r="AE2355" s="482"/>
      <c r="AF2355" s="493">
        <f t="shared" si="408"/>
        <v>365868.74999999994</v>
      </c>
      <c r="AG2355" s="474" t="s">
        <v>47</v>
      </c>
      <c r="AH2355" s="447">
        <v>10</v>
      </c>
      <c r="AI2355" s="474">
        <v>60</v>
      </c>
      <c r="AJ2355" s="474" t="s">
        <v>5440</v>
      </c>
      <c r="AK2355" s="474" t="s">
        <v>1395</v>
      </c>
      <c r="AL2355" s="494">
        <v>89431</v>
      </c>
      <c r="AM2355" s="474" t="s">
        <v>52</v>
      </c>
      <c r="AN2355" s="474" t="s">
        <v>1085</v>
      </c>
      <c r="AO2355" s="474"/>
      <c r="AP2355" s="474" t="s">
        <v>92</v>
      </c>
      <c r="AQ2355" s="474" t="s">
        <v>1109</v>
      </c>
      <c r="AR2355" s="474"/>
      <c r="AS2355" s="387" t="s">
        <v>1076</v>
      </c>
      <c r="AT2355" s="387" t="s">
        <v>1076</v>
      </c>
      <c r="AU2355" s="471"/>
      <c r="AV2355" s="262" t="str">
        <f t="shared" si="415"/>
        <v>12005833C</v>
      </c>
      <c r="AW2355" s="262" cm="1">
        <f t="array" ref="AW2355">SUM(MID(0&amp;AV2355,LARGE(INDEX(ISNUMBER(--MID(AV2355,ROW($1:$8),1))*ROW($1:$8),),ROW($1:$8))+1,1)*10^ROW($1:$8)/10)</f>
        <v>12005833</v>
      </c>
      <c r="AX2355" s="262" t="str">
        <f>VLOOKUP($AW2355,'Item Master Data'!$A:$F,3,FALSE)</f>
        <v>Q.PEAK DUO XL G10 BFG</v>
      </c>
      <c r="AY2355" s="262">
        <f>VLOOKUP($AW2355,'Item Master Data'!$A:$F,6,FALSE)</f>
        <v>475</v>
      </c>
      <c r="AZ2355" s="262">
        <f t="shared" si="416"/>
        <v>65</v>
      </c>
      <c r="BA2355" s="262">
        <f>VLOOKUP(AW2355,'Item Master Data'!$A:$G,7,FALSE)</f>
        <v>30</v>
      </c>
      <c r="BC2355" s="262">
        <f t="shared" si="417"/>
        <v>0</v>
      </c>
    </row>
    <row r="2356" spans="1:55">
      <c r="A2356" s="410"/>
      <c r="B2356" s="407"/>
      <c r="C2356" s="407"/>
      <c r="D2356" s="474" t="s">
        <v>1066</v>
      </c>
      <c r="E2356" s="388"/>
      <c r="F2356" s="474" t="s">
        <v>87</v>
      </c>
      <c r="G2356" s="474">
        <v>2022</v>
      </c>
      <c r="H2356" s="474">
        <v>4</v>
      </c>
      <c r="I2356" s="485">
        <v>128095</v>
      </c>
      <c r="J2356" s="475">
        <v>44664</v>
      </c>
      <c r="K2356" s="474" t="s">
        <v>1398</v>
      </c>
      <c r="L2356" s="475" t="s">
        <v>1387</v>
      </c>
      <c r="M2356" s="475">
        <v>44357</v>
      </c>
      <c r="N2356" s="475"/>
      <c r="O2356" s="475"/>
      <c r="P2356" s="475">
        <v>44652</v>
      </c>
      <c r="Q2356" s="475">
        <v>44657</v>
      </c>
      <c r="R2356" s="475">
        <v>44664</v>
      </c>
      <c r="S2356" s="474" t="s">
        <v>1388</v>
      </c>
      <c r="T2356" s="474">
        <v>72</v>
      </c>
      <c r="U2356" s="474">
        <v>12005833</v>
      </c>
      <c r="V2356" s="474" t="s">
        <v>1070</v>
      </c>
      <c r="W2356" s="476">
        <v>475</v>
      </c>
      <c r="X2356" s="649">
        <v>3360</v>
      </c>
      <c r="Y2356" s="491">
        <f t="shared" si="406"/>
        <v>1596000</v>
      </c>
      <c r="Z2356" s="478">
        <f t="shared" si="419"/>
        <v>0.39499999999999996</v>
      </c>
      <c r="AA2356" s="479">
        <f t="shared" si="418"/>
        <v>630419.99999999988</v>
      </c>
      <c r="AB2356" s="386"/>
      <c r="AC2356" s="481">
        <v>0</v>
      </c>
      <c r="AD2356" s="474"/>
      <c r="AE2356" s="482"/>
      <c r="AF2356" s="493">
        <f t="shared" si="408"/>
        <v>630419.99999999988</v>
      </c>
      <c r="AG2356" s="474" t="s">
        <v>47</v>
      </c>
      <c r="AH2356" s="447">
        <v>10</v>
      </c>
      <c r="AI2356" s="474">
        <v>60</v>
      </c>
      <c r="AJ2356" s="474" t="s">
        <v>5440</v>
      </c>
      <c r="AK2356" s="474" t="s">
        <v>1395</v>
      </c>
      <c r="AL2356" s="494">
        <v>89431</v>
      </c>
      <c r="AM2356" s="474" t="s">
        <v>52</v>
      </c>
      <c r="AN2356" s="474" t="s">
        <v>1085</v>
      </c>
      <c r="AO2356" s="474"/>
      <c r="AP2356" s="474"/>
      <c r="AQ2356" s="474" t="s">
        <v>1109</v>
      </c>
      <c r="AR2356" s="474"/>
      <c r="AS2356" s="387" t="s">
        <v>1076</v>
      </c>
      <c r="AT2356" s="387" t="s">
        <v>1076</v>
      </c>
      <c r="AU2356" s="471"/>
      <c r="AV2356" s="262">
        <f t="shared" si="415"/>
        <v>12005833</v>
      </c>
      <c r="AW2356" s="262" cm="1">
        <f t="array" ref="AW2356">SUM(MID(0&amp;AV2356,LARGE(INDEX(ISNUMBER(--MID(AV2356,ROW($1:$8),1))*ROW($1:$8),),ROW($1:$8))+1,1)*10^ROW($1:$8)/10)</f>
        <v>12005833</v>
      </c>
      <c r="AX2356" s="262" t="str">
        <f>VLOOKUP($AW2356,'Item Master Data'!$A:$F,3,FALSE)</f>
        <v>Q.PEAK DUO XL G10 BFG</v>
      </c>
      <c r="AY2356" s="262">
        <f>VLOOKUP($AW2356,'Item Master Data'!$A:$F,6,FALSE)</f>
        <v>475</v>
      </c>
      <c r="AZ2356" s="262">
        <f t="shared" si="416"/>
        <v>112</v>
      </c>
      <c r="BA2356" s="262">
        <f>VLOOKUP(AW2356,'Item Master Data'!$A:$G,7,FALSE)</f>
        <v>30</v>
      </c>
      <c r="BC2356" s="262">
        <f t="shared" si="417"/>
        <v>0</v>
      </c>
    </row>
    <row r="2357" spans="1:55">
      <c r="A2357" s="410"/>
      <c r="B2357" s="407"/>
      <c r="C2357" s="407"/>
      <c r="D2357" s="474" t="s">
        <v>1066</v>
      </c>
      <c r="E2357" s="388"/>
      <c r="F2357" s="474" t="s">
        <v>87</v>
      </c>
      <c r="G2357" s="474">
        <v>2022</v>
      </c>
      <c r="H2357" s="474">
        <v>4</v>
      </c>
      <c r="I2357" s="485" t="s">
        <v>1544</v>
      </c>
      <c r="J2357" s="475">
        <v>44678</v>
      </c>
      <c r="K2357" s="474" t="s">
        <v>1399</v>
      </c>
      <c r="L2357" s="475" t="s">
        <v>1387</v>
      </c>
      <c r="M2357" s="475">
        <v>44357</v>
      </c>
      <c r="N2357" s="475"/>
      <c r="O2357" s="475"/>
      <c r="P2357" s="475">
        <v>44635</v>
      </c>
      <c r="Q2357" s="475">
        <v>44663</v>
      </c>
      <c r="R2357" s="475">
        <v>44678</v>
      </c>
      <c r="S2357" s="474" t="s">
        <v>1388</v>
      </c>
      <c r="T2357" s="474">
        <v>72</v>
      </c>
      <c r="U2357" s="474" t="s">
        <v>1082</v>
      </c>
      <c r="V2357" s="474" t="s">
        <v>1070</v>
      </c>
      <c r="W2357" s="476">
        <v>475</v>
      </c>
      <c r="X2357" s="649">
        <v>4140</v>
      </c>
      <c r="Y2357" s="491">
        <f t="shared" si="406"/>
        <v>1966500</v>
      </c>
      <c r="Z2357" s="478">
        <f t="shared" si="419"/>
        <v>0.39499999999999996</v>
      </c>
      <c r="AA2357" s="479">
        <f t="shared" si="418"/>
        <v>776767.49999999988</v>
      </c>
      <c r="AB2357" s="386"/>
      <c r="AC2357" s="481">
        <v>0</v>
      </c>
      <c r="AD2357" s="474"/>
      <c r="AE2357" s="482"/>
      <c r="AF2357" s="493">
        <f t="shared" si="408"/>
        <v>776767.49999999988</v>
      </c>
      <c r="AG2357" s="474" t="s">
        <v>47</v>
      </c>
      <c r="AH2357" s="447">
        <v>10</v>
      </c>
      <c r="AI2357" s="474">
        <v>60</v>
      </c>
      <c r="AJ2357" s="474" t="s">
        <v>1400</v>
      </c>
      <c r="AK2357" s="474" t="s">
        <v>1085</v>
      </c>
      <c r="AL2357" s="494">
        <v>8873</v>
      </c>
      <c r="AM2357" s="474" t="s">
        <v>52</v>
      </c>
      <c r="AN2357" s="474" t="s">
        <v>1085</v>
      </c>
      <c r="AO2357" s="474"/>
      <c r="AP2357" s="474" t="s">
        <v>92</v>
      </c>
      <c r="AQ2357" s="474" t="s">
        <v>1109</v>
      </c>
      <c r="AR2357" s="474"/>
      <c r="AS2357" s="387" t="s">
        <v>1076</v>
      </c>
      <c r="AT2357" s="387" t="s">
        <v>1076</v>
      </c>
      <c r="AU2357" s="471"/>
      <c r="AV2357" s="262" t="str">
        <f t="shared" si="415"/>
        <v>12005833C</v>
      </c>
      <c r="AW2357" s="262" cm="1">
        <f t="array" ref="AW2357">SUM(MID(0&amp;AV2357,LARGE(INDEX(ISNUMBER(--MID(AV2357,ROW($1:$8),1))*ROW($1:$8),),ROW($1:$8))+1,1)*10^ROW($1:$8)/10)</f>
        <v>12005833</v>
      </c>
      <c r="AX2357" s="262" t="str">
        <f>VLOOKUP($AW2357,'Item Master Data'!$A:$F,3,FALSE)</f>
        <v>Q.PEAK DUO XL G10 BFG</v>
      </c>
      <c r="AY2357" s="262">
        <f>VLOOKUP($AW2357,'Item Master Data'!$A:$F,6,FALSE)</f>
        <v>475</v>
      </c>
      <c r="AZ2357" s="262">
        <f t="shared" si="416"/>
        <v>138</v>
      </c>
      <c r="BA2357" s="262">
        <f>VLOOKUP(AW2357,'Item Master Data'!$A:$G,7,FALSE)</f>
        <v>30</v>
      </c>
      <c r="BC2357" s="262">
        <f t="shared" si="417"/>
        <v>0</v>
      </c>
    </row>
    <row r="2358" spans="1:55">
      <c r="A2358" s="410"/>
      <c r="B2358" s="407"/>
      <c r="C2358" s="407"/>
      <c r="D2358" s="474" t="s">
        <v>1066</v>
      </c>
      <c r="E2358" s="388" t="s">
        <v>5279</v>
      </c>
      <c r="F2358" s="474" t="s">
        <v>87</v>
      </c>
      <c r="G2358" s="474">
        <v>2022</v>
      </c>
      <c r="H2358" s="474">
        <v>5</v>
      </c>
      <c r="I2358" s="485" t="s">
        <v>5418</v>
      </c>
      <c r="J2358" s="475"/>
      <c r="K2358" s="474" t="s">
        <v>1403</v>
      </c>
      <c r="L2358" s="475" t="s">
        <v>1387</v>
      </c>
      <c r="M2358" s="475">
        <v>44357</v>
      </c>
      <c r="N2358" s="475"/>
      <c r="O2358" s="475"/>
      <c r="P2358" s="475">
        <v>44672</v>
      </c>
      <c r="Q2358" s="475"/>
      <c r="R2358" s="475"/>
      <c r="S2358" s="474" t="s">
        <v>1388</v>
      </c>
      <c r="T2358" s="474">
        <v>72</v>
      </c>
      <c r="U2358" s="474" t="s">
        <v>5281</v>
      </c>
      <c r="V2358" s="474" t="s">
        <v>1070</v>
      </c>
      <c r="W2358" s="476">
        <v>475</v>
      </c>
      <c r="X2358" s="412">
        <v>52</v>
      </c>
      <c r="Y2358" s="491">
        <f t="shared" si="406"/>
        <v>24700</v>
      </c>
      <c r="Z2358" s="478">
        <f t="shared" si="419"/>
        <v>0.39499999999999996</v>
      </c>
      <c r="AA2358" s="479">
        <f t="shared" si="418"/>
        <v>9756.4999999999982</v>
      </c>
      <c r="AB2358" s="386"/>
      <c r="AC2358" s="481">
        <v>0</v>
      </c>
      <c r="AD2358" s="474"/>
      <c r="AE2358" s="482"/>
      <c r="AF2358" s="493">
        <f t="shared" si="408"/>
        <v>9756.4999999999982</v>
      </c>
      <c r="AG2358" s="474" t="s">
        <v>47</v>
      </c>
      <c r="AH2358" s="447">
        <v>10</v>
      </c>
      <c r="AI2358" s="474">
        <v>60</v>
      </c>
      <c r="AJ2358" s="474" t="s">
        <v>1394</v>
      </c>
      <c r="AK2358" s="474" t="s">
        <v>1395</v>
      </c>
      <c r="AL2358" s="494">
        <v>89431</v>
      </c>
      <c r="AM2358" s="474" t="s">
        <v>52</v>
      </c>
      <c r="AN2358" s="474" t="s">
        <v>1085</v>
      </c>
      <c r="AO2358" s="474"/>
      <c r="AP2358" s="474" t="s">
        <v>92</v>
      </c>
      <c r="AQ2358" s="474" t="s">
        <v>1109</v>
      </c>
      <c r="AR2358" s="474"/>
      <c r="AS2358" s="387" t="s">
        <v>1076</v>
      </c>
      <c r="AT2358" s="387" t="s">
        <v>1076</v>
      </c>
      <c r="AU2358" s="471"/>
      <c r="AV2358" s="262" t="str">
        <f t="shared" si="415"/>
        <v>12005559C</v>
      </c>
      <c r="AW2358" s="262" cm="1">
        <f t="array" ref="AW2358">SUM(MID(0&amp;AV2358,LARGE(INDEX(ISNUMBER(--MID(AV2358,ROW($1:$8),1))*ROW($1:$8),),ROW($1:$8))+1,1)*10^ROW($1:$8)/10)</f>
        <v>12005559</v>
      </c>
      <c r="AX2358" s="262" t="str">
        <f>VLOOKUP($AW2358,'Item Master Data'!$A:$F,3,FALSE)</f>
        <v>Q.PEAK DUO XL G10 BFG</v>
      </c>
      <c r="AY2358" s="262">
        <f>VLOOKUP($AW2358,'Item Master Data'!$A:$F,6,FALSE)</f>
        <v>475</v>
      </c>
      <c r="AZ2358" s="262">
        <f t="shared" si="416"/>
        <v>1.7333333333333334</v>
      </c>
      <c r="BA2358" s="262">
        <f>VLOOKUP(AW2358,'Item Master Data'!$A:$G,7,FALSE)</f>
        <v>30</v>
      </c>
      <c r="BC2358" s="262">
        <f t="shared" si="417"/>
        <v>0</v>
      </c>
    </row>
    <row r="2359" spans="1:55">
      <c r="A2359" s="410"/>
      <c r="B2359" s="407"/>
      <c r="C2359" s="407"/>
      <c r="D2359" s="474" t="s">
        <v>1066</v>
      </c>
      <c r="E2359" s="388" t="s">
        <v>5279</v>
      </c>
      <c r="F2359" s="474" t="s">
        <v>87</v>
      </c>
      <c r="G2359" s="474">
        <v>2022</v>
      </c>
      <c r="H2359" s="474">
        <v>5</v>
      </c>
      <c r="I2359" s="485" t="s">
        <v>5418</v>
      </c>
      <c r="J2359" s="475"/>
      <c r="K2359" s="474" t="s">
        <v>1403</v>
      </c>
      <c r="L2359" s="475" t="s">
        <v>1387</v>
      </c>
      <c r="M2359" s="475">
        <v>44357</v>
      </c>
      <c r="N2359" s="475"/>
      <c r="O2359" s="475"/>
      <c r="P2359" s="475">
        <v>44672</v>
      </c>
      <c r="Q2359" s="475"/>
      <c r="R2359" s="475"/>
      <c r="S2359" s="474" t="s">
        <v>1388</v>
      </c>
      <c r="T2359" s="474">
        <v>72</v>
      </c>
      <c r="U2359" s="474" t="s">
        <v>1082</v>
      </c>
      <c r="V2359" s="474" t="s">
        <v>1070</v>
      </c>
      <c r="W2359" s="476">
        <v>475</v>
      </c>
      <c r="X2359" s="412">
        <v>6117</v>
      </c>
      <c r="Y2359" s="491">
        <f t="shared" ref="Y2359:Y2422" si="420">W2359*X2359</f>
        <v>2905575</v>
      </c>
      <c r="Z2359" s="478">
        <f t="shared" si="419"/>
        <v>0.39499999999999996</v>
      </c>
      <c r="AA2359" s="479">
        <f t="shared" si="418"/>
        <v>1147702.125</v>
      </c>
      <c r="AB2359" s="386"/>
      <c r="AC2359" s="481">
        <v>0</v>
      </c>
      <c r="AD2359" s="474"/>
      <c r="AE2359" s="482"/>
      <c r="AF2359" s="493">
        <f t="shared" si="408"/>
        <v>1147702.125</v>
      </c>
      <c r="AG2359" s="474" t="s">
        <v>47</v>
      </c>
      <c r="AH2359" s="447">
        <v>10</v>
      </c>
      <c r="AI2359" s="474">
        <v>60</v>
      </c>
      <c r="AJ2359" s="474" t="s">
        <v>1394</v>
      </c>
      <c r="AK2359" s="474" t="s">
        <v>1395</v>
      </c>
      <c r="AL2359" s="494">
        <v>89431</v>
      </c>
      <c r="AM2359" s="474" t="s">
        <v>52</v>
      </c>
      <c r="AN2359" s="474" t="s">
        <v>1085</v>
      </c>
      <c r="AO2359" s="474"/>
      <c r="AP2359" s="474" t="s">
        <v>92</v>
      </c>
      <c r="AQ2359" s="474" t="s">
        <v>1109</v>
      </c>
      <c r="AR2359" s="474"/>
      <c r="AS2359" s="387" t="s">
        <v>1076</v>
      </c>
      <c r="AT2359" s="387" t="s">
        <v>1076</v>
      </c>
      <c r="AU2359" s="471"/>
      <c r="AV2359" s="262" t="str">
        <f t="shared" si="415"/>
        <v>12005833C</v>
      </c>
      <c r="AW2359" s="262" cm="1">
        <f t="array" ref="AW2359">SUM(MID(0&amp;AV2359,LARGE(INDEX(ISNUMBER(--MID(AV2359,ROW($1:$8),1))*ROW($1:$8),),ROW($1:$8))+1,1)*10^ROW($1:$8)/10)</f>
        <v>12005833</v>
      </c>
      <c r="AX2359" s="262" t="str">
        <f>VLOOKUP($AW2359,'Item Master Data'!$A:$F,3,FALSE)</f>
        <v>Q.PEAK DUO XL G10 BFG</v>
      </c>
      <c r="AY2359" s="262">
        <f>VLOOKUP($AW2359,'Item Master Data'!$A:$F,6,FALSE)</f>
        <v>475</v>
      </c>
      <c r="AZ2359" s="262">
        <f t="shared" si="416"/>
        <v>203.9</v>
      </c>
      <c r="BA2359" s="262">
        <f>VLOOKUP(AW2359,'Item Master Data'!$A:$G,7,FALSE)</f>
        <v>30</v>
      </c>
      <c r="BC2359" s="262">
        <f t="shared" si="417"/>
        <v>0</v>
      </c>
    </row>
    <row r="2360" spans="1:55">
      <c r="A2360" s="410"/>
      <c r="B2360" s="407"/>
      <c r="C2360" s="407"/>
      <c r="D2360" s="474" t="s">
        <v>1066</v>
      </c>
      <c r="E2360" s="388" t="s">
        <v>5279</v>
      </c>
      <c r="F2360" s="474" t="s">
        <v>87</v>
      </c>
      <c r="G2360" s="474">
        <v>2022</v>
      </c>
      <c r="H2360" s="474">
        <v>5</v>
      </c>
      <c r="I2360" s="485" t="s">
        <v>5418</v>
      </c>
      <c r="J2360" s="475"/>
      <c r="K2360" s="474" t="s">
        <v>1403</v>
      </c>
      <c r="L2360" s="475" t="s">
        <v>1387</v>
      </c>
      <c r="M2360" s="475">
        <v>44357</v>
      </c>
      <c r="N2360" s="475"/>
      <c r="O2360" s="475"/>
      <c r="P2360" s="475">
        <v>44672</v>
      </c>
      <c r="Q2360" s="475"/>
      <c r="R2360" s="475"/>
      <c r="S2360" s="474" t="s">
        <v>1388</v>
      </c>
      <c r="T2360" s="474">
        <v>72</v>
      </c>
      <c r="U2360" s="474" t="s">
        <v>1948</v>
      </c>
      <c r="V2360" s="474" t="s">
        <v>1070</v>
      </c>
      <c r="W2360" s="476">
        <v>475</v>
      </c>
      <c r="X2360" s="412">
        <v>811</v>
      </c>
      <c r="Y2360" s="491">
        <f t="shared" si="420"/>
        <v>385225</v>
      </c>
      <c r="Z2360" s="478">
        <f t="shared" si="419"/>
        <v>0.39499999999999996</v>
      </c>
      <c r="AA2360" s="479">
        <f t="shared" si="418"/>
        <v>152163.875</v>
      </c>
      <c r="AB2360" s="386"/>
      <c r="AC2360" s="481">
        <v>0</v>
      </c>
      <c r="AD2360" s="474"/>
      <c r="AE2360" s="482"/>
      <c r="AF2360" s="493">
        <f t="shared" si="408"/>
        <v>152163.875</v>
      </c>
      <c r="AG2360" s="474" t="s">
        <v>47</v>
      </c>
      <c r="AH2360" s="447">
        <v>10</v>
      </c>
      <c r="AI2360" s="474">
        <v>60</v>
      </c>
      <c r="AJ2360" s="474" t="s">
        <v>1394</v>
      </c>
      <c r="AK2360" s="474" t="s">
        <v>1395</v>
      </c>
      <c r="AL2360" s="494">
        <v>89431</v>
      </c>
      <c r="AM2360" s="474" t="s">
        <v>52</v>
      </c>
      <c r="AN2360" s="474" t="s">
        <v>50</v>
      </c>
      <c r="AO2360" s="474"/>
      <c r="AP2360" s="474" t="s">
        <v>92</v>
      </c>
      <c r="AQ2360" s="474" t="s">
        <v>1109</v>
      </c>
      <c r="AR2360" s="474"/>
      <c r="AS2360" s="387" t="s">
        <v>1076</v>
      </c>
      <c r="AT2360" s="387" t="s">
        <v>1076</v>
      </c>
      <c r="AU2360" s="471"/>
      <c r="AV2360" s="262" t="str">
        <f t="shared" si="415"/>
        <v>30397871F</v>
      </c>
      <c r="AW2360" s="262" cm="1">
        <f t="array" ref="AW2360">SUM(MID(0&amp;AV2360,LARGE(INDEX(ISNUMBER(--MID(AV2360,ROW($1:$8),1))*ROW($1:$8),),ROW($1:$8))+1,1)*10^ROW($1:$8)/10)</f>
        <v>30397871</v>
      </c>
      <c r="AX2360" s="262" t="str">
        <f>VLOOKUP($AW2360,'Item Master Data'!$A:$F,3,FALSE)</f>
        <v>Q.PEAK DUO XL G10 BFG</v>
      </c>
      <c r="AY2360" s="262">
        <f>VLOOKUP($AW2360,'Item Master Data'!$A:$F,6,FALSE)</f>
        <v>475</v>
      </c>
      <c r="AZ2360" s="262">
        <f t="shared" si="416"/>
        <v>27.96551724137931</v>
      </c>
      <c r="BA2360" s="262">
        <f>VLOOKUP(AW2360,'Item Master Data'!$A:$G,7,FALSE)</f>
        <v>29</v>
      </c>
      <c r="BC2360" s="262">
        <f t="shared" si="417"/>
        <v>0</v>
      </c>
    </row>
    <row r="2361" spans="1:55">
      <c r="A2361" s="410"/>
      <c r="B2361" s="407"/>
      <c r="C2361" s="407"/>
      <c r="D2361" s="474" t="s">
        <v>1066</v>
      </c>
      <c r="E2361" s="388" t="s">
        <v>5279</v>
      </c>
      <c r="F2361" s="474" t="s">
        <v>87</v>
      </c>
      <c r="G2361" s="474">
        <v>2022</v>
      </c>
      <c r="H2361" s="474">
        <v>4</v>
      </c>
      <c r="I2361" s="485" t="s">
        <v>5419</v>
      </c>
      <c r="J2361" s="475"/>
      <c r="K2361" s="519" t="s">
        <v>1403</v>
      </c>
      <c r="L2361" s="521" t="s">
        <v>1387</v>
      </c>
      <c r="M2361" s="521">
        <v>44357</v>
      </c>
      <c r="N2361" s="521"/>
      <c r="O2361" s="521"/>
      <c r="P2361" s="521">
        <v>44672</v>
      </c>
      <c r="Q2361" s="521">
        <v>44678</v>
      </c>
      <c r="R2361" s="521">
        <v>44680</v>
      </c>
      <c r="S2361" s="519" t="s">
        <v>1388</v>
      </c>
      <c r="T2361" s="519">
        <v>72</v>
      </c>
      <c r="U2361" s="519">
        <v>12005833</v>
      </c>
      <c r="V2361" s="519" t="s">
        <v>1070</v>
      </c>
      <c r="W2361" s="522">
        <v>475</v>
      </c>
      <c r="X2361" s="411">
        <v>1200</v>
      </c>
      <c r="Y2361" s="470">
        <f t="shared" si="420"/>
        <v>570000</v>
      </c>
      <c r="Z2361" s="478">
        <f t="shared" si="419"/>
        <v>0.39499999999999996</v>
      </c>
      <c r="AA2361" s="479">
        <f t="shared" si="418"/>
        <v>225149.99999999997</v>
      </c>
      <c r="AB2361" s="386"/>
      <c r="AC2361" s="481">
        <v>0</v>
      </c>
      <c r="AD2361" s="474"/>
      <c r="AE2361" s="482"/>
      <c r="AF2361" s="493">
        <f t="shared" si="408"/>
        <v>225149.99999999997</v>
      </c>
      <c r="AG2361" s="474" t="s">
        <v>47</v>
      </c>
      <c r="AH2361" s="447">
        <v>10</v>
      </c>
      <c r="AI2361" s="474">
        <v>60</v>
      </c>
      <c r="AJ2361" s="474" t="s">
        <v>1394</v>
      </c>
      <c r="AK2361" s="474" t="s">
        <v>1395</v>
      </c>
      <c r="AL2361" s="494">
        <v>89431</v>
      </c>
      <c r="AM2361" s="474" t="s">
        <v>52</v>
      </c>
      <c r="AN2361" s="474" t="s">
        <v>1144</v>
      </c>
      <c r="AO2361" s="474"/>
      <c r="AP2361" s="474"/>
      <c r="AQ2361" s="474" t="s">
        <v>1109</v>
      </c>
      <c r="AR2361" s="474"/>
      <c r="AS2361" s="387" t="s">
        <v>1076</v>
      </c>
      <c r="AT2361" s="387" t="s">
        <v>1076</v>
      </c>
      <c r="AU2361" s="471"/>
      <c r="AV2361" s="262">
        <f t="shared" si="415"/>
        <v>12005833</v>
      </c>
      <c r="AW2361" s="262" cm="1">
        <f t="array" ref="AW2361">SUM(MID(0&amp;AV2361,LARGE(INDEX(ISNUMBER(--MID(AV2361,ROW($1:$8),1))*ROW($1:$8),),ROW($1:$8))+1,1)*10^ROW($1:$8)/10)</f>
        <v>12005833</v>
      </c>
      <c r="AX2361" s="262" t="str">
        <f>VLOOKUP($AW2361,'Item Master Data'!$A:$F,3,FALSE)</f>
        <v>Q.PEAK DUO XL G10 BFG</v>
      </c>
      <c r="AY2361" s="262">
        <f>VLOOKUP($AW2361,'Item Master Data'!$A:$F,6,FALSE)</f>
        <v>475</v>
      </c>
      <c r="AZ2361" s="262">
        <f t="shared" si="416"/>
        <v>40</v>
      </c>
      <c r="BA2361" s="262">
        <f>VLOOKUP(AW2361,'Item Master Data'!$A:$G,7,FALSE)</f>
        <v>30</v>
      </c>
      <c r="BC2361" s="262">
        <f t="shared" si="417"/>
        <v>0</v>
      </c>
    </row>
    <row r="2362" spans="1:55">
      <c r="A2362" s="410"/>
      <c r="B2362" s="407"/>
      <c r="C2362" s="407"/>
      <c r="D2362" s="474" t="s">
        <v>1066</v>
      </c>
      <c r="E2362" s="388" t="s">
        <v>5279</v>
      </c>
      <c r="F2362" s="474" t="s">
        <v>87</v>
      </c>
      <c r="G2362" s="474">
        <v>2022</v>
      </c>
      <c r="H2362" s="474">
        <v>4</v>
      </c>
      <c r="I2362" s="485" t="s">
        <v>5419</v>
      </c>
      <c r="J2362" s="475"/>
      <c r="K2362" s="519" t="s">
        <v>1403</v>
      </c>
      <c r="L2362" s="521" t="s">
        <v>1387</v>
      </c>
      <c r="M2362" s="521">
        <v>44357</v>
      </c>
      <c r="N2362" s="521"/>
      <c r="O2362" s="521"/>
      <c r="P2362" s="521">
        <v>44672</v>
      </c>
      <c r="Q2362" s="521">
        <v>44677</v>
      </c>
      <c r="R2362" s="521">
        <v>44680</v>
      </c>
      <c r="S2362" s="519" t="s">
        <v>1388</v>
      </c>
      <c r="T2362" s="519">
        <v>72</v>
      </c>
      <c r="U2362" s="519">
        <v>30397571</v>
      </c>
      <c r="V2362" s="519" t="s">
        <v>1070</v>
      </c>
      <c r="W2362" s="522">
        <v>475</v>
      </c>
      <c r="X2362" s="411">
        <v>580</v>
      </c>
      <c r="Y2362" s="470">
        <f t="shared" si="420"/>
        <v>275500</v>
      </c>
      <c r="Z2362" s="478">
        <f t="shared" si="419"/>
        <v>0.39499999999999996</v>
      </c>
      <c r="AA2362" s="479">
        <f t="shared" si="418"/>
        <v>108822.49999999999</v>
      </c>
      <c r="AB2362" s="386"/>
      <c r="AC2362" s="481">
        <v>0</v>
      </c>
      <c r="AD2362" s="474"/>
      <c r="AE2362" s="482"/>
      <c r="AF2362" s="493">
        <f t="shared" si="408"/>
        <v>108822.49999999999</v>
      </c>
      <c r="AG2362" s="474" t="s">
        <v>47</v>
      </c>
      <c r="AH2362" s="447">
        <v>10</v>
      </c>
      <c r="AI2362" s="474">
        <v>60</v>
      </c>
      <c r="AJ2362" s="474" t="s">
        <v>1394</v>
      </c>
      <c r="AK2362" s="474" t="s">
        <v>1395</v>
      </c>
      <c r="AL2362" s="494">
        <v>89431</v>
      </c>
      <c r="AM2362" s="474" t="s">
        <v>52</v>
      </c>
      <c r="AN2362" s="474" t="s">
        <v>1144</v>
      </c>
      <c r="AO2362" s="474"/>
      <c r="AP2362" s="474"/>
      <c r="AQ2362" s="474" t="s">
        <v>1109</v>
      </c>
      <c r="AR2362" s="474"/>
      <c r="AS2362" s="387" t="s">
        <v>1076</v>
      </c>
      <c r="AT2362" s="387" t="s">
        <v>1076</v>
      </c>
      <c r="AU2362" s="471"/>
      <c r="AV2362" s="262">
        <f t="shared" si="415"/>
        <v>30397571</v>
      </c>
      <c r="AW2362" s="262" cm="1">
        <f t="array" ref="AW2362">SUM(MID(0&amp;AV2362,LARGE(INDEX(ISNUMBER(--MID(AV2362,ROW($1:$8),1))*ROW($1:$8),),ROW($1:$8))+1,1)*10^ROW($1:$8)/10)</f>
        <v>30397571</v>
      </c>
      <c r="AX2362" s="262" t="str">
        <f>VLOOKUP($AW2362,'Item Master Data'!$A:$F,3,FALSE)</f>
        <v>Q.PEAK DUO XL G10 BFG</v>
      </c>
      <c r="AY2362" s="262">
        <f>VLOOKUP($AW2362,'Item Master Data'!$A:$F,6,FALSE)</f>
        <v>475</v>
      </c>
      <c r="AZ2362" s="262">
        <f t="shared" si="416"/>
        <v>20</v>
      </c>
      <c r="BA2362" s="262">
        <f>VLOOKUP(AW2362,'Item Master Data'!$A:$G,7,FALSE)</f>
        <v>29</v>
      </c>
      <c r="BC2362" s="262">
        <f t="shared" si="417"/>
        <v>0</v>
      </c>
    </row>
    <row r="2363" spans="1:55">
      <c r="A2363" s="410"/>
      <c r="B2363" s="407"/>
      <c r="C2363" s="407"/>
      <c r="D2363" s="474" t="s">
        <v>1066</v>
      </c>
      <c r="E2363" s="388" t="s">
        <v>5279</v>
      </c>
      <c r="F2363" s="474" t="s">
        <v>87</v>
      </c>
      <c r="G2363" s="474">
        <v>2022</v>
      </c>
      <c r="H2363" s="474">
        <v>5</v>
      </c>
      <c r="I2363" s="485" t="s">
        <v>5418</v>
      </c>
      <c r="J2363" s="475"/>
      <c r="K2363" s="474" t="s">
        <v>1403</v>
      </c>
      <c r="L2363" s="475" t="s">
        <v>1387</v>
      </c>
      <c r="M2363" s="475">
        <v>44357</v>
      </c>
      <c r="N2363" s="475"/>
      <c r="O2363" s="475"/>
      <c r="P2363" s="475">
        <v>44672</v>
      </c>
      <c r="Q2363" s="475"/>
      <c r="R2363" s="475"/>
      <c r="S2363" s="474" t="s">
        <v>1388</v>
      </c>
      <c r="T2363" s="474">
        <v>72</v>
      </c>
      <c r="U2363" s="474">
        <v>12005833</v>
      </c>
      <c r="V2363" s="474" t="s">
        <v>1070</v>
      </c>
      <c r="W2363" s="476">
        <v>475</v>
      </c>
      <c r="X2363" s="412">
        <v>1920</v>
      </c>
      <c r="Y2363" s="491">
        <f t="shared" si="420"/>
        <v>912000</v>
      </c>
      <c r="Z2363" s="478">
        <f t="shared" si="419"/>
        <v>0.39499999999999996</v>
      </c>
      <c r="AA2363" s="479">
        <f t="shared" si="418"/>
        <v>360239.99999999994</v>
      </c>
      <c r="AB2363" s="386"/>
      <c r="AC2363" s="481">
        <v>0</v>
      </c>
      <c r="AD2363" s="474"/>
      <c r="AE2363" s="482"/>
      <c r="AF2363" s="493">
        <f t="shared" si="408"/>
        <v>360239.99999999994</v>
      </c>
      <c r="AG2363" s="474" t="s">
        <v>47</v>
      </c>
      <c r="AH2363" s="447">
        <v>10</v>
      </c>
      <c r="AI2363" s="474">
        <v>60</v>
      </c>
      <c r="AJ2363" s="474" t="s">
        <v>1394</v>
      </c>
      <c r="AK2363" s="474" t="s">
        <v>1395</v>
      </c>
      <c r="AL2363" s="494">
        <v>89431</v>
      </c>
      <c r="AM2363" s="474" t="s">
        <v>52</v>
      </c>
      <c r="AN2363" s="474" t="s">
        <v>50</v>
      </c>
      <c r="AO2363" s="474"/>
      <c r="AP2363" s="474" t="s">
        <v>92</v>
      </c>
      <c r="AQ2363" s="474" t="s">
        <v>1109</v>
      </c>
      <c r="AR2363" s="474"/>
      <c r="AS2363" s="387" t="s">
        <v>1076</v>
      </c>
      <c r="AT2363" s="387" t="s">
        <v>1076</v>
      </c>
      <c r="AU2363" s="471"/>
      <c r="AV2363" s="262">
        <f t="shared" si="415"/>
        <v>12005833</v>
      </c>
      <c r="AW2363" s="262" cm="1">
        <f t="array" ref="AW2363">SUM(MID(0&amp;AV2363,LARGE(INDEX(ISNUMBER(--MID(AV2363,ROW($1:$8),1))*ROW($1:$8),),ROW($1:$8))+1,1)*10^ROW($1:$8)/10)</f>
        <v>12005833</v>
      </c>
      <c r="AX2363" s="262" t="str">
        <f>VLOOKUP($AW2363,'Item Master Data'!$A:$F,3,FALSE)</f>
        <v>Q.PEAK DUO XL G10 BFG</v>
      </c>
      <c r="AY2363" s="262">
        <f>VLOOKUP($AW2363,'Item Master Data'!$A:$F,6,FALSE)</f>
        <v>475</v>
      </c>
      <c r="AZ2363" s="262">
        <f t="shared" si="416"/>
        <v>64</v>
      </c>
      <c r="BA2363" s="262">
        <f>VLOOKUP(AW2363,'Item Master Data'!$A:$G,7,FALSE)</f>
        <v>30</v>
      </c>
      <c r="BC2363" s="262">
        <f t="shared" si="417"/>
        <v>0</v>
      </c>
    </row>
    <row r="2364" spans="1:55">
      <c r="A2364" s="410"/>
      <c r="B2364" s="407"/>
      <c r="C2364" s="407"/>
      <c r="D2364" s="474" t="s">
        <v>1066</v>
      </c>
      <c r="E2364" s="388" t="s">
        <v>5279</v>
      </c>
      <c r="F2364" s="474" t="s">
        <v>87</v>
      </c>
      <c r="G2364" s="474">
        <v>2022</v>
      </c>
      <c r="H2364" s="474">
        <v>5</v>
      </c>
      <c r="I2364" s="485" t="s">
        <v>1091</v>
      </c>
      <c r="J2364" s="475"/>
      <c r="K2364" s="474" t="s">
        <v>1403</v>
      </c>
      <c r="L2364" s="475" t="s">
        <v>1387</v>
      </c>
      <c r="M2364" s="475">
        <v>44357</v>
      </c>
      <c r="N2364" s="475"/>
      <c r="O2364" s="475"/>
      <c r="P2364" s="475">
        <v>44672</v>
      </c>
      <c r="Q2364" s="475"/>
      <c r="R2364" s="475"/>
      <c r="S2364" s="474" t="s">
        <v>1388</v>
      </c>
      <c r="T2364" s="474">
        <v>72</v>
      </c>
      <c r="U2364" s="474">
        <v>49303155</v>
      </c>
      <c r="V2364" s="474" t="s">
        <v>1070</v>
      </c>
      <c r="W2364" s="476">
        <v>475</v>
      </c>
      <c r="X2364" s="412">
        <v>3540</v>
      </c>
      <c r="Y2364" s="491">
        <f t="shared" si="420"/>
        <v>1681500</v>
      </c>
      <c r="Z2364" s="478">
        <f t="shared" si="419"/>
        <v>0.39499999999999996</v>
      </c>
      <c r="AA2364" s="479">
        <f t="shared" si="418"/>
        <v>664192.49999999988</v>
      </c>
      <c r="AB2364" s="386"/>
      <c r="AC2364" s="481">
        <v>0</v>
      </c>
      <c r="AD2364" s="474"/>
      <c r="AE2364" s="482"/>
      <c r="AF2364" s="493">
        <f t="shared" si="408"/>
        <v>664192.49999999988</v>
      </c>
      <c r="AG2364" s="474" t="s">
        <v>47</v>
      </c>
      <c r="AH2364" s="447">
        <v>10</v>
      </c>
      <c r="AI2364" s="474">
        <v>60</v>
      </c>
      <c r="AJ2364" s="474" t="s">
        <v>1394</v>
      </c>
      <c r="AK2364" s="474" t="s">
        <v>1395</v>
      </c>
      <c r="AL2364" s="494">
        <v>89431</v>
      </c>
      <c r="AM2364" s="474" t="s">
        <v>52</v>
      </c>
      <c r="AN2364" s="474" t="s">
        <v>1106</v>
      </c>
      <c r="AO2364" s="474"/>
      <c r="AP2364" s="474"/>
      <c r="AQ2364" s="474" t="s">
        <v>1109</v>
      </c>
      <c r="AR2364" s="474"/>
      <c r="AS2364" s="387" t="s">
        <v>1076</v>
      </c>
      <c r="AT2364" s="387" t="s">
        <v>1076</v>
      </c>
      <c r="AU2364" s="471"/>
      <c r="AV2364" s="262">
        <f t="shared" si="415"/>
        <v>49303155</v>
      </c>
      <c r="AW2364" s="262" cm="1">
        <f t="array" ref="AW2364">SUM(MID(0&amp;AV2364,LARGE(INDEX(ISNUMBER(--MID(AV2364,ROW($1:$8),1))*ROW($1:$8),),ROW($1:$8))+1,1)*10^ROW($1:$8)/10)</f>
        <v>49303155</v>
      </c>
      <c r="AX2364" s="262" t="str">
        <f>VLOOKUP($AW2364,'Item Master Data'!$A:$F,3,FALSE)</f>
        <v>Q.PEAK DUO XL G10 BFG</v>
      </c>
      <c r="AY2364" s="262">
        <f>VLOOKUP($AW2364,'Item Master Data'!$A:$F,6,FALSE)</f>
        <v>475</v>
      </c>
      <c r="AZ2364" s="262">
        <f t="shared" si="416"/>
        <v>122.06896551724138</v>
      </c>
      <c r="BA2364" s="262">
        <f>VLOOKUP(AW2364,'Item Master Data'!$A:$G,7,FALSE)</f>
        <v>29</v>
      </c>
      <c r="BC2364" s="262">
        <f t="shared" si="417"/>
        <v>0</v>
      </c>
    </row>
    <row r="2365" spans="1:55">
      <c r="A2365" s="410"/>
      <c r="B2365" s="407" t="s">
        <v>1211</v>
      </c>
      <c r="C2365" s="407" t="s">
        <v>1211</v>
      </c>
      <c r="D2365" s="474" t="s">
        <v>1066</v>
      </c>
      <c r="E2365" s="388" t="s">
        <v>5282</v>
      </c>
      <c r="F2365" s="474" t="s">
        <v>87</v>
      </c>
      <c r="G2365" s="474">
        <v>2022</v>
      </c>
      <c r="H2365" s="474">
        <v>4</v>
      </c>
      <c r="I2365" s="485" t="s">
        <v>3023</v>
      </c>
      <c r="J2365" s="475">
        <v>44658</v>
      </c>
      <c r="K2365" s="474" t="s">
        <v>1410</v>
      </c>
      <c r="L2365" s="475" t="s">
        <v>1411</v>
      </c>
      <c r="M2365" s="475">
        <v>44617</v>
      </c>
      <c r="N2365" s="475">
        <v>44621</v>
      </c>
      <c r="O2365" s="475"/>
      <c r="P2365" s="475">
        <v>44638</v>
      </c>
      <c r="Q2365" s="475">
        <v>44646</v>
      </c>
      <c r="R2365" s="475">
        <v>44658</v>
      </c>
      <c r="S2365" s="474" t="s">
        <v>1388</v>
      </c>
      <c r="T2365" s="474">
        <v>72</v>
      </c>
      <c r="U2365" s="474">
        <v>49304156</v>
      </c>
      <c r="V2365" s="474" t="s">
        <v>1002</v>
      </c>
      <c r="W2365" s="476">
        <v>480</v>
      </c>
      <c r="X2365" s="402">
        <f>1015+1334</f>
        <v>2349</v>
      </c>
      <c r="Y2365" s="491">
        <f t="shared" si="420"/>
        <v>1127520</v>
      </c>
      <c r="Z2365" s="478">
        <v>0.46</v>
      </c>
      <c r="AA2365" s="479">
        <f t="shared" si="418"/>
        <v>518659.2</v>
      </c>
      <c r="AB2365" s="386"/>
      <c r="AC2365" s="481">
        <v>0</v>
      </c>
      <c r="AD2365" s="474"/>
      <c r="AE2365" s="482"/>
      <c r="AF2365" s="493">
        <f t="shared" si="408"/>
        <v>518659.2</v>
      </c>
      <c r="AG2365" s="474" t="s">
        <v>47</v>
      </c>
      <c r="AH2365" s="447">
        <v>10</v>
      </c>
      <c r="AI2365" s="474">
        <v>30</v>
      </c>
      <c r="AJ2365" s="474" t="s">
        <v>1412</v>
      </c>
      <c r="AK2365" s="474" t="s">
        <v>50</v>
      </c>
      <c r="AL2365" s="494">
        <v>91710</v>
      </c>
      <c r="AM2365" s="474" t="s">
        <v>52</v>
      </c>
      <c r="AN2365" s="474" t="s">
        <v>1106</v>
      </c>
      <c r="AO2365" s="474"/>
      <c r="AP2365" s="474"/>
      <c r="AQ2365" s="474"/>
      <c r="AR2365" s="474"/>
      <c r="AS2365" s="387"/>
      <c r="AT2365" s="387" t="s">
        <v>1076</v>
      </c>
      <c r="AU2365" s="471"/>
      <c r="AV2365" s="262">
        <f t="shared" si="415"/>
        <v>49304156</v>
      </c>
      <c r="AW2365" s="262" cm="1">
        <f t="array" ref="AW2365">SUM(MID(0&amp;AV2365,LARGE(INDEX(ISNUMBER(--MID(AV2365,ROW($1:$8),1))*ROW($1:$8),),ROW($1:$8))+1,1)*10^ROW($1:$8)/10)</f>
        <v>49304156</v>
      </c>
      <c r="AX2365" s="262" t="str">
        <f>VLOOKUP($AW2365,'Item Master Data'!$A:$F,3,FALSE)</f>
        <v>Q.PEAK DUO XL G10</v>
      </c>
      <c r="AY2365" s="262">
        <f>VLOOKUP($AW2365,'Item Master Data'!$A:$F,6,FALSE)</f>
        <v>480</v>
      </c>
      <c r="AZ2365" s="262">
        <f t="shared" si="416"/>
        <v>81</v>
      </c>
      <c r="BA2365" s="262">
        <f>VLOOKUP(AW2365,'Item Master Data'!$A:$G,7,FALSE)</f>
        <v>29</v>
      </c>
      <c r="BC2365" s="262">
        <f t="shared" si="417"/>
        <v>0</v>
      </c>
    </row>
    <row r="2366" spans="1:55">
      <c r="A2366" s="410"/>
      <c r="B2366" s="407"/>
      <c r="C2366" s="407"/>
      <c r="D2366" s="474" t="s">
        <v>1066</v>
      </c>
      <c r="E2366" s="388"/>
      <c r="F2366" s="474"/>
      <c r="G2366" s="474">
        <v>2022</v>
      </c>
      <c r="H2366" s="474">
        <v>4</v>
      </c>
      <c r="I2366" s="485"/>
      <c r="J2366" s="475" t="s">
        <v>5191</v>
      </c>
      <c r="K2366" s="474" t="s">
        <v>1414</v>
      </c>
      <c r="L2366" s="475" t="s">
        <v>1415</v>
      </c>
      <c r="M2366" s="475">
        <v>44636</v>
      </c>
      <c r="N2366" s="475">
        <v>44651</v>
      </c>
      <c r="O2366" s="475"/>
      <c r="P2366" s="475">
        <v>44643</v>
      </c>
      <c r="Q2366" s="475">
        <v>44648</v>
      </c>
      <c r="R2366" s="475">
        <v>44658</v>
      </c>
      <c r="S2366" s="474" t="s">
        <v>1388</v>
      </c>
      <c r="T2366" s="474">
        <v>72</v>
      </c>
      <c r="U2366" s="474">
        <v>12005833</v>
      </c>
      <c r="V2366" s="474" t="s">
        <v>1070</v>
      </c>
      <c r="W2366" s="476">
        <v>475</v>
      </c>
      <c r="X2366" s="402">
        <f>16020-510+510+90</f>
        <v>16110</v>
      </c>
      <c r="Y2366" s="491">
        <f t="shared" si="420"/>
        <v>7652250</v>
      </c>
      <c r="Z2366" s="478">
        <v>0.37</v>
      </c>
      <c r="AA2366" s="492">
        <f>Z2366*Y2366</f>
        <v>2831332.5</v>
      </c>
      <c r="AB2366" s="386"/>
      <c r="AC2366" s="481">
        <f>AB2366*Y2366</f>
        <v>0</v>
      </c>
      <c r="AD2366" s="474"/>
      <c r="AE2366" s="482"/>
      <c r="AF2366" s="493">
        <f t="shared" si="408"/>
        <v>2831332.5</v>
      </c>
      <c r="AG2366" s="474" t="s">
        <v>47</v>
      </c>
      <c r="AH2366" s="447">
        <v>10</v>
      </c>
      <c r="AI2366" s="474">
        <v>30</v>
      </c>
      <c r="AJ2366" s="474" t="s">
        <v>1416</v>
      </c>
      <c r="AK2366" s="474" t="s">
        <v>1417</v>
      </c>
      <c r="AL2366" s="494">
        <v>83201</v>
      </c>
      <c r="AM2366" s="474" t="s">
        <v>52</v>
      </c>
      <c r="AN2366" s="474" t="s">
        <v>50</v>
      </c>
      <c r="AO2366" s="474"/>
      <c r="AP2366" s="474" t="s">
        <v>38</v>
      </c>
      <c r="AQ2366" s="474"/>
      <c r="AR2366" s="474"/>
      <c r="AS2366" s="387"/>
      <c r="AT2366" s="387"/>
      <c r="AU2366" s="471"/>
      <c r="AV2366" s="262">
        <f t="shared" si="415"/>
        <v>12005833</v>
      </c>
      <c r="AW2366" s="262" cm="1">
        <f t="array" ref="AW2366">SUM(MID(0&amp;AV2366,LARGE(INDEX(ISNUMBER(--MID(AV2366,ROW($1:$8),1))*ROW($1:$8),),ROW($1:$8))+1,1)*10^ROW($1:$8)/10)</f>
        <v>12005833</v>
      </c>
      <c r="AX2366" s="262" t="str">
        <f>VLOOKUP($AW2366,'Item Master Data'!$A:$F,3,FALSE)</f>
        <v>Q.PEAK DUO XL G10 BFG</v>
      </c>
      <c r="AY2366" s="262">
        <f>VLOOKUP($AW2366,'Item Master Data'!$A:$F,6,FALSE)</f>
        <v>475</v>
      </c>
      <c r="AZ2366" s="262">
        <f t="shared" si="416"/>
        <v>537</v>
      </c>
      <c r="BA2366" s="262">
        <f>VLOOKUP(AW2366,'Item Master Data'!$A:$G,7,FALSE)</f>
        <v>30</v>
      </c>
      <c r="BC2366" s="262">
        <f t="shared" si="417"/>
        <v>0</v>
      </c>
    </row>
    <row r="2367" spans="1:55">
      <c r="A2367" s="410"/>
      <c r="B2367" s="407"/>
      <c r="C2367" s="407"/>
      <c r="D2367" s="474" t="s">
        <v>1066</v>
      </c>
      <c r="E2367" s="414">
        <v>23400</v>
      </c>
      <c r="F2367" s="474"/>
      <c r="G2367" s="474">
        <v>2022</v>
      </c>
      <c r="H2367" s="474">
        <v>4</v>
      </c>
      <c r="I2367" s="485"/>
      <c r="J2367" s="475"/>
      <c r="K2367" s="474" t="s">
        <v>1414</v>
      </c>
      <c r="L2367" s="475" t="s">
        <v>1415</v>
      </c>
      <c r="M2367" s="475">
        <v>44636</v>
      </c>
      <c r="N2367" s="475">
        <v>44651</v>
      </c>
      <c r="O2367" s="475"/>
      <c r="P2367" s="475">
        <v>44643</v>
      </c>
      <c r="Q2367" s="475">
        <v>44664</v>
      </c>
      <c r="R2367" s="475">
        <v>44680</v>
      </c>
      <c r="S2367" s="474" t="s">
        <v>1388</v>
      </c>
      <c r="T2367" s="474">
        <v>72</v>
      </c>
      <c r="U2367" s="474" t="s">
        <v>1082</v>
      </c>
      <c r="V2367" s="474" t="s">
        <v>1070</v>
      </c>
      <c r="W2367" s="476">
        <v>475</v>
      </c>
      <c r="X2367" s="402">
        <f>77910-52920-4200+3000+600</f>
        <v>24390</v>
      </c>
      <c r="Y2367" s="491">
        <f t="shared" si="420"/>
        <v>11585250</v>
      </c>
      <c r="Z2367" s="478">
        <v>0.37</v>
      </c>
      <c r="AA2367" s="492">
        <f>Z2367*Y2367</f>
        <v>4286542.5</v>
      </c>
      <c r="AB2367" s="386"/>
      <c r="AC2367" s="481">
        <f>AB2367*Y2367</f>
        <v>0</v>
      </c>
      <c r="AD2367" s="474"/>
      <c r="AE2367" s="482"/>
      <c r="AF2367" s="493">
        <f t="shared" si="408"/>
        <v>4286542.5</v>
      </c>
      <c r="AG2367" s="474" t="s">
        <v>47</v>
      </c>
      <c r="AH2367" s="447">
        <v>10</v>
      </c>
      <c r="AI2367" s="474">
        <v>30</v>
      </c>
      <c r="AJ2367" s="474" t="s">
        <v>1416</v>
      </c>
      <c r="AK2367" s="474" t="s">
        <v>1417</v>
      </c>
      <c r="AL2367" s="494">
        <v>83201</v>
      </c>
      <c r="AM2367" s="474" t="s">
        <v>52</v>
      </c>
      <c r="AN2367" s="474" t="s">
        <v>1085</v>
      </c>
      <c r="AO2367" s="474"/>
      <c r="AP2367" s="474" t="s">
        <v>38</v>
      </c>
      <c r="AQ2367" s="474"/>
      <c r="AR2367" s="474"/>
      <c r="AS2367" s="387"/>
      <c r="AT2367" s="387"/>
      <c r="AU2367" s="471"/>
      <c r="AV2367" s="262" t="str">
        <f t="shared" si="415"/>
        <v>12005833C</v>
      </c>
      <c r="AW2367" s="262" cm="1">
        <f t="array" ref="AW2367">SUM(MID(0&amp;AV2367,LARGE(INDEX(ISNUMBER(--MID(AV2367,ROW($1:$8),1))*ROW($1:$8),),ROW($1:$8))+1,1)*10^ROW($1:$8)/10)</f>
        <v>12005833</v>
      </c>
      <c r="AX2367" s="262" t="str">
        <f>VLOOKUP($AW2367,'Item Master Data'!$A:$F,3,FALSE)</f>
        <v>Q.PEAK DUO XL G10 BFG</v>
      </c>
      <c r="AY2367" s="262">
        <f>VLOOKUP($AW2367,'Item Master Data'!$A:$F,6,FALSE)</f>
        <v>475</v>
      </c>
      <c r="AZ2367" s="262">
        <f t="shared" si="416"/>
        <v>813</v>
      </c>
      <c r="BA2367" s="262">
        <f>VLOOKUP(AW2367,'Item Master Data'!$A:$G,7,FALSE)</f>
        <v>30</v>
      </c>
      <c r="BC2367" s="262">
        <f t="shared" si="417"/>
        <v>0</v>
      </c>
    </row>
    <row r="2368" spans="1:55">
      <c r="A2368" s="410"/>
      <c r="B2368" s="407"/>
      <c r="C2368" s="407"/>
      <c r="D2368" s="474" t="s">
        <v>1066</v>
      </c>
      <c r="E2368" s="388" t="s">
        <v>1153</v>
      </c>
      <c r="F2368" s="474"/>
      <c r="G2368" s="474">
        <v>2022</v>
      </c>
      <c r="H2368" s="474">
        <v>8</v>
      </c>
      <c r="I2368" s="485" t="s">
        <v>1078</v>
      </c>
      <c r="J2368" s="475"/>
      <c r="K2368" s="474" t="s">
        <v>1154</v>
      </c>
      <c r="L2368" s="475" t="s">
        <v>1155</v>
      </c>
      <c r="M2368" s="475">
        <v>44607</v>
      </c>
      <c r="N2368" s="475">
        <v>44774</v>
      </c>
      <c r="O2368" s="475"/>
      <c r="P2368" s="475"/>
      <c r="Q2368" s="475"/>
      <c r="R2368" s="475"/>
      <c r="S2368" s="474" t="s">
        <v>1081</v>
      </c>
      <c r="T2368" s="474">
        <v>72</v>
      </c>
      <c r="U2368" s="474" t="s">
        <v>1156</v>
      </c>
      <c r="V2368" s="474" t="s">
        <v>1070</v>
      </c>
      <c r="W2368" s="476">
        <v>480</v>
      </c>
      <c r="X2368" s="402">
        <v>377</v>
      </c>
      <c r="Y2368" s="491">
        <f t="shared" si="420"/>
        <v>180960</v>
      </c>
      <c r="Z2368" s="478">
        <v>0.48</v>
      </c>
      <c r="AA2368" s="479">
        <f>Z2368*Y2368</f>
        <v>86860.800000000003</v>
      </c>
      <c r="AB2368" s="386"/>
      <c r="AC2368" s="481">
        <f>AB2368*Y2368</f>
        <v>0</v>
      </c>
      <c r="AD2368" s="474"/>
      <c r="AE2368" s="482">
        <f>AA2368*0.07</f>
        <v>6080.2560000000012</v>
      </c>
      <c r="AF2368" s="493">
        <f t="shared" si="408"/>
        <v>92941.056000000011</v>
      </c>
      <c r="AG2368" s="474" t="s">
        <v>47</v>
      </c>
      <c r="AH2368" s="447">
        <v>100</v>
      </c>
      <c r="AI2368" s="474">
        <v>0</v>
      </c>
      <c r="AJ2368" s="474" t="s">
        <v>1163</v>
      </c>
      <c r="AK2368" s="474" t="s">
        <v>1158</v>
      </c>
      <c r="AL2368" s="494">
        <v>28081</v>
      </c>
      <c r="AM2368" s="474" t="s">
        <v>52</v>
      </c>
      <c r="AN2368" s="474" t="s">
        <v>1109</v>
      </c>
      <c r="AO2368" s="474"/>
      <c r="AP2368" s="474" t="s">
        <v>1109</v>
      </c>
      <c r="AQ2368" s="474"/>
      <c r="AR2368" s="474"/>
      <c r="AS2368" s="387"/>
      <c r="AT2368" s="387"/>
      <c r="AU2368" s="471"/>
      <c r="AV2368" s="262" t="str">
        <f t="shared" si="415"/>
        <v>12005832C</v>
      </c>
      <c r="AW2368" s="262" cm="1">
        <f t="array" ref="AW2368">SUM(MID(0&amp;AV2368,LARGE(INDEX(ISNUMBER(--MID(AV2368,ROW($1:$8),1))*ROW($1:$8),),ROW($1:$8))+1,1)*10^ROW($1:$8)/10)</f>
        <v>12005832</v>
      </c>
      <c r="AX2368" s="262" t="str">
        <f>VLOOKUP($AW2368,'Item Master Data'!$A:$F,3,FALSE)</f>
        <v>Q.PEAK DUO XL G10 BFG</v>
      </c>
      <c r="AY2368" s="262">
        <f>VLOOKUP($AW2368,'Item Master Data'!$A:$F,6,FALSE)</f>
        <v>480</v>
      </c>
      <c r="AZ2368" s="262" t="e">
        <f t="shared" si="416"/>
        <v>#VALUE!</v>
      </c>
      <c r="BA2368" s="262" t="str">
        <f>VLOOKUP(AW2368,'Item Master Data'!$A:$G,7,FALSE)</f>
        <v> 30</v>
      </c>
      <c r="BC2368" s="262">
        <f t="shared" si="417"/>
        <v>0</v>
      </c>
    </row>
    <row r="2369" spans="1:55">
      <c r="A2369" s="410"/>
      <c r="B2369" s="407"/>
      <c r="C2369" s="407"/>
      <c r="D2369" s="474" t="s">
        <v>1066</v>
      </c>
      <c r="E2369" s="388" t="s">
        <v>5459</v>
      </c>
      <c r="F2369" s="474"/>
      <c r="G2369" s="474">
        <v>2022</v>
      </c>
      <c r="H2369" s="474">
        <v>8</v>
      </c>
      <c r="I2369" s="485"/>
      <c r="J2369" s="475"/>
      <c r="K2369" s="474" t="s">
        <v>1181</v>
      </c>
      <c r="L2369" s="475" t="s">
        <v>1174</v>
      </c>
      <c r="M2369" s="475">
        <v>44656</v>
      </c>
      <c r="N2369" s="475">
        <v>44774</v>
      </c>
      <c r="O2369" s="475"/>
      <c r="P2369" s="475"/>
      <c r="Q2369" s="475"/>
      <c r="R2369" s="475"/>
      <c r="S2369" s="474" t="s">
        <v>1069</v>
      </c>
      <c r="T2369" s="474">
        <v>72</v>
      </c>
      <c r="U2369" s="474"/>
      <c r="V2369" s="474" t="s">
        <v>1070</v>
      </c>
      <c r="W2369" s="476">
        <v>480</v>
      </c>
      <c r="X2369" s="402">
        <v>1914</v>
      </c>
      <c r="Y2369" s="491">
        <f t="shared" si="420"/>
        <v>918720</v>
      </c>
      <c r="Z2369" s="478">
        <v>0.5</v>
      </c>
      <c r="AA2369" s="479">
        <f t="shared" ref="AA2369:AA2377" si="421">Y2369*Z2369</f>
        <v>459360</v>
      </c>
      <c r="AB2369" s="386"/>
      <c r="AC2369" s="481">
        <v>0</v>
      </c>
      <c r="AD2369" s="474"/>
      <c r="AE2369" s="482"/>
      <c r="AF2369" s="493">
        <f t="shared" si="408"/>
        <v>459360</v>
      </c>
      <c r="AG2369" s="474" t="s">
        <v>1071</v>
      </c>
      <c r="AH2369" s="447"/>
      <c r="AI2369" s="474">
        <v>60</v>
      </c>
      <c r="AJ2369" s="474" t="s">
        <v>1175</v>
      </c>
      <c r="AK2369" s="474" t="s">
        <v>1138</v>
      </c>
      <c r="AL2369" s="494" t="s">
        <v>1176</v>
      </c>
      <c r="AM2369" s="474" t="s">
        <v>52</v>
      </c>
      <c r="AN2369" s="474" t="s">
        <v>1109</v>
      </c>
      <c r="AO2369" s="474"/>
      <c r="AP2369" s="474" t="s">
        <v>1109</v>
      </c>
      <c r="AQ2369" s="474" t="s">
        <v>37</v>
      </c>
      <c r="AR2369" s="474"/>
      <c r="AS2369" s="387"/>
      <c r="AT2369" s="387"/>
      <c r="AU2369" s="471"/>
      <c r="AV2369" s="262">
        <f t="shared" si="415"/>
        <v>0</v>
      </c>
      <c r="AW2369" s="262" cm="1">
        <f t="array" ref="AW2369">SUM(MID(0&amp;AV2369,LARGE(INDEX(ISNUMBER(--MID(AV2369,ROW($1:$8),1))*ROW($1:$8),),ROW($1:$8))+1,1)*10^ROW($1:$8)/10)</f>
        <v>0</v>
      </c>
      <c r="AX2369" s="262" t="e">
        <f>VLOOKUP($AW2369,'Item Master Data'!$A:$F,3,FALSE)</f>
        <v>#N/A</v>
      </c>
      <c r="AY2369" s="262" t="e">
        <f>VLOOKUP($AW2369,'Item Master Data'!$A:$F,6,FALSE)</f>
        <v>#N/A</v>
      </c>
      <c r="AZ2369" s="262" t="e">
        <f t="shared" si="416"/>
        <v>#N/A</v>
      </c>
      <c r="BA2369" s="262" t="e">
        <f>VLOOKUP(AW2369,'Item Master Data'!$A:$G,7,FALSE)</f>
        <v>#N/A</v>
      </c>
      <c r="BC2369" s="262" t="e">
        <f t="shared" si="417"/>
        <v>#N/A</v>
      </c>
    </row>
    <row r="2370" spans="1:55">
      <c r="A2370" s="410"/>
      <c r="B2370" s="407" t="s">
        <v>1211</v>
      </c>
      <c r="C2370" s="407">
        <v>44673</v>
      </c>
      <c r="D2370" s="474" t="s">
        <v>1066</v>
      </c>
      <c r="E2370" s="388" t="s">
        <v>5437</v>
      </c>
      <c r="F2370" s="474" t="s">
        <v>87</v>
      </c>
      <c r="G2370" s="474">
        <v>2022</v>
      </c>
      <c r="H2370" s="474">
        <v>8</v>
      </c>
      <c r="I2370" s="485"/>
      <c r="J2370" s="475"/>
      <c r="K2370" s="474" t="s">
        <v>1236</v>
      </c>
      <c r="L2370" s="475" t="s">
        <v>1228</v>
      </c>
      <c r="M2370" s="475">
        <v>44641</v>
      </c>
      <c r="N2370" s="475">
        <v>44788</v>
      </c>
      <c r="O2370" s="475"/>
      <c r="P2370" s="475"/>
      <c r="Q2370" s="475"/>
      <c r="R2370" s="475"/>
      <c r="S2370" s="474" t="s">
        <v>1069</v>
      </c>
      <c r="T2370" s="474">
        <v>72</v>
      </c>
      <c r="U2370" s="474" t="s">
        <v>1109</v>
      </c>
      <c r="V2370" s="474" t="s">
        <v>1070</v>
      </c>
      <c r="W2370" s="476">
        <v>480</v>
      </c>
      <c r="X2370" s="402">
        <v>1914</v>
      </c>
      <c r="Y2370" s="491">
        <f t="shared" si="420"/>
        <v>918720</v>
      </c>
      <c r="Z2370" s="478">
        <v>0.48</v>
      </c>
      <c r="AA2370" s="479">
        <f t="shared" si="421"/>
        <v>440985.59999999998</v>
      </c>
      <c r="AB2370" s="386"/>
      <c r="AC2370" s="481">
        <v>0</v>
      </c>
      <c r="AD2370" s="474"/>
      <c r="AE2370" s="482"/>
      <c r="AF2370" s="493">
        <f t="shared" si="408"/>
        <v>440985.59999999998</v>
      </c>
      <c r="AG2370" s="474" t="s">
        <v>1071</v>
      </c>
      <c r="AH2370" s="447"/>
      <c r="AI2370" s="474">
        <v>60</v>
      </c>
      <c r="AJ2370" s="474" t="s">
        <v>1230</v>
      </c>
      <c r="AK2370" s="474" t="s">
        <v>1190</v>
      </c>
      <c r="AL2370" s="494">
        <v>6492</v>
      </c>
      <c r="AM2370" s="474" t="s">
        <v>52</v>
      </c>
      <c r="AN2370" s="474" t="s">
        <v>1085</v>
      </c>
      <c r="AO2370" s="474"/>
      <c r="AP2370" s="474" t="s">
        <v>92</v>
      </c>
      <c r="AQ2370" s="474" t="s">
        <v>37</v>
      </c>
      <c r="AR2370" s="474"/>
      <c r="AS2370" s="387"/>
      <c r="AT2370" s="387"/>
      <c r="AU2370" s="471"/>
      <c r="AV2370" s="262" t="str">
        <f t="shared" si="415"/>
        <v>TBD</v>
      </c>
      <c r="AW2370" s="262" cm="1">
        <f t="array" ref="AW2370">SUM(MID(0&amp;AV2370,LARGE(INDEX(ISNUMBER(--MID(AV2370,ROW($1:$8),1))*ROW($1:$8),),ROW($1:$8))+1,1)*10^ROW($1:$8)/10)</f>
        <v>0</v>
      </c>
      <c r="AX2370" s="262" t="e">
        <f>VLOOKUP($AW2370,'Item Master Data'!$A:$F,3,FALSE)</f>
        <v>#N/A</v>
      </c>
      <c r="AY2370" s="262" t="e">
        <f>VLOOKUP($AW2370,'Item Master Data'!$A:$F,6,FALSE)</f>
        <v>#N/A</v>
      </c>
      <c r="AZ2370" s="262" t="e">
        <f t="shared" si="416"/>
        <v>#N/A</v>
      </c>
      <c r="BA2370" s="262" t="e">
        <f>VLOOKUP(AW2370,'Item Master Data'!$A:$G,7,FALSE)</f>
        <v>#N/A</v>
      </c>
      <c r="BC2370" s="262" t="e">
        <f t="shared" si="417"/>
        <v>#N/A</v>
      </c>
    </row>
    <row r="2371" spans="1:55">
      <c r="A2371" s="410"/>
      <c r="B2371" s="407"/>
      <c r="C2371" s="407"/>
      <c r="D2371" s="474" t="s">
        <v>1066</v>
      </c>
      <c r="E2371" s="413" t="s">
        <v>1336</v>
      </c>
      <c r="F2371" s="474" t="s">
        <v>87</v>
      </c>
      <c r="G2371" s="474">
        <v>2022</v>
      </c>
      <c r="H2371" s="474">
        <v>5</v>
      </c>
      <c r="I2371" s="485">
        <v>2005164</v>
      </c>
      <c r="J2371" s="475"/>
      <c r="K2371" s="474" t="s">
        <v>1406</v>
      </c>
      <c r="L2371" s="475" t="s">
        <v>1387</v>
      </c>
      <c r="M2371" s="475">
        <v>44357</v>
      </c>
      <c r="N2371" s="475"/>
      <c r="O2371" s="475"/>
      <c r="P2371" s="475"/>
      <c r="Q2371" s="475"/>
      <c r="R2371" s="475"/>
      <c r="S2371" s="474" t="s">
        <v>1388</v>
      </c>
      <c r="T2371" s="474">
        <v>72</v>
      </c>
      <c r="U2371" s="474">
        <v>49304156</v>
      </c>
      <c r="V2371" s="474" t="s">
        <v>1002</v>
      </c>
      <c r="W2371" s="530">
        <v>480</v>
      </c>
      <c r="X2371" s="649">
        <v>6264</v>
      </c>
      <c r="Y2371" s="491">
        <f t="shared" si="420"/>
        <v>3006720</v>
      </c>
      <c r="Z2371" s="478">
        <f>189.6/480</f>
        <v>0.39499999999999996</v>
      </c>
      <c r="AA2371" s="479">
        <f t="shared" si="421"/>
        <v>1187654.3999999999</v>
      </c>
      <c r="AB2371" s="386"/>
      <c r="AC2371" s="481">
        <v>0</v>
      </c>
      <c r="AD2371" s="474"/>
      <c r="AE2371" s="482"/>
      <c r="AF2371" s="493">
        <f t="shared" si="408"/>
        <v>1187654.3999999999</v>
      </c>
      <c r="AG2371" s="474" t="s">
        <v>47</v>
      </c>
      <c r="AH2371" s="447">
        <v>10</v>
      </c>
      <c r="AI2371" s="474">
        <v>60</v>
      </c>
      <c r="AJ2371" s="474" t="s">
        <v>1407</v>
      </c>
      <c r="AK2371" s="474" t="s">
        <v>1085</v>
      </c>
      <c r="AL2371" s="494">
        <v>8832</v>
      </c>
      <c r="AM2371" s="474" t="s">
        <v>52</v>
      </c>
      <c r="AN2371" s="474" t="s">
        <v>1074</v>
      </c>
      <c r="AO2371" s="474"/>
      <c r="AP2371" s="474"/>
      <c r="AQ2371" s="474" t="s">
        <v>1109</v>
      </c>
      <c r="AR2371" s="474"/>
      <c r="AS2371" s="387" t="s">
        <v>1076</v>
      </c>
      <c r="AT2371" s="387" t="s">
        <v>1076</v>
      </c>
      <c r="AU2371" s="471"/>
      <c r="AV2371" s="262">
        <f t="shared" si="415"/>
        <v>49304156</v>
      </c>
      <c r="AW2371" s="262" cm="1">
        <f t="array" ref="AW2371">SUM(MID(0&amp;AV2371,LARGE(INDEX(ISNUMBER(--MID(AV2371,ROW($1:$8),1))*ROW($1:$8),),ROW($1:$8))+1,1)*10^ROW($1:$8)/10)</f>
        <v>49304156</v>
      </c>
      <c r="AX2371" s="262" t="str">
        <f>VLOOKUP($AW2371,'Item Master Data'!$A:$F,3,FALSE)</f>
        <v>Q.PEAK DUO XL G10</v>
      </c>
      <c r="AY2371" s="262">
        <f>VLOOKUP($AW2371,'Item Master Data'!$A:$F,6,FALSE)</f>
        <v>480</v>
      </c>
      <c r="AZ2371" s="262">
        <f t="shared" si="416"/>
        <v>216</v>
      </c>
      <c r="BA2371" s="262">
        <f>VLOOKUP(AW2371,'Item Master Data'!$A:$G,7,FALSE)</f>
        <v>29</v>
      </c>
      <c r="BC2371" s="262">
        <f t="shared" si="417"/>
        <v>0</v>
      </c>
    </row>
    <row r="2372" spans="1:55">
      <c r="A2372" s="410"/>
      <c r="B2372" s="407" t="s">
        <v>1211</v>
      </c>
      <c r="C2372" s="407" t="s">
        <v>1211</v>
      </c>
      <c r="D2372" s="474" t="s">
        <v>1066</v>
      </c>
      <c r="E2372" s="388" t="s">
        <v>5279</v>
      </c>
      <c r="F2372" s="474" t="s">
        <v>87</v>
      </c>
      <c r="G2372" s="474">
        <v>2022</v>
      </c>
      <c r="H2372" s="474">
        <v>8</v>
      </c>
      <c r="I2372" s="485"/>
      <c r="J2372" s="475"/>
      <c r="K2372" s="474" t="s">
        <v>1301</v>
      </c>
      <c r="L2372" s="475" t="s">
        <v>1295</v>
      </c>
      <c r="M2372" s="475">
        <v>44628</v>
      </c>
      <c r="N2372" s="475">
        <v>44805</v>
      </c>
      <c r="O2372" s="475">
        <v>44788</v>
      </c>
      <c r="P2372" s="475"/>
      <c r="Q2372" s="475"/>
      <c r="R2372" s="475"/>
      <c r="S2372" s="474" t="s">
        <v>1069</v>
      </c>
      <c r="T2372" s="474">
        <v>72</v>
      </c>
      <c r="U2372" s="474"/>
      <c r="V2372" s="474" t="s">
        <v>1070</v>
      </c>
      <c r="W2372" s="476">
        <v>480</v>
      </c>
      <c r="X2372" s="402">
        <v>638</v>
      </c>
      <c r="Y2372" s="491">
        <f t="shared" si="420"/>
        <v>306240</v>
      </c>
      <c r="Z2372" s="478">
        <v>0.49</v>
      </c>
      <c r="AA2372" s="479">
        <f t="shared" si="421"/>
        <v>150057.60000000001</v>
      </c>
      <c r="AB2372" s="386"/>
      <c r="AC2372" s="481">
        <v>0</v>
      </c>
      <c r="AD2372" s="474"/>
      <c r="AE2372" s="482"/>
      <c r="AF2372" s="493">
        <f t="shared" si="408"/>
        <v>150057.60000000001</v>
      </c>
      <c r="AG2372" s="474" t="s">
        <v>1071</v>
      </c>
      <c r="AH2372" s="447"/>
      <c r="AI2372" s="474">
        <v>60</v>
      </c>
      <c r="AJ2372" s="474" t="s">
        <v>1296</v>
      </c>
      <c r="AK2372" s="474" t="s">
        <v>1297</v>
      </c>
      <c r="AL2372" s="494" t="s">
        <v>1298</v>
      </c>
      <c r="AM2372" s="474" t="s">
        <v>52</v>
      </c>
      <c r="AN2372" s="474" t="s">
        <v>1074</v>
      </c>
      <c r="AO2372" s="474"/>
      <c r="AP2372" s="474"/>
      <c r="AQ2372" s="474" t="s">
        <v>37</v>
      </c>
      <c r="AR2372" s="474"/>
      <c r="AS2372" s="387"/>
      <c r="AT2372" s="387"/>
      <c r="AU2372" s="471"/>
      <c r="AV2372" s="262">
        <f t="shared" si="415"/>
        <v>0</v>
      </c>
      <c r="AW2372" s="262" cm="1">
        <f t="array" ref="AW2372">SUM(MID(0&amp;AV2372,LARGE(INDEX(ISNUMBER(--MID(AV2372,ROW($1:$8),1))*ROW($1:$8),),ROW($1:$8))+1,1)*10^ROW($1:$8)/10)</f>
        <v>0</v>
      </c>
      <c r="AX2372" s="262" t="e">
        <f>VLOOKUP($AW2372,'Item Master Data'!$A:$F,3,FALSE)</f>
        <v>#N/A</v>
      </c>
      <c r="AY2372" s="262" t="e">
        <f>VLOOKUP($AW2372,'Item Master Data'!$A:$F,6,FALSE)</f>
        <v>#N/A</v>
      </c>
      <c r="AZ2372" s="262" t="e">
        <f t="shared" si="416"/>
        <v>#N/A</v>
      </c>
      <c r="BA2372" s="262" t="e">
        <f>VLOOKUP(AW2372,'Item Master Data'!$A:$G,7,FALSE)</f>
        <v>#N/A</v>
      </c>
      <c r="BC2372" s="262" t="e">
        <f t="shared" si="417"/>
        <v>#N/A</v>
      </c>
    </row>
    <row r="2373" spans="1:55">
      <c r="A2373" s="410"/>
      <c r="B2373" s="407"/>
      <c r="C2373" s="407"/>
      <c r="D2373" s="474" t="s">
        <v>1066</v>
      </c>
      <c r="E2373" s="388" t="s">
        <v>1171</v>
      </c>
      <c r="F2373" s="474" t="s">
        <v>87</v>
      </c>
      <c r="G2373" s="474">
        <v>2022</v>
      </c>
      <c r="H2373" s="474">
        <v>8</v>
      </c>
      <c r="I2373" s="485"/>
      <c r="J2373" s="475"/>
      <c r="K2373" s="474" t="s">
        <v>1354</v>
      </c>
      <c r="L2373" s="475" t="s">
        <v>1353</v>
      </c>
      <c r="M2373" s="475">
        <v>44655</v>
      </c>
      <c r="N2373" s="475">
        <v>44774</v>
      </c>
      <c r="O2373" s="475"/>
      <c r="P2373" s="475"/>
      <c r="Q2373" s="475"/>
      <c r="R2373" s="475"/>
      <c r="S2373" s="474" t="s">
        <v>1069</v>
      </c>
      <c r="T2373" s="474">
        <v>72</v>
      </c>
      <c r="U2373" s="474">
        <v>49303155</v>
      </c>
      <c r="V2373" s="474" t="s">
        <v>1070</v>
      </c>
      <c r="W2373" s="476">
        <v>480</v>
      </c>
      <c r="X2373" s="402">
        <v>638</v>
      </c>
      <c r="Y2373" s="491">
        <f t="shared" si="420"/>
        <v>306240</v>
      </c>
      <c r="Z2373" s="478">
        <v>0.5</v>
      </c>
      <c r="AA2373" s="479">
        <f t="shared" si="421"/>
        <v>153120</v>
      </c>
      <c r="AB2373" s="386"/>
      <c r="AC2373" s="481">
        <v>0</v>
      </c>
      <c r="AD2373" s="474"/>
      <c r="AE2373" s="482"/>
      <c r="AF2373" s="493">
        <f t="shared" ref="AF2373:AF2436" si="422">AE2373+AD2373+AA2373</f>
        <v>153120</v>
      </c>
      <c r="AG2373" s="474" t="s">
        <v>1071</v>
      </c>
      <c r="AH2373" s="447"/>
      <c r="AI2373" s="474">
        <v>60</v>
      </c>
      <c r="AJ2373" s="474" t="s">
        <v>1205</v>
      </c>
      <c r="AK2373" s="474" t="s">
        <v>1138</v>
      </c>
      <c r="AL2373" s="494">
        <v>14624</v>
      </c>
      <c r="AM2373" s="474" t="s">
        <v>52</v>
      </c>
      <c r="AN2373" s="474" t="s">
        <v>1074</v>
      </c>
      <c r="AO2373" s="474"/>
      <c r="AP2373" s="474"/>
      <c r="AQ2373" s="474" t="s">
        <v>37</v>
      </c>
      <c r="AR2373" s="474"/>
      <c r="AS2373" s="387"/>
      <c r="AT2373" s="387"/>
      <c r="AU2373" s="471"/>
      <c r="AV2373" s="262">
        <f t="shared" si="415"/>
        <v>49303155</v>
      </c>
      <c r="AW2373" s="262" cm="1">
        <f t="array" ref="AW2373">SUM(MID(0&amp;AV2373,LARGE(INDEX(ISNUMBER(--MID(AV2373,ROW($1:$8),1))*ROW($1:$8),),ROW($1:$8))+1,1)*10^ROW($1:$8)/10)</f>
        <v>49303155</v>
      </c>
      <c r="AX2373" s="262" t="str">
        <f>VLOOKUP($AW2373,'Item Master Data'!$A:$F,3,FALSE)</f>
        <v>Q.PEAK DUO XL G10 BFG</v>
      </c>
      <c r="AY2373" s="262">
        <f>VLOOKUP($AW2373,'Item Master Data'!$A:$F,6,FALSE)</f>
        <v>475</v>
      </c>
      <c r="AZ2373" s="262">
        <f t="shared" si="416"/>
        <v>22</v>
      </c>
      <c r="BA2373" s="262">
        <f>VLOOKUP(AW2373,'Item Master Data'!$A:$G,7,FALSE)</f>
        <v>29</v>
      </c>
      <c r="BC2373" s="262">
        <f t="shared" si="417"/>
        <v>5</v>
      </c>
    </row>
    <row r="2374" spans="1:55">
      <c r="A2374" s="410"/>
      <c r="B2374" s="407"/>
      <c r="C2374" s="407"/>
      <c r="D2374" s="474" t="s">
        <v>1066</v>
      </c>
      <c r="E2374" s="388" t="s">
        <v>5406</v>
      </c>
      <c r="F2374" s="474" t="s">
        <v>87</v>
      </c>
      <c r="G2374" s="474">
        <v>2022</v>
      </c>
      <c r="H2374" s="474">
        <v>12</v>
      </c>
      <c r="I2374" s="485">
        <v>2005229</v>
      </c>
      <c r="J2374" s="475"/>
      <c r="K2374" s="474" t="s">
        <v>5192</v>
      </c>
      <c r="L2374" s="475" t="s">
        <v>1387</v>
      </c>
      <c r="M2374" s="475">
        <v>44664</v>
      </c>
      <c r="N2374" s="475" t="s">
        <v>1409</v>
      </c>
      <c r="O2374" s="475"/>
      <c r="P2374" s="475"/>
      <c r="Q2374" s="475"/>
      <c r="R2374" s="475"/>
      <c r="S2374" s="474" t="s">
        <v>1388</v>
      </c>
      <c r="T2374" s="474">
        <v>72</v>
      </c>
      <c r="U2374" s="474"/>
      <c r="V2374" s="474" t="s">
        <v>1115</v>
      </c>
      <c r="W2374" s="476">
        <v>580</v>
      </c>
      <c r="X2374" s="402">
        <v>86220</v>
      </c>
      <c r="Y2374" s="491">
        <f t="shared" si="420"/>
        <v>50007600</v>
      </c>
      <c r="Z2374" s="478">
        <v>0.53</v>
      </c>
      <c r="AA2374" s="479">
        <f t="shared" si="421"/>
        <v>26504028</v>
      </c>
      <c r="AB2374" s="386"/>
      <c r="AC2374" s="481">
        <v>0</v>
      </c>
      <c r="AD2374" s="474"/>
      <c r="AE2374" s="482"/>
      <c r="AF2374" s="493">
        <f t="shared" si="422"/>
        <v>26504028</v>
      </c>
      <c r="AG2374" s="474" t="s">
        <v>47</v>
      </c>
      <c r="AH2374" s="447">
        <v>100</v>
      </c>
      <c r="AI2374" s="474">
        <v>0</v>
      </c>
      <c r="AJ2374" s="474" t="s">
        <v>1109</v>
      </c>
      <c r="AK2374" s="474" t="s">
        <v>1109</v>
      </c>
      <c r="AL2374" s="474" t="s">
        <v>1109</v>
      </c>
      <c r="AM2374" s="474" t="s">
        <v>52</v>
      </c>
      <c r="AN2374" s="474" t="s">
        <v>1085</v>
      </c>
      <c r="AO2374" s="474"/>
      <c r="AP2374" s="474" t="s">
        <v>92</v>
      </c>
      <c r="AQ2374" s="474" t="s">
        <v>1109</v>
      </c>
      <c r="AR2374" s="474"/>
      <c r="AS2374" s="387" t="s">
        <v>1076</v>
      </c>
      <c r="AT2374" s="387" t="s">
        <v>1076</v>
      </c>
      <c r="AU2374" s="471"/>
      <c r="AV2374" s="262">
        <f t="shared" si="415"/>
        <v>0</v>
      </c>
      <c r="AW2374" s="262" cm="1">
        <f t="array" ref="AW2374">SUM(MID(0&amp;AV2374,LARGE(INDEX(ISNUMBER(--MID(AV2374,ROW($1:$8),1))*ROW($1:$8),),ROW($1:$8))+1,1)*10^ROW($1:$8)/10)</f>
        <v>0</v>
      </c>
      <c r="AX2374" s="262" t="e">
        <f>VLOOKUP($AW2374,'Item Master Data'!$A:$F,3,FALSE)</f>
        <v>#N/A</v>
      </c>
      <c r="AY2374" s="262" t="e">
        <f>VLOOKUP($AW2374,'Item Master Data'!$A:$F,6,FALSE)</f>
        <v>#N/A</v>
      </c>
      <c r="AZ2374" s="262" t="e">
        <f t="shared" si="416"/>
        <v>#N/A</v>
      </c>
      <c r="BA2374" s="262" t="e">
        <f>VLOOKUP(AW2374,'Item Master Data'!$A:$G,7,FALSE)</f>
        <v>#N/A</v>
      </c>
      <c r="BC2374" s="262" t="e">
        <f t="shared" si="417"/>
        <v>#N/A</v>
      </c>
    </row>
    <row r="2375" spans="1:55">
      <c r="A2375" s="410"/>
      <c r="B2375" s="407" t="s">
        <v>1211</v>
      </c>
      <c r="C2375" s="407" t="s">
        <v>1211</v>
      </c>
      <c r="D2375" s="474" t="s">
        <v>1066</v>
      </c>
      <c r="E2375" s="414"/>
      <c r="F2375" s="474" t="s">
        <v>87</v>
      </c>
      <c r="G2375" s="474">
        <v>2022</v>
      </c>
      <c r="H2375" s="474">
        <v>3</v>
      </c>
      <c r="I2375" s="485">
        <v>127806</v>
      </c>
      <c r="J2375" s="475">
        <v>44650</v>
      </c>
      <c r="K2375" s="474" t="s">
        <v>1410</v>
      </c>
      <c r="L2375" s="475" t="s">
        <v>1411</v>
      </c>
      <c r="M2375" s="475">
        <v>44617</v>
      </c>
      <c r="N2375" s="475">
        <v>44621</v>
      </c>
      <c r="O2375" s="475"/>
      <c r="P2375" s="475">
        <v>44638</v>
      </c>
      <c r="Q2375" s="475">
        <v>44616</v>
      </c>
      <c r="R2375" s="475">
        <v>44650</v>
      </c>
      <c r="S2375" s="474" t="s">
        <v>1388</v>
      </c>
      <c r="T2375" s="474">
        <v>72</v>
      </c>
      <c r="U2375" s="474">
        <v>49304156</v>
      </c>
      <c r="V2375" s="474" t="s">
        <v>1002</v>
      </c>
      <c r="W2375" s="476">
        <v>480</v>
      </c>
      <c r="X2375" s="402">
        <v>5249</v>
      </c>
      <c r="Y2375" s="491">
        <f t="shared" si="420"/>
        <v>2519520</v>
      </c>
      <c r="Z2375" s="478">
        <v>0.46</v>
      </c>
      <c r="AA2375" s="479">
        <f t="shared" si="421"/>
        <v>1158979.2</v>
      </c>
      <c r="AB2375" s="386"/>
      <c r="AC2375" s="481">
        <v>0</v>
      </c>
      <c r="AD2375" s="474"/>
      <c r="AE2375" s="482"/>
      <c r="AF2375" s="493">
        <f t="shared" si="422"/>
        <v>1158979.2</v>
      </c>
      <c r="AG2375" s="474" t="s">
        <v>47</v>
      </c>
      <c r="AH2375" s="447">
        <v>10</v>
      </c>
      <c r="AI2375" s="474">
        <v>30</v>
      </c>
      <c r="AJ2375" s="474" t="s">
        <v>1412</v>
      </c>
      <c r="AK2375" s="474" t="s">
        <v>50</v>
      </c>
      <c r="AL2375" s="494">
        <v>91710</v>
      </c>
      <c r="AM2375" s="474" t="s">
        <v>52</v>
      </c>
      <c r="AN2375" s="474" t="s">
        <v>1106</v>
      </c>
      <c r="AO2375" s="474"/>
      <c r="AP2375" s="474"/>
      <c r="AQ2375" s="474"/>
      <c r="AR2375" s="474"/>
      <c r="AS2375" s="387"/>
      <c r="AT2375" s="387" t="s">
        <v>1076</v>
      </c>
      <c r="AU2375" s="471"/>
      <c r="AV2375" s="262">
        <f t="shared" si="415"/>
        <v>49304156</v>
      </c>
      <c r="AW2375" s="262" cm="1">
        <f t="array" ref="AW2375">SUM(MID(0&amp;AV2375,LARGE(INDEX(ISNUMBER(--MID(AV2375,ROW($1:$8),1))*ROW($1:$8),),ROW($1:$8))+1,1)*10^ROW($1:$8)/10)</f>
        <v>49304156</v>
      </c>
      <c r="AX2375" s="262" t="str">
        <f>VLOOKUP($AW2375,'Item Master Data'!$A:$F,3,FALSE)</f>
        <v>Q.PEAK DUO XL G10</v>
      </c>
      <c r="AY2375" s="262">
        <f>VLOOKUP($AW2375,'Item Master Data'!$A:$F,6,FALSE)</f>
        <v>480</v>
      </c>
      <c r="AZ2375" s="262">
        <f t="shared" si="416"/>
        <v>181</v>
      </c>
      <c r="BA2375" s="262">
        <f>VLOOKUP(AW2375,'Item Master Data'!$A:$G,7,FALSE)</f>
        <v>29</v>
      </c>
      <c r="BC2375" s="262">
        <f t="shared" si="417"/>
        <v>0</v>
      </c>
    </row>
    <row r="2376" spans="1:55">
      <c r="A2376" s="410"/>
      <c r="B2376" s="407" t="s">
        <v>1211</v>
      </c>
      <c r="C2376" s="407" t="s">
        <v>1211</v>
      </c>
      <c r="D2376" s="474" t="s">
        <v>1066</v>
      </c>
      <c r="E2376" s="414"/>
      <c r="F2376" s="474" t="s">
        <v>87</v>
      </c>
      <c r="G2376" s="474">
        <v>2022</v>
      </c>
      <c r="H2376" s="474">
        <v>3</v>
      </c>
      <c r="I2376" s="485">
        <v>127806</v>
      </c>
      <c r="J2376" s="475">
        <v>44650</v>
      </c>
      <c r="K2376" s="474" t="s">
        <v>1410</v>
      </c>
      <c r="L2376" s="475" t="s">
        <v>1411</v>
      </c>
      <c r="M2376" s="475">
        <v>44617</v>
      </c>
      <c r="N2376" s="475">
        <v>44621</v>
      </c>
      <c r="O2376" s="475"/>
      <c r="P2376" s="475">
        <v>44638</v>
      </c>
      <c r="Q2376" s="475">
        <v>44616</v>
      </c>
      <c r="R2376" s="475">
        <v>44650</v>
      </c>
      <c r="S2376" s="474" t="s">
        <v>1388</v>
      </c>
      <c r="T2376" s="474">
        <v>72</v>
      </c>
      <c r="U2376" s="474">
        <v>49304156</v>
      </c>
      <c r="V2376" s="474" t="s">
        <v>1002</v>
      </c>
      <c r="W2376" s="476">
        <v>480</v>
      </c>
      <c r="X2376" s="402">
        <v>696</v>
      </c>
      <c r="Y2376" s="491">
        <f t="shared" si="420"/>
        <v>334080</v>
      </c>
      <c r="Z2376" s="478">
        <v>0.46</v>
      </c>
      <c r="AA2376" s="479">
        <f t="shared" si="421"/>
        <v>153676.80000000002</v>
      </c>
      <c r="AB2376" s="386"/>
      <c r="AC2376" s="481">
        <v>0</v>
      </c>
      <c r="AD2376" s="474"/>
      <c r="AE2376" s="482"/>
      <c r="AF2376" s="493">
        <f t="shared" si="422"/>
        <v>153676.80000000002</v>
      </c>
      <c r="AG2376" s="474" t="s">
        <v>47</v>
      </c>
      <c r="AH2376" s="447">
        <v>10</v>
      </c>
      <c r="AI2376" s="474">
        <v>30</v>
      </c>
      <c r="AJ2376" s="474" t="s">
        <v>1412</v>
      </c>
      <c r="AK2376" s="474" t="s">
        <v>50</v>
      </c>
      <c r="AL2376" s="494">
        <v>91710</v>
      </c>
      <c r="AM2376" s="474" t="s">
        <v>52</v>
      </c>
      <c r="AN2376" s="474" t="s">
        <v>1106</v>
      </c>
      <c r="AO2376" s="474"/>
      <c r="AP2376" s="474"/>
      <c r="AQ2376" s="474"/>
      <c r="AR2376" s="474"/>
      <c r="AS2376" s="387"/>
      <c r="AT2376" s="387" t="s">
        <v>1076</v>
      </c>
      <c r="AU2376" s="471"/>
      <c r="AV2376" s="262">
        <f t="shared" si="415"/>
        <v>49304156</v>
      </c>
      <c r="AW2376" s="262" cm="1">
        <f t="array" ref="AW2376">SUM(MID(0&amp;AV2376,LARGE(INDEX(ISNUMBER(--MID(AV2376,ROW($1:$8),1))*ROW($1:$8),),ROW($1:$8))+1,1)*10^ROW($1:$8)/10)</f>
        <v>49304156</v>
      </c>
      <c r="AX2376" s="262" t="str">
        <f>VLOOKUP($AW2376,'Item Master Data'!$A:$F,3,FALSE)</f>
        <v>Q.PEAK DUO XL G10</v>
      </c>
      <c r="AY2376" s="262">
        <f>VLOOKUP($AW2376,'Item Master Data'!$A:$F,6,FALSE)</f>
        <v>480</v>
      </c>
      <c r="AZ2376" s="262">
        <f t="shared" si="416"/>
        <v>24</v>
      </c>
      <c r="BA2376" s="262">
        <f>VLOOKUP(AW2376,'Item Master Data'!$A:$G,7,FALSE)</f>
        <v>29</v>
      </c>
      <c r="BC2376" s="262">
        <f t="shared" si="417"/>
        <v>0</v>
      </c>
    </row>
    <row r="2377" spans="1:55">
      <c r="A2377" s="410"/>
      <c r="B2377" s="407" t="s">
        <v>1211</v>
      </c>
      <c r="C2377" s="407" t="s">
        <v>1211</v>
      </c>
      <c r="D2377" s="474" t="s">
        <v>1066</v>
      </c>
      <c r="E2377" s="414" t="s">
        <v>1413</v>
      </c>
      <c r="F2377" s="474" t="s">
        <v>87</v>
      </c>
      <c r="G2377" s="474">
        <v>2022</v>
      </c>
      <c r="H2377" s="524">
        <v>3</v>
      </c>
      <c r="I2377" s="415">
        <v>127881</v>
      </c>
      <c r="J2377" s="538">
        <v>44651</v>
      </c>
      <c r="K2377" s="524" t="s">
        <v>1410</v>
      </c>
      <c r="L2377" s="538" t="s">
        <v>1411</v>
      </c>
      <c r="M2377" s="475">
        <v>44617</v>
      </c>
      <c r="N2377" s="475">
        <v>44621</v>
      </c>
      <c r="O2377" s="475"/>
      <c r="P2377" s="475">
        <v>44638</v>
      </c>
      <c r="Q2377" s="475">
        <v>44616</v>
      </c>
      <c r="R2377" s="475">
        <v>44650</v>
      </c>
      <c r="S2377" s="474" t="s">
        <v>1388</v>
      </c>
      <c r="T2377" s="474">
        <v>72</v>
      </c>
      <c r="U2377" s="474">
        <v>49304156</v>
      </c>
      <c r="V2377" s="474" t="s">
        <v>1002</v>
      </c>
      <c r="W2377" s="476">
        <v>480</v>
      </c>
      <c r="X2377" s="402">
        <v>58</v>
      </c>
      <c r="Y2377" s="491">
        <f t="shared" si="420"/>
        <v>27840</v>
      </c>
      <c r="Z2377" s="478">
        <v>0.46</v>
      </c>
      <c r="AA2377" s="479">
        <f t="shared" si="421"/>
        <v>12806.400000000001</v>
      </c>
      <c r="AB2377" s="386"/>
      <c r="AC2377" s="481">
        <v>0</v>
      </c>
      <c r="AD2377" s="474"/>
      <c r="AE2377" s="482"/>
      <c r="AF2377" s="493">
        <f t="shared" si="422"/>
        <v>12806.400000000001</v>
      </c>
      <c r="AG2377" s="474" t="s">
        <v>47</v>
      </c>
      <c r="AH2377" s="447">
        <v>10</v>
      </c>
      <c r="AI2377" s="474">
        <v>30</v>
      </c>
      <c r="AJ2377" s="474" t="s">
        <v>1412</v>
      </c>
      <c r="AK2377" s="474" t="s">
        <v>50</v>
      </c>
      <c r="AL2377" s="494">
        <v>91710</v>
      </c>
      <c r="AM2377" s="474" t="s">
        <v>52</v>
      </c>
      <c r="AN2377" s="474" t="s">
        <v>1106</v>
      </c>
      <c r="AO2377" s="474"/>
      <c r="AP2377" s="474"/>
      <c r="AQ2377" s="474"/>
      <c r="AR2377" s="474"/>
      <c r="AS2377" s="387"/>
      <c r="AT2377" s="387" t="s">
        <v>1076</v>
      </c>
      <c r="AU2377" s="471"/>
      <c r="AV2377" s="262">
        <f t="shared" si="415"/>
        <v>49304156</v>
      </c>
      <c r="AW2377" s="262" cm="1">
        <f t="array" ref="AW2377">SUM(MID(0&amp;AV2377,LARGE(INDEX(ISNUMBER(--MID(AV2377,ROW($1:$8),1))*ROW($1:$8),),ROW($1:$8))+1,1)*10^ROW($1:$8)/10)</f>
        <v>49304156</v>
      </c>
      <c r="AX2377" s="262" t="str">
        <f>VLOOKUP($AW2377,'Item Master Data'!$A:$F,3,FALSE)</f>
        <v>Q.PEAK DUO XL G10</v>
      </c>
      <c r="AY2377" s="262">
        <f>VLOOKUP($AW2377,'Item Master Data'!$A:$F,6,FALSE)</f>
        <v>480</v>
      </c>
      <c r="AZ2377" s="262">
        <f t="shared" si="416"/>
        <v>2</v>
      </c>
      <c r="BA2377" s="262">
        <f>VLOOKUP(AW2377,'Item Master Data'!$A:$G,7,FALSE)</f>
        <v>29</v>
      </c>
      <c r="BC2377" s="262">
        <f t="shared" si="417"/>
        <v>0</v>
      </c>
    </row>
    <row r="2378" spans="1:55">
      <c r="A2378" s="410"/>
      <c r="B2378" s="407"/>
      <c r="C2378" s="407"/>
      <c r="D2378" s="474" t="s">
        <v>1066</v>
      </c>
      <c r="E2378" s="414"/>
      <c r="F2378" s="474"/>
      <c r="G2378" s="474">
        <v>2022</v>
      </c>
      <c r="H2378" s="474">
        <v>5</v>
      </c>
      <c r="I2378" s="485"/>
      <c r="J2378" s="475"/>
      <c r="K2378" s="474" t="s">
        <v>1414</v>
      </c>
      <c r="L2378" s="475" t="s">
        <v>1415</v>
      </c>
      <c r="M2378" s="475">
        <v>44636</v>
      </c>
      <c r="N2378" s="475">
        <v>44651</v>
      </c>
      <c r="O2378" s="475"/>
      <c r="P2378" s="475">
        <v>44643</v>
      </c>
      <c r="Q2378" s="475">
        <v>44664</v>
      </c>
      <c r="R2378" s="475">
        <v>44680</v>
      </c>
      <c r="S2378" s="474" t="s">
        <v>1388</v>
      </c>
      <c r="T2378" s="474">
        <v>72</v>
      </c>
      <c r="U2378" s="474" t="s">
        <v>1082</v>
      </c>
      <c r="V2378" s="474" t="s">
        <v>1070</v>
      </c>
      <c r="W2378" s="476">
        <v>475</v>
      </c>
      <c r="X2378" s="402">
        <v>600</v>
      </c>
      <c r="Y2378" s="491">
        <f t="shared" si="420"/>
        <v>285000</v>
      </c>
      <c r="Z2378" s="478">
        <v>0.37</v>
      </c>
      <c r="AA2378" s="492">
        <f t="shared" ref="AA2378:AA2405" si="423">Z2378*Y2378</f>
        <v>105450</v>
      </c>
      <c r="AB2378" s="386"/>
      <c r="AC2378" s="481">
        <f t="shared" ref="AC2378:AC2405" si="424">AB2378*Y2378</f>
        <v>0</v>
      </c>
      <c r="AD2378" s="474"/>
      <c r="AE2378" s="482"/>
      <c r="AF2378" s="493">
        <f t="shared" si="422"/>
        <v>105450</v>
      </c>
      <c r="AG2378" s="474" t="s">
        <v>47</v>
      </c>
      <c r="AH2378" s="447">
        <v>10</v>
      </c>
      <c r="AI2378" s="474">
        <v>30</v>
      </c>
      <c r="AJ2378" s="474" t="s">
        <v>1416</v>
      </c>
      <c r="AK2378" s="474" t="s">
        <v>1417</v>
      </c>
      <c r="AL2378" s="494">
        <v>83201</v>
      </c>
      <c r="AM2378" s="474" t="s">
        <v>52</v>
      </c>
      <c r="AN2378" s="474" t="s">
        <v>1085</v>
      </c>
      <c r="AO2378" s="474"/>
      <c r="AP2378" s="474" t="s">
        <v>38</v>
      </c>
      <c r="AQ2378" s="474"/>
      <c r="AR2378" s="474"/>
      <c r="AS2378" s="387"/>
      <c r="AT2378" s="387"/>
      <c r="AU2378" s="471"/>
      <c r="AV2378" s="262" t="str">
        <f t="shared" si="415"/>
        <v>12005833C</v>
      </c>
      <c r="AW2378" s="262" cm="1">
        <f t="array" ref="AW2378">SUM(MID(0&amp;AV2378,LARGE(INDEX(ISNUMBER(--MID(AV2378,ROW($1:$8),1))*ROW($1:$8),),ROW($1:$8))+1,1)*10^ROW($1:$8)/10)</f>
        <v>12005833</v>
      </c>
      <c r="AX2378" s="262" t="str">
        <f>VLOOKUP($AW2378,'Item Master Data'!$A:$F,3,FALSE)</f>
        <v>Q.PEAK DUO XL G10 BFG</v>
      </c>
      <c r="AY2378" s="262">
        <f>VLOOKUP($AW2378,'Item Master Data'!$A:$F,6,FALSE)</f>
        <v>475</v>
      </c>
      <c r="AZ2378" s="262">
        <f t="shared" si="416"/>
        <v>20</v>
      </c>
      <c r="BA2378" s="262">
        <f>VLOOKUP(AW2378,'Item Master Data'!$A:$G,7,FALSE)</f>
        <v>30</v>
      </c>
      <c r="BC2378" s="262">
        <f t="shared" si="417"/>
        <v>0</v>
      </c>
    </row>
    <row r="2379" spans="1:55">
      <c r="A2379" s="410"/>
      <c r="B2379" s="407"/>
      <c r="C2379" s="407"/>
      <c r="D2379" s="474" t="s">
        <v>1066</v>
      </c>
      <c r="E2379" s="388"/>
      <c r="F2379" s="474"/>
      <c r="G2379" s="474">
        <v>2022</v>
      </c>
      <c r="H2379" s="474">
        <v>3</v>
      </c>
      <c r="I2379" s="485">
        <v>127893</v>
      </c>
      <c r="J2379" s="475">
        <v>44650</v>
      </c>
      <c r="K2379" s="474" t="s">
        <v>1414</v>
      </c>
      <c r="L2379" s="475" t="s">
        <v>1415</v>
      </c>
      <c r="M2379" s="475">
        <v>44636</v>
      </c>
      <c r="N2379" s="475">
        <v>44651</v>
      </c>
      <c r="O2379" s="475"/>
      <c r="P2379" s="475">
        <v>44644</v>
      </c>
      <c r="Q2379" s="475">
        <v>44644</v>
      </c>
      <c r="R2379" s="475">
        <v>44650</v>
      </c>
      <c r="S2379" s="474" t="s">
        <v>1388</v>
      </c>
      <c r="T2379" s="474">
        <v>72</v>
      </c>
      <c r="U2379" s="474" t="s">
        <v>1082</v>
      </c>
      <c r="V2379" s="474" t="s">
        <v>1070</v>
      </c>
      <c r="W2379" s="476">
        <v>475</v>
      </c>
      <c r="X2379" s="402">
        <v>16080</v>
      </c>
      <c r="Y2379" s="491">
        <f t="shared" si="420"/>
        <v>7638000</v>
      </c>
      <c r="Z2379" s="478">
        <v>0.37</v>
      </c>
      <c r="AA2379" s="492">
        <f t="shared" si="423"/>
        <v>2826060</v>
      </c>
      <c r="AB2379" s="386"/>
      <c r="AC2379" s="481">
        <f t="shared" si="424"/>
        <v>0</v>
      </c>
      <c r="AD2379" s="474"/>
      <c r="AE2379" s="482"/>
      <c r="AF2379" s="493">
        <f t="shared" si="422"/>
        <v>2826060</v>
      </c>
      <c r="AG2379" s="474" t="s">
        <v>47</v>
      </c>
      <c r="AH2379" s="447">
        <v>10</v>
      </c>
      <c r="AI2379" s="474">
        <v>30</v>
      </c>
      <c r="AJ2379" s="474" t="s">
        <v>1416</v>
      </c>
      <c r="AK2379" s="474" t="s">
        <v>1417</v>
      </c>
      <c r="AL2379" s="494">
        <v>83201</v>
      </c>
      <c r="AM2379" s="474" t="s">
        <v>52</v>
      </c>
      <c r="AN2379" s="474" t="s">
        <v>50</v>
      </c>
      <c r="AO2379" s="474"/>
      <c r="AP2379" s="474" t="s">
        <v>38</v>
      </c>
      <c r="AQ2379" s="474"/>
      <c r="AR2379" s="474"/>
      <c r="AS2379" s="387"/>
      <c r="AT2379" s="387"/>
      <c r="AU2379" s="471"/>
      <c r="AV2379" s="262" t="str">
        <f t="shared" si="415"/>
        <v>12005833C</v>
      </c>
      <c r="AW2379" s="262" cm="1">
        <f t="array" ref="AW2379">SUM(MID(0&amp;AV2379,LARGE(INDEX(ISNUMBER(--MID(AV2379,ROW($1:$8),1))*ROW($1:$8),),ROW($1:$8))+1,1)*10^ROW($1:$8)/10)</f>
        <v>12005833</v>
      </c>
      <c r="AX2379" s="262" t="str">
        <f>VLOOKUP($AW2379,'Item Master Data'!$A:$F,3,FALSE)</f>
        <v>Q.PEAK DUO XL G10 BFG</v>
      </c>
      <c r="AY2379" s="262">
        <f>VLOOKUP($AW2379,'Item Master Data'!$A:$F,6,FALSE)</f>
        <v>475</v>
      </c>
      <c r="AZ2379" s="262">
        <f t="shared" si="416"/>
        <v>536</v>
      </c>
      <c r="BA2379" s="262">
        <f>VLOOKUP(AW2379,'Item Master Data'!$A:$G,7,FALSE)</f>
        <v>30</v>
      </c>
      <c r="BC2379" s="262">
        <f t="shared" si="417"/>
        <v>0</v>
      </c>
    </row>
    <row r="2380" spans="1:55">
      <c r="A2380" s="410"/>
      <c r="B2380" s="407"/>
      <c r="C2380" s="407"/>
      <c r="D2380" s="474" t="s">
        <v>1066</v>
      </c>
      <c r="E2380" s="388"/>
      <c r="F2380" s="474"/>
      <c r="G2380" s="474">
        <v>2022</v>
      </c>
      <c r="H2380" s="474">
        <v>3</v>
      </c>
      <c r="I2380" s="485">
        <v>127893</v>
      </c>
      <c r="J2380" s="475">
        <v>44650</v>
      </c>
      <c r="K2380" s="474" t="s">
        <v>1414</v>
      </c>
      <c r="L2380" s="475" t="s">
        <v>1415</v>
      </c>
      <c r="M2380" s="475">
        <v>44636</v>
      </c>
      <c r="N2380" s="475">
        <v>44651</v>
      </c>
      <c r="O2380" s="475"/>
      <c r="P2380" s="475">
        <v>44644</v>
      </c>
      <c r="Q2380" s="475">
        <v>44644</v>
      </c>
      <c r="R2380" s="475">
        <v>44650</v>
      </c>
      <c r="S2380" s="474" t="s">
        <v>1388</v>
      </c>
      <c r="T2380" s="474">
        <v>72</v>
      </c>
      <c r="U2380" s="474" t="s">
        <v>1389</v>
      </c>
      <c r="V2380" s="474" t="s">
        <v>1070</v>
      </c>
      <c r="W2380" s="476">
        <v>475</v>
      </c>
      <c r="X2380" s="402">
        <v>600</v>
      </c>
      <c r="Y2380" s="491">
        <f t="shared" si="420"/>
        <v>285000</v>
      </c>
      <c r="Z2380" s="478">
        <v>0.37</v>
      </c>
      <c r="AA2380" s="492">
        <f t="shared" si="423"/>
        <v>105450</v>
      </c>
      <c r="AB2380" s="386"/>
      <c r="AC2380" s="481">
        <f t="shared" si="424"/>
        <v>0</v>
      </c>
      <c r="AD2380" s="474"/>
      <c r="AE2380" s="482"/>
      <c r="AF2380" s="493">
        <f t="shared" si="422"/>
        <v>105450</v>
      </c>
      <c r="AG2380" s="474" t="s">
        <v>47</v>
      </c>
      <c r="AH2380" s="447">
        <v>10</v>
      </c>
      <c r="AI2380" s="474">
        <v>30</v>
      </c>
      <c r="AJ2380" s="474" t="s">
        <v>1416</v>
      </c>
      <c r="AK2380" s="474" t="s">
        <v>1417</v>
      </c>
      <c r="AL2380" s="494">
        <v>83201</v>
      </c>
      <c r="AM2380" s="474" t="s">
        <v>52</v>
      </c>
      <c r="AN2380" s="474" t="s">
        <v>50</v>
      </c>
      <c r="AO2380" s="474"/>
      <c r="AP2380" s="474" t="s">
        <v>38</v>
      </c>
      <c r="AQ2380" s="474"/>
      <c r="AR2380" s="474"/>
      <c r="AS2380" s="387"/>
      <c r="AT2380" s="387"/>
      <c r="AU2380" s="471"/>
      <c r="AV2380" s="262" t="str">
        <f t="shared" si="415"/>
        <v>12005833F</v>
      </c>
      <c r="AW2380" s="262" cm="1">
        <f t="array" ref="AW2380">SUM(MID(0&amp;AV2380,LARGE(INDEX(ISNUMBER(--MID(AV2380,ROW($1:$8),1))*ROW($1:$8),),ROW($1:$8))+1,1)*10^ROW($1:$8)/10)</f>
        <v>12005833</v>
      </c>
      <c r="AX2380" s="262" t="str">
        <f>VLOOKUP($AW2380,'Item Master Data'!$A:$F,3,FALSE)</f>
        <v>Q.PEAK DUO XL G10 BFG</v>
      </c>
      <c r="AY2380" s="262">
        <f>VLOOKUP($AW2380,'Item Master Data'!$A:$F,6,FALSE)</f>
        <v>475</v>
      </c>
      <c r="AZ2380" s="262">
        <f t="shared" si="416"/>
        <v>20</v>
      </c>
      <c r="BA2380" s="262">
        <f>VLOOKUP(AW2380,'Item Master Data'!$A:$G,7,FALSE)</f>
        <v>30</v>
      </c>
      <c r="BC2380" s="262">
        <f t="shared" si="417"/>
        <v>0</v>
      </c>
    </row>
    <row r="2381" spans="1:55">
      <c r="A2381" s="410"/>
      <c r="B2381" s="407"/>
      <c r="C2381" s="407"/>
      <c r="D2381" s="474" t="s">
        <v>1066</v>
      </c>
      <c r="E2381" s="388"/>
      <c r="F2381" s="474"/>
      <c r="G2381" s="474">
        <v>2022</v>
      </c>
      <c r="H2381" s="474">
        <v>3</v>
      </c>
      <c r="I2381" s="485">
        <v>127893</v>
      </c>
      <c r="J2381" s="475">
        <v>44650</v>
      </c>
      <c r="K2381" s="474" t="s">
        <v>1414</v>
      </c>
      <c r="L2381" s="475" t="s">
        <v>1415</v>
      </c>
      <c r="M2381" s="475">
        <v>44636</v>
      </c>
      <c r="N2381" s="475">
        <v>44651</v>
      </c>
      <c r="O2381" s="475"/>
      <c r="P2381" s="475">
        <v>44644</v>
      </c>
      <c r="Q2381" s="475">
        <v>44644</v>
      </c>
      <c r="R2381" s="475">
        <v>44650</v>
      </c>
      <c r="S2381" s="474" t="s">
        <v>1388</v>
      </c>
      <c r="T2381" s="474">
        <v>72</v>
      </c>
      <c r="U2381" s="474" t="s">
        <v>1389</v>
      </c>
      <c r="V2381" s="474" t="s">
        <v>1070</v>
      </c>
      <c r="W2381" s="476">
        <v>475</v>
      </c>
      <c r="X2381" s="402">
        <v>4800</v>
      </c>
      <c r="Y2381" s="491">
        <f t="shared" si="420"/>
        <v>2280000</v>
      </c>
      <c r="Z2381" s="478">
        <v>0.37</v>
      </c>
      <c r="AA2381" s="492">
        <f t="shared" si="423"/>
        <v>843600</v>
      </c>
      <c r="AB2381" s="386"/>
      <c r="AC2381" s="481">
        <f t="shared" si="424"/>
        <v>0</v>
      </c>
      <c r="AD2381" s="474"/>
      <c r="AE2381" s="482"/>
      <c r="AF2381" s="493">
        <f t="shared" si="422"/>
        <v>843600</v>
      </c>
      <c r="AG2381" s="474" t="s">
        <v>47</v>
      </c>
      <c r="AH2381" s="447">
        <v>10</v>
      </c>
      <c r="AI2381" s="474">
        <v>30</v>
      </c>
      <c r="AJ2381" s="474" t="s">
        <v>1416</v>
      </c>
      <c r="AK2381" s="474" t="s">
        <v>1417</v>
      </c>
      <c r="AL2381" s="494">
        <v>83201</v>
      </c>
      <c r="AM2381" s="474" t="s">
        <v>52</v>
      </c>
      <c r="AN2381" s="474" t="s">
        <v>50</v>
      </c>
      <c r="AO2381" s="474"/>
      <c r="AP2381" s="474" t="s">
        <v>38</v>
      </c>
      <c r="AQ2381" s="474"/>
      <c r="AR2381" s="474"/>
      <c r="AS2381" s="387"/>
      <c r="AT2381" s="387"/>
      <c r="AU2381" s="471"/>
      <c r="AV2381" s="262" t="str">
        <f t="shared" si="415"/>
        <v>12005833F</v>
      </c>
      <c r="AW2381" s="262" cm="1">
        <f t="array" ref="AW2381">SUM(MID(0&amp;AV2381,LARGE(INDEX(ISNUMBER(--MID(AV2381,ROW($1:$8),1))*ROW($1:$8),),ROW($1:$8))+1,1)*10^ROW($1:$8)/10)</f>
        <v>12005833</v>
      </c>
      <c r="AX2381" s="262" t="str">
        <f>VLOOKUP($AW2381,'Item Master Data'!$A:$F,3,FALSE)</f>
        <v>Q.PEAK DUO XL G10 BFG</v>
      </c>
      <c r="AY2381" s="262">
        <f>VLOOKUP($AW2381,'Item Master Data'!$A:$F,6,FALSE)</f>
        <v>475</v>
      </c>
      <c r="AZ2381" s="262">
        <f t="shared" si="416"/>
        <v>160</v>
      </c>
      <c r="BA2381" s="262">
        <f>VLOOKUP(AW2381,'Item Master Data'!$A:$G,7,FALSE)</f>
        <v>30</v>
      </c>
      <c r="BC2381" s="262">
        <f t="shared" si="417"/>
        <v>0</v>
      </c>
    </row>
    <row r="2382" spans="1:55">
      <c r="A2382" s="410"/>
      <c r="B2382" s="407"/>
      <c r="C2382" s="407"/>
      <c r="D2382" s="474" t="s">
        <v>1066</v>
      </c>
      <c r="E2382" s="388"/>
      <c r="F2382" s="474"/>
      <c r="G2382" s="474">
        <v>2022</v>
      </c>
      <c r="H2382" s="474">
        <v>4</v>
      </c>
      <c r="I2382" s="485"/>
      <c r="J2382" s="475" t="s">
        <v>5191</v>
      </c>
      <c r="K2382" s="474" t="s">
        <v>1414</v>
      </c>
      <c r="L2382" s="475" t="s">
        <v>1415</v>
      </c>
      <c r="M2382" s="475">
        <v>44636</v>
      </c>
      <c r="N2382" s="475">
        <v>44651</v>
      </c>
      <c r="O2382" s="475"/>
      <c r="P2382" s="475">
        <v>44643</v>
      </c>
      <c r="Q2382" s="475">
        <v>44644</v>
      </c>
      <c r="R2382" s="475">
        <v>44670</v>
      </c>
      <c r="S2382" s="474" t="s">
        <v>1388</v>
      </c>
      <c r="T2382" s="474">
        <v>72</v>
      </c>
      <c r="U2382" s="474" t="s">
        <v>1082</v>
      </c>
      <c r="V2382" s="474" t="s">
        <v>1070</v>
      </c>
      <c r="W2382" s="476">
        <v>475</v>
      </c>
      <c r="X2382" s="402">
        <v>15600</v>
      </c>
      <c r="Y2382" s="491">
        <f t="shared" si="420"/>
        <v>7410000</v>
      </c>
      <c r="Z2382" s="478">
        <v>0.37</v>
      </c>
      <c r="AA2382" s="492">
        <f t="shared" si="423"/>
        <v>2741700</v>
      </c>
      <c r="AB2382" s="386"/>
      <c r="AC2382" s="481">
        <f t="shared" si="424"/>
        <v>0</v>
      </c>
      <c r="AD2382" s="474"/>
      <c r="AE2382" s="482"/>
      <c r="AF2382" s="493">
        <f t="shared" si="422"/>
        <v>2741700</v>
      </c>
      <c r="AG2382" s="474" t="s">
        <v>47</v>
      </c>
      <c r="AH2382" s="447">
        <v>10</v>
      </c>
      <c r="AI2382" s="474">
        <v>30</v>
      </c>
      <c r="AJ2382" s="474" t="s">
        <v>1416</v>
      </c>
      <c r="AK2382" s="474" t="s">
        <v>1417</v>
      </c>
      <c r="AL2382" s="494">
        <v>83201</v>
      </c>
      <c r="AM2382" s="474" t="s">
        <v>52</v>
      </c>
      <c r="AN2382" s="474" t="s">
        <v>50</v>
      </c>
      <c r="AO2382" s="474"/>
      <c r="AP2382" s="474" t="s">
        <v>38</v>
      </c>
      <c r="AQ2382" s="474"/>
      <c r="AR2382" s="474"/>
      <c r="AS2382" s="387"/>
      <c r="AT2382" s="387"/>
      <c r="AU2382" s="471"/>
    </row>
    <row r="2383" spans="1:55">
      <c r="A2383" s="410"/>
      <c r="B2383" s="407"/>
      <c r="C2383" s="407"/>
      <c r="D2383" s="474" t="s">
        <v>1066</v>
      </c>
      <c r="E2383" s="388"/>
      <c r="F2383" s="474"/>
      <c r="G2383" s="474">
        <v>2022</v>
      </c>
      <c r="H2383" s="474">
        <v>4</v>
      </c>
      <c r="I2383" s="485"/>
      <c r="J2383" s="475" t="s">
        <v>5191</v>
      </c>
      <c r="K2383" s="474" t="s">
        <v>1414</v>
      </c>
      <c r="L2383" s="475" t="s">
        <v>1415</v>
      </c>
      <c r="M2383" s="475">
        <v>44636</v>
      </c>
      <c r="N2383" s="475">
        <v>44651</v>
      </c>
      <c r="O2383" s="475"/>
      <c r="P2383" s="475">
        <v>44643</v>
      </c>
      <c r="Q2383" s="475">
        <v>44645</v>
      </c>
      <c r="R2383" s="475">
        <v>44655</v>
      </c>
      <c r="S2383" s="474" t="s">
        <v>1388</v>
      </c>
      <c r="T2383" s="474">
        <v>72</v>
      </c>
      <c r="U2383" s="474" t="s">
        <v>1082</v>
      </c>
      <c r="V2383" s="474" t="s">
        <v>1070</v>
      </c>
      <c r="W2383" s="476">
        <v>475</v>
      </c>
      <c r="X2383" s="402">
        <v>330</v>
      </c>
      <c r="Y2383" s="491">
        <f t="shared" si="420"/>
        <v>156750</v>
      </c>
      <c r="Z2383" s="478">
        <v>0.37</v>
      </c>
      <c r="AA2383" s="492">
        <f t="shared" si="423"/>
        <v>57997.5</v>
      </c>
      <c r="AB2383" s="386"/>
      <c r="AC2383" s="481">
        <f t="shared" si="424"/>
        <v>0</v>
      </c>
      <c r="AD2383" s="474"/>
      <c r="AE2383" s="482"/>
      <c r="AF2383" s="493">
        <f t="shared" si="422"/>
        <v>57997.5</v>
      </c>
      <c r="AG2383" s="474" t="s">
        <v>47</v>
      </c>
      <c r="AH2383" s="447">
        <v>10</v>
      </c>
      <c r="AI2383" s="474">
        <v>30</v>
      </c>
      <c r="AJ2383" s="474" t="s">
        <v>1416</v>
      </c>
      <c r="AK2383" s="474" t="s">
        <v>1417</v>
      </c>
      <c r="AL2383" s="494">
        <v>83201</v>
      </c>
      <c r="AM2383" s="474" t="s">
        <v>52</v>
      </c>
      <c r="AN2383" s="474" t="s">
        <v>50</v>
      </c>
      <c r="AO2383" s="474"/>
      <c r="AP2383" s="474" t="s">
        <v>38</v>
      </c>
      <c r="AQ2383" s="474"/>
      <c r="AR2383" s="474"/>
      <c r="AS2383" s="387"/>
      <c r="AT2383" s="387"/>
      <c r="AU2383" s="471"/>
    </row>
    <row r="2384" spans="1:55">
      <c r="A2384" s="410"/>
      <c r="B2384" s="407"/>
      <c r="C2384" s="407"/>
      <c r="D2384" s="474" t="s">
        <v>1066</v>
      </c>
      <c r="E2384" s="388"/>
      <c r="F2384" s="474" t="s">
        <v>1077</v>
      </c>
      <c r="G2384" s="474">
        <v>2022</v>
      </c>
      <c r="H2384" s="474">
        <v>4</v>
      </c>
      <c r="I2384" s="485" t="s">
        <v>3023</v>
      </c>
      <c r="J2384" s="475">
        <v>44677</v>
      </c>
      <c r="K2384" s="474" t="s">
        <v>1443</v>
      </c>
      <c r="L2384" s="475" t="s">
        <v>1444</v>
      </c>
      <c r="M2384" s="475">
        <v>44656</v>
      </c>
      <c r="N2384" s="475">
        <v>44669</v>
      </c>
      <c r="O2384" s="475"/>
      <c r="P2384" s="475">
        <v>44670</v>
      </c>
      <c r="Q2384" s="475">
        <v>44677</v>
      </c>
      <c r="R2384" s="475">
        <v>44678</v>
      </c>
      <c r="S2384" s="474" t="s">
        <v>1114</v>
      </c>
      <c r="T2384" s="474">
        <v>72</v>
      </c>
      <c r="U2384" s="474">
        <v>49303155</v>
      </c>
      <c r="V2384" s="474" t="s">
        <v>1070</v>
      </c>
      <c r="W2384" s="476">
        <v>475</v>
      </c>
      <c r="X2384" s="402">
        <v>580</v>
      </c>
      <c r="Y2384" s="491">
        <f t="shared" si="420"/>
        <v>275500</v>
      </c>
      <c r="Z2384" s="478">
        <v>0.51500000000000001</v>
      </c>
      <c r="AA2384" s="492">
        <f t="shared" si="423"/>
        <v>141882.5</v>
      </c>
      <c r="AB2384" s="386"/>
      <c r="AC2384" s="481">
        <f t="shared" si="424"/>
        <v>0</v>
      </c>
      <c r="AD2384" s="474"/>
      <c r="AE2384" s="482"/>
      <c r="AF2384" s="493">
        <f t="shared" si="422"/>
        <v>141882.5</v>
      </c>
      <c r="AG2384" s="474" t="s">
        <v>1071</v>
      </c>
      <c r="AH2384" s="447">
        <v>50</v>
      </c>
      <c r="AI2384" s="474">
        <v>30</v>
      </c>
      <c r="AJ2384" s="474" t="s">
        <v>1446</v>
      </c>
      <c r="AK2384" s="474" t="s">
        <v>1117</v>
      </c>
      <c r="AL2384" s="494">
        <v>62246</v>
      </c>
      <c r="AM2384" s="474" t="s">
        <v>52</v>
      </c>
      <c r="AN2384" s="474" t="s">
        <v>1106</v>
      </c>
      <c r="AO2384" s="474"/>
      <c r="AP2384" s="474"/>
      <c r="AQ2384" s="474" t="s">
        <v>1086</v>
      </c>
      <c r="AR2384" s="474"/>
      <c r="AS2384" s="387" t="s">
        <v>1087</v>
      </c>
      <c r="AT2384" s="387" t="s">
        <v>1076</v>
      </c>
      <c r="AU2384" s="471"/>
    </row>
    <row r="2385" spans="1:47">
      <c r="A2385" s="410"/>
      <c r="B2385" s="407"/>
      <c r="C2385" s="407"/>
      <c r="D2385" s="474" t="s">
        <v>1066</v>
      </c>
      <c r="E2385" s="388"/>
      <c r="F2385" s="474" t="s">
        <v>1077</v>
      </c>
      <c r="G2385" s="474">
        <v>2022</v>
      </c>
      <c r="H2385" s="474">
        <v>4</v>
      </c>
      <c r="I2385" s="485" t="s">
        <v>5419</v>
      </c>
      <c r="J2385" s="475"/>
      <c r="K2385" s="519" t="s">
        <v>1481</v>
      </c>
      <c r="L2385" s="521" t="s">
        <v>1478</v>
      </c>
      <c r="M2385" s="521">
        <v>44532</v>
      </c>
      <c r="N2385" s="521">
        <v>44621</v>
      </c>
      <c r="O2385" s="521"/>
      <c r="P2385" s="521">
        <v>44671</v>
      </c>
      <c r="Q2385" s="521">
        <v>44677</v>
      </c>
      <c r="R2385" s="521">
        <v>44679</v>
      </c>
      <c r="S2385" s="519" t="s">
        <v>1114</v>
      </c>
      <c r="T2385" s="519">
        <v>72</v>
      </c>
      <c r="U2385" s="519">
        <v>49303156</v>
      </c>
      <c r="V2385" s="519" t="s">
        <v>1226</v>
      </c>
      <c r="W2385" s="522">
        <v>480</v>
      </c>
      <c r="X2385" s="411">
        <f>5017-551-638</f>
        <v>3828</v>
      </c>
      <c r="Y2385" s="470">
        <f t="shared" si="420"/>
        <v>1837440</v>
      </c>
      <c r="Z2385" s="478">
        <v>0.44500000000000001</v>
      </c>
      <c r="AA2385" s="479">
        <f t="shared" si="423"/>
        <v>817660.8</v>
      </c>
      <c r="AB2385" s="386"/>
      <c r="AC2385" s="481">
        <f t="shared" si="424"/>
        <v>0</v>
      </c>
      <c r="AD2385" s="474"/>
      <c r="AE2385" s="482"/>
      <c r="AF2385" s="493">
        <f t="shared" si="422"/>
        <v>817660.8</v>
      </c>
      <c r="AG2385" s="474" t="s">
        <v>47</v>
      </c>
      <c r="AH2385" s="447">
        <v>10</v>
      </c>
      <c r="AI2385" s="474">
        <v>30</v>
      </c>
      <c r="AJ2385" s="474" t="s">
        <v>1482</v>
      </c>
      <c r="AK2385" s="474" t="s">
        <v>1244</v>
      </c>
      <c r="AL2385" s="494">
        <v>46933</v>
      </c>
      <c r="AM2385" s="474" t="s">
        <v>52</v>
      </c>
      <c r="AN2385" s="474" t="s">
        <v>1074</v>
      </c>
      <c r="AO2385" s="474"/>
      <c r="AP2385" s="474"/>
      <c r="AQ2385" s="474" t="s">
        <v>1086</v>
      </c>
      <c r="AR2385" s="474"/>
      <c r="AS2385" s="387" t="s">
        <v>1076</v>
      </c>
      <c r="AT2385" s="387" t="s">
        <v>1076</v>
      </c>
      <c r="AU2385" s="471"/>
    </row>
    <row r="2386" spans="1:47">
      <c r="A2386" s="410"/>
      <c r="B2386" s="407"/>
      <c r="C2386" s="407"/>
      <c r="D2386" s="474" t="s">
        <v>1066</v>
      </c>
      <c r="E2386" s="388"/>
      <c r="F2386" s="474" t="s">
        <v>1077</v>
      </c>
      <c r="G2386" s="474">
        <v>2022</v>
      </c>
      <c r="H2386" s="474">
        <v>4</v>
      </c>
      <c r="I2386" s="485" t="s">
        <v>5419</v>
      </c>
      <c r="J2386" s="475"/>
      <c r="K2386" s="519" t="s">
        <v>1485</v>
      </c>
      <c r="L2386" s="521" t="s">
        <v>1478</v>
      </c>
      <c r="M2386" s="521">
        <v>44532</v>
      </c>
      <c r="N2386" s="521">
        <v>44652</v>
      </c>
      <c r="O2386" s="521"/>
      <c r="P2386" s="521">
        <v>44671</v>
      </c>
      <c r="Q2386" s="521">
        <v>44677</v>
      </c>
      <c r="R2386" s="521">
        <v>44681</v>
      </c>
      <c r="S2386" s="519" t="s">
        <v>1114</v>
      </c>
      <c r="T2386" s="519">
        <v>72</v>
      </c>
      <c r="U2386" s="519">
        <v>49303156</v>
      </c>
      <c r="V2386" s="519" t="s">
        <v>1226</v>
      </c>
      <c r="W2386" s="522">
        <v>480</v>
      </c>
      <c r="X2386" s="411">
        <f>14007-609</f>
        <v>13398</v>
      </c>
      <c r="Y2386" s="470">
        <f t="shared" si="420"/>
        <v>6431040</v>
      </c>
      <c r="Z2386" s="478">
        <v>0.44500000000000001</v>
      </c>
      <c r="AA2386" s="479">
        <f t="shared" si="423"/>
        <v>2861812.8</v>
      </c>
      <c r="AB2386" s="386"/>
      <c r="AC2386" s="481">
        <f t="shared" si="424"/>
        <v>0</v>
      </c>
      <c r="AD2386" s="474"/>
      <c r="AE2386" s="482"/>
      <c r="AF2386" s="493">
        <f t="shared" si="422"/>
        <v>2861812.8</v>
      </c>
      <c r="AG2386" s="474" t="s">
        <v>47</v>
      </c>
      <c r="AH2386" s="447">
        <v>10</v>
      </c>
      <c r="AI2386" s="474">
        <v>30</v>
      </c>
      <c r="AJ2386" s="474" t="s">
        <v>1374</v>
      </c>
      <c r="AK2386" s="474" t="s">
        <v>1244</v>
      </c>
      <c r="AL2386" s="494">
        <v>47374</v>
      </c>
      <c r="AM2386" s="474" t="s">
        <v>52</v>
      </c>
      <c r="AN2386" s="474" t="s">
        <v>1074</v>
      </c>
      <c r="AO2386" s="474"/>
      <c r="AP2386" s="474"/>
      <c r="AQ2386" s="474" t="s">
        <v>1086</v>
      </c>
      <c r="AR2386" s="474"/>
      <c r="AS2386" s="387" t="s">
        <v>1076</v>
      </c>
      <c r="AT2386" s="387" t="s">
        <v>1076</v>
      </c>
      <c r="AU2386" s="471"/>
    </row>
    <row r="2387" spans="1:47">
      <c r="A2387" s="410"/>
      <c r="B2387" s="407"/>
      <c r="C2387" s="407"/>
      <c r="D2387" s="474" t="s">
        <v>1066</v>
      </c>
      <c r="E2387" s="388" t="s">
        <v>5279</v>
      </c>
      <c r="F2387" s="474"/>
      <c r="G2387" s="474">
        <v>2022</v>
      </c>
      <c r="H2387" s="474">
        <v>8</v>
      </c>
      <c r="I2387" s="485"/>
      <c r="J2387" s="475"/>
      <c r="K2387" s="474" t="s">
        <v>1263</v>
      </c>
      <c r="L2387" s="475" t="s">
        <v>1242</v>
      </c>
      <c r="M2387" s="475">
        <v>44641</v>
      </c>
      <c r="N2387" s="475">
        <v>44774</v>
      </c>
      <c r="O2387" s="475"/>
      <c r="P2387" s="475"/>
      <c r="Q2387" s="475"/>
      <c r="R2387" s="475"/>
      <c r="S2387" s="474" t="s">
        <v>1114</v>
      </c>
      <c r="T2387" s="474">
        <v>72</v>
      </c>
      <c r="U2387" s="474"/>
      <c r="V2387" s="474" t="s">
        <v>1070</v>
      </c>
      <c r="W2387" s="476">
        <v>480</v>
      </c>
      <c r="X2387" s="402">
        <v>1740</v>
      </c>
      <c r="Y2387" s="491">
        <f t="shared" si="420"/>
        <v>835200</v>
      </c>
      <c r="Z2387" s="478">
        <v>0.505</v>
      </c>
      <c r="AA2387" s="479">
        <f t="shared" si="423"/>
        <v>421776</v>
      </c>
      <c r="AB2387" s="386"/>
      <c r="AC2387" s="481">
        <f t="shared" si="424"/>
        <v>0</v>
      </c>
      <c r="AD2387" s="474"/>
      <c r="AE2387" s="482"/>
      <c r="AF2387" s="493">
        <f t="shared" si="422"/>
        <v>421776</v>
      </c>
      <c r="AG2387" s="474" t="s">
        <v>1071</v>
      </c>
      <c r="AH2387" s="447">
        <v>0</v>
      </c>
      <c r="AI2387" s="474">
        <v>60</v>
      </c>
      <c r="AJ2387" s="474" t="s">
        <v>1243</v>
      </c>
      <c r="AK2387" s="474" t="s">
        <v>1244</v>
      </c>
      <c r="AL2387" s="494" t="s">
        <v>1245</v>
      </c>
      <c r="AM2387" s="474" t="s">
        <v>52</v>
      </c>
      <c r="AN2387" s="474" t="s">
        <v>1085</v>
      </c>
      <c r="AO2387" s="474"/>
      <c r="AP2387" s="474" t="s">
        <v>38</v>
      </c>
      <c r="AQ2387" s="474" t="s">
        <v>1086</v>
      </c>
      <c r="AR2387" s="474"/>
      <c r="AS2387" s="387" t="s">
        <v>1076</v>
      </c>
      <c r="AT2387" s="387" t="s">
        <v>1076</v>
      </c>
      <c r="AU2387" s="471"/>
    </row>
    <row r="2388" spans="1:47">
      <c r="A2388" s="410"/>
      <c r="B2388" s="407"/>
      <c r="C2388" s="407"/>
      <c r="D2388" s="474" t="s">
        <v>1066</v>
      </c>
      <c r="E2388" s="388"/>
      <c r="F2388" s="474" t="s">
        <v>1077</v>
      </c>
      <c r="G2388" s="474">
        <v>2022</v>
      </c>
      <c r="H2388" s="474">
        <v>8</v>
      </c>
      <c r="I2388" s="485" t="s">
        <v>1091</v>
      </c>
      <c r="J2388" s="475"/>
      <c r="K2388" s="474" t="s">
        <v>1477</v>
      </c>
      <c r="L2388" s="475" t="s">
        <v>1478</v>
      </c>
      <c r="M2388" s="475">
        <v>44532</v>
      </c>
      <c r="N2388" s="475">
        <v>44682</v>
      </c>
      <c r="O2388" s="475"/>
      <c r="P2388" s="475"/>
      <c r="Q2388" s="475"/>
      <c r="R2388" s="475"/>
      <c r="S2388" s="474" t="s">
        <v>1114</v>
      </c>
      <c r="T2388" s="474">
        <v>72</v>
      </c>
      <c r="U2388" s="474" t="s">
        <v>1479</v>
      </c>
      <c r="V2388" s="474" t="s">
        <v>1226</v>
      </c>
      <c r="W2388" s="476">
        <v>480</v>
      </c>
      <c r="X2388" s="402">
        <v>3741</v>
      </c>
      <c r="Y2388" s="491">
        <f t="shared" si="420"/>
        <v>1795680</v>
      </c>
      <c r="Z2388" s="478">
        <v>0.44500000000000001</v>
      </c>
      <c r="AA2388" s="479">
        <f t="shared" si="423"/>
        <v>799077.6</v>
      </c>
      <c r="AB2388" s="386"/>
      <c r="AC2388" s="481">
        <f t="shared" si="424"/>
        <v>0</v>
      </c>
      <c r="AD2388" s="474"/>
      <c r="AE2388" s="482"/>
      <c r="AF2388" s="493">
        <f t="shared" si="422"/>
        <v>799077.6</v>
      </c>
      <c r="AG2388" s="474" t="s">
        <v>47</v>
      </c>
      <c r="AH2388" s="447">
        <v>10</v>
      </c>
      <c r="AI2388" s="474">
        <v>30</v>
      </c>
      <c r="AJ2388" s="474" t="s">
        <v>1480</v>
      </c>
      <c r="AK2388" s="474" t="s">
        <v>1244</v>
      </c>
      <c r="AL2388" s="494">
        <v>46148</v>
      </c>
      <c r="AM2388" s="474" t="s">
        <v>52</v>
      </c>
      <c r="AN2388" s="474" t="s">
        <v>1085</v>
      </c>
      <c r="AO2388" s="474"/>
      <c r="AP2388" s="474" t="s">
        <v>38</v>
      </c>
      <c r="AQ2388" s="474" t="s">
        <v>1086</v>
      </c>
      <c r="AR2388" s="474"/>
      <c r="AS2388" s="387" t="s">
        <v>1076</v>
      </c>
      <c r="AT2388" s="387" t="s">
        <v>1076</v>
      </c>
      <c r="AU2388" s="471"/>
    </row>
    <row r="2389" spans="1:47">
      <c r="A2389" s="410"/>
      <c r="B2389" s="407"/>
      <c r="C2389" s="407"/>
      <c r="D2389" s="474" t="s">
        <v>1066</v>
      </c>
      <c r="E2389" s="414"/>
      <c r="F2389" s="474"/>
      <c r="G2389" s="474">
        <v>2022</v>
      </c>
      <c r="H2389" s="474">
        <v>6</v>
      </c>
      <c r="I2389" s="485">
        <v>2005190</v>
      </c>
      <c r="J2389" s="475"/>
      <c r="K2389" s="474" t="s">
        <v>1414</v>
      </c>
      <c r="L2389" s="475" t="s">
        <v>1415</v>
      </c>
      <c r="M2389" s="475">
        <v>44636</v>
      </c>
      <c r="N2389" s="475">
        <v>44713</v>
      </c>
      <c r="O2389" s="475"/>
      <c r="P2389" s="475"/>
      <c r="Q2389" s="475"/>
      <c r="R2389" s="475"/>
      <c r="S2389" s="474" t="s">
        <v>1388</v>
      </c>
      <c r="T2389" s="474">
        <v>72</v>
      </c>
      <c r="U2389" s="474" t="s">
        <v>1156</v>
      </c>
      <c r="V2389" s="474" t="s">
        <v>1070</v>
      </c>
      <c r="W2389" s="476">
        <v>475</v>
      </c>
      <c r="X2389" s="402">
        <f>98970-77910</f>
        <v>21060</v>
      </c>
      <c r="Y2389" s="491">
        <f t="shared" si="420"/>
        <v>10003500</v>
      </c>
      <c r="Z2389" s="478">
        <v>0.45</v>
      </c>
      <c r="AA2389" s="492">
        <f t="shared" si="423"/>
        <v>4501575</v>
      </c>
      <c r="AB2389" s="386"/>
      <c r="AC2389" s="481">
        <f t="shared" si="424"/>
        <v>0</v>
      </c>
      <c r="AD2389" s="474"/>
      <c r="AE2389" s="482"/>
      <c r="AF2389" s="493">
        <f t="shared" si="422"/>
        <v>4501575</v>
      </c>
      <c r="AG2389" s="474" t="s">
        <v>47</v>
      </c>
      <c r="AH2389" s="447">
        <v>10</v>
      </c>
      <c r="AI2389" s="474">
        <v>30</v>
      </c>
      <c r="AJ2389" s="474" t="s">
        <v>1416</v>
      </c>
      <c r="AK2389" s="474" t="s">
        <v>1417</v>
      </c>
      <c r="AL2389" s="494">
        <v>83201</v>
      </c>
      <c r="AM2389" s="474" t="s">
        <v>52</v>
      </c>
      <c r="AN2389" s="474" t="s">
        <v>1085</v>
      </c>
      <c r="AO2389" s="474"/>
      <c r="AP2389" s="474" t="s">
        <v>38</v>
      </c>
      <c r="AQ2389" s="474"/>
      <c r="AR2389" s="474"/>
      <c r="AS2389" s="387"/>
      <c r="AT2389" s="387"/>
      <c r="AU2389" s="471"/>
    </row>
    <row r="2390" spans="1:47">
      <c r="A2390" s="410"/>
      <c r="B2390" s="407"/>
      <c r="C2390" s="407"/>
      <c r="D2390" s="474" t="s">
        <v>1066</v>
      </c>
      <c r="E2390" s="388" t="s">
        <v>1118</v>
      </c>
      <c r="F2390" s="474" t="s">
        <v>1376</v>
      </c>
      <c r="G2390" s="474">
        <v>2023</v>
      </c>
      <c r="H2390" s="474">
        <v>1</v>
      </c>
      <c r="I2390" s="485"/>
      <c r="J2390" s="475"/>
      <c r="K2390" s="474" t="s">
        <v>1418</v>
      </c>
      <c r="L2390" s="475" t="s">
        <v>1419</v>
      </c>
      <c r="M2390" s="475">
        <v>44504</v>
      </c>
      <c r="N2390" s="475">
        <v>44747</v>
      </c>
      <c r="O2390" s="475"/>
      <c r="P2390" s="475"/>
      <c r="Q2390" s="475"/>
      <c r="R2390" s="475"/>
      <c r="S2390" s="474" t="s">
        <v>1102</v>
      </c>
      <c r="T2390" s="474">
        <v>72</v>
      </c>
      <c r="U2390" s="474" t="s">
        <v>1109</v>
      </c>
      <c r="V2390" s="474" t="s">
        <v>1115</v>
      </c>
      <c r="W2390" s="476">
        <v>575</v>
      </c>
      <c r="X2390" s="402">
        <v>34771</v>
      </c>
      <c r="Y2390" s="491">
        <f t="shared" si="420"/>
        <v>19993325</v>
      </c>
      <c r="Z2390" s="478">
        <v>0.4</v>
      </c>
      <c r="AA2390" s="479">
        <f t="shared" si="423"/>
        <v>7997330</v>
      </c>
      <c r="AB2390" s="386"/>
      <c r="AC2390" s="481">
        <f t="shared" si="424"/>
        <v>0</v>
      </c>
      <c r="AD2390" s="474"/>
      <c r="AE2390" s="482"/>
      <c r="AF2390" s="493">
        <f t="shared" si="422"/>
        <v>7997330</v>
      </c>
      <c r="AG2390" s="474" t="s">
        <v>47</v>
      </c>
      <c r="AH2390" s="447">
        <v>100</v>
      </c>
      <c r="AI2390" s="474">
        <v>0</v>
      </c>
      <c r="AJ2390" s="474" t="s">
        <v>1420</v>
      </c>
      <c r="AK2390" s="474" t="s">
        <v>1138</v>
      </c>
      <c r="AL2390" s="494">
        <v>13795</v>
      </c>
      <c r="AM2390" s="474" t="s">
        <v>52</v>
      </c>
      <c r="AN2390" s="474" t="s">
        <v>1109</v>
      </c>
      <c r="AO2390" s="474"/>
      <c r="AP2390" s="474" t="s">
        <v>38</v>
      </c>
      <c r="AQ2390" s="474" t="s">
        <v>1086</v>
      </c>
      <c r="AR2390" s="474"/>
      <c r="AS2390" s="387" t="s">
        <v>1087</v>
      </c>
      <c r="AT2390" s="387" t="s">
        <v>1076</v>
      </c>
      <c r="AU2390" s="471"/>
    </row>
    <row r="2391" spans="1:47">
      <c r="A2391" s="410"/>
      <c r="B2391" s="407"/>
      <c r="C2391" s="407"/>
      <c r="D2391" s="474" t="s">
        <v>1066</v>
      </c>
      <c r="E2391" s="388" t="s">
        <v>1421</v>
      </c>
      <c r="F2391" s="474" t="s">
        <v>1376</v>
      </c>
      <c r="G2391" s="474">
        <v>2023</v>
      </c>
      <c r="H2391" s="474">
        <v>1</v>
      </c>
      <c r="I2391" s="485"/>
      <c r="J2391" s="475"/>
      <c r="K2391" s="474" t="s">
        <v>1418</v>
      </c>
      <c r="L2391" s="475" t="s">
        <v>1419</v>
      </c>
      <c r="M2391" s="475">
        <v>44504</v>
      </c>
      <c r="N2391" s="475">
        <v>44778</v>
      </c>
      <c r="O2391" s="475"/>
      <c r="P2391" s="475"/>
      <c r="Q2391" s="475"/>
      <c r="R2391" s="475"/>
      <c r="S2391" s="474" t="s">
        <v>1102</v>
      </c>
      <c r="T2391" s="474">
        <v>72</v>
      </c>
      <c r="U2391" s="474" t="s">
        <v>1109</v>
      </c>
      <c r="V2391" s="474" t="s">
        <v>1115</v>
      </c>
      <c r="W2391" s="476">
        <v>575</v>
      </c>
      <c r="X2391" s="402">
        <v>34771</v>
      </c>
      <c r="Y2391" s="491">
        <f t="shared" si="420"/>
        <v>19993325</v>
      </c>
      <c r="Z2391" s="478">
        <v>0.4</v>
      </c>
      <c r="AA2391" s="479">
        <f t="shared" si="423"/>
        <v>7997330</v>
      </c>
      <c r="AB2391" s="386"/>
      <c r="AC2391" s="481">
        <f t="shared" si="424"/>
        <v>0</v>
      </c>
      <c r="AD2391" s="474"/>
      <c r="AE2391" s="482"/>
      <c r="AF2391" s="493">
        <f t="shared" si="422"/>
        <v>7997330</v>
      </c>
      <c r="AG2391" s="474" t="s">
        <v>47</v>
      </c>
      <c r="AH2391" s="447">
        <v>100</v>
      </c>
      <c r="AI2391" s="474">
        <v>0</v>
      </c>
      <c r="AJ2391" s="474" t="s">
        <v>1420</v>
      </c>
      <c r="AK2391" s="474" t="s">
        <v>1138</v>
      </c>
      <c r="AL2391" s="494">
        <v>13795</v>
      </c>
      <c r="AM2391" s="474" t="s">
        <v>52</v>
      </c>
      <c r="AN2391" s="474" t="s">
        <v>1109</v>
      </c>
      <c r="AO2391" s="474"/>
      <c r="AP2391" s="474" t="s">
        <v>38</v>
      </c>
      <c r="AQ2391" s="474" t="s">
        <v>1086</v>
      </c>
      <c r="AR2391" s="474"/>
      <c r="AS2391" s="387" t="s">
        <v>1087</v>
      </c>
      <c r="AT2391" s="387" t="s">
        <v>1076</v>
      </c>
      <c r="AU2391" s="471"/>
    </row>
    <row r="2392" spans="1:47">
      <c r="A2392" s="410"/>
      <c r="B2392" s="407"/>
      <c r="C2392" s="407"/>
      <c r="D2392" s="474" t="s">
        <v>1066</v>
      </c>
      <c r="E2392" s="388" t="s">
        <v>1421</v>
      </c>
      <c r="F2392" s="474" t="s">
        <v>1376</v>
      </c>
      <c r="G2392" s="474">
        <v>2023</v>
      </c>
      <c r="H2392" s="474">
        <v>1</v>
      </c>
      <c r="I2392" s="485"/>
      <c r="J2392" s="475"/>
      <c r="K2392" s="474" t="s">
        <v>1418</v>
      </c>
      <c r="L2392" s="475" t="s">
        <v>1419</v>
      </c>
      <c r="M2392" s="475">
        <v>44504</v>
      </c>
      <c r="N2392" s="475">
        <v>44809</v>
      </c>
      <c r="O2392" s="475"/>
      <c r="P2392" s="475"/>
      <c r="Q2392" s="475"/>
      <c r="R2392" s="475"/>
      <c r="S2392" s="474" t="s">
        <v>1102</v>
      </c>
      <c r="T2392" s="474">
        <v>72</v>
      </c>
      <c r="U2392" s="474" t="s">
        <v>1109</v>
      </c>
      <c r="V2392" s="474" t="s">
        <v>1115</v>
      </c>
      <c r="W2392" s="476">
        <v>575</v>
      </c>
      <c r="X2392" s="402">
        <v>26100</v>
      </c>
      <c r="Y2392" s="491">
        <f t="shared" si="420"/>
        <v>15007500</v>
      </c>
      <c r="Z2392" s="478">
        <v>0.4</v>
      </c>
      <c r="AA2392" s="479">
        <f t="shared" si="423"/>
        <v>6003000</v>
      </c>
      <c r="AB2392" s="386"/>
      <c r="AC2392" s="481">
        <f t="shared" si="424"/>
        <v>0</v>
      </c>
      <c r="AD2392" s="474"/>
      <c r="AE2392" s="482"/>
      <c r="AF2392" s="493">
        <f t="shared" si="422"/>
        <v>6003000</v>
      </c>
      <c r="AG2392" s="474" t="s">
        <v>47</v>
      </c>
      <c r="AH2392" s="447">
        <v>100</v>
      </c>
      <c r="AI2392" s="474">
        <v>0</v>
      </c>
      <c r="AJ2392" s="474" t="s">
        <v>1420</v>
      </c>
      <c r="AK2392" s="474" t="s">
        <v>1138</v>
      </c>
      <c r="AL2392" s="494">
        <v>13795</v>
      </c>
      <c r="AM2392" s="474" t="s">
        <v>52</v>
      </c>
      <c r="AN2392" s="474" t="s">
        <v>1109</v>
      </c>
      <c r="AO2392" s="474"/>
      <c r="AP2392" s="474" t="s">
        <v>38</v>
      </c>
      <c r="AQ2392" s="474" t="s">
        <v>1086</v>
      </c>
      <c r="AR2392" s="474"/>
      <c r="AS2392" s="387" t="s">
        <v>1087</v>
      </c>
      <c r="AT2392" s="387" t="s">
        <v>1076</v>
      </c>
      <c r="AU2392" s="471"/>
    </row>
    <row r="2393" spans="1:47">
      <c r="A2393" s="410"/>
      <c r="B2393" s="407"/>
      <c r="C2393" s="407"/>
      <c r="D2393" s="474" t="s">
        <v>1066</v>
      </c>
      <c r="E2393" s="388"/>
      <c r="F2393" s="474" t="s">
        <v>1376</v>
      </c>
      <c r="G2393" s="474">
        <v>2023</v>
      </c>
      <c r="H2393" s="474">
        <v>1</v>
      </c>
      <c r="I2393" s="485">
        <v>2005185</v>
      </c>
      <c r="J2393" s="475"/>
      <c r="K2393" s="474" t="s">
        <v>1433</v>
      </c>
      <c r="L2393" s="475" t="s">
        <v>1419</v>
      </c>
      <c r="M2393" s="475">
        <v>44628</v>
      </c>
      <c r="N2393" s="475">
        <v>44746</v>
      </c>
      <c r="O2393" s="475"/>
      <c r="P2393" s="475"/>
      <c r="Q2393" s="475"/>
      <c r="R2393" s="475"/>
      <c r="S2393" s="474" t="s">
        <v>1102</v>
      </c>
      <c r="T2393" s="474">
        <v>72</v>
      </c>
      <c r="U2393" s="474" t="s">
        <v>1423</v>
      </c>
      <c r="V2393" s="474" t="s">
        <v>1115</v>
      </c>
      <c r="W2393" s="476">
        <v>575</v>
      </c>
      <c r="X2393" s="402">
        <v>9309</v>
      </c>
      <c r="Y2393" s="491">
        <f t="shared" si="420"/>
        <v>5352675</v>
      </c>
      <c r="Z2393" s="478">
        <v>0.4</v>
      </c>
      <c r="AA2393" s="479">
        <f t="shared" si="423"/>
        <v>2141070</v>
      </c>
      <c r="AB2393" s="386"/>
      <c r="AC2393" s="481">
        <f t="shared" si="424"/>
        <v>0</v>
      </c>
      <c r="AD2393" s="474"/>
      <c r="AE2393" s="482"/>
      <c r="AF2393" s="493">
        <f t="shared" si="422"/>
        <v>2141070</v>
      </c>
      <c r="AG2393" s="474" t="s">
        <v>47</v>
      </c>
      <c r="AH2393" s="447">
        <v>100</v>
      </c>
      <c r="AI2393" s="474">
        <v>0</v>
      </c>
      <c r="AJ2393" s="474" t="s">
        <v>1434</v>
      </c>
      <c r="AK2393" s="474" t="s">
        <v>1138</v>
      </c>
      <c r="AL2393" s="494">
        <v>13862</v>
      </c>
      <c r="AM2393" s="474" t="s">
        <v>52</v>
      </c>
      <c r="AN2393" s="474" t="s">
        <v>1085</v>
      </c>
      <c r="AO2393" s="474"/>
      <c r="AP2393" s="474" t="s">
        <v>38</v>
      </c>
      <c r="AQ2393" s="474" t="s">
        <v>1086</v>
      </c>
      <c r="AR2393" s="474"/>
      <c r="AS2393" s="387" t="s">
        <v>1087</v>
      </c>
      <c r="AT2393" s="387" t="s">
        <v>1076</v>
      </c>
      <c r="AU2393" s="471"/>
    </row>
    <row r="2394" spans="1:47">
      <c r="A2394" s="410"/>
      <c r="B2394" s="407"/>
      <c r="C2394" s="407"/>
      <c r="D2394" s="474" t="s">
        <v>1066</v>
      </c>
      <c r="E2394" s="388"/>
      <c r="F2394" s="474" t="s">
        <v>1376</v>
      </c>
      <c r="G2394" s="474">
        <v>2023</v>
      </c>
      <c r="H2394" s="474">
        <v>1</v>
      </c>
      <c r="I2394" s="485">
        <v>2005197</v>
      </c>
      <c r="J2394" s="475"/>
      <c r="K2394" s="474" t="s">
        <v>1426</v>
      </c>
      <c r="L2394" s="475" t="s">
        <v>1419</v>
      </c>
      <c r="M2394" s="475">
        <v>44628</v>
      </c>
      <c r="N2394" s="475">
        <v>44788</v>
      </c>
      <c r="O2394" s="475"/>
      <c r="P2394" s="475"/>
      <c r="Q2394" s="475"/>
      <c r="R2394" s="475"/>
      <c r="S2394" s="474" t="s">
        <v>1102</v>
      </c>
      <c r="T2394" s="474">
        <v>72</v>
      </c>
      <c r="U2394" s="474" t="s">
        <v>1423</v>
      </c>
      <c r="V2394" s="474" t="s">
        <v>1115</v>
      </c>
      <c r="W2394" s="476">
        <v>575</v>
      </c>
      <c r="X2394" s="402">
        <v>5510</v>
      </c>
      <c r="Y2394" s="491">
        <f t="shared" si="420"/>
        <v>3168250</v>
      </c>
      <c r="Z2394" s="478">
        <v>0.4</v>
      </c>
      <c r="AA2394" s="479">
        <f t="shared" si="423"/>
        <v>1267300</v>
      </c>
      <c r="AB2394" s="386"/>
      <c r="AC2394" s="481">
        <f t="shared" si="424"/>
        <v>0</v>
      </c>
      <c r="AD2394" s="474"/>
      <c r="AE2394" s="482"/>
      <c r="AF2394" s="493">
        <f t="shared" si="422"/>
        <v>1267300</v>
      </c>
      <c r="AG2394" s="474" t="s">
        <v>47</v>
      </c>
      <c r="AH2394" s="447">
        <v>100</v>
      </c>
      <c r="AI2394" s="474">
        <v>0</v>
      </c>
      <c r="AJ2394" s="474" t="s">
        <v>1427</v>
      </c>
      <c r="AK2394" s="474" t="s">
        <v>1138</v>
      </c>
      <c r="AL2394" s="494">
        <v>12010</v>
      </c>
      <c r="AM2394" s="474" t="s">
        <v>52</v>
      </c>
      <c r="AN2394" s="474" t="s">
        <v>1085</v>
      </c>
      <c r="AO2394" s="474"/>
      <c r="AP2394" s="474" t="s">
        <v>38</v>
      </c>
      <c r="AQ2394" s="474" t="s">
        <v>1086</v>
      </c>
      <c r="AR2394" s="474"/>
      <c r="AS2394" s="387" t="s">
        <v>1087</v>
      </c>
      <c r="AT2394" s="387" t="s">
        <v>1076</v>
      </c>
      <c r="AU2394" s="471"/>
    </row>
    <row r="2395" spans="1:47">
      <c r="A2395" s="410"/>
      <c r="B2395" s="407"/>
      <c r="C2395" s="407"/>
      <c r="D2395" s="474" t="s">
        <v>1066</v>
      </c>
      <c r="E2395" s="388"/>
      <c r="F2395" s="474" t="s">
        <v>1376</v>
      </c>
      <c r="G2395" s="474">
        <v>2023</v>
      </c>
      <c r="H2395" s="474">
        <v>1</v>
      </c>
      <c r="I2395" s="485">
        <v>2005195</v>
      </c>
      <c r="J2395" s="475"/>
      <c r="K2395" s="474" t="s">
        <v>1428</v>
      </c>
      <c r="L2395" s="475" t="s">
        <v>1419</v>
      </c>
      <c r="M2395" s="475">
        <v>44628</v>
      </c>
      <c r="N2395" s="475">
        <v>44774</v>
      </c>
      <c r="O2395" s="475"/>
      <c r="P2395" s="475"/>
      <c r="Q2395" s="475"/>
      <c r="R2395" s="475"/>
      <c r="S2395" s="474" t="s">
        <v>1102</v>
      </c>
      <c r="T2395" s="474">
        <v>72</v>
      </c>
      <c r="U2395" s="474" t="s">
        <v>1423</v>
      </c>
      <c r="V2395" s="474" t="s">
        <v>1115</v>
      </c>
      <c r="W2395" s="476">
        <v>575</v>
      </c>
      <c r="X2395" s="402">
        <v>6960</v>
      </c>
      <c r="Y2395" s="491">
        <f t="shared" si="420"/>
        <v>4002000</v>
      </c>
      <c r="Z2395" s="478">
        <v>0.4</v>
      </c>
      <c r="AA2395" s="479">
        <f t="shared" si="423"/>
        <v>1600800</v>
      </c>
      <c r="AB2395" s="386"/>
      <c r="AC2395" s="481">
        <f t="shared" si="424"/>
        <v>0</v>
      </c>
      <c r="AD2395" s="474"/>
      <c r="AE2395" s="482"/>
      <c r="AF2395" s="493">
        <f t="shared" si="422"/>
        <v>1600800</v>
      </c>
      <c r="AG2395" s="474" t="s">
        <v>47</v>
      </c>
      <c r="AH2395" s="447">
        <v>100</v>
      </c>
      <c r="AI2395" s="474">
        <v>0</v>
      </c>
      <c r="AJ2395" s="474" t="s">
        <v>1427</v>
      </c>
      <c r="AK2395" s="474" t="s">
        <v>1138</v>
      </c>
      <c r="AL2395" s="494">
        <v>12010</v>
      </c>
      <c r="AM2395" s="474" t="s">
        <v>52</v>
      </c>
      <c r="AN2395" s="474" t="s">
        <v>1085</v>
      </c>
      <c r="AO2395" s="474"/>
      <c r="AP2395" s="474" t="s">
        <v>38</v>
      </c>
      <c r="AQ2395" s="474" t="s">
        <v>1086</v>
      </c>
      <c r="AR2395" s="474"/>
      <c r="AS2395" s="387" t="s">
        <v>1087</v>
      </c>
      <c r="AT2395" s="387" t="s">
        <v>1076</v>
      </c>
      <c r="AU2395" s="471"/>
    </row>
    <row r="2396" spans="1:47">
      <c r="A2396" s="410"/>
      <c r="B2396" s="407"/>
      <c r="C2396" s="407"/>
      <c r="D2396" s="474" t="s">
        <v>1066</v>
      </c>
      <c r="E2396" s="388"/>
      <c r="F2396" s="474" t="s">
        <v>1376</v>
      </c>
      <c r="G2396" s="474">
        <v>2023</v>
      </c>
      <c r="H2396" s="474">
        <v>1</v>
      </c>
      <c r="I2396" s="485">
        <v>2005193</v>
      </c>
      <c r="J2396" s="475"/>
      <c r="K2396" s="474" t="s">
        <v>1429</v>
      </c>
      <c r="L2396" s="475" t="s">
        <v>1419</v>
      </c>
      <c r="M2396" s="475">
        <v>44628</v>
      </c>
      <c r="N2396" s="475">
        <v>44774</v>
      </c>
      <c r="O2396" s="475"/>
      <c r="P2396" s="475"/>
      <c r="Q2396" s="475"/>
      <c r="R2396" s="475"/>
      <c r="S2396" s="474" t="s">
        <v>1102</v>
      </c>
      <c r="T2396" s="474">
        <v>72</v>
      </c>
      <c r="U2396" s="474" t="s">
        <v>1423</v>
      </c>
      <c r="V2396" s="474" t="s">
        <v>1115</v>
      </c>
      <c r="W2396" s="476">
        <v>575</v>
      </c>
      <c r="X2396" s="402">
        <v>7685</v>
      </c>
      <c r="Y2396" s="491">
        <f t="shared" si="420"/>
        <v>4418875</v>
      </c>
      <c r="Z2396" s="478">
        <v>0.4</v>
      </c>
      <c r="AA2396" s="479">
        <f t="shared" si="423"/>
        <v>1767550</v>
      </c>
      <c r="AB2396" s="386"/>
      <c r="AC2396" s="481">
        <f t="shared" si="424"/>
        <v>0</v>
      </c>
      <c r="AD2396" s="474"/>
      <c r="AE2396" s="482"/>
      <c r="AF2396" s="493">
        <f t="shared" si="422"/>
        <v>1767550</v>
      </c>
      <c r="AG2396" s="474" t="s">
        <v>47</v>
      </c>
      <c r="AH2396" s="447">
        <v>100</v>
      </c>
      <c r="AI2396" s="474">
        <v>0</v>
      </c>
      <c r="AJ2396" s="474" t="s">
        <v>1427</v>
      </c>
      <c r="AK2396" s="474" t="s">
        <v>1138</v>
      </c>
      <c r="AL2396" s="494">
        <v>12010</v>
      </c>
      <c r="AM2396" s="474" t="s">
        <v>52</v>
      </c>
      <c r="AN2396" s="474" t="s">
        <v>1085</v>
      </c>
      <c r="AO2396" s="474"/>
      <c r="AP2396" s="474" t="s">
        <v>38</v>
      </c>
      <c r="AQ2396" s="474" t="s">
        <v>1086</v>
      </c>
      <c r="AR2396" s="474"/>
      <c r="AS2396" s="387" t="s">
        <v>1087</v>
      </c>
      <c r="AT2396" s="387" t="s">
        <v>1076</v>
      </c>
      <c r="AU2396" s="471"/>
    </row>
    <row r="2397" spans="1:47">
      <c r="A2397" s="410"/>
      <c r="B2397" s="407"/>
      <c r="C2397" s="407"/>
      <c r="D2397" s="474" t="s">
        <v>1066</v>
      </c>
      <c r="E2397" s="388"/>
      <c r="F2397" s="474" t="s">
        <v>1376</v>
      </c>
      <c r="G2397" s="474">
        <v>2023</v>
      </c>
      <c r="H2397" s="474">
        <v>1</v>
      </c>
      <c r="I2397" s="485">
        <v>2005191</v>
      </c>
      <c r="J2397" s="475"/>
      <c r="K2397" s="474" t="s">
        <v>1422</v>
      </c>
      <c r="L2397" s="475" t="s">
        <v>1419</v>
      </c>
      <c r="M2397" s="475">
        <v>44630</v>
      </c>
      <c r="N2397" s="475">
        <v>44819</v>
      </c>
      <c r="O2397" s="475"/>
      <c r="P2397" s="475"/>
      <c r="Q2397" s="475"/>
      <c r="R2397" s="475"/>
      <c r="S2397" s="474" t="s">
        <v>1102</v>
      </c>
      <c r="T2397" s="474">
        <v>72</v>
      </c>
      <c r="U2397" s="474" t="s">
        <v>1423</v>
      </c>
      <c r="V2397" s="474" t="s">
        <v>1115</v>
      </c>
      <c r="W2397" s="476">
        <v>575</v>
      </c>
      <c r="X2397" s="402">
        <v>6061</v>
      </c>
      <c r="Y2397" s="491">
        <f t="shared" si="420"/>
        <v>3485075</v>
      </c>
      <c r="Z2397" s="478">
        <v>0.4</v>
      </c>
      <c r="AA2397" s="479">
        <f t="shared" si="423"/>
        <v>1394030</v>
      </c>
      <c r="AB2397" s="386"/>
      <c r="AC2397" s="481">
        <f t="shared" si="424"/>
        <v>0</v>
      </c>
      <c r="AD2397" s="474"/>
      <c r="AE2397" s="482"/>
      <c r="AF2397" s="493">
        <f t="shared" si="422"/>
        <v>1394030</v>
      </c>
      <c r="AG2397" s="474" t="s">
        <v>47</v>
      </c>
      <c r="AH2397" s="447">
        <v>100</v>
      </c>
      <c r="AI2397" s="474">
        <v>0</v>
      </c>
      <c r="AJ2397" s="474" t="s">
        <v>1424</v>
      </c>
      <c r="AK2397" s="474" t="s">
        <v>1138</v>
      </c>
      <c r="AL2397" s="494">
        <v>12959</v>
      </c>
      <c r="AM2397" s="474" t="s">
        <v>52</v>
      </c>
      <c r="AN2397" s="474" t="s">
        <v>1085</v>
      </c>
      <c r="AO2397" s="474"/>
      <c r="AP2397" s="474" t="s">
        <v>38</v>
      </c>
      <c r="AQ2397" s="474" t="s">
        <v>1086</v>
      </c>
      <c r="AR2397" s="474"/>
      <c r="AS2397" s="387" t="s">
        <v>1087</v>
      </c>
      <c r="AT2397" s="387" t="s">
        <v>1076</v>
      </c>
      <c r="AU2397" s="471"/>
    </row>
    <row r="2398" spans="1:47">
      <c r="A2398" s="410"/>
      <c r="B2398" s="407"/>
      <c r="C2398" s="407"/>
      <c r="D2398" s="474" t="s">
        <v>1066</v>
      </c>
      <c r="E2398" s="388"/>
      <c r="F2398" s="474" t="s">
        <v>1376</v>
      </c>
      <c r="G2398" s="474">
        <v>2023</v>
      </c>
      <c r="H2398" s="474">
        <v>1</v>
      </c>
      <c r="I2398" s="485">
        <v>2005189</v>
      </c>
      <c r="J2398" s="475"/>
      <c r="K2398" s="474" t="s">
        <v>1425</v>
      </c>
      <c r="L2398" s="475" t="s">
        <v>1419</v>
      </c>
      <c r="M2398" s="475">
        <v>44628</v>
      </c>
      <c r="N2398" s="475">
        <v>44805</v>
      </c>
      <c r="O2398" s="475"/>
      <c r="P2398" s="475"/>
      <c r="Q2398" s="475"/>
      <c r="R2398" s="475"/>
      <c r="S2398" s="474" t="s">
        <v>1102</v>
      </c>
      <c r="T2398" s="474">
        <v>72</v>
      </c>
      <c r="U2398" s="474" t="s">
        <v>1423</v>
      </c>
      <c r="V2398" s="474" t="s">
        <v>1115</v>
      </c>
      <c r="W2398" s="476">
        <v>575</v>
      </c>
      <c r="X2398" s="402">
        <v>6061</v>
      </c>
      <c r="Y2398" s="491">
        <f t="shared" si="420"/>
        <v>3485075</v>
      </c>
      <c r="Z2398" s="478">
        <v>0.4</v>
      </c>
      <c r="AA2398" s="479">
        <f t="shared" si="423"/>
        <v>1394030</v>
      </c>
      <c r="AB2398" s="386"/>
      <c r="AC2398" s="481">
        <f t="shared" si="424"/>
        <v>0</v>
      </c>
      <c r="AD2398" s="474"/>
      <c r="AE2398" s="482"/>
      <c r="AF2398" s="493">
        <f t="shared" si="422"/>
        <v>1394030</v>
      </c>
      <c r="AG2398" s="474" t="s">
        <v>47</v>
      </c>
      <c r="AH2398" s="447">
        <v>100</v>
      </c>
      <c r="AI2398" s="474">
        <v>0</v>
      </c>
      <c r="AJ2398" s="474" t="s">
        <v>1424</v>
      </c>
      <c r="AK2398" s="474" t="s">
        <v>1138</v>
      </c>
      <c r="AL2398" s="494">
        <v>12959</v>
      </c>
      <c r="AM2398" s="474" t="s">
        <v>52</v>
      </c>
      <c r="AN2398" s="474" t="s">
        <v>1085</v>
      </c>
      <c r="AO2398" s="474"/>
      <c r="AP2398" s="474" t="s">
        <v>38</v>
      </c>
      <c r="AQ2398" s="474" t="s">
        <v>1086</v>
      </c>
      <c r="AR2398" s="474"/>
      <c r="AS2398" s="387" t="s">
        <v>1087</v>
      </c>
      <c r="AT2398" s="387" t="s">
        <v>1076</v>
      </c>
      <c r="AU2398" s="471"/>
    </row>
    <row r="2399" spans="1:47">
      <c r="A2399" s="410"/>
      <c r="B2399" s="407"/>
      <c r="C2399" s="407"/>
      <c r="D2399" s="474" t="s">
        <v>1066</v>
      </c>
      <c r="E2399" s="388"/>
      <c r="F2399" s="474" t="s">
        <v>1376</v>
      </c>
      <c r="G2399" s="474">
        <v>2023</v>
      </c>
      <c r="H2399" s="474">
        <v>1</v>
      </c>
      <c r="I2399" s="485">
        <v>2005197</v>
      </c>
      <c r="J2399" s="475"/>
      <c r="K2399" s="474" t="s">
        <v>1430</v>
      </c>
      <c r="L2399" s="475" t="s">
        <v>1419</v>
      </c>
      <c r="M2399" s="475">
        <v>44624</v>
      </c>
      <c r="N2399" s="475">
        <v>44805</v>
      </c>
      <c r="O2399" s="475"/>
      <c r="P2399" s="475"/>
      <c r="Q2399" s="475"/>
      <c r="R2399" s="475"/>
      <c r="S2399" s="474" t="s">
        <v>1102</v>
      </c>
      <c r="T2399" s="474">
        <v>72</v>
      </c>
      <c r="U2399" s="474" t="s">
        <v>1423</v>
      </c>
      <c r="V2399" s="474" t="s">
        <v>1115</v>
      </c>
      <c r="W2399" s="476">
        <v>575</v>
      </c>
      <c r="X2399" s="402">
        <v>4901</v>
      </c>
      <c r="Y2399" s="491">
        <f t="shared" si="420"/>
        <v>2818075</v>
      </c>
      <c r="Z2399" s="478">
        <v>0.4</v>
      </c>
      <c r="AA2399" s="479">
        <f t="shared" si="423"/>
        <v>1127230</v>
      </c>
      <c r="AB2399" s="386"/>
      <c r="AC2399" s="481">
        <f t="shared" si="424"/>
        <v>0</v>
      </c>
      <c r="AD2399" s="474"/>
      <c r="AE2399" s="482"/>
      <c r="AF2399" s="493">
        <f t="shared" si="422"/>
        <v>1127230</v>
      </c>
      <c r="AG2399" s="474" t="s">
        <v>47</v>
      </c>
      <c r="AH2399" s="447">
        <v>100</v>
      </c>
      <c r="AI2399" s="474">
        <v>0</v>
      </c>
      <c r="AJ2399" s="474" t="s">
        <v>1427</v>
      </c>
      <c r="AK2399" s="474" t="s">
        <v>1138</v>
      </c>
      <c r="AL2399" s="494">
        <v>12010</v>
      </c>
      <c r="AM2399" s="474" t="s">
        <v>52</v>
      </c>
      <c r="AN2399" s="474" t="s">
        <v>1085</v>
      </c>
      <c r="AO2399" s="474"/>
      <c r="AP2399" s="474" t="s">
        <v>38</v>
      </c>
      <c r="AQ2399" s="474" t="s">
        <v>1086</v>
      </c>
      <c r="AR2399" s="474"/>
      <c r="AS2399" s="387" t="s">
        <v>1087</v>
      </c>
      <c r="AT2399" s="387" t="s">
        <v>1076</v>
      </c>
      <c r="AU2399" s="471"/>
    </row>
    <row r="2400" spans="1:47">
      <c r="A2400" s="410"/>
      <c r="B2400" s="407"/>
      <c r="C2400" s="407"/>
      <c r="D2400" s="474" t="s">
        <v>1066</v>
      </c>
      <c r="E2400" s="388"/>
      <c r="F2400" s="474" t="s">
        <v>1376</v>
      </c>
      <c r="G2400" s="474">
        <v>2023</v>
      </c>
      <c r="H2400" s="474">
        <v>1</v>
      </c>
      <c r="I2400" s="485">
        <v>2005195</v>
      </c>
      <c r="J2400" s="475"/>
      <c r="K2400" s="474" t="s">
        <v>1431</v>
      </c>
      <c r="L2400" s="475" t="s">
        <v>1419</v>
      </c>
      <c r="M2400" s="475">
        <v>44624</v>
      </c>
      <c r="N2400" s="475">
        <v>44819</v>
      </c>
      <c r="O2400" s="475"/>
      <c r="P2400" s="475"/>
      <c r="Q2400" s="475"/>
      <c r="R2400" s="475"/>
      <c r="S2400" s="474" t="s">
        <v>1102</v>
      </c>
      <c r="T2400" s="474">
        <v>72</v>
      </c>
      <c r="U2400" s="474" t="s">
        <v>1423</v>
      </c>
      <c r="V2400" s="474" t="s">
        <v>1115</v>
      </c>
      <c r="W2400" s="476">
        <v>575</v>
      </c>
      <c r="X2400" s="402">
        <v>7134</v>
      </c>
      <c r="Y2400" s="491">
        <f t="shared" si="420"/>
        <v>4102050</v>
      </c>
      <c r="Z2400" s="478">
        <v>0.4</v>
      </c>
      <c r="AA2400" s="479">
        <f t="shared" si="423"/>
        <v>1640820</v>
      </c>
      <c r="AB2400" s="386"/>
      <c r="AC2400" s="481">
        <f t="shared" si="424"/>
        <v>0</v>
      </c>
      <c r="AD2400" s="474"/>
      <c r="AE2400" s="482"/>
      <c r="AF2400" s="493">
        <f t="shared" si="422"/>
        <v>1640820</v>
      </c>
      <c r="AG2400" s="474" t="s">
        <v>47</v>
      </c>
      <c r="AH2400" s="447">
        <v>100</v>
      </c>
      <c r="AI2400" s="474">
        <v>0</v>
      </c>
      <c r="AJ2400" s="474" t="s">
        <v>1432</v>
      </c>
      <c r="AK2400" s="474" t="s">
        <v>1138</v>
      </c>
      <c r="AL2400" s="494">
        <v>12790</v>
      </c>
      <c r="AM2400" s="474" t="s">
        <v>52</v>
      </c>
      <c r="AN2400" s="474" t="s">
        <v>1085</v>
      </c>
      <c r="AO2400" s="474"/>
      <c r="AP2400" s="474" t="s">
        <v>38</v>
      </c>
      <c r="AQ2400" s="474" t="s">
        <v>1086</v>
      </c>
      <c r="AR2400" s="474"/>
      <c r="AS2400" s="387" t="s">
        <v>1087</v>
      </c>
      <c r="AT2400" s="387" t="s">
        <v>1076</v>
      </c>
      <c r="AU2400" s="471"/>
    </row>
    <row r="2401" spans="1:55">
      <c r="A2401" s="410"/>
      <c r="B2401" s="407"/>
      <c r="C2401" s="407"/>
      <c r="D2401" s="474" t="s">
        <v>1066</v>
      </c>
      <c r="E2401" s="388" t="s">
        <v>1171</v>
      </c>
      <c r="F2401" s="474" t="s">
        <v>1376</v>
      </c>
      <c r="G2401" s="474">
        <v>2023</v>
      </c>
      <c r="H2401" s="474">
        <v>1</v>
      </c>
      <c r="I2401" s="485"/>
      <c r="J2401" s="475"/>
      <c r="K2401" s="516" t="s">
        <v>1435</v>
      </c>
      <c r="L2401" s="475" t="s">
        <v>1419</v>
      </c>
      <c r="M2401" s="475">
        <v>44651</v>
      </c>
      <c r="N2401" s="475">
        <v>44805</v>
      </c>
      <c r="O2401" s="475"/>
      <c r="P2401" s="475"/>
      <c r="Q2401" s="475"/>
      <c r="R2401" s="475"/>
      <c r="S2401" s="474" t="s">
        <v>1102</v>
      </c>
      <c r="T2401" s="474">
        <v>72</v>
      </c>
      <c r="U2401" s="474" t="s">
        <v>1423</v>
      </c>
      <c r="V2401" s="474" t="s">
        <v>1115</v>
      </c>
      <c r="W2401" s="476">
        <v>575</v>
      </c>
      <c r="X2401" s="402">
        <v>10730</v>
      </c>
      <c r="Y2401" s="491">
        <f t="shared" si="420"/>
        <v>6169750</v>
      </c>
      <c r="Z2401" s="478">
        <v>0.4</v>
      </c>
      <c r="AA2401" s="479">
        <f t="shared" si="423"/>
        <v>2467900</v>
      </c>
      <c r="AB2401" s="386"/>
      <c r="AC2401" s="481">
        <f t="shared" si="424"/>
        <v>0</v>
      </c>
      <c r="AD2401" s="474"/>
      <c r="AE2401" s="482"/>
      <c r="AF2401" s="493">
        <f t="shared" si="422"/>
        <v>2467900</v>
      </c>
      <c r="AG2401" s="474" t="s">
        <v>47</v>
      </c>
      <c r="AH2401" s="447">
        <v>100</v>
      </c>
      <c r="AI2401" s="474">
        <v>0</v>
      </c>
      <c r="AJ2401" s="474" t="s">
        <v>1436</v>
      </c>
      <c r="AK2401" s="474" t="s">
        <v>1138</v>
      </c>
      <c r="AL2401" s="494">
        <v>14803</v>
      </c>
      <c r="AM2401" s="474" t="s">
        <v>52</v>
      </c>
      <c r="AN2401" s="474" t="s">
        <v>1085</v>
      </c>
      <c r="AO2401" s="474"/>
      <c r="AP2401" s="474" t="s">
        <v>38</v>
      </c>
      <c r="AQ2401" s="474" t="s">
        <v>1086</v>
      </c>
      <c r="AR2401" s="474"/>
      <c r="AS2401" s="387" t="s">
        <v>1087</v>
      </c>
      <c r="AT2401" s="387" t="s">
        <v>1076</v>
      </c>
      <c r="AU2401" s="471"/>
    </row>
    <row r="2402" spans="1:55">
      <c r="A2402" s="410"/>
      <c r="B2402" s="407"/>
      <c r="C2402" s="407"/>
      <c r="D2402" s="474" t="s">
        <v>1066</v>
      </c>
      <c r="E2402" s="388" t="s">
        <v>1171</v>
      </c>
      <c r="F2402" s="474" t="s">
        <v>1376</v>
      </c>
      <c r="G2402" s="474">
        <v>2023</v>
      </c>
      <c r="H2402" s="474">
        <v>1</v>
      </c>
      <c r="I2402" s="485"/>
      <c r="J2402" s="475"/>
      <c r="K2402" s="516" t="s">
        <v>1437</v>
      </c>
      <c r="L2402" s="475" t="s">
        <v>1419</v>
      </c>
      <c r="M2402" s="475">
        <v>44651</v>
      </c>
      <c r="N2402" s="475">
        <v>44805</v>
      </c>
      <c r="O2402" s="475"/>
      <c r="P2402" s="475"/>
      <c r="Q2402" s="475"/>
      <c r="R2402" s="475"/>
      <c r="S2402" s="474" t="s">
        <v>1102</v>
      </c>
      <c r="T2402" s="474">
        <v>72</v>
      </c>
      <c r="U2402" s="474" t="s">
        <v>1423</v>
      </c>
      <c r="V2402" s="474" t="s">
        <v>1115</v>
      </c>
      <c r="W2402" s="476">
        <v>575</v>
      </c>
      <c r="X2402" s="402">
        <v>6119</v>
      </c>
      <c r="Y2402" s="491">
        <f t="shared" si="420"/>
        <v>3518425</v>
      </c>
      <c r="Z2402" s="478">
        <v>0.4</v>
      </c>
      <c r="AA2402" s="479">
        <f t="shared" si="423"/>
        <v>1407370</v>
      </c>
      <c r="AB2402" s="386"/>
      <c r="AC2402" s="481">
        <f t="shared" si="424"/>
        <v>0</v>
      </c>
      <c r="AD2402" s="474"/>
      <c r="AE2402" s="482"/>
      <c r="AF2402" s="493">
        <f t="shared" si="422"/>
        <v>1407370</v>
      </c>
      <c r="AG2402" s="474" t="s">
        <v>47</v>
      </c>
      <c r="AH2402" s="447">
        <v>100</v>
      </c>
      <c r="AI2402" s="474">
        <v>0</v>
      </c>
      <c r="AJ2402" s="474" t="s">
        <v>1205</v>
      </c>
      <c r="AK2402" s="474" t="s">
        <v>1138</v>
      </c>
      <c r="AL2402" s="494">
        <v>14606</v>
      </c>
      <c r="AM2402" s="474" t="s">
        <v>52</v>
      </c>
      <c r="AN2402" s="474" t="s">
        <v>1085</v>
      </c>
      <c r="AO2402" s="474"/>
      <c r="AP2402" s="474" t="s">
        <v>38</v>
      </c>
      <c r="AQ2402" s="474" t="s">
        <v>1086</v>
      </c>
      <c r="AR2402" s="474"/>
      <c r="AS2402" s="387" t="s">
        <v>1087</v>
      </c>
      <c r="AT2402" s="387" t="s">
        <v>1076</v>
      </c>
      <c r="AU2402" s="471"/>
    </row>
    <row r="2403" spans="1:55">
      <c r="A2403" s="410"/>
      <c r="B2403" s="407"/>
      <c r="C2403" s="407"/>
      <c r="D2403" s="474" t="s">
        <v>1066</v>
      </c>
      <c r="E2403" s="388" t="s">
        <v>1171</v>
      </c>
      <c r="F2403" s="474" t="s">
        <v>1376</v>
      </c>
      <c r="G2403" s="474">
        <v>2023</v>
      </c>
      <c r="H2403" s="474">
        <v>1</v>
      </c>
      <c r="I2403" s="485"/>
      <c r="J2403" s="475"/>
      <c r="K2403" s="516" t="s">
        <v>1438</v>
      </c>
      <c r="L2403" s="475" t="s">
        <v>1419</v>
      </c>
      <c r="M2403" s="475">
        <v>44651</v>
      </c>
      <c r="N2403" s="475">
        <v>44805</v>
      </c>
      <c r="O2403" s="475"/>
      <c r="P2403" s="475"/>
      <c r="Q2403" s="475"/>
      <c r="R2403" s="475"/>
      <c r="S2403" s="474" t="s">
        <v>1102</v>
      </c>
      <c r="T2403" s="474">
        <v>72</v>
      </c>
      <c r="U2403" s="474" t="s">
        <v>1423</v>
      </c>
      <c r="V2403" s="474" t="s">
        <v>1115</v>
      </c>
      <c r="W2403" s="476">
        <v>575</v>
      </c>
      <c r="X2403" s="402">
        <v>12238</v>
      </c>
      <c r="Y2403" s="491">
        <f t="shared" si="420"/>
        <v>7036850</v>
      </c>
      <c r="Z2403" s="478">
        <v>0.4</v>
      </c>
      <c r="AA2403" s="479">
        <f t="shared" si="423"/>
        <v>2814740</v>
      </c>
      <c r="AB2403" s="386"/>
      <c r="AC2403" s="481">
        <f t="shared" si="424"/>
        <v>0</v>
      </c>
      <c r="AD2403" s="474"/>
      <c r="AE2403" s="482"/>
      <c r="AF2403" s="493">
        <f t="shared" si="422"/>
        <v>2814740</v>
      </c>
      <c r="AG2403" s="474" t="s">
        <v>47</v>
      </c>
      <c r="AH2403" s="447">
        <v>100</v>
      </c>
      <c r="AI2403" s="474">
        <v>0</v>
      </c>
      <c r="AJ2403" s="474" t="s">
        <v>1439</v>
      </c>
      <c r="AK2403" s="474" t="s">
        <v>1138</v>
      </c>
      <c r="AL2403" s="494">
        <v>14606</v>
      </c>
      <c r="AM2403" s="474" t="s">
        <v>52</v>
      </c>
      <c r="AN2403" s="474" t="s">
        <v>1085</v>
      </c>
      <c r="AO2403" s="474"/>
      <c r="AP2403" s="474" t="s">
        <v>38</v>
      </c>
      <c r="AQ2403" s="474" t="s">
        <v>1086</v>
      </c>
      <c r="AR2403" s="474"/>
      <c r="AS2403" s="387" t="s">
        <v>1087</v>
      </c>
      <c r="AT2403" s="387" t="s">
        <v>1076</v>
      </c>
      <c r="AU2403" s="471"/>
    </row>
    <row r="2404" spans="1:55">
      <c r="A2404" s="410"/>
      <c r="B2404" s="407"/>
      <c r="C2404" s="407"/>
      <c r="D2404" s="474" t="s">
        <v>1066</v>
      </c>
      <c r="E2404" s="388" t="s">
        <v>1171</v>
      </c>
      <c r="F2404" s="474" t="s">
        <v>1376</v>
      </c>
      <c r="G2404" s="474">
        <v>2023</v>
      </c>
      <c r="H2404" s="474">
        <v>1</v>
      </c>
      <c r="I2404" s="485"/>
      <c r="J2404" s="475"/>
      <c r="K2404" s="516" t="s">
        <v>1440</v>
      </c>
      <c r="L2404" s="475" t="s">
        <v>1419</v>
      </c>
      <c r="M2404" s="475">
        <v>44651</v>
      </c>
      <c r="N2404" s="475">
        <v>44805</v>
      </c>
      <c r="O2404" s="475"/>
      <c r="P2404" s="475"/>
      <c r="Q2404" s="475"/>
      <c r="R2404" s="475"/>
      <c r="S2404" s="474" t="s">
        <v>1102</v>
      </c>
      <c r="T2404" s="474">
        <v>72</v>
      </c>
      <c r="U2404" s="474" t="s">
        <v>1423</v>
      </c>
      <c r="V2404" s="474" t="s">
        <v>1115</v>
      </c>
      <c r="W2404" s="476">
        <v>575</v>
      </c>
      <c r="X2404" s="402">
        <v>12238</v>
      </c>
      <c r="Y2404" s="491">
        <f t="shared" si="420"/>
        <v>7036850</v>
      </c>
      <c r="Z2404" s="478">
        <v>0.4</v>
      </c>
      <c r="AA2404" s="479">
        <f t="shared" si="423"/>
        <v>2814740</v>
      </c>
      <c r="AB2404" s="386"/>
      <c r="AC2404" s="481">
        <f t="shared" si="424"/>
        <v>0</v>
      </c>
      <c r="AD2404" s="474"/>
      <c r="AE2404" s="482"/>
      <c r="AF2404" s="493">
        <f t="shared" si="422"/>
        <v>2814740</v>
      </c>
      <c r="AG2404" s="474" t="s">
        <v>47</v>
      </c>
      <c r="AH2404" s="447">
        <v>100</v>
      </c>
      <c r="AI2404" s="474">
        <v>0</v>
      </c>
      <c r="AJ2404" s="474" t="s">
        <v>1441</v>
      </c>
      <c r="AK2404" s="474" t="s">
        <v>1138</v>
      </c>
      <c r="AL2404" s="494">
        <v>13743</v>
      </c>
      <c r="AM2404" s="474" t="s">
        <v>52</v>
      </c>
      <c r="AN2404" s="474" t="s">
        <v>1085</v>
      </c>
      <c r="AO2404" s="474"/>
      <c r="AP2404" s="474" t="s">
        <v>38</v>
      </c>
      <c r="AQ2404" s="474" t="s">
        <v>1086</v>
      </c>
      <c r="AR2404" s="474"/>
      <c r="AS2404" s="387" t="s">
        <v>1087</v>
      </c>
      <c r="AT2404" s="387" t="s">
        <v>1076</v>
      </c>
      <c r="AU2404" s="471"/>
    </row>
    <row r="2405" spans="1:55">
      <c r="A2405" s="410"/>
      <c r="B2405" s="407"/>
      <c r="C2405" s="407"/>
      <c r="D2405" s="474" t="s">
        <v>1066</v>
      </c>
      <c r="E2405" s="388" t="s">
        <v>1171</v>
      </c>
      <c r="F2405" s="474" t="s">
        <v>1376</v>
      </c>
      <c r="G2405" s="474">
        <v>2023</v>
      </c>
      <c r="H2405" s="474">
        <v>1</v>
      </c>
      <c r="I2405" s="485"/>
      <c r="J2405" s="475"/>
      <c r="K2405" s="516" t="s">
        <v>1442</v>
      </c>
      <c r="L2405" s="475" t="s">
        <v>1419</v>
      </c>
      <c r="M2405" s="475">
        <v>44651</v>
      </c>
      <c r="N2405" s="475">
        <v>44805</v>
      </c>
      <c r="O2405" s="475"/>
      <c r="P2405" s="475"/>
      <c r="Q2405" s="475"/>
      <c r="R2405" s="475"/>
      <c r="S2405" s="474" t="s">
        <v>1102</v>
      </c>
      <c r="T2405" s="474">
        <v>72</v>
      </c>
      <c r="U2405" s="474" t="s">
        <v>1423</v>
      </c>
      <c r="V2405" s="474" t="s">
        <v>1115</v>
      </c>
      <c r="W2405" s="476">
        <v>575</v>
      </c>
      <c r="X2405" s="402">
        <v>5307</v>
      </c>
      <c r="Y2405" s="491">
        <f t="shared" si="420"/>
        <v>3051525</v>
      </c>
      <c r="Z2405" s="478">
        <v>0.4</v>
      </c>
      <c r="AA2405" s="479">
        <f t="shared" si="423"/>
        <v>1220610</v>
      </c>
      <c r="AB2405" s="386"/>
      <c r="AC2405" s="481">
        <f t="shared" si="424"/>
        <v>0</v>
      </c>
      <c r="AD2405" s="474"/>
      <c r="AE2405" s="482"/>
      <c r="AF2405" s="493">
        <f t="shared" si="422"/>
        <v>1220610</v>
      </c>
      <c r="AG2405" s="474" t="s">
        <v>47</v>
      </c>
      <c r="AH2405" s="447">
        <v>100</v>
      </c>
      <c r="AI2405" s="474">
        <v>0</v>
      </c>
      <c r="AJ2405" s="474" t="s">
        <v>1390</v>
      </c>
      <c r="AK2405" s="474" t="s">
        <v>1138</v>
      </c>
      <c r="AL2405" s="494">
        <v>14505</v>
      </c>
      <c r="AM2405" s="474" t="s">
        <v>52</v>
      </c>
      <c r="AN2405" s="474" t="s">
        <v>1085</v>
      </c>
      <c r="AO2405" s="474"/>
      <c r="AP2405" s="474" t="s">
        <v>38</v>
      </c>
      <c r="AQ2405" s="474" t="s">
        <v>1086</v>
      </c>
      <c r="AR2405" s="474"/>
      <c r="AS2405" s="387" t="s">
        <v>1087</v>
      </c>
      <c r="AT2405" s="387" t="s">
        <v>1076</v>
      </c>
      <c r="AU2405" s="471"/>
      <c r="AV2405" s="262" t="str">
        <f t="shared" ref="AV2405:AV2421" si="425">U2405</f>
        <v>30391491C</v>
      </c>
      <c r="AW2405" s="262" cm="1">
        <f t="array" ref="AW2405">SUM(MID(0&amp;AV2405,LARGE(INDEX(ISNUMBER(--MID(AV2405,ROW($1:$8),1))*ROW($1:$8),),ROW($1:$8))+1,1)*10^ROW($1:$8)/10)</f>
        <v>30391491</v>
      </c>
      <c r="AX2405" s="262" t="e">
        <f>VLOOKUP($AW2405,'Item Master Data'!$A:$F,3,FALSE)</f>
        <v>#N/A</v>
      </c>
      <c r="AY2405" s="262" t="e">
        <f>VLOOKUP($AW2405,'Item Master Data'!$A:$F,6,FALSE)</f>
        <v>#N/A</v>
      </c>
      <c r="AZ2405" s="262" t="e">
        <f t="shared" ref="AZ2405:AZ2421" si="426">X2405/BA2405</f>
        <v>#N/A</v>
      </c>
      <c r="BA2405" s="262" t="e">
        <f>VLOOKUP(AW2405,'Item Master Data'!$A:$G,7,FALSE)</f>
        <v>#N/A</v>
      </c>
      <c r="BC2405" s="262" t="e">
        <f t="shared" ref="BC2405:BC2421" si="427">W2405-AY2405</f>
        <v>#N/A</v>
      </c>
    </row>
    <row r="2406" spans="1:55">
      <c r="A2406" s="410"/>
      <c r="B2406" s="407"/>
      <c r="C2406" s="407"/>
      <c r="D2406" s="474" t="s">
        <v>1066</v>
      </c>
      <c r="E2406" s="388"/>
      <c r="F2406" s="474"/>
      <c r="G2406" s="474">
        <v>2022</v>
      </c>
      <c r="H2406" s="474">
        <v>7</v>
      </c>
      <c r="I2406" s="485"/>
      <c r="J2406" s="475"/>
      <c r="K2406" s="474" t="s">
        <v>1329</v>
      </c>
      <c r="L2406" s="475" t="s">
        <v>1313</v>
      </c>
      <c r="M2406" s="475">
        <v>44508</v>
      </c>
      <c r="N2406" s="475">
        <v>44713</v>
      </c>
      <c r="O2406" s="475"/>
      <c r="P2406" s="475"/>
      <c r="Q2406" s="475"/>
      <c r="R2406" s="475"/>
      <c r="S2406" s="474" t="s">
        <v>1114</v>
      </c>
      <c r="T2406" s="474">
        <v>60</v>
      </c>
      <c r="U2406" s="474">
        <v>49201132</v>
      </c>
      <c r="V2406" s="474" t="s">
        <v>986</v>
      </c>
      <c r="W2406" s="476">
        <v>360</v>
      </c>
      <c r="X2406" s="402">
        <v>13312</v>
      </c>
      <c r="Y2406" s="491">
        <f t="shared" si="420"/>
        <v>4792320</v>
      </c>
      <c r="Z2406" s="478">
        <v>0.5</v>
      </c>
      <c r="AA2406" s="479">
        <f>Y2406*Z2406</f>
        <v>2396160</v>
      </c>
      <c r="AB2406" s="386"/>
      <c r="AC2406" s="481">
        <v>0</v>
      </c>
      <c r="AD2406" s="474"/>
      <c r="AE2406" s="482"/>
      <c r="AF2406" s="493">
        <f t="shared" si="422"/>
        <v>2396160</v>
      </c>
      <c r="AG2406" s="474" t="s">
        <v>1071</v>
      </c>
      <c r="AH2406" s="447"/>
      <c r="AI2406" s="474">
        <v>60</v>
      </c>
      <c r="AJ2406" s="474" t="s">
        <v>1314</v>
      </c>
      <c r="AK2406" s="474" t="s">
        <v>1125</v>
      </c>
      <c r="AL2406" s="494" t="s">
        <v>1315</v>
      </c>
      <c r="AM2406" s="474" t="s">
        <v>52</v>
      </c>
      <c r="AN2406" s="474" t="s">
        <v>1074</v>
      </c>
      <c r="AO2406" s="474"/>
      <c r="AP2406" s="474"/>
      <c r="AQ2406" s="474" t="s">
        <v>37</v>
      </c>
      <c r="AR2406" s="474"/>
      <c r="AS2406" s="387"/>
      <c r="AT2406" s="387"/>
      <c r="AU2406" s="471"/>
      <c r="AV2406" s="262">
        <f t="shared" si="425"/>
        <v>49201132</v>
      </c>
      <c r="AW2406" s="262" cm="1">
        <f t="array" ref="AW2406">SUM(MID(0&amp;AV2406,LARGE(INDEX(ISNUMBER(--MID(AV2406,ROW($1:$8),1))*ROW($1:$8),),ROW($1:$8))+1,1)*10^ROW($1:$8)/10)</f>
        <v>49201132</v>
      </c>
      <c r="AX2406" s="262" t="str">
        <f>VLOOKUP($AW2406,'Item Master Data'!$A:$F,3,FALSE)</f>
        <v>Q.PEAK DUO BLK G10+</v>
      </c>
      <c r="AY2406" s="262">
        <f>VLOOKUP($AW2406,'Item Master Data'!$A:$F,6,FALSE)</f>
        <v>360</v>
      </c>
      <c r="AZ2406" s="262">
        <f t="shared" si="426"/>
        <v>416</v>
      </c>
      <c r="BA2406" s="262">
        <f>VLOOKUP(AW2406,'Item Master Data'!$A:$G,7,FALSE)</f>
        <v>32</v>
      </c>
      <c r="BC2406" s="262">
        <f t="shared" si="427"/>
        <v>0</v>
      </c>
    </row>
    <row r="2407" spans="1:55">
      <c r="A2407" s="410"/>
      <c r="B2407" s="407"/>
      <c r="C2407" s="407"/>
      <c r="D2407" s="474" t="s">
        <v>1066</v>
      </c>
      <c r="E2407" s="388" t="s">
        <v>1307</v>
      </c>
      <c r="F2407" s="474" t="s">
        <v>1077</v>
      </c>
      <c r="G2407" s="474">
        <v>2022</v>
      </c>
      <c r="H2407" s="474">
        <v>9</v>
      </c>
      <c r="I2407" s="485">
        <v>2003940</v>
      </c>
      <c r="J2407" s="475"/>
      <c r="K2407" s="474">
        <v>10627</v>
      </c>
      <c r="L2407" s="475" t="s">
        <v>1447</v>
      </c>
      <c r="M2407" s="475">
        <v>44330</v>
      </c>
      <c r="N2407" s="475">
        <v>44348</v>
      </c>
      <c r="O2407" s="475"/>
      <c r="P2407" s="475"/>
      <c r="Q2407" s="475"/>
      <c r="R2407" s="475"/>
      <c r="S2407" s="474" t="s">
        <v>1102</v>
      </c>
      <c r="T2407" s="474">
        <v>72</v>
      </c>
      <c r="U2407" s="474" t="s">
        <v>1204</v>
      </c>
      <c r="V2407" s="474" t="s">
        <v>1002</v>
      </c>
      <c r="W2407" s="476">
        <v>480</v>
      </c>
      <c r="X2407" s="402">
        <v>638</v>
      </c>
      <c r="Y2407" s="491">
        <f t="shared" si="420"/>
        <v>306240</v>
      </c>
      <c r="Z2407" s="478">
        <v>0.4</v>
      </c>
      <c r="AA2407" s="479">
        <f t="shared" ref="AA2407:AA2423" si="428">Z2407*Y2407</f>
        <v>122496</v>
      </c>
      <c r="AB2407" s="386"/>
      <c r="AC2407" s="481">
        <f t="shared" ref="AC2407:AC2423" si="429">AB2407*Y2407</f>
        <v>0</v>
      </c>
      <c r="AD2407" s="474"/>
      <c r="AE2407" s="482"/>
      <c r="AF2407" s="493">
        <f t="shared" si="422"/>
        <v>122496</v>
      </c>
      <c r="AG2407" s="474" t="s">
        <v>1071</v>
      </c>
      <c r="AH2407" s="447">
        <v>100</v>
      </c>
      <c r="AI2407" s="474"/>
      <c r="AJ2407" s="474" t="s">
        <v>1448</v>
      </c>
      <c r="AK2407" s="474" t="s">
        <v>1085</v>
      </c>
      <c r="AL2407" s="494">
        <v>8884</v>
      </c>
      <c r="AM2407" s="474" t="s">
        <v>52</v>
      </c>
      <c r="AN2407" s="474" t="s">
        <v>1085</v>
      </c>
      <c r="AO2407" s="474"/>
      <c r="AP2407" s="474" t="s">
        <v>38</v>
      </c>
      <c r="AQ2407" s="474" t="s">
        <v>37</v>
      </c>
      <c r="AR2407" s="474"/>
      <c r="AS2407" s="387" t="s">
        <v>1076</v>
      </c>
      <c r="AT2407" s="387" t="s">
        <v>1076</v>
      </c>
      <c r="AU2407" s="471"/>
      <c r="AV2407" s="262" t="str">
        <f t="shared" si="425"/>
        <v>12004246F</v>
      </c>
      <c r="AW2407" s="262" cm="1">
        <f t="array" ref="AW2407">SUM(MID(0&amp;AV2407,LARGE(INDEX(ISNUMBER(--MID(AV2407,ROW($1:$8),1))*ROW($1:$8),),ROW($1:$8))+1,1)*10^ROW($1:$8)/10)</f>
        <v>12004246</v>
      </c>
      <c r="AX2407" s="262" t="str">
        <f>VLOOKUP($AW2407,'Item Master Data'!$A:$F,3,FALSE)</f>
        <v>Q.PEAK DUO L G8</v>
      </c>
      <c r="AY2407" s="262">
        <f>VLOOKUP($AW2407,'Item Master Data'!$A:$F,6,FALSE)</f>
        <v>425</v>
      </c>
      <c r="AZ2407" s="262">
        <f t="shared" si="426"/>
        <v>21.266666666666666</v>
      </c>
      <c r="BA2407" s="262">
        <f>VLOOKUP(AW2407,'Item Master Data'!$A:$G,7,FALSE)</f>
        <v>30</v>
      </c>
      <c r="BC2407" s="262">
        <f t="shared" si="427"/>
        <v>55</v>
      </c>
    </row>
    <row r="2408" spans="1:55">
      <c r="A2408" s="410"/>
      <c r="B2408" s="407"/>
      <c r="C2408" s="407"/>
      <c r="D2408" s="474" t="s">
        <v>1066</v>
      </c>
      <c r="E2408" s="388" t="s">
        <v>1307</v>
      </c>
      <c r="F2408" s="474" t="s">
        <v>1077</v>
      </c>
      <c r="G2408" s="474">
        <v>2022</v>
      </c>
      <c r="H2408" s="474">
        <v>9</v>
      </c>
      <c r="I2408" s="485">
        <v>2003939</v>
      </c>
      <c r="J2408" s="475"/>
      <c r="K2408" s="474">
        <v>10630</v>
      </c>
      <c r="L2408" s="475" t="s">
        <v>1447</v>
      </c>
      <c r="M2408" s="475">
        <v>44330</v>
      </c>
      <c r="N2408" s="475">
        <v>44378</v>
      </c>
      <c r="O2408" s="475"/>
      <c r="P2408" s="475"/>
      <c r="Q2408" s="475"/>
      <c r="R2408" s="475"/>
      <c r="S2408" s="474" t="s">
        <v>1102</v>
      </c>
      <c r="T2408" s="474">
        <v>72</v>
      </c>
      <c r="U2408" s="474"/>
      <c r="V2408" s="474" t="s">
        <v>1002</v>
      </c>
      <c r="W2408" s="476">
        <v>480</v>
      </c>
      <c r="X2408" s="402">
        <v>1566</v>
      </c>
      <c r="Y2408" s="491">
        <f t="shared" si="420"/>
        <v>751680</v>
      </c>
      <c r="Z2408" s="478">
        <v>0.4</v>
      </c>
      <c r="AA2408" s="479">
        <f t="shared" si="428"/>
        <v>300672</v>
      </c>
      <c r="AB2408" s="386"/>
      <c r="AC2408" s="481">
        <f t="shared" si="429"/>
        <v>0</v>
      </c>
      <c r="AD2408" s="474"/>
      <c r="AE2408" s="482"/>
      <c r="AF2408" s="493">
        <f t="shared" si="422"/>
        <v>300672</v>
      </c>
      <c r="AG2408" s="474" t="s">
        <v>1071</v>
      </c>
      <c r="AH2408" s="447">
        <v>100</v>
      </c>
      <c r="AI2408" s="474"/>
      <c r="AJ2408" s="474" t="s">
        <v>1449</v>
      </c>
      <c r="AK2408" s="474" t="s">
        <v>1085</v>
      </c>
      <c r="AL2408" s="494">
        <v>8701</v>
      </c>
      <c r="AM2408" s="474" t="s">
        <v>52</v>
      </c>
      <c r="AN2408" s="474" t="s">
        <v>1085</v>
      </c>
      <c r="AO2408" s="474"/>
      <c r="AP2408" s="474" t="s">
        <v>38</v>
      </c>
      <c r="AQ2408" s="474" t="s">
        <v>37</v>
      </c>
      <c r="AR2408" s="474"/>
      <c r="AS2408" s="387" t="s">
        <v>1076</v>
      </c>
      <c r="AT2408" s="387" t="s">
        <v>1076</v>
      </c>
      <c r="AU2408" s="471"/>
      <c r="AV2408" s="262">
        <f t="shared" si="425"/>
        <v>0</v>
      </c>
      <c r="AW2408" s="262" cm="1">
        <f t="array" ref="AW2408">SUM(MID(0&amp;AV2408,LARGE(INDEX(ISNUMBER(--MID(AV2408,ROW($1:$8),1))*ROW($1:$8),),ROW($1:$8))+1,1)*10^ROW($1:$8)/10)</f>
        <v>0</v>
      </c>
      <c r="AX2408" s="262" t="e">
        <f>VLOOKUP($AW2408,'Item Master Data'!$A:$F,3,FALSE)</f>
        <v>#N/A</v>
      </c>
      <c r="AY2408" s="262" t="e">
        <f>VLOOKUP($AW2408,'Item Master Data'!$A:$F,6,FALSE)</f>
        <v>#N/A</v>
      </c>
      <c r="AZ2408" s="262" t="e">
        <f t="shared" si="426"/>
        <v>#N/A</v>
      </c>
      <c r="BA2408" s="262" t="e">
        <f>VLOOKUP(AW2408,'Item Master Data'!$A:$G,7,FALSE)</f>
        <v>#N/A</v>
      </c>
      <c r="BC2408" s="262" t="e">
        <f t="shared" si="427"/>
        <v>#N/A</v>
      </c>
    </row>
    <row r="2409" spans="1:55">
      <c r="A2409" s="410"/>
      <c r="B2409" s="407"/>
      <c r="C2409" s="407"/>
      <c r="D2409" s="474" t="s">
        <v>1066</v>
      </c>
      <c r="E2409" s="388" t="s">
        <v>1307</v>
      </c>
      <c r="F2409" s="474" t="s">
        <v>1077</v>
      </c>
      <c r="G2409" s="474">
        <v>2022</v>
      </c>
      <c r="H2409" s="474">
        <v>9</v>
      </c>
      <c r="I2409" s="485">
        <v>2003938</v>
      </c>
      <c r="J2409" s="475"/>
      <c r="K2409" s="474">
        <v>10631</v>
      </c>
      <c r="L2409" s="475" t="s">
        <v>1447</v>
      </c>
      <c r="M2409" s="475">
        <v>44330</v>
      </c>
      <c r="N2409" s="475">
        <v>44378</v>
      </c>
      <c r="O2409" s="475"/>
      <c r="P2409" s="475"/>
      <c r="Q2409" s="475"/>
      <c r="R2409" s="475"/>
      <c r="S2409" s="474" t="s">
        <v>1102</v>
      </c>
      <c r="T2409" s="474">
        <v>72</v>
      </c>
      <c r="U2409" s="474"/>
      <c r="V2409" s="474" t="s">
        <v>1002</v>
      </c>
      <c r="W2409" s="476">
        <v>480</v>
      </c>
      <c r="X2409" s="402">
        <v>1305</v>
      </c>
      <c r="Y2409" s="491">
        <f t="shared" si="420"/>
        <v>626400</v>
      </c>
      <c r="Z2409" s="478">
        <v>0.4</v>
      </c>
      <c r="AA2409" s="479">
        <f t="shared" si="428"/>
        <v>250560</v>
      </c>
      <c r="AB2409" s="386"/>
      <c r="AC2409" s="481">
        <f t="shared" si="429"/>
        <v>0</v>
      </c>
      <c r="AD2409" s="474"/>
      <c r="AE2409" s="482"/>
      <c r="AF2409" s="493">
        <f t="shared" si="422"/>
        <v>250560</v>
      </c>
      <c r="AG2409" s="474" t="s">
        <v>1071</v>
      </c>
      <c r="AH2409" s="447">
        <v>100</v>
      </c>
      <c r="AI2409" s="474"/>
      <c r="AJ2409" s="474" t="s">
        <v>1449</v>
      </c>
      <c r="AK2409" s="474" t="s">
        <v>1085</v>
      </c>
      <c r="AL2409" s="494">
        <v>8701</v>
      </c>
      <c r="AM2409" s="474" t="s">
        <v>52</v>
      </c>
      <c r="AN2409" s="474" t="s">
        <v>1085</v>
      </c>
      <c r="AO2409" s="474"/>
      <c r="AP2409" s="474" t="s">
        <v>38</v>
      </c>
      <c r="AQ2409" s="474" t="s">
        <v>37</v>
      </c>
      <c r="AR2409" s="474"/>
      <c r="AS2409" s="387" t="s">
        <v>1076</v>
      </c>
      <c r="AT2409" s="387" t="s">
        <v>1076</v>
      </c>
      <c r="AU2409" s="471"/>
      <c r="AV2409" s="262">
        <f t="shared" si="425"/>
        <v>0</v>
      </c>
      <c r="AW2409" s="262" cm="1">
        <f t="array" ref="AW2409">SUM(MID(0&amp;AV2409,LARGE(INDEX(ISNUMBER(--MID(AV2409,ROW($1:$8),1))*ROW($1:$8),),ROW($1:$8))+1,1)*10^ROW($1:$8)/10)</f>
        <v>0</v>
      </c>
      <c r="AX2409" s="262" t="e">
        <f>VLOOKUP($AW2409,'Item Master Data'!$A:$F,3,FALSE)</f>
        <v>#N/A</v>
      </c>
      <c r="AY2409" s="262" t="e">
        <f>VLOOKUP($AW2409,'Item Master Data'!$A:$F,6,FALSE)</f>
        <v>#N/A</v>
      </c>
      <c r="AZ2409" s="262" t="e">
        <f t="shared" si="426"/>
        <v>#N/A</v>
      </c>
      <c r="BA2409" s="262" t="e">
        <f>VLOOKUP(AW2409,'Item Master Data'!$A:$G,7,FALSE)</f>
        <v>#N/A</v>
      </c>
      <c r="BC2409" s="262" t="e">
        <f t="shared" si="427"/>
        <v>#N/A</v>
      </c>
    </row>
    <row r="2410" spans="1:55">
      <c r="A2410" s="410"/>
      <c r="B2410" s="407"/>
      <c r="C2410" s="407"/>
      <c r="D2410" s="474" t="s">
        <v>1066</v>
      </c>
      <c r="E2410" s="388" t="s">
        <v>1307</v>
      </c>
      <c r="F2410" s="474" t="s">
        <v>1077</v>
      </c>
      <c r="G2410" s="474">
        <v>2022</v>
      </c>
      <c r="H2410" s="474">
        <v>9</v>
      </c>
      <c r="I2410" s="485">
        <v>2003936</v>
      </c>
      <c r="J2410" s="475"/>
      <c r="K2410" s="474">
        <v>10634</v>
      </c>
      <c r="L2410" s="475" t="s">
        <v>1447</v>
      </c>
      <c r="M2410" s="475">
        <v>44330</v>
      </c>
      <c r="N2410" s="475">
        <v>44378</v>
      </c>
      <c r="O2410" s="475">
        <v>44550</v>
      </c>
      <c r="P2410" s="475"/>
      <c r="Q2410" s="475"/>
      <c r="R2410" s="475"/>
      <c r="S2410" s="474" t="s">
        <v>1102</v>
      </c>
      <c r="T2410" s="474">
        <v>72</v>
      </c>
      <c r="U2410" s="474"/>
      <c r="V2410" s="474" t="s">
        <v>1002</v>
      </c>
      <c r="W2410" s="476">
        <v>480</v>
      </c>
      <c r="X2410" s="402">
        <f>1218-1131</f>
        <v>87</v>
      </c>
      <c r="Y2410" s="491">
        <f t="shared" si="420"/>
        <v>41760</v>
      </c>
      <c r="Z2410" s="478">
        <v>0.4</v>
      </c>
      <c r="AA2410" s="479">
        <f t="shared" si="428"/>
        <v>16704</v>
      </c>
      <c r="AB2410" s="386"/>
      <c r="AC2410" s="481">
        <f t="shared" si="429"/>
        <v>0</v>
      </c>
      <c r="AD2410" s="474"/>
      <c r="AE2410" s="482"/>
      <c r="AF2410" s="493">
        <f t="shared" si="422"/>
        <v>16704</v>
      </c>
      <c r="AG2410" s="474" t="s">
        <v>1071</v>
      </c>
      <c r="AH2410" s="447">
        <v>100</v>
      </c>
      <c r="AI2410" s="474"/>
      <c r="AJ2410" s="474" t="s">
        <v>1342</v>
      </c>
      <c r="AK2410" s="474" t="s">
        <v>1085</v>
      </c>
      <c r="AL2410" s="494">
        <v>8109</v>
      </c>
      <c r="AM2410" s="474" t="s">
        <v>52</v>
      </c>
      <c r="AN2410" s="474" t="s">
        <v>1085</v>
      </c>
      <c r="AO2410" s="474"/>
      <c r="AP2410" s="474" t="s">
        <v>38</v>
      </c>
      <c r="AQ2410" s="474" t="s">
        <v>37</v>
      </c>
      <c r="AR2410" s="474"/>
      <c r="AS2410" s="387" t="s">
        <v>1076</v>
      </c>
      <c r="AT2410" s="387" t="s">
        <v>1076</v>
      </c>
      <c r="AU2410" s="471"/>
      <c r="AV2410" s="262">
        <f t="shared" si="425"/>
        <v>0</v>
      </c>
      <c r="AW2410" s="262" cm="1">
        <f t="array" ref="AW2410">SUM(MID(0&amp;AV2410,LARGE(INDEX(ISNUMBER(--MID(AV2410,ROW($1:$8),1))*ROW($1:$8),),ROW($1:$8))+1,1)*10^ROW($1:$8)/10)</f>
        <v>0</v>
      </c>
      <c r="AX2410" s="262" t="e">
        <f>VLOOKUP($AW2410,'Item Master Data'!$A:$F,3,FALSE)</f>
        <v>#N/A</v>
      </c>
      <c r="AY2410" s="262" t="e">
        <f>VLOOKUP($AW2410,'Item Master Data'!$A:$F,6,FALSE)</f>
        <v>#N/A</v>
      </c>
      <c r="AZ2410" s="262" t="e">
        <f t="shared" si="426"/>
        <v>#N/A</v>
      </c>
      <c r="BA2410" s="262" t="e">
        <f>VLOOKUP(AW2410,'Item Master Data'!$A:$G,7,FALSE)</f>
        <v>#N/A</v>
      </c>
      <c r="BC2410" s="262" t="e">
        <f t="shared" si="427"/>
        <v>#N/A</v>
      </c>
    </row>
    <row r="2411" spans="1:55">
      <c r="A2411" s="410"/>
      <c r="B2411" s="407"/>
      <c r="C2411" s="407"/>
      <c r="D2411" s="474" t="s">
        <v>1066</v>
      </c>
      <c r="E2411" s="388" t="s">
        <v>1118</v>
      </c>
      <c r="F2411" s="474" t="s">
        <v>1077</v>
      </c>
      <c r="G2411" s="474">
        <v>2022</v>
      </c>
      <c r="H2411" s="474">
        <v>3</v>
      </c>
      <c r="I2411" s="485">
        <v>127213</v>
      </c>
      <c r="J2411" s="475">
        <v>44628</v>
      </c>
      <c r="K2411" s="474" t="s">
        <v>1450</v>
      </c>
      <c r="L2411" s="475" t="s">
        <v>1447</v>
      </c>
      <c r="M2411" s="475">
        <v>44614</v>
      </c>
      <c r="N2411" s="475">
        <v>44614</v>
      </c>
      <c r="O2411" s="475"/>
      <c r="P2411" s="475">
        <v>44616</v>
      </c>
      <c r="Q2411" s="475">
        <v>44628</v>
      </c>
      <c r="R2411" s="475">
        <v>44629</v>
      </c>
      <c r="S2411" s="474" t="s">
        <v>1102</v>
      </c>
      <c r="T2411" s="474">
        <v>72</v>
      </c>
      <c r="U2411" s="474" t="s">
        <v>1389</v>
      </c>
      <c r="V2411" s="474" t="s">
        <v>995</v>
      </c>
      <c r="W2411" s="476">
        <v>475</v>
      </c>
      <c r="X2411" s="402">
        <f>6322-3000</f>
        <v>3322</v>
      </c>
      <c r="Y2411" s="491">
        <f t="shared" si="420"/>
        <v>1577950</v>
      </c>
      <c r="Z2411" s="478">
        <v>0.4</v>
      </c>
      <c r="AA2411" s="479">
        <f t="shared" si="428"/>
        <v>631180</v>
      </c>
      <c r="AB2411" s="386"/>
      <c r="AC2411" s="481">
        <f t="shared" si="429"/>
        <v>0</v>
      </c>
      <c r="AD2411" s="474"/>
      <c r="AE2411" s="482"/>
      <c r="AF2411" s="493">
        <f t="shared" si="422"/>
        <v>631180</v>
      </c>
      <c r="AG2411" s="501" t="s">
        <v>1071</v>
      </c>
      <c r="AH2411" s="409">
        <v>100</v>
      </c>
      <c r="AI2411" s="501"/>
      <c r="AJ2411" s="501" t="s">
        <v>1451</v>
      </c>
      <c r="AK2411" s="501" t="s">
        <v>1347</v>
      </c>
      <c r="AL2411" s="509">
        <v>18512</v>
      </c>
      <c r="AM2411" s="501" t="s">
        <v>52</v>
      </c>
      <c r="AN2411" s="501" t="s">
        <v>1085</v>
      </c>
      <c r="AO2411" s="474"/>
      <c r="AP2411" s="474" t="s">
        <v>92</v>
      </c>
      <c r="AQ2411" s="474" t="s">
        <v>37</v>
      </c>
      <c r="AR2411" s="474"/>
      <c r="AS2411" s="387" t="s">
        <v>1076</v>
      </c>
      <c r="AT2411" s="387" t="s">
        <v>1076</v>
      </c>
      <c r="AU2411" s="471"/>
      <c r="AV2411" s="262" t="str">
        <f t="shared" si="425"/>
        <v>12005833F</v>
      </c>
      <c r="AW2411" s="262" cm="1">
        <f t="array" ref="AW2411">SUM(MID(0&amp;AV2411,LARGE(INDEX(ISNUMBER(--MID(AV2411,ROW($1:$8),1))*ROW($1:$8),),ROW($1:$8))+1,1)*10^ROW($1:$8)/10)</f>
        <v>12005833</v>
      </c>
      <c r="AX2411" s="262" t="str">
        <f>VLOOKUP($AW2411,'Item Master Data'!$A:$F,3,FALSE)</f>
        <v>Q.PEAK DUO XL G10 BFG</v>
      </c>
      <c r="AY2411" s="262">
        <f>VLOOKUP($AW2411,'Item Master Data'!$A:$F,6,FALSE)</f>
        <v>475</v>
      </c>
      <c r="AZ2411" s="262">
        <f t="shared" si="426"/>
        <v>110.73333333333333</v>
      </c>
      <c r="BA2411" s="262">
        <f>VLOOKUP(AW2411,'Item Master Data'!$A:$G,7,FALSE)</f>
        <v>30</v>
      </c>
      <c r="BC2411" s="262">
        <f t="shared" si="427"/>
        <v>0</v>
      </c>
    </row>
    <row r="2412" spans="1:55">
      <c r="A2412" s="410"/>
      <c r="B2412" s="407"/>
      <c r="C2412" s="407"/>
      <c r="D2412" s="474" t="s">
        <v>1066</v>
      </c>
      <c r="E2412" s="388"/>
      <c r="F2412" s="474" t="s">
        <v>1077</v>
      </c>
      <c r="G2412" s="474">
        <v>2022</v>
      </c>
      <c r="H2412" s="474">
        <v>3</v>
      </c>
      <c r="I2412" s="485">
        <v>127849</v>
      </c>
      <c r="J2412" s="475">
        <v>44628</v>
      </c>
      <c r="K2412" s="474" t="s">
        <v>1452</v>
      </c>
      <c r="L2412" s="475" t="s">
        <v>1447</v>
      </c>
      <c r="M2412" s="475">
        <v>44614</v>
      </c>
      <c r="N2412" s="475">
        <v>44614</v>
      </c>
      <c r="O2412" s="475"/>
      <c r="P2412" s="475">
        <v>44622</v>
      </c>
      <c r="Q2412" s="475">
        <v>44628</v>
      </c>
      <c r="R2412" s="475">
        <v>44628</v>
      </c>
      <c r="S2412" s="474" t="s">
        <v>1102</v>
      </c>
      <c r="T2412" s="474">
        <v>72</v>
      </c>
      <c r="U2412" s="474" t="s">
        <v>1389</v>
      </c>
      <c r="V2412" s="474" t="s">
        <v>995</v>
      </c>
      <c r="W2412" s="476">
        <v>475</v>
      </c>
      <c r="X2412" s="402">
        <v>1470</v>
      </c>
      <c r="Y2412" s="491">
        <f t="shared" si="420"/>
        <v>698250</v>
      </c>
      <c r="Z2412" s="478">
        <v>0.4</v>
      </c>
      <c r="AA2412" s="479">
        <f t="shared" si="428"/>
        <v>279300</v>
      </c>
      <c r="AB2412" s="386"/>
      <c r="AC2412" s="481">
        <f t="shared" si="429"/>
        <v>0</v>
      </c>
      <c r="AD2412" s="474"/>
      <c r="AE2412" s="482"/>
      <c r="AF2412" s="493">
        <f t="shared" si="422"/>
        <v>279300</v>
      </c>
      <c r="AG2412" s="501" t="s">
        <v>1071</v>
      </c>
      <c r="AH2412" s="409">
        <v>100</v>
      </c>
      <c r="AI2412" s="501"/>
      <c r="AJ2412" s="501" t="s">
        <v>1453</v>
      </c>
      <c r="AK2412" s="501" t="s">
        <v>1085</v>
      </c>
      <c r="AL2412" s="509">
        <v>8619</v>
      </c>
      <c r="AM2412" s="501" t="s">
        <v>52</v>
      </c>
      <c r="AN2412" s="501" t="s">
        <v>1085</v>
      </c>
      <c r="AO2412" s="474"/>
      <c r="AP2412" s="474" t="s">
        <v>92</v>
      </c>
      <c r="AQ2412" s="474" t="s">
        <v>37</v>
      </c>
      <c r="AR2412" s="474"/>
      <c r="AS2412" s="387" t="s">
        <v>1076</v>
      </c>
      <c r="AT2412" s="387" t="s">
        <v>1076</v>
      </c>
      <c r="AU2412" s="471"/>
      <c r="AV2412" s="262" t="str">
        <f t="shared" si="425"/>
        <v>12005833F</v>
      </c>
      <c r="AW2412" s="262" cm="1">
        <f t="array" ref="AW2412">SUM(MID(0&amp;AV2412,LARGE(INDEX(ISNUMBER(--MID(AV2412,ROW($1:$8),1))*ROW($1:$8),),ROW($1:$8))+1,1)*10^ROW($1:$8)/10)</f>
        <v>12005833</v>
      </c>
      <c r="AX2412" s="262" t="str">
        <f>VLOOKUP($AW2412,'Item Master Data'!$A:$F,3,FALSE)</f>
        <v>Q.PEAK DUO XL G10 BFG</v>
      </c>
      <c r="AY2412" s="262">
        <f>VLOOKUP($AW2412,'Item Master Data'!$A:$F,6,FALSE)</f>
        <v>475</v>
      </c>
      <c r="AZ2412" s="262">
        <f t="shared" si="426"/>
        <v>49</v>
      </c>
      <c r="BA2412" s="262">
        <f>VLOOKUP(AW2412,'Item Master Data'!$A:$G,7,FALSE)</f>
        <v>30</v>
      </c>
      <c r="BC2412" s="262">
        <f t="shared" si="427"/>
        <v>0</v>
      </c>
    </row>
    <row r="2413" spans="1:55">
      <c r="A2413" s="410"/>
      <c r="B2413" s="407"/>
      <c r="C2413" s="407"/>
      <c r="D2413" s="474" t="s">
        <v>1066</v>
      </c>
      <c r="E2413" s="388" t="s">
        <v>1118</v>
      </c>
      <c r="F2413" s="474" t="s">
        <v>1077</v>
      </c>
      <c r="G2413" s="474">
        <v>2022</v>
      </c>
      <c r="H2413" s="474">
        <v>3</v>
      </c>
      <c r="I2413" s="485">
        <v>127214</v>
      </c>
      <c r="J2413" s="475">
        <v>44627</v>
      </c>
      <c r="K2413" s="474" t="s">
        <v>1454</v>
      </c>
      <c r="L2413" s="475" t="s">
        <v>1447</v>
      </c>
      <c r="M2413" s="475">
        <v>44614</v>
      </c>
      <c r="N2413" s="475">
        <v>44614</v>
      </c>
      <c r="O2413" s="475"/>
      <c r="P2413" s="475">
        <v>44622</v>
      </c>
      <c r="Q2413" s="475">
        <v>44627</v>
      </c>
      <c r="R2413" s="475">
        <v>44627</v>
      </c>
      <c r="S2413" s="474" t="s">
        <v>1102</v>
      </c>
      <c r="T2413" s="474">
        <v>72</v>
      </c>
      <c r="U2413" s="474" t="s">
        <v>1389</v>
      </c>
      <c r="V2413" s="474" t="s">
        <v>995</v>
      </c>
      <c r="W2413" s="476">
        <v>475</v>
      </c>
      <c r="X2413" s="402">
        <v>720</v>
      </c>
      <c r="Y2413" s="491">
        <f t="shared" si="420"/>
        <v>342000</v>
      </c>
      <c r="Z2413" s="478">
        <v>0.4</v>
      </c>
      <c r="AA2413" s="479">
        <f t="shared" si="428"/>
        <v>136800</v>
      </c>
      <c r="AB2413" s="386"/>
      <c r="AC2413" s="481">
        <f t="shared" si="429"/>
        <v>0</v>
      </c>
      <c r="AD2413" s="474"/>
      <c r="AE2413" s="482"/>
      <c r="AF2413" s="493">
        <f t="shared" si="422"/>
        <v>136800</v>
      </c>
      <c r="AG2413" s="501" t="s">
        <v>1071</v>
      </c>
      <c r="AH2413" s="409">
        <v>100</v>
      </c>
      <c r="AI2413" s="501"/>
      <c r="AJ2413" s="501" t="s">
        <v>1455</v>
      </c>
      <c r="AK2413" s="501" t="s">
        <v>1085</v>
      </c>
      <c r="AL2413" s="509">
        <v>7205</v>
      </c>
      <c r="AM2413" s="501" t="s">
        <v>52</v>
      </c>
      <c r="AN2413" s="501" t="s">
        <v>1085</v>
      </c>
      <c r="AO2413" s="474"/>
      <c r="AP2413" s="474" t="s">
        <v>92</v>
      </c>
      <c r="AQ2413" s="474" t="s">
        <v>37</v>
      </c>
      <c r="AR2413" s="474"/>
      <c r="AS2413" s="387" t="s">
        <v>1076</v>
      </c>
      <c r="AT2413" s="387" t="s">
        <v>1076</v>
      </c>
      <c r="AU2413" s="471"/>
      <c r="AV2413" s="262" t="str">
        <f t="shared" si="425"/>
        <v>12005833F</v>
      </c>
      <c r="AW2413" s="262" cm="1">
        <f t="array" ref="AW2413">SUM(MID(0&amp;AV2413,LARGE(INDEX(ISNUMBER(--MID(AV2413,ROW($1:$8),1))*ROW($1:$8),),ROW($1:$8))+1,1)*10^ROW($1:$8)/10)</f>
        <v>12005833</v>
      </c>
      <c r="AX2413" s="262" t="str">
        <f>VLOOKUP($AW2413,'Item Master Data'!$A:$F,3,FALSE)</f>
        <v>Q.PEAK DUO XL G10 BFG</v>
      </c>
      <c r="AY2413" s="262">
        <f>VLOOKUP($AW2413,'Item Master Data'!$A:$F,6,FALSE)</f>
        <v>475</v>
      </c>
      <c r="AZ2413" s="262">
        <f t="shared" si="426"/>
        <v>24</v>
      </c>
      <c r="BA2413" s="262">
        <f>VLOOKUP(AW2413,'Item Master Data'!$A:$G,7,FALSE)</f>
        <v>30</v>
      </c>
      <c r="BC2413" s="262">
        <f t="shared" si="427"/>
        <v>0</v>
      </c>
    </row>
    <row r="2414" spans="1:55">
      <c r="A2414" s="410"/>
      <c r="B2414" s="407"/>
      <c r="C2414" s="407"/>
      <c r="D2414" s="474" t="s">
        <v>1066</v>
      </c>
      <c r="E2414" s="388"/>
      <c r="F2414" s="474" t="s">
        <v>1077</v>
      </c>
      <c r="G2414" s="474">
        <v>2022</v>
      </c>
      <c r="H2414" s="474">
        <v>3</v>
      </c>
      <c r="I2414" s="485">
        <v>127281</v>
      </c>
      <c r="J2414" s="475">
        <v>44634</v>
      </c>
      <c r="K2414" s="474" t="s">
        <v>1456</v>
      </c>
      <c r="L2414" s="475" t="s">
        <v>1447</v>
      </c>
      <c r="M2414" s="475">
        <v>44614</v>
      </c>
      <c r="N2414" s="475">
        <v>44614</v>
      </c>
      <c r="O2414" s="475"/>
      <c r="P2414" s="475">
        <v>44629</v>
      </c>
      <c r="Q2414" s="475">
        <v>44634</v>
      </c>
      <c r="R2414" s="475">
        <v>44634</v>
      </c>
      <c r="S2414" s="474" t="s">
        <v>1102</v>
      </c>
      <c r="T2414" s="474">
        <v>72</v>
      </c>
      <c r="U2414" s="474" t="s">
        <v>1082</v>
      </c>
      <c r="V2414" s="474" t="s">
        <v>995</v>
      </c>
      <c r="W2414" s="476">
        <v>475</v>
      </c>
      <c r="X2414" s="402">
        <v>300</v>
      </c>
      <c r="Y2414" s="491">
        <f t="shared" si="420"/>
        <v>142500</v>
      </c>
      <c r="Z2414" s="478">
        <v>0.4</v>
      </c>
      <c r="AA2414" s="479">
        <f t="shared" si="428"/>
        <v>57000</v>
      </c>
      <c r="AB2414" s="386"/>
      <c r="AC2414" s="481">
        <f t="shared" si="429"/>
        <v>0</v>
      </c>
      <c r="AD2414" s="474"/>
      <c r="AE2414" s="482"/>
      <c r="AF2414" s="493">
        <f t="shared" si="422"/>
        <v>57000</v>
      </c>
      <c r="AG2414" s="501" t="s">
        <v>1071</v>
      </c>
      <c r="AH2414" s="409">
        <v>100</v>
      </c>
      <c r="AI2414" s="501"/>
      <c r="AJ2414" s="501" t="s">
        <v>1457</v>
      </c>
      <c r="AK2414" s="501" t="s">
        <v>1085</v>
      </c>
      <c r="AL2414" s="509">
        <v>7631</v>
      </c>
      <c r="AM2414" s="501" t="s">
        <v>52</v>
      </c>
      <c r="AN2414" s="501" t="s">
        <v>1085</v>
      </c>
      <c r="AO2414" s="474"/>
      <c r="AP2414" s="474" t="s">
        <v>92</v>
      </c>
      <c r="AQ2414" s="474" t="s">
        <v>37</v>
      </c>
      <c r="AR2414" s="474"/>
      <c r="AS2414" s="387" t="s">
        <v>1076</v>
      </c>
      <c r="AT2414" s="387" t="s">
        <v>1076</v>
      </c>
      <c r="AU2414" s="471"/>
      <c r="AV2414" s="262" t="str">
        <f t="shared" si="425"/>
        <v>12005833C</v>
      </c>
      <c r="AW2414" s="262" cm="1">
        <f t="array" ref="AW2414">SUM(MID(0&amp;AV2414,LARGE(INDEX(ISNUMBER(--MID(AV2414,ROW($1:$8),1))*ROW($1:$8),),ROW($1:$8))+1,1)*10^ROW($1:$8)/10)</f>
        <v>12005833</v>
      </c>
      <c r="AX2414" s="262" t="str">
        <f>VLOOKUP($AW2414,'Item Master Data'!$A:$F,3,FALSE)</f>
        <v>Q.PEAK DUO XL G10 BFG</v>
      </c>
      <c r="AY2414" s="262">
        <f>VLOOKUP($AW2414,'Item Master Data'!$A:$F,6,FALSE)</f>
        <v>475</v>
      </c>
      <c r="AZ2414" s="262">
        <f t="shared" si="426"/>
        <v>10</v>
      </c>
      <c r="BA2414" s="262">
        <f>VLOOKUP(AW2414,'Item Master Data'!$A:$G,7,FALSE)</f>
        <v>30</v>
      </c>
      <c r="BC2414" s="262">
        <f t="shared" si="427"/>
        <v>0</v>
      </c>
    </row>
    <row r="2415" spans="1:55">
      <c r="A2415" s="410"/>
      <c r="B2415" s="407"/>
      <c r="C2415" s="407"/>
      <c r="D2415" s="474" t="s">
        <v>1066</v>
      </c>
      <c r="E2415" s="388"/>
      <c r="F2415" s="474" t="s">
        <v>1077</v>
      </c>
      <c r="G2415" s="474">
        <v>2022</v>
      </c>
      <c r="H2415" s="474">
        <v>3</v>
      </c>
      <c r="I2415" s="485">
        <v>127280</v>
      </c>
      <c r="J2415" s="475">
        <v>44634</v>
      </c>
      <c r="K2415" s="474" t="s">
        <v>1458</v>
      </c>
      <c r="L2415" s="475" t="s">
        <v>1447</v>
      </c>
      <c r="M2415" s="475">
        <v>44614</v>
      </c>
      <c r="N2415" s="475">
        <v>44614</v>
      </c>
      <c r="O2415" s="475"/>
      <c r="P2415" s="475">
        <v>44629</v>
      </c>
      <c r="Q2415" s="475">
        <v>44634</v>
      </c>
      <c r="R2415" s="475">
        <v>44634</v>
      </c>
      <c r="S2415" s="474" t="s">
        <v>1102</v>
      </c>
      <c r="T2415" s="474">
        <v>72</v>
      </c>
      <c r="U2415" s="474" t="s">
        <v>1082</v>
      </c>
      <c r="V2415" s="474" t="s">
        <v>995</v>
      </c>
      <c r="W2415" s="476">
        <v>475</v>
      </c>
      <c r="X2415" s="402">
        <v>1530</v>
      </c>
      <c r="Y2415" s="491">
        <f t="shared" si="420"/>
        <v>726750</v>
      </c>
      <c r="Z2415" s="478">
        <v>0.4</v>
      </c>
      <c r="AA2415" s="479">
        <f t="shared" si="428"/>
        <v>290700</v>
      </c>
      <c r="AB2415" s="386"/>
      <c r="AC2415" s="481">
        <f t="shared" si="429"/>
        <v>0</v>
      </c>
      <c r="AD2415" s="474"/>
      <c r="AE2415" s="482"/>
      <c r="AF2415" s="493">
        <f t="shared" si="422"/>
        <v>290700</v>
      </c>
      <c r="AG2415" s="501" t="s">
        <v>1071</v>
      </c>
      <c r="AH2415" s="409">
        <v>100</v>
      </c>
      <c r="AI2415" s="501"/>
      <c r="AJ2415" s="501" t="s">
        <v>1459</v>
      </c>
      <c r="AK2415" s="501" t="s">
        <v>1085</v>
      </c>
      <c r="AL2415" s="509">
        <v>7047</v>
      </c>
      <c r="AM2415" s="501" t="s">
        <v>52</v>
      </c>
      <c r="AN2415" s="501" t="s">
        <v>1085</v>
      </c>
      <c r="AO2415" s="474"/>
      <c r="AP2415" s="474" t="s">
        <v>92</v>
      </c>
      <c r="AQ2415" s="474" t="s">
        <v>37</v>
      </c>
      <c r="AR2415" s="474"/>
      <c r="AS2415" s="387" t="s">
        <v>1076</v>
      </c>
      <c r="AT2415" s="387" t="s">
        <v>1076</v>
      </c>
      <c r="AU2415" s="471"/>
      <c r="AV2415" s="262" t="str">
        <f t="shared" si="425"/>
        <v>12005833C</v>
      </c>
      <c r="AW2415" s="262" cm="1">
        <f t="array" ref="AW2415">SUM(MID(0&amp;AV2415,LARGE(INDEX(ISNUMBER(--MID(AV2415,ROW($1:$8),1))*ROW($1:$8),),ROW($1:$8))+1,1)*10^ROW($1:$8)/10)</f>
        <v>12005833</v>
      </c>
      <c r="AX2415" s="262" t="str">
        <f>VLOOKUP($AW2415,'Item Master Data'!$A:$F,3,FALSE)</f>
        <v>Q.PEAK DUO XL G10 BFG</v>
      </c>
      <c r="AY2415" s="262">
        <f>VLOOKUP($AW2415,'Item Master Data'!$A:$F,6,FALSE)</f>
        <v>475</v>
      </c>
      <c r="AZ2415" s="262">
        <f t="shared" si="426"/>
        <v>51</v>
      </c>
      <c r="BA2415" s="262">
        <f>VLOOKUP(AW2415,'Item Master Data'!$A:$G,7,FALSE)</f>
        <v>30</v>
      </c>
      <c r="BC2415" s="262">
        <f t="shared" si="427"/>
        <v>0</v>
      </c>
    </row>
    <row r="2416" spans="1:55">
      <c r="A2416" s="410"/>
      <c r="B2416" s="407"/>
      <c r="C2416" s="407"/>
      <c r="D2416" s="474" t="s">
        <v>1066</v>
      </c>
      <c r="E2416" s="388"/>
      <c r="F2416" s="474" t="s">
        <v>1077</v>
      </c>
      <c r="G2416" s="474">
        <v>2022</v>
      </c>
      <c r="H2416" s="474">
        <v>3</v>
      </c>
      <c r="I2416" s="485">
        <v>127466</v>
      </c>
      <c r="J2416" s="475">
        <v>44641</v>
      </c>
      <c r="K2416" s="474" t="s">
        <v>1460</v>
      </c>
      <c r="L2416" s="475" t="s">
        <v>1447</v>
      </c>
      <c r="M2416" s="475">
        <v>44614</v>
      </c>
      <c r="N2416" s="475">
        <v>44614</v>
      </c>
      <c r="O2416" s="475"/>
      <c r="P2416" s="475">
        <v>44636</v>
      </c>
      <c r="Q2416" s="475">
        <v>44641</v>
      </c>
      <c r="R2416" s="475">
        <v>44641</v>
      </c>
      <c r="S2416" s="474" t="s">
        <v>1102</v>
      </c>
      <c r="T2416" s="474">
        <v>72</v>
      </c>
      <c r="U2416" s="474" t="s">
        <v>1082</v>
      </c>
      <c r="V2416" s="474" t="s">
        <v>995</v>
      </c>
      <c r="W2416" s="476">
        <v>475</v>
      </c>
      <c r="X2416" s="402">
        <v>780</v>
      </c>
      <c r="Y2416" s="491">
        <f t="shared" si="420"/>
        <v>370500</v>
      </c>
      <c r="Z2416" s="478">
        <v>0.4</v>
      </c>
      <c r="AA2416" s="479">
        <f t="shared" si="428"/>
        <v>148200</v>
      </c>
      <c r="AB2416" s="386"/>
      <c r="AC2416" s="481">
        <f t="shared" si="429"/>
        <v>0</v>
      </c>
      <c r="AD2416" s="474"/>
      <c r="AE2416" s="482"/>
      <c r="AF2416" s="493">
        <f t="shared" si="422"/>
        <v>148200</v>
      </c>
      <c r="AG2416" s="501" t="s">
        <v>1071</v>
      </c>
      <c r="AH2416" s="409">
        <v>100</v>
      </c>
      <c r="AI2416" s="501"/>
      <c r="AJ2416" s="501" t="s">
        <v>1461</v>
      </c>
      <c r="AK2416" s="501" t="s">
        <v>1085</v>
      </c>
      <c r="AL2416" s="509">
        <v>8830</v>
      </c>
      <c r="AM2416" s="501" t="s">
        <v>52</v>
      </c>
      <c r="AN2416" s="501" t="s">
        <v>1085</v>
      </c>
      <c r="AO2416" s="474"/>
      <c r="AP2416" s="474" t="s">
        <v>92</v>
      </c>
      <c r="AQ2416" s="474" t="s">
        <v>37</v>
      </c>
      <c r="AR2416" s="474"/>
      <c r="AS2416" s="387" t="s">
        <v>1076</v>
      </c>
      <c r="AT2416" s="387" t="s">
        <v>1076</v>
      </c>
      <c r="AU2416" s="471"/>
      <c r="AV2416" s="262" t="str">
        <f t="shared" si="425"/>
        <v>12005833C</v>
      </c>
      <c r="AW2416" s="262" cm="1">
        <f t="array" ref="AW2416">SUM(MID(0&amp;AV2416,LARGE(INDEX(ISNUMBER(--MID(AV2416,ROW($1:$8),1))*ROW($1:$8),),ROW($1:$8))+1,1)*10^ROW($1:$8)/10)</f>
        <v>12005833</v>
      </c>
      <c r="AX2416" s="262" t="str">
        <f>VLOOKUP($AW2416,'Item Master Data'!$A:$F,3,FALSE)</f>
        <v>Q.PEAK DUO XL G10 BFG</v>
      </c>
      <c r="AY2416" s="262">
        <f>VLOOKUP($AW2416,'Item Master Data'!$A:$F,6,FALSE)</f>
        <v>475</v>
      </c>
      <c r="AZ2416" s="262">
        <f t="shared" si="426"/>
        <v>26</v>
      </c>
      <c r="BA2416" s="262">
        <f>VLOOKUP(AW2416,'Item Master Data'!$A:$G,7,FALSE)</f>
        <v>30</v>
      </c>
      <c r="BC2416" s="262">
        <f t="shared" si="427"/>
        <v>0</v>
      </c>
    </row>
    <row r="2417" spans="1:55">
      <c r="A2417" s="410"/>
      <c r="B2417" s="407"/>
      <c r="C2417" s="407"/>
      <c r="D2417" s="474" t="s">
        <v>1066</v>
      </c>
      <c r="E2417" s="388"/>
      <c r="F2417" s="474" t="s">
        <v>1077</v>
      </c>
      <c r="G2417" s="474">
        <v>2022</v>
      </c>
      <c r="H2417" s="474">
        <v>3</v>
      </c>
      <c r="I2417" s="485">
        <v>127467</v>
      </c>
      <c r="J2417" s="475">
        <v>44642</v>
      </c>
      <c r="K2417" s="474" t="s">
        <v>1462</v>
      </c>
      <c r="L2417" s="475" t="s">
        <v>1447</v>
      </c>
      <c r="M2417" s="475">
        <v>44351</v>
      </c>
      <c r="N2417" s="475">
        <v>44378</v>
      </c>
      <c r="O2417" s="475"/>
      <c r="P2417" s="475">
        <v>44638</v>
      </c>
      <c r="Q2417" s="475">
        <v>44642</v>
      </c>
      <c r="R2417" s="475">
        <v>44642</v>
      </c>
      <c r="S2417" s="474" t="s">
        <v>1102</v>
      </c>
      <c r="T2417" s="474">
        <v>72</v>
      </c>
      <c r="U2417" s="474" t="s">
        <v>1082</v>
      </c>
      <c r="V2417" s="474" t="s">
        <v>995</v>
      </c>
      <c r="W2417" s="476">
        <v>475</v>
      </c>
      <c r="X2417" s="402">
        <v>780</v>
      </c>
      <c r="Y2417" s="491">
        <f t="shared" si="420"/>
        <v>370500</v>
      </c>
      <c r="Z2417" s="478">
        <v>0.4</v>
      </c>
      <c r="AA2417" s="479">
        <f t="shared" si="428"/>
        <v>148200</v>
      </c>
      <c r="AB2417" s="386"/>
      <c r="AC2417" s="481">
        <f t="shared" si="429"/>
        <v>0</v>
      </c>
      <c r="AD2417" s="474"/>
      <c r="AE2417" s="482"/>
      <c r="AF2417" s="493">
        <f t="shared" si="422"/>
        <v>148200</v>
      </c>
      <c r="AG2417" s="474" t="s">
        <v>1071</v>
      </c>
      <c r="AH2417" s="447">
        <v>100</v>
      </c>
      <c r="AI2417" s="474"/>
      <c r="AJ2417" s="474" t="s">
        <v>1461</v>
      </c>
      <c r="AK2417" s="474" t="s">
        <v>1085</v>
      </c>
      <c r="AL2417" s="494">
        <v>8830</v>
      </c>
      <c r="AM2417" s="474" t="s">
        <v>52</v>
      </c>
      <c r="AN2417" s="474" t="s">
        <v>1085</v>
      </c>
      <c r="AO2417" s="474"/>
      <c r="AP2417" s="474" t="s">
        <v>38</v>
      </c>
      <c r="AQ2417" s="474" t="s">
        <v>37</v>
      </c>
      <c r="AR2417" s="474"/>
      <c r="AS2417" s="387" t="s">
        <v>1076</v>
      </c>
      <c r="AT2417" s="387" t="s">
        <v>1076</v>
      </c>
      <c r="AU2417" s="471"/>
      <c r="AV2417" s="262" t="str">
        <f t="shared" si="425"/>
        <v>12005833C</v>
      </c>
      <c r="AW2417" s="262" cm="1">
        <f t="array" ref="AW2417">SUM(MID(0&amp;AV2417,LARGE(INDEX(ISNUMBER(--MID(AV2417,ROW($1:$8),1))*ROW($1:$8),),ROW($1:$8))+1,1)*10^ROW($1:$8)/10)</f>
        <v>12005833</v>
      </c>
      <c r="AX2417" s="262" t="str">
        <f>VLOOKUP($AW2417,'Item Master Data'!$A:$F,3,FALSE)</f>
        <v>Q.PEAK DUO XL G10 BFG</v>
      </c>
      <c r="AY2417" s="262">
        <f>VLOOKUP($AW2417,'Item Master Data'!$A:$F,6,FALSE)</f>
        <v>475</v>
      </c>
      <c r="AZ2417" s="262">
        <f t="shared" si="426"/>
        <v>26</v>
      </c>
      <c r="BA2417" s="262">
        <f>VLOOKUP(AW2417,'Item Master Data'!$A:$G,7,FALSE)</f>
        <v>30</v>
      </c>
      <c r="BC2417" s="262">
        <f t="shared" si="427"/>
        <v>0</v>
      </c>
    </row>
    <row r="2418" spans="1:55">
      <c r="A2418" s="410"/>
      <c r="B2418" s="407"/>
      <c r="C2418" s="407"/>
      <c r="D2418" s="474" t="s">
        <v>1066</v>
      </c>
      <c r="E2418" s="388"/>
      <c r="F2418" s="474" t="s">
        <v>1077</v>
      </c>
      <c r="G2418" s="474">
        <v>2022</v>
      </c>
      <c r="H2418" s="474">
        <v>3</v>
      </c>
      <c r="I2418" s="485">
        <v>127844</v>
      </c>
      <c r="J2418" s="475">
        <v>44649</v>
      </c>
      <c r="K2418" s="474" t="s">
        <v>1463</v>
      </c>
      <c r="L2418" s="475" t="s">
        <v>1447</v>
      </c>
      <c r="M2418" s="475">
        <v>44351</v>
      </c>
      <c r="N2418" s="475">
        <v>44643</v>
      </c>
      <c r="O2418" s="475"/>
      <c r="P2418" s="475">
        <v>44643</v>
      </c>
      <c r="Q2418" s="475">
        <v>44649</v>
      </c>
      <c r="R2418" s="475">
        <v>44649</v>
      </c>
      <c r="S2418" s="474" t="s">
        <v>1102</v>
      </c>
      <c r="T2418" s="474">
        <v>72</v>
      </c>
      <c r="U2418" s="474" t="s">
        <v>1082</v>
      </c>
      <c r="V2418" s="474" t="s">
        <v>995</v>
      </c>
      <c r="W2418" s="476">
        <v>475</v>
      </c>
      <c r="X2418" s="402">
        <v>480</v>
      </c>
      <c r="Y2418" s="491">
        <f t="shared" si="420"/>
        <v>228000</v>
      </c>
      <c r="Z2418" s="478">
        <v>0.4</v>
      </c>
      <c r="AA2418" s="479">
        <f t="shared" si="428"/>
        <v>91200</v>
      </c>
      <c r="AB2418" s="386"/>
      <c r="AC2418" s="481">
        <f t="shared" si="429"/>
        <v>0</v>
      </c>
      <c r="AD2418" s="474"/>
      <c r="AE2418" s="482"/>
      <c r="AF2418" s="493">
        <f t="shared" si="422"/>
        <v>91200</v>
      </c>
      <c r="AG2418" s="474" t="s">
        <v>1071</v>
      </c>
      <c r="AH2418" s="447">
        <v>100</v>
      </c>
      <c r="AI2418" s="474"/>
      <c r="AJ2418" s="474" t="s">
        <v>1449</v>
      </c>
      <c r="AK2418" s="474" t="s">
        <v>1085</v>
      </c>
      <c r="AL2418" s="494">
        <v>8701</v>
      </c>
      <c r="AM2418" s="474" t="s">
        <v>52</v>
      </c>
      <c r="AN2418" s="474" t="s">
        <v>1085</v>
      </c>
      <c r="AO2418" s="474"/>
      <c r="AP2418" s="474" t="s">
        <v>38</v>
      </c>
      <c r="AQ2418" s="474" t="s">
        <v>37</v>
      </c>
      <c r="AR2418" s="474"/>
      <c r="AS2418" s="387" t="s">
        <v>1076</v>
      </c>
      <c r="AT2418" s="387" t="s">
        <v>1076</v>
      </c>
      <c r="AU2418" s="471"/>
      <c r="AV2418" s="262" t="str">
        <f t="shared" si="425"/>
        <v>12005833C</v>
      </c>
      <c r="AW2418" s="262" cm="1">
        <f t="array" ref="AW2418">SUM(MID(0&amp;AV2418,LARGE(INDEX(ISNUMBER(--MID(AV2418,ROW($1:$8),1))*ROW($1:$8),),ROW($1:$8))+1,1)*10^ROW($1:$8)/10)</f>
        <v>12005833</v>
      </c>
      <c r="AX2418" s="262" t="str">
        <f>VLOOKUP($AW2418,'Item Master Data'!$A:$F,3,FALSE)</f>
        <v>Q.PEAK DUO XL G10 BFG</v>
      </c>
      <c r="AY2418" s="262">
        <f>VLOOKUP($AW2418,'Item Master Data'!$A:$F,6,FALSE)</f>
        <v>475</v>
      </c>
      <c r="AZ2418" s="262">
        <f t="shared" si="426"/>
        <v>16</v>
      </c>
      <c r="BA2418" s="262">
        <f>VLOOKUP(AW2418,'Item Master Data'!$A:$G,7,FALSE)</f>
        <v>30</v>
      </c>
      <c r="BC2418" s="262">
        <f t="shared" si="427"/>
        <v>0</v>
      </c>
    </row>
    <row r="2419" spans="1:55">
      <c r="A2419" s="410"/>
      <c r="B2419" s="407"/>
      <c r="C2419" s="407"/>
      <c r="D2419" s="474" t="s">
        <v>1066</v>
      </c>
      <c r="E2419" s="388"/>
      <c r="F2419" s="474" t="s">
        <v>1077</v>
      </c>
      <c r="G2419" s="474">
        <v>2022</v>
      </c>
      <c r="H2419" s="474">
        <v>3</v>
      </c>
      <c r="I2419" s="485">
        <v>127610</v>
      </c>
      <c r="J2419" s="475">
        <v>44648</v>
      </c>
      <c r="K2419" s="474" t="s">
        <v>1464</v>
      </c>
      <c r="L2419" s="475" t="s">
        <v>1447</v>
      </c>
      <c r="M2419" s="475">
        <v>44351</v>
      </c>
      <c r="N2419" s="475">
        <v>44378</v>
      </c>
      <c r="O2419" s="475"/>
      <c r="P2419" s="475">
        <v>44643</v>
      </c>
      <c r="Q2419" s="475">
        <v>44648</v>
      </c>
      <c r="R2419" s="475">
        <v>44649</v>
      </c>
      <c r="S2419" s="474" t="s">
        <v>1102</v>
      </c>
      <c r="T2419" s="474">
        <v>72</v>
      </c>
      <c r="U2419" s="474" t="s">
        <v>1082</v>
      </c>
      <c r="V2419" s="474" t="s">
        <v>995</v>
      </c>
      <c r="W2419" s="476">
        <v>475</v>
      </c>
      <c r="X2419" s="402">
        <v>1290</v>
      </c>
      <c r="Y2419" s="491">
        <f t="shared" si="420"/>
        <v>612750</v>
      </c>
      <c r="Z2419" s="478">
        <v>0.4</v>
      </c>
      <c r="AA2419" s="479">
        <f t="shared" si="428"/>
        <v>245100</v>
      </c>
      <c r="AB2419" s="386"/>
      <c r="AC2419" s="481">
        <f t="shared" si="429"/>
        <v>0</v>
      </c>
      <c r="AD2419" s="474"/>
      <c r="AE2419" s="482"/>
      <c r="AF2419" s="493">
        <f t="shared" si="422"/>
        <v>245100</v>
      </c>
      <c r="AG2419" s="474" t="s">
        <v>1071</v>
      </c>
      <c r="AH2419" s="447">
        <v>100</v>
      </c>
      <c r="AI2419" s="474"/>
      <c r="AJ2419" s="474" t="s">
        <v>1453</v>
      </c>
      <c r="AK2419" s="474" t="s">
        <v>1085</v>
      </c>
      <c r="AL2419" s="494">
        <v>8619</v>
      </c>
      <c r="AM2419" s="474" t="s">
        <v>52</v>
      </c>
      <c r="AN2419" s="474" t="s">
        <v>1085</v>
      </c>
      <c r="AO2419" s="474"/>
      <c r="AP2419" s="474" t="s">
        <v>38</v>
      </c>
      <c r="AQ2419" s="474" t="s">
        <v>37</v>
      </c>
      <c r="AR2419" s="474"/>
      <c r="AS2419" s="387" t="s">
        <v>1076</v>
      </c>
      <c r="AT2419" s="387" t="s">
        <v>1076</v>
      </c>
      <c r="AU2419" s="471"/>
      <c r="AV2419" s="262" t="str">
        <f t="shared" si="425"/>
        <v>12005833C</v>
      </c>
      <c r="AW2419" s="262" cm="1">
        <f t="array" ref="AW2419">SUM(MID(0&amp;AV2419,LARGE(INDEX(ISNUMBER(--MID(AV2419,ROW($1:$8),1))*ROW($1:$8),),ROW($1:$8))+1,1)*10^ROW($1:$8)/10)</f>
        <v>12005833</v>
      </c>
      <c r="AX2419" s="262" t="str">
        <f>VLOOKUP($AW2419,'Item Master Data'!$A:$F,3,FALSE)</f>
        <v>Q.PEAK DUO XL G10 BFG</v>
      </c>
      <c r="AY2419" s="262">
        <f>VLOOKUP($AW2419,'Item Master Data'!$A:$F,6,FALSE)</f>
        <v>475</v>
      </c>
      <c r="AZ2419" s="262">
        <f t="shared" si="426"/>
        <v>43</v>
      </c>
      <c r="BA2419" s="262">
        <f>VLOOKUP(AW2419,'Item Master Data'!$A:$G,7,FALSE)</f>
        <v>30</v>
      </c>
      <c r="BC2419" s="262">
        <f t="shared" si="427"/>
        <v>0</v>
      </c>
    </row>
    <row r="2420" spans="1:55">
      <c r="A2420" s="410"/>
      <c r="B2420" s="407"/>
      <c r="C2420" s="407"/>
      <c r="D2420" s="474" t="s">
        <v>1066</v>
      </c>
      <c r="E2420" s="388"/>
      <c r="F2420" s="474" t="s">
        <v>1077</v>
      </c>
      <c r="G2420" s="474">
        <v>2022</v>
      </c>
      <c r="H2420" s="474">
        <v>3</v>
      </c>
      <c r="I2420" s="485">
        <v>127765</v>
      </c>
      <c r="J2420" s="475">
        <v>44650</v>
      </c>
      <c r="K2420" s="474" t="s">
        <v>1465</v>
      </c>
      <c r="L2420" s="475" t="s">
        <v>1447</v>
      </c>
      <c r="M2420" s="475">
        <v>44351</v>
      </c>
      <c r="N2420" s="475">
        <v>44378</v>
      </c>
      <c r="O2420" s="475"/>
      <c r="P2420" s="475">
        <v>44648</v>
      </c>
      <c r="Q2420" s="475">
        <v>44650</v>
      </c>
      <c r="R2420" s="475">
        <v>44651</v>
      </c>
      <c r="S2420" s="474" t="s">
        <v>1102</v>
      </c>
      <c r="T2420" s="474">
        <v>72</v>
      </c>
      <c r="U2420" s="474" t="s">
        <v>1082</v>
      </c>
      <c r="V2420" s="474" t="s">
        <v>995</v>
      </c>
      <c r="W2420" s="476">
        <v>475</v>
      </c>
      <c r="X2420" s="402">
        <f>2163-480-1290+27</f>
        <v>420</v>
      </c>
      <c r="Y2420" s="491">
        <f t="shared" si="420"/>
        <v>199500</v>
      </c>
      <c r="Z2420" s="478">
        <v>0.4</v>
      </c>
      <c r="AA2420" s="479">
        <f t="shared" si="428"/>
        <v>79800</v>
      </c>
      <c r="AB2420" s="386"/>
      <c r="AC2420" s="481">
        <f t="shared" si="429"/>
        <v>0</v>
      </c>
      <c r="AD2420" s="474"/>
      <c r="AE2420" s="482"/>
      <c r="AF2420" s="493">
        <f t="shared" si="422"/>
        <v>79800</v>
      </c>
      <c r="AG2420" s="474" t="s">
        <v>1071</v>
      </c>
      <c r="AH2420" s="447">
        <v>100</v>
      </c>
      <c r="AI2420" s="474"/>
      <c r="AJ2420" s="474" t="s">
        <v>1466</v>
      </c>
      <c r="AK2420" s="474" t="s">
        <v>1085</v>
      </c>
      <c r="AL2420" s="494">
        <v>18512</v>
      </c>
      <c r="AM2420" s="474" t="s">
        <v>52</v>
      </c>
      <c r="AN2420" s="474" t="s">
        <v>1085</v>
      </c>
      <c r="AO2420" s="474"/>
      <c r="AP2420" s="474" t="s">
        <v>38</v>
      </c>
      <c r="AQ2420" s="474" t="s">
        <v>37</v>
      </c>
      <c r="AR2420" s="474"/>
      <c r="AS2420" s="387" t="s">
        <v>1076</v>
      </c>
      <c r="AT2420" s="387" t="s">
        <v>1076</v>
      </c>
      <c r="AU2420" s="471"/>
      <c r="AV2420" s="262" t="str">
        <f t="shared" si="425"/>
        <v>12005833C</v>
      </c>
      <c r="AW2420" s="262" cm="1">
        <f t="array" ref="AW2420">SUM(MID(0&amp;AV2420,LARGE(INDEX(ISNUMBER(--MID(AV2420,ROW($1:$8),1))*ROW($1:$8),),ROW($1:$8))+1,1)*10^ROW($1:$8)/10)</f>
        <v>12005833</v>
      </c>
      <c r="AX2420" s="262" t="str">
        <f>VLOOKUP($AW2420,'Item Master Data'!$A:$F,3,FALSE)</f>
        <v>Q.PEAK DUO XL G10 BFG</v>
      </c>
      <c r="AY2420" s="262">
        <f>VLOOKUP($AW2420,'Item Master Data'!$A:$F,6,FALSE)</f>
        <v>475</v>
      </c>
      <c r="AZ2420" s="262">
        <f t="shared" si="426"/>
        <v>14</v>
      </c>
      <c r="BA2420" s="262">
        <f>VLOOKUP(AW2420,'Item Master Data'!$A:$G,7,FALSE)</f>
        <v>30</v>
      </c>
      <c r="BC2420" s="262">
        <f t="shared" si="427"/>
        <v>0</v>
      </c>
    </row>
    <row r="2421" spans="1:55">
      <c r="A2421" s="410"/>
      <c r="B2421" s="407"/>
      <c r="C2421" s="407"/>
      <c r="D2421" s="474" t="s">
        <v>1066</v>
      </c>
      <c r="E2421" s="388"/>
      <c r="F2421" s="474"/>
      <c r="G2421" s="474">
        <v>2022</v>
      </c>
      <c r="H2421" s="474">
        <v>3</v>
      </c>
      <c r="I2421" s="485">
        <v>127845</v>
      </c>
      <c r="J2421" s="475">
        <v>44650</v>
      </c>
      <c r="K2421" s="474" t="s">
        <v>1467</v>
      </c>
      <c r="L2421" s="475" t="s">
        <v>1468</v>
      </c>
      <c r="M2421" s="475">
        <v>44552</v>
      </c>
      <c r="N2421" s="475">
        <v>44562</v>
      </c>
      <c r="O2421" s="475"/>
      <c r="P2421" s="475">
        <v>44644</v>
      </c>
      <c r="Q2421" s="475">
        <v>44650</v>
      </c>
      <c r="R2421" s="475">
        <v>44655</v>
      </c>
      <c r="S2421" s="474" t="s">
        <v>1069</v>
      </c>
      <c r="T2421" s="474">
        <v>72</v>
      </c>
      <c r="U2421" s="474" t="s">
        <v>1103</v>
      </c>
      <c r="V2421" s="474" t="s">
        <v>1002</v>
      </c>
      <c r="W2421" s="476">
        <v>480</v>
      </c>
      <c r="X2421" s="402">
        <v>638</v>
      </c>
      <c r="Y2421" s="491">
        <f t="shared" si="420"/>
        <v>306240</v>
      </c>
      <c r="Z2421" s="478">
        <v>0.495</v>
      </c>
      <c r="AA2421" s="479">
        <f t="shared" si="428"/>
        <v>151588.79999999999</v>
      </c>
      <c r="AB2421" s="386"/>
      <c r="AC2421" s="481">
        <f t="shared" si="429"/>
        <v>0</v>
      </c>
      <c r="AD2421" s="474"/>
      <c r="AE2421" s="482"/>
      <c r="AF2421" s="493">
        <f t="shared" si="422"/>
        <v>151588.79999999999</v>
      </c>
      <c r="AG2421" s="474" t="s">
        <v>1071</v>
      </c>
      <c r="AH2421" s="447">
        <v>100</v>
      </c>
      <c r="AI2421" s="474">
        <v>0</v>
      </c>
      <c r="AJ2421" s="474" t="s">
        <v>1469</v>
      </c>
      <c r="AK2421" s="474" t="s">
        <v>1138</v>
      </c>
      <c r="AL2421" s="494">
        <v>12065</v>
      </c>
      <c r="AM2421" s="474" t="s">
        <v>52</v>
      </c>
      <c r="AN2421" s="474" t="s">
        <v>50</v>
      </c>
      <c r="AO2421" s="474"/>
      <c r="AP2421" s="474" t="s">
        <v>92</v>
      </c>
      <c r="AQ2421" s="474" t="s">
        <v>37</v>
      </c>
      <c r="AR2421" s="474"/>
      <c r="AS2421" s="387" t="s">
        <v>1076</v>
      </c>
      <c r="AT2421" s="387" t="s">
        <v>1076</v>
      </c>
      <c r="AU2421" s="471"/>
      <c r="AV2421" s="262" t="str">
        <f t="shared" si="425"/>
        <v>30397472F</v>
      </c>
      <c r="AW2421" s="262" cm="1">
        <f t="array" ref="AW2421">SUM(MID(0&amp;AV2421,LARGE(INDEX(ISNUMBER(--MID(AV2421,ROW($1:$8),1))*ROW($1:$8),),ROW($1:$8))+1,1)*10^ROW($1:$8)/10)</f>
        <v>30397472</v>
      </c>
      <c r="AX2421" s="262" t="str">
        <f>VLOOKUP($AW2421,'Item Master Data'!$A:$F,3,FALSE)</f>
        <v>Q.PEAK DUO XL G10</v>
      </c>
      <c r="AY2421" s="262">
        <f>VLOOKUP($AW2421,'Item Master Data'!$A:$F,6,FALSE)</f>
        <v>480</v>
      </c>
      <c r="AZ2421" s="262">
        <f t="shared" si="426"/>
        <v>22</v>
      </c>
      <c r="BA2421" s="262">
        <f>VLOOKUP(AW2421,'Item Master Data'!$A:$G,7,FALSE)</f>
        <v>29</v>
      </c>
      <c r="BC2421" s="262">
        <f t="shared" si="427"/>
        <v>0</v>
      </c>
    </row>
    <row r="2422" spans="1:55">
      <c r="A2422" s="410"/>
      <c r="B2422" s="407"/>
      <c r="C2422" s="407"/>
      <c r="D2422" s="474" t="s">
        <v>1066</v>
      </c>
      <c r="E2422" s="388" t="s">
        <v>1283</v>
      </c>
      <c r="F2422" s="474" t="s">
        <v>1077</v>
      </c>
      <c r="G2422" s="474">
        <v>2022</v>
      </c>
      <c r="H2422" s="474">
        <v>8</v>
      </c>
      <c r="I2422" s="485" t="s">
        <v>1091</v>
      </c>
      <c r="J2422" s="475"/>
      <c r="K2422" s="474" t="s">
        <v>1517</v>
      </c>
      <c r="L2422" s="475" t="s">
        <v>1514</v>
      </c>
      <c r="M2422" s="475">
        <v>44655</v>
      </c>
      <c r="N2422" s="475">
        <v>44774</v>
      </c>
      <c r="O2422" s="475"/>
      <c r="P2422" s="475"/>
      <c r="Q2422" s="475"/>
      <c r="R2422" s="475"/>
      <c r="S2422" s="474" t="s">
        <v>1069</v>
      </c>
      <c r="T2422" s="474">
        <v>72</v>
      </c>
      <c r="U2422" s="474" t="s">
        <v>1082</v>
      </c>
      <c r="V2422" s="474" t="s">
        <v>1070</v>
      </c>
      <c r="W2422" s="476">
        <v>480</v>
      </c>
      <c r="X2422" s="402">
        <v>6235</v>
      </c>
      <c r="Y2422" s="491">
        <f t="shared" si="420"/>
        <v>2992800</v>
      </c>
      <c r="Z2422" s="478">
        <v>0.53</v>
      </c>
      <c r="AA2422" s="479">
        <f t="shared" si="428"/>
        <v>1586184</v>
      </c>
      <c r="AB2422" s="386"/>
      <c r="AC2422" s="481">
        <f t="shared" si="429"/>
        <v>0</v>
      </c>
      <c r="AD2422" s="474"/>
      <c r="AE2422" s="482"/>
      <c r="AF2422" s="493">
        <f t="shared" si="422"/>
        <v>1586184</v>
      </c>
      <c r="AG2422" s="474" t="s">
        <v>47</v>
      </c>
      <c r="AH2422" s="447">
        <v>0</v>
      </c>
      <c r="AI2422" s="474">
        <v>45</v>
      </c>
      <c r="AJ2422" s="474" t="s">
        <v>1516</v>
      </c>
      <c r="AK2422" s="474" t="s">
        <v>1096</v>
      </c>
      <c r="AL2422" s="494">
        <v>2766</v>
      </c>
      <c r="AM2422" s="474" t="s">
        <v>52</v>
      </c>
      <c r="AN2422" s="474" t="s">
        <v>1085</v>
      </c>
      <c r="AO2422" s="474"/>
      <c r="AP2422" s="474" t="s">
        <v>38</v>
      </c>
      <c r="AQ2422" s="474" t="s">
        <v>1086</v>
      </c>
      <c r="AR2422" s="474"/>
      <c r="AS2422" s="387" t="s">
        <v>1087</v>
      </c>
      <c r="AT2422" s="387" t="s">
        <v>1076</v>
      </c>
      <c r="AU2422" s="471"/>
    </row>
    <row r="2423" spans="1:55">
      <c r="A2423" s="410"/>
      <c r="B2423" s="407"/>
      <c r="C2423" s="407"/>
      <c r="D2423" s="474" t="s">
        <v>1066</v>
      </c>
      <c r="E2423" s="388"/>
      <c r="F2423" s="474" t="s">
        <v>1376</v>
      </c>
      <c r="G2423" s="474">
        <v>2022</v>
      </c>
      <c r="H2423" s="474">
        <v>3</v>
      </c>
      <c r="I2423" s="485">
        <v>127288</v>
      </c>
      <c r="J2423" s="475">
        <v>44631</v>
      </c>
      <c r="K2423" s="474" t="s">
        <v>1474</v>
      </c>
      <c r="L2423" s="475" t="s">
        <v>1475</v>
      </c>
      <c r="M2423" s="475">
        <v>44559</v>
      </c>
      <c r="N2423" s="475">
        <v>44607</v>
      </c>
      <c r="O2423" s="475"/>
      <c r="P2423" s="475">
        <v>44600</v>
      </c>
      <c r="Q2423" s="475">
        <v>44628</v>
      </c>
      <c r="R2423" s="475">
        <v>44631</v>
      </c>
      <c r="S2423" s="474" t="s">
        <v>1472</v>
      </c>
      <c r="T2423" s="474">
        <v>72</v>
      </c>
      <c r="U2423" s="474">
        <v>49303156</v>
      </c>
      <c r="V2423" s="474" t="s">
        <v>1070</v>
      </c>
      <c r="W2423" s="476">
        <v>480</v>
      </c>
      <c r="X2423" s="402">
        <v>1595</v>
      </c>
      <c r="Y2423" s="491">
        <f t="shared" ref="Y2423:Y2486" si="430">W2423*X2423</f>
        <v>765600</v>
      </c>
      <c r="Z2423" s="478">
        <v>0.45</v>
      </c>
      <c r="AA2423" s="479">
        <f t="shared" si="428"/>
        <v>344520</v>
      </c>
      <c r="AB2423" s="386"/>
      <c r="AC2423" s="481">
        <f t="shared" si="429"/>
        <v>0</v>
      </c>
      <c r="AD2423" s="474"/>
      <c r="AE2423" s="482"/>
      <c r="AF2423" s="493">
        <f t="shared" si="422"/>
        <v>344520</v>
      </c>
      <c r="AG2423" s="474" t="s">
        <v>47</v>
      </c>
      <c r="AH2423" s="447">
        <v>0</v>
      </c>
      <c r="AI2423" s="474">
        <v>45</v>
      </c>
      <c r="AJ2423" s="474" t="s">
        <v>1476</v>
      </c>
      <c r="AK2423" s="474" t="s">
        <v>1190</v>
      </c>
      <c r="AL2423" s="494">
        <v>6111</v>
      </c>
      <c r="AM2423" s="474" t="s">
        <v>52</v>
      </c>
      <c r="AN2423" s="474" t="s">
        <v>1074</v>
      </c>
      <c r="AO2423" s="474"/>
      <c r="AP2423" s="474"/>
      <c r="AQ2423" s="474" t="s">
        <v>1086</v>
      </c>
      <c r="AR2423" s="474"/>
      <c r="AS2423" s="387" t="s">
        <v>1087</v>
      </c>
      <c r="AT2423" s="387" t="s">
        <v>1076</v>
      </c>
      <c r="AU2423" s="471"/>
      <c r="AV2423" s="262">
        <f>U2423</f>
        <v>49303156</v>
      </c>
      <c r="AW2423" s="262" cm="1">
        <f t="array" ref="AW2423">SUM(MID(0&amp;AV2423,LARGE(INDEX(ISNUMBER(--MID(AV2423,ROW($1:$8),1))*ROW($1:$8),),ROW($1:$8))+1,1)*10^ROW($1:$8)/10)</f>
        <v>49303156</v>
      </c>
      <c r="AX2423" s="262" t="str">
        <f>VLOOKUP($AW2423,'Item Master Data'!$A:$F,3,FALSE)</f>
        <v>Q.PEAK DUO XL G10 BFG</v>
      </c>
      <c r="AY2423" s="262">
        <f>VLOOKUP($AW2423,'Item Master Data'!$A:$F,6,FALSE)</f>
        <v>480</v>
      </c>
      <c r="AZ2423" s="262">
        <f>X2423/BA2423</f>
        <v>55</v>
      </c>
      <c r="BA2423" s="262">
        <f>VLOOKUP(AW2423,'Item Master Data'!$A:$G,7,FALSE)</f>
        <v>29</v>
      </c>
      <c r="BC2423" s="262">
        <f>W2423-AY2423</f>
        <v>0</v>
      </c>
    </row>
    <row r="2424" spans="1:55">
      <c r="A2424" s="410"/>
      <c r="B2424" s="407"/>
      <c r="C2424" s="407"/>
      <c r="D2424" s="474" t="s">
        <v>1066</v>
      </c>
      <c r="E2424" s="388" t="s">
        <v>1171</v>
      </c>
      <c r="F2424" s="474"/>
      <c r="G2424" s="474">
        <v>2022</v>
      </c>
      <c r="H2424" s="474">
        <v>7</v>
      </c>
      <c r="I2424" s="485"/>
      <c r="J2424" s="475"/>
      <c r="K2424" s="474" t="s">
        <v>1338</v>
      </c>
      <c r="L2424" s="475" t="s">
        <v>1313</v>
      </c>
      <c r="M2424" s="475">
        <v>44509</v>
      </c>
      <c r="N2424" s="475">
        <v>44751</v>
      </c>
      <c r="O2424" s="475"/>
      <c r="P2424" s="475"/>
      <c r="Q2424" s="475"/>
      <c r="R2424" s="475"/>
      <c r="S2424" s="474" t="s">
        <v>1114</v>
      </c>
      <c r="T2424" s="474">
        <v>60</v>
      </c>
      <c r="U2424" s="474">
        <v>49401140</v>
      </c>
      <c r="V2424" s="474" t="s">
        <v>973</v>
      </c>
      <c r="W2424" s="476">
        <v>400</v>
      </c>
      <c r="X2424" s="402">
        <v>11264</v>
      </c>
      <c r="Y2424" s="491">
        <f t="shared" si="430"/>
        <v>4505600</v>
      </c>
      <c r="Z2424" s="478">
        <v>0.52</v>
      </c>
      <c r="AA2424" s="479">
        <f>Y2424*Z2424</f>
        <v>2342912</v>
      </c>
      <c r="AB2424" s="386"/>
      <c r="AC2424" s="481">
        <v>0</v>
      </c>
      <c r="AD2424" s="474"/>
      <c r="AE2424" s="482"/>
      <c r="AF2424" s="493">
        <f t="shared" si="422"/>
        <v>2342912</v>
      </c>
      <c r="AG2424" s="474" t="s">
        <v>1071</v>
      </c>
      <c r="AH2424" s="447"/>
      <c r="AI2424" s="474">
        <v>60</v>
      </c>
      <c r="AJ2424" s="474" t="s">
        <v>1314</v>
      </c>
      <c r="AK2424" s="474" t="s">
        <v>1125</v>
      </c>
      <c r="AL2424" s="494" t="s">
        <v>1315</v>
      </c>
      <c r="AM2424" s="474" t="s">
        <v>52</v>
      </c>
      <c r="AN2424" s="474" t="s">
        <v>1074</v>
      </c>
      <c r="AO2424" s="474"/>
      <c r="AP2424" s="474"/>
      <c r="AQ2424" s="474" t="s">
        <v>37</v>
      </c>
      <c r="AR2424" s="474"/>
      <c r="AS2424" s="387"/>
      <c r="AT2424" s="387"/>
      <c r="AU2424" s="471"/>
      <c r="AV2424" s="262">
        <f>U2424</f>
        <v>49401140</v>
      </c>
      <c r="AW2424" s="262" cm="1">
        <f t="array" ref="AW2424">SUM(MID(0&amp;AV2424,LARGE(INDEX(ISNUMBER(--MID(AV2424,ROW($1:$8),1))*ROW($1:$8),),ROW($1:$8))+1,1)*10^ROW($1:$8)/10)</f>
        <v>49401140</v>
      </c>
      <c r="AX2424" s="262" t="str">
        <f>VLOOKUP($AW2424,'Item Master Data'!$A:$F,3,FALSE)</f>
        <v>Q.PEAK DUO BLK ML G10.a+</v>
      </c>
      <c r="AY2424" s="262">
        <f>VLOOKUP($AW2424,'Item Master Data'!$A:$F,6,FALSE)</f>
        <v>400</v>
      </c>
      <c r="AZ2424" s="262">
        <f>X2424/BA2424</f>
        <v>352</v>
      </c>
      <c r="BA2424" s="262">
        <f>VLOOKUP(AW2424,'Item Master Data'!$A:$G,7,FALSE)</f>
        <v>32</v>
      </c>
      <c r="BC2424" s="262">
        <f>W2424-AY2424</f>
        <v>0</v>
      </c>
    </row>
    <row r="2425" spans="1:55">
      <c r="A2425" s="410"/>
      <c r="B2425" s="407"/>
      <c r="C2425" s="407"/>
      <c r="D2425" s="474" t="s">
        <v>1066</v>
      </c>
      <c r="E2425" s="388"/>
      <c r="F2425" s="474"/>
      <c r="G2425" s="474">
        <v>2022</v>
      </c>
      <c r="H2425" s="474">
        <v>7</v>
      </c>
      <c r="I2425" s="485"/>
      <c r="J2425" s="475"/>
      <c r="K2425" s="474" t="s">
        <v>1338</v>
      </c>
      <c r="L2425" s="475" t="s">
        <v>1313</v>
      </c>
      <c r="M2425" s="475">
        <v>44509</v>
      </c>
      <c r="N2425" s="475">
        <v>44751</v>
      </c>
      <c r="O2425" s="475"/>
      <c r="P2425" s="475"/>
      <c r="Q2425" s="475"/>
      <c r="R2425" s="475"/>
      <c r="S2425" s="474" t="s">
        <v>1114</v>
      </c>
      <c r="T2425" s="474">
        <v>60</v>
      </c>
      <c r="U2425" s="474">
        <v>49201132</v>
      </c>
      <c r="V2425" s="474" t="s">
        <v>986</v>
      </c>
      <c r="W2425" s="476">
        <v>360</v>
      </c>
      <c r="X2425" s="402">
        <v>11648</v>
      </c>
      <c r="Y2425" s="491">
        <f t="shared" si="430"/>
        <v>4193280</v>
      </c>
      <c r="Z2425" s="478">
        <v>0.5</v>
      </c>
      <c r="AA2425" s="479">
        <f>Y2425*Z2425</f>
        <v>2096640</v>
      </c>
      <c r="AB2425" s="386"/>
      <c r="AC2425" s="481">
        <v>0</v>
      </c>
      <c r="AD2425" s="474"/>
      <c r="AE2425" s="482"/>
      <c r="AF2425" s="493">
        <f t="shared" si="422"/>
        <v>2096640</v>
      </c>
      <c r="AG2425" s="474" t="s">
        <v>1071</v>
      </c>
      <c r="AH2425" s="447"/>
      <c r="AI2425" s="474">
        <v>60</v>
      </c>
      <c r="AJ2425" s="474" t="s">
        <v>1314</v>
      </c>
      <c r="AK2425" s="474" t="s">
        <v>1125</v>
      </c>
      <c r="AL2425" s="494" t="s">
        <v>1315</v>
      </c>
      <c r="AM2425" s="474" t="s">
        <v>52</v>
      </c>
      <c r="AN2425" s="474" t="s">
        <v>1074</v>
      </c>
      <c r="AO2425" s="474"/>
      <c r="AP2425" s="474"/>
      <c r="AQ2425" s="474" t="s">
        <v>37</v>
      </c>
      <c r="AR2425" s="474"/>
      <c r="AS2425" s="387"/>
      <c r="AT2425" s="387"/>
      <c r="AU2425" s="471"/>
      <c r="AV2425" s="262">
        <f>U2425</f>
        <v>49201132</v>
      </c>
      <c r="AW2425" s="262" cm="1">
        <f t="array" ref="AW2425">SUM(MID(0&amp;AV2425,LARGE(INDEX(ISNUMBER(--MID(AV2425,ROW($1:$8),1))*ROW($1:$8),),ROW($1:$8))+1,1)*10^ROW($1:$8)/10)</f>
        <v>49201132</v>
      </c>
      <c r="AX2425" s="262" t="str">
        <f>VLOOKUP($AW2425,'Item Master Data'!$A:$F,3,FALSE)</f>
        <v>Q.PEAK DUO BLK G10+</v>
      </c>
      <c r="AY2425" s="262">
        <f>VLOOKUP($AW2425,'Item Master Data'!$A:$F,6,FALSE)</f>
        <v>360</v>
      </c>
      <c r="AZ2425" s="262">
        <f>X2425/BA2425</f>
        <v>364</v>
      </c>
      <c r="BA2425" s="262">
        <f>VLOOKUP(AW2425,'Item Master Data'!$A:$G,7,FALSE)</f>
        <v>32</v>
      </c>
      <c r="BC2425" s="262">
        <f>W2425-AY2425</f>
        <v>0</v>
      </c>
    </row>
    <row r="2426" spans="1:55">
      <c r="A2426" s="410"/>
      <c r="B2426" s="407"/>
      <c r="C2426" s="407"/>
      <c r="D2426" s="474" t="s">
        <v>1066</v>
      </c>
      <c r="E2426" s="388" t="s">
        <v>1283</v>
      </c>
      <c r="F2426" s="474" t="s">
        <v>1147</v>
      </c>
      <c r="G2426" s="474">
        <v>2022</v>
      </c>
      <c r="H2426" s="474">
        <v>8</v>
      </c>
      <c r="I2426" s="485">
        <v>2005238</v>
      </c>
      <c r="J2426" s="475"/>
      <c r="K2426" s="516" t="s">
        <v>1522</v>
      </c>
      <c r="L2426" s="475" t="s">
        <v>1520</v>
      </c>
      <c r="M2426" s="475">
        <v>44481</v>
      </c>
      <c r="N2426" s="475">
        <v>44781</v>
      </c>
      <c r="O2426" s="475"/>
      <c r="P2426" s="475"/>
      <c r="Q2426" s="475"/>
      <c r="R2426" s="475"/>
      <c r="S2426" s="474" t="s">
        <v>1388</v>
      </c>
      <c r="T2426" s="474">
        <v>72</v>
      </c>
      <c r="U2426" s="474">
        <v>49303156</v>
      </c>
      <c r="V2426" s="474" t="s">
        <v>1070</v>
      </c>
      <c r="W2426" s="476">
        <v>480</v>
      </c>
      <c r="X2426" s="402">
        <v>12600</v>
      </c>
      <c r="Y2426" s="491">
        <f t="shared" si="430"/>
        <v>6048000</v>
      </c>
      <c r="Z2426" s="478">
        <v>0.39500000000000002</v>
      </c>
      <c r="AA2426" s="479">
        <f t="shared" ref="AA2426:AA2432" si="431">Z2426*Y2426</f>
        <v>2388960</v>
      </c>
      <c r="AB2426" s="386"/>
      <c r="AC2426" s="481">
        <f t="shared" ref="AC2426:AC2432" si="432">AB2426*Y2426</f>
        <v>0</v>
      </c>
      <c r="AD2426" s="474"/>
      <c r="AE2426" s="482"/>
      <c r="AF2426" s="493">
        <f t="shared" si="422"/>
        <v>2388960</v>
      </c>
      <c r="AG2426" s="474" t="s">
        <v>47</v>
      </c>
      <c r="AH2426" s="447">
        <v>10</v>
      </c>
      <c r="AI2426" s="474">
        <v>45</v>
      </c>
      <c r="AJ2426" s="474" t="s">
        <v>1523</v>
      </c>
      <c r="AK2426" s="474" t="s">
        <v>1158</v>
      </c>
      <c r="AL2426" s="494">
        <v>27850</v>
      </c>
      <c r="AM2426" s="474" t="s">
        <v>52</v>
      </c>
      <c r="AN2426" s="474" t="s">
        <v>1109</v>
      </c>
      <c r="AO2426" s="474"/>
      <c r="AP2426" s="474" t="s">
        <v>1109</v>
      </c>
      <c r="AQ2426" s="474"/>
      <c r="AR2426" s="474"/>
      <c r="AS2426" s="387"/>
      <c r="AT2426" s="387"/>
      <c r="AU2426" s="471"/>
    </row>
    <row r="2427" spans="1:55">
      <c r="A2427" s="410"/>
      <c r="B2427" s="407"/>
      <c r="C2427" s="407"/>
      <c r="D2427" s="474" t="s">
        <v>1066</v>
      </c>
      <c r="E2427" s="388" t="s">
        <v>1271</v>
      </c>
      <c r="F2427" s="474"/>
      <c r="G2427" s="474">
        <v>2022</v>
      </c>
      <c r="H2427" s="474">
        <v>8</v>
      </c>
      <c r="I2427" s="485"/>
      <c r="J2427" s="475"/>
      <c r="K2427" s="474" t="s">
        <v>1272</v>
      </c>
      <c r="L2427" s="475" t="s">
        <v>1242</v>
      </c>
      <c r="M2427" s="475">
        <v>44516</v>
      </c>
      <c r="N2427" s="475">
        <v>44655</v>
      </c>
      <c r="O2427" s="475">
        <v>44774</v>
      </c>
      <c r="P2427" s="475"/>
      <c r="Q2427" s="475"/>
      <c r="R2427" s="475"/>
      <c r="S2427" s="474" t="s">
        <v>1114</v>
      </c>
      <c r="T2427" s="474">
        <v>60</v>
      </c>
      <c r="U2427" s="474">
        <v>49401140</v>
      </c>
      <c r="V2427" s="474" t="s">
        <v>973</v>
      </c>
      <c r="W2427" s="476">
        <v>400</v>
      </c>
      <c r="X2427" s="402">
        <v>2304</v>
      </c>
      <c r="Y2427" s="491">
        <f t="shared" si="430"/>
        <v>921600</v>
      </c>
      <c r="Z2427" s="478">
        <v>0.52</v>
      </c>
      <c r="AA2427" s="479">
        <f t="shared" si="431"/>
        <v>479232</v>
      </c>
      <c r="AB2427" s="386"/>
      <c r="AC2427" s="481">
        <f t="shared" si="432"/>
        <v>0</v>
      </c>
      <c r="AD2427" s="474"/>
      <c r="AE2427" s="482"/>
      <c r="AF2427" s="493">
        <f t="shared" si="422"/>
        <v>479232</v>
      </c>
      <c r="AG2427" s="474" t="s">
        <v>1071</v>
      </c>
      <c r="AH2427" s="447">
        <v>0</v>
      </c>
      <c r="AI2427" s="474">
        <v>60</v>
      </c>
      <c r="AJ2427" s="474" t="s">
        <v>1243</v>
      </c>
      <c r="AK2427" s="474" t="s">
        <v>1244</v>
      </c>
      <c r="AL2427" s="494" t="s">
        <v>1245</v>
      </c>
      <c r="AM2427" s="474" t="s">
        <v>52</v>
      </c>
      <c r="AN2427" s="474" t="s">
        <v>1074</v>
      </c>
      <c r="AO2427" s="474"/>
      <c r="AP2427" s="474"/>
      <c r="AQ2427" s="474" t="s">
        <v>1086</v>
      </c>
      <c r="AR2427" s="474"/>
      <c r="AS2427" s="387" t="s">
        <v>1076</v>
      </c>
      <c r="AT2427" s="387" t="s">
        <v>1076</v>
      </c>
      <c r="AU2427" s="471"/>
    </row>
    <row r="2428" spans="1:55">
      <c r="A2428" s="410"/>
      <c r="B2428" s="407"/>
      <c r="C2428" s="407"/>
      <c r="D2428" s="474" t="s">
        <v>1066</v>
      </c>
      <c r="E2428" s="388" t="s">
        <v>1283</v>
      </c>
      <c r="F2428" s="474" t="s">
        <v>1147</v>
      </c>
      <c r="G2428" s="474">
        <v>2022</v>
      </c>
      <c r="H2428" s="474">
        <v>8</v>
      </c>
      <c r="I2428" s="485">
        <v>2005237</v>
      </c>
      <c r="J2428" s="475"/>
      <c r="K2428" s="516" t="s">
        <v>1526</v>
      </c>
      <c r="L2428" s="475" t="s">
        <v>1520</v>
      </c>
      <c r="M2428" s="475">
        <v>44481</v>
      </c>
      <c r="N2428" s="475">
        <v>44791</v>
      </c>
      <c r="O2428" s="475"/>
      <c r="P2428" s="475"/>
      <c r="Q2428" s="475"/>
      <c r="R2428" s="475"/>
      <c r="S2428" s="474" t="s">
        <v>1388</v>
      </c>
      <c r="T2428" s="474">
        <v>72</v>
      </c>
      <c r="U2428" s="474">
        <v>49303156</v>
      </c>
      <c r="V2428" s="474" t="s">
        <v>1070</v>
      </c>
      <c r="W2428" s="476">
        <v>480</v>
      </c>
      <c r="X2428" s="402">
        <v>7380</v>
      </c>
      <c r="Y2428" s="491">
        <f t="shared" si="430"/>
        <v>3542400</v>
      </c>
      <c r="Z2428" s="478">
        <v>0.39500000000000002</v>
      </c>
      <c r="AA2428" s="479">
        <f t="shared" si="431"/>
        <v>1399248</v>
      </c>
      <c r="AB2428" s="386"/>
      <c r="AC2428" s="481">
        <f t="shared" si="432"/>
        <v>0</v>
      </c>
      <c r="AD2428" s="474"/>
      <c r="AE2428" s="482"/>
      <c r="AF2428" s="493">
        <f t="shared" si="422"/>
        <v>1399248</v>
      </c>
      <c r="AG2428" s="474" t="s">
        <v>47</v>
      </c>
      <c r="AH2428" s="447">
        <v>10</v>
      </c>
      <c r="AI2428" s="474">
        <v>45</v>
      </c>
      <c r="AJ2428" s="474" t="s">
        <v>1369</v>
      </c>
      <c r="AK2428" s="474" t="s">
        <v>1158</v>
      </c>
      <c r="AL2428" s="494">
        <v>27217</v>
      </c>
      <c r="AM2428" s="474" t="s">
        <v>52</v>
      </c>
      <c r="AN2428" s="474" t="s">
        <v>1109</v>
      </c>
      <c r="AO2428" s="474"/>
      <c r="AP2428" s="474" t="s">
        <v>1109</v>
      </c>
      <c r="AQ2428" s="474"/>
      <c r="AR2428" s="474"/>
      <c r="AS2428" s="387"/>
      <c r="AT2428" s="387"/>
      <c r="AU2428" s="471"/>
      <c r="AV2428" s="262">
        <f>U2428</f>
        <v>49303156</v>
      </c>
      <c r="AW2428" s="262" cm="1">
        <f t="array" ref="AW2428">SUM(MID(0&amp;AV2428,LARGE(INDEX(ISNUMBER(--MID(AV2428,ROW($1:$8),1))*ROW($1:$8),),ROW($1:$8))+1,1)*10^ROW($1:$8)/10)</f>
        <v>49303156</v>
      </c>
      <c r="AX2428" s="262" t="str">
        <f>VLOOKUP($AW2428,'Item Master Data'!$A:$F,3,FALSE)</f>
        <v>Q.PEAK DUO XL G10 BFG</v>
      </c>
      <c r="AY2428" s="262">
        <f>VLOOKUP($AW2428,'Item Master Data'!$A:$F,6,FALSE)</f>
        <v>480</v>
      </c>
      <c r="AZ2428" s="262">
        <f>X2428/BA2428</f>
        <v>254.48275862068965</v>
      </c>
      <c r="BA2428" s="262">
        <f>VLOOKUP(AW2428,'Item Master Data'!$A:$G,7,FALSE)</f>
        <v>29</v>
      </c>
      <c r="BC2428" s="262">
        <f>W2428-AY2428</f>
        <v>0</v>
      </c>
    </row>
    <row r="2429" spans="1:55">
      <c r="A2429" s="410"/>
      <c r="B2429" s="407"/>
      <c r="C2429" s="407"/>
      <c r="D2429" s="474" t="s">
        <v>1066</v>
      </c>
      <c r="E2429" s="388" t="s">
        <v>1171</v>
      </c>
      <c r="F2429" s="474" t="s">
        <v>1077</v>
      </c>
      <c r="G2429" s="474">
        <v>2023</v>
      </c>
      <c r="H2429" s="474">
        <v>8</v>
      </c>
      <c r="I2429" s="485"/>
      <c r="J2429" s="475"/>
      <c r="K2429" s="474" t="s">
        <v>1550</v>
      </c>
      <c r="L2429" s="475" t="s">
        <v>1535</v>
      </c>
      <c r="M2429" s="475">
        <v>44644</v>
      </c>
      <c r="N2429" s="475">
        <v>44743</v>
      </c>
      <c r="O2429" s="475"/>
      <c r="P2429" s="475"/>
      <c r="Q2429" s="475"/>
      <c r="R2429" s="475"/>
      <c r="S2429" s="474" t="s">
        <v>1102</v>
      </c>
      <c r="T2429" s="474">
        <v>72</v>
      </c>
      <c r="U2429" s="474"/>
      <c r="V2429" s="474" t="s">
        <v>1070</v>
      </c>
      <c r="W2429" s="476">
        <v>480</v>
      </c>
      <c r="X2429" s="402">
        <v>20851</v>
      </c>
      <c r="Y2429" s="491">
        <f t="shared" si="430"/>
        <v>10008480</v>
      </c>
      <c r="Z2429" s="478">
        <v>0.43</v>
      </c>
      <c r="AA2429" s="479">
        <f t="shared" si="431"/>
        <v>4303646.4000000004</v>
      </c>
      <c r="AB2429" s="386"/>
      <c r="AC2429" s="481">
        <f t="shared" si="432"/>
        <v>0</v>
      </c>
      <c r="AD2429" s="474"/>
      <c r="AE2429" s="482"/>
      <c r="AF2429" s="493">
        <f t="shared" si="422"/>
        <v>4303646.4000000004</v>
      </c>
      <c r="AG2429" s="474" t="s">
        <v>47</v>
      </c>
      <c r="AH2429" s="447">
        <v>100</v>
      </c>
      <c r="AI2429" s="474">
        <v>0</v>
      </c>
      <c r="AJ2429" s="474" t="s">
        <v>1109</v>
      </c>
      <c r="AK2429" s="474" t="s">
        <v>1109</v>
      </c>
      <c r="AL2429" s="494" t="s">
        <v>1109</v>
      </c>
      <c r="AM2429" s="474" t="s">
        <v>52</v>
      </c>
      <c r="AN2429" s="474" t="s">
        <v>1109</v>
      </c>
      <c r="AO2429" s="474"/>
      <c r="AP2429" s="474" t="s">
        <v>38</v>
      </c>
      <c r="AQ2429" s="474" t="s">
        <v>1086</v>
      </c>
      <c r="AR2429" s="474"/>
      <c r="AS2429" s="387" t="s">
        <v>1087</v>
      </c>
      <c r="AT2429" s="387" t="s">
        <v>1076</v>
      </c>
      <c r="AU2429" s="471"/>
    </row>
    <row r="2430" spans="1:55">
      <c r="A2430" s="410"/>
      <c r="B2430" s="407"/>
      <c r="C2430" s="407"/>
      <c r="D2430" s="474" t="s">
        <v>1066</v>
      </c>
      <c r="E2430" s="388"/>
      <c r="F2430" s="474" t="s">
        <v>1077</v>
      </c>
      <c r="G2430" s="474">
        <v>2022</v>
      </c>
      <c r="H2430" s="474">
        <v>3</v>
      </c>
      <c r="I2430" s="485">
        <v>127283</v>
      </c>
      <c r="J2430" s="475">
        <v>44634</v>
      </c>
      <c r="K2430" s="474">
        <v>21196115</v>
      </c>
      <c r="L2430" s="475" t="s">
        <v>1489</v>
      </c>
      <c r="M2430" s="475">
        <v>44392</v>
      </c>
      <c r="N2430" s="475">
        <v>44451</v>
      </c>
      <c r="O2430" s="475"/>
      <c r="P2430" s="475">
        <v>44628</v>
      </c>
      <c r="Q2430" s="475">
        <v>44631</v>
      </c>
      <c r="R2430" s="475">
        <v>44634</v>
      </c>
      <c r="S2430" s="474" t="s">
        <v>1388</v>
      </c>
      <c r="T2430" s="474">
        <v>72</v>
      </c>
      <c r="U2430" s="474">
        <v>49301156</v>
      </c>
      <c r="V2430" s="474" t="s">
        <v>1002</v>
      </c>
      <c r="W2430" s="476">
        <v>480</v>
      </c>
      <c r="X2430" s="402">
        <v>1421</v>
      </c>
      <c r="Y2430" s="491">
        <f t="shared" si="430"/>
        <v>682080</v>
      </c>
      <c r="Z2430" s="478">
        <v>0.47</v>
      </c>
      <c r="AA2430" s="479">
        <f t="shared" si="431"/>
        <v>320577.59999999998</v>
      </c>
      <c r="AB2430" s="386"/>
      <c r="AC2430" s="481">
        <f t="shared" si="432"/>
        <v>0</v>
      </c>
      <c r="AD2430" s="474"/>
      <c r="AE2430" s="482"/>
      <c r="AF2430" s="493">
        <f t="shared" si="422"/>
        <v>320577.59999999998</v>
      </c>
      <c r="AG2430" s="474" t="s">
        <v>47</v>
      </c>
      <c r="AH2430" s="447">
        <v>10</v>
      </c>
      <c r="AI2430" s="474">
        <v>30</v>
      </c>
      <c r="AJ2430" s="474" t="s">
        <v>1490</v>
      </c>
      <c r="AK2430" s="474" t="s">
        <v>1491</v>
      </c>
      <c r="AL2430" s="494">
        <v>53704</v>
      </c>
      <c r="AM2430" s="474" t="s">
        <v>52</v>
      </c>
      <c r="AN2430" s="474" t="s">
        <v>1074</v>
      </c>
      <c r="AO2430" s="474"/>
      <c r="AP2430" s="474"/>
      <c r="AQ2430" s="474"/>
      <c r="AR2430" s="474"/>
      <c r="AS2430" s="387"/>
      <c r="AT2430" s="387"/>
      <c r="AU2430" s="471"/>
      <c r="AV2430" s="262">
        <f t="shared" ref="AV2430:AV2452" si="433">U2430</f>
        <v>49301156</v>
      </c>
      <c r="AW2430" s="262" cm="1">
        <f t="array" ref="AW2430">SUM(MID(0&amp;AV2430,LARGE(INDEX(ISNUMBER(--MID(AV2430,ROW($1:$8),1))*ROW($1:$8),),ROW($1:$8))+1,1)*10^ROW($1:$8)/10)</f>
        <v>49301156</v>
      </c>
      <c r="AX2430" s="262" t="str">
        <f>VLOOKUP($AW2430,'Item Master Data'!$A:$F,3,FALSE)</f>
        <v>Q.PEAK DUO XL G10</v>
      </c>
      <c r="AY2430" s="262">
        <f>VLOOKUP($AW2430,'Item Master Data'!$A:$F,6,FALSE)</f>
        <v>480</v>
      </c>
      <c r="AZ2430" s="262">
        <f t="shared" ref="AZ2430:AZ2452" si="434">X2430/BA2430</f>
        <v>49</v>
      </c>
      <c r="BA2430" s="262">
        <f>VLOOKUP(AW2430,'Item Master Data'!$A:$G,7,FALSE)</f>
        <v>29</v>
      </c>
      <c r="BC2430" s="262">
        <f t="shared" ref="BC2430:BC2452" si="435">W2430-AY2430</f>
        <v>0</v>
      </c>
    </row>
    <row r="2431" spans="1:55">
      <c r="A2431" s="410"/>
      <c r="B2431" s="407"/>
      <c r="C2431" s="407"/>
      <c r="D2431" s="474" t="s">
        <v>1066</v>
      </c>
      <c r="E2431" s="388"/>
      <c r="F2431" s="474" t="s">
        <v>1077</v>
      </c>
      <c r="G2431" s="474">
        <v>2022</v>
      </c>
      <c r="H2431" s="474">
        <v>6</v>
      </c>
      <c r="I2431" s="485" t="s">
        <v>1493</v>
      </c>
      <c r="J2431" s="475"/>
      <c r="K2431" s="474" t="s">
        <v>1494</v>
      </c>
      <c r="L2431" s="475" t="s">
        <v>1495</v>
      </c>
      <c r="M2431" s="475">
        <v>44912</v>
      </c>
      <c r="N2431" s="475">
        <v>44652</v>
      </c>
      <c r="O2431" s="475"/>
      <c r="P2431" s="475"/>
      <c r="Q2431" s="475"/>
      <c r="R2431" s="475"/>
      <c r="S2431" s="474" t="s">
        <v>1388</v>
      </c>
      <c r="T2431" s="474">
        <v>72</v>
      </c>
      <c r="U2431" s="474" t="s">
        <v>1423</v>
      </c>
      <c r="V2431" s="474" t="s">
        <v>1115</v>
      </c>
      <c r="W2431" s="476">
        <v>575</v>
      </c>
      <c r="X2431" s="402">
        <v>31871</v>
      </c>
      <c r="Y2431" s="491">
        <f t="shared" si="430"/>
        <v>18325825</v>
      </c>
      <c r="Z2431" s="478">
        <v>0.45</v>
      </c>
      <c r="AA2431" s="479">
        <f t="shared" si="431"/>
        <v>8246621.25</v>
      </c>
      <c r="AB2431" s="386"/>
      <c r="AC2431" s="481">
        <f t="shared" si="432"/>
        <v>0</v>
      </c>
      <c r="AD2431" s="474"/>
      <c r="AE2431" s="482"/>
      <c r="AF2431" s="493">
        <f t="shared" si="422"/>
        <v>8246621.25</v>
      </c>
      <c r="AG2431" s="474" t="s">
        <v>47</v>
      </c>
      <c r="AH2431" s="447">
        <v>5</v>
      </c>
      <c r="AI2431" s="474">
        <v>30</v>
      </c>
      <c r="AJ2431" s="474" t="s">
        <v>1496</v>
      </c>
      <c r="AK2431" s="474" t="s">
        <v>1096</v>
      </c>
      <c r="AL2431" s="494" t="s">
        <v>1497</v>
      </c>
      <c r="AM2431" s="474" t="s">
        <v>52</v>
      </c>
      <c r="AN2431" s="474" t="s">
        <v>1085</v>
      </c>
      <c r="AO2431" s="474"/>
      <c r="AP2431" s="474" t="s">
        <v>92</v>
      </c>
      <c r="AQ2431" s="474"/>
      <c r="AR2431" s="474"/>
      <c r="AS2431" s="387"/>
      <c r="AT2431" s="387"/>
      <c r="AU2431" s="471"/>
      <c r="AV2431" s="262" t="str">
        <f t="shared" si="433"/>
        <v>30391491C</v>
      </c>
      <c r="AW2431" s="262" cm="1">
        <f t="array" ref="AW2431">SUM(MID(0&amp;AV2431,LARGE(INDEX(ISNUMBER(--MID(AV2431,ROW($1:$8),1))*ROW($1:$8),),ROW($1:$8))+1,1)*10^ROW($1:$8)/10)</f>
        <v>30391491</v>
      </c>
      <c r="AX2431" s="262" t="e">
        <f>VLOOKUP($AW2431,'Item Master Data'!$A:$F,3,FALSE)</f>
        <v>#N/A</v>
      </c>
      <c r="AY2431" s="262" t="e">
        <f>VLOOKUP($AW2431,'Item Master Data'!$A:$F,6,FALSE)</f>
        <v>#N/A</v>
      </c>
      <c r="AZ2431" s="262" t="e">
        <f t="shared" si="434"/>
        <v>#N/A</v>
      </c>
      <c r="BA2431" s="262" t="e">
        <f>VLOOKUP(AW2431,'Item Master Data'!$A:$G,7,FALSE)</f>
        <v>#N/A</v>
      </c>
      <c r="BC2431" s="262" t="e">
        <f t="shared" si="435"/>
        <v>#N/A</v>
      </c>
    </row>
    <row r="2432" spans="1:55">
      <c r="A2432" s="410"/>
      <c r="B2432" s="407"/>
      <c r="C2432" s="407"/>
      <c r="D2432" s="474" t="s">
        <v>1066</v>
      </c>
      <c r="E2432" s="388" t="s">
        <v>5195</v>
      </c>
      <c r="F2432" s="474" t="s">
        <v>1077</v>
      </c>
      <c r="G2432" s="474">
        <v>2022</v>
      </c>
      <c r="H2432" s="474">
        <v>8</v>
      </c>
      <c r="I2432" s="485">
        <v>2005091</v>
      </c>
      <c r="J2432" s="475"/>
      <c r="K2432" s="474" t="s">
        <v>1648</v>
      </c>
      <c r="L2432" s="475" t="s">
        <v>1644</v>
      </c>
      <c r="M2432" s="475">
        <v>44510</v>
      </c>
      <c r="N2432" s="475">
        <v>44790</v>
      </c>
      <c r="O2432" s="475"/>
      <c r="P2432" s="475"/>
      <c r="Q2432" s="475"/>
      <c r="R2432" s="475"/>
      <c r="S2432" s="474" t="s">
        <v>1069</v>
      </c>
      <c r="T2432" s="474">
        <v>72</v>
      </c>
      <c r="U2432" s="474"/>
      <c r="V2432" s="474" t="s">
        <v>1070</v>
      </c>
      <c r="W2432" s="476">
        <v>480</v>
      </c>
      <c r="X2432" s="402">
        <v>7656</v>
      </c>
      <c r="Y2432" s="491">
        <f t="shared" si="430"/>
        <v>3674880</v>
      </c>
      <c r="Z2432" s="478">
        <v>0.46500000000000002</v>
      </c>
      <c r="AA2432" s="492">
        <f t="shared" si="431"/>
        <v>1708819.2000000002</v>
      </c>
      <c r="AB2432" s="386"/>
      <c r="AC2432" s="481">
        <f t="shared" si="432"/>
        <v>0</v>
      </c>
      <c r="AD2432" s="474"/>
      <c r="AE2432" s="482"/>
      <c r="AF2432" s="493">
        <f t="shared" si="422"/>
        <v>1708819.2000000002</v>
      </c>
      <c r="AG2432" s="474" t="s">
        <v>1071</v>
      </c>
      <c r="AH2432" s="447">
        <v>10</v>
      </c>
      <c r="AI2432" s="474">
        <v>30</v>
      </c>
      <c r="AJ2432" s="474" t="s">
        <v>1109</v>
      </c>
      <c r="AK2432" s="474" t="s">
        <v>1109</v>
      </c>
      <c r="AL2432" s="494" t="s">
        <v>1109</v>
      </c>
      <c r="AM2432" s="474" t="s">
        <v>52</v>
      </c>
      <c r="AN2432" s="474" t="s">
        <v>1085</v>
      </c>
      <c r="AO2432" s="474"/>
      <c r="AP2432" s="474" t="s">
        <v>92</v>
      </c>
      <c r="AQ2432" s="474" t="s">
        <v>1086</v>
      </c>
      <c r="AR2432" s="474"/>
      <c r="AS2432" s="387" t="s">
        <v>1087</v>
      </c>
      <c r="AT2432" s="387" t="s">
        <v>1076</v>
      </c>
      <c r="AU2432" s="471"/>
      <c r="AV2432" s="262">
        <f t="shared" si="433"/>
        <v>0</v>
      </c>
      <c r="AW2432" s="262" cm="1">
        <f t="array" ref="AW2432">SUM(MID(0&amp;AV2432,LARGE(INDEX(ISNUMBER(--MID(AV2432,ROW($1:$8),1))*ROW($1:$8),),ROW($1:$8))+1,1)*10^ROW($1:$8)/10)</f>
        <v>0</v>
      </c>
      <c r="AX2432" s="262" t="e">
        <f>VLOOKUP($AW2432,'Item Master Data'!$A:$F,3,FALSE)</f>
        <v>#N/A</v>
      </c>
      <c r="AY2432" s="262" t="e">
        <f>VLOOKUP($AW2432,'Item Master Data'!$A:$F,6,FALSE)</f>
        <v>#N/A</v>
      </c>
      <c r="AZ2432" s="262" t="e">
        <f t="shared" si="434"/>
        <v>#N/A</v>
      </c>
      <c r="BA2432" s="262" t="e">
        <f>VLOOKUP(AW2432,'Item Master Data'!$A:$G,7,FALSE)</f>
        <v>#N/A</v>
      </c>
      <c r="BC2432" s="262" t="e">
        <f t="shared" si="435"/>
        <v>#N/A</v>
      </c>
    </row>
    <row r="2433" spans="1:55">
      <c r="A2433" s="410"/>
      <c r="B2433" s="407"/>
      <c r="C2433" s="407"/>
      <c r="D2433" s="474" t="s">
        <v>1066</v>
      </c>
      <c r="E2433" s="388" t="s">
        <v>5279</v>
      </c>
      <c r="F2433" s="474"/>
      <c r="G2433" s="474">
        <v>2022</v>
      </c>
      <c r="H2433" s="474">
        <v>9</v>
      </c>
      <c r="I2433" s="485"/>
      <c r="J2433" s="475"/>
      <c r="K2433" s="474" t="s">
        <v>1098</v>
      </c>
      <c r="L2433" s="475" t="s">
        <v>1089</v>
      </c>
      <c r="M2433" s="475">
        <v>44665</v>
      </c>
      <c r="N2433" s="475">
        <v>44743</v>
      </c>
      <c r="O2433" s="475"/>
      <c r="P2433" s="475"/>
      <c r="Q2433" s="475"/>
      <c r="R2433" s="475"/>
      <c r="S2433" s="474" t="s">
        <v>1069</v>
      </c>
      <c r="T2433" s="474">
        <v>72</v>
      </c>
      <c r="U2433" s="474"/>
      <c r="V2433" s="474" t="s">
        <v>1070</v>
      </c>
      <c r="W2433" s="476">
        <v>480</v>
      </c>
      <c r="X2433" s="402">
        <v>638</v>
      </c>
      <c r="Y2433" s="491">
        <f t="shared" si="430"/>
        <v>306240</v>
      </c>
      <c r="Z2433" s="478">
        <v>0.59</v>
      </c>
      <c r="AA2433" s="479">
        <f>Y2433*Z2433</f>
        <v>180681.59999999998</v>
      </c>
      <c r="AB2433" s="386"/>
      <c r="AC2433" s="481">
        <v>0</v>
      </c>
      <c r="AD2433" s="474"/>
      <c r="AE2433" s="482"/>
      <c r="AF2433" s="493">
        <f t="shared" si="422"/>
        <v>180681.59999999998</v>
      </c>
      <c r="AG2433" s="474" t="s">
        <v>1071</v>
      </c>
      <c r="AH2433" s="447">
        <v>10</v>
      </c>
      <c r="AI2433" s="474">
        <v>45</v>
      </c>
      <c r="AJ2433" s="474" t="s">
        <v>1095</v>
      </c>
      <c r="AK2433" s="474" t="s">
        <v>1096</v>
      </c>
      <c r="AL2433" s="494">
        <v>1719</v>
      </c>
      <c r="AM2433" s="474" t="s">
        <v>52</v>
      </c>
      <c r="AN2433" s="474" t="s">
        <v>1085</v>
      </c>
      <c r="AO2433" s="474"/>
      <c r="AP2433" s="474" t="s">
        <v>92</v>
      </c>
      <c r="AQ2433" s="474" t="s">
        <v>37</v>
      </c>
      <c r="AR2433" s="474"/>
      <c r="AS2433" s="387"/>
      <c r="AT2433" s="387"/>
      <c r="AU2433" s="471"/>
      <c r="AV2433" s="262">
        <f t="shared" si="433"/>
        <v>0</v>
      </c>
      <c r="AW2433" s="262" cm="1">
        <f t="array" ref="AW2433">SUM(MID(0&amp;AV2433,LARGE(INDEX(ISNUMBER(--MID(AV2433,ROW($1:$8),1))*ROW($1:$8),),ROW($1:$8))+1,1)*10^ROW($1:$8)/10)</f>
        <v>0</v>
      </c>
      <c r="AX2433" s="262" t="e">
        <f>VLOOKUP($AW2433,'Item Master Data'!$A:$F,3,FALSE)</f>
        <v>#N/A</v>
      </c>
      <c r="AY2433" s="262" t="e">
        <f>VLOOKUP($AW2433,'Item Master Data'!$A:$F,6,FALSE)</f>
        <v>#N/A</v>
      </c>
      <c r="AZ2433" s="262" t="e">
        <f t="shared" si="434"/>
        <v>#N/A</v>
      </c>
      <c r="BA2433" s="262" t="e">
        <f>VLOOKUP(AW2433,'Item Master Data'!$A:$G,7,FALSE)</f>
        <v>#N/A</v>
      </c>
      <c r="BC2433" s="262" t="e">
        <f t="shared" si="435"/>
        <v>#N/A</v>
      </c>
    </row>
    <row r="2434" spans="1:55">
      <c r="A2434" s="410"/>
      <c r="B2434" s="407"/>
      <c r="C2434" s="407"/>
      <c r="D2434" s="474" t="s">
        <v>1066</v>
      </c>
      <c r="E2434" s="388" t="s">
        <v>5279</v>
      </c>
      <c r="F2434" s="474"/>
      <c r="G2434" s="474">
        <v>2022</v>
      </c>
      <c r="H2434" s="474">
        <v>9</v>
      </c>
      <c r="I2434" s="485"/>
      <c r="J2434" s="475"/>
      <c r="K2434" s="474" t="s">
        <v>1100</v>
      </c>
      <c r="L2434" s="475" t="s">
        <v>1089</v>
      </c>
      <c r="M2434" s="475">
        <v>44665</v>
      </c>
      <c r="N2434" s="475">
        <v>44805</v>
      </c>
      <c r="O2434" s="475"/>
      <c r="P2434" s="475"/>
      <c r="Q2434" s="475"/>
      <c r="R2434" s="475"/>
      <c r="S2434" s="474" t="s">
        <v>1069</v>
      </c>
      <c r="T2434" s="474">
        <v>72</v>
      </c>
      <c r="U2434" s="474"/>
      <c r="V2434" s="474" t="s">
        <v>1070</v>
      </c>
      <c r="W2434" s="476">
        <v>480</v>
      </c>
      <c r="X2434" s="402">
        <v>1276</v>
      </c>
      <c r="Y2434" s="491">
        <f t="shared" si="430"/>
        <v>612480</v>
      </c>
      <c r="Z2434" s="478">
        <v>0.48</v>
      </c>
      <c r="AA2434" s="479">
        <f>Y2434*Z2434</f>
        <v>293990.39999999997</v>
      </c>
      <c r="AB2434" s="386"/>
      <c r="AC2434" s="481">
        <v>0</v>
      </c>
      <c r="AD2434" s="474"/>
      <c r="AE2434" s="482"/>
      <c r="AF2434" s="493">
        <f t="shared" si="422"/>
        <v>293990.39999999997</v>
      </c>
      <c r="AG2434" s="474" t="s">
        <v>1071</v>
      </c>
      <c r="AH2434" s="447">
        <v>10</v>
      </c>
      <c r="AI2434" s="474">
        <v>45</v>
      </c>
      <c r="AJ2434" s="474" t="s">
        <v>1095</v>
      </c>
      <c r="AK2434" s="474" t="s">
        <v>1096</v>
      </c>
      <c r="AL2434" s="494">
        <v>1719</v>
      </c>
      <c r="AM2434" s="474" t="s">
        <v>52</v>
      </c>
      <c r="AN2434" s="474" t="s">
        <v>1085</v>
      </c>
      <c r="AO2434" s="474"/>
      <c r="AP2434" s="474" t="s">
        <v>92</v>
      </c>
      <c r="AQ2434" s="474" t="s">
        <v>37</v>
      </c>
      <c r="AR2434" s="474"/>
      <c r="AS2434" s="387"/>
      <c r="AT2434" s="387"/>
      <c r="AU2434" s="471"/>
      <c r="AV2434" s="262">
        <f t="shared" si="433"/>
        <v>0</v>
      </c>
      <c r="AW2434" s="262" cm="1">
        <f t="array" ref="AW2434">SUM(MID(0&amp;AV2434,LARGE(INDEX(ISNUMBER(--MID(AV2434,ROW($1:$8),1))*ROW($1:$8),),ROW($1:$8))+1,1)*10^ROW($1:$8)/10)</f>
        <v>0</v>
      </c>
      <c r="AX2434" s="262" t="e">
        <f>VLOOKUP($AW2434,'Item Master Data'!$A:$F,3,FALSE)</f>
        <v>#N/A</v>
      </c>
      <c r="AY2434" s="262" t="e">
        <f>VLOOKUP($AW2434,'Item Master Data'!$A:$F,6,FALSE)</f>
        <v>#N/A</v>
      </c>
      <c r="AZ2434" s="262" t="e">
        <f t="shared" si="434"/>
        <v>#N/A</v>
      </c>
      <c r="BA2434" s="262" t="e">
        <f>VLOOKUP(AW2434,'Item Master Data'!$A:$G,7,FALSE)</f>
        <v>#N/A</v>
      </c>
      <c r="BC2434" s="262" t="e">
        <f t="shared" si="435"/>
        <v>#N/A</v>
      </c>
    </row>
    <row r="2435" spans="1:55">
      <c r="A2435" s="410"/>
      <c r="B2435" s="407"/>
      <c r="C2435" s="407"/>
      <c r="D2435" s="474" t="s">
        <v>1066</v>
      </c>
      <c r="E2435" s="388"/>
      <c r="F2435" s="474" t="s">
        <v>87</v>
      </c>
      <c r="G2435" s="474">
        <v>2022</v>
      </c>
      <c r="H2435" s="474">
        <v>3</v>
      </c>
      <c r="I2435" s="485">
        <v>127195</v>
      </c>
      <c r="J2435" s="475">
        <v>44621</v>
      </c>
      <c r="K2435" s="474" t="s">
        <v>1504</v>
      </c>
      <c r="L2435" s="475" t="s">
        <v>1505</v>
      </c>
      <c r="M2435" s="475">
        <v>44418</v>
      </c>
      <c r="N2435" s="475">
        <v>44501</v>
      </c>
      <c r="O2435" s="475"/>
      <c r="P2435" s="475">
        <v>44544</v>
      </c>
      <c r="Q2435" s="475">
        <v>44573</v>
      </c>
      <c r="R2435" s="475">
        <v>44575</v>
      </c>
      <c r="S2435" s="474" t="s">
        <v>1506</v>
      </c>
      <c r="T2435" s="474">
        <v>72</v>
      </c>
      <c r="U2435" s="474" t="s">
        <v>1479</v>
      </c>
      <c r="V2435" s="474" t="s">
        <v>1226</v>
      </c>
      <c r="W2435" s="476">
        <v>480</v>
      </c>
      <c r="X2435" s="402">
        <v>290</v>
      </c>
      <c r="Y2435" s="491">
        <f t="shared" si="430"/>
        <v>139200</v>
      </c>
      <c r="Z2435" s="478">
        <v>0.45</v>
      </c>
      <c r="AA2435" s="479">
        <f>Z2435*Y2435</f>
        <v>62640</v>
      </c>
      <c r="AB2435" s="386"/>
      <c r="AC2435" s="481">
        <f>AB2435*Y2435</f>
        <v>0</v>
      </c>
      <c r="AD2435" s="474"/>
      <c r="AE2435" s="482">
        <v>6420.6</v>
      </c>
      <c r="AF2435" s="493">
        <f t="shared" si="422"/>
        <v>69060.600000000006</v>
      </c>
      <c r="AG2435" s="474" t="s">
        <v>47</v>
      </c>
      <c r="AH2435" s="447">
        <v>90</v>
      </c>
      <c r="AI2435" s="474">
        <v>30</v>
      </c>
      <c r="AJ2435" s="474" t="s">
        <v>1507</v>
      </c>
      <c r="AK2435" s="474" t="s">
        <v>50</v>
      </c>
      <c r="AL2435" s="494" t="s">
        <v>1508</v>
      </c>
      <c r="AM2435" s="474" t="s">
        <v>52</v>
      </c>
      <c r="AN2435" s="474" t="s">
        <v>1085</v>
      </c>
      <c r="AO2435" s="474"/>
      <c r="AP2435" s="474" t="s">
        <v>38</v>
      </c>
      <c r="AQ2435" s="474" t="s">
        <v>1086</v>
      </c>
      <c r="AR2435" s="474"/>
      <c r="AS2435" s="387" t="s">
        <v>1087</v>
      </c>
      <c r="AT2435" s="387" t="s">
        <v>1076</v>
      </c>
      <c r="AU2435" s="471"/>
      <c r="AV2435" s="262" t="str">
        <f t="shared" si="433"/>
        <v>30397872F</v>
      </c>
      <c r="AW2435" s="262" cm="1">
        <f t="array" ref="AW2435">SUM(MID(0&amp;AV2435,LARGE(INDEX(ISNUMBER(--MID(AV2435,ROW($1:$8),1))*ROW($1:$8),),ROW($1:$8))+1,1)*10^ROW($1:$8)/10)</f>
        <v>30397872</v>
      </c>
      <c r="AX2435" s="262" t="str">
        <f>VLOOKUP($AW2435,'Item Master Data'!$A:$F,3,FALSE)</f>
        <v>Q.PEAK DUO XL G10 BFG</v>
      </c>
      <c r="AY2435" s="262">
        <f>VLOOKUP($AW2435,'Item Master Data'!$A:$F,6,FALSE)</f>
        <v>480</v>
      </c>
      <c r="AZ2435" s="262">
        <f t="shared" si="434"/>
        <v>10</v>
      </c>
      <c r="BA2435" s="262">
        <f>VLOOKUP(AW2435,'Item Master Data'!$A:$G,7,FALSE)</f>
        <v>29</v>
      </c>
      <c r="BC2435" s="262">
        <f t="shared" si="435"/>
        <v>0</v>
      </c>
    </row>
    <row r="2436" spans="1:55">
      <c r="A2436" s="410"/>
      <c r="B2436" s="407"/>
      <c r="C2436" s="407"/>
      <c r="D2436" s="474" t="s">
        <v>1066</v>
      </c>
      <c r="E2436" s="388" t="s">
        <v>1097</v>
      </c>
      <c r="F2436" s="474"/>
      <c r="G2436" s="474">
        <v>2022</v>
      </c>
      <c r="H2436" s="474">
        <v>9</v>
      </c>
      <c r="I2436" s="485"/>
      <c r="J2436" s="475"/>
      <c r="K2436" s="474" t="s">
        <v>5589</v>
      </c>
      <c r="L2436" s="475" t="s">
        <v>1089</v>
      </c>
      <c r="M2436" s="475">
        <v>44676</v>
      </c>
      <c r="N2436" s="475">
        <v>44805</v>
      </c>
      <c r="O2436" s="475"/>
      <c r="P2436" s="475"/>
      <c r="Q2436" s="475"/>
      <c r="R2436" s="475"/>
      <c r="S2436" s="474" t="s">
        <v>1069</v>
      </c>
      <c r="T2436" s="474">
        <v>72</v>
      </c>
      <c r="U2436" s="474"/>
      <c r="V2436" s="474" t="s">
        <v>1070</v>
      </c>
      <c r="W2436" s="476">
        <v>480</v>
      </c>
      <c r="X2436" s="402">
        <v>638</v>
      </c>
      <c r="Y2436" s="491">
        <f t="shared" si="430"/>
        <v>306240</v>
      </c>
      <c r="Z2436" s="478">
        <v>0.59</v>
      </c>
      <c r="AA2436" s="479">
        <f>Y2436*Z2436</f>
        <v>180681.59999999998</v>
      </c>
      <c r="AB2436" s="386"/>
      <c r="AC2436" s="481">
        <v>0</v>
      </c>
      <c r="AD2436" s="474"/>
      <c r="AE2436" s="482"/>
      <c r="AF2436" s="493">
        <f t="shared" si="422"/>
        <v>180681.59999999998</v>
      </c>
      <c r="AG2436" s="474" t="s">
        <v>1071</v>
      </c>
      <c r="AH2436" s="447">
        <v>10</v>
      </c>
      <c r="AI2436" s="474">
        <v>30</v>
      </c>
      <c r="AJ2436" s="474" t="s">
        <v>1095</v>
      </c>
      <c r="AK2436" s="474" t="s">
        <v>1096</v>
      </c>
      <c r="AL2436" s="494">
        <v>1719</v>
      </c>
      <c r="AM2436" s="474" t="s">
        <v>52</v>
      </c>
      <c r="AN2436" s="474" t="s">
        <v>1085</v>
      </c>
      <c r="AO2436" s="474"/>
      <c r="AP2436" s="474" t="s">
        <v>92</v>
      </c>
      <c r="AQ2436" s="474" t="s">
        <v>37</v>
      </c>
      <c r="AR2436" s="474"/>
      <c r="AS2436" s="387"/>
      <c r="AT2436" s="387"/>
      <c r="AU2436" s="471"/>
      <c r="AV2436" s="262">
        <f t="shared" si="433"/>
        <v>0</v>
      </c>
      <c r="AW2436" s="262" cm="1">
        <f t="array" ref="AW2436">SUM(MID(0&amp;AV2436,LARGE(INDEX(ISNUMBER(--MID(AV2436,ROW($1:$8),1))*ROW($1:$8),),ROW($1:$8))+1,1)*10^ROW($1:$8)/10)</f>
        <v>0</v>
      </c>
      <c r="AX2436" s="262" t="e">
        <f>VLOOKUP($AW2436,'Item Master Data'!$A:$F,3,FALSE)</f>
        <v>#N/A</v>
      </c>
      <c r="AY2436" s="262" t="e">
        <f>VLOOKUP($AW2436,'Item Master Data'!$A:$F,6,FALSE)</f>
        <v>#N/A</v>
      </c>
      <c r="AZ2436" s="262" t="e">
        <f t="shared" si="434"/>
        <v>#N/A</v>
      </c>
      <c r="BA2436" s="262" t="e">
        <f>VLOOKUP(AW2436,'Item Master Data'!$A:$G,7,FALSE)</f>
        <v>#N/A</v>
      </c>
      <c r="BC2436" s="262" t="e">
        <f t="shared" si="435"/>
        <v>#N/A</v>
      </c>
    </row>
    <row r="2437" spans="1:55">
      <c r="A2437" s="410"/>
      <c r="B2437" s="407"/>
      <c r="C2437" s="407"/>
      <c r="D2437" s="474" t="s">
        <v>1066</v>
      </c>
      <c r="E2437" s="388" t="s">
        <v>5459</v>
      </c>
      <c r="F2437" s="474"/>
      <c r="G2437" s="474">
        <v>2022</v>
      </c>
      <c r="H2437" s="474">
        <v>9</v>
      </c>
      <c r="I2437" s="485"/>
      <c r="J2437" s="475"/>
      <c r="K2437" s="474" t="s">
        <v>1182</v>
      </c>
      <c r="L2437" s="475" t="s">
        <v>1174</v>
      </c>
      <c r="M2437" s="475">
        <v>44656</v>
      </c>
      <c r="N2437" s="475">
        <v>44805</v>
      </c>
      <c r="O2437" s="475"/>
      <c r="P2437" s="475"/>
      <c r="Q2437" s="475"/>
      <c r="R2437" s="475"/>
      <c r="S2437" s="474" t="s">
        <v>1069</v>
      </c>
      <c r="T2437" s="474">
        <v>72</v>
      </c>
      <c r="U2437" s="474"/>
      <c r="V2437" s="474" t="s">
        <v>1070</v>
      </c>
      <c r="W2437" s="476">
        <v>480</v>
      </c>
      <c r="X2437" s="402">
        <v>1914</v>
      </c>
      <c r="Y2437" s="491">
        <f t="shared" si="430"/>
        <v>918720</v>
      </c>
      <c r="Z2437" s="478">
        <v>0.5</v>
      </c>
      <c r="AA2437" s="479">
        <f>Y2437*Z2437</f>
        <v>459360</v>
      </c>
      <c r="AB2437" s="386"/>
      <c r="AC2437" s="481">
        <v>0</v>
      </c>
      <c r="AD2437" s="474"/>
      <c r="AE2437" s="482"/>
      <c r="AF2437" s="493">
        <f t="shared" ref="AF2437:AF2496" si="436">AE2437+AD2437+AA2437</f>
        <v>459360</v>
      </c>
      <c r="AG2437" s="474" t="s">
        <v>1071</v>
      </c>
      <c r="AH2437" s="447"/>
      <c r="AI2437" s="474">
        <v>60</v>
      </c>
      <c r="AJ2437" s="474" t="s">
        <v>1175</v>
      </c>
      <c r="AK2437" s="474" t="s">
        <v>1138</v>
      </c>
      <c r="AL2437" s="494" t="s">
        <v>1176</v>
      </c>
      <c r="AM2437" s="474" t="s">
        <v>52</v>
      </c>
      <c r="AN2437" s="474" t="s">
        <v>1109</v>
      </c>
      <c r="AO2437" s="474"/>
      <c r="AP2437" s="474" t="s">
        <v>1109</v>
      </c>
      <c r="AQ2437" s="474" t="s">
        <v>37</v>
      </c>
      <c r="AR2437" s="474"/>
      <c r="AS2437" s="387"/>
      <c r="AT2437" s="387"/>
      <c r="AU2437" s="471"/>
      <c r="AV2437" s="262">
        <f t="shared" si="433"/>
        <v>0</v>
      </c>
      <c r="AW2437" s="262" cm="1">
        <f t="array" ref="AW2437">SUM(MID(0&amp;AV2437,LARGE(INDEX(ISNUMBER(--MID(AV2437,ROW($1:$8),1))*ROW($1:$8),),ROW($1:$8))+1,1)*10^ROW($1:$8)/10)</f>
        <v>0</v>
      </c>
      <c r="AX2437" s="262" t="e">
        <f>VLOOKUP($AW2437,'Item Master Data'!$A:$F,3,FALSE)</f>
        <v>#N/A</v>
      </c>
      <c r="AY2437" s="262" t="e">
        <f>VLOOKUP($AW2437,'Item Master Data'!$A:$F,6,FALSE)</f>
        <v>#N/A</v>
      </c>
      <c r="AZ2437" s="262" t="e">
        <f t="shared" si="434"/>
        <v>#N/A</v>
      </c>
      <c r="BA2437" s="262" t="e">
        <f>VLOOKUP(AW2437,'Item Master Data'!$A:$G,7,FALSE)</f>
        <v>#N/A</v>
      </c>
      <c r="BC2437" s="262" t="e">
        <f t="shared" si="435"/>
        <v>#N/A</v>
      </c>
    </row>
    <row r="2438" spans="1:55">
      <c r="A2438" s="410"/>
      <c r="B2438" s="407" t="s">
        <v>1211</v>
      </c>
      <c r="C2438" s="407" t="s">
        <v>1211</v>
      </c>
      <c r="D2438" s="474" t="s">
        <v>1066</v>
      </c>
      <c r="E2438" s="388" t="s">
        <v>5279</v>
      </c>
      <c r="F2438" s="474" t="s">
        <v>87</v>
      </c>
      <c r="G2438" s="474">
        <v>2022</v>
      </c>
      <c r="H2438" s="474">
        <v>9</v>
      </c>
      <c r="I2438" s="485"/>
      <c r="J2438" s="475"/>
      <c r="K2438" s="474" t="s">
        <v>1303</v>
      </c>
      <c r="L2438" s="475" t="s">
        <v>1295</v>
      </c>
      <c r="M2438" s="475">
        <v>44656</v>
      </c>
      <c r="N2438" s="475">
        <v>44805</v>
      </c>
      <c r="O2438" s="475"/>
      <c r="P2438" s="475"/>
      <c r="Q2438" s="475"/>
      <c r="R2438" s="475"/>
      <c r="S2438" s="474" t="s">
        <v>1069</v>
      </c>
      <c r="T2438" s="474">
        <v>72</v>
      </c>
      <c r="U2438" s="474"/>
      <c r="V2438" s="474" t="s">
        <v>1070</v>
      </c>
      <c r="W2438" s="476">
        <v>480</v>
      </c>
      <c r="X2438" s="402">
        <v>638</v>
      </c>
      <c r="Y2438" s="491">
        <f t="shared" si="430"/>
        <v>306240</v>
      </c>
      <c r="Z2438" s="478">
        <v>0.49</v>
      </c>
      <c r="AA2438" s="479">
        <f>Y2438*Z2438</f>
        <v>150057.60000000001</v>
      </c>
      <c r="AB2438" s="386"/>
      <c r="AC2438" s="481">
        <v>0</v>
      </c>
      <c r="AD2438" s="474"/>
      <c r="AE2438" s="482"/>
      <c r="AF2438" s="493">
        <f t="shared" si="436"/>
        <v>150057.60000000001</v>
      </c>
      <c r="AG2438" s="474" t="s">
        <v>1071</v>
      </c>
      <c r="AH2438" s="447"/>
      <c r="AI2438" s="474">
        <v>60</v>
      </c>
      <c r="AJ2438" s="474" t="s">
        <v>1296</v>
      </c>
      <c r="AK2438" s="474" t="s">
        <v>1297</v>
      </c>
      <c r="AL2438" s="494" t="s">
        <v>1298</v>
      </c>
      <c r="AM2438" s="474" t="s">
        <v>52</v>
      </c>
      <c r="AN2438" s="474" t="s">
        <v>1074</v>
      </c>
      <c r="AO2438" s="474"/>
      <c r="AP2438" s="474"/>
      <c r="AQ2438" s="474" t="s">
        <v>37</v>
      </c>
      <c r="AR2438" s="474"/>
      <c r="AS2438" s="387"/>
      <c r="AT2438" s="387"/>
      <c r="AU2438" s="471"/>
      <c r="AV2438" s="262">
        <f t="shared" si="433"/>
        <v>0</v>
      </c>
      <c r="AW2438" s="262" cm="1">
        <f t="array" ref="AW2438">SUM(MID(0&amp;AV2438,LARGE(INDEX(ISNUMBER(--MID(AV2438,ROW($1:$8),1))*ROW($1:$8),),ROW($1:$8))+1,1)*10^ROW($1:$8)/10)</f>
        <v>0</v>
      </c>
      <c r="AX2438" s="262" t="e">
        <f>VLOOKUP($AW2438,'Item Master Data'!$A:$F,3,FALSE)</f>
        <v>#N/A</v>
      </c>
      <c r="AY2438" s="262" t="e">
        <f>VLOOKUP($AW2438,'Item Master Data'!$A:$F,6,FALSE)</f>
        <v>#N/A</v>
      </c>
      <c r="AZ2438" s="262" t="e">
        <f t="shared" si="434"/>
        <v>#N/A</v>
      </c>
      <c r="BA2438" s="262" t="e">
        <f>VLOOKUP(AW2438,'Item Master Data'!$A:$G,7,FALSE)</f>
        <v>#N/A</v>
      </c>
      <c r="BC2438" s="262" t="e">
        <f t="shared" si="435"/>
        <v>#N/A</v>
      </c>
    </row>
    <row r="2439" spans="1:55">
      <c r="A2439" s="410"/>
      <c r="B2439" s="407"/>
      <c r="C2439" s="407"/>
      <c r="D2439" s="474" t="s">
        <v>1066</v>
      </c>
      <c r="E2439" s="388" t="s">
        <v>5403</v>
      </c>
      <c r="F2439" s="474"/>
      <c r="G2439" s="474">
        <v>2022</v>
      </c>
      <c r="H2439" s="474">
        <v>5</v>
      </c>
      <c r="I2439" s="485" t="s">
        <v>1091</v>
      </c>
      <c r="J2439" s="475"/>
      <c r="K2439" s="474">
        <v>6220316</v>
      </c>
      <c r="L2439" s="475" t="s">
        <v>1502</v>
      </c>
      <c r="M2439" s="475">
        <v>44636</v>
      </c>
      <c r="N2439" s="475">
        <v>44683</v>
      </c>
      <c r="O2439" s="475"/>
      <c r="P2439" s="475"/>
      <c r="Q2439" s="475"/>
      <c r="R2439" s="475"/>
      <c r="S2439" s="474" t="s">
        <v>1114</v>
      </c>
      <c r="T2439" s="474">
        <v>72</v>
      </c>
      <c r="U2439" s="474" t="s">
        <v>1082</v>
      </c>
      <c r="V2439" s="474" t="s">
        <v>1070</v>
      </c>
      <c r="W2439" s="476">
        <v>480</v>
      </c>
      <c r="X2439" s="402">
        <v>580</v>
      </c>
      <c r="Y2439" s="491">
        <f t="shared" si="430"/>
        <v>278400</v>
      </c>
      <c r="Z2439" s="478">
        <v>0.51500000000000001</v>
      </c>
      <c r="AA2439" s="492">
        <f>Z2439*Y2439</f>
        <v>143376</v>
      </c>
      <c r="AB2439" s="386"/>
      <c r="AC2439" s="481">
        <f>AB2439*Y2439</f>
        <v>0</v>
      </c>
      <c r="AD2439" s="474"/>
      <c r="AE2439" s="482">
        <f>AA2439*0.06</f>
        <v>8602.56</v>
      </c>
      <c r="AF2439" s="493">
        <f t="shared" si="436"/>
        <v>151978.56</v>
      </c>
      <c r="AG2439" s="474" t="s">
        <v>47</v>
      </c>
      <c r="AH2439" s="447">
        <v>100</v>
      </c>
      <c r="AI2439" s="474">
        <v>0</v>
      </c>
      <c r="AJ2439" s="474" t="s">
        <v>1503</v>
      </c>
      <c r="AK2439" s="474" t="s">
        <v>1198</v>
      </c>
      <c r="AL2439" s="494">
        <v>49512</v>
      </c>
      <c r="AM2439" s="474" t="s">
        <v>52</v>
      </c>
      <c r="AN2439" s="474" t="s">
        <v>1085</v>
      </c>
      <c r="AO2439" s="474"/>
      <c r="AP2439" s="474" t="s">
        <v>92</v>
      </c>
      <c r="AQ2439" s="474"/>
      <c r="AR2439" s="474"/>
      <c r="AS2439" s="387"/>
      <c r="AT2439" s="387"/>
      <c r="AU2439" s="471"/>
      <c r="AV2439" s="262" t="str">
        <f t="shared" si="433"/>
        <v>12005833C</v>
      </c>
      <c r="AW2439" s="262" cm="1">
        <f t="array" ref="AW2439">SUM(MID(0&amp;AV2439,LARGE(INDEX(ISNUMBER(--MID(AV2439,ROW($1:$8),1))*ROW($1:$8),),ROW($1:$8))+1,1)*10^ROW($1:$8)/10)</f>
        <v>12005833</v>
      </c>
      <c r="AX2439" s="262" t="str">
        <f>VLOOKUP($AW2439,'Item Master Data'!$A:$F,3,FALSE)</f>
        <v>Q.PEAK DUO XL G10 BFG</v>
      </c>
      <c r="AY2439" s="262">
        <f>VLOOKUP($AW2439,'Item Master Data'!$A:$F,6,FALSE)</f>
        <v>475</v>
      </c>
      <c r="AZ2439" s="262">
        <f t="shared" si="434"/>
        <v>19.333333333333332</v>
      </c>
      <c r="BA2439" s="262">
        <f>VLOOKUP(AW2439,'Item Master Data'!$A:$G,7,FALSE)</f>
        <v>30</v>
      </c>
      <c r="BC2439" s="262">
        <f t="shared" si="435"/>
        <v>5</v>
      </c>
    </row>
    <row r="2440" spans="1:55">
      <c r="A2440" s="410"/>
      <c r="B2440" s="407"/>
      <c r="C2440" s="407"/>
      <c r="D2440" s="474" t="s">
        <v>1066</v>
      </c>
      <c r="E2440" s="388" t="s">
        <v>1171</v>
      </c>
      <c r="F2440" s="474" t="s">
        <v>87</v>
      </c>
      <c r="G2440" s="474">
        <v>2022</v>
      </c>
      <c r="H2440" s="474">
        <v>9</v>
      </c>
      <c r="I2440" s="485"/>
      <c r="J2440" s="475"/>
      <c r="K2440" s="474" t="s">
        <v>1355</v>
      </c>
      <c r="L2440" s="475" t="s">
        <v>1353</v>
      </c>
      <c r="M2440" s="475">
        <v>44655</v>
      </c>
      <c r="N2440" s="475">
        <v>44831</v>
      </c>
      <c r="O2440" s="475"/>
      <c r="P2440" s="475"/>
      <c r="Q2440" s="475"/>
      <c r="R2440" s="475"/>
      <c r="S2440" s="474" t="s">
        <v>1069</v>
      </c>
      <c r="T2440" s="474">
        <v>72</v>
      </c>
      <c r="U2440" s="474">
        <v>49303155</v>
      </c>
      <c r="V2440" s="474" t="s">
        <v>1070</v>
      </c>
      <c r="W2440" s="476">
        <v>480</v>
      </c>
      <c r="X2440" s="402">
        <v>638</v>
      </c>
      <c r="Y2440" s="491">
        <f t="shared" si="430"/>
        <v>306240</v>
      </c>
      <c r="Z2440" s="478">
        <v>0.5</v>
      </c>
      <c r="AA2440" s="479">
        <f>Y2440*Z2440</f>
        <v>153120</v>
      </c>
      <c r="AB2440" s="386"/>
      <c r="AC2440" s="481">
        <v>0</v>
      </c>
      <c r="AD2440" s="474"/>
      <c r="AE2440" s="482"/>
      <c r="AF2440" s="493">
        <f t="shared" si="436"/>
        <v>153120</v>
      </c>
      <c r="AG2440" s="474" t="s">
        <v>1071</v>
      </c>
      <c r="AH2440" s="447"/>
      <c r="AI2440" s="474">
        <v>60</v>
      </c>
      <c r="AJ2440" s="474" t="s">
        <v>1205</v>
      </c>
      <c r="AK2440" s="474" t="s">
        <v>1138</v>
      </c>
      <c r="AL2440" s="494">
        <v>14624</v>
      </c>
      <c r="AM2440" s="474" t="s">
        <v>52</v>
      </c>
      <c r="AN2440" s="474" t="s">
        <v>1074</v>
      </c>
      <c r="AO2440" s="474"/>
      <c r="AP2440" s="474"/>
      <c r="AQ2440" s="474" t="s">
        <v>37</v>
      </c>
      <c r="AR2440" s="474"/>
      <c r="AS2440" s="387"/>
      <c r="AT2440" s="387"/>
      <c r="AU2440" s="471"/>
      <c r="AV2440" s="262">
        <f t="shared" si="433"/>
        <v>49303155</v>
      </c>
      <c r="AW2440" s="262" cm="1">
        <f t="array" ref="AW2440">SUM(MID(0&amp;AV2440,LARGE(INDEX(ISNUMBER(--MID(AV2440,ROW($1:$8),1))*ROW($1:$8),),ROW($1:$8))+1,1)*10^ROW($1:$8)/10)</f>
        <v>49303155</v>
      </c>
      <c r="AX2440" s="262" t="str">
        <f>VLOOKUP($AW2440,'Item Master Data'!$A:$F,3,FALSE)</f>
        <v>Q.PEAK DUO XL G10 BFG</v>
      </c>
      <c r="AY2440" s="262">
        <f>VLOOKUP($AW2440,'Item Master Data'!$A:$F,6,FALSE)</f>
        <v>475</v>
      </c>
      <c r="AZ2440" s="262">
        <f t="shared" si="434"/>
        <v>22</v>
      </c>
      <c r="BA2440" s="262">
        <f>VLOOKUP(AW2440,'Item Master Data'!$A:$G,7,FALSE)</f>
        <v>29</v>
      </c>
      <c r="BC2440" s="262">
        <f t="shared" si="435"/>
        <v>5</v>
      </c>
    </row>
    <row r="2441" spans="1:55">
      <c r="A2441" s="410"/>
      <c r="B2441" s="407"/>
      <c r="C2441" s="407"/>
      <c r="D2441" s="474" t="s">
        <v>1066</v>
      </c>
      <c r="E2441" s="388"/>
      <c r="F2441" s="474" t="s">
        <v>1077</v>
      </c>
      <c r="G2441" s="474">
        <v>2022</v>
      </c>
      <c r="H2441" s="474">
        <v>6</v>
      </c>
      <c r="I2441" s="485">
        <v>2005153</v>
      </c>
      <c r="J2441" s="475"/>
      <c r="K2441" s="474" t="s">
        <v>1513</v>
      </c>
      <c r="L2441" s="475" t="s">
        <v>1514</v>
      </c>
      <c r="M2441" s="475">
        <v>44599</v>
      </c>
      <c r="N2441" s="475">
        <v>44682</v>
      </c>
      <c r="O2441" s="475"/>
      <c r="P2441" s="475" t="s">
        <v>1515</v>
      </c>
      <c r="Q2441" s="475"/>
      <c r="R2441" s="475"/>
      <c r="S2441" s="474" t="s">
        <v>1069</v>
      </c>
      <c r="T2441" s="474">
        <v>72</v>
      </c>
      <c r="U2441" s="474" t="s">
        <v>1082</v>
      </c>
      <c r="V2441" s="474" t="s">
        <v>1070</v>
      </c>
      <c r="W2441" s="476">
        <v>475</v>
      </c>
      <c r="X2441" s="402">
        <v>3480</v>
      </c>
      <c r="Y2441" s="491">
        <f t="shared" si="430"/>
        <v>1653000</v>
      </c>
      <c r="Z2441" s="478">
        <v>0.47499999999999998</v>
      </c>
      <c r="AA2441" s="479">
        <f t="shared" ref="AA2441:AA2448" si="437">Z2441*Y2441</f>
        <v>785175</v>
      </c>
      <c r="AB2441" s="386"/>
      <c r="AC2441" s="481">
        <f t="shared" ref="AC2441:AC2448" si="438">AB2441*Y2441</f>
        <v>0</v>
      </c>
      <c r="AD2441" s="474"/>
      <c r="AE2441" s="482"/>
      <c r="AF2441" s="493">
        <f t="shared" si="436"/>
        <v>785175</v>
      </c>
      <c r="AG2441" s="474" t="s">
        <v>47</v>
      </c>
      <c r="AH2441" s="447">
        <v>0</v>
      </c>
      <c r="AI2441" s="474">
        <v>45</v>
      </c>
      <c r="AJ2441" s="474" t="s">
        <v>1516</v>
      </c>
      <c r="AK2441" s="474" t="s">
        <v>1096</v>
      </c>
      <c r="AL2441" s="494">
        <v>2766</v>
      </c>
      <c r="AM2441" s="474" t="s">
        <v>52</v>
      </c>
      <c r="AN2441" s="474" t="s">
        <v>1085</v>
      </c>
      <c r="AO2441" s="474"/>
      <c r="AP2441" s="474" t="s">
        <v>38</v>
      </c>
      <c r="AQ2441" s="474" t="s">
        <v>1086</v>
      </c>
      <c r="AR2441" s="474"/>
      <c r="AS2441" s="387" t="s">
        <v>1087</v>
      </c>
      <c r="AT2441" s="387" t="s">
        <v>1076</v>
      </c>
      <c r="AU2441" s="471"/>
      <c r="AV2441" s="262" t="str">
        <f t="shared" si="433"/>
        <v>12005833C</v>
      </c>
      <c r="AW2441" s="262" cm="1">
        <f t="array" ref="AW2441">SUM(MID(0&amp;AV2441,LARGE(INDEX(ISNUMBER(--MID(AV2441,ROW($1:$8),1))*ROW($1:$8),),ROW($1:$8))+1,1)*10^ROW($1:$8)/10)</f>
        <v>12005833</v>
      </c>
      <c r="AX2441" s="262" t="str">
        <f>VLOOKUP($AW2441,'Item Master Data'!$A:$F,3,FALSE)</f>
        <v>Q.PEAK DUO XL G10 BFG</v>
      </c>
      <c r="AY2441" s="262">
        <f>VLOOKUP($AW2441,'Item Master Data'!$A:$F,6,FALSE)</f>
        <v>475</v>
      </c>
      <c r="AZ2441" s="262">
        <f t="shared" si="434"/>
        <v>116</v>
      </c>
      <c r="BA2441" s="262">
        <f>VLOOKUP(AW2441,'Item Master Data'!$A:$G,7,FALSE)</f>
        <v>30</v>
      </c>
      <c r="BC2441" s="262">
        <f t="shared" si="435"/>
        <v>0</v>
      </c>
    </row>
    <row r="2442" spans="1:55">
      <c r="A2442" s="410"/>
      <c r="B2442" s="407"/>
      <c r="C2442" s="407"/>
      <c r="D2442" s="474" t="s">
        <v>1066</v>
      </c>
      <c r="E2442" s="388" t="s">
        <v>1483</v>
      </c>
      <c r="F2442" s="474" t="s">
        <v>1077</v>
      </c>
      <c r="G2442" s="474">
        <v>2022</v>
      </c>
      <c r="H2442" s="474">
        <v>7</v>
      </c>
      <c r="I2442" s="485">
        <v>2005153</v>
      </c>
      <c r="J2442" s="475"/>
      <c r="K2442" s="474" t="s">
        <v>1513</v>
      </c>
      <c r="L2442" s="475" t="s">
        <v>1514</v>
      </c>
      <c r="M2442" s="475">
        <v>44599</v>
      </c>
      <c r="N2442" s="475">
        <v>44682</v>
      </c>
      <c r="O2442" s="475"/>
      <c r="P2442" s="475" t="s">
        <v>1515</v>
      </c>
      <c r="Q2442" s="475"/>
      <c r="R2442" s="475"/>
      <c r="S2442" s="474" t="s">
        <v>1069</v>
      </c>
      <c r="T2442" s="474">
        <v>72</v>
      </c>
      <c r="U2442" s="474" t="s">
        <v>1082</v>
      </c>
      <c r="V2442" s="474" t="s">
        <v>1070</v>
      </c>
      <c r="W2442" s="476">
        <v>475</v>
      </c>
      <c r="X2442" s="402">
        <v>3480</v>
      </c>
      <c r="Y2442" s="491">
        <f t="shared" si="430"/>
        <v>1653000</v>
      </c>
      <c r="Z2442" s="478">
        <v>0.47499999999999998</v>
      </c>
      <c r="AA2442" s="479">
        <f t="shared" si="437"/>
        <v>785175</v>
      </c>
      <c r="AB2442" s="386"/>
      <c r="AC2442" s="481">
        <f t="shared" si="438"/>
        <v>0</v>
      </c>
      <c r="AD2442" s="474"/>
      <c r="AE2442" s="482"/>
      <c r="AF2442" s="493">
        <f t="shared" si="436"/>
        <v>785175</v>
      </c>
      <c r="AG2442" s="474" t="s">
        <v>47</v>
      </c>
      <c r="AH2442" s="447">
        <v>0</v>
      </c>
      <c r="AI2442" s="474">
        <v>45</v>
      </c>
      <c r="AJ2442" s="474" t="s">
        <v>1516</v>
      </c>
      <c r="AK2442" s="474" t="s">
        <v>1096</v>
      </c>
      <c r="AL2442" s="494">
        <v>2766</v>
      </c>
      <c r="AM2442" s="474" t="s">
        <v>52</v>
      </c>
      <c r="AN2442" s="474" t="s">
        <v>1085</v>
      </c>
      <c r="AO2442" s="474"/>
      <c r="AP2442" s="474" t="s">
        <v>38</v>
      </c>
      <c r="AQ2442" s="474" t="s">
        <v>1086</v>
      </c>
      <c r="AR2442" s="474"/>
      <c r="AS2442" s="387" t="s">
        <v>1087</v>
      </c>
      <c r="AT2442" s="387" t="s">
        <v>1076</v>
      </c>
      <c r="AU2442" s="471"/>
      <c r="AV2442" s="262" t="str">
        <f t="shared" si="433"/>
        <v>12005833C</v>
      </c>
      <c r="AW2442" s="262" cm="1">
        <f t="array" ref="AW2442">SUM(MID(0&amp;AV2442,LARGE(INDEX(ISNUMBER(--MID(AV2442,ROW($1:$8),1))*ROW($1:$8),),ROW($1:$8))+1,1)*10^ROW($1:$8)/10)</f>
        <v>12005833</v>
      </c>
      <c r="AX2442" s="262" t="str">
        <f>VLOOKUP($AW2442,'Item Master Data'!$A:$F,3,FALSE)</f>
        <v>Q.PEAK DUO XL G10 BFG</v>
      </c>
      <c r="AY2442" s="262">
        <f>VLOOKUP($AW2442,'Item Master Data'!$A:$F,6,FALSE)</f>
        <v>475</v>
      </c>
      <c r="AZ2442" s="262">
        <f t="shared" si="434"/>
        <v>116</v>
      </c>
      <c r="BA2442" s="262">
        <f>VLOOKUP(AW2442,'Item Master Data'!$A:$G,7,FALSE)</f>
        <v>30</v>
      </c>
      <c r="BC2442" s="262">
        <f t="shared" si="435"/>
        <v>0</v>
      </c>
    </row>
    <row r="2443" spans="1:55">
      <c r="A2443" s="410"/>
      <c r="B2443" s="407"/>
      <c r="C2443" s="407"/>
      <c r="D2443" s="474" t="s">
        <v>1066</v>
      </c>
      <c r="E2443" s="388" t="s">
        <v>1483</v>
      </c>
      <c r="F2443" s="474" t="s">
        <v>1077</v>
      </c>
      <c r="G2443" s="474">
        <v>2022</v>
      </c>
      <c r="H2443" s="474">
        <v>8</v>
      </c>
      <c r="I2443" s="485">
        <v>2005153</v>
      </c>
      <c r="J2443" s="475"/>
      <c r="K2443" s="474" t="s">
        <v>1513</v>
      </c>
      <c r="L2443" s="475" t="s">
        <v>1514</v>
      </c>
      <c r="M2443" s="475">
        <v>44599</v>
      </c>
      <c r="N2443" s="475">
        <v>44682</v>
      </c>
      <c r="O2443" s="475"/>
      <c r="P2443" s="475" t="s">
        <v>1515</v>
      </c>
      <c r="Q2443" s="475"/>
      <c r="R2443" s="475"/>
      <c r="S2443" s="474" t="s">
        <v>1069</v>
      </c>
      <c r="T2443" s="474">
        <v>72</v>
      </c>
      <c r="U2443" s="474" t="s">
        <v>1082</v>
      </c>
      <c r="V2443" s="474" t="s">
        <v>1070</v>
      </c>
      <c r="W2443" s="476">
        <v>475</v>
      </c>
      <c r="X2443" s="402">
        <v>4060</v>
      </c>
      <c r="Y2443" s="491">
        <f t="shared" si="430"/>
        <v>1928500</v>
      </c>
      <c r="Z2443" s="478">
        <v>0.47499999999999998</v>
      </c>
      <c r="AA2443" s="479">
        <f t="shared" si="437"/>
        <v>916037.5</v>
      </c>
      <c r="AB2443" s="386"/>
      <c r="AC2443" s="481">
        <f t="shared" si="438"/>
        <v>0</v>
      </c>
      <c r="AD2443" s="474"/>
      <c r="AE2443" s="482"/>
      <c r="AF2443" s="493">
        <f t="shared" si="436"/>
        <v>916037.5</v>
      </c>
      <c r="AG2443" s="474" t="s">
        <v>47</v>
      </c>
      <c r="AH2443" s="447">
        <v>0</v>
      </c>
      <c r="AI2443" s="474">
        <v>45</v>
      </c>
      <c r="AJ2443" s="474" t="s">
        <v>1516</v>
      </c>
      <c r="AK2443" s="474" t="s">
        <v>1096</v>
      </c>
      <c r="AL2443" s="494">
        <v>2766</v>
      </c>
      <c r="AM2443" s="474" t="s">
        <v>52</v>
      </c>
      <c r="AN2443" s="474" t="s">
        <v>1085</v>
      </c>
      <c r="AO2443" s="474"/>
      <c r="AP2443" s="474" t="s">
        <v>38</v>
      </c>
      <c r="AQ2443" s="474" t="s">
        <v>1086</v>
      </c>
      <c r="AR2443" s="474"/>
      <c r="AS2443" s="387" t="s">
        <v>1087</v>
      </c>
      <c r="AT2443" s="387" t="s">
        <v>1076</v>
      </c>
      <c r="AU2443" s="471"/>
      <c r="AV2443" s="262" t="str">
        <f t="shared" si="433"/>
        <v>12005833C</v>
      </c>
      <c r="AW2443" s="262" cm="1">
        <f t="array" ref="AW2443">SUM(MID(0&amp;AV2443,LARGE(INDEX(ISNUMBER(--MID(AV2443,ROW($1:$8),1))*ROW($1:$8),),ROW($1:$8))+1,1)*10^ROW($1:$8)/10)</f>
        <v>12005833</v>
      </c>
      <c r="AX2443" s="262" t="str">
        <f>VLOOKUP($AW2443,'Item Master Data'!$A:$F,3,FALSE)</f>
        <v>Q.PEAK DUO XL G10 BFG</v>
      </c>
      <c r="AY2443" s="262">
        <f>VLOOKUP($AW2443,'Item Master Data'!$A:$F,6,FALSE)</f>
        <v>475</v>
      </c>
      <c r="AZ2443" s="262">
        <f t="shared" si="434"/>
        <v>135.33333333333334</v>
      </c>
      <c r="BA2443" s="262">
        <f>VLOOKUP(AW2443,'Item Master Data'!$A:$G,7,FALSE)</f>
        <v>30</v>
      </c>
      <c r="BC2443" s="262">
        <f t="shared" si="435"/>
        <v>0</v>
      </c>
    </row>
    <row r="2444" spans="1:55">
      <c r="A2444" s="410"/>
      <c r="B2444" s="407"/>
      <c r="C2444" s="407"/>
      <c r="D2444" s="474" t="s">
        <v>1066</v>
      </c>
      <c r="E2444" s="388" t="s">
        <v>1483</v>
      </c>
      <c r="F2444" s="474" t="s">
        <v>1077</v>
      </c>
      <c r="G2444" s="474">
        <v>2022</v>
      </c>
      <c r="H2444" s="474">
        <v>9</v>
      </c>
      <c r="I2444" s="485">
        <v>2005153</v>
      </c>
      <c r="J2444" s="475"/>
      <c r="K2444" s="474" t="s">
        <v>1513</v>
      </c>
      <c r="L2444" s="475" t="s">
        <v>1514</v>
      </c>
      <c r="M2444" s="475">
        <v>44599</v>
      </c>
      <c r="N2444" s="475">
        <v>44682</v>
      </c>
      <c r="O2444" s="475"/>
      <c r="P2444" s="475" t="s">
        <v>1515</v>
      </c>
      <c r="Q2444" s="475"/>
      <c r="R2444" s="475"/>
      <c r="S2444" s="474" t="s">
        <v>1069</v>
      </c>
      <c r="T2444" s="474">
        <v>72</v>
      </c>
      <c r="U2444" s="474" t="s">
        <v>1082</v>
      </c>
      <c r="V2444" s="474" t="s">
        <v>1070</v>
      </c>
      <c r="W2444" s="476">
        <v>475</v>
      </c>
      <c r="X2444" s="402">
        <v>3480</v>
      </c>
      <c r="Y2444" s="491">
        <f t="shared" si="430"/>
        <v>1653000</v>
      </c>
      <c r="Z2444" s="478">
        <v>0.47499999999999998</v>
      </c>
      <c r="AA2444" s="479">
        <f t="shared" si="437"/>
        <v>785175</v>
      </c>
      <c r="AB2444" s="386"/>
      <c r="AC2444" s="481">
        <f t="shared" si="438"/>
        <v>0</v>
      </c>
      <c r="AD2444" s="474"/>
      <c r="AE2444" s="482"/>
      <c r="AF2444" s="493">
        <f t="shared" si="436"/>
        <v>785175</v>
      </c>
      <c r="AG2444" s="474" t="s">
        <v>47</v>
      </c>
      <c r="AH2444" s="447">
        <v>0</v>
      </c>
      <c r="AI2444" s="474">
        <v>45</v>
      </c>
      <c r="AJ2444" s="474" t="s">
        <v>1516</v>
      </c>
      <c r="AK2444" s="474" t="s">
        <v>1096</v>
      </c>
      <c r="AL2444" s="494">
        <v>2766</v>
      </c>
      <c r="AM2444" s="474" t="s">
        <v>52</v>
      </c>
      <c r="AN2444" s="474" t="s">
        <v>1085</v>
      </c>
      <c r="AO2444" s="474"/>
      <c r="AP2444" s="474" t="s">
        <v>38</v>
      </c>
      <c r="AQ2444" s="474" t="s">
        <v>1086</v>
      </c>
      <c r="AR2444" s="474"/>
      <c r="AS2444" s="387" t="s">
        <v>1087</v>
      </c>
      <c r="AT2444" s="387" t="s">
        <v>1076</v>
      </c>
      <c r="AU2444" s="471"/>
      <c r="AV2444" s="262" t="str">
        <f t="shared" si="433"/>
        <v>12005833C</v>
      </c>
      <c r="AW2444" s="262" cm="1">
        <f t="array" ref="AW2444">SUM(MID(0&amp;AV2444,LARGE(INDEX(ISNUMBER(--MID(AV2444,ROW($1:$8),1))*ROW($1:$8),),ROW($1:$8))+1,1)*10^ROW($1:$8)/10)</f>
        <v>12005833</v>
      </c>
      <c r="AX2444" s="262" t="str">
        <f>VLOOKUP($AW2444,'Item Master Data'!$A:$F,3,FALSE)</f>
        <v>Q.PEAK DUO XL G10 BFG</v>
      </c>
      <c r="AY2444" s="262">
        <f>VLOOKUP($AW2444,'Item Master Data'!$A:$F,6,FALSE)</f>
        <v>475</v>
      </c>
      <c r="AZ2444" s="262">
        <f t="shared" si="434"/>
        <v>116</v>
      </c>
      <c r="BA2444" s="262">
        <f>VLOOKUP(AW2444,'Item Master Data'!$A:$G,7,FALSE)</f>
        <v>30</v>
      </c>
      <c r="BC2444" s="262">
        <f t="shared" si="435"/>
        <v>0</v>
      </c>
    </row>
    <row r="2445" spans="1:55">
      <c r="A2445" s="410"/>
      <c r="B2445" s="407"/>
      <c r="C2445" s="407"/>
      <c r="D2445" s="474" t="s">
        <v>1066</v>
      </c>
      <c r="E2445" s="388" t="s">
        <v>1498</v>
      </c>
      <c r="F2445" s="474"/>
      <c r="G2445" s="474">
        <v>2022</v>
      </c>
      <c r="H2445" s="474">
        <v>9</v>
      </c>
      <c r="I2445" s="485" t="s">
        <v>1091</v>
      </c>
      <c r="J2445" s="475"/>
      <c r="K2445" s="474" t="s">
        <v>1499</v>
      </c>
      <c r="L2445" s="475" t="s">
        <v>1500</v>
      </c>
      <c r="M2445" s="475">
        <v>44607</v>
      </c>
      <c r="N2445" s="475">
        <v>44805</v>
      </c>
      <c r="O2445" s="475"/>
      <c r="P2445" s="475"/>
      <c r="Q2445" s="475"/>
      <c r="R2445" s="475"/>
      <c r="S2445" s="474" t="s">
        <v>1081</v>
      </c>
      <c r="T2445" s="474">
        <v>72</v>
      </c>
      <c r="U2445" s="474" t="s">
        <v>1156</v>
      </c>
      <c r="V2445" s="474" t="s">
        <v>1070</v>
      </c>
      <c r="W2445" s="476">
        <v>480</v>
      </c>
      <c r="X2445" s="402">
        <v>104168</v>
      </c>
      <c r="Y2445" s="491">
        <f t="shared" si="430"/>
        <v>50000640</v>
      </c>
      <c r="Z2445" s="478">
        <v>0.45500000000000002</v>
      </c>
      <c r="AA2445" s="479">
        <f t="shared" si="437"/>
        <v>22750291.199999999</v>
      </c>
      <c r="AB2445" s="386"/>
      <c r="AC2445" s="481">
        <f t="shared" si="438"/>
        <v>0</v>
      </c>
      <c r="AD2445" s="474"/>
      <c r="AE2445" s="482"/>
      <c r="AF2445" s="493">
        <f t="shared" si="436"/>
        <v>22750291.199999999</v>
      </c>
      <c r="AG2445" s="474" t="s">
        <v>47</v>
      </c>
      <c r="AH2445" s="447">
        <v>100</v>
      </c>
      <c r="AI2445" s="474">
        <v>0</v>
      </c>
      <c r="AJ2445" s="474" t="s">
        <v>1501</v>
      </c>
      <c r="AK2445" s="474" t="s">
        <v>1190</v>
      </c>
      <c r="AL2445" s="494">
        <v>6516</v>
      </c>
      <c r="AM2445" s="474" t="s">
        <v>52</v>
      </c>
      <c r="AN2445" s="474" t="s">
        <v>1109</v>
      </c>
      <c r="AO2445" s="474"/>
      <c r="AP2445" s="474" t="s">
        <v>1109</v>
      </c>
      <c r="AQ2445" s="474"/>
      <c r="AR2445" s="474"/>
      <c r="AS2445" s="387"/>
      <c r="AT2445" s="387"/>
      <c r="AU2445" s="471"/>
      <c r="AV2445" s="262" t="str">
        <f t="shared" si="433"/>
        <v>12005832C</v>
      </c>
      <c r="AW2445" s="262" cm="1">
        <f t="array" ref="AW2445">SUM(MID(0&amp;AV2445,LARGE(INDEX(ISNUMBER(--MID(AV2445,ROW($1:$8),1))*ROW($1:$8),),ROW($1:$8))+1,1)*10^ROW($1:$8)/10)</f>
        <v>12005832</v>
      </c>
      <c r="AX2445" s="262" t="str">
        <f>VLOOKUP($AW2445,'Item Master Data'!$A:$F,3,FALSE)</f>
        <v>Q.PEAK DUO XL G10 BFG</v>
      </c>
      <c r="AY2445" s="262">
        <f>VLOOKUP($AW2445,'Item Master Data'!$A:$F,6,FALSE)</f>
        <v>480</v>
      </c>
      <c r="AZ2445" s="262" t="e">
        <f t="shared" si="434"/>
        <v>#VALUE!</v>
      </c>
      <c r="BA2445" s="262" t="str">
        <f>VLOOKUP(AW2445,'Item Master Data'!$A:$G,7,FALSE)</f>
        <v> 30</v>
      </c>
      <c r="BC2445" s="262">
        <f t="shared" si="435"/>
        <v>0</v>
      </c>
    </row>
    <row r="2446" spans="1:55">
      <c r="A2446" s="410"/>
      <c r="B2446" s="407"/>
      <c r="C2446" s="407"/>
      <c r="D2446" s="474" t="s">
        <v>1066</v>
      </c>
      <c r="E2446" s="388" t="s">
        <v>5279</v>
      </c>
      <c r="F2446" s="474"/>
      <c r="G2446" s="474">
        <v>2022</v>
      </c>
      <c r="H2446" s="474">
        <v>9</v>
      </c>
      <c r="I2446" s="485"/>
      <c r="J2446" s="475"/>
      <c r="K2446" s="474" t="s">
        <v>1264</v>
      </c>
      <c r="L2446" s="475" t="s">
        <v>1242</v>
      </c>
      <c r="M2446" s="475">
        <v>44641</v>
      </c>
      <c r="N2446" s="475">
        <v>44805</v>
      </c>
      <c r="O2446" s="475"/>
      <c r="P2446" s="475"/>
      <c r="Q2446" s="475"/>
      <c r="R2446" s="475"/>
      <c r="S2446" s="474" t="s">
        <v>1114</v>
      </c>
      <c r="T2446" s="474">
        <v>72</v>
      </c>
      <c r="U2446" s="474"/>
      <c r="V2446" s="474" t="s">
        <v>1070</v>
      </c>
      <c r="W2446" s="476">
        <v>480</v>
      </c>
      <c r="X2446" s="402">
        <v>1740</v>
      </c>
      <c r="Y2446" s="491">
        <f t="shared" si="430"/>
        <v>835200</v>
      </c>
      <c r="Z2446" s="478">
        <v>0.505</v>
      </c>
      <c r="AA2446" s="479">
        <f t="shared" si="437"/>
        <v>421776</v>
      </c>
      <c r="AB2446" s="386"/>
      <c r="AC2446" s="481">
        <f t="shared" si="438"/>
        <v>0</v>
      </c>
      <c r="AD2446" s="474"/>
      <c r="AE2446" s="482"/>
      <c r="AF2446" s="493">
        <f t="shared" si="436"/>
        <v>421776</v>
      </c>
      <c r="AG2446" s="474" t="s">
        <v>1071</v>
      </c>
      <c r="AH2446" s="447">
        <v>0</v>
      </c>
      <c r="AI2446" s="474">
        <v>60</v>
      </c>
      <c r="AJ2446" s="474" t="s">
        <v>1243</v>
      </c>
      <c r="AK2446" s="474" t="s">
        <v>1244</v>
      </c>
      <c r="AL2446" s="494" t="s">
        <v>1245</v>
      </c>
      <c r="AM2446" s="474" t="s">
        <v>52</v>
      </c>
      <c r="AN2446" s="474" t="s">
        <v>1085</v>
      </c>
      <c r="AO2446" s="474"/>
      <c r="AP2446" s="474" t="s">
        <v>38</v>
      </c>
      <c r="AQ2446" s="474" t="s">
        <v>1086</v>
      </c>
      <c r="AR2446" s="474"/>
      <c r="AS2446" s="387" t="s">
        <v>1076</v>
      </c>
      <c r="AT2446" s="387" t="s">
        <v>1076</v>
      </c>
      <c r="AU2446" s="471"/>
      <c r="AV2446" s="262">
        <f t="shared" si="433"/>
        <v>0</v>
      </c>
      <c r="AW2446" s="262" cm="1">
        <f t="array" ref="AW2446">SUM(MID(0&amp;AV2446,LARGE(INDEX(ISNUMBER(--MID(AV2446,ROW($1:$8),1))*ROW($1:$8),),ROW($1:$8))+1,1)*10^ROW($1:$8)/10)</f>
        <v>0</v>
      </c>
      <c r="AX2446" s="262" t="e">
        <f>VLOOKUP($AW2446,'Item Master Data'!$A:$F,3,FALSE)</f>
        <v>#N/A</v>
      </c>
      <c r="AY2446" s="262" t="e">
        <f>VLOOKUP($AW2446,'Item Master Data'!$A:$F,6,FALSE)</f>
        <v>#N/A</v>
      </c>
      <c r="AZ2446" s="262" t="e">
        <f t="shared" si="434"/>
        <v>#N/A</v>
      </c>
      <c r="BA2446" s="262" t="e">
        <f>VLOOKUP(AW2446,'Item Master Data'!$A:$G,7,FALSE)</f>
        <v>#N/A</v>
      </c>
      <c r="BC2446" s="262" t="e">
        <f t="shared" si="435"/>
        <v>#N/A</v>
      </c>
    </row>
    <row r="2447" spans="1:55">
      <c r="A2447" s="410"/>
      <c r="B2447" s="407"/>
      <c r="C2447" s="407"/>
      <c r="D2447" s="474" t="s">
        <v>1066</v>
      </c>
      <c r="E2447" s="388" t="s">
        <v>1283</v>
      </c>
      <c r="F2447" s="474" t="s">
        <v>1077</v>
      </c>
      <c r="G2447" s="474">
        <v>2022</v>
      </c>
      <c r="H2447" s="474">
        <v>9</v>
      </c>
      <c r="I2447" s="485" t="s">
        <v>1091</v>
      </c>
      <c r="J2447" s="475"/>
      <c r="K2447" s="474" t="s">
        <v>1517</v>
      </c>
      <c r="L2447" s="475" t="s">
        <v>1514</v>
      </c>
      <c r="M2447" s="475">
        <v>44655</v>
      </c>
      <c r="N2447" s="475">
        <v>44774</v>
      </c>
      <c r="O2447" s="475"/>
      <c r="P2447" s="475"/>
      <c r="Q2447" s="475"/>
      <c r="R2447" s="475"/>
      <c r="S2447" s="474" t="s">
        <v>1069</v>
      </c>
      <c r="T2447" s="474">
        <v>72</v>
      </c>
      <c r="U2447" s="474" t="s">
        <v>1082</v>
      </c>
      <c r="V2447" s="474" t="s">
        <v>1070</v>
      </c>
      <c r="W2447" s="476">
        <v>480</v>
      </c>
      <c r="X2447" s="402">
        <v>4156</v>
      </c>
      <c r="Y2447" s="491">
        <f t="shared" si="430"/>
        <v>1994880</v>
      </c>
      <c r="Z2447" s="478">
        <v>0.53</v>
      </c>
      <c r="AA2447" s="479">
        <f t="shared" si="437"/>
        <v>1057286.4000000001</v>
      </c>
      <c r="AB2447" s="386"/>
      <c r="AC2447" s="481">
        <f t="shared" si="438"/>
        <v>0</v>
      </c>
      <c r="AD2447" s="474"/>
      <c r="AE2447" s="482"/>
      <c r="AF2447" s="493">
        <f t="shared" si="436"/>
        <v>1057286.4000000001</v>
      </c>
      <c r="AG2447" s="474" t="s">
        <v>47</v>
      </c>
      <c r="AH2447" s="447">
        <v>0</v>
      </c>
      <c r="AI2447" s="474">
        <v>45</v>
      </c>
      <c r="AJ2447" s="474" t="s">
        <v>1516</v>
      </c>
      <c r="AK2447" s="474" t="s">
        <v>1096</v>
      </c>
      <c r="AL2447" s="494">
        <v>2766</v>
      </c>
      <c r="AM2447" s="474" t="s">
        <v>52</v>
      </c>
      <c r="AN2447" s="474" t="s">
        <v>1085</v>
      </c>
      <c r="AO2447" s="474"/>
      <c r="AP2447" s="474" t="s">
        <v>38</v>
      </c>
      <c r="AQ2447" s="474" t="s">
        <v>1086</v>
      </c>
      <c r="AR2447" s="474"/>
      <c r="AS2447" s="387" t="s">
        <v>1087</v>
      </c>
      <c r="AT2447" s="387" t="s">
        <v>1076</v>
      </c>
      <c r="AU2447" s="471"/>
      <c r="AV2447" s="262" t="str">
        <f t="shared" si="433"/>
        <v>12005833C</v>
      </c>
      <c r="AW2447" s="262" cm="1">
        <f t="array" ref="AW2447">SUM(MID(0&amp;AV2447,LARGE(INDEX(ISNUMBER(--MID(AV2447,ROW($1:$8),1))*ROW($1:$8),),ROW($1:$8))+1,1)*10^ROW($1:$8)/10)</f>
        <v>12005833</v>
      </c>
      <c r="AX2447" s="262" t="str">
        <f>VLOOKUP($AW2447,'Item Master Data'!$A:$F,3,FALSE)</f>
        <v>Q.PEAK DUO XL G10 BFG</v>
      </c>
      <c r="AY2447" s="262">
        <f>VLOOKUP($AW2447,'Item Master Data'!$A:$F,6,FALSE)</f>
        <v>475</v>
      </c>
      <c r="AZ2447" s="262">
        <f t="shared" si="434"/>
        <v>138.53333333333333</v>
      </c>
      <c r="BA2447" s="262">
        <f>VLOOKUP(AW2447,'Item Master Data'!$A:$G,7,FALSE)</f>
        <v>30</v>
      </c>
      <c r="BC2447" s="262">
        <f t="shared" si="435"/>
        <v>5</v>
      </c>
    </row>
    <row r="2448" spans="1:55">
      <c r="A2448" s="410"/>
      <c r="B2448" s="407"/>
      <c r="C2448" s="407"/>
      <c r="D2448" s="474" t="s">
        <v>1066</v>
      </c>
      <c r="E2448" s="388" t="s">
        <v>1283</v>
      </c>
      <c r="F2448" s="474" t="s">
        <v>1077</v>
      </c>
      <c r="G2448" s="474">
        <v>2022</v>
      </c>
      <c r="H2448" s="474">
        <v>9</v>
      </c>
      <c r="I2448" s="485" t="s">
        <v>1091</v>
      </c>
      <c r="J2448" s="475"/>
      <c r="K2448" s="474" t="s">
        <v>1518</v>
      </c>
      <c r="L2448" s="475" t="s">
        <v>1514</v>
      </c>
      <c r="M2448" s="475">
        <v>44655</v>
      </c>
      <c r="N2448" s="475">
        <v>44774</v>
      </c>
      <c r="O2448" s="475"/>
      <c r="P2448" s="475"/>
      <c r="Q2448" s="475"/>
      <c r="R2448" s="475"/>
      <c r="S2448" s="474" t="s">
        <v>1069</v>
      </c>
      <c r="T2448" s="474">
        <v>72</v>
      </c>
      <c r="U2448" s="474" t="s">
        <v>1082</v>
      </c>
      <c r="V2448" s="474" t="s">
        <v>1070</v>
      </c>
      <c r="W2448" s="476">
        <v>480</v>
      </c>
      <c r="X2448" s="402">
        <v>3538</v>
      </c>
      <c r="Y2448" s="491">
        <f t="shared" si="430"/>
        <v>1698240</v>
      </c>
      <c r="Z2448" s="478">
        <v>0.53</v>
      </c>
      <c r="AA2448" s="479">
        <f t="shared" si="437"/>
        <v>900067.20000000007</v>
      </c>
      <c r="AB2448" s="386"/>
      <c r="AC2448" s="481">
        <f t="shared" si="438"/>
        <v>0</v>
      </c>
      <c r="AD2448" s="474"/>
      <c r="AE2448" s="482"/>
      <c r="AF2448" s="493">
        <f t="shared" si="436"/>
        <v>900067.20000000007</v>
      </c>
      <c r="AG2448" s="474" t="s">
        <v>47</v>
      </c>
      <c r="AH2448" s="447">
        <v>0</v>
      </c>
      <c r="AI2448" s="474">
        <v>45</v>
      </c>
      <c r="AJ2448" s="474" t="s">
        <v>1516</v>
      </c>
      <c r="AK2448" s="474" t="s">
        <v>1096</v>
      </c>
      <c r="AL2448" s="494">
        <v>2766</v>
      </c>
      <c r="AM2448" s="474" t="s">
        <v>52</v>
      </c>
      <c r="AN2448" s="474" t="s">
        <v>1085</v>
      </c>
      <c r="AO2448" s="474"/>
      <c r="AP2448" s="474" t="s">
        <v>38</v>
      </c>
      <c r="AQ2448" s="474" t="s">
        <v>1086</v>
      </c>
      <c r="AR2448" s="474"/>
      <c r="AS2448" s="387" t="s">
        <v>1087</v>
      </c>
      <c r="AT2448" s="387" t="s">
        <v>1076</v>
      </c>
      <c r="AU2448" s="471"/>
      <c r="AV2448" s="262" t="str">
        <f t="shared" si="433"/>
        <v>12005833C</v>
      </c>
      <c r="AW2448" s="262" cm="1">
        <f t="array" ref="AW2448">SUM(MID(0&amp;AV2448,LARGE(INDEX(ISNUMBER(--MID(AV2448,ROW($1:$8),1))*ROW($1:$8),),ROW($1:$8))+1,1)*10^ROW($1:$8)/10)</f>
        <v>12005833</v>
      </c>
      <c r="AX2448" s="262" t="str">
        <f>VLOOKUP($AW2448,'Item Master Data'!$A:$F,3,FALSE)</f>
        <v>Q.PEAK DUO XL G10 BFG</v>
      </c>
      <c r="AY2448" s="262">
        <f>VLOOKUP($AW2448,'Item Master Data'!$A:$F,6,FALSE)</f>
        <v>475</v>
      </c>
      <c r="AZ2448" s="262">
        <f t="shared" si="434"/>
        <v>117.93333333333334</v>
      </c>
      <c r="BA2448" s="262">
        <f>VLOOKUP(AW2448,'Item Master Data'!$A:$G,7,FALSE)</f>
        <v>30</v>
      </c>
      <c r="BC2448" s="262">
        <f t="shared" si="435"/>
        <v>5</v>
      </c>
    </row>
    <row r="2449" spans="1:55">
      <c r="A2449" s="410"/>
      <c r="B2449" s="407"/>
      <c r="C2449" s="407"/>
      <c r="D2449" s="474" t="s">
        <v>1066</v>
      </c>
      <c r="E2449" s="388" t="s">
        <v>1097</v>
      </c>
      <c r="F2449" s="474"/>
      <c r="G2449" s="474">
        <v>2022</v>
      </c>
      <c r="H2449" s="474">
        <v>10</v>
      </c>
      <c r="I2449" s="485"/>
      <c r="J2449" s="475"/>
      <c r="K2449" s="474" t="s">
        <v>5590</v>
      </c>
      <c r="L2449" s="475" t="s">
        <v>1089</v>
      </c>
      <c r="M2449" s="475">
        <v>44676</v>
      </c>
      <c r="N2449" s="475">
        <v>44835</v>
      </c>
      <c r="O2449" s="475"/>
      <c r="P2449" s="475"/>
      <c r="Q2449" s="475"/>
      <c r="R2449" s="475"/>
      <c r="S2449" s="474" t="s">
        <v>1069</v>
      </c>
      <c r="T2449" s="474">
        <v>72</v>
      </c>
      <c r="U2449" s="474"/>
      <c r="V2449" s="474" t="s">
        <v>1070</v>
      </c>
      <c r="W2449" s="476">
        <v>480</v>
      </c>
      <c r="X2449" s="402">
        <v>638</v>
      </c>
      <c r="Y2449" s="491">
        <f t="shared" si="430"/>
        <v>306240</v>
      </c>
      <c r="Z2449" s="478">
        <v>0.59</v>
      </c>
      <c r="AA2449" s="479">
        <f>Y2449*Z2449</f>
        <v>180681.59999999998</v>
      </c>
      <c r="AB2449" s="386"/>
      <c r="AC2449" s="481">
        <v>0</v>
      </c>
      <c r="AD2449" s="474"/>
      <c r="AE2449" s="482"/>
      <c r="AF2449" s="493">
        <f t="shared" si="436"/>
        <v>180681.59999999998</v>
      </c>
      <c r="AG2449" s="474" t="s">
        <v>1071</v>
      </c>
      <c r="AH2449" s="447">
        <v>10</v>
      </c>
      <c r="AI2449" s="474">
        <v>30</v>
      </c>
      <c r="AJ2449" s="474" t="s">
        <v>1095</v>
      </c>
      <c r="AK2449" s="474" t="s">
        <v>1096</v>
      </c>
      <c r="AL2449" s="494">
        <v>1719</v>
      </c>
      <c r="AM2449" s="474" t="s">
        <v>52</v>
      </c>
      <c r="AN2449" s="474" t="s">
        <v>1085</v>
      </c>
      <c r="AO2449" s="474"/>
      <c r="AP2449" s="474" t="s">
        <v>92</v>
      </c>
      <c r="AQ2449" s="474" t="s">
        <v>37</v>
      </c>
      <c r="AR2449" s="474"/>
      <c r="AS2449" s="387"/>
      <c r="AT2449" s="387"/>
      <c r="AU2449" s="471"/>
      <c r="AV2449" s="262">
        <f t="shared" si="433"/>
        <v>0</v>
      </c>
      <c r="AW2449" s="262" cm="1">
        <f t="array" ref="AW2449">SUM(MID(0&amp;AV2449,LARGE(INDEX(ISNUMBER(--MID(AV2449,ROW($1:$8),1))*ROW($1:$8),),ROW($1:$8))+1,1)*10^ROW($1:$8)/10)</f>
        <v>0</v>
      </c>
      <c r="AX2449" s="262" t="e">
        <f>VLOOKUP($AW2449,'Item Master Data'!$A:$F,3,FALSE)</f>
        <v>#N/A</v>
      </c>
      <c r="AY2449" s="262" t="e">
        <f>VLOOKUP($AW2449,'Item Master Data'!$A:$F,6,FALSE)</f>
        <v>#N/A</v>
      </c>
      <c r="AZ2449" s="262" t="e">
        <f t="shared" si="434"/>
        <v>#N/A</v>
      </c>
      <c r="BA2449" s="262" t="e">
        <f>VLOOKUP(AW2449,'Item Master Data'!$A:$G,7,FALSE)</f>
        <v>#N/A</v>
      </c>
      <c r="BC2449" s="262" t="e">
        <f t="shared" si="435"/>
        <v>#N/A</v>
      </c>
    </row>
    <row r="2450" spans="1:55">
      <c r="A2450" s="410"/>
      <c r="B2450" s="407"/>
      <c r="C2450" s="407"/>
      <c r="D2450" s="474" t="s">
        <v>1066</v>
      </c>
      <c r="E2450" s="388" t="s">
        <v>1097</v>
      </c>
      <c r="F2450" s="474"/>
      <c r="G2450" s="474">
        <v>2022</v>
      </c>
      <c r="H2450" s="474">
        <v>10</v>
      </c>
      <c r="I2450" s="485"/>
      <c r="J2450" s="475"/>
      <c r="K2450" s="474" t="s">
        <v>5591</v>
      </c>
      <c r="L2450" s="475" t="s">
        <v>1089</v>
      </c>
      <c r="M2450" s="475">
        <v>44676</v>
      </c>
      <c r="N2450" s="475">
        <v>44835</v>
      </c>
      <c r="O2450" s="475"/>
      <c r="P2450" s="475"/>
      <c r="Q2450" s="475"/>
      <c r="R2450" s="475"/>
      <c r="S2450" s="474" t="s">
        <v>1069</v>
      </c>
      <c r="T2450" s="474">
        <v>72</v>
      </c>
      <c r="U2450" s="474"/>
      <c r="V2450" s="474" t="s">
        <v>1070</v>
      </c>
      <c r="W2450" s="476">
        <v>480</v>
      </c>
      <c r="X2450" s="402">
        <v>638</v>
      </c>
      <c r="Y2450" s="491">
        <f t="shared" si="430"/>
        <v>306240</v>
      </c>
      <c r="Z2450" s="478">
        <v>0.59</v>
      </c>
      <c r="AA2450" s="479">
        <f>Y2450*Z2450</f>
        <v>180681.59999999998</v>
      </c>
      <c r="AB2450" s="386"/>
      <c r="AC2450" s="481">
        <v>0</v>
      </c>
      <c r="AD2450" s="474"/>
      <c r="AE2450" s="482"/>
      <c r="AF2450" s="493">
        <f t="shared" si="436"/>
        <v>180681.59999999998</v>
      </c>
      <c r="AG2450" s="474" t="s">
        <v>1071</v>
      </c>
      <c r="AH2450" s="447">
        <v>10</v>
      </c>
      <c r="AI2450" s="474">
        <v>30</v>
      </c>
      <c r="AJ2450" s="474" t="s">
        <v>1090</v>
      </c>
      <c r="AK2450" s="474" t="s">
        <v>50</v>
      </c>
      <c r="AL2450" s="494">
        <v>95482</v>
      </c>
      <c r="AM2450" s="474" t="s">
        <v>52</v>
      </c>
      <c r="AN2450" s="474" t="s">
        <v>1085</v>
      </c>
      <c r="AO2450" s="474"/>
      <c r="AP2450" s="474" t="s">
        <v>92</v>
      </c>
      <c r="AQ2450" s="474" t="s">
        <v>37</v>
      </c>
      <c r="AR2450" s="474"/>
      <c r="AS2450" s="387"/>
      <c r="AT2450" s="387"/>
      <c r="AU2450" s="471"/>
      <c r="AV2450" s="262">
        <f t="shared" si="433"/>
        <v>0</v>
      </c>
      <c r="AW2450" s="262" cm="1">
        <f t="array" ref="AW2450">SUM(MID(0&amp;AV2450,LARGE(INDEX(ISNUMBER(--MID(AV2450,ROW($1:$8),1))*ROW($1:$8),),ROW($1:$8))+1,1)*10^ROW($1:$8)/10)</f>
        <v>0</v>
      </c>
      <c r="AX2450" s="262" t="e">
        <f>VLOOKUP($AW2450,'Item Master Data'!$A:$F,3,FALSE)</f>
        <v>#N/A</v>
      </c>
      <c r="AY2450" s="262" t="e">
        <f>VLOOKUP($AW2450,'Item Master Data'!$A:$F,6,FALSE)</f>
        <v>#N/A</v>
      </c>
      <c r="AZ2450" s="262" t="e">
        <f t="shared" si="434"/>
        <v>#N/A</v>
      </c>
      <c r="BA2450" s="262" t="e">
        <f>VLOOKUP(AW2450,'Item Master Data'!$A:$G,7,FALSE)</f>
        <v>#N/A</v>
      </c>
      <c r="BC2450" s="262" t="e">
        <f t="shared" si="435"/>
        <v>#N/A</v>
      </c>
    </row>
    <row r="2451" spans="1:55">
      <c r="A2451" s="410"/>
      <c r="B2451" s="407"/>
      <c r="C2451" s="407"/>
      <c r="D2451" s="474" t="s">
        <v>1066</v>
      </c>
      <c r="E2451" s="388" t="s">
        <v>5459</v>
      </c>
      <c r="F2451" s="474"/>
      <c r="G2451" s="474">
        <v>2022</v>
      </c>
      <c r="H2451" s="474">
        <v>10</v>
      </c>
      <c r="I2451" s="485"/>
      <c r="J2451" s="475"/>
      <c r="K2451" s="474" t="s">
        <v>1183</v>
      </c>
      <c r="L2451" s="475" t="s">
        <v>1174</v>
      </c>
      <c r="M2451" s="475">
        <v>44656</v>
      </c>
      <c r="N2451" s="475">
        <v>44835</v>
      </c>
      <c r="O2451" s="475"/>
      <c r="P2451" s="475"/>
      <c r="Q2451" s="475"/>
      <c r="R2451" s="475"/>
      <c r="S2451" s="474" t="s">
        <v>1069</v>
      </c>
      <c r="T2451" s="474">
        <v>72</v>
      </c>
      <c r="U2451" s="474"/>
      <c r="V2451" s="474" t="s">
        <v>1070</v>
      </c>
      <c r="W2451" s="476">
        <v>480</v>
      </c>
      <c r="X2451" s="402">
        <v>1914</v>
      </c>
      <c r="Y2451" s="491">
        <f t="shared" si="430"/>
        <v>918720</v>
      </c>
      <c r="Z2451" s="478">
        <v>0.5</v>
      </c>
      <c r="AA2451" s="479">
        <f>Y2451*Z2451</f>
        <v>459360</v>
      </c>
      <c r="AB2451" s="386"/>
      <c r="AC2451" s="481">
        <v>0</v>
      </c>
      <c r="AD2451" s="474"/>
      <c r="AE2451" s="482"/>
      <c r="AF2451" s="493">
        <f t="shared" si="436"/>
        <v>459360</v>
      </c>
      <c r="AG2451" s="474" t="s">
        <v>1071</v>
      </c>
      <c r="AH2451" s="447"/>
      <c r="AI2451" s="474">
        <v>60</v>
      </c>
      <c r="AJ2451" s="474" t="s">
        <v>1175</v>
      </c>
      <c r="AK2451" s="474" t="s">
        <v>1138</v>
      </c>
      <c r="AL2451" s="494" t="s">
        <v>1176</v>
      </c>
      <c r="AM2451" s="474" t="s">
        <v>52</v>
      </c>
      <c r="AN2451" s="474" t="s">
        <v>1109</v>
      </c>
      <c r="AO2451" s="474"/>
      <c r="AP2451" s="474" t="s">
        <v>1109</v>
      </c>
      <c r="AQ2451" s="474" t="s">
        <v>37</v>
      </c>
      <c r="AR2451" s="474"/>
      <c r="AS2451" s="387"/>
      <c r="AT2451" s="387"/>
      <c r="AU2451" s="471"/>
      <c r="AV2451" s="262">
        <f t="shared" si="433"/>
        <v>0</v>
      </c>
      <c r="AW2451" s="262" cm="1">
        <f t="array" ref="AW2451">SUM(MID(0&amp;AV2451,LARGE(INDEX(ISNUMBER(--MID(AV2451,ROW($1:$8),1))*ROW($1:$8),),ROW($1:$8))+1,1)*10^ROW($1:$8)/10)</f>
        <v>0</v>
      </c>
      <c r="AX2451" s="262" t="e">
        <f>VLOOKUP($AW2451,'Item Master Data'!$A:$F,3,FALSE)</f>
        <v>#N/A</v>
      </c>
      <c r="AY2451" s="262" t="e">
        <f>VLOOKUP($AW2451,'Item Master Data'!$A:$F,6,FALSE)</f>
        <v>#N/A</v>
      </c>
      <c r="AZ2451" s="262" t="e">
        <f t="shared" si="434"/>
        <v>#N/A</v>
      </c>
      <c r="BA2451" s="262" t="e">
        <f>VLOOKUP(AW2451,'Item Master Data'!$A:$G,7,FALSE)</f>
        <v>#N/A</v>
      </c>
      <c r="BC2451" s="262" t="e">
        <f t="shared" si="435"/>
        <v>#N/A</v>
      </c>
    </row>
    <row r="2452" spans="1:55">
      <c r="A2452" s="410"/>
      <c r="B2452" s="407" t="s">
        <v>1211</v>
      </c>
      <c r="C2452" s="407" t="s">
        <v>1211</v>
      </c>
      <c r="D2452" s="474" t="s">
        <v>1066</v>
      </c>
      <c r="E2452" s="388" t="s">
        <v>5279</v>
      </c>
      <c r="F2452" s="474" t="s">
        <v>87</v>
      </c>
      <c r="G2452" s="474">
        <v>2022</v>
      </c>
      <c r="H2452" s="474">
        <v>10</v>
      </c>
      <c r="I2452" s="485"/>
      <c r="J2452" s="475"/>
      <c r="K2452" s="474" t="s">
        <v>1304</v>
      </c>
      <c r="L2452" s="475" t="s">
        <v>1295</v>
      </c>
      <c r="M2452" s="475">
        <v>44656</v>
      </c>
      <c r="N2452" s="475">
        <v>44835</v>
      </c>
      <c r="O2452" s="475"/>
      <c r="P2452" s="475"/>
      <c r="Q2452" s="475"/>
      <c r="R2452" s="475"/>
      <c r="S2452" s="474" t="s">
        <v>1069</v>
      </c>
      <c r="T2452" s="474">
        <v>72</v>
      </c>
      <c r="U2452" s="474"/>
      <c r="V2452" s="474" t="s">
        <v>1070</v>
      </c>
      <c r="W2452" s="476">
        <v>480</v>
      </c>
      <c r="X2452" s="402">
        <v>638</v>
      </c>
      <c r="Y2452" s="491">
        <f t="shared" si="430"/>
        <v>306240</v>
      </c>
      <c r="Z2452" s="478">
        <v>0.49</v>
      </c>
      <c r="AA2452" s="479">
        <f>Y2452*Z2452</f>
        <v>150057.60000000001</v>
      </c>
      <c r="AB2452" s="386"/>
      <c r="AC2452" s="481">
        <v>0</v>
      </c>
      <c r="AD2452" s="474"/>
      <c r="AE2452" s="482"/>
      <c r="AF2452" s="493">
        <f t="shared" si="436"/>
        <v>150057.60000000001</v>
      </c>
      <c r="AG2452" s="474" t="s">
        <v>1071</v>
      </c>
      <c r="AH2452" s="447"/>
      <c r="AI2452" s="474">
        <v>60</v>
      </c>
      <c r="AJ2452" s="474" t="s">
        <v>1296</v>
      </c>
      <c r="AK2452" s="474" t="s">
        <v>1297</v>
      </c>
      <c r="AL2452" s="494" t="s">
        <v>1298</v>
      </c>
      <c r="AM2452" s="474" t="s">
        <v>52</v>
      </c>
      <c r="AN2452" s="474" t="s">
        <v>1074</v>
      </c>
      <c r="AO2452" s="474"/>
      <c r="AP2452" s="474"/>
      <c r="AQ2452" s="474" t="s">
        <v>37</v>
      </c>
      <c r="AR2452" s="474"/>
      <c r="AS2452" s="387"/>
      <c r="AT2452" s="387"/>
      <c r="AU2452" s="471"/>
      <c r="AV2452" s="262">
        <f t="shared" si="433"/>
        <v>0</v>
      </c>
      <c r="AW2452" s="262" cm="1">
        <f t="array" ref="AW2452">SUM(MID(0&amp;AV2452,LARGE(INDEX(ISNUMBER(--MID(AV2452,ROW($1:$8),1))*ROW($1:$8),),ROW($1:$8))+1,1)*10^ROW($1:$8)/10)</f>
        <v>0</v>
      </c>
      <c r="AX2452" s="262" t="e">
        <f>VLOOKUP($AW2452,'Item Master Data'!$A:$F,3,FALSE)</f>
        <v>#N/A</v>
      </c>
      <c r="AY2452" s="262" t="e">
        <f>VLOOKUP($AW2452,'Item Master Data'!$A:$F,6,FALSE)</f>
        <v>#N/A</v>
      </c>
      <c r="AZ2452" s="262" t="e">
        <f t="shared" si="434"/>
        <v>#N/A</v>
      </c>
      <c r="BA2452" s="262" t="e">
        <f>VLOOKUP(AW2452,'Item Master Data'!$A:$G,7,FALSE)</f>
        <v>#N/A</v>
      </c>
      <c r="BC2452" s="262" t="e">
        <f t="shared" si="435"/>
        <v>#N/A</v>
      </c>
    </row>
    <row r="2453" spans="1:55">
      <c r="A2453" s="410"/>
      <c r="B2453" s="407"/>
      <c r="C2453" s="407"/>
      <c r="D2453" s="474" t="s">
        <v>1066</v>
      </c>
      <c r="E2453" s="388" t="s">
        <v>1483</v>
      </c>
      <c r="F2453" s="474" t="s">
        <v>1077</v>
      </c>
      <c r="G2453" s="474">
        <v>2022</v>
      </c>
      <c r="H2453" s="474">
        <v>10</v>
      </c>
      <c r="I2453" s="485" t="s">
        <v>1091</v>
      </c>
      <c r="J2453" s="475"/>
      <c r="K2453" s="474" t="s">
        <v>1484</v>
      </c>
      <c r="L2453" s="475" t="s">
        <v>1478</v>
      </c>
      <c r="M2453" s="475">
        <v>44532</v>
      </c>
      <c r="N2453" s="475">
        <v>44743</v>
      </c>
      <c r="O2453" s="475"/>
      <c r="P2453" s="475"/>
      <c r="Q2453" s="475"/>
      <c r="R2453" s="475"/>
      <c r="S2453" s="474" t="s">
        <v>1114</v>
      </c>
      <c r="T2453" s="474">
        <v>72</v>
      </c>
      <c r="U2453" s="474" t="s">
        <v>1156</v>
      </c>
      <c r="V2453" s="474" t="s">
        <v>1226</v>
      </c>
      <c r="W2453" s="476">
        <v>480</v>
      </c>
      <c r="X2453" s="402">
        <v>13688</v>
      </c>
      <c r="Y2453" s="491">
        <f t="shared" si="430"/>
        <v>6570240</v>
      </c>
      <c r="Z2453" s="478">
        <v>0.44500000000000001</v>
      </c>
      <c r="AA2453" s="479">
        <f t="shared" ref="AA2453:AA2494" si="439">Z2453*Y2453</f>
        <v>2923756.8</v>
      </c>
      <c r="AB2453" s="386"/>
      <c r="AC2453" s="481">
        <f t="shared" ref="AC2453:AC2494" si="440">AB2453*Y2453</f>
        <v>0</v>
      </c>
      <c r="AD2453" s="474"/>
      <c r="AE2453" s="482"/>
      <c r="AF2453" s="493">
        <f t="shared" si="436"/>
        <v>2923756.8</v>
      </c>
      <c r="AG2453" s="474" t="s">
        <v>47</v>
      </c>
      <c r="AH2453" s="447">
        <v>10</v>
      </c>
      <c r="AI2453" s="474">
        <v>30</v>
      </c>
      <c r="AJ2453" s="474" t="s">
        <v>1374</v>
      </c>
      <c r="AK2453" s="474" t="s">
        <v>1244</v>
      </c>
      <c r="AL2453" s="494">
        <v>47374</v>
      </c>
      <c r="AM2453" s="474" t="s">
        <v>52</v>
      </c>
      <c r="AN2453" s="474" t="s">
        <v>1085</v>
      </c>
      <c r="AO2453" s="474"/>
      <c r="AP2453" s="474" t="s">
        <v>38</v>
      </c>
      <c r="AQ2453" s="474" t="s">
        <v>1086</v>
      </c>
      <c r="AR2453" s="474"/>
      <c r="AS2453" s="387" t="s">
        <v>1076</v>
      </c>
      <c r="AT2453" s="387" t="s">
        <v>1076</v>
      </c>
      <c r="AU2453" s="471"/>
    </row>
    <row r="2454" spans="1:55">
      <c r="A2454" s="410"/>
      <c r="B2454" s="407"/>
      <c r="C2454" s="407"/>
      <c r="D2454" s="474" t="s">
        <v>1066</v>
      </c>
      <c r="E2454" s="388" t="s">
        <v>1283</v>
      </c>
      <c r="F2454" s="474" t="s">
        <v>1077</v>
      </c>
      <c r="G2454" s="474">
        <v>2022</v>
      </c>
      <c r="H2454" s="474">
        <v>10</v>
      </c>
      <c r="I2454" s="485" t="s">
        <v>1091</v>
      </c>
      <c r="J2454" s="475"/>
      <c r="K2454" s="474" t="s">
        <v>1518</v>
      </c>
      <c r="L2454" s="475" t="s">
        <v>1514</v>
      </c>
      <c r="M2454" s="475">
        <v>44655</v>
      </c>
      <c r="N2454" s="475">
        <v>44774</v>
      </c>
      <c r="O2454" s="475"/>
      <c r="P2454" s="475"/>
      <c r="Q2454" s="475"/>
      <c r="R2454" s="475"/>
      <c r="S2454" s="474" t="s">
        <v>1069</v>
      </c>
      <c r="T2454" s="474">
        <v>72</v>
      </c>
      <c r="U2454" s="474" t="s">
        <v>1082</v>
      </c>
      <c r="V2454" s="474" t="s">
        <v>1070</v>
      </c>
      <c r="W2454" s="476">
        <v>480</v>
      </c>
      <c r="X2454" s="402">
        <v>2726</v>
      </c>
      <c r="Y2454" s="491">
        <f t="shared" si="430"/>
        <v>1308480</v>
      </c>
      <c r="Z2454" s="478">
        <v>0.53</v>
      </c>
      <c r="AA2454" s="479">
        <f t="shared" si="439"/>
        <v>693494.4</v>
      </c>
      <c r="AB2454" s="386"/>
      <c r="AC2454" s="481">
        <f t="shared" si="440"/>
        <v>0</v>
      </c>
      <c r="AD2454" s="474"/>
      <c r="AE2454" s="482"/>
      <c r="AF2454" s="493">
        <f t="shared" si="436"/>
        <v>693494.4</v>
      </c>
      <c r="AG2454" s="474" t="s">
        <v>47</v>
      </c>
      <c r="AH2454" s="447">
        <v>0</v>
      </c>
      <c r="AI2454" s="474">
        <v>45</v>
      </c>
      <c r="AJ2454" s="474" t="s">
        <v>1516</v>
      </c>
      <c r="AK2454" s="474" t="s">
        <v>1096</v>
      </c>
      <c r="AL2454" s="494">
        <v>2766</v>
      </c>
      <c r="AM2454" s="474" t="s">
        <v>52</v>
      </c>
      <c r="AN2454" s="474" t="s">
        <v>1085</v>
      </c>
      <c r="AO2454" s="474"/>
      <c r="AP2454" s="474" t="s">
        <v>38</v>
      </c>
      <c r="AQ2454" s="474" t="s">
        <v>1086</v>
      </c>
      <c r="AR2454" s="474"/>
      <c r="AS2454" s="387" t="s">
        <v>1087</v>
      </c>
      <c r="AT2454" s="387" t="s">
        <v>1076</v>
      </c>
      <c r="AU2454" s="471"/>
    </row>
    <row r="2455" spans="1:55">
      <c r="A2455" s="410"/>
      <c r="B2455" s="407"/>
      <c r="C2455" s="407"/>
      <c r="D2455" s="474" t="s">
        <v>1066</v>
      </c>
      <c r="E2455" s="388" t="s">
        <v>1283</v>
      </c>
      <c r="F2455" s="474" t="s">
        <v>1147</v>
      </c>
      <c r="G2455" s="474">
        <v>2022</v>
      </c>
      <c r="H2455" s="474">
        <v>6</v>
      </c>
      <c r="I2455" s="485"/>
      <c r="J2455" s="475"/>
      <c r="K2455" s="474" t="s">
        <v>1529</v>
      </c>
      <c r="L2455" s="475" t="s">
        <v>1520</v>
      </c>
      <c r="M2455" s="475">
        <v>44481</v>
      </c>
      <c r="N2455" s="475">
        <v>44718</v>
      </c>
      <c r="O2455" s="475"/>
      <c r="P2455" s="475"/>
      <c r="Q2455" s="475"/>
      <c r="R2455" s="475"/>
      <c r="S2455" s="474" t="s">
        <v>1388</v>
      </c>
      <c r="T2455" s="474">
        <v>72</v>
      </c>
      <c r="U2455" s="474" t="s">
        <v>1109</v>
      </c>
      <c r="V2455" s="474" t="s">
        <v>1110</v>
      </c>
      <c r="W2455" s="476">
        <v>485</v>
      </c>
      <c r="X2455" s="402">
        <f>5275+35</f>
        <v>5310</v>
      </c>
      <c r="Y2455" s="491">
        <f t="shared" si="430"/>
        <v>2575350</v>
      </c>
      <c r="Z2455" s="478">
        <v>0.39500000000000002</v>
      </c>
      <c r="AA2455" s="479">
        <f t="shared" si="439"/>
        <v>1017263.25</v>
      </c>
      <c r="AB2455" s="386"/>
      <c r="AC2455" s="481">
        <f t="shared" si="440"/>
        <v>0</v>
      </c>
      <c r="AD2455" s="474"/>
      <c r="AE2455" s="482"/>
      <c r="AF2455" s="493">
        <f t="shared" si="436"/>
        <v>1017263.25</v>
      </c>
      <c r="AG2455" s="474" t="s">
        <v>47</v>
      </c>
      <c r="AH2455" s="447">
        <v>10</v>
      </c>
      <c r="AI2455" s="474">
        <v>45</v>
      </c>
      <c r="AJ2455" s="474" t="s">
        <v>1530</v>
      </c>
      <c r="AK2455" s="474" t="s">
        <v>1158</v>
      </c>
      <c r="AL2455" s="494">
        <v>28456</v>
      </c>
      <c r="AM2455" s="474" t="s">
        <v>52</v>
      </c>
      <c r="AN2455" s="474" t="s">
        <v>1109</v>
      </c>
      <c r="AO2455" s="474"/>
      <c r="AP2455" s="474" t="s">
        <v>1109</v>
      </c>
      <c r="AQ2455" s="474"/>
      <c r="AR2455" s="474"/>
      <c r="AS2455" s="387"/>
      <c r="AT2455" s="387"/>
      <c r="AU2455" s="471"/>
    </row>
    <row r="2456" spans="1:55">
      <c r="A2456" s="410"/>
      <c r="B2456" s="407"/>
      <c r="C2456" s="407"/>
      <c r="D2456" s="474" t="s">
        <v>1066</v>
      </c>
      <c r="E2456" s="388" t="s">
        <v>1283</v>
      </c>
      <c r="F2456" s="474" t="s">
        <v>1147</v>
      </c>
      <c r="G2456" s="474">
        <v>2022</v>
      </c>
      <c r="H2456" s="474">
        <v>10</v>
      </c>
      <c r="I2456" s="485">
        <v>2005234</v>
      </c>
      <c r="J2456" s="475"/>
      <c r="K2456" s="516" t="s">
        <v>1524</v>
      </c>
      <c r="L2456" s="475" t="s">
        <v>1520</v>
      </c>
      <c r="M2456" s="475">
        <v>44481</v>
      </c>
      <c r="N2456" s="475">
        <v>44845</v>
      </c>
      <c r="O2456" s="475"/>
      <c r="P2456" s="475"/>
      <c r="Q2456" s="475"/>
      <c r="R2456" s="475"/>
      <c r="S2456" s="474" t="s">
        <v>1388</v>
      </c>
      <c r="T2456" s="474">
        <v>72</v>
      </c>
      <c r="U2456" s="474">
        <v>49303156</v>
      </c>
      <c r="V2456" s="474" t="s">
        <v>1070</v>
      </c>
      <c r="W2456" s="476">
        <v>480</v>
      </c>
      <c r="X2456" s="402">
        <v>10740</v>
      </c>
      <c r="Y2456" s="491">
        <f t="shared" si="430"/>
        <v>5155200</v>
      </c>
      <c r="Z2456" s="478">
        <v>0.39500000000000002</v>
      </c>
      <c r="AA2456" s="479">
        <f t="shared" si="439"/>
        <v>2036304</v>
      </c>
      <c r="AB2456" s="386"/>
      <c r="AC2456" s="481">
        <f t="shared" si="440"/>
        <v>0</v>
      </c>
      <c r="AD2456" s="474"/>
      <c r="AE2456" s="482"/>
      <c r="AF2456" s="493">
        <f t="shared" si="436"/>
        <v>2036304</v>
      </c>
      <c r="AG2456" s="474" t="s">
        <v>47</v>
      </c>
      <c r="AH2456" s="447">
        <v>10</v>
      </c>
      <c r="AI2456" s="474">
        <v>45</v>
      </c>
      <c r="AJ2456" s="474" t="s">
        <v>1525</v>
      </c>
      <c r="AK2456" s="474" t="s">
        <v>1158</v>
      </c>
      <c r="AL2456" s="494">
        <v>27320</v>
      </c>
      <c r="AM2456" s="474" t="s">
        <v>52</v>
      </c>
      <c r="AN2456" s="474" t="s">
        <v>1109</v>
      </c>
      <c r="AO2456" s="474"/>
      <c r="AP2456" s="474" t="s">
        <v>1109</v>
      </c>
      <c r="AQ2456" s="474"/>
      <c r="AR2456" s="474"/>
      <c r="AS2456" s="387"/>
      <c r="AT2456" s="387"/>
      <c r="AU2456" s="471"/>
      <c r="AV2456" s="262">
        <f>U2456</f>
        <v>49303156</v>
      </c>
      <c r="AW2456" s="262" cm="1">
        <f t="array" ref="AW2456">SUM(MID(0&amp;AV2456,LARGE(INDEX(ISNUMBER(--MID(AV2456,ROW($1:$8),1))*ROW($1:$8),),ROW($1:$8))+1,1)*10^ROW($1:$8)/10)</f>
        <v>49303156</v>
      </c>
      <c r="AX2456" s="262" t="str">
        <f>VLOOKUP($AW2456,'Item Master Data'!$A:$F,3,FALSE)</f>
        <v>Q.PEAK DUO XL G10 BFG</v>
      </c>
      <c r="AY2456" s="262">
        <f>VLOOKUP($AW2456,'Item Master Data'!$A:$F,6,FALSE)</f>
        <v>480</v>
      </c>
      <c r="AZ2456" s="262">
        <f>X2456/BA2456</f>
        <v>370.34482758620692</v>
      </c>
      <c r="BA2456" s="262">
        <f>VLOOKUP(AW2456,'Item Master Data'!$A:$G,7,FALSE)</f>
        <v>29</v>
      </c>
      <c r="BC2456" s="262">
        <f>W2456-AY2456</f>
        <v>0</v>
      </c>
    </row>
    <row r="2457" spans="1:55">
      <c r="A2457" s="410"/>
      <c r="B2457" s="407"/>
      <c r="C2457" s="407"/>
      <c r="D2457" s="474" t="s">
        <v>1066</v>
      </c>
      <c r="E2457" s="388" t="s">
        <v>1097</v>
      </c>
      <c r="F2457" s="474" t="s">
        <v>1147</v>
      </c>
      <c r="G2457" s="474">
        <v>2022</v>
      </c>
      <c r="H2457" s="474">
        <v>8</v>
      </c>
      <c r="I2457" s="485"/>
      <c r="J2457" s="475"/>
      <c r="K2457" s="571" t="s">
        <v>1533</v>
      </c>
      <c r="L2457" s="475" t="s">
        <v>1520</v>
      </c>
      <c r="M2457" s="475">
        <v>44495</v>
      </c>
      <c r="N2457" s="475">
        <v>44802</v>
      </c>
      <c r="O2457" s="475"/>
      <c r="P2457" s="475"/>
      <c r="Q2457" s="475"/>
      <c r="R2457" s="475"/>
      <c r="S2457" s="474" t="s">
        <v>1388</v>
      </c>
      <c r="T2457" s="474">
        <v>72</v>
      </c>
      <c r="U2457" s="474"/>
      <c r="V2457" s="474" t="s">
        <v>1115</v>
      </c>
      <c r="W2457" s="476">
        <v>580</v>
      </c>
      <c r="X2457" s="402">
        <v>45799</v>
      </c>
      <c r="Y2457" s="491">
        <f t="shared" si="430"/>
        <v>26563420</v>
      </c>
      <c r="Z2457" s="478">
        <v>0.44</v>
      </c>
      <c r="AA2457" s="479">
        <f t="shared" si="439"/>
        <v>11687904.800000001</v>
      </c>
      <c r="AB2457" s="386"/>
      <c r="AC2457" s="481">
        <f t="shared" si="440"/>
        <v>0</v>
      </c>
      <c r="AD2457" s="474"/>
      <c r="AE2457" s="482"/>
      <c r="AF2457" s="493">
        <f t="shared" si="436"/>
        <v>11687904.800000001</v>
      </c>
      <c r="AG2457" s="474" t="s">
        <v>47</v>
      </c>
      <c r="AH2457" s="447">
        <v>10</v>
      </c>
      <c r="AI2457" s="474">
        <v>45</v>
      </c>
      <c r="AJ2457" s="474" t="s">
        <v>1109</v>
      </c>
      <c r="AK2457" s="474" t="s">
        <v>1375</v>
      </c>
      <c r="AL2457" s="494">
        <v>23487</v>
      </c>
      <c r="AM2457" s="474" t="s">
        <v>52</v>
      </c>
      <c r="AN2457" s="474" t="s">
        <v>1109</v>
      </c>
      <c r="AO2457" s="474"/>
      <c r="AP2457" s="474" t="s">
        <v>1109</v>
      </c>
      <c r="AQ2457" s="474"/>
      <c r="AR2457" s="474"/>
      <c r="AS2457" s="387"/>
      <c r="AT2457" s="387"/>
      <c r="AU2457" s="471"/>
    </row>
    <row r="2458" spans="1:55">
      <c r="A2458" s="410"/>
      <c r="B2458" s="407"/>
      <c r="C2458" s="407"/>
      <c r="D2458" s="474" t="s">
        <v>1066</v>
      </c>
      <c r="E2458" s="388"/>
      <c r="F2458" s="474" t="s">
        <v>1077</v>
      </c>
      <c r="G2458" s="474">
        <v>2022</v>
      </c>
      <c r="H2458" s="474">
        <v>3</v>
      </c>
      <c r="I2458" s="485">
        <v>127831</v>
      </c>
      <c r="J2458" s="475">
        <v>44651</v>
      </c>
      <c r="K2458" s="474" t="s">
        <v>1534</v>
      </c>
      <c r="L2458" s="475" t="s">
        <v>1535</v>
      </c>
      <c r="M2458" s="475">
        <v>44470</v>
      </c>
      <c r="N2458" s="475">
        <v>44409</v>
      </c>
      <c r="O2458" s="475"/>
      <c r="P2458" s="475">
        <v>44629</v>
      </c>
      <c r="Q2458" s="475">
        <v>44634</v>
      </c>
      <c r="R2458" s="475">
        <v>44636</v>
      </c>
      <c r="S2458" s="474" t="s">
        <v>1102</v>
      </c>
      <c r="T2458" s="474">
        <v>72</v>
      </c>
      <c r="U2458" s="474">
        <v>49303155</v>
      </c>
      <c r="V2458" s="474" t="s">
        <v>1070</v>
      </c>
      <c r="W2458" s="476">
        <v>475</v>
      </c>
      <c r="X2458" s="402">
        <f>2552</f>
        <v>2552</v>
      </c>
      <c r="Y2458" s="491">
        <f t="shared" si="430"/>
        <v>1212200</v>
      </c>
      <c r="Z2458" s="478">
        <v>0.45500000000000002</v>
      </c>
      <c r="AA2458" s="479">
        <f t="shared" si="439"/>
        <v>551551</v>
      </c>
      <c r="AB2458" s="386"/>
      <c r="AC2458" s="481">
        <f t="shared" si="440"/>
        <v>0</v>
      </c>
      <c r="AD2458" s="474"/>
      <c r="AE2458" s="482"/>
      <c r="AF2458" s="493">
        <f t="shared" si="436"/>
        <v>551551</v>
      </c>
      <c r="AG2458" s="474" t="s">
        <v>47</v>
      </c>
      <c r="AH2458" s="447">
        <v>100</v>
      </c>
      <c r="AI2458" s="474">
        <v>0</v>
      </c>
      <c r="AJ2458" s="474" t="s">
        <v>1536</v>
      </c>
      <c r="AK2458" s="474" t="s">
        <v>1297</v>
      </c>
      <c r="AL2458" s="494">
        <v>4401</v>
      </c>
      <c r="AM2458" s="474" t="s">
        <v>52</v>
      </c>
      <c r="AN2458" s="474" t="s">
        <v>1074</v>
      </c>
      <c r="AO2458" s="474"/>
      <c r="AP2458" s="474"/>
      <c r="AQ2458" s="474" t="s">
        <v>1086</v>
      </c>
      <c r="AR2458" s="474"/>
      <c r="AS2458" s="387" t="s">
        <v>1087</v>
      </c>
      <c r="AT2458" s="387" t="s">
        <v>1076</v>
      </c>
      <c r="AU2458" s="471"/>
    </row>
    <row r="2459" spans="1:55">
      <c r="A2459" s="410"/>
      <c r="B2459" s="407"/>
      <c r="C2459" s="407"/>
      <c r="D2459" s="474" t="s">
        <v>1066</v>
      </c>
      <c r="E2459" s="388"/>
      <c r="F2459" s="474" t="s">
        <v>1077</v>
      </c>
      <c r="G2459" s="474">
        <v>2022</v>
      </c>
      <c r="H2459" s="474">
        <v>3</v>
      </c>
      <c r="I2459" s="485">
        <v>127831</v>
      </c>
      <c r="J2459" s="475">
        <v>44651</v>
      </c>
      <c r="K2459" s="474" t="s">
        <v>1534</v>
      </c>
      <c r="L2459" s="475" t="s">
        <v>1535</v>
      </c>
      <c r="M2459" s="475">
        <v>44470</v>
      </c>
      <c r="N2459" s="475">
        <v>44409</v>
      </c>
      <c r="O2459" s="475"/>
      <c r="P2459" s="475">
        <v>44629</v>
      </c>
      <c r="Q2459" s="475">
        <v>44649</v>
      </c>
      <c r="R2459" s="475">
        <v>44651</v>
      </c>
      <c r="S2459" s="474" t="s">
        <v>1102</v>
      </c>
      <c r="T2459" s="474">
        <v>72</v>
      </c>
      <c r="U2459" s="474">
        <v>49303155</v>
      </c>
      <c r="V2459" s="474" t="s">
        <v>1070</v>
      </c>
      <c r="W2459" s="476">
        <v>475</v>
      </c>
      <c r="X2459" s="402">
        <v>19691</v>
      </c>
      <c r="Y2459" s="491">
        <f t="shared" si="430"/>
        <v>9353225</v>
      </c>
      <c r="Z2459" s="478">
        <v>0.45500000000000002</v>
      </c>
      <c r="AA2459" s="479">
        <f t="shared" si="439"/>
        <v>4255717.375</v>
      </c>
      <c r="AB2459" s="386"/>
      <c r="AC2459" s="481">
        <f t="shared" si="440"/>
        <v>0</v>
      </c>
      <c r="AD2459" s="474"/>
      <c r="AE2459" s="482"/>
      <c r="AF2459" s="493">
        <f t="shared" si="436"/>
        <v>4255717.375</v>
      </c>
      <c r="AG2459" s="474" t="s">
        <v>47</v>
      </c>
      <c r="AH2459" s="447">
        <v>100</v>
      </c>
      <c r="AI2459" s="474">
        <v>0</v>
      </c>
      <c r="AJ2459" s="474" t="s">
        <v>1536</v>
      </c>
      <c r="AK2459" s="474" t="s">
        <v>1297</v>
      </c>
      <c r="AL2459" s="494">
        <v>4401</v>
      </c>
      <c r="AM2459" s="474" t="s">
        <v>52</v>
      </c>
      <c r="AN2459" s="474" t="s">
        <v>1106</v>
      </c>
      <c r="AO2459" s="474"/>
      <c r="AP2459" s="474"/>
      <c r="AQ2459" s="474" t="s">
        <v>1086</v>
      </c>
      <c r="AR2459" s="474"/>
      <c r="AS2459" s="387" t="s">
        <v>1087</v>
      </c>
      <c r="AT2459" s="387" t="s">
        <v>1076</v>
      </c>
      <c r="AU2459" s="471"/>
    </row>
    <row r="2460" spans="1:55">
      <c r="A2460" s="410"/>
      <c r="B2460" s="407"/>
      <c r="C2460" s="407"/>
      <c r="D2460" s="474" t="s">
        <v>1066</v>
      </c>
      <c r="E2460" s="388"/>
      <c r="F2460" s="474" t="s">
        <v>1077</v>
      </c>
      <c r="G2460" s="474">
        <v>2022</v>
      </c>
      <c r="H2460" s="474">
        <v>3</v>
      </c>
      <c r="I2460" s="485">
        <v>127831</v>
      </c>
      <c r="J2460" s="475">
        <v>44651</v>
      </c>
      <c r="K2460" s="474" t="s">
        <v>1534</v>
      </c>
      <c r="L2460" s="475" t="s">
        <v>1535</v>
      </c>
      <c r="M2460" s="475">
        <v>44470</v>
      </c>
      <c r="N2460" s="475">
        <v>44409</v>
      </c>
      <c r="O2460" s="475"/>
      <c r="P2460" s="475">
        <v>44629</v>
      </c>
      <c r="Q2460" s="475">
        <v>44649</v>
      </c>
      <c r="R2460" s="475">
        <v>44651</v>
      </c>
      <c r="S2460" s="474" t="s">
        <v>1102</v>
      </c>
      <c r="T2460" s="474">
        <v>72</v>
      </c>
      <c r="U2460" s="474">
        <v>49303555</v>
      </c>
      <c r="V2460" s="474" t="s">
        <v>1070</v>
      </c>
      <c r="W2460" s="476">
        <v>475</v>
      </c>
      <c r="X2460" s="402">
        <v>1914</v>
      </c>
      <c r="Y2460" s="491">
        <f t="shared" si="430"/>
        <v>909150</v>
      </c>
      <c r="Z2460" s="478">
        <v>0.45500000000000002</v>
      </c>
      <c r="AA2460" s="479">
        <f t="shared" si="439"/>
        <v>413663.25</v>
      </c>
      <c r="AB2460" s="386"/>
      <c r="AC2460" s="481">
        <f t="shared" si="440"/>
        <v>0</v>
      </c>
      <c r="AD2460" s="474"/>
      <c r="AE2460" s="482"/>
      <c r="AF2460" s="493">
        <f t="shared" si="436"/>
        <v>413663.25</v>
      </c>
      <c r="AG2460" s="474" t="s">
        <v>47</v>
      </c>
      <c r="AH2460" s="447">
        <v>100</v>
      </c>
      <c r="AI2460" s="474">
        <v>0</v>
      </c>
      <c r="AJ2460" s="474" t="s">
        <v>1536</v>
      </c>
      <c r="AK2460" s="474" t="s">
        <v>1297</v>
      </c>
      <c r="AL2460" s="494">
        <v>4401</v>
      </c>
      <c r="AM2460" s="474" t="s">
        <v>52</v>
      </c>
      <c r="AN2460" s="474" t="s">
        <v>1106</v>
      </c>
      <c r="AO2460" s="474"/>
      <c r="AP2460" s="474"/>
      <c r="AQ2460" s="474" t="s">
        <v>1086</v>
      </c>
      <c r="AR2460" s="474"/>
      <c r="AS2460" s="387" t="s">
        <v>1087</v>
      </c>
      <c r="AT2460" s="387" t="s">
        <v>1076</v>
      </c>
      <c r="AU2460" s="471"/>
      <c r="AV2460" s="262">
        <f t="shared" ref="AV2460:AV2493" si="441">U2460</f>
        <v>49303555</v>
      </c>
      <c r="AW2460" s="262" cm="1">
        <f t="array" ref="AW2460">SUM(MID(0&amp;AV2460,LARGE(INDEX(ISNUMBER(--MID(AV2460,ROW($1:$8),1))*ROW($1:$8),),ROW($1:$8))+1,1)*10^ROW($1:$8)/10)</f>
        <v>49303555</v>
      </c>
      <c r="AX2460" s="262" t="str">
        <f>VLOOKUP($AW2460,'Item Master Data'!$A:$F,3,FALSE)</f>
        <v>Q.PEAK DUO XL G10 BFG</v>
      </c>
      <c r="AY2460" s="262">
        <f>VLOOKUP($AW2460,'Item Master Data'!$A:$F,6,FALSE)</f>
        <v>475</v>
      </c>
      <c r="AZ2460" s="262">
        <f t="shared" ref="AZ2460:AZ2493" si="442">X2460/BA2460</f>
        <v>66</v>
      </c>
      <c r="BA2460" s="262">
        <f>VLOOKUP(AW2460,'Item Master Data'!$A:$G,7,FALSE)</f>
        <v>29</v>
      </c>
      <c r="BC2460" s="262">
        <f t="shared" ref="BC2460:BC2493" si="443">W2460-AY2460</f>
        <v>0</v>
      </c>
    </row>
    <row r="2461" spans="1:55">
      <c r="A2461" s="410"/>
      <c r="B2461" s="407"/>
      <c r="C2461" s="407"/>
      <c r="D2461" s="474" t="s">
        <v>1066</v>
      </c>
      <c r="E2461" s="388" t="s">
        <v>1168</v>
      </c>
      <c r="F2461" s="474" t="s">
        <v>1077</v>
      </c>
      <c r="G2461" s="474">
        <v>2022</v>
      </c>
      <c r="H2461" s="524">
        <v>3</v>
      </c>
      <c r="I2461" s="415">
        <v>127882</v>
      </c>
      <c r="J2461" s="538">
        <v>44651</v>
      </c>
      <c r="K2461" s="524" t="s">
        <v>1534</v>
      </c>
      <c r="L2461" s="538" t="s">
        <v>1535</v>
      </c>
      <c r="M2461" s="475">
        <v>44470</v>
      </c>
      <c r="N2461" s="475">
        <v>44409</v>
      </c>
      <c r="O2461" s="475"/>
      <c r="P2461" s="475">
        <v>44629</v>
      </c>
      <c r="Q2461" s="475">
        <v>44649</v>
      </c>
      <c r="R2461" s="475">
        <v>44651</v>
      </c>
      <c r="S2461" s="474" t="s">
        <v>1102</v>
      </c>
      <c r="T2461" s="474">
        <v>72</v>
      </c>
      <c r="U2461" s="474">
        <v>49303155</v>
      </c>
      <c r="V2461" s="474" t="s">
        <v>1070</v>
      </c>
      <c r="W2461" s="476">
        <v>475</v>
      </c>
      <c r="X2461" s="402">
        <v>29</v>
      </c>
      <c r="Y2461" s="491">
        <f t="shared" si="430"/>
        <v>13775</v>
      </c>
      <c r="Z2461" s="478">
        <v>0.45500000000000002</v>
      </c>
      <c r="AA2461" s="479">
        <f t="shared" si="439"/>
        <v>6267.625</v>
      </c>
      <c r="AB2461" s="386"/>
      <c r="AC2461" s="481">
        <f t="shared" si="440"/>
        <v>0</v>
      </c>
      <c r="AD2461" s="474"/>
      <c r="AE2461" s="482"/>
      <c r="AF2461" s="493">
        <f t="shared" si="436"/>
        <v>6267.625</v>
      </c>
      <c r="AG2461" s="474" t="s">
        <v>47</v>
      </c>
      <c r="AH2461" s="447">
        <v>100</v>
      </c>
      <c r="AI2461" s="474">
        <v>0</v>
      </c>
      <c r="AJ2461" s="474" t="s">
        <v>1536</v>
      </c>
      <c r="AK2461" s="474" t="s">
        <v>1297</v>
      </c>
      <c r="AL2461" s="494">
        <v>4401</v>
      </c>
      <c r="AM2461" s="474" t="s">
        <v>52</v>
      </c>
      <c r="AN2461" s="474" t="s">
        <v>1106</v>
      </c>
      <c r="AO2461" s="474"/>
      <c r="AP2461" s="474"/>
      <c r="AQ2461" s="474" t="s">
        <v>1086</v>
      </c>
      <c r="AR2461" s="474"/>
      <c r="AS2461" s="387" t="s">
        <v>1087</v>
      </c>
      <c r="AT2461" s="387" t="s">
        <v>1076</v>
      </c>
      <c r="AU2461" s="471"/>
      <c r="AV2461" s="262">
        <f t="shared" si="441"/>
        <v>49303155</v>
      </c>
      <c r="AW2461" s="262" cm="1">
        <f t="array" ref="AW2461">SUM(MID(0&amp;AV2461,LARGE(INDEX(ISNUMBER(--MID(AV2461,ROW($1:$8),1))*ROW($1:$8),),ROW($1:$8))+1,1)*10^ROW($1:$8)/10)</f>
        <v>49303155</v>
      </c>
      <c r="AX2461" s="262" t="str">
        <f>VLOOKUP($AW2461,'Item Master Data'!$A:$F,3,FALSE)</f>
        <v>Q.PEAK DUO XL G10 BFG</v>
      </c>
      <c r="AY2461" s="262">
        <f>VLOOKUP($AW2461,'Item Master Data'!$A:$F,6,FALSE)</f>
        <v>475</v>
      </c>
      <c r="AZ2461" s="262">
        <f t="shared" si="442"/>
        <v>1</v>
      </c>
      <c r="BA2461" s="262">
        <f>VLOOKUP(AW2461,'Item Master Data'!$A:$G,7,FALSE)</f>
        <v>29</v>
      </c>
      <c r="BC2461" s="262">
        <f t="shared" si="443"/>
        <v>0</v>
      </c>
    </row>
    <row r="2462" spans="1:55">
      <c r="A2462" s="410"/>
      <c r="B2462" s="407"/>
      <c r="C2462" s="407"/>
      <c r="D2462" s="474" t="s">
        <v>1066</v>
      </c>
      <c r="E2462" s="388" t="s">
        <v>1106</v>
      </c>
      <c r="F2462" s="474" t="s">
        <v>1077</v>
      </c>
      <c r="G2462" s="474">
        <v>2022</v>
      </c>
      <c r="H2462" s="474">
        <v>4</v>
      </c>
      <c r="I2462" s="485">
        <v>128144</v>
      </c>
      <c r="J2462" s="475">
        <v>44652</v>
      </c>
      <c r="K2462" s="474" t="s">
        <v>1534</v>
      </c>
      <c r="L2462" s="475" t="s">
        <v>1535</v>
      </c>
      <c r="M2462" s="475">
        <v>44470</v>
      </c>
      <c r="N2462" s="475">
        <v>44409</v>
      </c>
      <c r="O2462" s="475"/>
      <c r="P2462" s="475">
        <v>44629</v>
      </c>
      <c r="Q2462" s="475">
        <v>44649</v>
      </c>
      <c r="R2462" s="475">
        <v>44652</v>
      </c>
      <c r="S2462" s="474" t="s">
        <v>1102</v>
      </c>
      <c r="T2462" s="474">
        <v>72</v>
      </c>
      <c r="U2462" s="474">
        <v>49303555</v>
      </c>
      <c r="V2462" s="474" t="s">
        <v>1070</v>
      </c>
      <c r="W2462" s="476">
        <v>475</v>
      </c>
      <c r="X2462" s="402">
        <v>1218</v>
      </c>
      <c r="Y2462" s="491">
        <f t="shared" si="430"/>
        <v>578550</v>
      </c>
      <c r="Z2462" s="478">
        <v>0.45500000000000002</v>
      </c>
      <c r="AA2462" s="479">
        <f t="shared" si="439"/>
        <v>263240.25</v>
      </c>
      <c r="AB2462" s="386"/>
      <c r="AC2462" s="481">
        <f t="shared" si="440"/>
        <v>0</v>
      </c>
      <c r="AD2462" s="474"/>
      <c r="AE2462" s="482"/>
      <c r="AF2462" s="493">
        <f t="shared" si="436"/>
        <v>263240.25</v>
      </c>
      <c r="AG2462" s="474" t="s">
        <v>47</v>
      </c>
      <c r="AH2462" s="447">
        <v>100</v>
      </c>
      <c r="AI2462" s="474">
        <v>0</v>
      </c>
      <c r="AJ2462" s="474" t="s">
        <v>1536</v>
      </c>
      <c r="AK2462" s="474" t="s">
        <v>1297</v>
      </c>
      <c r="AL2462" s="494">
        <v>4401</v>
      </c>
      <c r="AM2462" s="474" t="s">
        <v>52</v>
      </c>
      <c r="AN2462" s="474" t="s">
        <v>1106</v>
      </c>
      <c r="AO2462" s="474"/>
      <c r="AP2462" s="474"/>
      <c r="AQ2462" s="474" t="s">
        <v>1086</v>
      </c>
      <c r="AR2462" s="474"/>
      <c r="AS2462" s="387" t="s">
        <v>1087</v>
      </c>
      <c r="AT2462" s="387" t="s">
        <v>1076</v>
      </c>
      <c r="AU2462" s="471"/>
      <c r="AV2462" s="262">
        <f t="shared" si="441"/>
        <v>49303555</v>
      </c>
      <c r="AW2462" s="262" cm="1">
        <f t="array" ref="AW2462">SUM(MID(0&amp;AV2462,LARGE(INDEX(ISNUMBER(--MID(AV2462,ROW($1:$8),1))*ROW($1:$8),),ROW($1:$8))+1,1)*10^ROW($1:$8)/10)</f>
        <v>49303555</v>
      </c>
      <c r="AX2462" s="262" t="str">
        <f>VLOOKUP($AW2462,'Item Master Data'!$A:$F,3,FALSE)</f>
        <v>Q.PEAK DUO XL G10 BFG</v>
      </c>
      <c r="AY2462" s="262">
        <f>VLOOKUP($AW2462,'Item Master Data'!$A:$F,6,FALSE)</f>
        <v>475</v>
      </c>
      <c r="AZ2462" s="262">
        <f t="shared" si="442"/>
        <v>42</v>
      </c>
      <c r="BA2462" s="262">
        <f>VLOOKUP(AW2462,'Item Master Data'!$A:$G,7,FALSE)</f>
        <v>29</v>
      </c>
      <c r="BC2462" s="262">
        <f t="shared" si="443"/>
        <v>0</v>
      </c>
    </row>
    <row r="2463" spans="1:55">
      <c r="A2463" s="410"/>
      <c r="B2463" s="407"/>
      <c r="C2463" s="407"/>
      <c r="D2463" s="474" t="s">
        <v>1066</v>
      </c>
      <c r="E2463" s="388" t="s">
        <v>1106</v>
      </c>
      <c r="F2463" s="474" t="s">
        <v>1077</v>
      </c>
      <c r="G2463" s="474">
        <v>2022</v>
      </c>
      <c r="H2463" s="474">
        <v>4</v>
      </c>
      <c r="I2463" s="485">
        <v>128144</v>
      </c>
      <c r="J2463" s="475">
        <v>44652</v>
      </c>
      <c r="K2463" s="474" t="s">
        <v>1534</v>
      </c>
      <c r="L2463" s="475" t="s">
        <v>1535</v>
      </c>
      <c r="M2463" s="475">
        <v>44470</v>
      </c>
      <c r="N2463" s="475">
        <v>44409</v>
      </c>
      <c r="O2463" s="475"/>
      <c r="P2463" s="475">
        <v>44629</v>
      </c>
      <c r="Q2463" s="475">
        <v>44652</v>
      </c>
      <c r="R2463" s="475">
        <v>44656</v>
      </c>
      <c r="S2463" s="474" t="s">
        <v>1102</v>
      </c>
      <c r="T2463" s="474">
        <v>72</v>
      </c>
      <c r="U2463" s="474">
        <v>49303155</v>
      </c>
      <c r="V2463" s="474" t="s">
        <v>1070</v>
      </c>
      <c r="W2463" s="476">
        <v>475</v>
      </c>
      <c r="X2463" s="402">
        <v>696</v>
      </c>
      <c r="Y2463" s="491">
        <f t="shared" si="430"/>
        <v>330600</v>
      </c>
      <c r="Z2463" s="478">
        <v>0.45500000000000002</v>
      </c>
      <c r="AA2463" s="479">
        <f t="shared" si="439"/>
        <v>150423</v>
      </c>
      <c r="AB2463" s="386"/>
      <c r="AC2463" s="481">
        <f t="shared" si="440"/>
        <v>0</v>
      </c>
      <c r="AD2463" s="474"/>
      <c r="AE2463" s="482"/>
      <c r="AF2463" s="493">
        <f t="shared" si="436"/>
        <v>150423</v>
      </c>
      <c r="AG2463" s="474" t="s">
        <v>47</v>
      </c>
      <c r="AH2463" s="447">
        <v>100</v>
      </c>
      <c r="AI2463" s="474">
        <v>0</v>
      </c>
      <c r="AJ2463" s="474" t="s">
        <v>1536</v>
      </c>
      <c r="AK2463" s="474" t="s">
        <v>1297</v>
      </c>
      <c r="AL2463" s="494">
        <v>4401</v>
      </c>
      <c r="AM2463" s="474" t="s">
        <v>52</v>
      </c>
      <c r="AN2463" s="474" t="s">
        <v>1074</v>
      </c>
      <c r="AO2463" s="474"/>
      <c r="AP2463" s="474"/>
      <c r="AQ2463" s="474" t="s">
        <v>1086</v>
      </c>
      <c r="AR2463" s="474"/>
      <c r="AS2463" s="387" t="s">
        <v>1087</v>
      </c>
      <c r="AT2463" s="387" t="s">
        <v>1076</v>
      </c>
      <c r="AU2463" s="471"/>
      <c r="AV2463" s="262">
        <f t="shared" si="441"/>
        <v>49303155</v>
      </c>
      <c r="AW2463" s="262" cm="1">
        <f t="array" ref="AW2463">SUM(MID(0&amp;AV2463,LARGE(INDEX(ISNUMBER(--MID(AV2463,ROW($1:$8),1))*ROW($1:$8),),ROW($1:$8))+1,1)*10^ROW($1:$8)/10)</f>
        <v>49303155</v>
      </c>
      <c r="AX2463" s="262" t="str">
        <f>VLOOKUP($AW2463,'Item Master Data'!$A:$F,3,FALSE)</f>
        <v>Q.PEAK DUO XL G10 BFG</v>
      </c>
      <c r="AY2463" s="262">
        <f>VLOOKUP($AW2463,'Item Master Data'!$A:$F,6,FALSE)</f>
        <v>475</v>
      </c>
      <c r="AZ2463" s="262">
        <f t="shared" si="442"/>
        <v>24</v>
      </c>
      <c r="BA2463" s="262">
        <f>VLOOKUP(AW2463,'Item Master Data'!$A:$G,7,FALSE)</f>
        <v>29</v>
      </c>
      <c r="BC2463" s="262">
        <f t="shared" si="443"/>
        <v>0</v>
      </c>
    </row>
    <row r="2464" spans="1:55">
      <c r="A2464" s="410"/>
      <c r="B2464" s="407"/>
      <c r="C2464" s="407"/>
      <c r="D2464" s="474" t="s">
        <v>1066</v>
      </c>
      <c r="E2464" s="388"/>
      <c r="F2464" s="474" t="s">
        <v>1077</v>
      </c>
      <c r="G2464" s="474">
        <v>2022</v>
      </c>
      <c r="H2464" s="474">
        <v>3</v>
      </c>
      <c r="I2464" s="485">
        <v>127549</v>
      </c>
      <c r="J2464" s="475">
        <v>44642</v>
      </c>
      <c r="K2464" s="474" t="s">
        <v>1538</v>
      </c>
      <c r="L2464" s="475" t="s">
        <v>1535</v>
      </c>
      <c r="M2464" s="475">
        <v>44470</v>
      </c>
      <c r="N2464" s="475">
        <v>44409</v>
      </c>
      <c r="O2464" s="475"/>
      <c r="P2464" s="475">
        <v>44609</v>
      </c>
      <c r="Q2464" s="475">
        <v>44617</v>
      </c>
      <c r="R2464" s="475">
        <v>44620</v>
      </c>
      <c r="S2464" s="474" t="s">
        <v>1102</v>
      </c>
      <c r="T2464" s="474">
        <v>72</v>
      </c>
      <c r="U2464" s="474" t="s">
        <v>1539</v>
      </c>
      <c r="V2464" s="474" t="s">
        <v>1070</v>
      </c>
      <c r="W2464" s="476">
        <v>475</v>
      </c>
      <c r="X2464" s="402">
        <v>2436</v>
      </c>
      <c r="Y2464" s="491">
        <f t="shared" si="430"/>
        <v>1157100</v>
      </c>
      <c r="Z2464" s="478">
        <v>0.45500000000000002</v>
      </c>
      <c r="AA2464" s="479">
        <f t="shared" si="439"/>
        <v>526480.5</v>
      </c>
      <c r="AB2464" s="386"/>
      <c r="AC2464" s="481">
        <f t="shared" si="440"/>
        <v>0</v>
      </c>
      <c r="AD2464" s="474"/>
      <c r="AE2464" s="482"/>
      <c r="AF2464" s="493">
        <f t="shared" si="436"/>
        <v>526480.5</v>
      </c>
      <c r="AG2464" s="501" t="s">
        <v>47</v>
      </c>
      <c r="AH2464" s="409">
        <v>100</v>
      </c>
      <c r="AI2464" s="501">
        <v>0</v>
      </c>
      <c r="AJ2464" s="501" t="s">
        <v>1540</v>
      </c>
      <c r="AK2464" s="501" t="s">
        <v>1073</v>
      </c>
      <c r="AL2464" s="509">
        <v>21219</v>
      </c>
      <c r="AM2464" s="501" t="s">
        <v>52</v>
      </c>
      <c r="AN2464" s="501" t="s">
        <v>1151</v>
      </c>
      <c r="AO2464" s="474"/>
      <c r="AP2464" s="474" t="s">
        <v>92</v>
      </c>
      <c r="AQ2464" s="474" t="s">
        <v>1086</v>
      </c>
      <c r="AR2464" s="474"/>
      <c r="AS2464" s="387" t="s">
        <v>1087</v>
      </c>
      <c r="AT2464" s="387" t="s">
        <v>1076</v>
      </c>
      <c r="AU2464" s="471"/>
      <c r="AV2464" s="262" t="str">
        <f t="shared" si="441"/>
        <v>30390371C</v>
      </c>
      <c r="AW2464" s="262" cm="1">
        <f t="array" ref="AW2464">SUM(MID(0&amp;AV2464,LARGE(INDEX(ISNUMBER(--MID(AV2464,ROW($1:$8),1))*ROW($1:$8),),ROW($1:$8))+1,1)*10^ROW($1:$8)/10)</f>
        <v>30390371</v>
      </c>
      <c r="AX2464" s="262" t="str">
        <f>VLOOKUP($AW2464,'Item Master Data'!$A:$F,3,FALSE)</f>
        <v>Q.PEAK DUO XL G10 BFG</v>
      </c>
      <c r="AY2464" s="262">
        <f>VLOOKUP($AW2464,'Item Master Data'!$A:$F,6,FALSE)</f>
        <v>475</v>
      </c>
      <c r="AZ2464" s="262">
        <f t="shared" si="442"/>
        <v>84</v>
      </c>
      <c r="BA2464" s="262">
        <f>VLOOKUP(AW2464,'Item Master Data'!$A:$G,7,FALSE)</f>
        <v>29</v>
      </c>
      <c r="BC2464" s="262">
        <f t="shared" si="443"/>
        <v>0</v>
      </c>
    </row>
    <row r="2465" spans="1:55">
      <c r="A2465" s="410"/>
      <c r="B2465" s="407"/>
      <c r="C2465" s="407"/>
      <c r="D2465" s="474" t="s">
        <v>1066</v>
      </c>
      <c r="E2465" s="388"/>
      <c r="F2465" s="474" t="s">
        <v>1077</v>
      </c>
      <c r="G2465" s="474">
        <v>2022</v>
      </c>
      <c r="H2465" s="474">
        <v>3</v>
      </c>
      <c r="I2465" s="485">
        <v>127549</v>
      </c>
      <c r="J2465" s="475">
        <v>44642</v>
      </c>
      <c r="K2465" s="474" t="s">
        <v>1538</v>
      </c>
      <c r="L2465" s="475" t="s">
        <v>1535</v>
      </c>
      <c r="M2465" s="475">
        <v>44470</v>
      </c>
      <c r="N2465" s="475">
        <v>44409</v>
      </c>
      <c r="O2465" s="475"/>
      <c r="P2465" s="475">
        <v>44609</v>
      </c>
      <c r="Q2465" s="475">
        <v>44622</v>
      </c>
      <c r="R2465" s="475">
        <v>44622</v>
      </c>
      <c r="S2465" s="474" t="s">
        <v>1102</v>
      </c>
      <c r="T2465" s="474">
        <v>72</v>
      </c>
      <c r="U2465" s="474" t="s">
        <v>1539</v>
      </c>
      <c r="V2465" s="474" t="s">
        <v>1070</v>
      </c>
      <c r="W2465" s="476">
        <v>475</v>
      </c>
      <c r="X2465" s="402">
        <v>5220</v>
      </c>
      <c r="Y2465" s="491">
        <f t="shared" si="430"/>
        <v>2479500</v>
      </c>
      <c r="Z2465" s="478">
        <v>0.45500000000000002</v>
      </c>
      <c r="AA2465" s="479">
        <f t="shared" si="439"/>
        <v>1128172.5</v>
      </c>
      <c r="AB2465" s="386"/>
      <c r="AC2465" s="481">
        <f t="shared" si="440"/>
        <v>0</v>
      </c>
      <c r="AD2465" s="474"/>
      <c r="AE2465" s="482"/>
      <c r="AF2465" s="493">
        <f t="shared" si="436"/>
        <v>1128172.5</v>
      </c>
      <c r="AG2465" s="501" t="s">
        <v>47</v>
      </c>
      <c r="AH2465" s="409">
        <v>100</v>
      </c>
      <c r="AI2465" s="501">
        <v>0</v>
      </c>
      <c r="AJ2465" s="501" t="s">
        <v>1540</v>
      </c>
      <c r="AK2465" s="501" t="s">
        <v>1073</v>
      </c>
      <c r="AL2465" s="509">
        <v>21219</v>
      </c>
      <c r="AM2465" s="501" t="s">
        <v>52</v>
      </c>
      <c r="AN2465" s="501" t="s">
        <v>1085</v>
      </c>
      <c r="AO2465" s="474"/>
      <c r="AP2465" s="474" t="s">
        <v>92</v>
      </c>
      <c r="AQ2465" s="474" t="s">
        <v>1086</v>
      </c>
      <c r="AR2465" s="474"/>
      <c r="AS2465" s="387" t="s">
        <v>1087</v>
      </c>
      <c r="AT2465" s="387" t="s">
        <v>1076</v>
      </c>
      <c r="AU2465" s="471"/>
      <c r="AV2465" s="262" t="str">
        <f t="shared" si="441"/>
        <v>30390371C</v>
      </c>
      <c r="AW2465" s="262" cm="1">
        <f t="array" ref="AW2465">SUM(MID(0&amp;AV2465,LARGE(INDEX(ISNUMBER(--MID(AV2465,ROW($1:$8),1))*ROW($1:$8),),ROW($1:$8))+1,1)*10^ROW($1:$8)/10)</f>
        <v>30390371</v>
      </c>
      <c r="AX2465" s="262" t="str">
        <f>VLOOKUP($AW2465,'Item Master Data'!$A:$F,3,FALSE)</f>
        <v>Q.PEAK DUO XL G10 BFG</v>
      </c>
      <c r="AY2465" s="262">
        <f>VLOOKUP($AW2465,'Item Master Data'!$A:$F,6,FALSE)</f>
        <v>475</v>
      </c>
      <c r="AZ2465" s="262">
        <f t="shared" si="442"/>
        <v>180</v>
      </c>
      <c r="BA2465" s="262">
        <f>VLOOKUP(AW2465,'Item Master Data'!$A:$G,7,FALSE)</f>
        <v>29</v>
      </c>
      <c r="BC2465" s="262">
        <f t="shared" si="443"/>
        <v>0</v>
      </c>
    </row>
    <row r="2466" spans="1:55">
      <c r="A2466" s="410"/>
      <c r="B2466" s="407"/>
      <c r="C2466" s="407"/>
      <c r="D2466" s="474" t="s">
        <v>1066</v>
      </c>
      <c r="E2466" s="388"/>
      <c r="F2466" s="474" t="s">
        <v>1077</v>
      </c>
      <c r="G2466" s="474">
        <v>2022</v>
      </c>
      <c r="H2466" s="474">
        <v>3</v>
      </c>
      <c r="I2466" s="485">
        <v>127549</v>
      </c>
      <c r="J2466" s="475">
        <v>44642</v>
      </c>
      <c r="K2466" s="474" t="s">
        <v>1538</v>
      </c>
      <c r="L2466" s="475" t="s">
        <v>1535</v>
      </c>
      <c r="M2466" s="475">
        <v>44470</v>
      </c>
      <c r="N2466" s="475">
        <v>44409</v>
      </c>
      <c r="O2466" s="475"/>
      <c r="P2466" s="475">
        <v>44609</v>
      </c>
      <c r="Q2466" s="475">
        <v>44620</v>
      </c>
      <c r="R2466" s="475">
        <v>44642</v>
      </c>
      <c r="S2466" s="474" t="s">
        <v>1102</v>
      </c>
      <c r="T2466" s="474">
        <v>72</v>
      </c>
      <c r="U2466" s="474" t="s">
        <v>1541</v>
      </c>
      <c r="V2466" s="474" t="s">
        <v>1070</v>
      </c>
      <c r="W2466" s="476">
        <v>475</v>
      </c>
      <c r="X2466" s="402">
        <v>1189</v>
      </c>
      <c r="Y2466" s="491">
        <f t="shared" si="430"/>
        <v>564775</v>
      </c>
      <c r="Z2466" s="478">
        <v>0.45500000000000002</v>
      </c>
      <c r="AA2466" s="479">
        <f t="shared" si="439"/>
        <v>256972.625</v>
      </c>
      <c r="AB2466" s="386"/>
      <c r="AC2466" s="481">
        <f t="shared" si="440"/>
        <v>0</v>
      </c>
      <c r="AD2466" s="474"/>
      <c r="AE2466" s="482"/>
      <c r="AF2466" s="493">
        <f t="shared" si="436"/>
        <v>256972.625</v>
      </c>
      <c r="AG2466" s="501" t="s">
        <v>47</v>
      </c>
      <c r="AH2466" s="409">
        <v>100</v>
      </c>
      <c r="AI2466" s="501">
        <v>0</v>
      </c>
      <c r="AJ2466" s="501" t="s">
        <v>1540</v>
      </c>
      <c r="AK2466" s="501" t="s">
        <v>1073</v>
      </c>
      <c r="AL2466" s="509">
        <v>21219</v>
      </c>
      <c r="AM2466" s="501" t="s">
        <v>52</v>
      </c>
      <c r="AN2466" s="501" t="s">
        <v>1151</v>
      </c>
      <c r="AO2466" s="474"/>
      <c r="AP2466" s="474" t="s">
        <v>92</v>
      </c>
      <c r="AQ2466" s="474" t="s">
        <v>1086</v>
      </c>
      <c r="AR2466" s="474"/>
      <c r="AS2466" s="387" t="s">
        <v>1087</v>
      </c>
      <c r="AT2466" s="387" t="s">
        <v>1076</v>
      </c>
      <c r="AU2466" s="471"/>
      <c r="AV2466" s="262" t="str">
        <f t="shared" si="441"/>
        <v>30397571F</v>
      </c>
      <c r="AW2466" s="262" cm="1">
        <f t="array" ref="AW2466">SUM(MID(0&amp;AV2466,LARGE(INDEX(ISNUMBER(--MID(AV2466,ROW($1:$8),1))*ROW($1:$8),),ROW($1:$8))+1,1)*10^ROW($1:$8)/10)</f>
        <v>30397571</v>
      </c>
      <c r="AX2466" s="262" t="str">
        <f>VLOOKUP($AW2466,'Item Master Data'!$A:$F,3,FALSE)</f>
        <v>Q.PEAK DUO XL G10 BFG</v>
      </c>
      <c r="AY2466" s="262">
        <f>VLOOKUP($AW2466,'Item Master Data'!$A:$F,6,FALSE)</f>
        <v>475</v>
      </c>
      <c r="AZ2466" s="262">
        <f t="shared" si="442"/>
        <v>41</v>
      </c>
      <c r="BA2466" s="262">
        <f>VLOOKUP(AW2466,'Item Master Data'!$A:$G,7,FALSE)</f>
        <v>29</v>
      </c>
      <c r="BC2466" s="262">
        <f t="shared" si="443"/>
        <v>0</v>
      </c>
    </row>
    <row r="2467" spans="1:55">
      <c r="A2467" s="410"/>
      <c r="B2467" s="407"/>
      <c r="C2467" s="407"/>
      <c r="D2467" s="474" t="s">
        <v>1066</v>
      </c>
      <c r="E2467" s="388"/>
      <c r="F2467" s="474" t="s">
        <v>1077</v>
      </c>
      <c r="G2467" s="474">
        <v>2022</v>
      </c>
      <c r="H2467" s="474">
        <v>3</v>
      </c>
      <c r="I2467" s="485">
        <v>127549</v>
      </c>
      <c r="J2467" s="475">
        <v>44642</v>
      </c>
      <c r="K2467" s="474" t="s">
        <v>1538</v>
      </c>
      <c r="L2467" s="475" t="s">
        <v>1535</v>
      </c>
      <c r="M2467" s="475">
        <v>44470</v>
      </c>
      <c r="N2467" s="475">
        <v>44409</v>
      </c>
      <c r="O2467" s="475"/>
      <c r="P2467" s="475">
        <v>44609</v>
      </c>
      <c r="Q2467" s="475">
        <v>44620</v>
      </c>
      <c r="R2467" s="475">
        <v>44642</v>
      </c>
      <c r="S2467" s="474" t="s">
        <v>1102</v>
      </c>
      <c r="T2467" s="474">
        <v>72</v>
      </c>
      <c r="U2467" s="474" t="s">
        <v>1542</v>
      </c>
      <c r="V2467" s="474" t="s">
        <v>1070</v>
      </c>
      <c r="W2467" s="476">
        <v>475</v>
      </c>
      <c r="X2467" s="402">
        <v>870</v>
      </c>
      <c r="Y2467" s="491">
        <f t="shared" si="430"/>
        <v>413250</v>
      </c>
      <c r="Z2467" s="478">
        <v>0.45500000000000002</v>
      </c>
      <c r="AA2467" s="479">
        <f t="shared" si="439"/>
        <v>188028.75</v>
      </c>
      <c r="AB2467" s="386"/>
      <c r="AC2467" s="481">
        <f t="shared" si="440"/>
        <v>0</v>
      </c>
      <c r="AD2467" s="474"/>
      <c r="AE2467" s="482"/>
      <c r="AF2467" s="493">
        <f t="shared" si="436"/>
        <v>188028.75</v>
      </c>
      <c r="AG2467" s="501" t="s">
        <v>47</v>
      </c>
      <c r="AH2467" s="409">
        <v>100</v>
      </c>
      <c r="AI2467" s="501">
        <v>0</v>
      </c>
      <c r="AJ2467" s="501" t="s">
        <v>1540</v>
      </c>
      <c r="AK2467" s="501" t="s">
        <v>1073</v>
      </c>
      <c r="AL2467" s="509">
        <v>21219</v>
      </c>
      <c r="AM2467" s="501" t="s">
        <v>52</v>
      </c>
      <c r="AN2467" s="501" t="s">
        <v>1151</v>
      </c>
      <c r="AO2467" s="474"/>
      <c r="AP2467" s="474" t="s">
        <v>92</v>
      </c>
      <c r="AQ2467" s="474" t="s">
        <v>1086</v>
      </c>
      <c r="AR2467" s="474"/>
      <c r="AS2467" s="387" t="s">
        <v>1087</v>
      </c>
      <c r="AT2467" s="387" t="s">
        <v>1076</v>
      </c>
      <c r="AU2467" s="471"/>
      <c r="AV2467" s="262" t="str">
        <f t="shared" si="441"/>
        <v>30397571C</v>
      </c>
      <c r="AW2467" s="262" cm="1">
        <f t="array" ref="AW2467">SUM(MID(0&amp;AV2467,LARGE(INDEX(ISNUMBER(--MID(AV2467,ROW($1:$8),1))*ROW($1:$8),),ROW($1:$8))+1,1)*10^ROW($1:$8)/10)</f>
        <v>30397571</v>
      </c>
      <c r="AX2467" s="262" t="str">
        <f>VLOOKUP($AW2467,'Item Master Data'!$A:$F,3,FALSE)</f>
        <v>Q.PEAK DUO XL G10 BFG</v>
      </c>
      <c r="AY2467" s="262">
        <f>VLOOKUP($AW2467,'Item Master Data'!$A:$F,6,FALSE)</f>
        <v>475</v>
      </c>
      <c r="AZ2467" s="262">
        <f t="shared" si="442"/>
        <v>30</v>
      </c>
      <c r="BA2467" s="262">
        <f>VLOOKUP(AW2467,'Item Master Data'!$A:$G,7,FALSE)</f>
        <v>29</v>
      </c>
      <c r="BC2467" s="262">
        <f t="shared" si="443"/>
        <v>0</v>
      </c>
    </row>
    <row r="2468" spans="1:55">
      <c r="A2468" s="410"/>
      <c r="B2468" s="407"/>
      <c r="C2468" s="407"/>
      <c r="D2468" s="474" t="s">
        <v>1066</v>
      </c>
      <c r="E2468" s="388"/>
      <c r="F2468" s="474" t="s">
        <v>1077</v>
      </c>
      <c r="G2468" s="474">
        <v>2022</v>
      </c>
      <c r="H2468" s="474">
        <v>3</v>
      </c>
      <c r="I2468" s="485">
        <v>127734</v>
      </c>
      <c r="J2468" s="475">
        <v>44651</v>
      </c>
      <c r="K2468" s="474" t="s">
        <v>1543</v>
      </c>
      <c r="L2468" s="475" t="s">
        <v>1535</v>
      </c>
      <c r="M2468" s="475">
        <v>44470</v>
      </c>
      <c r="N2468" s="475">
        <v>44228</v>
      </c>
      <c r="O2468" s="475"/>
      <c r="P2468" s="475">
        <v>44642</v>
      </c>
      <c r="Q2468" s="475">
        <v>44648</v>
      </c>
      <c r="R2468" s="475">
        <v>44651</v>
      </c>
      <c r="S2468" s="474" t="s">
        <v>1102</v>
      </c>
      <c r="T2468" s="474">
        <v>72</v>
      </c>
      <c r="U2468" s="474" t="s">
        <v>1389</v>
      </c>
      <c r="V2468" s="474" t="s">
        <v>1070</v>
      </c>
      <c r="W2468" s="476">
        <v>475</v>
      </c>
      <c r="X2468" s="402">
        <v>7890</v>
      </c>
      <c r="Y2468" s="491">
        <f t="shared" si="430"/>
        <v>3747750</v>
      </c>
      <c r="Z2468" s="478">
        <v>0.42</v>
      </c>
      <c r="AA2468" s="479">
        <f t="shared" si="439"/>
        <v>1574055</v>
      </c>
      <c r="AB2468" s="386"/>
      <c r="AC2468" s="481">
        <f t="shared" si="440"/>
        <v>0</v>
      </c>
      <c r="AD2468" s="474"/>
      <c r="AE2468" s="482"/>
      <c r="AF2468" s="493">
        <f t="shared" si="436"/>
        <v>1574055</v>
      </c>
      <c r="AG2468" s="474" t="s">
        <v>47</v>
      </c>
      <c r="AH2468" s="447">
        <v>100</v>
      </c>
      <c r="AI2468" s="474">
        <v>0</v>
      </c>
      <c r="AJ2468" s="474" t="s">
        <v>1166</v>
      </c>
      <c r="AK2468" s="474" t="s">
        <v>1073</v>
      </c>
      <c r="AL2468" s="494">
        <v>21224</v>
      </c>
      <c r="AM2468" s="474" t="s">
        <v>52</v>
      </c>
      <c r="AN2468" s="474" t="s">
        <v>1085</v>
      </c>
      <c r="AO2468" s="474"/>
      <c r="AP2468" s="474" t="s">
        <v>92</v>
      </c>
      <c r="AQ2468" s="474" t="s">
        <v>1086</v>
      </c>
      <c r="AR2468" s="474"/>
      <c r="AS2468" s="387" t="s">
        <v>1087</v>
      </c>
      <c r="AT2468" s="387" t="s">
        <v>1076</v>
      </c>
      <c r="AU2468" s="471"/>
      <c r="AV2468" s="262" t="str">
        <f t="shared" si="441"/>
        <v>12005833F</v>
      </c>
      <c r="AW2468" s="262" cm="1">
        <f t="array" ref="AW2468">SUM(MID(0&amp;AV2468,LARGE(INDEX(ISNUMBER(--MID(AV2468,ROW($1:$8),1))*ROW($1:$8),),ROW($1:$8))+1,1)*10^ROW($1:$8)/10)</f>
        <v>12005833</v>
      </c>
      <c r="AX2468" s="262" t="str">
        <f>VLOOKUP($AW2468,'Item Master Data'!$A:$F,3,FALSE)</f>
        <v>Q.PEAK DUO XL G10 BFG</v>
      </c>
      <c r="AY2468" s="262">
        <f>VLOOKUP($AW2468,'Item Master Data'!$A:$F,6,FALSE)</f>
        <v>475</v>
      </c>
      <c r="AZ2468" s="262">
        <f t="shared" si="442"/>
        <v>263</v>
      </c>
      <c r="BA2468" s="262">
        <f>VLOOKUP(AW2468,'Item Master Data'!$A:$G,7,FALSE)</f>
        <v>30</v>
      </c>
      <c r="BC2468" s="262">
        <f t="shared" si="443"/>
        <v>0</v>
      </c>
    </row>
    <row r="2469" spans="1:55">
      <c r="A2469" s="410"/>
      <c r="B2469" s="407"/>
      <c r="C2469" s="407"/>
      <c r="D2469" s="474" t="s">
        <v>1066</v>
      </c>
      <c r="E2469" s="388"/>
      <c r="F2469" s="474" t="s">
        <v>1077</v>
      </c>
      <c r="G2469" s="474">
        <v>2022</v>
      </c>
      <c r="H2469" s="474">
        <v>4</v>
      </c>
      <c r="I2469" s="485">
        <v>128043</v>
      </c>
      <c r="J2469" s="475">
        <v>44656</v>
      </c>
      <c r="K2469" s="474" t="s">
        <v>1543</v>
      </c>
      <c r="L2469" s="475" t="s">
        <v>1535</v>
      </c>
      <c r="M2469" s="475">
        <v>44470</v>
      </c>
      <c r="N2469" s="475">
        <v>44228</v>
      </c>
      <c r="O2469" s="475"/>
      <c r="P2469" s="475">
        <v>44642</v>
      </c>
      <c r="Q2469" s="475">
        <v>44652</v>
      </c>
      <c r="R2469" s="475">
        <v>44656</v>
      </c>
      <c r="S2469" s="474" t="s">
        <v>1102</v>
      </c>
      <c r="T2469" s="474">
        <v>72</v>
      </c>
      <c r="U2469" s="474" t="s">
        <v>1389</v>
      </c>
      <c r="V2469" s="474" t="s">
        <v>1070</v>
      </c>
      <c r="W2469" s="476">
        <v>475</v>
      </c>
      <c r="X2469" s="402">
        <v>4812</v>
      </c>
      <c r="Y2469" s="491">
        <f t="shared" si="430"/>
        <v>2285700</v>
      </c>
      <c r="Z2469" s="478">
        <v>0.42</v>
      </c>
      <c r="AA2469" s="479">
        <f t="shared" si="439"/>
        <v>959994</v>
      </c>
      <c r="AB2469" s="386"/>
      <c r="AC2469" s="481">
        <f t="shared" si="440"/>
        <v>0</v>
      </c>
      <c r="AD2469" s="474"/>
      <c r="AE2469" s="482"/>
      <c r="AF2469" s="493">
        <f t="shared" si="436"/>
        <v>959994</v>
      </c>
      <c r="AG2469" s="474" t="s">
        <v>47</v>
      </c>
      <c r="AH2469" s="447">
        <v>100</v>
      </c>
      <c r="AI2469" s="474">
        <v>0</v>
      </c>
      <c r="AJ2469" s="474" t="s">
        <v>1166</v>
      </c>
      <c r="AK2469" s="474" t="s">
        <v>1073</v>
      </c>
      <c r="AL2469" s="494">
        <v>21224</v>
      </c>
      <c r="AM2469" s="474" t="s">
        <v>52</v>
      </c>
      <c r="AN2469" s="474" t="s">
        <v>1085</v>
      </c>
      <c r="AO2469" s="474"/>
      <c r="AP2469" s="474" t="s">
        <v>92</v>
      </c>
      <c r="AQ2469" s="474" t="s">
        <v>1086</v>
      </c>
      <c r="AR2469" s="474"/>
      <c r="AS2469" s="387" t="s">
        <v>1087</v>
      </c>
      <c r="AT2469" s="387" t="s">
        <v>1076</v>
      </c>
      <c r="AU2469" s="471"/>
      <c r="AV2469" s="262" t="str">
        <f t="shared" si="441"/>
        <v>12005833F</v>
      </c>
      <c r="AW2469" s="262" cm="1">
        <f t="array" ref="AW2469">SUM(MID(0&amp;AV2469,LARGE(INDEX(ISNUMBER(--MID(AV2469,ROW($1:$8),1))*ROW($1:$8),),ROW($1:$8))+1,1)*10^ROW($1:$8)/10)</f>
        <v>12005833</v>
      </c>
      <c r="AX2469" s="262" t="str">
        <f>VLOOKUP($AW2469,'Item Master Data'!$A:$F,3,FALSE)</f>
        <v>Q.PEAK DUO XL G10 BFG</v>
      </c>
      <c r="AY2469" s="262">
        <f>VLOOKUP($AW2469,'Item Master Data'!$A:$F,6,FALSE)</f>
        <v>475</v>
      </c>
      <c r="AZ2469" s="262">
        <f t="shared" si="442"/>
        <v>160.4</v>
      </c>
      <c r="BA2469" s="262">
        <f>VLOOKUP(AW2469,'Item Master Data'!$A:$G,7,FALSE)</f>
        <v>30</v>
      </c>
      <c r="BC2469" s="262">
        <f t="shared" si="443"/>
        <v>0</v>
      </c>
    </row>
    <row r="2470" spans="1:55">
      <c r="A2470" s="410"/>
      <c r="B2470" s="407"/>
      <c r="C2470" s="407"/>
      <c r="D2470" s="474" t="s">
        <v>1066</v>
      </c>
      <c r="E2470" s="388"/>
      <c r="F2470" s="474" t="s">
        <v>1077</v>
      </c>
      <c r="G2470" s="474">
        <v>2022</v>
      </c>
      <c r="H2470" s="474">
        <v>3</v>
      </c>
      <c r="I2470" s="485">
        <v>127829</v>
      </c>
      <c r="J2470" s="475">
        <v>44649</v>
      </c>
      <c r="K2470" s="474" t="s">
        <v>1545</v>
      </c>
      <c r="L2470" s="475" t="s">
        <v>1535</v>
      </c>
      <c r="M2470" s="475">
        <v>44470</v>
      </c>
      <c r="N2470" s="475">
        <v>44228</v>
      </c>
      <c r="O2470" s="475"/>
      <c r="P2470" s="475">
        <v>44641</v>
      </c>
      <c r="Q2470" s="475">
        <v>44644</v>
      </c>
      <c r="R2470" s="475">
        <v>44649</v>
      </c>
      <c r="S2470" s="474" t="s">
        <v>1102</v>
      </c>
      <c r="T2470" s="474">
        <v>72</v>
      </c>
      <c r="U2470" s="474">
        <v>49303155</v>
      </c>
      <c r="V2470" s="474" t="s">
        <v>1070</v>
      </c>
      <c r="W2470" s="476">
        <v>475</v>
      </c>
      <c r="X2470" s="402">
        <v>9744</v>
      </c>
      <c r="Y2470" s="477">
        <f t="shared" si="430"/>
        <v>4628400</v>
      </c>
      <c r="Z2470" s="478">
        <v>0.42</v>
      </c>
      <c r="AA2470" s="479">
        <f t="shared" si="439"/>
        <v>1943928</v>
      </c>
      <c r="AB2470" s="386"/>
      <c r="AC2470" s="481">
        <f t="shared" si="440"/>
        <v>0</v>
      </c>
      <c r="AD2470" s="474"/>
      <c r="AE2470" s="482"/>
      <c r="AF2470" s="493">
        <f t="shared" si="436"/>
        <v>1943928</v>
      </c>
      <c r="AG2470" s="474" t="s">
        <v>47</v>
      </c>
      <c r="AH2470" s="447">
        <v>100</v>
      </c>
      <c r="AI2470" s="474">
        <v>0</v>
      </c>
      <c r="AJ2470" s="474" t="s">
        <v>1546</v>
      </c>
      <c r="AK2470" s="474" t="s">
        <v>1297</v>
      </c>
      <c r="AL2470" s="494">
        <v>4103</v>
      </c>
      <c r="AM2470" s="474" t="s">
        <v>52</v>
      </c>
      <c r="AN2470" s="474" t="s">
        <v>1106</v>
      </c>
      <c r="AO2470" s="474"/>
      <c r="AP2470" s="474"/>
      <c r="AQ2470" s="474" t="s">
        <v>1086</v>
      </c>
      <c r="AR2470" s="474"/>
      <c r="AS2470" s="387" t="s">
        <v>1087</v>
      </c>
      <c r="AT2470" s="387" t="s">
        <v>1076</v>
      </c>
      <c r="AU2470" s="471"/>
      <c r="AV2470" s="262">
        <f t="shared" si="441"/>
        <v>49303155</v>
      </c>
      <c r="AW2470" s="262" cm="1">
        <f t="array" ref="AW2470">SUM(MID(0&amp;AV2470,LARGE(INDEX(ISNUMBER(--MID(AV2470,ROW($1:$8),1))*ROW($1:$8),),ROW($1:$8))+1,1)*10^ROW($1:$8)/10)</f>
        <v>49303155</v>
      </c>
      <c r="AX2470" s="262" t="str">
        <f>VLOOKUP($AW2470,'Item Master Data'!$A:$F,3,FALSE)</f>
        <v>Q.PEAK DUO XL G10 BFG</v>
      </c>
      <c r="AY2470" s="262">
        <f>VLOOKUP($AW2470,'Item Master Data'!$A:$F,6,FALSE)</f>
        <v>475</v>
      </c>
      <c r="AZ2470" s="262">
        <f t="shared" si="442"/>
        <v>336</v>
      </c>
      <c r="BA2470" s="262">
        <f>VLOOKUP(AW2470,'Item Master Data'!$A:$G,7,FALSE)</f>
        <v>29</v>
      </c>
      <c r="BC2470" s="262">
        <f t="shared" si="443"/>
        <v>0</v>
      </c>
    </row>
    <row r="2471" spans="1:55">
      <c r="A2471" s="410"/>
      <c r="B2471" s="407"/>
      <c r="C2471" s="407"/>
      <c r="D2471" s="474" t="s">
        <v>1066</v>
      </c>
      <c r="E2471" s="388"/>
      <c r="F2471" s="474" t="s">
        <v>1077</v>
      </c>
      <c r="G2471" s="474">
        <v>2022</v>
      </c>
      <c r="H2471" s="474">
        <v>3</v>
      </c>
      <c r="I2471" s="485">
        <v>127829</v>
      </c>
      <c r="J2471" s="475">
        <v>44649</v>
      </c>
      <c r="K2471" s="474" t="s">
        <v>1545</v>
      </c>
      <c r="L2471" s="475" t="s">
        <v>1535</v>
      </c>
      <c r="M2471" s="475">
        <v>44470</v>
      </c>
      <c r="N2471" s="475">
        <v>44228</v>
      </c>
      <c r="O2471" s="475"/>
      <c r="P2471" s="475">
        <v>44641</v>
      </c>
      <c r="Q2471" s="475">
        <v>44644</v>
      </c>
      <c r="R2471" s="475">
        <v>44649</v>
      </c>
      <c r="S2471" s="474" t="s">
        <v>1102</v>
      </c>
      <c r="T2471" s="474">
        <v>72</v>
      </c>
      <c r="U2471" s="474">
        <v>49303155</v>
      </c>
      <c r="V2471" s="474" t="s">
        <v>1070</v>
      </c>
      <c r="W2471" s="476">
        <v>475</v>
      </c>
      <c r="X2471" s="402">
        <v>1276</v>
      </c>
      <c r="Y2471" s="477">
        <f t="shared" si="430"/>
        <v>606100</v>
      </c>
      <c r="Z2471" s="478">
        <v>0.42</v>
      </c>
      <c r="AA2471" s="479">
        <f t="shared" si="439"/>
        <v>254562</v>
      </c>
      <c r="AB2471" s="386"/>
      <c r="AC2471" s="481">
        <f t="shared" si="440"/>
        <v>0</v>
      </c>
      <c r="AD2471" s="474"/>
      <c r="AE2471" s="482"/>
      <c r="AF2471" s="493">
        <f t="shared" si="436"/>
        <v>254562</v>
      </c>
      <c r="AG2471" s="474" t="s">
        <v>47</v>
      </c>
      <c r="AH2471" s="447">
        <v>100</v>
      </c>
      <c r="AI2471" s="474">
        <v>0</v>
      </c>
      <c r="AJ2471" s="474" t="s">
        <v>1546</v>
      </c>
      <c r="AK2471" s="474" t="s">
        <v>1297</v>
      </c>
      <c r="AL2471" s="494">
        <v>4103</v>
      </c>
      <c r="AM2471" s="474" t="s">
        <v>52</v>
      </c>
      <c r="AN2471" s="474" t="s">
        <v>1106</v>
      </c>
      <c r="AO2471" s="474"/>
      <c r="AP2471" s="474"/>
      <c r="AQ2471" s="474" t="s">
        <v>1086</v>
      </c>
      <c r="AR2471" s="474"/>
      <c r="AS2471" s="387" t="s">
        <v>1087</v>
      </c>
      <c r="AT2471" s="387" t="s">
        <v>1076</v>
      </c>
      <c r="AU2471" s="471"/>
      <c r="AV2471" s="262">
        <f t="shared" si="441"/>
        <v>49303155</v>
      </c>
      <c r="AW2471" s="262" cm="1">
        <f t="array" ref="AW2471">SUM(MID(0&amp;AV2471,LARGE(INDEX(ISNUMBER(--MID(AV2471,ROW($1:$8),1))*ROW($1:$8),),ROW($1:$8))+1,1)*10^ROW($1:$8)/10)</f>
        <v>49303155</v>
      </c>
      <c r="AX2471" s="262" t="str">
        <f>VLOOKUP($AW2471,'Item Master Data'!$A:$F,3,FALSE)</f>
        <v>Q.PEAK DUO XL G10 BFG</v>
      </c>
      <c r="AY2471" s="262">
        <f>VLOOKUP($AW2471,'Item Master Data'!$A:$F,6,FALSE)</f>
        <v>475</v>
      </c>
      <c r="AZ2471" s="262">
        <f t="shared" si="442"/>
        <v>44</v>
      </c>
      <c r="BA2471" s="262">
        <f>VLOOKUP(AW2471,'Item Master Data'!$A:$G,7,FALSE)</f>
        <v>29</v>
      </c>
      <c r="BC2471" s="262">
        <f t="shared" si="443"/>
        <v>0</v>
      </c>
    </row>
    <row r="2472" spans="1:55">
      <c r="A2472" s="410"/>
      <c r="B2472" s="407"/>
      <c r="C2472" s="407"/>
      <c r="D2472" s="474" t="s">
        <v>1066</v>
      </c>
      <c r="E2472" s="388" t="s">
        <v>1547</v>
      </c>
      <c r="F2472" s="474" t="s">
        <v>1077</v>
      </c>
      <c r="G2472" s="474">
        <v>2022</v>
      </c>
      <c r="H2472" s="524">
        <v>3</v>
      </c>
      <c r="I2472" s="415">
        <v>127883</v>
      </c>
      <c r="J2472" s="538">
        <v>44650</v>
      </c>
      <c r="K2472" s="524" t="s">
        <v>1545</v>
      </c>
      <c r="L2472" s="538" t="s">
        <v>1535</v>
      </c>
      <c r="M2472" s="475">
        <v>44470</v>
      </c>
      <c r="N2472" s="475">
        <v>44228</v>
      </c>
      <c r="O2472" s="475"/>
      <c r="P2472" s="475">
        <v>44641</v>
      </c>
      <c r="Q2472" s="475">
        <v>44644</v>
      </c>
      <c r="R2472" s="475">
        <v>44650</v>
      </c>
      <c r="S2472" s="474" t="s">
        <v>1102</v>
      </c>
      <c r="T2472" s="474">
        <v>72</v>
      </c>
      <c r="U2472" s="474">
        <v>49303155</v>
      </c>
      <c r="V2472" s="474" t="s">
        <v>1070</v>
      </c>
      <c r="W2472" s="476">
        <v>475</v>
      </c>
      <c r="X2472" s="402">
        <v>464</v>
      </c>
      <c r="Y2472" s="477">
        <f t="shared" si="430"/>
        <v>220400</v>
      </c>
      <c r="Z2472" s="478">
        <v>0.42</v>
      </c>
      <c r="AA2472" s="479">
        <f t="shared" si="439"/>
        <v>92568</v>
      </c>
      <c r="AB2472" s="386"/>
      <c r="AC2472" s="481">
        <f t="shared" si="440"/>
        <v>0</v>
      </c>
      <c r="AD2472" s="474"/>
      <c r="AE2472" s="482"/>
      <c r="AF2472" s="493">
        <f t="shared" si="436"/>
        <v>92568</v>
      </c>
      <c r="AG2472" s="474" t="s">
        <v>47</v>
      </c>
      <c r="AH2472" s="447">
        <v>100</v>
      </c>
      <c r="AI2472" s="474">
        <v>0</v>
      </c>
      <c r="AJ2472" s="474" t="s">
        <v>1546</v>
      </c>
      <c r="AK2472" s="474" t="s">
        <v>1297</v>
      </c>
      <c r="AL2472" s="494">
        <v>4103</v>
      </c>
      <c r="AM2472" s="474" t="s">
        <v>52</v>
      </c>
      <c r="AN2472" s="474" t="s">
        <v>1106</v>
      </c>
      <c r="AO2472" s="474"/>
      <c r="AP2472" s="474"/>
      <c r="AQ2472" s="474" t="s">
        <v>1086</v>
      </c>
      <c r="AR2472" s="474"/>
      <c r="AS2472" s="387" t="s">
        <v>1087</v>
      </c>
      <c r="AT2472" s="387" t="s">
        <v>1076</v>
      </c>
      <c r="AU2472" s="471"/>
      <c r="AV2472" s="262">
        <f t="shared" si="441"/>
        <v>49303155</v>
      </c>
      <c r="AW2472" s="262" cm="1">
        <f t="array" ref="AW2472">SUM(MID(0&amp;AV2472,LARGE(INDEX(ISNUMBER(--MID(AV2472,ROW($1:$8),1))*ROW($1:$8),),ROW($1:$8))+1,1)*10^ROW($1:$8)/10)</f>
        <v>49303155</v>
      </c>
      <c r="AX2472" s="262" t="str">
        <f>VLOOKUP($AW2472,'Item Master Data'!$A:$F,3,FALSE)</f>
        <v>Q.PEAK DUO XL G10 BFG</v>
      </c>
      <c r="AY2472" s="262">
        <f>VLOOKUP($AW2472,'Item Master Data'!$A:$F,6,FALSE)</f>
        <v>475</v>
      </c>
      <c r="AZ2472" s="262">
        <f t="shared" si="442"/>
        <v>16</v>
      </c>
      <c r="BA2472" s="262">
        <f>VLOOKUP(AW2472,'Item Master Data'!$A:$G,7,FALSE)</f>
        <v>29</v>
      </c>
      <c r="BC2472" s="262">
        <f t="shared" si="443"/>
        <v>0</v>
      </c>
    </row>
    <row r="2473" spans="1:55">
      <c r="A2473" s="410"/>
      <c r="B2473" s="407"/>
      <c r="C2473" s="407"/>
      <c r="D2473" s="474" t="s">
        <v>1066</v>
      </c>
      <c r="E2473" s="388" t="s">
        <v>1548</v>
      </c>
      <c r="F2473" s="474" t="s">
        <v>1077</v>
      </c>
      <c r="G2473" s="474">
        <v>2022</v>
      </c>
      <c r="H2473" s="524">
        <v>3</v>
      </c>
      <c r="I2473" s="415">
        <v>127883</v>
      </c>
      <c r="J2473" s="538">
        <v>44650</v>
      </c>
      <c r="K2473" s="524" t="s">
        <v>1545</v>
      </c>
      <c r="L2473" s="538" t="s">
        <v>1535</v>
      </c>
      <c r="M2473" s="475">
        <v>44470</v>
      </c>
      <c r="N2473" s="475">
        <v>44228</v>
      </c>
      <c r="O2473" s="475"/>
      <c r="P2473" s="475">
        <v>44641</v>
      </c>
      <c r="Q2473" s="475">
        <v>44644</v>
      </c>
      <c r="R2473" s="475">
        <v>44650</v>
      </c>
      <c r="S2473" s="474" t="s">
        <v>1102</v>
      </c>
      <c r="T2473" s="474">
        <v>72</v>
      </c>
      <c r="U2473" s="474">
        <v>49303155</v>
      </c>
      <c r="V2473" s="474" t="s">
        <v>1070</v>
      </c>
      <c r="W2473" s="476">
        <v>475</v>
      </c>
      <c r="X2473" s="402">
        <v>638</v>
      </c>
      <c r="Y2473" s="477">
        <f t="shared" si="430"/>
        <v>303050</v>
      </c>
      <c r="Z2473" s="478">
        <v>0.42</v>
      </c>
      <c r="AA2473" s="479">
        <f t="shared" si="439"/>
        <v>127281</v>
      </c>
      <c r="AB2473" s="386"/>
      <c r="AC2473" s="481">
        <f t="shared" si="440"/>
        <v>0</v>
      </c>
      <c r="AD2473" s="474"/>
      <c r="AE2473" s="482"/>
      <c r="AF2473" s="493">
        <f t="shared" si="436"/>
        <v>127281</v>
      </c>
      <c r="AG2473" s="474" t="s">
        <v>47</v>
      </c>
      <c r="AH2473" s="447">
        <v>100</v>
      </c>
      <c r="AI2473" s="474">
        <v>0</v>
      </c>
      <c r="AJ2473" s="474" t="s">
        <v>1546</v>
      </c>
      <c r="AK2473" s="474" t="s">
        <v>1297</v>
      </c>
      <c r="AL2473" s="494">
        <v>4103</v>
      </c>
      <c r="AM2473" s="474" t="s">
        <v>52</v>
      </c>
      <c r="AN2473" s="474" t="s">
        <v>1106</v>
      </c>
      <c r="AO2473" s="474"/>
      <c r="AP2473" s="474"/>
      <c r="AQ2473" s="474" t="s">
        <v>1086</v>
      </c>
      <c r="AR2473" s="474"/>
      <c r="AS2473" s="387" t="s">
        <v>1087</v>
      </c>
      <c r="AT2473" s="387" t="s">
        <v>1076</v>
      </c>
      <c r="AU2473" s="471"/>
      <c r="AV2473" s="262">
        <f t="shared" si="441"/>
        <v>49303155</v>
      </c>
      <c r="AW2473" s="262" cm="1">
        <f t="array" ref="AW2473">SUM(MID(0&amp;AV2473,LARGE(INDEX(ISNUMBER(--MID(AV2473,ROW($1:$8),1))*ROW($1:$8),),ROW($1:$8))+1,1)*10^ROW($1:$8)/10)</f>
        <v>49303155</v>
      </c>
      <c r="AX2473" s="262" t="str">
        <f>VLOOKUP($AW2473,'Item Master Data'!$A:$F,3,FALSE)</f>
        <v>Q.PEAK DUO XL G10 BFG</v>
      </c>
      <c r="AY2473" s="262">
        <f>VLOOKUP($AW2473,'Item Master Data'!$A:$F,6,FALSE)</f>
        <v>475</v>
      </c>
      <c r="AZ2473" s="262">
        <f t="shared" si="442"/>
        <v>22</v>
      </c>
      <c r="BA2473" s="262">
        <f>VLOOKUP(AW2473,'Item Master Data'!$A:$G,7,FALSE)</f>
        <v>29</v>
      </c>
      <c r="BC2473" s="262">
        <f t="shared" si="443"/>
        <v>0</v>
      </c>
    </row>
    <row r="2474" spans="1:55">
      <c r="A2474" s="410"/>
      <c r="B2474" s="407"/>
      <c r="C2474" s="407"/>
      <c r="D2474" s="474" t="s">
        <v>1066</v>
      </c>
      <c r="E2474" s="388" t="s">
        <v>1106</v>
      </c>
      <c r="F2474" s="474" t="s">
        <v>1077</v>
      </c>
      <c r="G2474" s="474">
        <v>2022</v>
      </c>
      <c r="H2474" s="474">
        <v>4</v>
      </c>
      <c r="I2474" s="485" t="s">
        <v>3023</v>
      </c>
      <c r="J2474" s="475">
        <v>44655</v>
      </c>
      <c r="K2474" s="474" t="s">
        <v>1545</v>
      </c>
      <c r="L2474" s="475" t="s">
        <v>1535</v>
      </c>
      <c r="M2474" s="475">
        <v>44470</v>
      </c>
      <c r="N2474" s="475">
        <v>44228</v>
      </c>
      <c r="O2474" s="475"/>
      <c r="P2474" s="475">
        <v>44641</v>
      </c>
      <c r="Q2474" s="475" t="s">
        <v>1549</v>
      </c>
      <c r="R2474" s="475">
        <v>44655</v>
      </c>
      <c r="S2474" s="474" t="s">
        <v>1102</v>
      </c>
      <c r="T2474" s="474">
        <v>72</v>
      </c>
      <c r="U2474" s="474">
        <v>49303155</v>
      </c>
      <c r="V2474" s="474" t="s">
        <v>1070</v>
      </c>
      <c r="W2474" s="476">
        <v>475</v>
      </c>
      <c r="X2474" s="402">
        <f>609+667+609+638</f>
        <v>2523</v>
      </c>
      <c r="Y2474" s="491">
        <f t="shared" si="430"/>
        <v>1198425</v>
      </c>
      <c r="Z2474" s="478">
        <v>0.42</v>
      </c>
      <c r="AA2474" s="479">
        <f t="shared" si="439"/>
        <v>503338.5</v>
      </c>
      <c r="AB2474" s="386"/>
      <c r="AC2474" s="481">
        <f t="shared" si="440"/>
        <v>0</v>
      </c>
      <c r="AD2474" s="474"/>
      <c r="AE2474" s="482"/>
      <c r="AF2474" s="493">
        <f t="shared" si="436"/>
        <v>503338.5</v>
      </c>
      <c r="AG2474" s="474" t="s">
        <v>47</v>
      </c>
      <c r="AH2474" s="447">
        <v>100</v>
      </c>
      <c r="AI2474" s="474">
        <v>0</v>
      </c>
      <c r="AJ2474" s="474" t="s">
        <v>1546</v>
      </c>
      <c r="AK2474" s="474" t="s">
        <v>1297</v>
      </c>
      <c r="AL2474" s="494">
        <v>4103</v>
      </c>
      <c r="AM2474" s="474" t="s">
        <v>52</v>
      </c>
      <c r="AN2474" s="474" t="s">
        <v>1106</v>
      </c>
      <c r="AO2474" s="474"/>
      <c r="AP2474" s="474"/>
      <c r="AQ2474" s="474" t="s">
        <v>1086</v>
      </c>
      <c r="AR2474" s="474"/>
      <c r="AS2474" s="387" t="s">
        <v>1087</v>
      </c>
      <c r="AT2474" s="387" t="s">
        <v>1076</v>
      </c>
      <c r="AU2474" s="471"/>
      <c r="AV2474" s="262">
        <f t="shared" si="441"/>
        <v>49303155</v>
      </c>
      <c r="AW2474" s="262" cm="1">
        <f t="array" ref="AW2474">SUM(MID(0&amp;AV2474,LARGE(INDEX(ISNUMBER(--MID(AV2474,ROW($1:$8),1))*ROW($1:$8),),ROW($1:$8))+1,1)*10^ROW($1:$8)/10)</f>
        <v>49303155</v>
      </c>
      <c r="AX2474" s="262" t="str">
        <f>VLOOKUP($AW2474,'Item Master Data'!$A:$F,3,FALSE)</f>
        <v>Q.PEAK DUO XL G10 BFG</v>
      </c>
      <c r="AY2474" s="262">
        <f>VLOOKUP($AW2474,'Item Master Data'!$A:$F,6,FALSE)</f>
        <v>475</v>
      </c>
      <c r="AZ2474" s="262">
        <f t="shared" si="442"/>
        <v>87</v>
      </c>
      <c r="BA2474" s="262">
        <f>VLOOKUP(AW2474,'Item Master Data'!$A:$G,7,FALSE)</f>
        <v>29</v>
      </c>
      <c r="BC2474" s="262">
        <f t="shared" si="443"/>
        <v>0</v>
      </c>
    </row>
    <row r="2475" spans="1:55">
      <c r="A2475" s="410"/>
      <c r="B2475" s="407"/>
      <c r="C2475" s="407"/>
      <c r="D2475" s="474" t="s">
        <v>1066</v>
      </c>
      <c r="E2475" s="388" t="s">
        <v>5279</v>
      </c>
      <c r="F2475" s="474"/>
      <c r="G2475" s="474">
        <v>2022</v>
      </c>
      <c r="H2475" s="474">
        <v>10</v>
      </c>
      <c r="I2475" s="485"/>
      <c r="J2475" s="475"/>
      <c r="K2475" s="474" t="s">
        <v>1265</v>
      </c>
      <c r="L2475" s="475" t="s">
        <v>1242</v>
      </c>
      <c r="M2475" s="475">
        <v>44641</v>
      </c>
      <c r="N2475" s="475">
        <v>44835</v>
      </c>
      <c r="O2475" s="475"/>
      <c r="P2475" s="475"/>
      <c r="Q2475" s="475"/>
      <c r="R2475" s="475"/>
      <c r="S2475" s="474" t="s">
        <v>1114</v>
      </c>
      <c r="T2475" s="474">
        <v>72</v>
      </c>
      <c r="U2475" s="474"/>
      <c r="V2475" s="474" t="s">
        <v>1070</v>
      </c>
      <c r="W2475" s="476">
        <v>480</v>
      </c>
      <c r="X2475" s="402">
        <v>1740</v>
      </c>
      <c r="Y2475" s="491">
        <f t="shared" si="430"/>
        <v>835200</v>
      </c>
      <c r="Z2475" s="478">
        <v>0.505</v>
      </c>
      <c r="AA2475" s="479">
        <f t="shared" si="439"/>
        <v>421776</v>
      </c>
      <c r="AB2475" s="386"/>
      <c r="AC2475" s="481">
        <f t="shared" si="440"/>
        <v>0</v>
      </c>
      <c r="AD2475" s="474"/>
      <c r="AE2475" s="482"/>
      <c r="AF2475" s="493">
        <f t="shared" si="436"/>
        <v>421776</v>
      </c>
      <c r="AG2475" s="474" t="s">
        <v>1071</v>
      </c>
      <c r="AH2475" s="447">
        <v>0</v>
      </c>
      <c r="AI2475" s="474">
        <v>60</v>
      </c>
      <c r="AJ2475" s="474" t="s">
        <v>1243</v>
      </c>
      <c r="AK2475" s="474" t="s">
        <v>1244</v>
      </c>
      <c r="AL2475" s="494" t="s">
        <v>1245</v>
      </c>
      <c r="AM2475" s="474" t="s">
        <v>52</v>
      </c>
      <c r="AN2475" s="474" t="s">
        <v>1085</v>
      </c>
      <c r="AO2475" s="474"/>
      <c r="AP2475" s="474" t="s">
        <v>38</v>
      </c>
      <c r="AQ2475" s="474" t="s">
        <v>1086</v>
      </c>
      <c r="AR2475" s="474"/>
      <c r="AS2475" s="387" t="s">
        <v>1076</v>
      </c>
      <c r="AT2475" s="387" t="s">
        <v>1076</v>
      </c>
      <c r="AU2475" s="471"/>
      <c r="AV2475" s="262">
        <f t="shared" si="441"/>
        <v>0</v>
      </c>
      <c r="AW2475" s="262" cm="1">
        <f t="array" ref="AW2475">SUM(MID(0&amp;AV2475,LARGE(INDEX(ISNUMBER(--MID(AV2475,ROW($1:$8),1))*ROW($1:$8),),ROW($1:$8))+1,1)*10^ROW($1:$8)/10)</f>
        <v>0</v>
      </c>
      <c r="AX2475" s="262" t="e">
        <f>VLOOKUP($AW2475,'Item Master Data'!$A:$F,3,FALSE)</f>
        <v>#N/A</v>
      </c>
      <c r="AY2475" s="262" t="e">
        <f>VLOOKUP($AW2475,'Item Master Data'!$A:$F,6,FALSE)</f>
        <v>#N/A</v>
      </c>
      <c r="AZ2475" s="262" t="e">
        <f t="shared" si="442"/>
        <v>#N/A</v>
      </c>
      <c r="BA2475" s="262" t="e">
        <f>VLOOKUP(AW2475,'Item Master Data'!$A:$G,7,FALSE)</f>
        <v>#N/A</v>
      </c>
      <c r="BC2475" s="262" t="e">
        <f t="shared" si="443"/>
        <v>#N/A</v>
      </c>
    </row>
    <row r="2476" spans="1:55">
      <c r="A2476" s="410"/>
      <c r="B2476" s="407"/>
      <c r="C2476" s="407"/>
      <c r="D2476" s="474" t="s">
        <v>1066</v>
      </c>
      <c r="E2476" s="388" t="s">
        <v>1171</v>
      </c>
      <c r="F2476" s="474" t="s">
        <v>1077</v>
      </c>
      <c r="G2476" s="474">
        <v>2023</v>
      </c>
      <c r="H2476" s="474">
        <v>7</v>
      </c>
      <c r="I2476" s="485"/>
      <c r="J2476" s="475"/>
      <c r="K2476" s="474" t="s">
        <v>1550</v>
      </c>
      <c r="L2476" s="475" t="s">
        <v>1535</v>
      </c>
      <c r="M2476" s="475">
        <v>44644</v>
      </c>
      <c r="N2476" s="475">
        <v>44774</v>
      </c>
      <c r="O2476" s="475"/>
      <c r="P2476" s="475"/>
      <c r="Q2476" s="475"/>
      <c r="R2476" s="475"/>
      <c r="S2476" s="474" t="s">
        <v>1102</v>
      </c>
      <c r="T2476" s="474">
        <v>72</v>
      </c>
      <c r="U2476" s="474" t="s">
        <v>1423</v>
      </c>
      <c r="V2476" s="474" t="s">
        <v>1115</v>
      </c>
      <c r="W2476" s="476">
        <v>575</v>
      </c>
      <c r="X2476" s="402">
        <v>17400</v>
      </c>
      <c r="Y2476" s="491">
        <f t="shared" si="430"/>
        <v>10005000</v>
      </c>
      <c r="Z2476" s="478">
        <v>0.43</v>
      </c>
      <c r="AA2476" s="479">
        <f t="shared" si="439"/>
        <v>4302150</v>
      </c>
      <c r="AB2476" s="386"/>
      <c r="AC2476" s="481">
        <f t="shared" si="440"/>
        <v>0</v>
      </c>
      <c r="AD2476" s="474"/>
      <c r="AE2476" s="482"/>
      <c r="AF2476" s="493">
        <f t="shared" si="436"/>
        <v>4302150</v>
      </c>
      <c r="AG2476" s="474" t="s">
        <v>47</v>
      </c>
      <c r="AH2476" s="447">
        <v>100</v>
      </c>
      <c r="AI2476" s="474">
        <v>0</v>
      </c>
      <c r="AJ2476" s="474" t="s">
        <v>1109</v>
      </c>
      <c r="AK2476" s="474" t="s">
        <v>1109</v>
      </c>
      <c r="AL2476" s="494" t="s">
        <v>1109</v>
      </c>
      <c r="AM2476" s="474" t="s">
        <v>52</v>
      </c>
      <c r="AN2476" s="474" t="s">
        <v>1109</v>
      </c>
      <c r="AO2476" s="474"/>
      <c r="AP2476" s="474" t="s">
        <v>38</v>
      </c>
      <c r="AQ2476" s="474" t="s">
        <v>1086</v>
      </c>
      <c r="AR2476" s="474"/>
      <c r="AS2476" s="387" t="s">
        <v>1087</v>
      </c>
      <c r="AT2476" s="387" t="s">
        <v>1076</v>
      </c>
      <c r="AU2476" s="471"/>
      <c r="AV2476" s="262" t="str">
        <f t="shared" si="441"/>
        <v>30391491C</v>
      </c>
      <c r="AW2476" s="262" cm="1">
        <f t="array" ref="AW2476">SUM(MID(0&amp;AV2476,LARGE(INDEX(ISNUMBER(--MID(AV2476,ROW($1:$8),1))*ROW($1:$8),),ROW($1:$8))+1,1)*10^ROW($1:$8)/10)</f>
        <v>30391491</v>
      </c>
      <c r="AX2476" s="262" t="e">
        <f>VLOOKUP($AW2476,'Item Master Data'!$A:$F,3,FALSE)</f>
        <v>#N/A</v>
      </c>
      <c r="AY2476" s="262" t="e">
        <f>VLOOKUP($AW2476,'Item Master Data'!$A:$F,6,FALSE)</f>
        <v>#N/A</v>
      </c>
      <c r="AZ2476" s="262" t="e">
        <f t="shared" si="442"/>
        <v>#N/A</v>
      </c>
      <c r="BA2476" s="262" t="e">
        <f>VLOOKUP(AW2476,'Item Master Data'!$A:$G,7,FALSE)</f>
        <v>#N/A</v>
      </c>
      <c r="BC2476" s="262" t="e">
        <f t="shared" si="443"/>
        <v>#N/A</v>
      </c>
    </row>
    <row r="2477" spans="1:55">
      <c r="A2477" s="410"/>
      <c r="B2477" s="407"/>
      <c r="C2477" s="407"/>
      <c r="D2477" s="474" t="s">
        <v>1066</v>
      </c>
      <c r="E2477" s="388" t="s">
        <v>1097</v>
      </c>
      <c r="F2477" s="474" t="s">
        <v>1077</v>
      </c>
      <c r="G2477" s="474">
        <v>2022</v>
      </c>
      <c r="H2477" s="474">
        <v>10</v>
      </c>
      <c r="I2477" s="485"/>
      <c r="J2477" s="475"/>
      <c r="K2477" s="474">
        <v>20220003</v>
      </c>
      <c r="L2477" s="475" t="s">
        <v>5441</v>
      </c>
      <c r="M2477" s="475">
        <v>44671</v>
      </c>
      <c r="N2477" s="475">
        <v>44851</v>
      </c>
      <c r="O2477" s="475"/>
      <c r="P2477" s="475"/>
      <c r="Q2477" s="475"/>
      <c r="R2477" s="475"/>
      <c r="S2477" s="474" t="s">
        <v>1081</v>
      </c>
      <c r="T2477" s="474">
        <v>72</v>
      </c>
      <c r="U2477" s="474">
        <v>12005832</v>
      </c>
      <c r="V2477" s="474" t="s">
        <v>1070</v>
      </c>
      <c r="W2477" s="476">
        <v>480</v>
      </c>
      <c r="X2477" s="402">
        <v>2349</v>
      </c>
      <c r="Y2477" s="491">
        <f t="shared" si="430"/>
        <v>1127520</v>
      </c>
      <c r="Z2477" s="478">
        <v>0.56999999999999995</v>
      </c>
      <c r="AA2477" s="492">
        <f t="shared" si="439"/>
        <v>642686.39999999991</v>
      </c>
      <c r="AB2477" s="386"/>
      <c r="AC2477" s="481">
        <f t="shared" si="440"/>
        <v>0</v>
      </c>
      <c r="AD2477" s="474"/>
      <c r="AE2477" s="482">
        <v>24502.42</v>
      </c>
      <c r="AF2477" s="493">
        <f t="shared" si="436"/>
        <v>667188.81999999995</v>
      </c>
      <c r="AG2477" s="474" t="s">
        <v>1071</v>
      </c>
      <c r="AH2477" s="447">
        <v>3</v>
      </c>
      <c r="AI2477" s="474">
        <v>60</v>
      </c>
      <c r="AJ2477" s="474" t="s">
        <v>5442</v>
      </c>
      <c r="AK2477" s="474" t="s">
        <v>50</v>
      </c>
      <c r="AL2477" s="494">
        <v>92688</v>
      </c>
      <c r="AM2477" s="474" t="s">
        <v>52</v>
      </c>
      <c r="AN2477" s="474" t="s">
        <v>1074</v>
      </c>
      <c r="AO2477" s="474"/>
      <c r="AP2477" s="474"/>
      <c r="AQ2477" s="474" t="s">
        <v>1086</v>
      </c>
      <c r="AR2477" s="474"/>
      <c r="AS2477" s="387" t="s">
        <v>1087</v>
      </c>
      <c r="AT2477" s="387" t="s">
        <v>1076</v>
      </c>
      <c r="AU2477" s="471"/>
      <c r="AV2477" s="262">
        <f t="shared" si="441"/>
        <v>12005832</v>
      </c>
      <c r="AW2477" s="262" cm="1">
        <f t="array" ref="AW2477">SUM(MID(0&amp;AV2477,LARGE(INDEX(ISNUMBER(--MID(AV2477,ROW($1:$8),1))*ROW($1:$8),),ROW($1:$8))+1,1)*10^ROW($1:$8)/10)</f>
        <v>12005832</v>
      </c>
      <c r="AX2477" s="262" t="str">
        <f>VLOOKUP($AW2477,'Item Master Data'!$A:$F,3,FALSE)</f>
        <v>Q.PEAK DUO XL G10 BFG</v>
      </c>
      <c r="AY2477" s="262">
        <f>VLOOKUP($AW2477,'Item Master Data'!$A:$F,6,FALSE)</f>
        <v>480</v>
      </c>
      <c r="AZ2477" s="262" t="e">
        <f t="shared" si="442"/>
        <v>#VALUE!</v>
      </c>
      <c r="BA2477" s="262" t="str">
        <f>VLOOKUP(AW2477,'Item Master Data'!$A:$G,7,FALSE)</f>
        <v> 30</v>
      </c>
      <c r="BC2477" s="262">
        <f t="shared" si="443"/>
        <v>0</v>
      </c>
    </row>
    <row r="2478" spans="1:55">
      <c r="A2478" s="410"/>
      <c r="B2478" s="407"/>
      <c r="C2478" s="407"/>
      <c r="D2478" s="474" t="s">
        <v>1066</v>
      </c>
      <c r="E2478" s="388" t="s">
        <v>1171</v>
      </c>
      <c r="F2478" s="474" t="s">
        <v>1077</v>
      </c>
      <c r="G2478" s="474">
        <v>2023</v>
      </c>
      <c r="H2478" s="474">
        <v>8</v>
      </c>
      <c r="I2478" s="485"/>
      <c r="J2478" s="475"/>
      <c r="K2478" s="474" t="s">
        <v>1550</v>
      </c>
      <c r="L2478" s="475" t="s">
        <v>1535</v>
      </c>
      <c r="M2478" s="475">
        <v>44644</v>
      </c>
      <c r="N2478" s="475">
        <v>44774</v>
      </c>
      <c r="O2478" s="475"/>
      <c r="P2478" s="475"/>
      <c r="Q2478" s="475"/>
      <c r="R2478" s="475"/>
      <c r="S2478" s="474" t="s">
        <v>1102</v>
      </c>
      <c r="T2478" s="474">
        <v>72</v>
      </c>
      <c r="U2478" s="474" t="s">
        <v>1423</v>
      </c>
      <c r="V2478" s="474" t="s">
        <v>1115</v>
      </c>
      <c r="W2478" s="476">
        <v>575</v>
      </c>
      <c r="X2478" s="402">
        <v>17400</v>
      </c>
      <c r="Y2478" s="491">
        <f t="shared" si="430"/>
        <v>10005000</v>
      </c>
      <c r="Z2478" s="478">
        <v>0.43</v>
      </c>
      <c r="AA2478" s="479">
        <f t="shared" si="439"/>
        <v>4302150</v>
      </c>
      <c r="AB2478" s="386"/>
      <c r="AC2478" s="481">
        <f t="shared" si="440"/>
        <v>0</v>
      </c>
      <c r="AD2478" s="474"/>
      <c r="AE2478" s="482"/>
      <c r="AF2478" s="493">
        <f t="shared" si="436"/>
        <v>4302150</v>
      </c>
      <c r="AG2478" s="474" t="s">
        <v>47</v>
      </c>
      <c r="AH2478" s="447">
        <v>100</v>
      </c>
      <c r="AI2478" s="474">
        <v>0</v>
      </c>
      <c r="AJ2478" s="474" t="s">
        <v>1109</v>
      </c>
      <c r="AK2478" s="474" t="s">
        <v>1109</v>
      </c>
      <c r="AL2478" s="494" t="s">
        <v>1109</v>
      </c>
      <c r="AM2478" s="474" t="s">
        <v>52</v>
      </c>
      <c r="AN2478" s="474" t="s">
        <v>1109</v>
      </c>
      <c r="AO2478" s="474"/>
      <c r="AP2478" s="474" t="s">
        <v>38</v>
      </c>
      <c r="AQ2478" s="474" t="s">
        <v>1086</v>
      </c>
      <c r="AR2478" s="474"/>
      <c r="AS2478" s="387" t="s">
        <v>1087</v>
      </c>
      <c r="AT2478" s="387" t="s">
        <v>1076</v>
      </c>
      <c r="AU2478" s="471"/>
      <c r="AV2478" s="262" t="str">
        <f t="shared" si="441"/>
        <v>30391491C</v>
      </c>
      <c r="AW2478" s="262" cm="1">
        <f t="array" ref="AW2478">SUM(MID(0&amp;AV2478,LARGE(INDEX(ISNUMBER(--MID(AV2478,ROW($1:$8),1))*ROW($1:$8),),ROW($1:$8))+1,1)*10^ROW($1:$8)/10)</f>
        <v>30391491</v>
      </c>
      <c r="AX2478" s="262" t="e">
        <f>VLOOKUP($AW2478,'Item Master Data'!$A:$F,3,FALSE)</f>
        <v>#N/A</v>
      </c>
      <c r="AY2478" s="262" t="e">
        <f>VLOOKUP($AW2478,'Item Master Data'!$A:$F,6,FALSE)</f>
        <v>#N/A</v>
      </c>
      <c r="AZ2478" s="262" t="e">
        <f t="shared" si="442"/>
        <v>#N/A</v>
      </c>
      <c r="BA2478" s="262" t="e">
        <f>VLOOKUP(AW2478,'Item Master Data'!$A:$G,7,FALSE)</f>
        <v>#N/A</v>
      </c>
      <c r="BC2478" s="262" t="e">
        <f t="shared" si="443"/>
        <v>#N/A</v>
      </c>
    </row>
    <row r="2479" spans="1:55">
      <c r="A2479" s="410"/>
      <c r="B2479" s="407"/>
      <c r="C2479" s="407"/>
      <c r="D2479" s="474" t="s">
        <v>1066</v>
      </c>
      <c r="E2479" s="388" t="s">
        <v>1171</v>
      </c>
      <c r="F2479" s="474" t="s">
        <v>1077</v>
      </c>
      <c r="G2479" s="474">
        <v>2022</v>
      </c>
      <c r="H2479" s="474">
        <v>10</v>
      </c>
      <c r="I2479" s="485"/>
      <c r="J2479" s="475"/>
      <c r="K2479" s="474" t="s">
        <v>1551</v>
      </c>
      <c r="L2479" s="475" t="s">
        <v>1535</v>
      </c>
      <c r="M2479" s="475">
        <v>44657</v>
      </c>
      <c r="N2479" s="475">
        <v>44835</v>
      </c>
      <c r="O2479" s="475"/>
      <c r="P2479" s="475"/>
      <c r="Q2479" s="475"/>
      <c r="R2479" s="475"/>
      <c r="S2479" s="474" t="s">
        <v>1102</v>
      </c>
      <c r="T2479" s="474">
        <v>72</v>
      </c>
      <c r="U2479" s="474"/>
      <c r="V2479" s="474" t="s">
        <v>1115</v>
      </c>
      <c r="W2479" s="476">
        <v>580</v>
      </c>
      <c r="X2479" s="402">
        <v>28739</v>
      </c>
      <c r="Y2479" s="491">
        <f t="shared" si="430"/>
        <v>16668620</v>
      </c>
      <c r="Z2479" s="478">
        <v>0.48</v>
      </c>
      <c r="AA2479" s="479">
        <f t="shared" si="439"/>
        <v>8000937.5999999996</v>
      </c>
      <c r="AB2479" s="386"/>
      <c r="AC2479" s="481">
        <f t="shared" si="440"/>
        <v>0</v>
      </c>
      <c r="AD2479" s="474"/>
      <c r="AE2479" s="482"/>
      <c r="AF2479" s="493">
        <f t="shared" si="436"/>
        <v>8000937.5999999996</v>
      </c>
      <c r="AG2479" s="474" t="s">
        <v>47</v>
      </c>
      <c r="AH2479" s="447">
        <v>100</v>
      </c>
      <c r="AI2479" s="474">
        <v>0</v>
      </c>
      <c r="AJ2479" s="474" t="s">
        <v>1109</v>
      </c>
      <c r="AK2479" s="474" t="s">
        <v>1109</v>
      </c>
      <c r="AL2479" s="494" t="s">
        <v>1109</v>
      </c>
      <c r="AM2479" s="474" t="s">
        <v>52</v>
      </c>
      <c r="AN2479" s="474" t="s">
        <v>1109</v>
      </c>
      <c r="AO2479" s="474"/>
      <c r="AP2479" s="474" t="s">
        <v>38</v>
      </c>
      <c r="AQ2479" s="474" t="s">
        <v>1086</v>
      </c>
      <c r="AR2479" s="474"/>
      <c r="AS2479" s="387" t="s">
        <v>1087</v>
      </c>
      <c r="AT2479" s="387" t="s">
        <v>1076</v>
      </c>
      <c r="AU2479" s="471"/>
      <c r="AV2479" s="262">
        <f t="shared" si="441"/>
        <v>0</v>
      </c>
      <c r="AW2479" s="262" cm="1">
        <f t="array" ref="AW2479">SUM(MID(0&amp;AV2479,LARGE(INDEX(ISNUMBER(--MID(AV2479,ROW($1:$8),1))*ROW($1:$8),),ROW($1:$8))+1,1)*10^ROW($1:$8)/10)</f>
        <v>0</v>
      </c>
      <c r="AX2479" s="262" t="e">
        <f>VLOOKUP($AW2479,'Item Master Data'!$A:$F,3,FALSE)</f>
        <v>#N/A</v>
      </c>
      <c r="AY2479" s="262" t="e">
        <f>VLOOKUP($AW2479,'Item Master Data'!$A:$F,6,FALSE)</f>
        <v>#N/A</v>
      </c>
      <c r="AZ2479" s="262" t="e">
        <f t="shared" si="442"/>
        <v>#N/A</v>
      </c>
      <c r="BA2479" s="262" t="e">
        <f>VLOOKUP(AW2479,'Item Master Data'!$A:$G,7,FALSE)</f>
        <v>#N/A</v>
      </c>
      <c r="BC2479" s="262" t="e">
        <f t="shared" si="443"/>
        <v>#N/A</v>
      </c>
    </row>
    <row r="2480" spans="1:55">
      <c r="A2480" s="410"/>
      <c r="B2480" s="407"/>
      <c r="C2480" s="407"/>
      <c r="D2480" s="474" t="s">
        <v>1066</v>
      </c>
      <c r="E2480" s="388" t="s">
        <v>1171</v>
      </c>
      <c r="F2480" s="474" t="s">
        <v>1077</v>
      </c>
      <c r="G2480" s="474">
        <v>2022</v>
      </c>
      <c r="H2480" s="474">
        <v>11</v>
      </c>
      <c r="I2480" s="485"/>
      <c r="J2480" s="475"/>
      <c r="K2480" s="474" t="s">
        <v>1551</v>
      </c>
      <c r="L2480" s="475" t="s">
        <v>1535</v>
      </c>
      <c r="M2480" s="475">
        <v>44657</v>
      </c>
      <c r="N2480" s="475">
        <v>44866</v>
      </c>
      <c r="O2480" s="475"/>
      <c r="P2480" s="475"/>
      <c r="Q2480" s="475"/>
      <c r="R2480" s="475"/>
      <c r="S2480" s="474" t="s">
        <v>1102</v>
      </c>
      <c r="T2480" s="474">
        <v>72</v>
      </c>
      <c r="U2480" s="474"/>
      <c r="V2480" s="474" t="s">
        <v>1115</v>
      </c>
      <c r="W2480" s="476">
        <v>580</v>
      </c>
      <c r="X2480" s="402">
        <v>28739</v>
      </c>
      <c r="Y2480" s="491">
        <f t="shared" si="430"/>
        <v>16668620</v>
      </c>
      <c r="Z2480" s="478">
        <v>0.48</v>
      </c>
      <c r="AA2480" s="479">
        <f t="shared" si="439"/>
        <v>8000937.5999999996</v>
      </c>
      <c r="AB2480" s="386"/>
      <c r="AC2480" s="481">
        <f t="shared" si="440"/>
        <v>0</v>
      </c>
      <c r="AD2480" s="474"/>
      <c r="AE2480" s="482"/>
      <c r="AF2480" s="493">
        <f t="shared" si="436"/>
        <v>8000937.5999999996</v>
      </c>
      <c r="AG2480" s="474" t="s">
        <v>47</v>
      </c>
      <c r="AH2480" s="447">
        <v>100</v>
      </c>
      <c r="AI2480" s="474">
        <v>0</v>
      </c>
      <c r="AJ2480" s="474" t="s">
        <v>1109</v>
      </c>
      <c r="AK2480" s="474" t="s">
        <v>1109</v>
      </c>
      <c r="AL2480" s="494" t="s">
        <v>1109</v>
      </c>
      <c r="AM2480" s="474" t="s">
        <v>52</v>
      </c>
      <c r="AN2480" s="474" t="s">
        <v>1109</v>
      </c>
      <c r="AO2480" s="474"/>
      <c r="AP2480" s="474" t="s">
        <v>38</v>
      </c>
      <c r="AQ2480" s="474" t="s">
        <v>1086</v>
      </c>
      <c r="AR2480" s="474"/>
      <c r="AS2480" s="387" t="s">
        <v>1087</v>
      </c>
      <c r="AT2480" s="387" t="s">
        <v>1076</v>
      </c>
      <c r="AU2480" s="471"/>
      <c r="AV2480" s="262">
        <f t="shared" si="441"/>
        <v>0</v>
      </c>
      <c r="AW2480" s="262" cm="1">
        <f t="array" ref="AW2480">SUM(MID(0&amp;AV2480,LARGE(INDEX(ISNUMBER(--MID(AV2480,ROW($1:$8),1))*ROW($1:$8),),ROW($1:$8))+1,1)*10^ROW($1:$8)/10)</f>
        <v>0</v>
      </c>
      <c r="AX2480" s="262" t="e">
        <f>VLOOKUP($AW2480,'Item Master Data'!$A:$F,3,FALSE)</f>
        <v>#N/A</v>
      </c>
      <c r="AY2480" s="262" t="e">
        <f>VLOOKUP($AW2480,'Item Master Data'!$A:$F,6,FALSE)</f>
        <v>#N/A</v>
      </c>
      <c r="AZ2480" s="262" t="e">
        <f t="shared" si="442"/>
        <v>#N/A</v>
      </c>
      <c r="BA2480" s="262" t="e">
        <f>VLOOKUP(AW2480,'Item Master Data'!$A:$G,7,FALSE)</f>
        <v>#N/A</v>
      </c>
      <c r="BC2480" s="262" t="e">
        <f t="shared" si="443"/>
        <v>#N/A</v>
      </c>
    </row>
    <row r="2481" spans="1:55">
      <c r="A2481" s="410"/>
      <c r="B2481" s="407"/>
      <c r="C2481" s="407"/>
      <c r="D2481" s="474" t="s">
        <v>1066</v>
      </c>
      <c r="E2481" s="388" t="s">
        <v>1171</v>
      </c>
      <c r="F2481" s="474" t="s">
        <v>1077</v>
      </c>
      <c r="G2481" s="474">
        <v>2022</v>
      </c>
      <c r="H2481" s="474">
        <v>12</v>
      </c>
      <c r="I2481" s="485"/>
      <c r="J2481" s="475"/>
      <c r="K2481" s="474" t="s">
        <v>1551</v>
      </c>
      <c r="L2481" s="475" t="s">
        <v>1535</v>
      </c>
      <c r="M2481" s="475">
        <v>44657</v>
      </c>
      <c r="N2481" s="475">
        <v>44926</v>
      </c>
      <c r="O2481" s="475"/>
      <c r="P2481" s="475"/>
      <c r="Q2481" s="475"/>
      <c r="R2481" s="475"/>
      <c r="S2481" s="474" t="s">
        <v>1102</v>
      </c>
      <c r="T2481" s="474">
        <v>72</v>
      </c>
      <c r="U2481" s="474"/>
      <c r="V2481" s="474" t="s">
        <v>1115</v>
      </c>
      <c r="W2481" s="476">
        <v>580</v>
      </c>
      <c r="X2481" s="402">
        <f>86217-57478</f>
        <v>28739</v>
      </c>
      <c r="Y2481" s="491">
        <f t="shared" si="430"/>
        <v>16668620</v>
      </c>
      <c r="Z2481" s="478">
        <v>0.48</v>
      </c>
      <c r="AA2481" s="479">
        <f t="shared" si="439"/>
        <v>8000937.5999999996</v>
      </c>
      <c r="AB2481" s="386"/>
      <c r="AC2481" s="481">
        <f t="shared" si="440"/>
        <v>0</v>
      </c>
      <c r="AD2481" s="474"/>
      <c r="AE2481" s="482"/>
      <c r="AF2481" s="493">
        <f t="shared" si="436"/>
        <v>8000937.5999999996</v>
      </c>
      <c r="AG2481" s="474" t="s">
        <v>47</v>
      </c>
      <c r="AH2481" s="447">
        <v>100</v>
      </c>
      <c r="AI2481" s="474">
        <v>0</v>
      </c>
      <c r="AJ2481" s="474" t="s">
        <v>1109</v>
      </c>
      <c r="AK2481" s="474" t="s">
        <v>1109</v>
      </c>
      <c r="AL2481" s="494" t="s">
        <v>1109</v>
      </c>
      <c r="AM2481" s="474" t="s">
        <v>52</v>
      </c>
      <c r="AN2481" s="474" t="s">
        <v>1109</v>
      </c>
      <c r="AO2481" s="474"/>
      <c r="AP2481" s="474" t="s">
        <v>38</v>
      </c>
      <c r="AQ2481" s="474" t="s">
        <v>1086</v>
      </c>
      <c r="AR2481" s="474"/>
      <c r="AS2481" s="387" t="s">
        <v>1087</v>
      </c>
      <c r="AT2481" s="387" t="s">
        <v>1076</v>
      </c>
      <c r="AU2481" s="471"/>
      <c r="AV2481" s="262">
        <f t="shared" si="441"/>
        <v>0</v>
      </c>
      <c r="AW2481" s="262" cm="1">
        <f t="array" ref="AW2481">SUM(MID(0&amp;AV2481,LARGE(INDEX(ISNUMBER(--MID(AV2481,ROW($1:$8),1))*ROW($1:$8),),ROW($1:$8))+1,1)*10^ROW($1:$8)/10)</f>
        <v>0</v>
      </c>
      <c r="AX2481" s="262" t="e">
        <f>VLOOKUP($AW2481,'Item Master Data'!$A:$F,3,FALSE)</f>
        <v>#N/A</v>
      </c>
      <c r="AY2481" s="262" t="e">
        <f>VLOOKUP($AW2481,'Item Master Data'!$A:$F,6,FALSE)</f>
        <v>#N/A</v>
      </c>
      <c r="AZ2481" s="262" t="e">
        <f t="shared" si="442"/>
        <v>#N/A</v>
      </c>
      <c r="BA2481" s="262" t="e">
        <f>VLOOKUP(AW2481,'Item Master Data'!$A:$G,7,FALSE)</f>
        <v>#N/A</v>
      </c>
      <c r="BC2481" s="262" t="e">
        <f t="shared" si="443"/>
        <v>#N/A</v>
      </c>
    </row>
    <row r="2482" spans="1:55">
      <c r="A2482" s="410"/>
      <c r="B2482" s="407"/>
      <c r="C2482" s="407"/>
      <c r="D2482" s="474" t="s">
        <v>1066</v>
      </c>
      <c r="E2482" s="388" t="s">
        <v>1171</v>
      </c>
      <c r="F2482" s="474" t="s">
        <v>1077</v>
      </c>
      <c r="G2482" s="474">
        <v>2023</v>
      </c>
      <c r="H2482" s="474">
        <v>1</v>
      </c>
      <c r="I2482" s="485"/>
      <c r="J2482" s="475"/>
      <c r="K2482" s="474" t="s">
        <v>1551</v>
      </c>
      <c r="L2482" s="475" t="s">
        <v>1535</v>
      </c>
      <c r="M2482" s="475">
        <v>44657</v>
      </c>
      <c r="N2482" s="475">
        <v>44957</v>
      </c>
      <c r="O2482" s="475"/>
      <c r="P2482" s="475"/>
      <c r="Q2482" s="475"/>
      <c r="R2482" s="475"/>
      <c r="S2482" s="474" t="s">
        <v>1102</v>
      </c>
      <c r="T2482" s="474">
        <v>72</v>
      </c>
      <c r="U2482" s="474"/>
      <c r="V2482" s="474" t="s">
        <v>1115</v>
      </c>
      <c r="W2482" s="476">
        <v>580</v>
      </c>
      <c r="X2482" s="402">
        <v>14355</v>
      </c>
      <c r="Y2482" s="491">
        <f t="shared" si="430"/>
        <v>8325900</v>
      </c>
      <c r="Z2482" s="478">
        <v>0.48</v>
      </c>
      <c r="AA2482" s="479">
        <f t="shared" si="439"/>
        <v>3996432</v>
      </c>
      <c r="AB2482" s="386"/>
      <c r="AC2482" s="481">
        <f t="shared" si="440"/>
        <v>0</v>
      </c>
      <c r="AD2482" s="474"/>
      <c r="AE2482" s="482"/>
      <c r="AF2482" s="493">
        <f t="shared" si="436"/>
        <v>3996432</v>
      </c>
      <c r="AG2482" s="474" t="s">
        <v>47</v>
      </c>
      <c r="AH2482" s="447">
        <v>100</v>
      </c>
      <c r="AI2482" s="474">
        <v>0</v>
      </c>
      <c r="AJ2482" s="474" t="s">
        <v>1109</v>
      </c>
      <c r="AK2482" s="474" t="s">
        <v>1109</v>
      </c>
      <c r="AL2482" s="494" t="s">
        <v>1109</v>
      </c>
      <c r="AM2482" s="474" t="s">
        <v>52</v>
      </c>
      <c r="AN2482" s="474" t="s">
        <v>1109</v>
      </c>
      <c r="AO2482" s="474"/>
      <c r="AP2482" s="474" t="s">
        <v>38</v>
      </c>
      <c r="AQ2482" s="474" t="s">
        <v>1086</v>
      </c>
      <c r="AR2482" s="474"/>
      <c r="AS2482" s="387" t="s">
        <v>1087</v>
      </c>
      <c r="AT2482" s="387" t="s">
        <v>1076</v>
      </c>
      <c r="AU2482" s="471"/>
      <c r="AV2482" s="262">
        <f t="shared" si="441"/>
        <v>0</v>
      </c>
      <c r="AW2482" s="262" cm="1">
        <f t="array" ref="AW2482">SUM(MID(0&amp;AV2482,LARGE(INDEX(ISNUMBER(--MID(AV2482,ROW($1:$8),1))*ROW($1:$8),),ROW($1:$8))+1,1)*10^ROW($1:$8)/10)</f>
        <v>0</v>
      </c>
      <c r="AX2482" s="262" t="e">
        <f>VLOOKUP($AW2482,'Item Master Data'!$A:$F,3,FALSE)</f>
        <v>#N/A</v>
      </c>
      <c r="AY2482" s="262" t="e">
        <f>VLOOKUP($AW2482,'Item Master Data'!$A:$F,6,FALSE)</f>
        <v>#N/A</v>
      </c>
      <c r="AZ2482" s="262" t="e">
        <f t="shared" si="442"/>
        <v>#N/A</v>
      </c>
      <c r="BA2482" s="262" t="e">
        <f>VLOOKUP(AW2482,'Item Master Data'!$A:$G,7,FALSE)</f>
        <v>#N/A</v>
      </c>
      <c r="BC2482" s="262" t="e">
        <f t="shared" si="443"/>
        <v>#N/A</v>
      </c>
    </row>
    <row r="2483" spans="1:55">
      <c r="A2483" s="410"/>
      <c r="B2483" s="407"/>
      <c r="C2483" s="407"/>
      <c r="D2483" s="474" t="s">
        <v>1066</v>
      </c>
      <c r="E2483" s="388" t="s">
        <v>1171</v>
      </c>
      <c r="F2483" s="474" t="s">
        <v>1077</v>
      </c>
      <c r="G2483" s="474">
        <v>2023</v>
      </c>
      <c r="H2483" s="474">
        <v>2</v>
      </c>
      <c r="I2483" s="485"/>
      <c r="J2483" s="475"/>
      <c r="K2483" s="474" t="s">
        <v>1551</v>
      </c>
      <c r="L2483" s="475" t="s">
        <v>1535</v>
      </c>
      <c r="M2483" s="475">
        <v>44657</v>
      </c>
      <c r="N2483" s="475" t="s">
        <v>1552</v>
      </c>
      <c r="O2483" s="475"/>
      <c r="P2483" s="475"/>
      <c r="Q2483" s="475"/>
      <c r="R2483" s="475"/>
      <c r="S2483" s="474" t="s">
        <v>1102</v>
      </c>
      <c r="T2483" s="474">
        <v>72</v>
      </c>
      <c r="U2483" s="474"/>
      <c r="V2483" s="474" t="s">
        <v>1115</v>
      </c>
      <c r="W2483" s="476">
        <v>580</v>
      </c>
      <c r="X2483" s="402">
        <v>14355</v>
      </c>
      <c r="Y2483" s="491">
        <f t="shared" si="430"/>
        <v>8325900</v>
      </c>
      <c r="Z2483" s="478">
        <v>0.48</v>
      </c>
      <c r="AA2483" s="479">
        <f t="shared" si="439"/>
        <v>3996432</v>
      </c>
      <c r="AB2483" s="386"/>
      <c r="AC2483" s="481">
        <f t="shared" si="440"/>
        <v>0</v>
      </c>
      <c r="AD2483" s="474"/>
      <c r="AE2483" s="482"/>
      <c r="AF2483" s="493">
        <f t="shared" si="436"/>
        <v>3996432</v>
      </c>
      <c r="AG2483" s="474" t="s">
        <v>47</v>
      </c>
      <c r="AH2483" s="447">
        <v>100</v>
      </c>
      <c r="AI2483" s="474">
        <v>0</v>
      </c>
      <c r="AJ2483" s="474" t="s">
        <v>1109</v>
      </c>
      <c r="AK2483" s="474" t="s">
        <v>1109</v>
      </c>
      <c r="AL2483" s="494" t="s">
        <v>1109</v>
      </c>
      <c r="AM2483" s="474" t="s">
        <v>52</v>
      </c>
      <c r="AN2483" s="474" t="s">
        <v>1109</v>
      </c>
      <c r="AO2483" s="474"/>
      <c r="AP2483" s="474" t="s">
        <v>38</v>
      </c>
      <c r="AQ2483" s="474" t="s">
        <v>1086</v>
      </c>
      <c r="AR2483" s="474"/>
      <c r="AS2483" s="387" t="s">
        <v>1087</v>
      </c>
      <c r="AT2483" s="387" t="s">
        <v>1076</v>
      </c>
      <c r="AU2483" s="471"/>
      <c r="AV2483" s="262">
        <f t="shared" si="441"/>
        <v>0</v>
      </c>
      <c r="AW2483" s="262" cm="1">
        <f t="array" ref="AW2483">SUM(MID(0&amp;AV2483,LARGE(INDEX(ISNUMBER(--MID(AV2483,ROW($1:$8),1))*ROW($1:$8),),ROW($1:$8))+1,1)*10^ROW($1:$8)/10)</f>
        <v>0</v>
      </c>
      <c r="AX2483" s="262" t="e">
        <f>VLOOKUP($AW2483,'Item Master Data'!$A:$F,3,FALSE)</f>
        <v>#N/A</v>
      </c>
      <c r="AY2483" s="262" t="e">
        <f>VLOOKUP($AW2483,'Item Master Data'!$A:$F,6,FALSE)</f>
        <v>#N/A</v>
      </c>
      <c r="AZ2483" s="262" t="e">
        <f t="shared" si="442"/>
        <v>#N/A</v>
      </c>
      <c r="BA2483" s="262" t="e">
        <f>VLOOKUP(AW2483,'Item Master Data'!$A:$G,7,FALSE)</f>
        <v>#N/A</v>
      </c>
      <c r="BC2483" s="262" t="e">
        <f t="shared" si="443"/>
        <v>#N/A</v>
      </c>
    </row>
    <row r="2484" spans="1:55">
      <c r="A2484" s="410"/>
      <c r="B2484" s="407"/>
      <c r="C2484" s="407"/>
      <c r="D2484" s="474" t="s">
        <v>1066</v>
      </c>
      <c r="E2484" s="388" t="s">
        <v>1171</v>
      </c>
      <c r="F2484" s="474" t="s">
        <v>1077</v>
      </c>
      <c r="G2484" s="474">
        <v>2023</v>
      </c>
      <c r="H2484" s="474">
        <v>3</v>
      </c>
      <c r="I2484" s="485"/>
      <c r="J2484" s="475"/>
      <c r="K2484" s="474" t="s">
        <v>1551</v>
      </c>
      <c r="L2484" s="475" t="s">
        <v>1535</v>
      </c>
      <c r="M2484" s="475">
        <v>44657</v>
      </c>
      <c r="N2484" s="475">
        <v>45016</v>
      </c>
      <c r="O2484" s="475"/>
      <c r="P2484" s="475"/>
      <c r="Q2484" s="475"/>
      <c r="R2484" s="475"/>
      <c r="S2484" s="474" t="s">
        <v>1102</v>
      </c>
      <c r="T2484" s="474">
        <v>72</v>
      </c>
      <c r="U2484" s="474"/>
      <c r="V2484" s="474" t="s">
        <v>1115</v>
      </c>
      <c r="W2484" s="476">
        <v>580</v>
      </c>
      <c r="X2484" s="402">
        <f>43123-28710</f>
        <v>14413</v>
      </c>
      <c r="Y2484" s="491">
        <f t="shared" si="430"/>
        <v>8359540</v>
      </c>
      <c r="Z2484" s="478">
        <v>0.48</v>
      </c>
      <c r="AA2484" s="479">
        <f t="shared" si="439"/>
        <v>4012579.1999999997</v>
      </c>
      <c r="AB2484" s="386"/>
      <c r="AC2484" s="481">
        <f t="shared" si="440"/>
        <v>0</v>
      </c>
      <c r="AD2484" s="474"/>
      <c r="AE2484" s="482"/>
      <c r="AF2484" s="493">
        <f t="shared" si="436"/>
        <v>4012579.1999999997</v>
      </c>
      <c r="AG2484" s="474" t="s">
        <v>47</v>
      </c>
      <c r="AH2484" s="447">
        <v>100</v>
      </c>
      <c r="AI2484" s="474">
        <v>0</v>
      </c>
      <c r="AJ2484" s="474" t="s">
        <v>1109</v>
      </c>
      <c r="AK2484" s="474" t="s">
        <v>1109</v>
      </c>
      <c r="AL2484" s="494" t="s">
        <v>1109</v>
      </c>
      <c r="AM2484" s="474" t="s">
        <v>52</v>
      </c>
      <c r="AN2484" s="474" t="s">
        <v>1109</v>
      </c>
      <c r="AO2484" s="474"/>
      <c r="AP2484" s="474" t="s">
        <v>38</v>
      </c>
      <c r="AQ2484" s="474" t="s">
        <v>1086</v>
      </c>
      <c r="AR2484" s="474"/>
      <c r="AS2484" s="387" t="s">
        <v>1087</v>
      </c>
      <c r="AT2484" s="387" t="s">
        <v>1076</v>
      </c>
      <c r="AU2484" s="471"/>
      <c r="AV2484" s="262">
        <f t="shared" si="441"/>
        <v>0</v>
      </c>
      <c r="AW2484" s="262" cm="1">
        <f t="array" ref="AW2484">SUM(MID(0&amp;AV2484,LARGE(INDEX(ISNUMBER(--MID(AV2484,ROW($1:$8),1))*ROW($1:$8),),ROW($1:$8))+1,1)*10^ROW($1:$8)/10)</f>
        <v>0</v>
      </c>
      <c r="AX2484" s="262" t="e">
        <f>VLOOKUP($AW2484,'Item Master Data'!$A:$F,3,FALSE)</f>
        <v>#N/A</v>
      </c>
      <c r="AY2484" s="262" t="e">
        <f>VLOOKUP($AW2484,'Item Master Data'!$A:$F,6,FALSE)</f>
        <v>#N/A</v>
      </c>
      <c r="AZ2484" s="262" t="e">
        <f t="shared" si="442"/>
        <v>#N/A</v>
      </c>
      <c r="BA2484" s="262" t="e">
        <f>VLOOKUP(AW2484,'Item Master Data'!$A:$G,7,FALSE)</f>
        <v>#N/A</v>
      </c>
      <c r="BC2484" s="262" t="e">
        <f t="shared" si="443"/>
        <v>#N/A</v>
      </c>
    </row>
    <row r="2485" spans="1:55">
      <c r="A2485" s="410"/>
      <c r="B2485" s="407"/>
      <c r="C2485" s="407"/>
      <c r="D2485" s="474" t="s">
        <v>1066</v>
      </c>
      <c r="E2485" s="388" t="s">
        <v>1085</v>
      </c>
      <c r="F2485" s="474" t="s">
        <v>1077</v>
      </c>
      <c r="G2485" s="474">
        <v>2022</v>
      </c>
      <c r="H2485" s="474">
        <v>3</v>
      </c>
      <c r="I2485" s="485">
        <v>127836</v>
      </c>
      <c r="J2485" s="475">
        <v>44651</v>
      </c>
      <c r="K2485" s="474" t="s">
        <v>1553</v>
      </c>
      <c r="L2485" s="475" t="s">
        <v>1535</v>
      </c>
      <c r="M2485" s="475">
        <v>44470</v>
      </c>
      <c r="N2485" s="475">
        <v>44228</v>
      </c>
      <c r="O2485" s="475"/>
      <c r="P2485" s="475">
        <v>44641</v>
      </c>
      <c r="Q2485" s="475">
        <v>44648</v>
      </c>
      <c r="R2485" s="475">
        <v>44651</v>
      </c>
      <c r="S2485" s="474" t="s">
        <v>1102</v>
      </c>
      <c r="T2485" s="474">
        <v>72</v>
      </c>
      <c r="U2485" s="474" t="s">
        <v>1539</v>
      </c>
      <c r="V2485" s="474" t="s">
        <v>1070</v>
      </c>
      <c r="W2485" s="476">
        <v>475</v>
      </c>
      <c r="X2485" s="402">
        <v>3306</v>
      </c>
      <c r="Y2485" s="491">
        <f t="shared" si="430"/>
        <v>1570350</v>
      </c>
      <c r="Z2485" s="478">
        <v>0.42</v>
      </c>
      <c r="AA2485" s="479">
        <f t="shared" si="439"/>
        <v>659547</v>
      </c>
      <c r="AB2485" s="386"/>
      <c r="AC2485" s="481">
        <f t="shared" si="440"/>
        <v>0</v>
      </c>
      <c r="AD2485" s="474"/>
      <c r="AE2485" s="482"/>
      <c r="AF2485" s="493">
        <f t="shared" si="436"/>
        <v>659547</v>
      </c>
      <c r="AG2485" s="474" t="s">
        <v>47</v>
      </c>
      <c r="AH2485" s="447">
        <v>100</v>
      </c>
      <c r="AI2485" s="474">
        <v>0</v>
      </c>
      <c r="AJ2485" s="474" t="s">
        <v>1537</v>
      </c>
      <c r="AK2485" s="474" t="s">
        <v>1096</v>
      </c>
      <c r="AL2485" s="494">
        <v>1604</v>
      </c>
      <c r="AM2485" s="474" t="s">
        <v>52</v>
      </c>
      <c r="AN2485" s="474" t="s">
        <v>1085</v>
      </c>
      <c r="AO2485" s="474"/>
      <c r="AP2485" s="474" t="s">
        <v>92</v>
      </c>
      <c r="AQ2485" s="474" t="s">
        <v>1086</v>
      </c>
      <c r="AR2485" s="474"/>
      <c r="AS2485" s="387" t="s">
        <v>1087</v>
      </c>
      <c r="AT2485" s="387" t="s">
        <v>1076</v>
      </c>
      <c r="AU2485" s="471"/>
      <c r="AV2485" s="262" t="str">
        <f t="shared" si="441"/>
        <v>30390371C</v>
      </c>
      <c r="AW2485" s="262" cm="1">
        <f t="array" ref="AW2485">SUM(MID(0&amp;AV2485,LARGE(INDEX(ISNUMBER(--MID(AV2485,ROW($1:$8),1))*ROW($1:$8),),ROW($1:$8))+1,1)*10^ROW($1:$8)/10)</f>
        <v>30390371</v>
      </c>
      <c r="AX2485" s="262" t="str">
        <f>VLOOKUP($AW2485,'Item Master Data'!$A:$F,3,FALSE)</f>
        <v>Q.PEAK DUO XL G10 BFG</v>
      </c>
      <c r="AY2485" s="262">
        <f>VLOOKUP($AW2485,'Item Master Data'!$A:$F,6,FALSE)</f>
        <v>475</v>
      </c>
      <c r="AZ2485" s="262">
        <f t="shared" si="442"/>
        <v>114</v>
      </c>
      <c r="BA2485" s="262">
        <f>VLOOKUP(AW2485,'Item Master Data'!$A:$G,7,FALSE)</f>
        <v>29</v>
      </c>
      <c r="BC2485" s="262">
        <f t="shared" si="443"/>
        <v>0</v>
      </c>
    </row>
    <row r="2486" spans="1:55">
      <c r="A2486" s="410"/>
      <c r="B2486" s="407"/>
      <c r="C2486" s="407"/>
      <c r="D2486" s="474" t="s">
        <v>1066</v>
      </c>
      <c r="E2486" s="388" t="s">
        <v>1085</v>
      </c>
      <c r="F2486" s="474" t="s">
        <v>1077</v>
      </c>
      <c r="G2486" s="474">
        <v>2022</v>
      </c>
      <c r="H2486" s="474">
        <v>3</v>
      </c>
      <c r="I2486" s="485">
        <v>127836</v>
      </c>
      <c r="J2486" s="475">
        <v>44651</v>
      </c>
      <c r="K2486" s="474" t="s">
        <v>1553</v>
      </c>
      <c r="L2486" s="475" t="s">
        <v>1535</v>
      </c>
      <c r="M2486" s="475">
        <v>44470</v>
      </c>
      <c r="N2486" s="475">
        <v>44228</v>
      </c>
      <c r="O2486" s="475"/>
      <c r="P2486" s="475">
        <v>44641</v>
      </c>
      <c r="Q2486" s="475">
        <v>44643</v>
      </c>
      <c r="R2486" s="475">
        <v>44644</v>
      </c>
      <c r="S2486" s="474" t="s">
        <v>1102</v>
      </c>
      <c r="T2486" s="474">
        <v>72</v>
      </c>
      <c r="U2486" s="474" t="s">
        <v>1542</v>
      </c>
      <c r="V2486" s="474" t="s">
        <v>1070</v>
      </c>
      <c r="W2486" s="476">
        <v>475</v>
      </c>
      <c r="X2486" s="402">
        <v>696</v>
      </c>
      <c r="Y2486" s="491">
        <f t="shared" si="430"/>
        <v>330600</v>
      </c>
      <c r="Z2486" s="478">
        <v>0.42</v>
      </c>
      <c r="AA2486" s="479">
        <f t="shared" si="439"/>
        <v>138852</v>
      </c>
      <c r="AB2486" s="386"/>
      <c r="AC2486" s="481">
        <f t="shared" si="440"/>
        <v>0</v>
      </c>
      <c r="AD2486" s="474"/>
      <c r="AE2486" s="482"/>
      <c r="AF2486" s="493">
        <f t="shared" si="436"/>
        <v>138852</v>
      </c>
      <c r="AG2486" s="474" t="s">
        <v>47</v>
      </c>
      <c r="AH2486" s="447">
        <v>100</v>
      </c>
      <c r="AI2486" s="474">
        <v>0</v>
      </c>
      <c r="AJ2486" s="474" t="s">
        <v>1537</v>
      </c>
      <c r="AK2486" s="474" t="s">
        <v>1096</v>
      </c>
      <c r="AL2486" s="494">
        <v>1604</v>
      </c>
      <c r="AM2486" s="474" t="s">
        <v>52</v>
      </c>
      <c r="AN2486" s="474" t="s">
        <v>1085</v>
      </c>
      <c r="AO2486" s="474"/>
      <c r="AP2486" s="474" t="s">
        <v>92</v>
      </c>
      <c r="AQ2486" s="474" t="s">
        <v>1086</v>
      </c>
      <c r="AR2486" s="474"/>
      <c r="AS2486" s="387" t="s">
        <v>1087</v>
      </c>
      <c r="AT2486" s="387" t="s">
        <v>1076</v>
      </c>
      <c r="AU2486" s="471"/>
      <c r="AV2486" s="262" t="str">
        <f t="shared" si="441"/>
        <v>30397571C</v>
      </c>
      <c r="AW2486" s="262" cm="1">
        <f t="array" ref="AW2486">SUM(MID(0&amp;AV2486,LARGE(INDEX(ISNUMBER(--MID(AV2486,ROW($1:$8),1))*ROW($1:$8),),ROW($1:$8))+1,1)*10^ROW($1:$8)/10)</f>
        <v>30397571</v>
      </c>
      <c r="AX2486" s="262" t="str">
        <f>VLOOKUP($AW2486,'Item Master Data'!$A:$F,3,FALSE)</f>
        <v>Q.PEAK DUO XL G10 BFG</v>
      </c>
      <c r="AY2486" s="262">
        <f>VLOOKUP($AW2486,'Item Master Data'!$A:$F,6,FALSE)</f>
        <v>475</v>
      </c>
      <c r="AZ2486" s="262">
        <f t="shared" si="442"/>
        <v>24</v>
      </c>
      <c r="BA2486" s="262">
        <f>VLOOKUP(AW2486,'Item Master Data'!$A:$G,7,FALSE)</f>
        <v>29</v>
      </c>
      <c r="BC2486" s="262">
        <f t="shared" si="443"/>
        <v>0</v>
      </c>
    </row>
    <row r="2487" spans="1:55">
      <c r="A2487" s="410"/>
      <c r="B2487" s="407"/>
      <c r="C2487" s="407"/>
      <c r="D2487" s="474" t="s">
        <v>1066</v>
      </c>
      <c r="E2487" s="388" t="s">
        <v>1085</v>
      </c>
      <c r="F2487" s="474" t="s">
        <v>1077</v>
      </c>
      <c r="G2487" s="474">
        <v>2022</v>
      </c>
      <c r="H2487" s="474">
        <v>3</v>
      </c>
      <c r="I2487" s="485">
        <v>127836</v>
      </c>
      <c r="J2487" s="475">
        <v>44651</v>
      </c>
      <c r="K2487" s="474" t="s">
        <v>1553</v>
      </c>
      <c r="L2487" s="475" t="s">
        <v>1535</v>
      </c>
      <c r="M2487" s="475">
        <v>44470</v>
      </c>
      <c r="N2487" s="475">
        <v>44228</v>
      </c>
      <c r="O2487" s="475"/>
      <c r="P2487" s="475">
        <v>44641</v>
      </c>
      <c r="Q2487" s="475">
        <v>44643</v>
      </c>
      <c r="R2487" s="475">
        <v>44645</v>
      </c>
      <c r="S2487" s="474" t="s">
        <v>1102</v>
      </c>
      <c r="T2487" s="474">
        <v>72</v>
      </c>
      <c r="U2487" s="474" t="s">
        <v>1389</v>
      </c>
      <c r="V2487" s="474" t="s">
        <v>1070</v>
      </c>
      <c r="W2487" s="476">
        <v>475</v>
      </c>
      <c r="X2487" s="402">
        <v>8120</v>
      </c>
      <c r="Y2487" s="491">
        <f t="shared" ref="Y2487:Y2550" si="444">W2487*X2487</f>
        <v>3857000</v>
      </c>
      <c r="Z2487" s="478">
        <v>0.42</v>
      </c>
      <c r="AA2487" s="479">
        <f t="shared" si="439"/>
        <v>1619940</v>
      </c>
      <c r="AB2487" s="386"/>
      <c r="AC2487" s="481">
        <f t="shared" si="440"/>
        <v>0</v>
      </c>
      <c r="AD2487" s="474"/>
      <c r="AE2487" s="482"/>
      <c r="AF2487" s="493">
        <f t="shared" si="436"/>
        <v>1619940</v>
      </c>
      <c r="AG2487" s="474" t="s">
        <v>47</v>
      </c>
      <c r="AH2487" s="447">
        <v>100</v>
      </c>
      <c r="AI2487" s="474">
        <v>0</v>
      </c>
      <c r="AJ2487" s="474" t="s">
        <v>1537</v>
      </c>
      <c r="AK2487" s="474" t="s">
        <v>1096</v>
      </c>
      <c r="AL2487" s="494">
        <v>1604</v>
      </c>
      <c r="AM2487" s="474" t="s">
        <v>52</v>
      </c>
      <c r="AN2487" s="474" t="s">
        <v>1085</v>
      </c>
      <c r="AO2487" s="474"/>
      <c r="AP2487" s="474" t="s">
        <v>92</v>
      </c>
      <c r="AQ2487" s="474" t="s">
        <v>1086</v>
      </c>
      <c r="AR2487" s="474"/>
      <c r="AS2487" s="387" t="s">
        <v>1087</v>
      </c>
      <c r="AT2487" s="387" t="s">
        <v>1076</v>
      </c>
      <c r="AU2487" s="471"/>
      <c r="AV2487" s="262" t="str">
        <f t="shared" si="441"/>
        <v>12005833F</v>
      </c>
      <c r="AW2487" s="262" cm="1">
        <f t="array" ref="AW2487">SUM(MID(0&amp;AV2487,LARGE(INDEX(ISNUMBER(--MID(AV2487,ROW($1:$8),1))*ROW($1:$8),),ROW($1:$8))+1,1)*10^ROW($1:$8)/10)</f>
        <v>12005833</v>
      </c>
      <c r="AX2487" s="262" t="str">
        <f>VLOOKUP($AW2487,'Item Master Data'!$A:$F,3,FALSE)</f>
        <v>Q.PEAK DUO XL G10 BFG</v>
      </c>
      <c r="AY2487" s="262">
        <f>VLOOKUP($AW2487,'Item Master Data'!$A:$F,6,FALSE)</f>
        <v>475</v>
      </c>
      <c r="AZ2487" s="262">
        <f t="shared" si="442"/>
        <v>270.66666666666669</v>
      </c>
      <c r="BA2487" s="262">
        <f>VLOOKUP(AW2487,'Item Master Data'!$A:$G,7,FALSE)</f>
        <v>30</v>
      </c>
      <c r="BC2487" s="262">
        <f t="shared" si="443"/>
        <v>0</v>
      </c>
    </row>
    <row r="2488" spans="1:55">
      <c r="A2488" s="410"/>
      <c r="B2488" s="407"/>
      <c r="C2488" s="407"/>
      <c r="D2488" s="474" t="s">
        <v>1066</v>
      </c>
      <c r="E2488" s="388" t="s">
        <v>1554</v>
      </c>
      <c r="F2488" s="474" t="s">
        <v>1077</v>
      </c>
      <c r="G2488" s="474">
        <v>2022</v>
      </c>
      <c r="H2488" s="474">
        <v>3</v>
      </c>
      <c r="I2488" s="485">
        <v>127836</v>
      </c>
      <c r="J2488" s="475">
        <v>44651</v>
      </c>
      <c r="K2488" s="474" t="s">
        <v>1553</v>
      </c>
      <c r="L2488" s="475" t="s">
        <v>1535</v>
      </c>
      <c r="M2488" s="475">
        <v>44470</v>
      </c>
      <c r="N2488" s="475">
        <v>44228</v>
      </c>
      <c r="O2488" s="475"/>
      <c r="P2488" s="475">
        <v>44641</v>
      </c>
      <c r="Q2488" s="475">
        <v>44645</v>
      </c>
      <c r="R2488" s="475">
        <v>44648</v>
      </c>
      <c r="S2488" s="474" t="s">
        <v>1102</v>
      </c>
      <c r="T2488" s="474">
        <v>72</v>
      </c>
      <c r="U2488" s="474" t="s">
        <v>1539</v>
      </c>
      <c r="V2488" s="474" t="s">
        <v>1070</v>
      </c>
      <c r="W2488" s="476">
        <v>475</v>
      </c>
      <c r="X2488" s="402">
        <v>580</v>
      </c>
      <c r="Y2488" s="491">
        <f t="shared" si="444"/>
        <v>275500</v>
      </c>
      <c r="Z2488" s="478">
        <v>0.42</v>
      </c>
      <c r="AA2488" s="479">
        <f t="shared" si="439"/>
        <v>115710</v>
      </c>
      <c r="AB2488" s="386"/>
      <c r="AC2488" s="481">
        <f t="shared" si="440"/>
        <v>0</v>
      </c>
      <c r="AD2488" s="474"/>
      <c r="AE2488" s="482"/>
      <c r="AF2488" s="493">
        <f t="shared" si="436"/>
        <v>115710</v>
      </c>
      <c r="AG2488" s="474" t="s">
        <v>47</v>
      </c>
      <c r="AH2488" s="447">
        <v>100</v>
      </c>
      <c r="AI2488" s="474">
        <v>0</v>
      </c>
      <c r="AJ2488" s="474" t="s">
        <v>1537</v>
      </c>
      <c r="AK2488" s="474" t="s">
        <v>1096</v>
      </c>
      <c r="AL2488" s="494">
        <v>1604</v>
      </c>
      <c r="AM2488" s="474" t="s">
        <v>52</v>
      </c>
      <c r="AN2488" s="474" t="s">
        <v>1151</v>
      </c>
      <c r="AO2488" s="474"/>
      <c r="AP2488" s="474" t="s">
        <v>92</v>
      </c>
      <c r="AQ2488" s="474" t="s">
        <v>1086</v>
      </c>
      <c r="AR2488" s="474"/>
      <c r="AS2488" s="387" t="s">
        <v>1087</v>
      </c>
      <c r="AT2488" s="387" t="s">
        <v>1076</v>
      </c>
      <c r="AU2488" s="471"/>
      <c r="AV2488" s="262" t="str">
        <f t="shared" si="441"/>
        <v>30390371C</v>
      </c>
      <c r="AW2488" s="262" cm="1">
        <f t="array" ref="AW2488">SUM(MID(0&amp;AV2488,LARGE(INDEX(ISNUMBER(--MID(AV2488,ROW($1:$8),1))*ROW($1:$8),),ROW($1:$8))+1,1)*10^ROW($1:$8)/10)</f>
        <v>30390371</v>
      </c>
      <c r="AX2488" s="262" t="str">
        <f>VLOOKUP($AW2488,'Item Master Data'!$A:$F,3,FALSE)</f>
        <v>Q.PEAK DUO XL G10 BFG</v>
      </c>
      <c r="AY2488" s="262">
        <f>VLOOKUP($AW2488,'Item Master Data'!$A:$F,6,FALSE)</f>
        <v>475</v>
      </c>
      <c r="AZ2488" s="262">
        <f t="shared" si="442"/>
        <v>20</v>
      </c>
      <c r="BA2488" s="262">
        <f>VLOOKUP(AW2488,'Item Master Data'!$A:$G,7,FALSE)</f>
        <v>29</v>
      </c>
      <c r="BC2488" s="262">
        <f t="shared" si="443"/>
        <v>0</v>
      </c>
    </row>
    <row r="2489" spans="1:55">
      <c r="A2489" s="410"/>
      <c r="B2489" s="407"/>
      <c r="C2489" s="407"/>
      <c r="D2489" s="474" t="s">
        <v>1066</v>
      </c>
      <c r="E2489" s="388" t="s">
        <v>1144</v>
      </c>
      <c r="F2489" s="474" t="s">
        <v>1077</v>
      </c>
      <c r="G2489" s="474">
        <v>2022</v>
      </c>
      <c r="H2489" s="474">
        <v>3</v>
      </c>
      <c r="I2489" s="485">
        <v>127830</v>
      </c>
      <c r="J2489" s="475">
        <v>44651</v>
      </c>
      <c r="K2489" s="474" t="s">
        <v>1553</v>
      </c>
      <c r="L2489" s="475" t="s">
        <v>1535</v>
      </c>
      <c r="M2489" s="475">
        <v>44470</v>
      </c>
      <c r="N2489" s="475">
        <v>44228</v>
      </c>
      <c r="O2489" s="475"/>
      <c r="P2489" s="475">
        <v>44641</v>
      </c>
      <c r="Q2489" s="475">
        <v>44644</v>
      </c>
      <c r="R2489" s="475">
        <v>44651</v>
      </c>
      <c r="S2489" s="474" t="s">
        <v>1102</v>
      </c>
      <c r="T2489" s="474">
        <v>72</v>
      </c>
      <c r="U2489" s="474" t="s">
        <v>1539</v>
      </c>
      <c r="V2489" s="474" t="s">
        <v>1070</v>
      </c>
      <c r="W2489" s="476">
        <v>475</v>
      </c>
      <c r="X2489" s="402">
        <f>8120-580</f>
        <v>7540</v>
      </c>
      <c r="Y2489" s="491">
        <f t="shared" si="444"/>
        <v>3581500</v>
      </c>
      <c r="Z2489" s="478">
        <v>0.42</v>
      </c>
      <c r="AA2489" s="479">
        <f t="shared" si="439"/>
        <v>1504230</v>
      </c>
      <c r="AB2489" s="386"/>
      <c r="AC2489" s="481">
        <f t="shared" si="440"/>
        <v>0</v>
      </c>
      <c r="AD2489" s="474"/>
      <c r="AE2489" s="482"/>
      <c r="AF2489" s="493">
        <f t="shared" si="436"/>
        <v>1504230</v>
      </c>
      <c r="AG2489" s="474" t="s">
        <v>47</v>
      </c>
      <c r="AH2489" s="447">
        <v>100</v>
      </c>
      <c r="AI2489" s="474">
        <v>0</v>
      </c>
      <c r="AJ2489" s="474" t="s">
        <v>1537</v>
      </c>
      <c r="AK2489" s="474" t="s">
        <v>1096</v>
      </c>
      <c r="AL2489" s="494">
        <v>1604</v>
      </c>
      <c r="AM2489" s="474" t="s">
        <v>52</v>
      </c>
      <c r="AN2489" s="474" t="s">
        <v>1384</v>
      </c>
      <c r="AO2489" s="474"/>
      <c r="AP2489" s="474" t="s">
        <v>92</v>
      </c>
      <c r="AQ2489" s="474" t="s">
        <v>1086</v>
      </c>
      <c r="AR2489" s="474"/>
      <c r="AS2489" s="387" t="s">
        <v>1087</v>
      </c>
      <c r="AT2489" s="387" t="s">
        <v>1076</v>
      </c>
      <c r="AU2489" s="471"/>
      <c r="AV2489" s="262" t="str">
        <f t="shared" si="441"/>
        <v>30390371C</v>
      </c>
      <c r="AW2489" s="262" cm="1">
        <f t="array" ref="AW2489">SUM(MID(0&amp;AV2489,LARGE(INDEX(ISNUMBER(--MID(AV2489,ROW($1:$8),1))*ROW($1:$8),),ROW($1:$8))+1,1)*10^ROW($1:$8)/10)</f>
        <v>30390371</v>
      </c>
      <c r="AX2489" s="262" t="str">
        <f>VLOOKUP($AW2489,'Item Master Data'!$A:$F,3,FALSE)</f>
        <v>Q.PEAK DUO XL G10 BFG</v>
      </c>
      <c r="AY2489" s="262">
        <f>VLOOKUP($AW2489,'Item Master Data'!$A:$F,6,FALSE)</f>
        <v>475</v>
      </c>
      <c r="AZ2489" s="262">
        <f t="shared" si="442"/>
        <v>260</v>
      </c>
      <c r="BA2489" s="262">
        <f>VLOOKUP(AW2489,'Item Master Data'!$A:$G,7,FALSE)</f>
        <v>29</v>
      </c>
      <c r="BC2489" s="262">
        <f t="shared" si="443"/>
        <v>0</v>
      </c>
    </row>
    <row r="2490" spans="1:55">
      <c r="A2490" s="410"/>
      <c r="B2490" s="407"/>
      <c r="C2490" s="407"/>
      <c r="D2490" s="474" t="s">
        <v>1066</v>
      </c>
      <c r="E2490" s="388" t="s">
        <v>1555</v>
      </c>
      <c r="F2490" s="474" t="s">
        <v>1077</v>
      </c>
      <c r="G2490" s="474">
        <v>2022</v>
      </c>
      <c r="H2490" s="524">
        <v>3</v>
      </c>
      <c r="I2490" s="415">
        <v>127884</v>
      </c>
      <c r="J2490" s="538">
        <v>44651</v>
      </c>
      <c r="K2490" s="524" t="s">
        <v>1553</v>
      </c>
      <c r="L2490" s="538" t="s">
        <v>1535</v>
      </c>
      <c r="M2490" s="475">
        <v>44470</v>
      </c>
      <c r="N2490" s="475">
        <v>44228</v>
      </c>
      <c r="O2490" s="475"/>
      <c r="P2490" s="475">
        <v>44641</v>
      </c>
      <c r="Q2490" s="475">
        <v>44644</v>
      </c>
      <c r="R2490" s="475">
        <v>44651</v>
      </c>
      <c r="S2490" s="474" t="s">
        <v>1102</v>
      </c>
      <c r="T2490" s="474">
        <v>72</v>
      </c>
      <c r="U2490" s="474" t="s">
        <v>1539</v>
      </c>
      <c r="V2490" s="474" t="s">
        <v>1070</v>
      </c>
      <c r="W2490" s="476">
        <v>475</v>
      </c>
      <c r="X2490" s="402">
        <v>580</v>
      </c>
      <c r="Y2490" s="491">
        <f t="shared" si="444"/>
        <v>275500</v>
      </c>
      <c r="Z2490" s="478">
        <v>0.42</v>
      </c>
      <c r="AA2490" s="479">
        <f t="shared" si="439"/>
        <v>115710</v>
      </c>
      <c r="AB2490" s="386"/>
      <c r="AC2490" s="481">
        <f t="shared" si="440"/>
        <v>0</v>
      </c>
      <c r="AD2490" s="474"/>
      <c r="AE2490" s="482"/>
      <c r="AF2490" s="493">
        <f t="shared" si="436"/>
        <v>115710</v>
      </c>
      <c r="AG2490" s="474" t="s">
        <v>47</v>
      </c>
      <c r="AH2490" s="447">
        <v>100</v>
      </c>
      <c r="AI2490" s="474">
        <v>0</v>
      </c>
      <c r="AJ2490" s="474" t="s">
        <v>1537</v>
      </c>
      <c r="AK2490" s="474" t="s">
        <v>1096</v>
      </c>
      <c r="AL2490" s="494">
        <v>1604</v>
      </c>
      <c r="AM2490" s="474" t="s">
        <v>52</v>
      </c>
      <c r="AN2490" s="474" t="s">
        <v>1384</v>
      </c>
      <c r="AO2490" s="474"/>
      <c r="AP2490" s="474" t="s">
        <v>92</v>
      </c>
      <c r="AQ2490" s="474" t="s">
        <v>1086</v>
      </c>
      <c r="AR2490" s="474"/>
      <c r="AS2490" s="387" t="s">
        <v>1087</v>
      </c>
      <c r="AT2490" s="387" t="s">
        <v>1076</v>
      </c>
      <c r="AU2490" s="471"/>
      <c r="AV2490" s="262" t="str">
        <f t="shared" si="441"/>
        <v>30390371C</v>
      </c>
      <c r="AW2490" s="262" cm="1">
        <f t="array" ref="AW2490">SUM(MID(0&amp;AV2490,LARGE(INDEX(ISNUMBER(--MID(AV2490,ROW($1:$8),1))*ROW($1:$8),),ROW($1:$8))+1,1)*10^ROW($1:$8)/10)</f>
        <v>30390371</v>
      </c>
      <c r="AX2490" s="262" t="str">
        <f>VLOOKUP($AW2490,'Item Master Data'!$A:$F,3,FALSE)</f>
        <v>Q.PEAK DUO XL G10 BFG</v>
      </c>
      <c r="AY2490" s="262">
        <f>VLOOKUP($AW2490,'Item Master Data'!$A:$F,6,FALSE)</f>
        <v>475</v>
      </c>
      <c r="AZ2490" s="262">
        <f t="shared" si="442"/>
        <v>20</v>
      </c>
      <c r="BA2490" s="262">
        <f>VLOOKUP(AW2490,'Item Master Data'!$A:$G,7,FALSE)</f>
        <v>29</v>
      </c>
      <c r="BC2490" s="262">
        <f t="shared" si="443"/>
        <v>0</v>
      </c>
    </row>
    <row r="2491" spans="1:55">
      <c r="A2491" s="410"/>
      <c r="B2491" s="407"/>
      <c r="C2491" s="407"/>
      <c r="D2491" s="474" t="s">
        <v>1066</v>
      </c>
      <c r="E2491" s="388" t="s">
        <v>1085</v>
      </c>
      <c r="F2491" s="474" t="s">
        <v>1077</v>
      </c>
      <c r="G2491" s="474">
        <v>2022</v>
      </c>
      <c r="H2491" s="474">
        <v>4</v>
      </c>
      <c r="I2491" s="485">
        <v>127949</v>
      </c>
      <c r="J2491" s="475">
        <v>44652</v>
      </c>
      <c r="K2491" s="474" t="s">
        <v>1553</v>
      </c>
      <c r="L2491" s="475" t="s">
        <v>1535</v>
      </c>
      <c r="M2491" s="475">
        <v>44470</v>
      </c>
      <c r="N2491" s="475">
        <v>44228</v>
      </c>
      <c r="O2491" s="475"/>
      <c r="P2491" s="475">
        <v>44641</v>
      </c>
      <c r="Q2491" s="475">
        <v>44651</v>
      </c>
      <c r="R2491" s="475">
        <v>44652</v>
      </c>
      <c r="S2491" s="474" t="s">
        <v>1102</v>
      </c>
      <c r="T2491" s="474">
        <v>72</v>
      </c>
      <c r="U2491" s="474" t="s">
        <v>1539</v>
      </c>
      <c r="V2491" s="474" t="s">
        <v>1070</v>
      </c>
      <c r="W2491" s="476">
        <v>475</v>
      </c>
      <c r="X2491" s="402">
        <v>609</v>
      </c>
      <c r="Y2491" s="491">
        <f t="shared" si="444"/>
        <v>289275</v>
      </c>
      <c r="Z2491" s="478">
        <v>0.42</v>
      </c>
      <c r="AA2491" s="479">
        <f t="shared" si="439"/>
        <v>121495.5</v>
      </c>
      <c r="AB2491" s="386"/>
      <c r="AC2491" s="481">
        <f t="shared" si="440"/>
        <v>0</v>
      </c>
      <c r="AD2491" s="474"/>
      <c r="AE2491" s="482"/>
      <c r="AF2491" s="493">
        <f t="shared" si="436"/>
        <v>121495.5</v>
      </c>
      <c r="AG2491" s="474" t="s">
        <v>47</v>
      </c>
      <c r="AH2491" s="447">
        <v>100</v>
      </c>
      <c r="AI2491" s="474">
        <v>0</v>
      </c>
      <c r="AJ2491" s="474" t="s">
        <v>1537</v>
      </c>
      <c r="AK2491" s="474" t="s">
        <v>1096</v>
      </c>
      <c r="AL2491" s="494">
        <v>1604</v>
      </c>
      <c r="AM2491" s="474" t="s">
        <v>52</v>
      </c>
      <c r="AN2491" s="474" t="s">
        <v>1085</v>
      </c>
      <c r="AO2491" s="474"/>
      <c r="AP2491" s="474" t="s">
        <v>92</v>
      </c>
      <c r="AQ2491" s="474" t="s">
        <v>1086</v>
      </c>
      <c r="AR2491" s="474"/>
      <c r="AS2491" s="387" t="s">
        <v>1087</v>
      </c>
      <c r="AT2491" s="387" t="s">
        <v>1076</v>
      </c>
      <c r="AU2491" s="471"/>
      <c r="AV2491" s="262" t="str">
        <f t="shared" si="441"/>
        <v>30390371C</v>
      </c>
      <c r="AW2491" s="262" cm="1">
        <f t="array" ref="AW2491">SUM(MID(0&amp;AV2491,LARGE(INDEX(ISNUMBER(--MID(AV2491,ROW($1:$8),1))*ROW($1:$8),),ROW($1:$8))+1,1)*10^ROW($1:$8)/10)</f>
        <v>30390371</v>
      </c>
      <c r="AX2491" s="262" t="str">
        <f>VLOOKUP($AW2491,'Item Master Data'!$A:$F,3,FALSE)</f>
        <v>Q.PEAK DUO XL G10 BFG</v>
      </c>
      <c r="AY2491" s="262">
        <f>VLOOKUP($AW2491,'Item Master Data'!$A:$F,6,FALSE)</f>
        <v>475</v>
      </c>
      <c r="AZ2491" s="262">
        <f t="shared" si="442"/>
        <v>21</v>
      </c>
      <c r="BA2491" s="262">
        <f>VLOOKUP(AW2491,'Item Master Data'!$A:$G,7,FALSE)</f>
        <v>29</v>
      </c>
      <c r="BC2491" s="262">
        <f t="shared" si="443"/>
        <v>0</v>
      </c>
    </row>
    <row r="2492" spans="1:55">
      <c r="A2492" s="410"/>
      <c r="B2492" s="407"/>
      <c r="C2492" s="407"/>
      <c r="D2492" s="474" t="s">
        <v>1066</v>
      </c>
      <c r="E2492" s="388" t="s">
        <v>5403</v>
      </c>
      <c r="F2492" s="474" t="s">
        <v>1077</v>
      </c>
      <c r="G2492" s="474">
        <v>2022</v>
      </c>
      <c r="H2492" s="474">
        <v>5</v>
      </c>
      <c r="I2492" s="485">
        <v>2005153</v>
      </c>
      <c r="J2492" s="475"/>
      <c r="K2492" s="474" t="s">
        <v>1513</v>
      </c>
      <c r="L2492" s="475" t="s">
        <v>1514</v>
      </c>
      <c r="M2492" s="475">
        <v>44599</v>
      </c>
      <c r="N2492" s="475">
        <v>44682</v>
      </c>
      <c r="O2492" s="475"/>
      <c r="P2492" s="475"/>
      <c r="Q2492" s="475"/>
      <c r="R2492" s="475"/>
      <c r="S2492" s="474" t="s">
        <v>1069</v>
      </c>
      <c r="T2492" s="474">
        <v>72</v>
      </c>
      <c r="U2492" s="474" t="s">
        <v>1082</v>
      </c>
      <c r="V2492" s="474" t="s">
        <v>1070</v>
      </c>
      <c r="W2492" s="476">
        <v>475</v>
      </c>
      <c r="X2492" s="402">
        <v>3480</v>
      </c>
      <c r="Y2492" s="491">
        <f t="shared" si="444"/>
        <v>1653000</v>
      </c>
      <c r="Z2492" s="478">
        <v>0.47499999999999998</v>
      </c>
      <c r="AA2492" s="479">
        <f t="shared" si="439"/>
        <v>785175</v>
      </c>
      <c r="AB2492" s="386"/>
      <c r="AC2492" s="481">
        <f t="shared" si="440"/>
        <v>0</v>
      </c>
      <c r="AD2492" s="474"/>
      <c r="AE2492" s="482"/>
      <c r="AF2492" s="493">
        <f t="shared" si="436"/>
        <v>785175</v>
      </c>
      <c r="AG2492" s="474" t="s">
        <v>47</v>
      </c>
      <c r="AH2492" s="447">
        <v>0</v>
      </c>
      <c r="AI2492" s="474">
        <v>45</v>
      </c>
      <c r="AJ2492" s="474" t="s">
        <v>1516</v>
      </c>
      <c r="AK2492" s="474" t="s">
        <v>1096</v>
      </c>
      <c r="AL2492" s="494">
        <v>2766</v>
      </c>
      <c r="AM2492" s="474" t="s">
        <v>52</v>
      </c>
      <c r="AN2492" s="474" t="s">
        <v>1085</v>
      </c>
      <c r="AO2492" s="474"/>
      <c r="AP2492" s="474" t="s">
        <v>38</v>
      </c>
      <c r="AQ2492" s="474" t="s">
        <v>1086</v>
      </c>
      <c r="AR2492" s="474"/>
      <c r="AS2492" s="387" t="s">
        <v>1087</v>
      </c>
      <c r="AT2492" s="387" t="s">
        <v>1076</v>
      </c>
      <c r="AU2492" s="471"/>
      <c r="AV2492" s="262" t="str">
        <f t="shared" si="441"/>
        <v>12005833C</v>
      </c>
      <c r="AW2492" s="262" cm="1">
        <f t="array" ref="AW2492">SUM(MID(0&amp;AV2492,LARGE(INDEX(ISNUMBER(--MID(AV2492,ROW($1:$8),1))*ROW($1:$8),),ROW($1:$8))+1,1)*10^ROW($1:$8)/10)</f>
        <v>12005833</v>
      </c>
      <c r="AX2492" s="262" t="str">
        <f>VLOOKUP($AW2492,'Item Master Data'!$A:$F,3,FALSE)</f>
        <v>Q.PEAK DUO XL G10 BFG</v>
      </c>
      <c r="AY2492" s="262">
        <f>VLOOKUP($AW2492,'Item Master Data'!$A:$F,6,FALSE)</f>
        <v>475</v>
      </c>
      <c r="AZ2492" s="262">
        <f t="shared" si="442"/>
        <v>116</v>
      </c>
      <c r="BA2492" s="262">
        <f>VLOOKUP(AW2492,'Item Master Data'!$A:$G,7,FALSE)</f>
        <v>30</v>
      </c>
      <c r="BC2492" s="262">
        <f t="shared" si="443"/>
        <v>0</v>
      </c>
    </row>
    <row r="2493" spans="1:55">
      <c r="A2493" s="410"/>
      <c r="B2493" s="407"/>
      <c r="C2493" s="407"/>
      <c r="D2493" s="474" t="s">
        <v>1066</v>
      </c>
      <c r="E2493" s="388" t="s">
        <v>1144</v>
      </c>
      <c r="F2493" s="474" t="s">
        <v>1077</v>
      </c>
      <c r="G2493" s="474">
        <v>2022</v>
      </c>
      <c r="H2493" s="474">
        <v>4</v>
      </c>
      <c r="I2493" s="485">
        <v>127949</v>
      </c>
      <c r="J2493" s="475">
        <v>44652</v>
      </c>
      <c r="K2493" s="474" t="s">
        <v>1553</v>
      </c>
      <c r="L2493" s="475" t="s">
        <v>1535</v>
      </c>
      <c r="M2493" s="475">
        <v>44470</v>
      </c>
      <c r="N2493" s="475">
        <v>44228</v>
      </c>
      <c r="O2493" s="475"/>
      <c r="P2493" s="475">
        <v>44641</v>
      </c>
      <c r="Q2493" s="475">
        <v>44649</v>
      </c>
      <c r="R2493" s="475">
        <v>44652</v>
      </c>
      <c r="S2493" s="474" t="s">
        <v>1102</v>
      </c>
      <c r="T2493" s="474">
        <v>72</v>
      </c>
      <c r="U2493" s="474" t="s">
        <v>1539</v>
      </c>
      <c r="V2493" s="474" t="s">
        <v>1070</v>
      </c>
      <c r="W2493" s="476">
        <v>475</v>
      </c>
      <c r="X2493" s="402">
        <v>580</v>
      </c>
      <c r="Y2493" s="491">
        <f t="shared" si="444"/>
        <v>275500</v>
      </c>
      <c r="Z2493" s="478">
        <v>0.42</v>
      </c>
      <c r="AA2493" s="479">
        <f t="shared" si="439"/>
        <v>115710</v>
      </c>
      <c r="AB2493" s="386"/>
      <c r="AC2493" s="481">
        <f t="shared" si="440"/>
        <v>0</v>
      </c>
      <c r="AD2493" s="474"/>
      <c r="AE2493" s="482"/>
      <c r="AF2493" s="493">
        <f t="shared" si="436"/>
        <v>115710</v>
      </c>
      <c r="AG2493" s="474" t="s">
        <v>47</v>
      </c>
      <c r="AH2493" s="447">
        <v>100</v>
      </c>
      <c r="AI2493" s="474">
        <v>0</v>
      </c>
      <c r="AJ2493" s="474" t="s">
        <v>1537</v>
      </c>
      <c r="AK2493" s="474" t="s">
        <v>1096</v>
      </c>
      <c r="AL2493" s="494">
        <v>1604</v>
      </c>
      <c r="AM2493" s="474" t="s">
        <v>52</v>
      </c>
      <c r="AN2493" s="474" t="s">
        <v>1384</v>
      </c>
      <c r="AO2493" s="474"/>
      <c r="AP2493" s="474" t="s">
        <v>92</v>
      </c>
      <c r="AQ2493" s="474" t="s">
        <v>1086</v>
      </c>
      <c r="AR2493" s="474"/>
      <c r="AS2493" s="387" t="s">
        <v>1087</v>
      </c>
      <c r="AT2493" s="387" t="s">
        <v>1076</v>
      </c>
      <c r="AU2493" s="471"/>
      <c r="AV2493" s="262" t="str">
        <f t="shared" si="441"/>
        <v>30390371C</v>
      </c>
      <c r="AW2493" s="262" cm="1">
        <f t="array" ref="AW2493">SUM(MID(0&amp;AV2493,LARGE(INDEX(ISNUMBER(--MID(AV2493,ROW($1:$8),1))*ROW($1:$8),),ROW($1:$8))+1,1)*10^ROW($1:$8)/10)</f>
        <v>30390371</v>
      </c>
      <c r="AX2493" s="262" t="str">
        <f>VLOOKUP($AW2493,'Item Master Data'!$A:$F,3,FALSE)</f>
        <v>Q.PEAK DUO XL G10 BFG</v>
      </c>
      <c r="AY2493" s="262">
        <f>VLOOKUP($AW2493,'Item Master Data'!$A:$F,6,FALSE)</f>
        <v>475</v>
      </c>
      <c r="AZ2493" s="262">
        <f t="shared" si="442"/>
        <v>20</v>
      </c>
      <c r="BA2493" s="262">
        <f>VLOOKUP(AW2493,'Item Master Data'!$A:$G,7,FALSE)</f>
        <v>29</v>
      </c>
      <c r="BC2493" s="262">
        <f t="shared" si="443"/>
        <v>0</v>
      </c>
    </row>
    <row r="2494" spans="1:55">
      <c r="A2494" s="410"/>
      <c r="B2494" s="407"/>
      <c r="C2494" s="407"/>
      <c r="D2494" s="474" t="s">
        <v>1066</v>
      </c>
      <c r="E2494" s="388" t="s">
        <v>1144</v>
      </c>
      <c r="F2494" s="474" t="s">
        <v>1077</v>
      </c>
      <c r="G2494" s="474">
        <v>2022</v>
      </c>
      <c r="H2494" s="474">
        <v>4</v>
      </c>
      <c r="I2494" s="485">
        <v>127949</v>
      </c>
      <c r="J2494" s="475">
        <v>44652</v>
      </c>
      <c r="K2494" s="474" t="s">
        <v>1553</v>
      </c>
      <c r="L2494" s="475" t="s">
        <v>1535</v>
      </c>
      <c r="M2494" s="475">
        <v>44470</v>
      </c>
      <c r="N2494" s="475">
        <v>44228</v>
      </c>
      <c r="O2494" s="475"/>
      <c r="P2494" s="475">
        <v>44641</v>
      </c>
      <c r="Q2494" s="475">
        <v>44649</v>
      </c>
      <c r="R2494" s="475">
        <v>44652</v>
      </c>
      <c r="S2494" s="474" t="s">
        <v>1102</v>
      </c>
      <c r="T2494" s="474">
        <v>72</v>
      </c>
      <c r="U2494" s="474" t="s">
        <v>1542</v>
      </c>
      <c r="V2494" s="474" t="s">
        <v>1070</v>
      </c>
      <c r="W2494" s="476">
        <v>475</v>
      </c>
      <c r="X2494" s="402">
        <v>1160</v>
      </c>
      <c r="Y2494" s="491">
        <f t="shared" si="444"/>
        <v>551000</v>
      </c>
      <c r="Z2494" s="478">
        <v>0.42</v>
      </c>
      <c r="AA2494" s="479">
        <f t="shared" si="439"/>
        <v>231420</v>
      </c>
      <c r="AB2494" s="386"/>
      <c r="AC2494" s="481">
        <f t="shared" si="440"/>
        <v>0</v>
      </c>
      <c r="AD2494" s="474"/>
      <c r="AE2494" s="482"/>
      <c r="AF2494" s="493">
        <f t="shared" si="436"/>
        <v>231420</v>
      </c>
      <c r="AG2494" s="474" t="s">
        <v>47</v>
      </c>
      <c r="AH2494" s="447">
        <v>100</v>
      </c>
      <c r="AI2494" s="474">
        <v>0</v>
      </c>
      <c r="AJ2494" s="474" t="s">
        <v>1537</v>
      </c>
      <c r="AK2494" s="474" t="s">
        <v>1096</v>
      </c>
      <c r="AL2494" s="494">
        <v>1604</v>
      </c>
      <c r="AM2494" s="474" t="s">
        <v>52</v>
      </c>
      <c r="AN2494" s="474" t="s">
        <v>1384</v>
      </c>
      <c r="AO2494" s="474"/>
      <c r="AP2494" s="474" t="s">
        <v>92</v>
      </c>
      <c r="AQ2494" s="474" t="s">
        <v>1086</v>
      </c>
      <c r="AR2494" s="474"/>
      <c r="AS2494" s="387" t="s">
        <v>1087</v>
      </c>
      <c r="AT2494" s="387" t="s">
        <v>1076</v>
      </c>
      <c r="AU2494" s="471"/>
    </row>
    <row r="2495" spans="1:55">
      <c r="A2495" s="410"/>
      <c r="B2495" s="407" t="s">
        <v>1211</v>
      </c>
      <c r="C2495" s="407" t="s">
        <v>1211</v>
      </c>
      <c r="D2495" s="474" t="s">
        <v>1066</v>
      </c>
      <c r="E2495" s="388" t="s">
        <v>1557</v>
      </c>
      <c r="F2495" s="474"/>
      <c r="G2495" s="474">
        <v>2022</v>
      </c>
      <c r="H2495" s="474">
        <v>3</v>
      </c>
      <c r="I2495" s="485">
        <v>127645</v>
      </c>
      <c r="J2495" s="475">
        <v>44648</v>
      </c>
      <c r="K2495" s="474">
        <v>1225</v>
      </c>
      <c r="L2495" s="475" t="s">
        <v>1558</v>
      </c>
      <c r="M2495" s="475">
        <v>44509</v>
      </c>
      <c r="N2495" s="475">
        <v>44578</v>
      </c>
      <c r="O2495" s="475">
        <v>44621</v>
      </c>
      <c r="P2495" s="475">
        <v>44636</v>
      </c>
      <c r="Q2495" s="475">
        <v>44648</v>
      </c>
      <c r="R2495" s="475">
        <v>44650</v>
      </c>
      <c r="S2495" s="474" t="s">
        <v>1114</v>
      </c>
      <c r="T2495" s="474">
        <v>72</v>
      </c>
      <c r="U2495" s="474" t="s">
        <v>1193</v>
      </c>
      <c r="V2495" s="474" t="s">
        <v>1150</v>
      </c>
      <c r="W2495" s="476">
        <v>435</v>
      </c>
      <c r="X2495" s="402">
        <v>450</v>
      </c>
      <c r="Y2495" s="491">
        <f t="shared" si="444"/>
        <v>195750</v>
      </c>
      <c r="Z2495" s="478">
        <v>0.46</v>
      </c>
      <c r="AA2495" s="479">
        <f>Y2495*Z2495</f>
        <v>90045</v>
      </c>
      <c r="AB2495" s="386"/>
      <c r="AC2495" s="481">
        <v>0</v>
      </c>
      <c r="AD2495" s="474"/>
      <c r="AE2495" s="482"/>
      <c r="AF2495" s="493">
        <f t="shared" si="436"/>
        <v>90045</v>
      </c>
      <c r="AG2495" s="474" t="s">
        <v>1071</v>
      </c>
      <c r="AH2495" s="447">
        <v>100</v>
      </c>
      <c r="AI2495" s="474">
        <v>0</v>
      </c>
      <c r="AJ2495" s="474" t="s">
        <v>1559</v>
      </c>
      <c r="AK2495" s="474" t="s">
        <v>1084</v>
      </c>
      <c r="AL2495" s="494">
        <v>32303</v>
      </c>
      <c r="AM2495" s="474" t="s">
        <v>52</v>
      </c>
      <c r="AN2495" s="474" t="s">
        <v>1151</v>
      </c>
      <c r="AO2495" s="474"/>
      <c r="AP2495" s="474" t="s">
        <v>38</v>
      </c>
      <c r="AQ2495" s="474"/>
      <c r="AR2495" s="474"/>
      <c r="AS2495" s="387"/>
      <c r="AT2495" s="387" t="s">
        <v>1076</v>
      </c>
      <c r="AU2495" s="471"/>
    </row>
    <row r="2496" spans="1:55">
      <c r="A2496" s="410"/>
      <c r="B2496" s="407" t="s">
        <v>1211</v>
      </c>
      <c r="C2496" s="407" t="s">
        <v>1211</v>
      </c>
      <c r="D2496" s="474" t="s">
        <v>1066</v>
      </c>
      <c r="E2496" s="388" t="s">
        <v>1118</v>
      </c>
      <c r="F2496" s="474"/>
      <c r="G2496" s="474">
        <v>2022</v>
      </c>
      <c r="H2496" s="474">
        <v>3</v>
      </c>
      <c r="I2496" s="485">
        <v>127645</v>
      </c>
      <c r="J2496" s="475">
        <v>44648</v>
      </c>
      <c r="K2496" s="474">
        <v>1225</v>
      </c>
      <c r="L2496" s="475" t="s">
        <v>1558</v>
      </c>
      <c r="M2496" s="475">
        <v>44509</v>
      </c>
      <c r="N2496" s="475">
        <v>44578</v>
      </c>
      <c r="O2496" s="475">
        <v>44621</v>
      </c>
      <c r="P2496" s="475">
        <v>44636</v>
      </c>
      <c r="Q2496" s="475">
        <v>44648</v>
      </c>
      <c r="R2496" s="475">
        <v>44650</v>
      </c>
      <c r="S2496" s="474" t="s">
        <v>1114</v>
      </c>
      <c r="T2496" s="474">
        <v>72</v>
      </c>
      <c r="U2496" s="474" t="s">
        <v>1193</v>
      </c>
      <c r="V2496" s="474" t="s">
        <v>1150</v>
      </c>
      <c r="W2496" s="476">
        <v>435</v>
      </c>
      <c r="X2496" s="402">
        <v>570</v>
      </c>
      <c r="Y2496" s="491">
        <f t="shared" si="444"/>
        <v>247950</v>
      </c>
      <c r="Z2496" s="478">
        <v>0.46</v>
      </c>
      <c r="AA2496" s="479">
        <f>Y2496*Z2496</f>
        <v>114057</v>
      </c>
      <c r="AB2496" s="386"/>
      <c r="AC2496" s="481">
        <v>0</v>
      </c>
      <c r="AD2496" s="474"/>
      <c r="AE2496" s="482"/>
      <c r="AF2496" s="493">
        <f t="shared" si="436"/>
        <v>114057</v>
      </c>
      <c r="AG2496" s="474" t="s">
        <v>1071</v>
      </c>
      <c r="AH2496" s="447">
        <v>100</v>
      </c>
      <c r="AI2496" s="474">
        <v>0</v>
      </c>
      <c r="AJ2496" s="474" t="s">
        <v>1559</v>
      </c>
      <c r="AK2496" s="474" t="s">
        <v>1084</v>
      </c>
      <c r="AL2496" s="494">
        <v>32303</v>
      </c>
      <c r="AM2496" s="474" t="s">
        <v>52</v>
      </c>
      <c r="AN2496" s="474" t="s">
        <v>1151</v>
      </c>
      <c r="AO2496" s="474"/>
      <c r="AP2496" s="474" t="s">
        <v>38</v>
      </c>
      <c r="AQ2496" s="474"/>
      <c r="AR2496" s="474"/>
      <c r="AS2496" s="387"/>
      <c r="AT2496" s="387" t="s">
        <v>1076</v>
      </c>
      <c r="AU2496" s="471"/>
    </row>
    <row r="2497" spans="1:55">
      <c r="A2497" s="410"/>
      <c r="B2497" s="407"/>
      <c r="C2497" s="407"/>
      <c r="D2497" s="474" t="s">
        <v>1066</v>
      </c>
      <c r="E2497" s="388" t="s">
        <v>1122</v>
      </c>
      <c r="F2497" s="474" t="s">
        <v>1147</v>
      </c>
      <c r="G2497" s="474">
        <v>2022</v>
      </c>
      <c r="H2497" s="474">
        <v>3</v>
      </c>
      <c r="I2497" s="485">
        <v>127306</v>
      </c>
      <c r="J2497" s="475">
        <v>44630</v>
      </c>
      <c r="K2497" s="474" t="s">
        <v>1560</v>
      </c>
      <c r="L2497" s="475" t="s">
        <v>1561</v>
      </c>
      <c r="M2497" s="475">
        <v>44468</v>
      </c>
      <c r="N2497" s="475" t="s">
        <v>1562</v>
      </c>
      <c r="O2497" s="475"/>
      <c r="P2497" s="475">
        <v>44606</v>
      </c>
      <c r="Q2497" s="475">
        <v>44628</v>
      </c>
      <c r="R2497" s="475">
        <v>44630</v>
      </c>
      <c r="S2497" s="474" t="s">
        <v>1563</v>
      </c>
      <c r="T2497" s="474">
        <v>60</v>
      </c>
      <c r="U2497" s="474" t="s">
        <v>1564</v>
      </c>
      <c r="V2497" s="474" t="s">
        <v>1565</v>
      </c>
      <c r="W2497" s="476">
        <v>395</v>
      </c>
      <c r="X2497" s="402">
        <v>624</v>
      </c>
      <c r="Y2497" s="491">
        <f t="shared" si="444"/>
        <v>246480</v>
      </c>
      <c r="Z2497" s="478">
        <v>0.44</v>
      </c>
      <c r="AA2497" s="492">
        <f t="shared" ref="AA2497:AA2560" si="445">Z2497*Y2497</f>
        <v>108451.2</v>
      </c>
      <c r="AB2497" s="386"/>
      <c r="AC2497" s="481">
        <v>0</v>
      </c>
      <c r="AD2497" s="474"/>
      <c r="AE2497" s="482"/>
      <c r="AF2497" s="493">
        <f t="shared" ref="AF2497:AF2560" si="446">AA2497+AE2497</f>
        <v>108451.2</v>
      </c>
      <c r="AG2497" s="474" t="s">
        <v>47</v>
      </c>
      <c r="AH2497" s="447"/>
      <c r="AI2497" s="474">
        <v>75</v>
      </c>
      <c r="AJ2497" s="474" t="s">
        <v>1566</v>
      </c>
      <c r="AK2497" s="474" t="s">
        <v>50</v>
      </c>
      <c r="AL2497" s="494" t="s">
        <v>1567</v>
      </c>
      <c r="AM2497" s="474" t="s">
        <v>52</v>
      </c>
      <c r="AN2497" s="474" t="s">
        <v>1568</v>
      </c>
      <c r="AO2497" s="474"/>
      <c r="AP2497" s="474" t="s">
        <v>92</v>
      </c>
      <c r="AQ2497" s="474" t="s">
        <v>37</v>
      </c>
      <c r="AR2497" s="474"/>
      <c r="AS2497" s="387"/>
      <c r="AT2497" s="387"/>
      <c r="AU2497" s="471"/>
    </row>
    <row r="2498" spans="1:55">
      <c r="A2498" s="410"/>
      <c r="B2498" s="407"/>
      <c r="C2498" s="407"/>
      <c r="D2498" s="474" t="s">
        <v>1066</v>
      </c>
      <c r="E2498" s="388" t="s">
        <v>1122</v>
      </c>
      <c r="F2498" s="474" t="s">
        <v>1147</v>
      </c>
      <c r="G2498" s="474">
        <v>2022</v>
      </c>
      <c r="H2498" s="474">
        <v>3</v>
      </c>
      <c r="I2498" s="485">
        <v>127307</v>
      </c>
      <c r="J2498" s="475">
        <v>44631</v>
      </c>
      <c r="K2498" s="474" t="s">
        <v>1560</v>
      </c>
      <c r="L2498" s="475" t="s">
        <v>1561</v>
      </c>
      <c r="M2498" s="475">
        <v>44468</v>
      </c>
      <c r="N2498" s="475" t="s">
        <v>1562</v>
      </c>
      <c r="O2498" s="475"/>
      <c r="P2498" s="475">
        <v>44606</v>
      </c>
      <c r="Q2498" s="475">
        <v>44629</v>
      </c>
      <c r="R2498" s="475">
        <v>44631</v>
      </c>
      <c r="S2498" s="474" t="s">
        <v>1563</v>
      </c>
      <c r="T2498" s="474">
        <v>60</v>
      </c>
      <c r="U2498" s="474" t="s">
        <v>1564</v>
      </c>
      <c r="V2498" s="474" t="s">
        <v>1565</v>
      </c>
      <c r="W2498" s="476">
        <v>395</v>
      </c>
      <c r="X2498" s="402">
        <v>624</v>
      </c>
      <c r="Y2498" s="491">
        <f t="shared" si="444"/>
        <v>246480</v>
      </c>
      <c r="Z2498" s="478">
        <v>0.44</v>
      </c>
      <c r="AA2498" s="492">
        <f t="shared" si="445"/>
        <v>108451.2</v>
      </c>
      <c r="AB2498" s="386"/>
      <c r="AC2498" s="481">
        <v>0</v>
      </c>
      <c r="AD2498" s="474"/>
      <c r="AE2498" s="482"/>
      <c r="AF2498" s="493">
        <f t="shared" si="446"/>
        <v>108451.2</v>
      </c>
      <c r="AG2498" s="474" t="s">
        <v>47</v>
      </c>
      <c r="AH2498" s="447"/>
      <c r="AI2498" s="474">
        <v>75</v>
      </c>
      <c r="AJ2498" s="474" t="s">
        <v>1566</v>
      </c>
      <c r="AK2498" s="474" t="s">
        <v>50</v>
      </c>
      <c r="AL2498" s="494" t="s">
        <v>1567</v>
      </c>
      <c r="AM2498" s="474" t="s">
        <v>52</v>
      </c>
      <c r="AN2498" s="474" t="s">
        <v>1568</v>
      </c>
      <c r="AO2498" s="474"/>
      <c r="AP2498" s="474" t="s">
        <v>92</v>
      </c>
      <c r="AQ2498" s="474" t="s">
        <v>37</v>
      </c>
      <c r="AR2498" s="474"/>
      <c r="AS2498" s="387"/>
      <c r="AT2498" s="387"/>
      <c r="AU2498" s="471"/>
    </row>
    <row r="2499" spans="1:55">
      <c r="A2499" s="410"/>
      <c r="B2499" s="407"/>
      <c r="C2499" s="407"/>
      <c r="D2499" s="474" t="s">
        <v>1066</v>
      </c>
      <c r="E2499" s="388"/>
      <c r="F2499" s="474" t="s">
        <v>87</v>
      </c>
      <c r="G2499" s="474">
        <v>2022</v>
      </c>
      <c r="H2499" s="474">
        <v>3</v>
      </c>
      <c r="I2499" s="485">
        <v>127263</v>
      </c>
      <c r="J2499" s="475">
        <v>44631</v>
      </c>
      <c r="K2499" s="474" t="s">
        <v>1569</v>
      </c>
      <c r="L2499" s="475" t="s">
        <v>1561</v>
      </c>
      <c r="M2499" s="475">
        <v>44568</v>
      </c>
      <c r="N2499" s="475">
        <v>44622</v>
      </c>
      <c r="O2499" s="475"/>
      <c r="P2499" s="475">
        <v>44623</v>
      </c>
      <c r="Q2499" s="475">
        <v>44627</v>
      </c>
      <c r="R2499" s="475">
        <v>44631</v>
      </c>
      <c r="S2499" s="474" t="s">
        <v>1563</v>
      </c>
      <c r="T2499" s="474">
        <v>72</v>
      </c>
      <c r="U2499" s="474" t="s">
        <v>1542</v>
      </c>
      <c r="V2499" s="474" t="s">
        <v>1226</v>
      </c>
      <c r="W2499" s="476">
        <v>475</v>
      </c>
      <c r="X2499" s="402">
        <v>638</v>
      </c>
      <c r="Y2499" s="491">
        <f t="shared" si="444"/>
        <v>303050</v>
      </c>
      <c r="Z2499" s="478">
        <v>0.47</v>
      </c>
      <c r="AA2499" s="479">
        <f t="shared" si="445"/>
        <v>142433.5</v>
      </c>
      <c r="AB2499" s="386"/>
      <c r="AC2499" s="481">
        <v>0</v>
      </c>
      <c r="AD2499" s="474"/>
      <c r="AE2499" s="482"/>
      <c r="AF2499" s="493">
        <f t="shared" si="446"/>
        <v>142433.5</v>
      </c>
      <c r="AG2499" s="474" t="s">
        <v>47</v>
      </c>
      <c r="AH2499" s="447"/>
      <c r="AI2499" s="474">
        <v>75</v>
      </c>
      <c r="AJ2499" s="444" t="s">
        <v>1566</v>
      </c>
      <c r="AK2499" s="444" t="s">
        <v>50</v>
      </c>
      <c r="AL2499" s="408" t="s">
        <v>1567</v>
      </c>
      <c r="AM2499" s="444" t="s">
        <v>52</v>
      </c>
      <c r="AN2499" s="444" t="s">
        <v>1085</v>
      </c>
      <c r="AO2499" s="474"/>
      <c r="AP2499" s="474" t="s">
        <v>92</v>
      </c>
      <c r="AQ2499" s="474" t="s">
        <v>37</v>
      </c>
      <c r="AR2499" s="474"/>
      <c r="AS2499" s="387"/>
      <c r="AT2499" s="387"/>
      <c r="AU2499" s="471"/>
    </row>
    <row r="2500" spans="1:55">
      <c r="A2500" s="410"/>
      <c r="B2500" s="407"/>
      <c r="C2500" s="407"/>
      <c r="D2500" s="474" t="s">
        <v>1066</v>
      </c>
      <c r="E2500" s="388" t="s">
        <v>1122</v>
      </c>
      <c r="F2500" s="474" t="s">
        <v>1147</v>
      </c>
      <c r="G2500" s="474">
        <v>2022</v>
      </c>
      <c r="H2500" s="474">
        <v>3</v>
      </c>
      <c r="I2500" s="485">
        <v>127391</v>
      </c>
      <c r="J2500" s="475">
        <v>44636</v>
      </c>
      <c r="K2500" s="474" t="s">
        <v>1560</v>
      </c>
      <c r="L2500" s="475" t="s">
        <v>1561</v>
      </c>
      <c r="M2500" s="475">
        <v>44468</v>
      </c>
      <c r="N2500" s="475" t="s">
        <v>1562</v>
      </c>
      <c r="O2500" s="475"/>
      <c r="P2500" s="475">
        <v>44606</v>
      </c>
      <c r="Q2500" s="475">
        <v>44634</v>
      </c>
      <c r="R2500" s="475">
        <v>44636</v>
      </c>
      <c r="S2500" s="474" t="s">
        <v>1563</v>
      </c>
      <c r="T2500" s="474">
        <v>60</v>
      </c>
      <c r="U2500" s="474" t="s">
        <v>1564</v>
      </c>
      <c r="V2500" s="474" t="s">
        <v>1565</v>
      </c>
      <c r="W2500" s="476">
        <v>395</v>
      </c>
      <c r="X2500" s="402">
        <v>624</v>
      </c>
      <c r="Y2500" s="491">
        <f t="shared" si="444"/>
        <v>246480</v>
      </c>
      <c r="Z2500" s="478">
        <v>0.44</v>
      </c>
      <c r="AA2500" s="492">
        <f t="shared" si="445"/>
        <v>108451.2</v>
      </c>
      <c r="AB2500" s="386"/>
      <c r="AC2500" s="481">
        <v>0</v>
      </c>
      <c r="AD2500" s="474"/>
      <c r="AE2500" s="482"/>
      <c r="AF2500" s="493">
        <f t="shared" si="446"/>
        <v>108451.2</v>
      </c>
      <c r="AG2500" s="474" t="s">
        <v>47</v>
      </c>
      <c r="AH2500" s="447"/>
      <c r="AI2500" s="474">
        <v>75</v>
      </c>
      <c r="AJ2500" s="474" t="s">
        <v>1566</v>
      </c>
      <c r="AK2500" s="474" t="s">
        <v>50</v>
      </c>
      <c r="AL2500" s="494" t="s">
        <v>1567</v>
      </c>
      <c r="AM2500" s="474" t="s">
        <v>52</v>
      </c>
      <c r="AN2500" s="474" t="s">
        <v>1568</v>
      </c>
      <c r="AO2500" s="474"/>
      <c r="AP2500" s="474" t="s">
        <v>92</v>
      </c>
      <c r="AQ2500" s="474" t="s">
        <v>37</v>
      </c>
      <c r="AR2500" s="474"/>
      <c r="AS2500" s="387"/>
      <c r="AT2500" s="387"/>
      <c r="AU2500" s="471"/>
    </row>
    <row r="2501" spans="1:55">
      <c r="A2501" s="410"/>
      <c r="B2501" s="407"/>
      <c r="C2501" s="407"/>
      <c r="D2501" s="474" t="s">
        <v>1066</v>
      </c>
      <c r="E2501" s="388"/>
      <c r="F2501" s="474" t="s">
        <v>1147</v>
      </c>
      <c r="G2501" s="474">
        <v>2022</v>
      </c>
      <c r="H2501" s="474">
        <v>3</v>
      </c>
      <c r="I2501" s="485">
        <v>127491</v>
      </c>
      <c r="J2501" s="475">
        <v>44636</v>
      </c>
      <c r="K2501" s="474" t="s">
        <v>1560</v>
      </c>
      <c r="L2501" s="475" t="s">
        <v>1561</v>
      </c>
      <c r="M2501" s="475">
        <v>44468</v>
      </c>
      <c r="N2501" s="475" t="s">
        <v>1562</v>
      </c>
      <c r="O2501" s="475"/>
      <c r="P2501" s="475">
        <v>44606</v>
      </c>
      <c r="Q2501" s="475">
        <v>44628</v>
      </c>
      <c r="R2501" s="475">
        <v>44636</v>
      </c>
      <c r="S2501" s="474" t="s">
        <v>1563</v>
      </c>
      <c r="T2501" s="474">
        <v>60</v>
      </c>
      <c r="U2501" s="474" t="s">
        <v>1564</v>
      </c>
      <c r="V2501" s="474" t="s">
        <v>1565</v>
      </c>
      <c r="W2501" s="476">
        <v>395</v>
      </c>
      <c r="X2501" s="402">
        <v>624</v>
      </c>
      <c r="Y2501" s="491">
        <f t="shared" si="444"/>
        <v>246480</v>
      </c>
      <c r="Z2501" s="478">
        <v>0.44</v>
      </c>
      <c r="AA2501" s="492">
        <f t="shared" si="445"/>
        <v>108451.2</v>
      </c>
      <c r="AB2501" s="386"/>
      <c r="AC2501" s="481">
        <v>0</v>
      </c>
      <c r="AD2501" s="474"/>
      <c r="AE2501" s="482"/>
      <c r="AF2501" s="493">
        <f t="shared" si="446"/>
        <v>108451.2</v>
      </c>
      <c r="AG2501" s="474" t="s">
        <v>47</v>
      </c>
      <c r="AH2501" s="447"/>
      <c r="AI2501" s="474">
        <v>75</v>
      </c>
      <c r="AJ2501" s="474" t="s">
        <v>1566</v>
      </c>
      <c r="AK2501" s="474" t="s">
        <v>50</v>
      </c>
      <c r="AL2501" s="494" t="s">
        <v>1567</v>
      </c>
      <c r="AM2501" s="474" t="s">
        <v>52</v>
      </c>
      <c r="AN2501" s="474" t="s">
        <v>1568</v>
      </c>
      <c r="AO2501" s="474"/>
      <c r="AP2501" s="474" t="s">
        <v>92</v>
      </c>
      <c r="AQ2501" s="474" t="s">
        <v>37</v>
      </c>
      <c r="AR2501" s="474"/>
      <c r="AS2501" s="387"/>
      <c r="AT2501" s="387"/>
      <c r="AU2501" s="471"/>
    </row>
    <row r="2502" spans="1:55">
      <c r="A2502" s="410"/>
      <c r="B2502" s="407"/>
      <c r="C2502" s="407"/>
      <c r="D2502" s="474" t="s">
        <v>1066</v>
      </c>
      <c r="E2502" s="475" t="s">
        <v>1122</v>
      </c>
      <c r="F2502" s="474" t="s">
        <v>1147</v>
      </c>
      <c r="G2502" s="474">
        <v>2022</v>
      </c>
      <c r="H2502" s="474">
        <v>3</v>
      </c>
      <c r="I2502" s="485">
        <v>127376</v>
      </c>
      <c r="J2502" s="475">
        <v>44637</v>
      </c>
      <c r="K2502" s="474" t="s">
        <v>1570</v>
      </c>
      <c r="L2502" s="475" t="s">
        <v>1561</v>
      </c>
      <c r="M2502" s="475">
        <v>44468</v>
      </c>
      <c r="N2502" s="475" t="s">
        <v>1571</v>
      </c>
      <c r="O2502" s="475"/>
      <c r="P2502" s="475">
        <v>44596</v>
      </c>
      <c r="Q2502" s="475">
        <v>44635</v>
      </c>
      <c r="R2502" s="475">
        <v>44637</v>
      </c>
      <c r="S2502" s="474" t="s">
        <v>1563</v>
      </c>
      <c r="T2502" s="474">
        <v>60</v>
      </c>
      <c r="U2502" s="474" t="s">
        <v>1564</v>
      </c>
      <c r="V2502" s="474" t="s">
        <v>1565</v>
      </c>
      <c r="W2502" s="476">
        <v>395</v>
      </c>
      <c r="X2502" s="402">
        <v>624</v>
      </c>
      <c r="Y2502" s="491">
        <f t="shared" si="444"/>
        <v>246480</v>
      </c>
      <c r="Z2502" s="478">
        <v>0.44</v>
      </c>
      <c r="AA2502" s="479">
        <f t="shared" si="445"/>
        <v>108451.2</v>
      </c>
      <c r="AB2502" s="386"/>
      <c r="AC2502" s="481">
        <v>0</v>
      </c>
      <c r="AD2502" s="474"/>
      <c r="AE2502" s="482"/>
      <c r="AF2502" s="493">
        <f t="shared" si="446"/>
        <v>108451.2</v>
      </c>
      <c r="AG2502" s="474" t="s">
        <v>47</v>
      </c>
      <c r="AH2502" s="447"/>
      <c r="AI2502" s="474">
        <v>75</v>
      </c>
      <c r="AJ2502" s="474" t="s">
        <v>1566</v>
      </c>
      <c r="AK2502" s="474" t="s">
        <v>50</v>
      </c>
      <c r="AL2502" s="494" t="s">
        <v>1567</v>
      </c>
      <c r="AM2502" s="474" t="s">
        <v>52</v>
      </c>
      <c r="AN2502" s="474" t="s">
        <v>1568</v>
      </c>
      <c r="AO2502" s="474"/>
      <c r="AP2502" s="474" t="s">
        <v>92</v>
      </c>
      <c r="AQ2502" s="474" t="s">
        <v>37</v>
      </c>
      <c r="AR2502" s="474"/>
      <c r="AS2502" s="387"/>
      <c r="AT2502" s="387"/>
      <c r="AU2502" s="471"/>
    </row>
    <row r="2503" spans="1:55">
      <c r="A2503" s="410"/>
      <c r="B2503" s="407"/>
      <c r="C2503" s="407"/>
      <c r="D2503" s="474" t="s">
        <v>1066</v>
      </c>
      <c r="E2503" s="475" t="s">
        <v>1122</v>
      </c>
      <c r="F2503" s="474" t="s">
        <v>1147</v>
      </c>
      <c r="G2503" s="474">
        <v>2022</v>
      </c>
      <c r="H2503" s="474">
        <v>3</v>
      </c>
      <c r="I2503" s="485">
        <v>127375</v>
      </c>
      <c r="J2503" s="475">
        <v>44637</v>
      </c>
      <c r="K2503" s="474" t="s">
        <v>1570</v>
      </c>
      <c r="L2503" s="475" t="s">
        <v>1561</v>
      </c>
      <c r="M2503" s="475">
        <v>44468</v>
      </c>
      <c r="N2503" s="475" t="s">
        <v>1571</v>
      </c>
      <c r="O2503" s="475"/>
      <c r="P2503" s="475">
        <v>44596</v>
      </c>
      <c r="Q2503" s="475">
        <v>44635</v>
      </c>
      <c r="R2503" s="475">
        <v>44637</v>
      </c>
      <c r="S2503" s="474" t="s">
        <v>1563</v>
      </c>
      <c r="T2503" s="474">
        <v>60</v>
      </c>
      <c r="U2503" s="474" t="s">
        <v>1564</v>
      </c>
      <c r="V2503" s="474" t="s">
        <v>1565</v>
      </c>
      <c r="W2503" s="476">
        <v>395</v>
      </c>
      <c r="X2503" s="402">
        <v>624</v>
      </c>
      <c r="Y2503" s="491">
        <f t="shared" si="444"/>
        <v>246480</v>
      </c>
      <c r="Z2503" s="478">
        <v>0.44</v>
      </c>
      <c r="AA2503" s="479">
        <f t="shared" si="445"/>
        <v>108451.2</v>
      </c>
      <c r="AB2503" s="386"/>
      <c r="AC2503" s="481">
        <v>0</v>
      </c>
      <c r="AD2503" s="474"/>
      <c r="AE2503" s="482"/>
      <c r="AF2503" s="493">
        <f t="shared" si="446"/>
        <v>108451.2</v>
      </c>
      <c r="AG2503" s="474" t="s">
        <v>47</v>
      </c>
      <c r="AH2503" s="447"/>
      <c r="AI2503" s="474">
        <v>75</v>
      </c>
      <c r="AJ2503" s="474" t="s">
        <v>1566</v>
      </c>
      <c r="AK2503" s="474" t="s">
        <v>50</v>
      </c>
      <c r="AL2503" s="494" t="s">
        <v>1567</v>
      </c>
      <c r="AM2503" s="474" t="s">
        <v>52</v>
      </c>
      <c r="AN2503" s="474" t="s">
        <v>1568</v>
      </c>
      <c r="AO2503" s="474"/>
      <c r="AP2503" s="474" t="s">
        <v>92</v>
      </c>
      <c r="AQ2503" s="474" t="s">
        <v>37</v>
      </c>
      <c r="AR2503" s="474"/>
      <c r="AS2503" s="387"/>
      <c r="AT2503" s="387"/>
      <c r="AU2503" s="471"/>
    </row>
    <row r="2504" spans="1:55">
      <c r="A2504" s="410"/>
      <c r="B2504" s="407"/>
      <c r="C2504" s="407"/>
      <c r="D2504" s="474" t="s">
        <v>1066</v>
      </c>
      <c r="E2504" s="388" t="s">
        <v>1122</v>
      </c>
      <c r="F2504" s="474" t="s">
        <v>1147</v>
      </c>
      <c r="G2504" s="474">
        <v>2022</v>
      </c>
      <c r="H2504" s="474">
        <v>3</v>
      </c>
      <c r="I2504" s="485">
        <v>127480</v>
      </c>
      <c r="J2504" s="475">
        <v>44643</v>
      </c>
      <c r="K2504" s="474" t="s">
        <v>1570</v>
      </c>
      <c r="L2504" s="475" t="s">
        <v>1561</v>
      </c>
      <c r="M2504" s="475">
        <v>44468</v>
      </c>
      <c r="N2504" s="475" t="s">
        <v>1571</v>
      </c>
      <c r="O2504" s="475"/>
      <c r="P2504" s="475">
        <v>44596</v>
      </c>
      <c r="Q2504" s="475">
        <v>44641</v>
      </c>
      <c r="R2504" s="475">
        <v>44643</v>
      </c>
      <c r="S2504" s="474" t="s">
        <v>1563</v>
      </c>
      <c r="T2504" s="474">
        <v>60</v>
      </c>
      <c r="U2504" s="474" t="s">
        <v>1564</v>
      </c>
      <c r="V2504" s="474" t="s">
        <v>1565</v>
      </c>
      <c r="W2504" s="476">
        <v>395</v>
      </c>
      <c r="X2504" s="402">
        <v>624</v>
      </c>
      <c r="Y2504" s="491">
        <f t="shared" si="444"/>
        <v>246480</v>
      </c>
      <c r="Z2504" s="478">
        <v>0.44</v>
      </c>
      <c r="AA2504" s="479">
        <f t="shared" si="445"/>
        <v>108451.2</v>
      </c>
      <c r="AB2504" s="386"/>
      <c r="AC2504" s="481">
        <v>0</v>
      </c>
      <c r="AD2504" s="474"/>
      <c r="AE2504" s="482"/>
      <c r="AF2504" s="493">
        <f t="shared" si="446"/>
        <v>108451.2</v>
      </c>
      <c r="AG2504" s="474" t="s">
        <v>47</v>
      </c>
      <c r="AH2504" s="447"/>
      <c r="AI2504" s="474">
        <v>75</v>
      </c>
      <c r="AJ2504" s="474" t="s">
        <v>1566</v>
      </c>
      <c r="AK2504" s="474" t="s">
        <v>50</v>
      </c>
      <c r="AL2504" s="494" t="s">
        <v>1567</v>
      </c>
      <c r="AM2504" s="474" t="s">
        <v>52</v>
      </c>
      <c r="AN2504" s="474" t="s">
        <v>1568</v>
      </c>
      <c r="AO2504" s="474"/>
      <c r="AP2504" s="474" t="s">
        <v>92</v>
      </c>
      <c r="AQ2504" s="474" t="s">
        <v>37</v>
      </c>
      <c r="AR2504" s="474"/>
      <c r="AS2504" s="387"/>
      <c r="AT2504" s="387"/>
      <c r="AU2504" s="471"/>
    </row>
    <row r="2505" spans="1:55">
      <c r="A2505" s="410"/>
      <c r="B2505" s="407"/>
      <c r="C2505" s="407"/>
      <c r="D2505" s="474" t="s">
        <v>1066</v>
      </c>
      <c r="E2505" s="388"/>
      <c r="F2505" s="474" t="s">
        <v>1147</v>
      </c>
      <c r="G2505" s="474">
        <v>2022</v>
      </c>
      <c r="H2505" s="474">
        <v>3</v>
      </c>
      <c r="I2505" s="485">
        <v>127217</v>
      </c>
      <c r="J2505" s="475">
        <v>44624</v>
      </c>
      <c r="K2505" s="474" t="s">
        <v>1572</v>
      </c>
      <c r="L2505" s="475" t="s">
        <v>1561</v>
      </c>
      <c r="M2505" s="475">
        <v>44468</v>
      </c>
      <c r="N2505" s="475" t="s">
        <v>1562</v>
      </c>
      <c r="O2505" s="475"/>
      <c r="P2505" s="475">
        <v>44575</v>
      </c>
      <c r="Q2505" s="475">
        <v>44634</v>
      </c>
      <c r="R2505" s="475">
        <v>44627</v>
      </c>
      <c r="S2505" s="474" t="s">
        <v>1563</v>
      </c>
      <c r="T2505" s="474">
        <v>60</v>
      </c>
      <c r="U2505" s="474" t="s">
        <v>1573</v>
      </c>
      <c r="V2505" s="474" t="s">
        <v>1574</v>
      </c>
      <c r="W2505" s="476">
        <v>400</v>
      </c>
      <c r="X2505" s="402">
        <f>4368-624-624-624-624-624-624</f>
        <v>624</v>
      </c>
      <c r="Y2505" s="491">
        <f t="shared" si="444"/>
        <v>249600</v>
      </c>
      <c r="Z2505" s="478">
        <v>0.44</v>
      </c>
      <c r="AA2505" s="479">
        <f t="shared" si="445"/>
        <v>109824</v>
      </c>
      <c r="AB2505" s="386"/>
      <c r="AC2505" s="481">
        <v>0</v>
      </c>
      <c r="AD2505" s="474"/>
      <c r="AE2505" s="482"/>
      <c r="AF2505" s="493">
        <f t="shared" si="446"/>
        <v>109824</v>
      </c>
      <c r="AG2505" s="474" t="s">
        <v>47</v>
      </c>
      <c r="AH2505" s="447"/>
      <c r="AI2505" s="474">
        <v>75</v>
      </c>
      <c r="AJ2505" s="474" t="s">
        <v>1575</v>
      </c>
      <c r="AK2505" s="474" t="s">
        <v>50</v>
      </c>
      <c r="AL2505" s="494">
        <v>94544</v>
      </c>
      <c r="AM2505" s="474" t="s">
        <v>52</v>
      </c>
      <c r="AN2505" s="474" t="s">
        <v>50</v>
      </c>
      <c r="AO2505" s="474"/>
      <c r="AP2505" s="474" t="s">
        <v>92</v>
      </c>
      <c r="AQ2505" s="474" t="s">
        <v>37</v>
      </c>
      <c r="AR2505" s="474"/>
      <c r="AS2505" s="387"/>
      <c r="AT2505" s="387"/>
      <c r="AU2505" s="471"/>
    </row>
    <row r="2506" spans="1:55">
      <c r="A2506" s="410"/>
      <c r="B2506" s="407"/>
      <c r="C2506" s="407"/>
      <c r="D2506" s="474" t="s">
        <v>1066</v>
      </c>
      <c r="E2506" s="475" t="s">
        <v>1122</v>
      </c>
      <c r="F2506" s="474" t="s">
        <v>1147</v>
      </c>
      <c r="G2506" s="474">
        <v>2022</v>
      </c>
      <c r="H2506" s="474">
        <v>3</v>
      </c>
      <c r="I2506" s="485">
        <v>127377</v>
      </c>
      <c r="J2506" s="475">
        <v>44637</v>
      </c>
      <c r="K2506" s="474" t="s">
        <v>1570</v>
      </c>
      <c r="L2506" s="475" t="s">
        <v>1561</v>
      </c>
      <c r="M2506" s="475">
        <v>44468</v>
      </c>
      <c r="N2506" s="475" t="s">
        <v>1571</v>
      </c>
      <c r="O2506" s="475"/>
      <c r="P2506" s="475">
        <v>44596</v>
      </c>
      <c r="Q2506" s="475">
        <v>44635</v>
      </c>
      <c r="R2506" s="475">
        <v>44637</v>
      </c>
      <c r="S2506" s="474" t="s">
        <v>1563</v>
      </c>
      <c r="T2506" s="474">
        <v>60</v>
      </c>
      <c r="U2506" s="474" t="s">
        <v>1564</v>
      </c>
      <c r="V2506" s="474" t="s">
        <v>1565</v>
      </c>
      <c r="W2506" s="476">
        <v>395</v>
      </c>
      <c r="X2506" s="402">
        <v>624</v>
      </c>
      <c r="Y2506" s="491">
        <f t="shared" si="444"/>
        <v>246480</v>
      </c>
      <c r="Z2506" s="478">
        <v>0.44</v>
      </c>
      <c r="AA2506" s="479">
        <f t="shared" si="445"/>
        <v>108451.2</v>
      </c>
      <c r="AB2506" s="386"/>
      <c r="AC2506" s="481">
        <v>0</v>
      </c>
      <c r="AD2506" s="474"/>
      <c r="AE2506" s="482"/>
      <c r="AF2506" s="493">
        <f t="shared" si="446"/>
        <v>108451.2</v>
      </c>
      <c r="AG2506" s="474" t="s">
        <v>47</v>
      </c>
      <c r="AH2506" s="447"/>
      <c r="AI2506" s="474">
        <v>75</v>
      </c>
      <c r="AJ2506" s="474" t="s">
        <v>1566</v>
      </c>
      <c r="AK2506" s="474" t="s">
        <v>50</v>
      </c>
      <c r="AL2506" s="494" t="s">
        <v>1567</v>
      </c>
      <c r="AM2506" s="474" t="s">
        <v>52</v>
      </c>
      <c r="AN2506" s="474" t="s">
        <v>1568</v>
      </c>
      <c r="AO2506" s="474"/>
      <c r="AP2506" s="474" t="s">
        <v>92</v>
      </c>
      <c r="AQ2506" s="474" t="s">
        <v>37</v>
      </c>
      <c r="AR2506" s="474"/>
      <c r="AS2506" s="387"/>
      <c r="AT2506" s="387"/>
      <c r="AU2506" s="471"/>
    </row>
    <row r="2507" spans="1:55">
      <c r="A2507" s="410"/>
      <c r="B2507" s="407"/>
      <c r="C2507" s="407"/>
      <c r="D2507" s="474" t="s">
        <v>1066</v>
      </c>
      <c r="E2507" s="475" t="s">
        <v>1122</v>
      </c>
      <c r="F2507" s="474" t="s">
        <v>1147</v>
      </c>
      <c r="G2507" s="474">
        <v>2022</v>
      </c>
      <c r="H2507" s="474">
        <v>3</v>
      </c>
      <c r="I2507" s="485">
        <v>127653</v>
      </c>
      <c r="J2507" s="475">
        <v>44651</v>
      </c>
      <c r="K2507" s="474" t="s">
        <v>1570</v>
      </c>
      <c r="L2507" s="475" t="s">
        <v>1561</v>
      </c>
      <c r="M2507" s="475">
        <v>44468</v>
      </c>
      <c r="N2507" s="475" t="s">
        <v>1571</v>
      </c>
      <c r="O2507" s="475"/>
      <c r="P2507" s="475">
        <v>44596</v>
      </c>
      <c r="Q2507" s="475">
        <v>44650</v>
      </c>
      <c r="R2507" s="475">
        <v>44651</v>
      </c>
      <c r="S2507" s="474" t="s">
        <v>1563</v>
      </c>
      <c r="T2507" s="474">
        <v>60</v>
      </c>
      <c r="U2507" s="474" t="s">
        <v>1564</v>
      </c>
      <c r="V2507" s="474" t="s">
        <v>1565</v>
      </c>
      <c r="W2507" s="476">
        <v>395</v>
      </c>
      <c r="X2507" s="402">
        <v>624</v>
      </c>
      <c r="Y2507" s="491">
        <f t="shared" si="444"/>
        <v>246480</v>
      </c>
      <c r="Z2507" s="478">
        <v>0.44</v>
      </c>
      <c r="AA2507" s="479">
        <f t="shared" si="445"/>
        <v>108451.2</v>
      </c>
      <c r="AB2507" s="386"/>
      <c r="AC2507" s="481">
        <v>0</v>
      </c>
      <c r="AD2507" s="474"/>
      <c r="AE2507" s="482"/>
      <c r="AF2507" s="493">
        <f t="shared" si="446"/>
        <v>108451.2</v>
      </c>
      <c r="AG2507" s="474" t="s">
        <v>47</v>
      </c>
      <c r="AH2507" s="447"/>
      <c r="AI2507" s="474">
        <v>75</v>
      </c>
      <c r="AJ2507" s="474" t="s">
        <v>1566</v>
      </c>
      <c r="AK2507" s="474" t="s">
        <v>50</v>
      </c>
      <c r="AL2507" s="494" t="s">
        <v>1567</v>
      </c>
      <c r="AM2507" s="474" t="s">
        <v>52</v>
      </c>
      <c r="AN2507" s="474" t="s">
        <v>1568</v>
      </c>
      <c r="AO2507" s="474"/>
      <c r="AP2507" s="474" t="s">
        <v>92</v>
      </c>
      <c r="AQ2507" s="474" t="s">
        <v>37</v>
      </c>
      <c r="AR2507" s="474"/>
      <c r="AS2507" s="387"/>
      <c r="AT2507" s="387"/>
      <c r="AU2507" s="471"/>
    </row>
    <row r="2508" spans="1:55">
      <c r="A2508" s="410"/>
      <c r="B2508" s="407"/>
      <c r="C2508" s="407"/>
      <c r="D2508" s="474" t="s">
        <v>1066</v>
      </c>
      <c r="E2508" s="388"/>
      <c r="F2508" s="474" t="s">
        <v>87</v>
      </c>
      <c r="G2508" s="474">
        <v>2022</v>
      </c>
      <c r="H2508" s="474">
        <v>3</v>
      </c>
      <c r="I2508" s="485">
        <v>127267</v>
      </c>
      <c r="J2508" s="475">
        <v>44631</v>
      </c>
      <c r="K2508" s="474" t="s">
        <v>1569</v>
      </c>
      <c r="L2508" s="475" t="s">
        <v>1561</v>
      </c>
      <c r="M2508" s="475">
        <v>44568</v>
      </c>
      <c r="N2508" s="475">
        <v>44622</v>
      </c>
      <c r="O2508" s="475"/>
      <c r="P2508" s="475">
        <v>44623</v>
      </c>
      <c r="Q2508" s="475">
        <v>44627</v>
      </c>
      <c r="R2508" s="475">
        <v>44631</v>
      </c>
      <c r="S2508" s="474" t="s">
        <v>1563</v>
      </c>
      <c r="T2508" s="474">
        <v>72</v>
      </c>
      <c r="U2508" s="474" t="s">
        <v>1542</v>
      </c>
      <c r="V2508" s="474" t="s">
        <v>1226</v>
      </c>
      <c r="W2508" s="476">
        <v>475</v>
      </c>
      <c r="X2508" s="402">
        <v>638</v>
      </c>
      <c r="Y2508" s="491">
        <f t="shared" si="444"/>
        <v>303050</v>
      </c>
      <c r="Z2508" s="478">
        <v>0.47</v>
      </c>
      <c r="AA2508" s="479">
        <f t="shared" si="445"/>
        <v>142433.5</v>
      </c>
      <c r="AB2508" s="386"/>
      <c r="AC2508" s="481">
        <v>0</v>
      </c>
      <c r="AD2508" s="474"/>
      <c r="AE2508" s="482"/>
      <c r="AF2508" s="493">
        <f t="shared" si="446"/>
        <v>142433.5</v>
      </c>
      <c r="AG2508" s="474" t="s">
        <v>47</v>
      </c>
      <c r="AH2508" s="447"/>
      <c r="AI2508" s="474">
        <v>75</v>
      </c>
      <c r="AJ2508" s="444" t="s">
        <v>1566</v>
      </c>
      <c r="AK2508" s="444" t="s">
        <v>50</v>
      </c>
      <c r="AL2508" s="408" t="s">
        <v>1567</v>
      </c>
      <c r="AM2508" s="444" t="s">
        <v>52</v>
      </c>
      <c r="AN2508" s="444" t="s">
        <v>1085</v>
      </c>
      <c r="AO2508" s="474"/>
      <c r="AP2508" s="474" t="s">
        <v>92</v>
      </c>
      <c r="AQ2508" s="474" t="s">
        <v>37</v>
      </c>
      <c r="AR2508" s="474"/>
      <c r="AS2508" s="387"/>
      <c r="AT2508" s="387"/>
      <c r="AU2508" s="471"/>
    </row>
    <row r="2509" spans="1:55">
      <c r="A2509" s="410"/>
      <c r="B2509" s="407"/>
      <c r="C2509" s="407"/>
      <c r="D2509" s="474" t="s">
        <v>1066</v>
      </c>
      <c r="E2509" s="388"/>
      <c r="F2509" s="474" t="s">
        <v>1147</v>
      </c>
      <c r="G2509" s="474">
        <v>2022</v>
      </c>
      <c r="H2509" s="474">
        <v>3</v>
      </c>
      <c r="I2509" s="485">
        <v>127216</v>
      </c>
      <c r="J2509" s="475">
        <v>44627</v>
      </c>
      <c r="K2509" s="474" t="s">
        <v>1576</v>
      </c>
      <c r="L2509" s="475" t="s">
        <v>1561</v>
      </c>
      <c r="M2509" s="475">
        <v>44468</v>
      </c>
      <c r="N2509" s="475" t="s">
        <v>1562</v>
      </c>
      <c r="O2509" s="475"/>
      <c r="P2509" s="475">
        <v>44575</v>
      </c>
      <c r="Q2509" s="475">
        <v>44628</v>
      </c>
      <c r="R2509" s="475">
        <v>44627</v>
      </c>
      <c r="S2509" s="474" t="s">
        <v>1563</v>
      </c>
      <c r="T2509" s="474">
        <v>60</v>
      </c>
      <c r="U2509" s="474" t="s">
        <v>1573</v>
      </c>
      <c r="V2509" s="474" t="s">
        <v>1574</v>
      </c>
      <c r="W2509" s="476">
        <v>400</v>
      </c>
      <c r="X2509" s="402">
        <f>3744-624-624-624-624-624</f>
        <v>624</v>
      </c>
      <c r="Y2509" s="491">
        <f t="shared" si="444"/>
        <v>249600</v>
      </c>
      <c r="Z2509" s="478">
        <v>0.44</v>
      </c>
      <c r="AA2509" s="479">
        <f t="shared" si="445"/>
        <v>109824</v>
      </c>
      <c r="AB2509" s="386"/>
      <c r="AC2509" s="481">
        <v>0</v>
      </c>
      <c r="AD2509" s="474"/>
      <c r="AE2509" s="482"/>
      <c r="AF2509" s="493">
        <f t="shared" si="446"/>
        <v>109824</v>
      </c>
      <c r="AG2509" s="474" t="s">
        <v>47</v>
      </c>
      <c r="AH2509" s="447"/>
      <c r="AI2509" s="474">
        <v>75</v>
      </c>
      <c r="AJ2509" s="474" t="s">
        <v>1577</v>
      </c>
      <c r="AK2509" s="474" t="s">
        <v>50</v>
      </c>
      <c r="AL2509" s="494">
        <v>92407</v>
      </c>
      <c r="AM2509" s="474" t="s">
        <v>52</v>
      </c>
      <c r="AN2509" s="474" t="s">
        <v>50</v>
      </c>
      <c r="AO2509" s="474"/>
      <c r="AP2509" s="474" t="s">
        <v>92</v>
      </c>
      <c r="AQ2509" s="474" t="s">
        <v>37</v>
      </c>
      <c r="AR2509" s="474"/>
      <c r="AS2509" s="387"/>
      <c r="AT2509" s="387"/>
      <c r="AU2509" s="471"/>
      <c r="AV2509" s="262" t="str">
        <f t="shared" ref="AV2509:AV2515" si="447">U2509</f>
        <v>30390256C</v>
      </c>
      <c r="AW2509" s="262" cm="1">
        <f t="array" ref="AW2509">SUM(MID(0&amp;AV2509,LARGE(INDEX(ISNUMBER(--MID(AV2509,ROW($1:$8),1))*ROW($1:$8),),ROW($1:$8))+1,1)*10^ROW($1:$8)/10)</f>
        <v>30390256</v>
      </c>
      <c r="AX2509" s="262" t="str">
        <f>VLOOKUP($AW2509,'Item Master Data'!$A:$F,3,FALSE)</f>
        <v>T400H</v>
      </c>
      <c r="AY2509" s="262">
        <f>VLOOKUP($AW2509,'Item Master Data'!$A:$F,6,FALSE)</f>
        <v>400</v>
      </c>
      <c r="AZ2509" s="262">
        <f t="shared" ref="AZ2509:AZ2515" si="448">X2509/BA2509</f>
        <v>24</v>
      </c>
      <c r="BA2509" s="262">
        <f>VLOOKUP(AW2509,'Item Master Data'!$A:$G,7,FALSE)</f>
        <v>26</v>
      </c>
      <c r="BC2509" s="262">
        <f t="shared" ref="BC2509:BC2515" si="449">W2509-AY2509</f>
        <v>0</v>
      </c>
    </row>
    <row r="2510" spans="1:55">
      <c r="A2510" s="410"/>
      <c r="B2510" s="407"/>
      <c r="C2510" s="407"/>
      <c r="D2510" s="474" t="s">
        <v>1066</v>
      </c>
      <c r="E2510" s="388" t="s">
        <v>1118</v>
      </c>
      <c r="F2510" s="474" t="s">
        <v>1147</v>
      </c>
      <c r="G2510" s="474">
        <v>2022</v>
      </c>
      <c r="H2510" s="474">
        <v>3</v>
      </c>
      <c r="I2510" s="485">
        <v>127246</v>
      </c>
      <c r="J2510" s="475">
        <v>44627</v>
      </c>
      <c r="K2510" s="474" t="s">
        <v>1578</v>
      </c>
      <c r="L2510" s="475" t="s">
        <v>1561</v>
      </c>
      <c r="M2510" s="475">
        <v>44468</v>
      </c>
      <c r="N2510" s="475" t="s">
        <v>1571</v>
      </c>
      <c r="O2510" s="475"/>
      <c r="P2510" s="475">
        <v>44620</v>
      </c>
      <c r="Q2510" s="475">
        <v>44630</v>
      </c>
      <c r="R2510" s="475">
        <v>44627</v>
      </c>
      <c r="S2510" s="474" t="s">
        <v>1563</v>
      </c>
      <c r="T2510" s="474">
        <v>60</v>
      </c>
      <c r="U2510" s="474" t="s">
        <v>1579</v>
      </c>
      <c r="V2510" s="474" t="s">
        <v>1565</v>
      </c>
      <c r="W2510" s="476">
        <v>395</v>
      </c>
      <c r="X2510" s="402">
        <f>1872-624-624</f>
        <v>624</v>
      </c>
      <c r="Y2510" s="491">
        <f t="shared" si="444"/>
        <v>246480</v>
      </c>
      <c r="Z2510" s="478">
        <v>0.44</v>
      </c>
      <c r="AA2510" s="479">
        <f t="shared" si="445"/>
        <v>108451.2</v>
      </c>
      <c r="AB2510" s="386"/>
      <c r="AC2510" s="481">
        <v>0</v>
      </c>
      <c r="AD2510" s="474"/>
      <c r="AE2510" s="482"/>
      <c r="AF2510" s="493">
        <f t="shared" si="446"/>
        <v>108451.2</v>
      </c>
      <c r="AG2510" s="501" t="s">
        <v>47</v>
      </c>
      <c r="AH2510" s="409"/>
      <c r="AI2510" s="501">
        <v>75</v>
      </c>
      <c r="AJ2510" s="501" t="s">
        <v>1580</v>
      </c>
      <c r="AK2510" s="501" t="s">
        <v>1073</v>
      </c>
      <c r="AL2510" s="509">
        <v>21075</v>
      </c>
      <c r="AM2510" s="501" t="s">
        <v>52</v>
      </c>
      <c r="AN2510" s="501" t="s">
        <v>50</v>
      </c>
      <c r="AO2510" s="474"/>
      <c r="AP2510" s="474" t="s">
        <v>92</v>
      </c>
      <c r="AQ2510" s="474" t="s">
        <v>37</v>
      </c>
      <c r="AR2510" s="474"/>
      <c r="AS2510" s="387"/>
      <c r="AT2510" s="387"/>
      <c r="AU2510" s="471"/>
      <c r="AV2510" s="262" t="str">
        <f t="shared" si="447"/>
        <v>30390255C+</v>
      </c>
      <c r="AW2510" s="262" cm="1">
        <f t="array" ref="AW2510">SUM(MID(0&amp;AV2510,LARGE(INDEX(ISNUMBER(--MID(AV2510,ROW($1:$8),1))*ROW($1:$8),),ROW($1:$8))+1,1)*10^ROW($1:$8)/10)</f>
        <v>30390255</v>
      </c>
      <c r="AX2510" s="262" t="str">
        <f>VLOOKUP($AW2510,'Item Master Data'!$A:$F,3,FALSE)</f>
        <v>T395H</v>
      </c>
      <c r="AY2510" s="262">
        <f>VLOOKUP($AW2510,'Item Master Data'!$A:$F,6,FALSE)</f>
        <v>395</v>
      </c>
      <c r="AZ2510" s="262">
        <f t="shared" si="448"/>
        <v>24</v>
      </c>
      <c r="BA2510" s="262">
        <f>VLOOKUP(AW2510,'Item Master Data'!$A:$G,7,FALSE)</f>
        <v>26</v>
      </c>
      <c r="BC2510" s="262">
        <f t="shared" si="449"/>
        <v>0</v>
      </c>
    </row>
    <row r="2511" spans="1:55">
      <c r="A2511" s="410"/>
      <c r="B2511" s="407"/>
      <c r="C2511" s="407"/>
      <c r="D2511" s="474" t="s">
        <v>1066</v>
      </c>
      <c r="E2511" s="388"/>
      <c r="F2511" s="474" t="s">
        <v>87</v>
      </c>
      <c r="G2511" s="474">
        <v>2022</v>
      </c>
      <c r="H2511" s="474">
        <v>3</v>
      </c>
      <c r="I2511" s="485">
        <v>127264</v>
      </c>
      <c r="J2511" s="475">
        <v>44631</v>
      </c>
      <c r="K2511" s="474" t="s">
        <v>1569</v>
      </c>
      <c r="L2511" s="475" t="s">
        <v>1561</v>
      </c>
      <c r="M2511" s="475">
        <v>44568</v>
      </c>
      <c r="N2511" s="475">
        <v>44622</v>
      </c>
      <c r="O2511" s="475"/>
      <c r="P2511" s="475">
        <v>44623</v>
      </c>
      <c r="Q2511" s="475">
        <v>44627</v>
      </c>
      <c r="R2511" s="475">
        <v>44631</v>
      </c>
      <c r="S2511" s="474" t="s">
        <v>1563</v>
      </c>
      <c r="T2511" s="474">
        <v>72</v>
      </c>
      <c r="U2511" s="474" t="s">
        <v>1542</v>
      </c>
      <c r="V2511" s="474" t="s">
        <v>1226</v>
      </c>
      <c r="W2511" s="476">
        <v>475</v>
      </c>
      <c r="X2511" s="402">
        <v>638</v>
      </c>
      <c r="Y2511" s="491">
        <f t="shared" si="444"/>
        <v>303050</v>
      </c>
      <c r="Z2511" s="478">
        <v>0.47</v>
      </c>
      <c r="AA2511" s="479">
        <f t="shared" si="445"/>
        <v>142433.5</v>
      </c>
      <c r="AB2511" s="386"/>
      <c r="AC2511" s="481">
        <v>0</v>
      </c>
      <c r="AD2511" s="474"/>
      <c r="AE2511" s="482"/>
      <c r="AF2511" s="493">
        <f t="shared" si="446"/>
        <v>142433.5</v>
      </c>
      <c r="AG2511" s="474" t="s">
        <v>47</v>
      </c>
      <c r="AH2511" s="447"/>
      <c r="AI2511" s="474">
        <v>75</v>
      </c>
      <c r="AJ2511" s="444" t="s">
        <v>1566</v>
      </c>
      <c r="AK2511" s="444" t="s">
        <v>50</v>
      </c>
      <c r="AL2511" s="408" t="s">
        <v>1567</v>
      </c>
      <c r="AM2511" s="444" t="s">
        <v>52</v>
      </c>
      <c r="AN2511" s="444" t="s">
        <v>1085</v>
      </c>
      <c r="AO2511" s="474"/>
      <c r="AP2511" s="474" t="s">
        <v>92</v>
      </c>
      <c r="AQ2511" s="474" t="s">
        <v>37</v>
      </c>
      <c r="AR2511" s="474"/>
      <c r="AS2511" s="387"/>
      <c r="AT2511" s="387"/>
      <c r="AU2511" s="471"/>
      <c r="AV2511" s="262" t="str">
        <f t="shared" si="447"/>
        <v>30397571C</v>
      </c>
      <c r="AW2511" s="262" cm="1">
        <f t="array" ref="AW2511">SUM(MID(0&amp;AV2511,LARGE(INDEX(ISNUMBER(--MID(AV2511,ROW($1:$8),1))*ROW($1:$8),),ROW($1:$8))+1,1)*10^ROW($1:$8)/10)</f>
        <v>30397571</v>
      </c>
      <c r="AX2511" s="262" t="str">
        <f>VLOOKUP($AW2511,'Item Master Data'!$A:$F,3,FALSE)</f>
        <v>Q.PEAK DUO XL G10 BFG</v>
      </c>
      <c r="AY2511" s="262">
        <f>VLOOKUP($AW2511,'Item Master Data'!$A:$F,6,FALSE)</f>
        <v>475</v>
      </c>
      <c r="AZ2511" s="262">
        <f t="shared" si="448"/>
        <v>22</v>
      </c>
      <c r="BA2511" s="262">
        <f>VLOOKUP(AW2511,'Item Master Data'!$A:$G,7,FALSE)</f>
        <v>29</v>
      </c>
      <c r="BC2511" s="262">
        <f t="shared" si="449"/>
        <v>0</v>
      </c>
    </row>
    <row r="2512" spans="1:55">
      <c r="A2512" s="410"/>
      <c r="B2512" s="407"/>
      <c r="C2512" s="407"/>
      <c r="D2512" s="474" t="s">
        <v>1066</v>
      </c>
      <c r="E2512" s="388"/>
      <c r="F2512" s="474" t="s">
        <v>87</v>
      </c>
      <c r="G2512" s="474">
        <v>2022</v>
      </c>
      <c r="H2512" s="474">
        <v>3</v>
      </c>
      <c r="I2512" s="485">
        <v>127265</v>
      </c>
      <c r="J2512" s="475">
        <v>44631</v>
      </c>
      <c r="K2512" s="474" t="s">
        <v>1569</v>
      </c>
      <c r="L2512" s="475" t="s">
        <v>1561</v>
      </c>
      <c r="M2512" s="475">
        <v>44568</v>
      </c>
      <c r="N2512" s="475">
        <v>44622</v>
      </c>
      <c r="O2512" s="475"/>
      <c r="P2512" s="475">
        <v>44623</v>
      </c>
      <c r="Q2512" s="475">
        <v>44627</v>
      </c>
      <c r="R2512" s="475">
        <v>44631</v>
      </c>
      <c r="S2512" s="474" t="s">
        <v>1563</v>
      </c>
      <c r="T2512" s="474">
        <v>72</v>
      </c>
      <c r="U2512" s="474" t="s">
        <v>1542</v>
      </c>
      <c r="V2512" s="474" t="s">
        <v>1226</v>
      </c>
      <c r="W2512" s="476">
        <v>475</v>
      </c>
      <c r="X2512" s="402">
        <v>638</v>
      </c>
      <c r="Y2512" s="491">
        <f t="shared" si="444"/>
        <v>303050</v>
      </c>
      <c r="Z2512" s="478">
        <v>0.47</v>
      </c>
      <c r="AA2512" s="479">
        <f t="shared" si="445"/>
        <v>142433.5</v>
      </c>
      <c r="AB2512" s="386"/>
      <c r="AC2512" s="481">
        <v>0</v>
      </c>
      <c r="AD2512" s="474"/>
      <c r="AE2512" s="482"/>
      <c r="AF2512" s="493">
        <f t="shared" si="446"/>
        <v>142433.5</v>
      </c>
      <c r="AG2512" s="474" t="s">
        <v>47</v>
      </c>
      <c r="AH2512" s="447"/>
      <c r="AI2512" s="474">
        <v>75</v>
      </c>
      <c r="AJ2512" s="444" t="s">
        <v>1566</v>
      </c>
      <c r="AK2512" s="444" t="s">
        <v>50</v>
      </c>
      <c r="AL2512" s="408" t="s">
        <v>1567</v>
      </c>
      <c r="AM2512" s="444" t="s">
        <v>52</v>
      </c>
      <c r="AN2512" s="444" t="s">
        <v>1085</v>
      </c>
      <c r="AO2512" s="474"/>
      <c r="AP2512" s="474" t="s">
        <v>92</v>
      </c>
      <c r="AQ2512" s="474" t="s">
        <v>37</v>
      </c>
      <c r="AR2512" s="474"/>
      <c r="AS2512" s="387"/>
      <c r="AT2512" s="387"/>
      <c r="AU2512" s="471"/>
      <c r="AV2512" s="262" t="str">
        <f t="shared" si="447"/>
        <v>30397571C</v>
      </c>
      <c r="AW2512" s="262" cm="1">
        <f t="array" ref="AW2512">SUM(MID(0&amp;AV2512,LARGE(INDEX(ISNUMBER(--MID(AV2512,ROW($1:$8),1))*ROW($1:$8),),ROW($1:$8))+1,1)*10^ROW($1:$8)/10)</f>
        <v>30397571</v>
      </c>
      <c r="AX2512" s="262" t="str">
        <f>VLOOKUP($AW2512,'Item Master Data'!$A:$F,3,FALSE)</f>
        <v>Q.PEAK DUO XL G10 BFG</v>
      </c>
      <c r="AY2512" s="262">
        <f>VLOOKUP($AW2512,'Item Master Data'!$A:$F,6,FALSE)</f>
        <v>475</v>
      </c>
      <c r="AZ2512" s="262">
        <f t="shared" si="448"/>
        <v>22</v>
      </c>
      <c r="BA2512" s="262">
        <f>VLOOKUP(AW2512,'Item Master Data'!$A:$G,7,FALSE)</f>
        <v>29</v>
      </c>
      <c r="BC2512" s="262">
        <f t="shared" si="449"/>
        <v>0</v>
      </c>
    </row>
    <row r="2513" spans="1:55">
      <c r="A2513" s="410"/>
      <c r="B2513" s="407"/>
      <c r="C2513" s="407"/>
      <c r="D2513" s="474" t="s">
        <v>1066</v>
      </c>
      <c r="E2513" s="388"/>
      <c r="F2513" s="474" t="s">
        <v>87</v>
      </c>
      <c r="G2513" s="474">
        <v>2022</v>
      </c>
      <c r="H2513" s="474">
        <v>3</v>
      </c>
      <c r="I2513" s="485">
        <v>127266</v>
      </c>
      <c r="J2513" s="475">
        <v>44631</v>
      </c>
      <c r="K2513" s="474" t="s">
        <v>1569</v>
      </c>
      <c r="L2513" s="475" t="s">
        <v>1561</v>
      </c>
      <c r="M2513" s="475">
        <v>44568</v>
      </c>
      <c r="N2513" s="475">
        <v>44622</v>
      </c>
      <c r="O2513" s="475"/>
      <c r="P2513" s="475">
        <v>44623</v>
      </c>
      <c r="Q2513" s="475">
        <v>44627</v>
      </c>
      <c r="R2513" s="475">
        <v>44631</v>
      </c>
      <c r="S2513" s="474" t="s">
        <v>1563</v>
      </c>
      <c r="T2513" s="474">
        <v>72</v>
      </c>
      <c r="U2513" s="474" t="s">
        <v>1542</v>
      </c>
      <c r="V2513" s="474" t="s">
        <v>1226</v>
      </c>
      <c r="W2513" s="476">
        <v>475</v>
      </c>
      <c r="X2513" s="402">
        <v>638</v>
      </c>
      <c r="Y2513" s="491">
        <f t="shared" si="444"/>
        <v>303050</v>
      </c>
      <c r="Z2513" s="478">
        <v>0.47</v>
      </c>
      <c r="AA2513" s="479">
        <f t="shared" si="445"/>
        <v>142433.5</v>
      </c>
      <c r="AB2513" s="386"/>
      <c r="AC2513" s="481">
        <v>0</v>
      </c>
      <c r="AD2513" s="474"/>
      <c r="AE2513" s="482"/>
      <c r="AF2513" s="493">
        <f t="shared" si="446"/>
        <v>142433.5</v>
      </c>
      <c r="AG2513" s="474" t="s">
        <v>47</v>
      </c>
      <c r="AH2513" s="447"/>
      <c r="AI2513" s="474">
        <v>75</v>
      </c>
      <c r="AJ2513" s="444" t="s">
        <v>1566</v>
      </c>
      <c r="AK2513" s="444" t="s">
        <v>50</v>
      </c>
      <c r="AL2513" s="408" t="s">
        <v>1567</v>
      </c>
      <c r="AM2513" s="444" t="s">
        <v>52</v>
      </c>
      <c r="AN2513" s="444" t="s">
        <v>1085</v>
      </c>
      <c r="AO2513" s="474"/>
      <c r="AP2513" s="474" t="s">
        <v>92</v>
      </c>
      <c r="AQ2513" s="474" t="s">
        <v>37</v>
      </c>
      <c r="AR2513" s="474"/>
      <c r="AS2513" s="387"/>
      <c r="AT2513" s="387"/>
      <c r="AU2513" s="471"/>
      <c r="AV2513" s="262" t="str">
        <f t="shared" si="447"/>
        <v>30397571C</v>
      </c>
      <c r="AW2513" s="262" cm="1">
        <f t="array" ref="AW2513">SUM(MID(0&amp;AV2513,LARGE(INDEX(ISNUMBER(--MID(AV2513,ROW($1:$8),1))*ROW($1:$8),),ROW($1:$8))+1,1)*10^ROW($1:$8)/10)</f>
        <v>30397571</v>
      </c>
      <c r="AX2513" s="262" t="str">
        <f>VLOOKUP($AW2513,'Item Master Data'!$A:$F,3,FALSE)</f>
        <v>Q.PEAK DUO XL G10 BFG</v>
      </c>
      <c r="AY2513" s="262">
        <f>VLOOKUP($AW2513,'Item Master Data'!$A:$F,6,FALSE)</f>
        <v>475</v>
      </c>
      <c r="AZ2513" s="262">
        <f t="shared" si="448"/>
        <v>22</v>
      </c>
      <c r="BA2513" s="262">
        <f>VLOOKUP(AW2513,'Item Master Data'!$A:$G,7,FALSE)</f>
        <v>29</v>
      </c>
      <c r="BC2513" s="262">
        <f t="shared" si="449"/>
        <v>0</v>
      </c>
    </row>
    <row r="2514" spans="1:55">
      <c r="A2514" s="410"/>
      <c r="B2514" s="407"/>
      <c r="C2514" s="407"/>
      <c r="D2514" s="474" t="s">
        <v>1066</v>
      </c>
      <c r="E2514" s="388"/>
      <c r="F2514" s="474" t="s">
        <v>87</v>
      </c>
      <c r="G2514" s="474">
        <v>2022</v>
      </c>
      <c r="H2514" s="474">
        <v>3</v>
      </c>
      <c r="I2514" s="485">
        <v>127268</v>
      </c>
      <c r="J2514" s="475">
        <v>44634</v>
      </c>
      <c r="K2514" s="474" t="s">
        <v>1569</v>
      </c>
      <c r="L2514" s="475" t="s">
        <v>1561</v>
      </c>
      <c r="M2514" s="475">
        <v>44568</v>
      </c>
      <c r="N2514" s="475">
        <v>44622</v>
      </c>
      <c r="O2514" s="475"/>
      <c r="P2514" s="475">
        <v>44623</v>
      </c>
      <c r="Q2514" s="475">
        <v>44629</v>
      </c>
      <c r="R2514" s="475">
        <v>44634</v>
      </c>
      <c r="S2514" s="474" t="s">
        <v>1563</v>
      </c>
      <c r="T2514" s="474">
        <v>72</v>
      </c>
      <c r="U2514" s="474" t="s">
        <v>1542</v>
      </c>
      <c r="V2514" s="474" t="s">
        <v>1226</v>
      </c>
      <c r="W2514" s="476">
        <v>475</v>
      </c>
      <c r="X2514" s="402">
        <v>638</v>
      </c>
      <c r="Y2514" s="491">
        <f t="shared" si="444"/>
        <v>303050</v>
      </c>
      <c r="Z2514" s="478">
        <v>0.47</v>
      </c>
      <c r="AA2514" s="479">
        <f t="shared" si="445"/>
        <v>142433.5</v>
      </c>
      <c r="AB2514" s="386"/>
      <c r="AC2514" s="481">
        <v>0</v>
      </c>
      <c r="AD2514" s="474"/>
      <c r="AE2514" s="482"/>
      <c r="AF2514" s="493">
        <f t="shared" si="446"/>
        <v>142433.5</v>
      </c>
      <c r="AG2514" s="474" t="s">
        <v>47</v>
      </c>
      <c r="AH2514" s="447"/>
      <c r="AI2514" s="474">
        <v>75</v>
      </c>
      <c r="AJ2514" s="444" t="s">
        <v>1566</v>
      </c>
      <c r="AK2514" s="444" t="s">
        <v>50</v>
      </c>
      <c r="AL2514" s="408" t="s">
        <v>1567</v>
      </c>
      <c r="AM2514" s="444" t="s">
        <v>52</v>
      </c>
      <c r="AN2514" s="444" t="s">
        <v>1085</v>
      </c>
      <c r="AO2514" s="474"/>
      <c r="AP2514" s="474" t="s">
        <v>92</v>
      </c>
      <c r="AQ2514" s="474" t="s">
        <v>37</v>
      </c>
      <c r="AR2514" s="474"/>
      <c r="AS2514" s="387"/>
      <c r="AT2514" s="387"/>
      <c r="AU2514" s="471"/>
      <c r="AV2514" s="262" t="str">
        <f t="shared" si="447"/>
        <v>30397571C</v>
      </c>
      <c r="AW2514" s="262" cm="1">
        <f t="array" ref="AW2514">SUM(MID(0&amp;AV2514,LARGE(INDEX(ISNUMBER(--MID(AV2514,ROW($1:$8),1))*ROW($1:$8),),ROW($1:$8))+1,1)*10^ROW($1:$8)/10)</f>
        <v>30397571</v>
      </c>
      <c r="AX2514" s="262" t="str">
        <f>VLOOKUP($AW2514,'Item Master Data'!$A:$F,3,FALSE)</f>
        <v>Q.PEAK DUO XL G10 BFG</v>
      </c>
      <c r="AY2514" s="262">
        <f>VLOOKUP($AW2514,'Item Master Data'!$A:$F,6,FALSE)</f>
        <v>475</v>
      </c>
      <c r="AZ2514" s="262">
        <f t="shared" si="448"/>
        <v>22</v>
      </c>
      <c r="BA2514" s="262">
        <f>VLOOKUP(AW2514,'Item Master Data'!$A:$G,7,FALSE)</f>
        <v>29</v>
      </c>
      <c r="BC2514" s="262">
        <f t="shared" si="449"/>
        <v>0</v>
      </c>
    </row>
    <row r="2515" spans="1:55">
      <c r="A2515" s="410"/>
      <c r="B2515" s="407"/>
      <c r="C2515" s="407"/>
      <c r="D2515" s="474" t="s">
        <v>1066</v>
      </c>
      <c r="E2515" s="388"/>
      <c r="F2515" s="474" t="s">
        <v>87</v>
      </c>
      <c r="G2515" s="474">
        <v>2022</v>
      </c>
      <c r="H2515" s="474">
        <v>3</v>
      </c>
      <c r="I2515" s="485">
        <v>127272</v>
      </c>
      <c r="J2515" s="475">
        <v>44634</v>
      </c>
      <c r="K2515" s="474" t="s">
        <v>1569</v>
      </c>
      <c r="L2515" s="475" t="s">
        <v>1561</v>
      </c>
      <c r="M2515" s="475">
        <v>44568</v>
      </c>
      <c r="N2515" s="475">
        <v>44622</v>
      </c>
      <c r="O2515" s="475"/>
      <c r="P2515" s="475">
        <v>44623</v>
      </c>
      <c r="Q2515" s="475">
        <v>44629</v>
      </c>
      <c r="R2515" s="475">
        <v>44634</v>
      </c>
      <c r="S2515" s="474" t="s">
        <v>1563</v>
      </c>
      <c r="T2515" s="474">
        <v>72</v>
      </c>
      <c r="U2515" s="474" t="s">
        <v>1542</v>
      </c>
      <c r="V2515" s="474" t="s">
        <v>1226</v>
      </c>
      <c r="W2515" s="476">
        <v>475</v>
      </c>
      <c r="X2515" s="402">
        <v>174</v>
      </c>
      <c r="Y2515" s="491">
        <f t="shared" si="444"/>
        <v>82650</v>
      </c>
      <c r="Z2515" s="478">
        <v>0.47</v>
      </c>
      <c r="AA2515" s="479">
        <f t="shared" si="445"/>
        <v>38845.5</v>
      </c>
      <c r="AB2515" s="386"/>
      <c r="AC2515" s="481">
        <v>0</v>
      </c>
      <c r="AD2515" s="474"/>
      <c r="AE2515" s="482"/>
      <c r="AF2515" s="493">
        <f t="shared" si="446"/>
        <v>38845.5</v>
      </c>
      <c r="AG2515" s="474" t="s">
        <v>47</v>
      </c>
      <c r="AH2515" s="447"/>
      <c r="AI2515" s="474">
        <v>75</v>
      </c>
      <c r="AJ2515" s="444" t="s">
        <v>1566</v>
      </c>
      <c r="AK2515" s="444" t="s">
        <v>50</v>
      </c>
      <c r="AL2515" s="408" t="s">
        <v>1567</v>
      </c>
      <c r="AM2515" s="444" t="s">
        <v>52</v>
      </c>
      <c r="AN2515" s="444" t="s">
        <v>1085</v>
      </c>
      <c r="AO2515" s="474"/>
      <c r="AP2515" s="474" t="s">
        <v>92</v>
      </c>
      <c r="AQ2515" s="474" t="s">
        <v>37</v>
      </c>
      <c r="AR2515" s="474"/>
      <c r="AS2515" s="387"/>
      <c r="AT2515" s="387"/>
      <c r="AU2515" s="471"/>
      <c r="AV2515" s="262" t="str">
        <f t="shared" si="447"/>
        <v>30397571C</v>
      </c>
      <c r="AW2515" s="262" cm="1">
        <f t="array" ref="AW2515">SUM(MID(0&amp;AV2515,LARGE(INDEX(ISNUMBER(--MID(AV2515,ROW($1:$8),1))*ROW($1:$8),),ROW($1:$8))+1,1)*10^ROW($1:$8)/10)</f>
        <v>30397571</v>
      </c>
      <c r="AX2515" s="262" t="str">
        <f>VLOOKUP($AW2515,'Item Master Data'!$A:$F,3,FALSE)</f>
        <v>Q.PEAK DUO XL G10 BFG</v>
      </c>
      <c r="AY2515" s="262">
        <f>VLOOKUP($AW2515,'Item Master Data'!$A:$F,6,FALSE)</f>
        <v>475</v>
      </c>
      <c r="AZ2515" s="262">
        <f t="shared" si="448"/>
        <v>6</v>
      </c>
      <c r="BA2515" s="262">
        <f>VLOOKUP(AW2515,'Item Master Data'!$A:$G,7,FALSE)</f>
        <v>29</v>
      </c>
      <c r="BC2515" s="262">
        <f t="shared" si="449"/>
        <v>0</v>
      </c>
    </row>
    <row r="2516" spans="1:55">
      <c r="A2516" s="410"/>
      <c r="B2516" s="407"/>
      <c r="C2516" s="407"/>
      <c r="D2516" s="474" t="s">
        <v>1066</v>
      </c>
      <c r="E2516" s="388"/>
      <c r="F2516" s="474" t="s">
        <v>87</v>
      </c>
      <c r="G2516" s="474">
        <v>2022</v>
      </c>
      <c r="H2516" s="474">
        <v>3</v>
      </c>
      <c r="I2516" s="485">
        <v>127273</v>
      </c>
      <c r="J2516" s="475">
        <v>44634</v>
      </c>
      <c r="K2516" s="474" t="s">
        <v>1569</v>
      </c>
      <c r="L2516" s="475" t="s">
        <v>1561</v>
      </c>
      <c r="M2516" s="475">
        <v>44568</v>
      </c>
      <c r="N2516" s="475">
        <v>44622</v>
      </c>
      <c r="O2516" s="475"/>
      <c r="P2516" s="475">
        <v>44623</v>
      </c>
      <c r="Q2516" s="475">
        <v>44629</v>
      </c>
      <c r="R2516" s="475">
        <v>44634</v>
      </c>
      <c r="S2516" s="474" t="s">
        <v>1563</v>
      </c>
      <c r="T2516" s="474">
        <v>72</v>
      </c>
      <c r="U2516" s="474" t="s">
        <v>1542</v>
      </c>
      <c r="V2516" s="474" t="s">
        <v>1226</v>
      </c>
      <c r="W2516" s="476">
        <v>475</v>
      </c>
      <c r="X2516" s="402">
        <v>145</v>
      </c>
      <c r="Y2516" s="491">
        <f t="shared" si="444"/>
        <v>68875</v>
      </c>
      <c r="Z2516" s="478">
        <v>0.47</v>
      </c>
      <c r="AA2516" s="479">
        <f t="shared" si="445"/>
        <v>32371.249999999996</v>
      </c>
      <c r="AB2516" s="386"/>
      <c r="AC2516" s="481">
        <v>0</v>
      </c>
      <c r="AD2516" s="474"/>
      <c r="AE2516" s="482"/>
      <c r="AF2516" s="493">
        <f t="shared" si="446"/>
        <v>32371.249999999996</v>
      </c>
      <c r="AG2516" s="474" t="s">
        <v>47</v>
      </c>
      <c r="AH2516" s="447"/>
      <c r="AI2516" s="474">
        <v>75</v>
      </c>
      <c r="AJ2516" s="444" t="s">
        <v>1566</v>
      </c>
      <c r="AK2516" s="444" t="s">
        <v>50</v>
      </c>
      <c r="AL2516" s="408" t="s">
        <v>1567</v>
      </c>
      <c r="AM2516" s="444" t="s">
        <v>52</v>
      </c>
      <c r="AN2516" s="444" t="s">
        <v>1085</v>
      </c>
      <c r="AO2516" s="474"/>
      <c r="AP2516" s="474" t="s">
        <v>92</v>
      </c>
      <c r="AQ2516" s="474" t="s">
        <v>37</v>
      </c>
      <c r="AR2516" s="474"/>
      <c r="AS2516" s="387"/>
      <c r="AT2516" s="387"/>
      <c r="AU2516" s="471"/>
    </row>
    <row r="2517" spans="1:55">
      <c r="A2517" s="410"/>
      <c r="B2517" s="407"/>
      <c r="C2517" s="407"/>
      <c r="D2517" s="474" t="s">
        <v>1066</v>
      </c>
      <c r="E2517" s="388"/>
      <c r="F2517" s="474" t="s">
        <v>87</v>
      </c>
      <c r="G2517" s="474">
        <v>2022</v>
      </c>
      <c r="H2517" s="474">
        <v>3</v>
      </c>
      <c r="I2517" s="485">
        <v>127269</v>
      </c>
      <c r="J2517" s="475">
        <v>44634</v>
      </c>
      <c r="K2517" s="474" t="s">
        <v>1569</v>
      </c>
      <c r="L2517" s="475" t="s">
        <v>1561</v>
      </c>
      <c r="M2517" s="475">
        <v>44568</v>
      </c>
      <c r="N2517" s="475">
        <v>44622</v>
      </c>
      <c r="O2517" s="475"/>
      <c r="P2517" s="475">
        <v>44623</v>
      </c>
      <c r="Q2517" s="475">
        <v>44629</v>
      </c>
      <c r="R2517" s="475">
        <v>44634</v>
      </c>
      <c r="S2517" s="474" t="s">
        <v>1563</v>
      </c>
      <c r="T2517" s="474">
        <v>72</v>
      </c>
      <c r="U2517" s="474" t="s">
        <v>1542</v>
      </c>
      <c r="V2517" s="474" t="s">
        <v>1226</v>
      </c>
      <c r="W2517" s="476">
        <v>475</v>
      </c>
      <c r="X2517" s="402">
        <v>638</v>
      </c>
      <c r="Y2517" s="491">
        <f t="shared" si="444"/>
        <v>303050</v>
      </c>
      <c r="Z2517" s="478">
        <v>0.47</v>
      </c>
      <c r="AA2517" s="479">
        <f t="shared" si="445"/>
        <v>142433.5</v>
      </c>
      <c r="AB2517" s="386"/>
      <c r="AC2517" s="481">
        <v>0</v>
      </c>
      <c r="AD2517" s="474"/>
      <c r="AE2517" s="482"/>
      <c r="AF2517" s="493">
        <f t="shared" si="446"/>
        <v>142433.5</v>
      </c>
      <c r="AG2517" s="474" t="s">
        <v>47</v>
      </c>
      <c r="AH2517" s="447"/>
      <c r="AI2517" s="474">
        <v>75</v>
      </c>
      <c r="AJ2517" s="444" t="s">
        <v>1566</v>
      </c>
      <c r="AK2517" s="444" t="s">
        <v>50</v>
      </c>
      <c r="AL2517" s="408" t="s">
        <v>1567</v>
      </c>
      <c r="AM2517" s="444" t="s">
        <v>52</v>
      </c>
      <c r="AN2517" s="444" t="s">
        <v>1085</v>
      </c>
      <c r="AO2517" s="474"/>
      <c r="AP2517" s="474" t="s">
        <v>92</v>
      </c>
      <c r="AQ2517" s="474" t="s">
        <v>37</v>
      </c>
      <c r="AR2517" s="474"/>
      <c r="AS2517" s="387"/>
      <c r="AT2517" s="387"/>
      <c r="AU2517" s="471"/>
      <c r="AV2517" s="262" t="str">
        <f>U2517</f>
        <v>30397571C</v>
      </c>
      <c r="AW2517" s="262" cm="1">
        <f t="array" ref="AW2517">SUM(MID(0&amp;AV2517,LARGE(INDEX(ISNUMBER(--MID(AV2517,ROW($1:$8),1))*ROW($1:$8),),ROW($1:$8))+1,1)*10^ROW($1:$8)/10)</f>
        <v>30397571</v>
      </c>
      <c r="AX2517" s="262" t="str">
        <f>VLOOKUP($AW2517,'Item Master Data'!$A:$F,3,FALSE)</f>
        <v>Q.PEAK DUO XL G10 BFG</v>
      </c>
      <c r="AY2517" s="262">
        <f>VLOOKUP($AW2517,'Item Master Data'!$A:$F,6,FALSE)</f>
        <v>475</v>
      </c>
      <c r="AZ2517" s="262">
        <f>X2517/BA2517</f>
        <v>22</v>
      </c>
      <c r="BA2517" s="262">
        <f>VLOOKUP(AW2517,'Item Master Data'!$A:$G,7,FALSE)</f>
        <v>29</v>
      </c>
      <c r="BC2517" s="262">
        <f>W2517-AY2517</f>
        <v>0</v>
      </c>
    </row>
    <row r="2518" spans="1:55">
      <c r="A2518" s="410"/>
      <c r="B2518" s="407"/>
      <c r="C2518" s="407"/>
      <c r="D2518" s="474" t="s">
        <v>1066</v>
      </c>
      <c r="E2518" s="388"/>
      <c r="F2518" s="474" t="s">
        <v>87</v>
      </c>
      <c r="G2518" s="474">
        <v>2022</v>
      </c>
      <c r="H2518" s="474">
        <v>3</v>
      </c>
      <c r="I2518" s="485">
        <v>127270</v>
      </c>
      <c r="J2518" s="475">
        <v>44634</v>
      </c>
      <c r="K2518" s="474" t="s">
        <v>1569</v>
      </c>
      <c r="L2518" s="475" t="s">
        <v>1561</v>
      </c>
      <c r="M2518" s="475">
        <v>44568</v>
      </c>
      <c r="N2518" s="475">
        <v>44622</v>
      </c>
      <c r="O2518" s="475"/>
      <c r="P2518" s="475">
        <v>44623</v>
      </c>
      <c r="Q2518" s="475">
        <v>44629</v>
      </c>
      <c r="R2518" s="475">
        <v>44634</v>
      </c>
      <c r="S2518" s="474" t="s">
        <v>1563</v>
      </c>
      <c r="T2518" s="474">
        <v>72</v>
      </c>
      <c r="U2518" s="474" t="s">
        <v>1542</v>
      </c>
      <c r="V2518" s="474" t="s">
        <v>1226</v>
      </c>
      <c r="W2518" s="476">
        <v>475</v>
      </c>
      <c r="X2518" s="402">
        <v>638</v>
      </c>
      <c r="Y2518" s="491">
        <f t="shared" si="444"/>
        <v>303050</v>
      </c>
      <c r="Z2518" s="478">
        <v>0.47</v>
      </c>
      <c r="AA2518" s="479">
        <f t="shared" si="445"/>
        <v>142433.5</v>
      </c>
      <c r="AB2518" s="386"/>
      <c r="AC2518" s="481">
        <v>0</v>
      </c>
      <c r="AD2518" s="474"/>
      <c r="AE2518" s="482"/>
      <c r="AF2518" s="493">
        <f t="shared" si="446"/>
        <v>142433.5</v>
      </c>
      <c r="AG2518" s="474" t="s">
        <v>47</v>
      </c>
      <c r="AH2518" s="447"/>
      <c r="AI2518" s="474">
        <v>75</v>
      </c>
      <c r="AJ2518" s="444" t="s">
        <v>1566</v>
      </c>
      <c r="AK2518" s="444" t="s">
        <v>50</v>
      </c>
      <c r="AL2518" s="408" t="s">
        <v>1567</v>
      </c>
      <c r="AM2518" s="444" t="s">
        <v>52</v>
      </c>
      <c r="AN2518" s="444" t="s">
        <v>1085</v>
      </c>
      <c r="AO2518" s="474"/>
      <c r="AP2518" s="474" t="s">
        <v>92</v>
      </c>
      <c r="AQ2518" s="474" t="s">
        <v>37</v>
      </c>
      <c r="AR2518" s="474"/>
      <c r="AS2518" s="387"/>
      <c r="AT2518" s="387"/>
      <c r="AU2518" s="471"/>
    </row>
    <row r="2519" spans="1:55">
      <c r="A2519" s="410"/>
      <c r="B2519" s="407"/>
      <c r="C2519" s="407"/>
      <c r="D2519" s="474" t="s">
        <v>1066</v>
      </c>
      <c r="E2519" s="475" t="s">
        <v>1122</v>
      </c>
      <c r="F2519" s="474" t="s">
        <v>1147</v>
      </c>
      <c r="G2519" s="474">
        <v>2022</v>
      </c>
      <c r="H2519" s="474">
        <v>3</v>
      </c>
      <c r="I2519" s="485">
        <v>127636</v>
      </c>
      <c r="J2519" s="475">
        <v>44649</v>
      </c>
      <c r="K2519" s="474" t="s">
        <v>1581</v>
      </c>
      <c r="L2519" s="475" t="s">
        <v>1561</v>
      </c>
      <c r="M2519" s="475">
        <v>44468</v>
      </c>
      <c r="N2519" s="475" t="s">
        <v>1571</v>
      </c>
      <c r="O2519" s="475"/>
      <c r="P2519" s="475">
        <v>44596</v>
      </c>
      <c r="Q2519" s="475">
        <v>44644</v>
      </c>
      <c r="R2519" s="475">
        <v>44649</v>
      </c>
      <c r="S2519" s="474" t="s">
        <v>1563</v>
      </c>
      <c r="T2519" s="474">
        <v>60</v>
      </c>
      <c r="U2519" s="474" t="s">
        <v>1573</v>
      </c>
      <c r="V2519" s="474" t="s">
        <v>1574</v>
      </c>
      <c r="W2519" s="476">
        <v>400</v>
      </c>
      <c r="X2519" s="402">
        <v>624</v>
      </c>
      <c r="Y2519" s="491">
        <f t="shared" si="444"/>
        <v>249600</v>
      </c>
      <c r="Z2519" s="478">
        <v>0.44</v>
      </c>
      <c r="AA2519" s="479">
        <f t="shared" si="445"/>
        <v>109824</v>
      </c>
      <c r="AB2519" s="386"/>
      <c r="AC2519" s="481">
        <v>0</v>
      </c>
      <c r="AD2519" s="474"/>
      <c r="AE2519" s="482"/>
      <c r="AF2519" s="493">
        <f t="shared" si="446"/>
        <v>109824</v>
      </c>
      <c r="AG2519" s="474" t="s">
        <v>47</v>
      </c>
      <c r="AH2519" s="447"/>
      <c r="AI2519" s="474">
        <v>75</v>
      </c>
      <c r="AJ2519" s="474" t="s">
        <v>1580</v>
      </c>
      <c r="AK2519" s="474" t="s">
        <v>1073</v>
      </c>
      <c r="AL2519" s="494">
        <v>21075</v>
      </c>
      <c r="AM2519" s="474" t="s">
        <v>52</v>
      </c>
      <c r="AN2519" s="474" t="s">
        <v>1568</v>
      </c>
      <c r="AO2519" s="474"/>
      <c r="AP2519" s="474" t="s">
        <v>92</v>
      </c>
      <c r="AQ2519" s="474" t="s">
        <v>37</v>
      </c>
      <c r="AR2519" s="474"/>
      <c r="AS2519" s="387"/>
      <c r="AT2519" s="387"/>
      <c r="AU2519" s="471"/>
    </row>
    <row r="2520" spans="1:55">
      <c r="A2520" s="410"/>
      <c r="B2520" s="407"/>
      <c r="C2520" s="407"/>
      <c r="D2520" s="474" t="s">
        <v>1066</v>
      </c>
      <c r="E2520" s="475" t="s">
        <v>1122</v>
      </c>
      <c r="F2520" s="474" t="s">
        <v>1147</v>
      </c>
      <c r="G2520" s="474">
        <v>2022</v>
      </c>
      <c r="H2520" s="474">
        <v>3</v>
      </c>
      <c r="I2520" s="485">
        <v>127635</v>
      </c>
      <c r="J2520" s="475">
        <v>44649</v>
      </c>
      <c r="K2520" s="474" t="s">
        <v>1581</v>
      </c>
      <c r="L2520" s="475" t="s">
        <v>1561</v>
      </c>
      <c r="M2520" s="475">
        <v>44468</v>
      </c>
      <c r="N2520" s="475" t="s">
        <v>1571</v>
      </c>
      <c r="O2520" s="475"/>
      <c r="P2520" s="475">
        <v>44596</v>
      </c>
      <c r="Q2520" s="475">
        <v>44644</v>
      </c>
      <c r="R2520" s="475">
        <v>44649</v>
      </c>
      <c r="S2520" s="474" t="s">
        <v>1563</v>
      </c>
      <c r="T2520" s="474">
        <v>60</v>
      </c>
      <c r="U2520" s="474" t="s">
        <v>1573</v>
      </c>
      <c r="V2520" s="474" t="s">
        <v>1574</v>
      </c>
      <c r="W2520" s="476">
        <v>400</v>
      </c>
      <c r="X2520" s="402">
        <v>624</v>
      </c>
      <c r="Y2520" s="491">
        <f t="shared" si="444"/>
        <v>249600</v>
      </c>
      <c r="Z2520" s="478">
        <v>0.44</v>
      </c>
      <c r="AA2520" s="479">
        <f t="shared" si="445"/>
        <v>109824</v>
      </c>
      <c r="AB2520" s="386"/>
      <c r="AC2520" s="481">
        <v>0</v>
      </c>
      <c r="AD2520" s="474"/>
      <c r="AE2520" s="482"/>
      <c r="AF2520" s="493">
        <f t="shared" si="446"/>
        <v>109824</v>
      </c>
      <c r="AG2520" s="474" t="s">
        <v>47</v>
      </c>
      <c r="AH2520" s="447"/>
      <c r="AI2520" s="474">
        <v>75</v>
      </c>
      <c r="AJ2520" s="474" t="s">
        <v>1580</v>
      </c>
      <c r="AK2520" s="474" t="s">
        <v>1073</v>
      </c>
      <c r="AL2520" s="494">
        <v>21075</v>
      </c>
      <c r="AM2520" s="474" t="s">
        <v>52</v>
      </c>
      <c r="AN2520" s="474" t="s">
        <v>1568</v>
      </c>
      <c r="AO2520" s="474"/>
      <c r="AP2520" s="474" t="s">
        <v>92</v>
      </c>
      <c r="AQ2520" s="474" t="s">
        <v>37</v>
      </c>
      <c r="AR2520" s="474"/>
      <c r="AS2520" s="387"/>
      <c r="AT2520" s="387"/>
      <c r="AU2520" s="471"/>
    </row>
    <row r="2521" spans="1:55">
      <c r="A2521" s="410"/>
      <c r="B2521" s="407"/>
      <c r="C2521" s="407"/>
      <c r="D2521" s="474" t="s">
        <v>1066</v>
      </c>
      <c r="E2521" s="475" t="s">
        <v>1122</v>
      </c>
      <c r="F2521" s="474" t="s">
        <v>1147</v>
      </c>
      <c r="G2521" s="474">
        <v>2022</v>
      </c>
      <c r="H2521" s="474">
        <v>3</v>
      </c>
      <c r="I2521" s="485">
        <v>127634</v>
      </c>
      <c r="J2521" s="475">
        <v>44649</v>
      </c>
      <c r="K2521" s="474" t="s">
        <v>1581</v>
      </c>
      <c r="L2521" s="475" t="s">
        <v>1561</v>
      </c>
      <c r="M2521" s="475">
        <v>44468</v>
      </c>
      <c r="N2521" s="475" t="s">
        <v>1571</v>
      </c>
      <c r="O2521" s="475"/>
      <c r="P2521" s="475">
        <v>44596</v>
      </c>
      <c r="Q2521" s="475">
        <v>44644</v>
      </c>
      <c r="R2521" s="475">
        <v>44649</v>
      </c>
      <c r="S2521" s="474" t="s">
        <v>1563</v>
      </c>
      <c r="T2521" s="474">
        <v>60</v>
      </c>
      <c r="U2521" s="474" t="s">
        <v>1573</v>
      </c>
      <c r="V2521" s="474" t="s">
        <v>1574</v>
      </c>
      <c r="W2521" s="476">
        <v>400</v>
      </c>
      <c r="X2521" s="402">
        <v>624</v>
      </c>
      <c r="Y2521" s="491">
        <f t="shared" si="444"/>
        <v>249600</v>
      </c>
      <c r="Z2521" s="478">
        <v>0.44</v>
      </c>
      <c r="AA2521" s="479">
        <f t="shared" si="445"/>
        <v>109824</v>
      </c>
      <c r="AB2521" s="386"/>
      <c r="AC2521" s="481">
        <v>0</v>
      </c>
      <c r="AD2521" s="474"/>
      <c r="AE2521" s="482"/>
      <c r="AF2521" s="493">
        <f t="shared" si="446"/>
        <v>109824</v>
      </c>
      <c r="AG2521" s="474" t="s">
        <v>47</v>
      </c>
      <c r="AH2521" s="447"/>
      <c r="AI2521" s="474">
        <v>75</v>
      </c>
      <c r="AJ2521" s="474" t="s">
        <v>1580</v>
      </c>
      <c r="AK2521" s="474" t="s">
        <v>1073</v>
      </c>
      <c r="AL2521" s="494">
        <v>21075</v>
      </c>
      <c r="AM2521" s="474" t="s">
        <v>52</v>
      </c>
      <c r="AN2521" s="474" t="s">
        <v>1568</v>
      </c>
      <c r="AO2521" s="474"/>
      <c r="AP2521" s="474" t="s">
        <v>92</v>
      </c>
      <c r="AQ2521" s="474" t="s">
        <v>37</v>
      </c>
      <c r="AR2521" s="474"/>
      <c r="AS2521" s="387"/>
      <c r="AT2521" s="387"/>
      <c r="AU2521" s="471"/>
      <c r="AV2521" s="262" t="str">
        <f>U2521</f>
        <v>30390256C</v>
      </c>
      <c r="AW2521" s="262" cm="1">
        <f t="array" ref="AW2521">SUM(MID(0&amp;AV2521,LARGE(INDEX(ISNUMBER(--MID(AV2521,ROW($1:$8),1))*ROW($1:$8),),ROW($1:$8))+1,1)*10^ROW($1:$8)/10)</f>
        <v>30390256</v>
      </c>
      <c r="AX2521" s="262" t="str">
        <f>VLOOKUP($AW2521,'Item Master Data'!$A:$F,3,FALSE)</f>
        <v>T400H</v>
      </c>
      <c r="AY2521" s="262">
        <f>VLOOKUP($AW2521,'Item Master Data'!$A:$F,6,FALSE)</f>
        <v>400</v>
      </c>
      <c r="AZ2521" s="262">
        <f>X2521/BA2521</f>
        <v>24</v>
      </c>
      <c r="BA2521" s="262">
        <f>VLOOKUP(AW2521,'Item Master Data'!$A:$G,7,FALSE)</f>
        <v>26</v>
      </c>
      <c r="BC2521" s="262">
        <f>W2521-AY2521</f>
        <v>0</v>
      </c>
    </row>
    <row r="2522" spans="1:55">
      <c r="A2522" s="410"/>
      <c r="B2522" s="407"/>
      <c r="C2522" s="407"/>
      <c r="D2522" s="474" t="s">
        <v>1066</v>
      </c>
      <c r="E2522" s="475" t="s">
        <v>1122</v>
      </c>
      <c r="F2522" s="474" t="s">
        <v>1147</v>
      </c>
      <c r="G2522" s="474">
        <v>2022</v>
      </c>
      <c r="H2522" s="474">
        <v>3</v>
      </c>
      <c r="I2522" s="485">
        <v>127633</v>
      </c>
      <c r="J2522" s="475">
        <v>44649</v>
      </c>
      <c r="K2522" s="474" t="s">
        <v>1581</v>
      </c>
      <c r="L2522" s="475" t="s">
        <v>1561</v>
      </c>
      <c r="M2522" s="475">
        <v>44468</v>
      </c>
      <c r="N2522" s="475" t="s">
        <v>1571</v>
      </c>
      <c r="O2522" s="475"/>
      <c r="P2522" s="475">
        <v>44596</v>
      </c>
      <c r="Q2522" s="475">
        <v>44644</v>
      </c>
      <c r="R2522" s="475">
        <v>44649</v>
      </c>
      <c r="S2522" s="474" t="s">
        <v>1563</v>
      </c>
      <c r="T2522" s="474">
        <v>60</v>
      </c>
      <c r="U2522" s="474" t="s">
        <v>1573</v>
      </c>
      <c r="V2522" s="474" t="s">
        <v>1574</v>
      </c>
      <c r="W2522" s="476">
        <v>400</v>
      </c>
      <c r="X2522" s="402">
        <v>624</v>
      </c>
      <c r="Y2522" s="491">
        <f t="shared" si="444"/>
        <v>249600</v>
      </c>
      <c r="Z2522" s="478">
        <v>0.44</v>
      </c>
      <c r="AA2522" s="479">
        <f t="shared" si="445"/>
        <v>109824</v>
      </c>
      <c r="AB2522" s="386"/>
      <c r="AC2522" s="481">
        <v>0</v>
      </c>
      <c r="AD2522" s="474"/>
      <c r="AE2522" s="482"/>
      <c r="AF2522" s="493">
        <f t="shared" si="446"/>
        <v>109824</v>
      </c>
      <c r="AG2522" s="474" t="s">
        <v>47</v>
      </c>
      <c r="AH2522" s="447"/>
      <c r="AI2522" s="474">
        <v>75</v>
      </c>
      <c r="AJ2522" s="474" t="s">
        <v>1580</v>
      </c>
      <c r="AK2522" s="474" t="s">
        <v>1073</v>
      </c>
      <c r="AL2522" s="494">
        <v>21075</v>
      </c>
      <c r="AM2522" s="474" t="s">
        <v>52</v>
      </c>
      <c r="AN2522" s="474" t="s">
        <v>1568</v>
      </c>
      <c r="AO2522" s="474"/>
      <c r="AP2522" s="474" t="s">
        <v>92</v>
      </c>
      <c r="AQ2522" s="474" t="s">
        <v>37</v>
      </c>
      <c r="AR2522" s="474"/>
      <c r="AS2522" s="387"/>
      <c r="AT2522" s="387"/>
      <c r="AU2522" s="471"/>
      <c r="AV2522" s="262" t="str">
        <f>U2522</f>
        <v>30390256C</v>
      </c>
      <c r="AW2522" s="262" cm="1">
        <f t="array" ref="AW2522">SUM(MID(0&amp;AV2522,LARGE(INDEX(ISNUMBER(--MID(AV2522,ROW($1:$8),1))*ROW($1:$8),),ROW($1:$8))+1,1)*10^ROW($1:$8)/10)</f>
        <v>30390256</v>
      </c>
      <c r="AX2522" s="262" t="str">
        <f>VLOOKUP($AW2522,'Item Master Data'!$A:$F,3,FALSE)</f>
        <v>T400H</v>
      </c>
      <c r="AY2522" s="262">
        <f>VLOOKUP($AW2522,'Item Master Data'!$A:$F,6,FALSE)</f>
        <v>400</v>
      </c>
      <c r="AZ2522" s="262">
        <f>X2522/BA2522</f>
        <v>24</v>
      </c>
      <c r="BA2522" s="262">
        <f>VLOOKUP(AW2522,'Item Master Data'!$A:$G,7,FALSE)</f>
        <v>26</v>
      </c>
      <c r="BC2522" s="262">
        <f>W2522-AY2522</f>
        <v>0</v>
      </c>
    </row>
    <row r="2523" spans="1:55">
      <c r="A2523" s="410"/>
      <c r="B2523" s="407"/>
      <c r="C2523" s="407"/>
      <c r="D2523" s="474" t="s">
        <v>1066</v>
      </c>
      <c r="E2523" s="475" t="s">
        <v>1122</v>
      </c>
      <c r="F2523" s="474" t="s">
        <v>1147</v>
      </c>
      <c r="G2523" s="474">
        <v>2022</v>
      </c>
      <c r="H2523" s="474">
        <v>3</v>
      </c>
      <c r="I2523" s="485">
        <v>127632</v>
      </c>
      <c r="J2523" s="475">
        <v>44649</v>
      </c>
      <c r="K2523" s="474" t="s">
        <v>1581</v>
      </c>
      <c r="L2523" s="475" t="s">
        <v>1561</v>
      </c>
      <c r="M2523" s="475">
        <v>44468</v>
      </c>
      <c r="N2523" s="475" t="s">
        <v>1571</v>
      </c>
      <c r="O2523" s="475"/>
      <c r="P2523" s="475">
        <v>44596</v>
      </c>
      <c r="Q2523" s="475">
        <v>44644</v>
      </c>
      <c r="R2523" s="475">
        <v>44649</v>
      </c>
      <c r="S2523" s="474" t="s">
        <v>1563</v>
      </c>
      <c r="T2523" s="474">
        <v>60</v>
      </c>
      <c r="U2523" s="474" t="s">
        <v>1573</v>
      </c>
      <c r="V2523" s="474" t="s">
        <v>1574</v>
      </c>
      <c r="W2523" s="476">
        <v>400</v>
      </c>
      <c r="X2523" s="402">
        <v>624</v>
      </c>
      <c r="Y2523" s="491">
        <f t="shared" si="444"/>
        <v>249600</v>
      </c>
      <c r="Z2523" s="478">
        <v>0.44</v>
      </c>
      <c r="AA2523" s="479">
        <f t="shared" si="445"/>
        <v>109824</v>
      </c>
      <c r="AB2523" s="386"/>
      <c r="AC2523" s="481">
        <v>0</v>
      </c>
      <c r="AD2523" s="474"/>
      <c r="AE2523" s="482"/>
      <c r="AF2523" s="493">
        <f t="shared" si="446"/>
        <v>109824</v>
      </c>
      <c r="AG2523" s="474" t="s">
        <v>47</v>
      </c>
      <c r="AH2523" s="447"/>
      <c r="AI2523" s="474">
        <v>75</v>
      </c>
      <c r="AJ2523" s="474" t="s">
        <v>1580</v>
      </c>
      <c r="AK2523" s="474" t="s">
        <v>1073</v>
      </c>
      <c r="AL2523" s="494">
        <v>21075</v>
      </c>
      <c r="AM2523" s="474" t="s">
        <v>52</v>
      </c>
      <c r="AN2523" s="474" t="s">
        <v>1568</v>
      </c>
      <c r="AO2523" s="474"/>
      <c r="AP2523" s="474" t="s">
        <v>92</v>
      </c>
      <c r="AQ2523" s="474" t="s">
        <v>37</v>
      </c>
      <c r="AR2523" s="474"/>
      <c r="AS2523" s="387"/>
      <c r="AT2523" s="387"/>
      <c r="AU2523" s="471"/>
      <c r="AV2523" s="262" t="str">
        <f>U2523</f>
        <v>30390256C</v>
      </c>
      <c r="AW2523" s="262" cm="1">
        <f t="array" ref="AW2523">SUM(MID(0&amp;AV2523,LARGE(INDEX(ISNUMBER(--MID(AV2523,ROW($1:$8),1))*ROW($1:$8),),ROW($1:$8))+1,1)*10^ROW($1:$8)/10)</f>
        <v>30390256</v>
      </c>
      <c r="AX2523" s="262" t="str">
        <f>VLOOKUP($AW2523,'Item Master Data'!$A:$F,3,FALSE)</f>
        <v>T400H</v>
      </c>
      <c r="AY2523" s="262">
        <f>VLOOKUP($AW2523,'Item Master Data'!$A:$F,6,FALSE)</f>
        <v>400</v>
      </c>
      <c r="AZ2523" s="262">
        <f>X2523/BA2523</f>
        <v>24</v>
      </c>
      <c r="BA2523" s="262">
        <f>VLOOKUP(AW2523,'Item Master Data'!$A:$G,7,FALSE)</f>
        <v>26</v>
      </c>
      <c r="BC2523" s="262">
        <f>W2523-AY2523</f>
        <v>0</v>
      </c>
    </row>
    <row r="2524" spans="1:55">
      <c r="A2524" s="410"/>
      <c r="B2524" s="407"/>
      <c r="C2524" s="407"/>
      <c r="D2524" s="474" t="s">
        <v>1066</v>
      </c>
      <c r="E2524" s="475" t="s">
        <v>1122</v>
      </c>
      <c r="F2524" s="474" t="s">
        <v>1147</v>
      </c>
      <c r="G2524" s="474">
        <v>2022</v>
      </c>
      <c r="H2524" s="474">
        <v>3</v>
      </c>
      <c r="I2524" s="485">
        <v>127637</v>
      </c>
      <c r="J2524" s="475">
        <v>44649</v>
      </c>
      <c r="K2524" s="474" t="s">
        <v>1581</v>
      </c>
      <c r="L2524" s="475" t="s">
        <v>1561</v>
      </c>
      <c r="M2524" s="475">
        <v>44468</v>
      </c>
      <c r="N2524" s="475" t="s">
        <v>1571</v>
      </c>
      <c r="O2524" s="475"/>
      <c r="P2524" s="475">
        <v>44596</v>
      </c>
      <c r="Q2524" s="475">
        <v>44644</v>
      </c>
      <c r="R2524" s="475">
        <v>44649</v>
      </c>
      <c r="S2524" s="474" t="s">
        <v>1563</v>
      </c>
      <c r="T2524" s="474">
        <v>60</v>
      </c>
      <c r="U2524" s="474" t="s">
        <v>1573</v>
      </c>
      <c r="V2524" s="474" t="s">
        <v>1574</v>
      </c>
      <c r="W2524" s="476">
        <v>400</v>
      </c>
      <c r="X2524" s="402">
        <v>624</v>
      </c>
      <c r="Y2524" s="491">
        <f t="shared" si="444"/>
        <v>249600</v>
      </c>
      <c r="Z2524" s="478">
        <v>0.44</v>
      </c>
      <c r="AA2524" s="479">
        <f t="shared" si="445"/>
        <v>109824</v>
      </c>
      <c r="AB2524" s="386"/>
      <c r="AC2524" s="481">
        <v>0</v>
      </c>
      <c r="AD2524" s="474"/>
      <c r="AE2524" s="482"/>
      <c r="AF2524" s="493">
        <f t="shared" si="446"/>
        <v>109824</v>
      </c>
      <c r="AG2524" s="474" t="s">
        <v>47</v>
      </c>
      <c r="AH2524" s="447"/>
      <c r="AI2524" s="474">
        <v>75</v>
      </c>
      <c r="AJ2524" s="474" t="s">
        <v>1580</v>
      </c>
      <c r="AK2524" s="474" t="s">
        <v>1073</v>
      </c>
      <c r="AL2524" s="494">
        <v>21075</v>
      </c>
      <c r="AM2524" s="474" t="s">
        <v>52</v>
      </c>
      <c r="AN2524" s="474" t="s">
        <v>1568</v>
      </c>
      <c r="AO2524" s="474"/>
      <c r="AP2524" s="474" t="s">
        <v>92</v>
      </c>
      <c r="AQ2524" s="474" t="s">
        <v>37</v>
      </c>
      <c r="AR2524" s="474"/>
      <c r="AS2524" s="387"/>
      <c r="AT2524" s="387"/>
      <c r="AU2524" s="471"/>
    </row>
    <row r="2525" spans="1:55">
      <c r="A2525" s="410"/>
      <c r="B2525" s="407"/>
      <c r="C2525" s="407"/>
      <c r="D2525" s="474" t="s">
        <v>1066</v>
      </c>
      <c r="E2525" s="388"/>
      <c r="F2525" s="474" t="s">
        <v>1147</v>
      </c>
      <c r="G2525" s="474">
        <v>2022</v>
      </c>
      <c r="H2525" s="474">
        <v>3</v>
      </c>
      <c r="I2525" s="485">
        <v>127483</v>
      </c>
      <c r="J2525" s="475">
        <v>44643</v>
      </c>
      <c r="K2525" s="474" t="s">
        <v>1582</v>
      </c>
      <c r="L2525" s="475" t="s">
        <v>1561</v>
      </c>
      <c r="M2525" s="475">
        <v>44468</v>
      </c>
      <c r="N2525" s="475" t="s">
        <v>1571</v>
      </c>
      <c r="O2525" s="475"/>
      <c r="P2525" s="475">
        <v>44636</v>
      </c>
      <c r="Q2525" s="475">
        <v>44641</v>
      </c>
      <c r="R2525" s="475">
        <v>44643</v>
      </c>
      <c r="S2525" s="474" t="s">
        <v>1563</v>
      </c>
      <c r="T2525" s="474">
        <v>60</v>
      </c>
      <c r="U2525" s="474" t="s">
        <v>1583</v>
      </c>
      <c r="V2525" s="474" t="s">
        <v>1565</v>
      </c>
      <c r="W2525" s="476">
        <v>395</v>
      </c>
      <c r="X2525" s="402">
        <v>624</v>
      </c>
      <c r="Y2525" s="491">
        <f t="shared" si="444"/>
        <v>246480</v>
      </c>
      <c r="Z2525" s="478">
        <v>0.44</v>
      </c>
      <c r="AA2525" s="479">
        <f t="shared" si="445"/>
        <v>108451.2</v>
      </c>
      <c r="AB2525" s="386"/>
      <c r="AC2525" s="481">
        <v>0</v>
      </c>
      <c r="AD2525" s="474"/>
      <c r="AE2525" s="482"/>
      <c r="AF2525" s="493">
        <f t="shared" si="446"/>
        <v>108451.2</v>
      </c>
      <c r="AG2525" s="501" t="s">
        <v>47</v>
      </c>
      <c r="AH2525" s="409"/>
      <c r="AI2525" s="501">
        <v>75</v>
      </c>
      <c r="AJ2525" s="501" t="s">
        <v>1580</v>
      </c>
      <c r="AK2525" s="501" t="s">
        <v>1073</v>
      </c>
      <c r="AL2525" s="509">
        <v>21075</v>
      </c>
      <c r="AM2525" s="501" t="s">
        <v>52</v>
      </c>
      <c r="AN2525" s="501" t="s">
        <v>1085</v>
      </c>
      <c r="AO2525" s="474"/>
      <c r="AP2525" s="474" t="s">
        <v>92</v>
      </c>
      <c r="AQ2525" s="474" t="s">
        <v>37</v>
      </c>
      <c r="AR2525" s="474"/>
      <c r="AS2525" s="387"/>
      <c r="AT2525" s="387"/>
      <c r="AU2525" s="471"/>
    </row>
    <row r="2526" spans="1:55">
      <c r="A2526" s="410"/>
      <c r="B2526" s="407"/>
      <c r="C2526" s="407"/>
      <c r="D2526" s="474" t="s">
        <v>1066</v>
      </c>
      <c r="E2526" s="388"/>
      <c r="F2526" s="474" t="s">
        <v>1147</v>
      </c>
      <c r="G2526" s="474">
        <v>2022</v>
      </c>
      <c r="H2526" s="474">
        <v>3</v>
      </c>
      <c r="I2526" s="485">
        <v>127482</v>
      </c>
      <c r="J2526" s="475">
        <v>44643</v>
      </c>
      <c r="K2526" s="474" t="s">
        <v>1582</v>
      </c>
      <c r="L2526" s="475" t="s">
        <v>1561</v>
      </c>
      <c r="M2526" s="475">
        <v>44468</v>
      </c>
      <c r="N2526" s="475" t="s">
        <v>1571</v>
      </c>
      <c r="O2526" s="475"/>
      <c r="P2526" s="475">
        <v>44636</v>
      </c>
      <c r="Q2526" s="475">
        <v>44641</v>
      </c>
      <c r="R2526" s="475">
        <v>44643</v>
      </c>
      <c r="S2526" s="474" t="s">
        <v>1563</v>
      </c>
      <c r="T2526" s="474">
        <v>60</v>
      </c>
      <c r="U2526" s="474" t="s">
        <v>1583</v>
      </c>
      <c r="V2526" s="474" t="s">
        <v>1565</v>
      </c>
      <c r="W2526" s="476">
        <v>395</v>
      </c>
      <c r="X2526" s="402">
        <v>624</v>
      </c>
      <c r="Y2526" s="491">
        <f t="shared" si="444"/>
        <v>246480</v>
      </c>
      <c r="Z2526" s="478">
        <v>0.44</v>
      </c>
      <c r="AA2526" s="479">
        <f t="shared" si="445"/>
        <v>108451.2</v>
      </c>
      <c r="AB2526" s="386"/>
      <c r="AC2526" s="481">
        <v>0</v>
      </c>
      <c r="AD2526" s="474"/>
      <c r="AE2526" s="482"/>
      <c r="AF2526" s="493">
        <f t="shared" si="446"/>
        <v>108451.2</v>
      </c>
      <c r="AG2526" s="501" t="s">
        <v>47</v>
      </c>
      <c r="AH2526" s="409"/>
      <c r="AI2526" s="501">
        <v>75</v>
      </c>
      <c r="AJ2526" s="501" t="s">
        <v>1580</v>
      </c>
      <c r="AK2526" s="501" t="s">
        <v>1073</v>
      </c>
      <c r="AL2526" s="509">
        <v>21075</v>
      </c>
      <c r="AM2526" s="501" t="s">
        <v>52</v>
      </c>
      <c r="AN2526" s="501" t="s">
        <v>1085</v>
      </c>
      <c r="AO2526" s="474"/>
      <c r="AP2526" s="474" t="s">
        <v>92</v>
      </c>
      <c r="AQ2526" s="474" t="s">
        <v>37</v>
      </c>
      <c r="AR2526" s="474"/>
      <c r="AS2526" s="387"/>
      <c r="AT2526" s="387"/>
      <c r="AU2526" s="471"/>
    </row>
    <row r="2527" spans="1:55">
      <c r="A2527" s="410"/>
      <c r="B2527" s="407"/>
      <c r="C2527" s="407"/>
      <c r="D2527" s="474" t="s">
        <v>1066</v>
      </c>
      <c r="E2527" s="388"/>
      <c r="F2527" s="474" t="s">
        <v>87</v>
      </c>
      <c r="G2527" s="474">
        <v>2022</v>
      </c>
      <c r="H2527" s="474">
        <v>3</v>
      </c>
      <c r="I2527" s="485">
        <v>127271</v>
      </c>
      <c r="J2527" s="475">
        <v>44634</v>
      </c>
      <c r="K2527" s="474" t="s">
        <v>1569</v>
      </c>
      <c r="L2527" s="475" t="s">
        <v>1561</v>
      </c>
      <c r="M2527" s="475">
        <v>44568</v>
      </c>
      <c r="N2527" s="475">
        <v>44622</v>
      </c>
      <c r="O2527" s="475"/>
      <c r="P2527" s="475">
        <v>44623</v>
      </c>
      <c r="Q2527" s="475">
        <v>44629</v>
      </c>
      <c r="R2527" s="475">
        <v>44634</v>
      </c>
      <c r="S2527" s="474" t="s">
        <v>1563</v>
      </c>
      <c r="T2527" s="474">
        <v>72</v>
      </c>
      <c r="U2527" s="474" t="s">
        <v>1542</v>
      </c>
      <c r="V2527" s="474" t="s">
        <v>1226</v>
      </c>
      <c r="W2527" s="476">
        <v>475</v>
      </c>
      <c r="X2527" s="402">
        <v>638</v>
      </c>
      <c r="Y2527" s="491">
        <f t="shared" si="444"/>
        <v>303050</v>
      </c>
      <c r="Z2527" s="478">
        <v>0.47</v>
      </c>
      <c r="AA2527" s="479">
        <f t="shared" si="445"/>
        <v>142433.5</v>
      </c>
      <c r="AB2527" s="386"/>
      <c r="AC2527" s="481">
        <v>0</v>
      </c>
      <c r="AD2527" s="474"/>
      <c r="AE2527" s="482"/>
      <c r="AF2527" s="493">
        <f t="shared" si="446"/>
        <v>142433.5</v>
      </c>
      <c r="AG2527" s="474" t="s">
        <v>47</v>
      </c>
      <c r="AH2527" s="447"/>
      <c r="AI2527" s="474">
        <v>75</v>
      </c>
      <c r="AJ2527" s="444" t="s">
        <v>1566</v>
      </c>
      <c r="AK2527" s="444" t="s">
        <v>50</v>
      </c>
      <c r="AL2527" s="408" t="s">
        <v>1567</v>
      </c>
      <c r="AM2527" s="444" t="s">
        <v>52</v>
      </c>
      <c r="AN2527" s="444" t="s">
        <v>1085</v>
      </c>
      <c r="AO2527" s="474"/>
      <c r="AP2527" s="474" t="s">
        <v>92</v>
      </c>
      <c r="AQ2527" s="474" t="s">
        <v>37</v>
      </c>
      <c r="AR2527" s="474"/>
      <c r="AS2527" s="387"/>
      <c r="AT2527" s="387"/>
      <c r="AU2527" s="471"/>
    </row>
    <row r="2528" spans="1:55">
      <c r="A2528" s="410"/>
      <c r="B2528" s="407"/>
      <c r="C2528" s="407"/>
      <c r="D2528" s="474" t="s">
        <v>1066</v>
      </c>
      <c r="E2528" s="388"/>
      <c r="F2528" s="474" t="s">
        <v>87</v>
      </c>
      <c r="G2528" s="474">
        <v>2022</v>
      </c>
      <c r="H2528" s="474">
        <v>3</v>
      </c>
      <c r="I2528" s="485">
        <v>127275</v>
      </c>
      <c r="J2528" s="475">
        <v>44635</v>
      </c>
      <c r="K2528" s="474" t="s">
        <v>1569</v>
      </c>
      <c r="L2528" s="475" t="s">
        <v>1561</v>
      </c>
      <c r="M2528" s="475">
        <v>44568</v>
      </c>
      <c r="N2528" s="475">
        <v>44622</v>
      </c>
      <c r="O2528" s="475"/>
      <c r="P2528" s="475">
        <v>44623</v>
      </c>
      <c r="Q2528" s="475">
        <v>44630</v>
      </c>
      <c r="R2528" s="475">
        <v>44635</v>
      </c>
      <c r="S2528" s="474" t="s">
        <v>1563</v>
      </c>
      <c r="T2528" s="474">
        <v>72</v>
      </c>
      <c r="U2528" s="474" t="s">
        <v>1542</v>
      </c>
      <c r="V2528" s="474" t="s">
        <v>1226</v>
      </c>
      <c r="W2528" s="476">
        <v>475</v>
      </c>
      <c r="X2528" s="402">
        <v>638</v>
      </c>
      <c r="Y2528" s="491">
        <f t="shared" si="444"/>
        <v>303050</v>
      </c>
      <c r="Z2528" s="478">
        <v>0.47</v>
      </c>
      <c r="AA2528" s="479">
        <f t="shared" si="445"/>
        <v>142433.5</v>
      </c>
      <c r="AB2528" s="386"/>
      <c r="AC2528" s="481">
        <v>0</v>
      </c>
      <c r="AD2528" s="474"/>
      <c r="AE2528" s="482"/>
      <c r="AF2528" s="493">
        <f t="shared" si="446"/>
        <v>142433.5</v>
      </c>
      <c r="AG2528" s="474" t="s">
        <v>47</v>
      </c>
      <c r="AH2528" s="447"/>
      <c r="AI2528" s="474">
        <v>75</v>
      </c>
      <c r="AJ2528" s="444" t="s">
        <v>1566</v>
      </c>
      <c r="AK2528" s="444" t="s">
        <v>50</v>
      </c>
      <c r="AL2528" s="408" t="s">
        <v>1567</v>
      </c>
      <c r="AM2528" s="444" t="s">
        <v>52</v>
      </c>
      <c r="AN2528" s="444" t="s">
        <v>1085</v>
      </c>
      <c r="AO2528" s="474"/>
      <c r="AP2528" s="474" t="s">
        <v>92</v>
      </c>
      <c r="AQ2528" s="474" t="s">
        <v>37</v>
      </c>
      <c r="AR2528" s="474"/>
      <c r="AS2528" s="387"/>
      <c r="AT2528" s="387"/>
      <c r="AU2528" s="471"/>
    </row>
    <row r="2529" spans="1:55">
      <c r="A2529" s="410"/>
      <c r="B2529" s="407"/>
      <c r="C2529" s="407"/>
      <c r="D2529" s="474" t="s">
        <v>1066</v>
      </c>
      <c r="E2529" s="388"/>
      <c r="F2529" s="474" t="s">
        <v>87</v>
      </c>
      <c r="G2529" s="474">
        <v>2022</v>
      </c>
      <c r="H2529" s="474">
        <v>3</v>
      </c>
      <c r="I2529" s="485">
        <v>127274</v>
      </c>
      <c r="J2529" s="475">
        <v>44635</v>
      </c>
      <c r="K2529" s="474" t="s">
        <v>1569</v>
      </c>
      <c r="L2529" s="475" t="s">
        <v>1561</v>
      </c>
      <c r="M2529" s="475">
        <v>44568</v>
      </c>
      <c r="N2529" s="475">
        <v>44622</v>
      </c>
      <c r="O2529" s="475"/>
      <c r="P2529" s="475">
        <v>44623</v>
      </c>
      <c r="Q2529" s="475">
        <v>44630</v>
      </c>
      <c r="R2529" s="475">
        <v>44635</v>
      </c>
      <c r="S2529" s="474" t="s">
        <v>1563</v>
      </c>
      <c r="T2529" s="474">
        <v>72</v>
      </c>
      <c r="U2529" s="474" t="s">
        <v>1542</v>
      </c>
      <c r="V2529" s="474" t="s">
        <v>1226</v>
      </c>
      <c r="W2529" s="476">
        <v>475</v>
      </c>
      <c r="X2529" s="402">
        <v>638</v>
      </c>
      <c r="Y2529" s="491">
        <f t="shared" si="444"/>
        <v>303050</v>
      </c>
      <c r="Z2529" s="478">
        <v>0.47</v>
      </c>
      <c r="AA2529" s="479">
        <f t="shared" si="445"/>
        <v>142433.5</v>
      </c>
      <c r="AB2529" s="386"/>
      <c r="AC2529" s="481">
        <v>0</v>
      </c>
      <c r="AD2529" s="474"/>
      <c r="AE2529" s="482"/>
      <c r="AF2529" s="493">
        <f t="shared" si="446"/>
        <v>142433.5</v>
      </c>
      <c r="AG2529" s="474" t="s">
        <v>47</v>
      </c>
      <c r="AH2529" s="447"/>
      <c r="AI2529" s="474">
        <v>75</v>
      </c>
      <c r="AJ2529" s="444" t="s">
        <v>1566</v>
      </c>
      <c r="AK2529" s="444" t="s">
        <v>50</v>
      </c>
      <c r="AL2529" s="408" t="s">
        <v>1567</v>
      </c>
      <c r="AM2529" s="444" t="s">
        <v>52</v>
      </c>
      <c r="AN2529" s="444" t="s">
        <v>1085</v>
      </c>
      <c r="AO2529" s="474"/>
      <c r="AP2529" s="474" t="s">
        <v>92</v>
      </c>
      <c r="AQ2529" s="474" t="s">
        <v>37</v>
      </c>
      <c r="AR2529" s="474"/>
      <c r="AS2529" s="387"/>
      <c r="AT2529" s="387"/>
      <c r="AU2529" s="471"/>
    </row>
    <row r="2530" spans="1:55">
      <c r="A2530" s="410"/>
      <c r="B2530" s="407"/>
      <c r="C2530" s="407"/>
      <c r="D2530" s="474" t="s">
        <v>1066</v>
      </c>
      <c r="E2530" s="388" t="s">
        <v>1122</v>
      </c>
      <c r="F2530" s="474" t="s">
        <v>1147</v>
      </c>
      <c r="G2530" s="474">
        <v>2022</v>
      </c>
      <c r="H2530" s="474">
        <v>3</v>
      </c>
      <c r="I2530" s="485">
        <v>127291</v>
      </c>
      <c r="J2530" s="475">
        <v>44634</v>
      </c>
      <c r="K2530" s="474" t="s">
        <v>1581</v>
      </c>
      <c r="L2530" s="475" t="s">
        <v>1561</v>
      </c>
      <c r="M2530" s="475">
        <v>44468</v>
      </c>
      <c r="N2530" s="475" t="s">
        <v>1571</v>
      </c>
      <c r="O2530" s="475"/>
      <c r="P2530" s="475">
        <v>44596</v>
      </c>
      <c r="Q2530" s="475">
        <v>44629</v>
      </c>
      <c r="R2530" s="475">
        <v>44634</v>
      </c>
      <c r="S2530" s="474" t="s">
        <v>1563</v>
      </c>
      <c r="T2530" s="474">
        <v>60</v>
      </c>
      <c r="U2530" s="474" t="s">
        <v>1573</v>
      </c>
      <c r="V2530" s="474" t="s">
        <v>1574</v>
      </c>
      <c r="W2530" s="476">
        <v>400</v>
      </c>
      <c r="X2530" s="402">
        <v>624</v>
      </c>
      <c r="Y2530" s="491">
        <f t="shared" si="444"/>
        <v>249600</v>
      </c>
      <c r="Z2530" s="478">
        <v>0.44</v>
      </c>
      <c r="AA2530" s="479">
        <f t="shared" si="445"/>
        <v>109824</v>
      </c>
      <c r="AB2530" s="386"/>
      <c r="AC2530" s="481">
        <v>0</v>
      </c>
      <c r="AD2530" s="474"/>
      <c r="AE2530" s="482"/>
      <c r="AF2530" s="493">
        <f t="shared" si="446"/>
        <v>109824</v>
      </c>
      <c r="AG2530" s="474" t="s">
        <v>47</v>
      </c>
      <c r="AH2530" s="447"/>
      <c r="AI2530" s="474">
        <v>75</v>
      </c>
      <c r="AJ2530" s="474" t="s">
        <v>1580</v>
      </c>
      <c r="AK2530" s="474" t="s">
        <v>1073</v>
      </c>
      <c r="AL2530" s="494">
        <v>21075</v>
      </c>
      <c r="AM2530" s="474" t="s">
        <v>52</v>
      </c>
      <c r="AN2530" s="474" t="s">
        <v>1568</v>
      </c>
      <c r="AO2530" s="474"/>
      <c r="AP2530" s="474" t="s">
        <v>92</v>
      </c>
      <c r="AQ2530" s="474" t="s">
        <v>37</v>
      </c>
      <c r="AR2530" s="474"/>
      <c r="AS2530" s="387"/>
      <c r="AT2530" s="387"/>
      <c r="AU2530" s="471"/>
      <c r="AV2530" s="262" t="str">
        <f t="shared" ref="AV2530:AV2543" si="450">U2530</f>
        <v>30390256C</v>
      </c>
      <c r="AW2530" s="262" cm="1">
        <f t="array" ref="AW2530">SUM(MID(0&amp;AV2530,LARGE(INDEX(ISNUMBER(--MID(AV2530,ROW($1:$8),1))*ROW($1:$8),),ROW($1:$8))+1,1)*10^ROW($1:$8)/10)</f>
        <v>30390256</v>
      </c>
      <c r="AX2530" s="262" t="str">
        <f>VLOOKUP($AW2530,'Item Master Data'!$A:$F,3,FALSE)</f>
        <v>T400H</v>
      </c>
      <c r="AY2530" s="262">
        <f>VLOOKUP($AW2530,'Item Master Data'!$A:$F,6,FALSE)</f>
        <v>400</v>
      </c>
      <c r="AZ2530" s="262">
        <f t="shared" ref="AZ2530:AZ2543" si="451">X2530/BA2530</f>
        <v>24</v>
      </c>
      <c r="BA2530" s="262">
        <f>VLOOKUP(AW2530,'Item Master Data'!$A:$G,7,FALSE)</f>
        <v>26</v>
      </c>
      <c r="BC2530" s="262">
        <f t="shared" ref="BC2530:BC2543" si="452">W2530-AY2530</f>
        <v>0</v>
      </c>
    </row>
    <row r="2531" spans="1:55">
      <c r="A2531" s="410"/>
      <c r="B2531" s="407"/>
      <c r="C2531" s="407"/>
      <c r="D2531" s="474" t="s">
        <v>1066</v>
      </c>
      <c r="E2531" s="388" t="s">
        <v>1122</v>
      </c>
      <c r="F2531" s="474" t="s">
        <v>1147</v>
      </c>
      <c r="G2531" s="474">
        <v>2022</v>
      </c>
      <c r="H2531" s="474">
        <v>3</v>
      </c>
      <c r="I2531" s="485">
        <v>127299</v>
      </c>
      <c r="J2531" s="475">
        <v>44624</v>
      </c>
      <c r="K2531" s="474" t="s">
        <v>1584</v>
      </c>
      <c r="L2531" s="475" t="s">
        <v>1561</v>
      </c>
      <c r="M2531" s="475">
        <v>44468</v>
      </c>
      <c r="N2531" s="475" t="s">
        <v>1571</v>
      </c>
      <c r="O2531" s="475"/>
      <c r="P2531" s="475">
        <v>44596</v>
      </c>
      <c r="Q2531" s="475">
        <v>44622</v>
      </c>
      <c r="R2531" s="475">
        <v>44624</v>
      </c>
      <c r="S2531" s="474" t="s">
        <v>1563</v>
      </c>
      <c r="T2531" s="474">
        <v>60</v>
      </c>
      <c r="U2531" s="474" t="s">
        <v>1573</v>
      </c>
      <c r="V2531" s="474" t="s">
        <v>1574</v>
      </c>
      <c r="W2531" s="476">
        <v>400</v>
      </c>
      <c r="X2531" s="402">
        <v>624</v>
      </c>
      <c r="Y2531" s="491">
        <f t="shared" si="444"/>
        <v>249600</v>
      </c>
      <c r="Z2531" s="478">
        <v>0.44</v>
      </c>
      <c r="AA2531" s="492">
        <f t="shared" si="445"/>
        <v>109824</v>
      </c>
      <c r="AB2531" s="386"/>
      <c r="AC2531" s="481">
        <v>0</v>
      </c>
      <c r="AD2531" s="474"/>
      <c r="AE2531" s="482"/>
      <c r="AF2531" s="493">
        <f t="shared" si="446"/>
        <v>109824</v>
      </c>
      <c r="AG2531" s="474" t="s">
        <v>47</v>
      </c>
      <c r="AH2531" s="447"/>
      <c r="AI2531" s="474">
        <v>75</v>
      </c>
      <c r="AJ2531" s="474" t="s">
        <v>1575</v>
      </c>
      <c r="AK2531" s="474" t="s">
        <v>50</v>
      </c>
      <c r="AL2531" s="494">
        <v>94544</v>
      </c>
      <c r="AM2531" s="474" t="s">
        <v>52</v>
      </c>
      <c r="AN2531" s="474" t="s">
        <v>1568</v>
      </c>
      <c r="AO2531" s="474"/>
      <c r="AP2531" s="474" t="s">
        <v>92</v>
      </c>
      <c r="AQ2531" s="474" t="s">
        <v>37</v>
      </c>
      <c r="AR2531" s="474"/>
      <c r="AS2531" s="387"/>
      <c r="AT2531" s="387"/>
      <c r="AU2531" s="471"/>
      <c r="AV2531" s="262" t="str">
        <f t="shared" si="450"/>
        <v>30390256C</v>
      </c>
      <c r="AW2531" s="262" cm="1">
        <f t="array" ref="AW2531">SUM(MID(0&amp;AV2531,LARGE(INDEX(ISNUMBER(--MID(AV2531,ROW($1:$8),1))*ROW($1:$8),),ROW($1:$8))+1,1)*10^ROW($1:$8)/10)</f>
        <v>30390256</v>
      </c>
      <c r="AX2531" s="262" t="str">
        <f>VLOOKUP($AW2531,'Item Master Data'!$A:$F,3,FALSE)</f>
        <v>T400H</v>
      </c>
      <c r="AY2531" s="262">
        <f>VLOOKUP($AW2531,'Item Master Data'!$A:$F,6,FALSE)</f>
        <v>400</v>
      </c>
      <c r="AZ2531" s="262">
        <f t="shared" si="451"/>
        <v>24</v>
      </c>
      <c r="BA2531" s="262">
        <f>VLOOKUP(AW2531,'Item Master Data'!$A:$G,7,FALSE)</f>
        <v>26</v>
      </c>
      <c r="BC2531" s="262">
        <f t="shared" si="452"/>
        <v>0</v>
      </c>
    </row>
    <row r="2532" spans="1:55">
      <c r="A2532" s="410"/>
      <c r="B2532" s="407"/>
      <c r="C2532" s="407"/>
      <c r="D2532" s="474" t="s">
        <v>1066</v>
      </c>
      <c r="E2532" s="388"/>
      <c r="F2532" s="474" t="s">
        <v>1147</v>
      </c>
      <c r="G2532" s="474">
        <v>2022</v>
      </c>
      <c r="H2532" s="474">
        <v>3</v>
      </c>
      <c r="I2532" s="485">
        <v>127367</v>
      </c>
      <c r="J2532" s="475">
        <v>44635</v>
      </c>
      <c r="K2532" s="474" t="s">
        <v>1585</v>
      </c>
      <c r="L2532" s="475" t="s">
        <v>1561</v>
      </c>
      <c r="M2532" s="475">
        <v>44468</v>
      </c>
      <c r="N2532" s="475" t="s">
        <v>1586</v>
      </c>
      <c r="O2532" s="475"/>
      <c r="P2532" s="475">
        <v>44623</v>
      </c>
      <c r="Q2532" s="475">
        <v>44634</v>
      </c>
      <c r="R2532" s="475">
        <v>44635</v>
      </c>
      <c r="S2532" s="474" t="s">
        <v>1563</v>
      </c>
      <c r="T2532" s="474">
        <v>60</v>
      </c>
      <c r="U2532" s="474" t="s">
        <v>1583</v>
      </c>
      <c r="V2532" s="474" t="s">
        <v>1565</v>
      </c>
      <c r="W2532" s="476">
        <v>395</v>
      </c>
      <c r="X2532" s="402">
        <v>624</v>
      </c>
      <c r="Y2532" s="491">
        <f t="shared" si="444"/>
        <v>246480</v>
      </c>
      <c r="Z2532" s="478">
        <v>0.44</v>
      </c>
      <c r="AA2532" s="479">
        <f t="shared" si="445"/>
        <v>108451.2</v>
      </c>
      <c r="AB2532" s="386"/>
      <c r="AC2532" s="481">
        <v>0</v>
      </c>
      <c r="AD2532" s="474"/>
      <c r="AE2532" s="482"/>
      <c r="AF2532" s="493">
        <f t="shared" si="446"/>
        <v>108451.2</v>
      </c>
      <c r="AG2532" s="501" t="s">
        <v>47</v>
      </c>
      <c r="AH2532" s="409"/>
      <c r="AI2532" s="501">
        <v>75</v>
      </c>
      <c r="AJ2532" s="501" t="s">
        <v>1566</v>
      </c>
      <c r="AK2532" s="501" t="s">
        <v>50</v>
      </c>
      <c r="AL2532" s="509" t="s">
        <v>1567</v>
      </c>
      <c r="AM2532" s="501" t="s">
        <v>52</v>
      </c>
      <c r="AN2532" s="501" t="s">
        <v>50</v>
      </c>
      <c r="AO2532" s="474"/>
      <c r="AP2532" s="474" t="s">
        <v>92</v>
      </c>
      <c r="AQ2532" s="474" t="s">
        <v>37</v>
      </c>
      <c r="AR2532" s="474"/>
      <c r="AS2532" s="387"/>
      <c r="AT2532" s="387"/>
      <c r="AU2532" s="471"/>
      <c r="AV2532" s="262" t="str">
        <f t="shared" si="450"/>
        <v>30390255H</v>
      </c>
      <c r="AW2532" s="262" cm="1">
        <f t="array" ref="AW2532">SUM(MID(0&amp;AV2532,LARGE(INDEX(ISNUMBER(--MID(AV2532,ROW($1:$8),1))*ROW($1:$8),),ROW($1:$8))+1,1)*10^ROW($1:$8)/10)</f>
        <v>30390255</v>
      </c>
      <c r="AX2532" s="262" t="str">
        <f>VLOOKUP($AW2532,'Item Master Data'!$A:$F,3,FALSE)</f>
        <v>T395H</v>
      </c>
      <c r="AY2532" s="262">
        <f>VLOOKUP($AW2532,'Item Master Data'!$A:$F,6,FALSE)</f>
        <v>395</v>
      </c>
      <c r="AZ2532" s="262">
        <f t="shared" si="451"/>
        <v>24</v>
      </c>
      <c r="BA2532" s="262">
        <f>VLOOKUP(AW2532,'Item Master Data'!$A:$G,7,FALSE)</f>
        <v>26</v>
      </c>
      <c r="BC2532" s="262">
        <f t="shared" si="452"/>
        <v>0</v>
      </c>
    </row>
    <row r="2533" spans="1:55">
      <c r="A2533" s="410"/>
      <c r="B2533" s="407"/>
      <c r="C2533" s="407"/>
      <c r="D2533" s="474" t="s">
        <v>1066</v>
      </c>
      <c r="E2533" s="388"/>
      <c r="F2533" s="474" t="s">
        <v>1147</v>
      </c>
      <c r="G2533" s="474">
        <v>2022</v>
      </c>
      <c r="H2533" s="474">
        <v>3</v>
      </c>
      <c r="I2533" s="485">
        <v>127366</v>
      </c>
      <c r="J2533" s="475">
        <v>44637</v>
      </c>
      <c r="K2533" s="474" t="s">
        <v>1585</v>
      </c>
      <c r="L2533" s="475" t="s">
        <v>1561</v>
      </c>
      <c r="M2533" s="475">
        <v>44468</v>
      </c>
      <c r="N2533" s="475" t="s">
        <v>1586</v>
      </c>
      <c r="O2533" s="475"/>
      <c r="P2533" s="475">
        <v>44623</v>
      </c>
      <c r="Q2533" s="475">
        <v>44636</v>
      </c>
      <c r="R2533" s="475">
        <v>44637</v>
      </c>
      <c r="S2533" s="474" t="s">
        <v>1563</v>
      </c>
      <c r="T2533" s="474">
        <v>60</v>
      </c>
      <c r="U2533" s="474" t="s">
        <v>1583</v>
      </c>
      <c r="V2533" s="474" t="s">
        <v>1565</v>
      </c>
      <c r="W2533" s="476">
        <v>395</v>
      </c>
      <c r="X2533" s="402">
        <v>624</v>
      </c>
      <c r="Y2533" s="491">
        <f t="shared" si="444"/>
        <v>246480</v>
      </c>
      <c r="Z2533" s="478">
        <v>0.44</v>
      </c>
      <c r="AA2533" s="479">
        <f t="shared" si="445"/>
        <v>108451.2</v>
      </c>
      <c r="AB2533" s="386"/>
      <c r="AC2533" s="481">
        <v>0</v>
      </c>
      <c r="AD2533" s="474"/>
      <c r="AE2533" s="482"/>
      <c r="AF2533" s="493">
        <f t="shared" si="446"/>
        <v>108451.2</v>
      </c>
      <c r="AG2533" s="501" t="s">
        <v>47</v>
      </c>
      <c r="AH2533" s="409"/>
      <c r="AI2533" s="501">
        <v>75</v>
      </c>
      <c r="AJ2533" s="501" t="s">
        <v>1566</v>
      </c>
      <c r="AK2533" s="501" t="s">
        <v>50</v>
      </c>
      <c r="AL2533" s="509" t="s">
        <v>1567</v>
      </c>
      <c r="AM2533" s="501" t="s">
        <v>52</v>
      </c>
      <c r="AN2533" s="501" t="s">
        <v>50</v>
      </c>
      <c r="AO2533" s="474"/>
      <c r="AP2533" s="474" t="s">
        <v>92</v>
      </c>
      <c r="AQ2533" s="474" t="s">
        <v>37</v>
      </c>
      <c r="AR2533" s="474"/>
      <c r="AS2533" s="387"/>
      <c r="AT2533" s="387"/>
      <c r="AU2533" s="471"/>
      <c r="AV2533" s="262" t="str">
        <f t="shared" si="450"/>
        <v>30390255H</v>
      </c>
      <c r="AW2533" s="262" cm="1">
        <f t="array" ref="AW2533">SUM(MID(0&amp;AV2533,LARGE(INDEX(ISNUMBER(--MID(AV2533,ROW($1:$8),1))*ROW($1:$8),),ROW($1:$8))+1,1)*10^ROW($1:$8)/10)</f>
        <v>30390255</v>
      </c>
      <c r="AX2533" s="262" t="str">
        <f>VLOOKUP($AW2533,'Item Master Data'!$A:$F,3,FALSE)</f>
        <v>T395H</v>
      </c>
      <c r="AY2533" s="262">
        <f>VLOOKUP($AW2533,'Item Master Data'!$A:$F,6,FALSE)</f>
        <v>395</v>
      </c>
      <c r="AZ2533" s="262">
        <f t="shared" si="451"/>
        <v>24</v>
      </c>
      <c r="BA2533" s="262">
        <f>VLOOKUP(AW2533,'Item Master Data'!$A:$G,7,FALSE)</f>
        <v>26</v>
      </c>
      <c r="BC2533" s="262">
        <f t="shared" si="452"/>
        <v>0</v>
      </c>
    </row>
    <row r="2534" spans="1:55">
      <c r="A2534" s="410"/>
      <c r="B2534" s="407"/>
      <c r="C2534" s="407"/>
      <c r="D2534" s="474" t="s">
        <v>1066</v>
      </c>
      <c r="E2534" s="388"/>
      <c r="F2534" s="474" t="s">
        <v>1147</v>
      </c>
      <c r="G2534" s="474">
        <v>2022</v>
      </c>
      <c r="H2534" s="474">
        <v>3</v>
      </c>
      <c r="I2534" s="485">
        <v>127484</v>
      </c>
      <c r="J2534" s="475">
        <v>44643</v>
      </c>
      <c r="K2534" s="474" t="s">
        <v>1582</v>
      </c>
      <c r="L2534" s="475" t="s">
        <v>1561</v>
      </c>
      <c r="M2534" s="475">
        <v>44468</v>
      </c>
      <c r="N2534" s="475" t="s">
        <v>1571</v>
      </c>
      <c r="O2534" s="475"/>
      <c r="P2534" s="475">
        <v>44636</v>
      </c>
      <c r="Q2534" s="475">
        <v>44641</v>
      </c>
      <c r="R2534" s="475">
        <v>44643</v>
      </c>
      <c r="S2534" s="474" t="s">
        <v>1563</v>
      </c>
      <c r="T2534" s="474">
        <v>60</v>
      </c>
      <c r="U2534" s="474" t="s">
        <v>1583</v>
      </c>
      <c r="V2534" s="474" t="s">
        <v>1565</v>
      </c>
      <c r="W2534" s="476">
        <v>395</v>
      </c>
      <c r="X2534" s="402">
        <v>624</v>
      </c>
      <c r="Y2534" s="491">
        <f t="shared" si="444"/>
        <v>246480</v>
      </c>
      <c r="Z2534" s="478">
        <v>0.44</v>
      </c>
      <c r="AA2534" s="479">
        <f t="shared" si="445"/>
        <v>108451.2</v>
      </c>
      <c r="AB2534" s="386"/>
      <c r="AC2534" s="481">
        <v>0</v>
      </c>
      <c r="AD2534" s="474"/>
      <c r="AE2534" s="482"/>
      <c r="AF2534" s="493">
        <f t="shared" si="446"/>
        <v>108451.2</v>
      </c>
      <c r="AG2534" s="501" t="s">
        <v>47</v>
      </c>
      <c r="AH2534" s="409"/>
      <c r="AI2534" s="501">
        <v>75</v>
      </c>
      <c r="AJ2534" s="501" t="s">
        <v>1580</v>
      </c>
      <c r="AK2534" s="501" t="s">
        <v>1073</v>
      </c>
      <c r="AL2534" s="509">
        <v>21075</v>
      </c>
      <c r="AM2534" s="501" t="s">
        <v>52</v>
      </c>
      <c r="AN2534" s="501" t="s">
        <v>1085</v>
      </c>
      <c r="AO2534" s="474"/>
      <c r="AP2534" s="474" t="s">
        <v>92</v>
      </c>
      <c r="AQ2534" s="474" t="s">
        <v>37</v>
      </c>
      <c r="AR2534" s="474"/>
      <c r="AS2534" s="387"/>
      <c r="AT2534" s="387"/>
      <c r="AU2534" s="471"/>
      <c r="AV2534" s="262" t="str">
        <f t="shared" si="450"/>
        <v>30390255H</v>
      </c>
      <c r="AW2534" s="262" cm="1">
        <f t="array" ref="AW2534">SUM(MID(0&amp;AV2534,LARGE(INDEX(ISNUMBER(--MID(AV2534,ROW($1:$8),1))*ROW($1:$8),),ROW($1:$8))+1,1)*10^ROW($1:$8)/10)</f>
        <v>30390255</v>
      </c>
      <c r="AX2534" s="262" t="str">
        <f>VLOOKUP($AW2534,'Item Master Data'!$A:$F,3,FALSE)</f>
        <v>T395H</v>
      </c>
      <c r="AY2534" s="262">
        <f>VLOOKUP($AW2534,'Item Master Data'!$A:$F,6,FALSE)</f>
        <v>395</v>
      </c>
      <c r="AZ2534" s="262">
        <f t="shared" si="451"/>
        <v>24</v>
      </c>
      <c r="BA2534" s="262">
        <f>VLOOKUP(AW2534,'Item Master Data'!$A:$G,7,FALSE)</f>
        <v>26</v>
      </c>
      <c r="BC2534" s="262">
        <f t="shared" si="452"/>
        <v>0</v>
      </c>
    </row>
    <row r="2535" spans="1:55">
      <c r="A2535" s="410"/>
      <c r="B2535" s="407"/>
      <c r="C2535" s="407"/>
      <c r="D2535" s="474" t="s">
        <v>1066</v>
      </c>
      <c r="E2535" s="388"/>
      <c r="F2535" s="474" t="s">
        <v>1147</v>
      </c>
      <c r="G2535" s="474">
        <v>2022</v>
      </c>
      <c r="H2535" s="474">
        <v>4</v>
      </c>
      <c r="I2535" s="485">
        <v>127901</v>
      </c>
      <c r="J2535" s="475">
        <v>44656</v>
      </c>
      <c r="K2535" s="474" t="s">
        <v>1585</v>
      </c>
      <c r="L2535" s="475" t="s">
        <v>1561</v>
      </c>
      <c r="M2535" s="475">
        <v>44468</v>
      </c>
      <c r="N2535" s="475" t="s">
        <v>1586</v>
      </c>
      <c r="O2535" s="475"/>
      <c r="P2535" s="475">
        <v>44623</v>
      </c>
      <c r="Q2535" s="475">
        <v>44655</v>
      </c>
      <c r="R2535" s="475">
        <v>44656</v>
      </c>
      <c r="S2535" s="474" t="s">
        <v>1563</v>
      </c>
      <c r="T2535" s="474">
        <v>60</v>
      </c>
      <c r="U2535" s="474" t="s">
        <v>1583</v>
      </c>
      <c r="V2535" s="474" t="s">
        <v>1565</v>
      </c>
      <c r="W2535" s="476">
        <v>395</v>
      </c>
      <c r="X2535" s="402">
        <v>624</v>
      </c>
      <c r="Y2535" s="491">
        <f t="shared" si="444"/>
        <v>246480</v>
      </c>
      <c r="Z2535" s="478">
        <v>0.48</v>
      </c>
      <c r="AA2535" s="479">
        <f t="shared" si="445"/>
        <v>118310.39999999999</v>
      </c>
      <c r="AB2535" s="386"/>
      <c r="AC2535" s="481">
        <v>0</v>
      </c>
      <c r="AD2535" s="474"/>
      <c r="AE2535" s="482"/>
      <c r="AF2535" s="493">
        <f t="shared" si="446"/>
        <v>118310.39999999999</v>
      </c>
      <c r="AG2535" s="501" t="s">
        <v>47</v>
      </c>
      <c r="AH2535" s="409"/>
      <c r="AI2535" s="501">
        <v>75</v>
      </c>
      <c r="AJ2535" s="501" t="s">
        <v>1566</v>
      </c>
      <c r="AK2535" s="501" t="s">
        <v>50</v>
      </c>
      <c r="AL2535" s="509" t="s">
        <v>1567</v>
      </c>
      <c r="AM2535" s="501" t="s">
        <v>52</v>
      </c>
      <c r="AN2535" s="501" t="s">
        <v>50</v>
      </c>
      <c r="AO2535" s="474"/>
      <c r="AP2535" s="474" t="s">
        <v>92</v>
      </c>
      <c r="AQ2535" s="474" t="s">
        <v>37</v>
      </c>
      <c r="AR2535" s="474"/>
      <c r="AS2535" s="387"/>
      <c r="AT2535" s="387"/>
      <c r="AU2535" s="471"/>
      <c r="AV2535" s="262" t="str">
        <f t="shared" si="450"/>
        <v>30390255H</v>
      </c>
      <c r="AW2535" s="262" cm="1">
        <f t="array" ref="AW2535">SUM(MID(0&amp;AV2535,LARGE(INDEX(ISNUMBER(--MID(AV2535,ROW($1:$8),1))*ROW($1:$8),),ROW($1:$8))+1,1)*10^ROW($1:$8)/10)</f>
        <v>30390255</v>
      </c>
      <c r="AX2535" s="262" t="str">
        <f>VLOOKUP($AW2535,'Item Master Data'!$A:$F,3,FALSE)</f>
        <v>T395H</v>
      </c>
      <c r="AY2535" s="262">
        <f>VLOOKUP($AW2535,'Item Master Data'!$A:$F,6,FALSE)</f>
        <v>395</v>
      </c>
      <c r="AZ2535" s="262">
        <f t="shared" si="451"/>
        <v>24</v>
      </c>
      <c r="BA2535" s="262">
        <f>VLOOKUP(AW2535,'Item Master Data'!$A:$G,7,FALSE)</f>
        <v>26</v>
      </c>
      <c r="BC2535" s="262">
        <f t="shared" si="452"/>
        <v>0</v>
      </c>
    </row>
    <row r="2536" spans="1:55">
      <c r="A2536" s="410"/>
      <c r="B2536" s="407"/>
      <c r="C2536" s="407"/>
      <c r="D2536" s="474" t="s">
        <v>1066</v>
      </c>
      <c r="E2536" s="388"/>
      <c r="F2536" s="474" t="s">
        <v>1147</v>
      </c>
      <c r="G2536" s="474">
        <v>2022</v>
      </c>
      <c r="H2536" s="474">
        <v>4</v>
      </c>
      <c r="I2536" s="485">
        <v>128196</v>
      </c>
      <c r="J2536" s="475">
        <v>44672</v>
      </c>
      <c r="K2536" s="474" t="s">
        <v>1628</v>
      </c>
      <c r="L2536" s="475" t="s">
        <v>1561</v>
      </c>
      <c r="M2536" s="475">
        <v>44468</v>
      </c>
      <c r="N2536" s="475" t="s">
        <v>1586</v>
      </c>
      <c r="O2536" s="475"/>
      <c r="P2536" s="475">
        <v>44663</v>
      </c>
      <c r="Q2536" s="475">
        <v>44671</v>
      </c>
      <c r="R2536" s="475">
        <v>44672</v>
      </c>
      <c r="S2536" s="474" t="s">
        <v>1563</v>
      </c>
      <c r="T2536" s="474">
        <v>60</v>
      </c>
      <c r="U2536" s="474" t="s">
        <v>1583</v>
      </c>
      <c r="V2536" s="474" t="s">
        <v>1565</v>
      </c>
      <c r="W2536" s="476">
        <v>395</v>
      </c>
      <c r="X2536" s="402">
        <v>624</v>
      </c>
      <c r="Y2536" s="491">
        <f t="shared" si="444"/>
        <v>246480</v>
      </c>
      <c r="Z2536" s="478">
        <v>0.48</v>
      </c>
      <c r="AA2536" s="492">
        <f t="shared" si="445"/>
        <v>118310.39999999999</v>
      </c>
      <c r="AB2536" s="386"/>
      <c r="AC2536" s="481">
        <v>0</v>
      </c>
      <c r="AD2536" s="474"/>
      <c r="AE2536" s="482"/>
      <c r="AF2536" s="493">
        <f t="shared" si="446"/>
        <v>118310.39999999999</v>
      </c>
      <c r="AG2536" s="474" t="s">
        <v>47</v>
      </c>
      <c r="AH2536" s="447"/>
      <c r="AI2536" s="474">
        <v>75</v>
      </c>
      <c r="AJ2536" s="474" t="s">
        <v>1566</v>
      </c>
      <c r="AK2536" s="474" t="s">
        <v>50</v>
      </c>
      <c r="AL2536" s="494" t="s">
        <v>1567</v>
      </c>
      <c r="AM2536" s="474" t="s">
        <v>52</v>
      </c>
      <c r="AN2536" s="474" t="s">
        <v>50</v>
      </c>
      <c r="AO2536" s="474"/>
      <c r="AP2536" s="474" t="s">
        <v>92</v>
      </c>
      <c r="AQ2536" s="474" t="s">
        <v>37</v>
      </c>
      <c r="AR2536" s="474"/>
      <c r="AS2536" s="387"/>
      <c r="AT2536" s="387"/>
      <c r="AU2536" s="471"/>
      <c r="AV2536" s="262" t="str">
        <f t="shared" si="450"/>
        <v>30390255H</v>
      </c>
      <c r="AW2536" s="262" cm="1">
        <f t="array" ref="AW2536">SUM(MID(0&amp;AV2536,LARGE(INDEX(ISNUMBER(--MID(AV2536,ROW($1:$8),1))*ROW($1:$8),),ROW($1:$8))+1,1)*10^ROW($1:$8)/10)</f>
        <v>30390255</v>
      </c>
      <c r="AX2536" s="262" t="str">
        <f>VLOOKUP($AW2536,'Item Master Data'!$A:$F,3,FALSE)</f>
        <v>T395H</v>
      </c>
      <c r="AY2536" s="262">
        <f>VLOOKUP($AW2536,'Item Master Data'!$A:$F,6,FALSE)</f>
        <v>395</v>
      </c>
      <c r="AZ2536" s="262">
        <f t="shared" si="451"/>
        <v>24</v>
      </c>
      <c r="BA2536" s="262">
        <f>VLOOKUP(AW2536,'Item Master Data'!$A:$G,7,FALSE)</f>
        <v>26</v>
      </c>
      <c r="BC2536" s="262">
        <f t="shared" si="452"/>
        <v>0</v>
      </c>
    </row>
    <row r="2537" spans="1:55">
      <c r="A2537" s="410"/>
      <c r="B2537" s="407"/>
      <c r="C2537" s="407"/>
      <c r="D2537" s="474" t="s">
        <v>1066</v>
      </c>
      <c r="E2537" s="388"/>
      <c r="F2537" s="474" t="s">
        <v>87</v>
      </c>
      <c r="G2537" s="474">
        <v>2022</v>
      </c>
      <c r="H2537" s="474">
        <v>3</v>
      </c>
      <c r="I2537" s="485">
        <v>127520</v>
      </c>
      <c r="J2537" s="475">
        <v>44643</v>
      </c>
      <c r="K2537" s="474" t="s">
        <v>1569</v>
      </c>
      <c r="L2537" s="475" t="s">
        <v>1561</v>
      </c>
      <c r="M2537" s="475">
        <v>44568</v>
      </c>
      <c r="N2537" s="475">
        <v>44622</v>
      </c>
      <c r="O2537" s="475"/>
      <c r="P2537" s="475">
        <v>44623</v>
      </c>
      <c r="Q2537" s="475">
        <v>44641</v>
      </c>
      <c r="R2537" s="475">
        <v>44643</v>
      </c>
      <c r="S2537" s="474" t="s">
        <v>1563</v>
      </c>
      <c r="T2537" s="474">
        <v>72</v>
      </c>
      <c r="U2537" s="474" t="s">
        <v>1542</v>
      </c>
      <c r="V2537" s="474" t="s">
        <v>1226</v>
      </c>
      <c r="W2537" s="476">
        <v>475</v>
      </c>
      <c r="X2537" s="402">
        <v>638</v>
      </c>
      <c r="Y2537" s="491">
        <f t="shared" si="444"/>
        <v>303050</v>
      </c>
      <c r="Z2537" s="478">
        <v>0.47</v>
      </c>
      <c r="AA2537" s="479">
        <f t="shared" si="445"/>
        <v>142433.5</v>
      </c>
      <c r="AB2537" s="386"/>
      <c r="AC2537" s="481">
        <v>0</v>
      </c>
      <c r="AD2537" s="474"/>
      <c r="AE2537" s="482"/>
      <c r="AF2537" s="493">
        <f t="shared" si="446"/>
        <v>142433.5</v>
      </c>
      <c r="AG2537" s="474" t="s">
        <v>47</v>
      </c>
      <c r="AH2537" s="447"/>
      <c r="AI2537" s="474">
        <v>75</v>
      </c>
      <c r="AJ2537" s="444" t="s">
        <v>1589</v>
      </c>
      <c r="AK2537" s="444" t="s">
        <v>1590</v>
      </c>
      <c r="AL2537" s="408">
        <v>38017</v>
      </c>
      <c r="AM2537" s="444" t="s">
        <v>52</v>
      </c>
      <c r="AN2537" s="444" t="s">
        <v>1085</v>
      </c>
      <c r="AO2537" s="474"/>
      <c r="AP2537" s="474" t="s">
        <v>92</v>
      </c>
      <c r="AQ2537" s="474" t="s">
        <v>37</v>
      </c>
      <c r="AR2537" s="474"/>
      <c r="AS2537" s="387"/>
      <c r="AT2537" s="387"/>
      <c r="AU2537" s="471"/>
      <c r="AV2537" s="262" t="str">
        <f t="shared" si="450"/>
        <v>30397571C</v>
      </c>
      <c r="AW2537" s="262" cm="1">
        <f t="array" ref="AW2537">SUM(MID(0&amp;AV2537,LARGE(INDEX(ISNUMBER(--MID(AV2537,ROW($1:$8),1))*ROW($1:$8),),ROW($1:$8))+1,1)*10^ROW($1:$8)/10)</f>
        <v>30397571</v>
      </c>
      <c r="AX2537" s="262" t="str">
        <f>VLOOKUP($AW2537,'Item Master Data'!$A:$F,3,FALSE)</f>
        <v>Q.PEAK DUO XL G10 BFG</v>
      </c>
      <c r="AY2537" s="262">
        <f>VLOOKUP($AW2537,'Item Master Data'!$A:$F,6,FALSE)</f>
        <v>475</v>
      </c>
      <c r="AZ2537" s="262">
        <f t="shared" si="451"/>
        <v>22</v>
      </c>
      <c r="BA2537" s="262">
        <f>VLOOKUP(AW2537,'Item Master Data'!$A:$G,7,FALSE)</f>
        <v>29</v>
      </c>
      <c r="BC2537" s="262">
        <f t="shared" si="452"/>
        <v>0</v>
      </c>
    </row>
    <row r="2538" spans="1:55">
      <c r="A2538" s="410"/>
      <c r="B2538" s="407"/>
      <c r="C2538" s="407"/>
      <c r="D2538" s="474" t="s">
        <v>1066</v>
      </c>
      <c r="E2538" s="388"/>
      <c r="F2538" s="474" t="s">
        <v>87</v>
      </c>
      <c r="G2538" s="474">
        <v>2022</v>
      </c>
      <c r="H2538" s="474">
        <v>3</v>
      </c>
      <c r="I2538" s="485">
        <v>127524</v>
      </c>
      <c r="J2538" s="475">
        <v>44644</v>
      </c>
      <c r="K2538" s="474" t="s">
        <v>1569</v>
      </c>
      <c r="L2538" s="475" t="s">
        <v>1561</v>
      </c>
      <c r="M2538" s="475">
        <v>44568</v>
      </c>
      <c r="N2538" s="475">
        <v>44622</v>
      </c>
      <c r="O2538" s="475"/>
      <c r="P2538" s="475">
        <v>44623</v>
      </c>
      <c r="Q2538" s="475">
        <v>44641</v>
      </c>
      <c r="R2538" s="475">
        <v>44644</v>
      </c>
      <c r="S2538" s="474" t="s">
        <v>1563</v>
      </c>
      <c r="T2538" s="474">
        <v>72</v>
      </c>
      <c r="U2538" s="474" t="s">
        <v>1542</v>
      </c>
      <c r="V2538" s="474" t="s">
        <v>1226</v>
      </c>
      <c r="W2538" s="476">
        <v>475</v>
      </c>
      <c r="X2538" s="402">
        <v>638</v>
      </c>
      <c r="Y2538" s="491">
        <f t="shared" si="444"/>
        <v>303050</v>
      </c>
      <c r="Z2538" s="478">
        <v>0.47</v>
      </c>
      <c r="AA2538" s="479">
        <f t="shared" si="445"/>
        <v>142433.5</v>
      </c>
      <c r="AB2538" s="386"/>
      <c r="AC2538" s="481">
        <v>0</v>
      </c>
      <c r="AD2538" s="474"/>
      <c r="AE2538" s="482"/>
      <c r="AF2538" s="493">
        <f t="shared" si="446"/>
        <v>142433.5</v>
      </c>
      <c r="AG2538" s="474" t="s">
        <v>47</v>
      </c>
      <c r="AH2538" s="447"/>
      <c r="AI2538" s="474">
        <v>75</v>
      </c>
      <c r="AJ2538" s="444" t="s">
        <v>1589</v>
      </c>
      <c r="AK2538" s="444" t="s">
        <v>1590</v>
      </c>
      <c r="AL2538" s="408">
        <v>38017</v>
      </c>
      <c r="AM2538" s="444" t="s">
        <v>52</v>
      </c>
      <c r="AN2538" s="444" t="s">
        <v>1085</v>
      </c>
      <c r="AO2538" s="474"/>
      <c r="AP2538" s="474" t="s">
        <v>92</v>
      </c>
      <c r="AQ2538" s="474" t="s">
        <v>37</v>
      </c>
      <c r="AR2538" s="474"/>
      <c r="AS2538" s="387"/>
      <c r="AT2538" s="387"/>
      <c r="AU2538" s="471"/>
      <c r="AV2538" s="262" t="str">
        <f t="shared" si="450"/>
        <v>30397571C</v>
      </c>
      <c r="AW2538" s="262" cm="1">
        <f t="array" ref="AW2538">SUM(MID(0&amp;AV2538,LARGE(INDEX(ISNUMBER(--MID(AV2538,ROW($1:$8),1))*ROW($1:$8),),ROW($1:$8))+1,1)*10^ROW($1:$8)/10)</f>
        <v>30397571</v>
      </c>
      <c r="AX2538" s="262" t="str">
        <f>VLOOKUP($AW2538,'Item Master Data'!$A:$F,3,FALSE)</f>
        <v>Q.PEAK DUO XL G10 BFG</v>
      </c>
      <c r="AY2538" s="262">
        <f>VLOOKUP($AW2538,'Item Master Data'!$A:$F,6,FALSE)</f>
        <v>475</v>
      </c>
      <c r="AZ2538" s="262">
        <f t="shared" si="451"/>
        <v>22</v>
      </c>
      <c r="BA2538" s="262">
        <f>VLOOKUP(AW2538,'Item Master Data'!$A:$G,7,FALSE)</f>
        <v>29</v>
      </c>
      <c r="BC2538" s="262">
        <f t="shared" si="452"/>
        <v>0</v>
      </c>
    </row>
    <row r="2539" spans="1:55">
      <c r="A2539" s="410"/>
      <c r="B2539" s="407"/>
      <c r="C2539" s="407"/>
      <c r="D2539" s="474" t="s">
        <v>1066</v>
      </c>
      <c r="E2539" s="388"/>
      <c r="F2539" s="474" t="s">
        <v>87</v>
      </c>
      <c r="G2539" s="474">
        <v>2022</v>
      </c>
      <c r="H2539" s="474">
        <v>3</v>
      </c>
      <c r="I2539" s="485">
        <v>127523</v>
      </c>
      <c r="J2539" s="475">
        <v>44644</v>
      </c>
      <c r="K2539" s="474" t="s">
        <v>1569</v>
      </c>
      <c r="L2539" s="475" t="s">
        <v>1561</v>
      </c>
      <c r="M2539" s="475">
        <v>44568</v>
      </c>
      <c r="N2539" s="475">
        <v>44622</v>
      </c>
      <c r="O2539" s="475"/>
      <c r="P2539" s="475">
        <v>44623</v>
      </c>
      <c r="Q2539" s="475">
        <v>44642</v>
      </c>
      <c r="R2539" s="475">
        <v>44644</v>
      </c>
      <c r="S2539" s="474" t="s">
        <v>1563</v>
      </c>
      <c r="T2539" s="474">
        <v>72</v>
      </c>
      <c r="U2539" s="474" t="s">
        <v>1542</v>
      </c>
      <c r="V2539" s="474" t="s">
        <v>1226</v>
      </c>
      <c r="W2539" s="476">
        <v>475</v>
      </c>
      <c r="X2539" s="402">
        <v>638</v>
      </c>
      <c r="Y2539" s="491">
        <f t="shared" si="444"/>
        <v>303050</v>
      </c>
      <c r="Z2539" s="478">
        <v>0.47</v>
      </c>
      <c r="AA2539" s="479">
        <f t="shared" si="445"/>
        <v>142433.5</v>
      </c>
      <c r="AB2539" s="386"/>
      <c r="AC2539" s="481">
        <v>0</v>
      </c>
      <c r="AD2539" s="474"/>
      <c r="AE2539" s="482"/>
      <c r="AF2539" s="493">
        <f t="shared" si="446"/>
        <v>142433.5</v>
      </c>
      <c r="AG2539" s="474" t="s">
        <v>47</v>
      </c>
      <c r="AH2539" s="447"/>
      <c r="AI2539" s="474">
        <v>75</v>
      </c>
      <c r="AJ2539" s="444" t="s">
        <v>1589</v>
      </c>
      <c r="AK2539" s="444" t="s">
        <v>1590</v>
      </c>
      <c r="AL2539" s="408">
        <v>38017</v>
      </c>
      <c r="AM2539" s="444" t="s">
        <v>52</v>
      </c>
      <c r="AN2539" s="444" t="s">
        <v>1085</v>
      </c>
      <c r="AO2539" s="474"/>
      <c r="AP2539" s="474" t="s">
        <v>92</v>
      </c>
      <c r="AQ2539" s="474" t="s">
        <v>37</v>
      </c>
      <c r="AR2539" s="474"/>
      <c r="AS2539" s="387"/>
      <c r="AT2539" s="387"/>
      <c r="AU2539" s="471"/>
      <c r="AV2539" s="262" t="str">
        <f t="shared" si="450"/>
        <v>30397571C</v>
      </c>
      <c r="AW2539" s="262" cm="1">
        <f t="array" ref="AW2539">SUM(MID(0&amp;AV2539,LARGE(INDEX(ISNUMBER(--MID(AV2539,ROW($1:$8),1))*ROW($1:$8),),ROW($1:$8))+1,1)*10^ROW($1:$8)/10)</f>
        <v>30397571</v>
      </c>
      <c r="AX2539" s="262" t="str">
        <f>VLOOKUP($AW2539,'Item Master Data'!$A:$F,3,FALSE)</f>
        <v>Q.PEAK DUO XL G10 BFG</v>
      </c>
      <c r="AY2539" s="262">
        <f>VLOOKUP($AW2539,'Item Master Data'!$A:$F,6,FALSE)</f>
        <v>475</v>
      </c>
      <c r="AZ2539" s="262">
        <f t="shared" si="451"/>
        <v>22</v>
      </c>
      <c r="BA2539" s="262">
        <f>VLOOKUP(AW2539,'Item Master Data'!$A:$G,7,FALSE)</f>
        <v>29</v>
      </c>
      <c r="BC2539" s="262">
        <f t="shared" si="452"/>
        <v>0</v>
      </c>
    </row>
    <row r="2540" spans="1:55">
      <c r="A2540" s="410"/>
      <c r="B2540" s="407"/>
      <c r="C2540" s="407"/>
      <c r="D2540" s="474" t="s">
        <v>1066</v>
      </c>
      <c r="E2540" s="388"/>
      <c r="F2540" s="474" t="s">
        <v>87</v>
      </c>
      <c r="G2540" s="474">
        <v>2022</v>
      </c>
      <c r="H2540" s="474">
        <v>3</v>
      </c>
      <c r="I2540" s="485">
        <v>127522</v>
      </c>
      <c r="J2540" s="475">
        <v>44644</v>
      </c>
      <c r="K2540" s="474" t="s">
        <v>1569</v>
      </c>
      <c r="L2540" s="475" t="s">
        <v>1561</v>
      </c>
      <c r="M2540" s="475">
        <v>44568</v>
      </c>
      <c r="N2540" s="475">
        <v>44622</v>
      </c>
      <c r="O2540" s="475"/>
      <c r="P2540" s="475">
        <v>44623</v>
      </c>
      <c r="Q2540" s="475">
        <v>44642</v>
      </c>
      <c r="R2540" s="475">
        <v>44644</v>
      </c>
      <c r="S2540" s="474" t="s">
        <v>1563</v>
      </c>
      <c r="T2540" s="474">
        <v>72</v>
      </c>
      <c r="U2540" s="474" t="s">
        <v>1542</v>
      </c>
      <c r="V2540" s="474" t="s">
        <v>1226</v>
      </c>
      <c r="W2540" s="476">
        <v>475</v>
      </c>
      <c r="X2540" s="402">
        <v>638</v>
      </c>
      <c r="Y2540" s="491">
        <f t="shared" si="444"/>
        <v>303050</v>
      </c>
      <c r="Z2540" s="478">
        <v>0.47</v>
      </c>
      <c r="AA2540" s="479">
        <f t="shared" si="445"/>
        <v>142433.5</v>
      </c>
      <c r="AB2540" s="386"/>
      <c r="AC2540" s="481">
        <v>0</v>
      </c>
      <c r="AD2540" s="474"/>
      <c r="AE2540" s="482"/>
      <c r="AF2540" s="493">
        <f t="shared" si="446"/>
        <v>142433.5</v>
      </c>
      <c r="AG2540" s="474" t="s">
        <v>47</v>
      </c>
      <c r="AH2540" s="447"/>
      <c r="AI2540" s="474">
        <v>75</v>
      </c>
      <c r="AJ2540" s="444" t="s">
        <v>1589</v>
      </c>
      <c r="AK2540" s="444" t="s">
        <v>1590</v>
      </c>
      <c r="AL2540" s="408">
        <v>38017</v>
      </c>
      <c r="AM2540" s="444" t="s">
        <v>52</v>
      </c>
      <c r="AN2540" s="444" t="s">
        <v>1085</v>
      </c>
      <c r="AO2540" s="474"/>
      <c r="AP2540" s="474" t="s">
        <v>92</v>
      </c>
      <c r="AQ2540" s="474" t="s">
        <v>37</v>
      </c>
      <c r="AR2540" s="474"/>
      <c r="AS2540" s="387"/>
      <c r="AT2540" s="387"/>
      <c r="AU2540" s="471"/>
      <c r="AV2540" s="262" t="str">
        <f t="shared" si="450"/>
        <v>30397571C</v>
      </c>
      <c r="AW2540" s="262" cm="1">
        <f t="array" ref="AW2540">SUM(MID(0&amp;AV2540,LARGE(INDEX(ISNUMBER(--MID(AV2540,ROW($1:$8),1))*ROW($1:$8),),ROW($1:$8))+1,1)*10^ROW($1:$8)/10)</f>
        <v>30397571</v>
      </c>
      <c r="AX2540" s="262" t="str">
        <f>VLOOKUP($AW2540,'Item Master Data'!$A:$F,3,FALSE)</f>
        <v>Q.PEAK DUO XL G10 BFG</v>
      </c>
      <c r="AY2540" s="262">
        <f>VLOOKUP($AW2540,'Item Master Data'!$A:$F,6,FALSE)</f>
        <v>475</v>
      </c>
      <c r="AZ2540" s="262">
        <f t="shared" si="451"/>
        <v>22</v>
      </c>
      <c r="BA2540" s="262">
        <f>VLOOKUP(AW2540,'Item Master Data'!$A:$G,7,FALSE)</f>
        <v>29</v>
      </c>
      <c r="BC2540" s="262">
        <f t="shared" si="452"/>
        <v>0</v>
      </c>
    </row>
    <row r="2541" spans="1:55">
      <c r="A2541" s="410"/>
      <c r="B2541" s="407"/>
      <c r="C2541" s="407"/>
      <c r="D2541" s="474" t="s">
        <v>1066</v>
      </c>
      <c r="E2541" s="388"/>
      <c r="F2541" s="474" t="s">
        <v>87</v>
      </c>
      <c r="G2541" s="474">
        <v>2022</v>
      </c>
      <c r="H2541" s="474">
        <v>3</v>
      </c>
      <c r="I2541" s="485">
        <v>127521</v>
      </c>
      <c r="J2541" s="475">
        <v>44644</v>
      </c>
      <c r="K2541" s="474" t="s">
        <v>1569</v>
      </c>
      <c r="L2541" s="475" t="s">
        <v>1561</v>
      </c>
      <c r="M2541" s="475">
        <v>44568</v>
      </c>
      <c r="N2541" s="475">
        <v>44622</v>
      </c>
      <c r="O2541" s="475"/>
      <c r="P2541" s="475">
        <v>44623</v>
      </c>
      <c r="Q2541" s="475">
        <v>44642</v>
      </c>
      <c r="R2541" s="475">
        <v>44644</v>
      </c>
      <c r="S2541" s="474" t="s">
        <v>1563</v>
      </c>
      <c r="T2541" s="474">
        <v>72</v>
      </c>
      <c r="U2541" s="474" t="s">
        <v>1542</v>
      </c>
      <c r="V2541" s="474" t="s">
        <v>1226</v>
      </c>
      <c r="W2541" s="476">
        <v>475</v>
      </c>
      <c r="X2541" s="402">
        <v>638</v>
      </c>
      <c r="Y2541" s="491">
        <f t="shared" si="444"/>
        <v>303050</v>
      </c>
      <c r="Z2541" s="478">
        <v>0.47</v>
      </c>
      <c r="AA2541" s="479">
        <f t="shared" si="445"/>
        <v>142433.5</v>
      </c>
      <c r="AB2541" s="386"/>
      <c r="AC2541" s="481">
        <v>0</v>
      </c>
      <c r="AD2541" s="474"/>
      <c r="AE2541" s="482"/>
      <c r="AF2541" s="493">
        <f t="shared" si="446"/>
        <v>142433.5</v>
      </c>
      <c r="AG2541" s="474" t="s">
        <v>47</v>
      </c>
      <c r="AH2541" s="447"/>
      <c r="AI2541" s="474">
        <v>75</v>
      </c>
      <c r="AJ2541" s="444" t="s">
        <v>1589</v>
      </c>
      <c r="AK2541" s="444" t="s">
        <v>1590</v>
      </c>
      <c r="AL2541" s="408">
        <v>38017</v>
      </c>
      <c r="AM2541" s="444" t="s">
        <v>52</v>
      </c>
      <c r="AN2541" s="444" t="s">
        <v>1085</v>
      </c>
      <c r="AO2541" s="474"/>
      <c r="AP2541" s="474" t="s">
        <v>92</v>
      </c>
      <c r="AQ2541" s="474" t="s">
        <v>37</v>
      </c>
      <c r="AR2541" s="474"/>
      <c r="AS2541" s="387"/>
      <c r="AT2541" s="387"/>
      <c r="AU2541" s="471"/>
      <c r="AV2541" s="262" t="str">
        <f t="shared" si="450"/>
        <v>30397571C</v>
      </c>
      <c r="AW2541" s="262" cm="1">
        <f t="array" ref="AW2541">SUM(MID(0&amp;AV2541,LARGE(INDEX(ISNUMBER(--MID(AV2541,ROW($1:$8),1))*ROW($1:$8),),ROW($1:$8))+1,1)*10^ROW($1:$8)/10)</f>
        <v>30397571</v>
      </c>
      <c r="AX2541" s="262" t="str">
        <f>VLOOKUP($AW2541,'Item Master Data'!$A:$F,3,FALSE)</f>
        <v>Q.PEAK DUO XL G10 BFG</v>
      </c>
      <c r="AY2541" s="262">
        <f>VLOOKUP($AW2541,'Item Master Data'!$A:$F,6,FALSE)</f>
        <v>475</v>
      </c>
      <c r="AZ2541" s="262">
        <f t="shared" si="451"/>
        <v>22</v>
      </c>
      <c r="BA2541" s="262">
        <f>VLOOKUP(AW2541,'Item Master Data'!$A:$G,7,FALSE)</f>
        <v>29</v>
      </c>
      <c r="BC2541" s="262">
        <f t="shared" si="452"/>
        <v>0</v>
      </c>
    </row>
    <row r="2542" spans="1:55">
      <c r="A2542" s="410"/>
      <c r="B2542" s="407"/>
      <c r="C2542" s="407"/>
      <c r="D2542" s="474" t="s">
        <v>1066</v>
      </c>
      <c r="E2542" s="388"/>
      <c r="F2542" s="474" t="s">
        <v>87</v>
      </c>
      <c r="G2542" s="474">
        <v>2022</v>
      </c>
      <c r="H2542" s="474">
        <v>3</v>
      </c>
      <c r="I2542" s="485">
        <v>127363</v>
      </c>
      <c r="J2542" s="475">
        <v>44635</v>
      </c>
      <c r="K2542" s="474" t="s">
        <v>1569</v>
      </c>
      <c r="L2542" s="475" t="s">
        <v>1561</v>
      </c>
      <c r="M2542" s="475">
        <v>44568</v>
      </c>
      <c r="N2542" s="475">
        <v>44622</v>
      </c>
      <c r="O2542" s="475"/>
      <c r="P2542" s="475">
        <v>44623</v>
      </c>
      <c r="Q2542" s="475">
        <v>44630</v>
      </c>
      <c r="R2542" s="475">
        <v>44635</v>
      </c>
      <c r="S2542" s="474" t="s">
        <v>1563</v>
      </c>
      <c r="T2542" s="474">
        <v>72</v>
      </c>
      <c r="U2542" s="474" t="s">
        <v>1542</v>
      </c>
      <c r="V2542" s="474" t="s">
        <v>1226</v>
      </c>
      <c r="W2542" s="476">
        <v>475</v>
      </c>
      <c r="X2542" s="402">
        <v>638</v>
      </c>
      <c r="Y2542" s="491">
        <f t="shared" si="444"/>
        <v>303050</v>
      </c>
      <c r="Z2542" s="478">
        <v>0.47</v>
      </c>
      <c r="AA2542" s="479">
        <f t="shared" si="445"/>
        <v>142433.5</v>
      </c>
      <c r="AB2542" s="386"/>
      <c r="AC2542" s="481">
        <v>0</v>
      </c>
      <c r="AD2542" s="474"/>
      <c r="AE2542" s="482"/>
      <c r="AF2542" s="493">
        <f t="shared" si="446"/>
        <v>142433.5</v>
      </c>
      <c r="AG2542" s="474" t="s">
        <v>47</v>
      </c>
      <c r="AH2542" s="447"/>
      <c r="AI2542" s="474">
        <v>75</v>
      </c>
      <c r="AJ2542" s="444" t="s">
        <v>1566</v>
      </c>
      <c r="AK2542" s="444" t="s">
        <v>50</v>
      </c>
      <c r="AL2542" s="408" t="s">
        <v>1567</v>
      </c>
      <c r="AM2542" s="444" t="s">
        <v>52</v>
      </c>
      <c r="AN2542" s="444" t="s">
        <v>1085</v>
      </c>
      <c r="AO2542" s="474"/>
      <c r="AP2542" s="474" t="s">
        <v>92</v>
      </c>
      <c r="AQ2542" s="474" t="s">
        <v>37</v>
      </c>
      <c r="AR2542" s="474"/>
      <c r="AS2542" s="387"/>
      <c r="AT2542" s="387"/>
      <c r="AU2542" s="471"/>
      <c r="AV2542" s="262" t="str">
        <f t="shared" si="450"/>
        <v>30397571C</v>
      </c>
      <c r="AW2542" s="262" cm="1">
        <f t="array" ref="AW2542">SUM(MID(0&amp;AV2542,LARGE(INDEX(ISNUMBER(--MID(AV2542,ROW($1:$8),1))*ROW($1:$8),),ROW($1:$8))+1,1)*10^ROW($1:$8)/10)</f>
        <v>30397571</v>
      </c>
      <c r="AX2542" s="262" t="str">
        <f>VLOOKUP($AW2542,'Item Master Data'!$A:$F,3,FALSE)</f>
        <v>Q.PEAK DUO XL G10 BFG</v>
      </c>
      <c r="AY2542" s="262">
        <f>VLOOKUP($AW2542,'Item Master Data'!$A:$F,6,FALSE)</f>
        <v>475</v>
      </c>
      <c r="AZ2542" s="262">
        <f t="shared" si="451"/>
        <v>22</v>
      </c>
      <c r="BA2542" s="262">
        <f>VLOOKUP(AW2542,'Item Master Data'!$A:$G,7,FALSE)</f>
        <v>29</v>
      </c>
      <c r="BC2542" s="262">
        <f t="shared" si="452"/>
        <v>0</v>
      </c>
    </row>
    <row r="2543" spans="1:55">
      <c r="A2543" s="410"/>
      <c r="B2543" s="407"/>
      <c r="C2543" s="407"/>
      <c r="D2543" s="474" t="s">
        <v>1066</v>
      </c>
      <c r="E2543" s="388"/>
      <c r="F2543" s="474" t="s">
        <v>87</v>
      </c>
      <c r="G2543" s="474">
        <v>2022</v>
      </c>
      <c r="H2543" s="474">
        <v>3</v>
      </c>
      <c r="I2543" s="485">
        <v>127362</v>
      </c>
      <c r="J2543" s="475">
        <v>44635</v>
      </c>
      <c r="K2543" s="474" t="s">
        <v>1569</v>
      </c>
      <c r="L2543" s="475" t="s">
        <v>1561</v>
      </c>
      <c r="M2543" s="475">
        <v>44568</v>
      </c>
      <c r="N2543" s="475">
        <v>44622</v>
      </c>
      <c r="O2543" s="475"/>
      <c r="P2543" s="475">
        <v>44623</v>
      </c>
      <c r="Q2543" s="475">
        <v>44631</v>
      </c>
      <c r="R2543" s="475">
        <v>44635</v>
      </c>
      <c r="S2543" s="474" t="s">
        <v>1563</v>
      </c>
      <c r="T2543" s="474">
        <v>72</v>
      </c>
      <c r="U2543" s="474" t="s">
        <v>1542</v>
      </c>
      <c r="V2543" s="474" t="s">
        <v>1226</v>
      </c>
      <c r="W2543" s="476">
        <v>475</v>
      </c>
      <c r="X2543" s="402">
        <v>638</v>
      </c>
      <c r="Y2543" s="491">
        <f t="shared" si="444"/>
        <v>303050</v>
      </c>
      <c r="Z2543" s="478">
        <v>0.47</v>
      </c>
      <c r="AA2543" s="479">
        <f t="shared" si="445"/>
        <v>142433.5</v>
      </c>
      <c r="AB2543" s="386"/>
      <c r="AC2543" s="481">
        <v>0</v>
      </c>
      <c r="AD2543" s="474"/>
      <c r="AE2543" s="482"/>
      <c r="AF2543" s="493">
        <f t="shared" si="446"/>
        <v>142433.5</v>
      </c>
      <c r="AG2543" s="474" t="s">
        <v>47</v>
      </c>
      <c r="AH2543" s="447"/>
      <c r="AI2543" s="474">
        <v>75</v>
      </c>
      <c r="AJ2543" s="444" t="s">
        <v>1566</v>
      </c>
      <c r="AK2543" s="444" t="s">
        <v>50</v>
      </c>
      <c r="AL2543" s="408" t="s">
        <v>1567</v>
      </c>
      <c r="AM2543" s="444" t="s">
        <v>52</v>
      </c>
      <c r="AN2543" s="444" t="s">
        <v>1085</v>
      </c>
      <c r="AO2543" s="474"/>
      <c r="AP2543" s="474" t="s">
        <v>92</v>
      </c>
      <c r="AQ2543" s="474" t="s">
        <v>37</v>
      </c>
      <c r="AR2543" s="474"/>
      <c r="AS2543" s="387"/>
      <c r="AT2543" s="387"/>
      <c r="AU2543" s="471"/>
      <c r="AV2543" s="262" t="str">
        <f t="shared" si="450"/>
        <v>30397571C</v>
      </c>
      <c r="AW2543" s="262" cm="1">
        <f t="array" ref="AW2543">SUM(MID(0&amp;AV2543,LARGE(INDEX(ISNUMBER(--MID(AV2543,ROW($1:$8),1))*ROW($1:$8),),ROW($1:$8))+1,1)*10^ROW($1:$8)/10)</f>
        <v>30397571</v>
      </c>
      <c r="AX2543" s="262" t="str">
        <f>VLOOKUP($AW2543,'Item Master Data'!$A:$F,3,FALSE)</f>
        <v>Q.PEAK DUO XL G10 BFG</v>
      </c>
      <c r="AY2543" s="262">
        <f>VLOOKUP($AW2543,'Item Master Data'!$A:$F,6,FALSE)</f>
        <v>475</v>
      </c>
      <c r="AZ2543" s="262">
        <f t="shared" si="451"/>
        <v>22</v>
      </c>
      <c r="BA2543" s="262">
        <f>VLOOKUP(AW2543,'Item Master Data'!$A:$G,7,FALSE)</f>
        <v>29</v>
      </c>
      <c r="BC2543" s="262">
        <f t="shared" si="452"/>
        <v>0</v>
      </c>
    </row>
    <row r="2544" spans="1:55">
      <c r="A2544" s="410"/>
      <c r="B2544" s="407"/>
      <c r="C2544" s="407"/>
      <c r="D2544" s="474" t="s">
        <v>1066</v>
      </c>
      <c r="E2544" s="388"/>
      <c r="F2544" s="474" t="s">
        <v>87</v>
      </c>
      <c r="G2544" s="474">
        <v>2022</v>
      </c>
      <c r="H2544" s="474">
        <v>3</v>
      </c>
      <c r="I2544" s="485">
        <v>127364</v>
      </c>
      <c r="J2544" s="475">
        <v>44635</v>
      </c>
      <c r="K2544" s="474" t="s">
        <v>1569</v>
      </c>
      <c r="L2544" s="475" t="s">
        <v>1561</v>
      </c>
      <c r="M2544" s="475">
        <v>44568</v>
      </c>
      <c r="N2544" s="475">
        <v>44622</v>
      </c>
      <c r="O2544" s="475"/>
      <c r="P2544" s="475">
        <v>44623</v>
      </c>
      <c r="Q2544" s="475">
        <v>44631</v>
      </c>
      <c r="R2544" s="475">
        <v>44635</v>
      </c>
      <c r="S2544" s="474" t="s">
        <v>1563</v>
      </c>
      <c r="T2544" s="474">
        <v>72</v>
      </c>
      <c r="U2544" s="474" t="s">
        <v>1542</v>
      </c>
      <c r="V2544" s="474" t="s">
        <v>1226</v>
      </c>
      <c r="W2544" s="476">
        <v>475</v>
      </c>
      <c r="X2544" s="402">
        <v>638</v>
      </c>
      <c r="Y2544" s="491">
        <f t="shared" si="444"/>
        <v>303050</v>
      </c>
      <c r="Z2544" s="478">
        <v>0.47</v>
      </c>
      <c r="AA2544" s="479">
        <f t="shared" si="445"/>
        <v>142433.5</v>
      </c>
      <c r="AB2544" s="386"/>
      <c r="AC2544" s="481">
        <v>0</v>
      </c>
      <c r="AD2544" s="474"/>
      <c r="AE2544" s="482"/>
      <c r="AF2544" s="493">
        <f t="shared" si="446"/>
        <v>142433.5</v>
      </c>
      <c r="AG2544" s="474" t="s">
        <v>47</v>
      </c>
      <c r="AH2544" s="447"/>
      <c r="AI2544" s="474">
        <v>75</v>
      </c>
      <c r="AJ2544" s="444" t="s">
        <v>1566</v>
      </c>
      <c r="AK2544" s="444" t="s">
        <v>50</v>
      </c>
      <c r="AL2544" s="408" t="s">
        <v>1567</v>
      </c>
      <c r="AM2544" s="444" t="s">
        <v>52</v>
      </c>
      <c r="AN2544" s="444" t="s">
        <v>1085</v>
      </c>
      <c r="AO2544" s="474"/>
      <c r="AP2544" s="474" t="s">
        <v>92</v>
      </c>
      <c r="AQ2544" s="474" t="s">
        <v>37</v>
      </c>
      <c r="AR2544" s="474"/>
      <c r="AS2544" s="387"/>
      <c r="AT2544" s="387"/>
      <c r="AU2544" s="471"/>
    </row>
    <row r="2545" spans="1:55">
      <c r="A2545" s="410"/>
      <c r="B2545" s="407"/>
      <c r="C2545" s="407"/>
      <c r="D2545" s="474" t="s">
        <v>1066</v>
      </c>
      <c r="E2545" s="388"/>
      <c r="F2545" s="474" t="s">
        <v>87</v>
      </c>
      <c r="G2545" s="474">
        <v>2022</v>
      </c>
      <c r="H2545" s="474">
        <v>3</v>
      </c>
      <c r="I2545" s="485">
        <v>127755</v>
      </c>
      <c r="J2545" s="475">
        <v>44638</v>
      </c>
      <c r="K2545" s="474" t="s">
        <v>1569</v>
      </c>
      <c r="L2545" s="475" t="s">
        <v>1561</v>
      </c>
      <c r="M2545" s="475">
        <v>44568</v>
      </c>
      <c r="N2545" s="475">
        <v>44622</v>
      </c>
      <c r="O2545" s="475"/>
      <c r="P2545" s="475">
        <v>44623</v>
      </c>
      <c r="Q2545" s="475">
        <v>44634</v>
      </c>
      <c r="R2545" s="475">
        <v>44638</v>
      </c>
      <c r="S2545" s="474" t="s">
        <v>1563</v>
      </c>
      <c r="T2545" s="474">
        <v>72</v>
      </c>
      <c r="U2545" s="474" t="s">
        <v>1542</v>
      </c>
      <c r="V2545" s="474" t="s">
        <v>1226</v>
      </c>
      <c r="W2545" s="476">
        <v>475</v>
      </c>
      <c r="X2545" s="402">
        <v>638</v>
      </c>
      <c r="Y2545" s="491">
        <f t="shared" si="444"/>
        <v>303050</v>
      </c>
      <c r="Z2545" s="478">
        <v>0.47</v>
      </c>
      <c r="AA2545" s="479">
        <f t="shared" si="445"/>
        <v>142433.5</v>
      </c>
      <c r="AB2545" s="386"/>
      <c r="AC2545" s="481">
        <v>0</v>
      </c>
      <c r="AD2545" s="474"/>
      <c r="AE2545" s="482"/>
      <c r="AF2545" s="493">
        <f t="shared" si="446"/>
        <v>142433.5</v>
      </c>
      <c r="AG2545" s="474" t="s">
        <v>47</v>
      </c>
      <c r="AH2545" s="447"/>
      <c r="AI2545" s="474">
        <v>75</v>
      </c>
      <c r="AJ2545" s="444" t="s">
        <v>1589</v>
      </c>
      <c r="AK2545" s="444" t="s">
        <v>1590</v>
      </c>
      <c r="AL2545" s="408">
        <v>38017</v>
      </c>
      <c r="AM2545" s="444" t="s">
        <v>52</v>
      </c>
      <c r="AN2545" s="444" t="s">
        <v>1151</v>
      </c>
      <c r="AO2545" s="474"/>
      <c r="AP2545" s="474" t="s">
        <v>92</v>
      </c>
      <c r="AQ2545" s="474" t="s">
        <v>37</v>
      </c>
      <c r="AR2545" s="474"/>
      <c r="AS2545" s="387"/>
      <c r="AT2545" s="387"/>
      <c r="AU2545" s="471"/>
      <c r="AV2545" s="262" t="str">
        <f>U2545</f>
        <v>30397571C</v>
      </c>
      <c r="AW2545" s="262" cm="1">
        <f t="array" ref="AW2545">SUM(MID(0&amp;AV2545,LARGE(INDEX(ISNUMBER(--MID(AV2545,ROW($1:$8),1))*ROW($1:$8),),ROW($1:$8))+1,1)*10^ROW($1:$8)/10)</f>
        <v>30397571</v>
      </c>
      <c r="AX2545" s="262" t="str">
        <f>VLOOKUP($AW2545,'Item Master Data'!$A:$F,3,FALSE)</f>
        <v>Q.PEAK DUO XL G10 BFG</v>
      </c>
      <c r="AY2545" s="262">
        <f>VLOOKUP($AW2545,'Item Master Data'!$A:$F,6,FALSE)</f>
        <v>475</v>
      </c>
      <c r="AZ2545" s="262">
        <f>X2545/BA2545</f>
        <v>22</v>
      </c>
      <c r="BA2545" s="262">
        <f>VLOOKUP(AW2545,'Item Master Data'!$A:$G,7,FALSE)</f>
        <v>29</v>
      </c>
      <c r="BC2545" s="262">
        <f>W2545-AY2545</f>
        <v>0</v>
      </c>
    </row>
    <row r="2546" spans="1:55">
      <c r="A2546" s="410"/>
      <c r="B2546" s="407"/>
      <c r="C2546" s="407"/>
      <c r="D2546" s="474" t="s">
        <v>1066</v>
      </c>
      <c r="E2546" s="388"/>
      <c r="F2546" s="474" t="s">
        <v>87</v>
      </c>
      <c r="G2546" s="474">
        <v>2022</v>
      </c>
      <c r="H2546" s="474">
        <v>3</v>
      </c>
      <c r="I2546" s="485">
        <v>127749</v>
      </c>
      <c r="J2546" s="475">
        <v>44641</v>
      </c>
      <c r="K2546" s="474" t="s">
        <v>1569</v>
      </c>
      <c r="L2546" s="475" t="s">
        <v>1561</v>
      </c>
      <c r="M2546" s="475">
        <v>44568</v>
      </c>
      <c r="N2546" s="475">
        <v>44622</v>
      </c>
      <c r="O2546" s="475"/>
      <c r="P2546" s="475">
        <v>44623</v>
      </c>
      <c r="Q2546" s="475">
        <v>44638</v>
      </c>
      <c r="R2546" s="475">
        <v>44641</v>
      </c>
      <c r="S2546" s="474" t="s">
        <v>1563</v>
      </c>
      <c r="T2546" s="474">
        <v>72</v>
      </c>
      <c r="U2546" s="474" t="s">
        <v>1542</v>
      </c>
      <c r="V2546" s="474" t="s">
        <v>1226</v>
      </c>
      <c r="W2546" s="476">
        <v>475</v>
      </c>
      <c r="X2546" s="402">
        <v>203</v>
      </c>
      <c r="Y2546" s="491">
        <f t="shared" si="444"/>
        <v>96425</v>
      </c>
      <c r="Z2546" s="478">
        <v>0.47</v>
      </c>
      <c r="AA2546" s="479">
        <f t="shared" si="445"/>
        <v>45319.75</v>
      </c>
      <c r="AB2546" s="386"/>
      <c r="AC2546" s="481">
        <v>0</v>
      </c>
      <c r="AD2546" s="474"/>
      <c r="AE2546" s="482"/>
      <c r="AF2546" s="493">
        <f t="shared" si="446"/>
        <v>45319.75</v>
      </c>
      <c r="AG2546" s="474" t="s">
        <v>47</v>
      </c>
      <c r="AH2546" s="447"/>
      <c r="AI2546" s="474">
        <v>75</v>
      </c>
      <c r="AJ2546" s="444" t="s">
        <v>1589</v>
      </c>
      <c r="AK2546" s="444" t="s">
        <v>1590</v>
      </c>
      <c r="AL2546" s="408">
        <v>38017</v>
      </c>
      <c r="AM2546" s="444" t="s">
        <v>52</v>
      </c>
      <c r="AN2546" s="444" t="s">
        <v>1151</v>
      </c>
      <c r="AO2546" s="474"/>
      <c r="AP2546" s="474" t="s">
        <v>92</v>
      </c>
      <c r="AQ2546" s="474" t="s">
        <v>37</v>
      </c>
      <c r="AR2546" s="474"/>
      <c r="AS2546" s="387"/>
      <c r="AT2546" s="387"/>
      <c r="AU2546" s="471"/>
      <c r="AV2546" s="262" t="str">
        <f>U2546</f>
        <v>30397571C</v>
      </c>
      <c r="AW2546" s="262" cm="1">
        <f t="array" ref="AW2546">SUM(MID(0&amp;AV2546,LARGE(INDEX(ISNUMBER(--MID(AV2546,ROW($1:$8),1))*ROW($1:$8),),ROW($1:$8))+1,1)*10^ROW($1:$8)/10)</f>
        <v>30397571</v>
      </c>
      <c r="AX2546" s="262" t="str">
        <f>VLOOKUP($AW2546,'Item Master Data'!$A:$F,3,FALSE)</f>
        <v>Q.PEAK DUO XL G10 BFG</v>
      </c>
      <c r="AY2546" s="262">
        <f>VLOOKUP($AW2546,'Item Master Data'!$A:$F,6,FALSE)</f>
        <v>475</v>
      </c>
      <c r="AZ2546" s="262">
        <f>X2546/BA2546</f>
        <v>7</v>
      </c>
      <c r="BA2546" s="262">
        <f>VLOOKUP(AW2546,'Item Master Data'!$A:$G,7,FALSE)</f>
        <v>29</v>
      </c>
      <c r="BC2546" s="262">
        <f>W2546-AY2546</f>
        <v>0</v>
      </c>
    </row>
    <row r="2547" spans="1:55">
      <c r="A2547" s="410"/>
      <c r="B2547" s="407"/>
      <c r="C2547" s="407"/>
      <c r="D2547" s="474" t="s">
        <v>1066</v>
      </c>
      <c r="E2547" s="388"/>
      <c r="F2547" s="474" t="s">
        <v>87</v>
      </c>
      <c r="G2547" s="474">
        <v>2022</v>
      </c>
      <c r="H2547" s="474">
        <v>3</v>
      </c>
      <c r="I2547" s="485">
        <v>127750</v>
      </c>
      <c r="J2547" s="475">
        <v>44641</v>
      </c>
      <c r="K2547" s="474" t="s">
        <v>1569</v>
      </c>
      <c r="L2547" s="475" t="s">
        <v>1561</v>
      </c>
      <c r="M2547" s="475">
        <v>44568</v>
      </c>
      <c r="N2547" s="475">
        <v>44622</v>
      </c>
      <c r="O2547" s="475"/>
      <c r="P2547" s="475">
        <v>44623</v>
      </c>
      <c r="Q2547" s="475">
        <v>44638</v>
      </c>
      <c r="R2547" s="475">
        <v>44641</v>
      </c>
      <c r="S2547" s="474" t="s">
        <v>1563</v>
      </c>
      <c r="T2547" s="474">
        <v>72</v>
      </c>
      <c r="U2547" s="474" t="s">
        <v>1542</v>
      </c>
      <c r="V2547" s="474" t="s">
        <v>1226</v>
      </c>
      <c r="W2547" s="476">
        <v>475</v>
      </c>
      <c r="X2547" s="402">
        <v>638</v>
      </c>
      <c r="Y2547" s="491">
        <f t="shared" si="444"/>
        <v>303050</v>
      </c>
      <c r="Z2547" s="478">
        <v>0.47</v>
      </c>
      <c r="AA2547" s="479">
        <f t="shared" si="445"/>
        <v>142433.5</v>
      </c>
      <c r="AB2547" s="386"/>
      <c r="AC2547" s="481">
        <v>0</v>
      </c>
      <c r="AD2547" s="474"/>
      <c r="AE2547" s="482"/>
      <c r="AF2547" s="493">
        <f t="shared" si="446"/>
        <v>142433.5</v>
      </c>
      <c r="AG2547" s="474" t="s">
        <v>47</v>
      </c>
      <c r="AH2547" s="447"/>
      <c r="AI2547" s="474">
        <v>75</v>
      </c>
      <c r="AJ2547" s="444" t="s">
        <v>1589</v>
      </c>
      <c r="AK2547" s="444" t="s">
        <v>1590</v>
      </c>
      <c r="AL2547" s="408">
        <v>38017</v>
      </c>
      <c r="AM2547" s="444" t="s">
        <v>52</v>
      </c>
      <c r="AN2547" s="444" t="s">
        <v>1151</v>
      </c>
      <c r="AO2547" s="474"/>
      <c r="AP2547" s="474" t="s">
        <v>92</v>
      </c>
      <c r="AQ2547" s="474" t="s">
        <v>37</v>
      </c>
      <c r="AR2547" s="474"/>
      <c r="AS2547" s="387"/>
      <c r="AT2547" s="387"/>
      <c r="AU2547" s="471"/>
    </row>
    <row r="2548" spans="1:55">
      <c r="A2548" s="410"/>
      <c r="B2548" s="407"/>
      <c r="C2548" s="407"/>
      <c r="D2548" s="474" t="s">
        <v>1066</v>
      </c>
      <c r="E2548" s="388"/>
      <c r="F2548" s="474" t="s">
        <v>87</v>
      </c>
      <c r="G2548" s="474">
        <v>2022</v>
      </c>
      <c r="H2548" s="474">
        <v>3</v>
      </c>
      <c r="I2548" s="485">
        <v>127751</v>
      </c>
      <c r="J2548" s="475">
        <v>44641</v>
      </c>
      <c r="K2548" s="474" t="s">
        <v>1569</v>
      </c>
      <c r="L2548" s="475" t="s">
        <v>1561</v>
      </c>
      <c r="M2548" s="475">
        <v>44568</v>
      </c>
      <c r="N2548" s="475">
        <v>44622</v>
      </c>
      <c r="O2548" s="475"/>
      <c r="P2548" s="475">
        <v>44623</v>
      </c>
      <c r="Q2548" s="475">
        <v>44638</v>
      </c>
      <c r="R2548" s="475">
        <v>44641</v>
      </c>
      <c r="S2548" s="474" t="s">
        <v>1563</v>
      </c>
      <c r="T2548" s="474">
        <v>72</v>
      </c>
      <c r="U2548" s="474" t="s">
        <v>1542</v>
      </c>
      <c r="V2548" s="474" t="s">
        <v>1226</v>
      </c>
      <c r="W2548" s="476">
        <v>475</v>
      </c>
      <c r="X2548" s="402">
        <v>638</v>
      </c>
      <c r="Y2548" s="491">
        <f t="shared" si="444"/>
        <v>303050</v>
      </c>
      <c r="Z2548" s="478">
        <v>0.47</v>
      </c>
      <c r="AA2548" s="479">
        <f t="shared" si="445"/>
        <v>142433.5</v>
      </c>
      <c r="AB2548" s="386"/>
      <c r="AC2548" s="481">
        <v>0</v>
      </c>
      <c r="AD2548" s="474"/>
      <c r="AE2548" s="482"/>
      <c r="AF2548" s="493">
        <f t="shared" si="446"/>
        <v>142433.5</v>
      </c>
      <c r="AG2548" s="474" t="s">
        <v>47</v>
      </c>
      <c r="AH2548" s="447"/>
      <c r="AI2548" s="474">
        <v>75</v>
      </c>
      <c r="AJ2548" s="444" t="s">
        <v>1589</v>
      </c>
      <c r="AK2548" s="444" t="s">
        <v>1590</v>
      </c>
      <c r="AL2548" s="408">
        <v>38017</v>
      </c>
      <c r="AM2548" s="444" t="s">
        <v>52</v>
      </c>
      <c r="AN2548" s="444" t="s">
        <v>1151</v>
      </c>
      <c r="AO2548" s="474"/>
      <c r="AP2548" s="474" t="s">
        <v>92</v>
      </c>
      <c r="AQ2548" s="474" t="s">
        <v>37</v>
      </c>
      <c r="AR2548" s="474"/>
      <c r="AS2548" s="387"/>
      <c r="AT2548" s="387"/>
      <c r="AU2548" s="471"/>
    </row>
    <row r="2549" spans="1:55">
      <c r="A2549" s="410"/>
      <c r="B2549" s="407"/>
      <c r="C2549" s="407"/>
      <c r="D2549" s="474" t="s">
        <v>1066</v>
      </c>
      <c r="E2549" s="388"/>
      <c r="F2549" s="474" t="s">
        <v>87</v>
      </c>
      <c r="G2549" s="474">
        <v>2022</v>
      </c>
      <c r="H2549" s="474">
        <v>3</v>
      </c>
      <c r="I2549" s="485">
        <v>127752</v>
      </c>
      <c r="J2549" s="475">
        <v>44641</v>
      </c>
      <c r="K2549" s="474" t="s">
        <v>1569</v>
      </c>
      <c r="L2549" s="475" t="s">
        <v>1561</v>
      </c>
      <c r="M2549" s="475">
        <v>44568</v>
      </c>
      <c r="N2549" s="475">
        <v>44622</v>
      </c>
      <c r="O2549" s="475"/>
      <c r="P2549" s="475">
        <v>44623</v>
      </c>
      <c r="Q2549" s="475">
        <v>44638</v>
      </c>
      <c r="R2549" s="475">
        <v>44641</v>
      </c>
      <c r="S2549" s="474" t="s">
        <v>1563</v>
      </c>
      <c r="T2549" s="474">
        <v>72</v>
      </c>
      <c r="U2549" s="474" t="s">
        <v>1542</v>
      </c>
      <c r="V2549" s="474" t="s">
        <v>1226</v>
      </c>
      <c r="W2549" s="476">
        <v>475</v>
      </c>
      <c r="X2549" s="402">
        <v>638</v>
      </c>
      <c r="Y2549" s="491">
        <f t="shared" si="444"/>
        <v>303050</v>
      </c>
      <c r="Z2549" s="478">
        <v>0.47</v>
      </c>
      <c r="AA2549" s="479">
        <f t="shared" si="445"/>
        <v>142433.5</v>
      </c>
      <c r="AB2549" s="386"/>
      <c r="AC2549" s="481">
        <v>0</v>
      </c>
      <c r="AD2549" s="474"/>
      <c r="AE2549" s="482"/>
      <c r="AF2549" s="493">
        <f t="shared" si="446"/>
        <v>142433.5</v>
      </c>
      <c r="AG2549" s="474" t="s">
        <v>47</v>
      </c>
      <c r="AH2549" s="447"/>
      <c r="AI2549" s="474">
        <v>75</v>
      </c>
      <c r="AJ2549" s="444" t="s">
        <v>1589</v>
      </c>
      <c r="AK2549" s="444" t="s">
        <v>1590</v>
      </c>
      <c r="AL2549" s="408">
        <v>38017</v>
      </c>
      <c r="AM2549" s="444" t="s">
        <v>52</v>
      </c>
      <c r="AN2549" s="444" t="s">
        <v>1151</v>
      </c>
      <c r="AO2549" s="474"/>
      <c r="AP2549" s="474" t="s">
        <v>92</v>
      </c>
      <c r="AQ2549" s="474" t="s">
        <v>37</v>
      </c>
      <c r="AR2549" s="474"/>
      <c r="AS2549" s="387"/>
      <c r="AT2549" s="387"/>
      <c r="AU2549" s="471"/>
    </row>
    <row r="2550" spans="1:55">
      <c r="A2550" s="410"/>
      <c r="B2550" s="407"/>
      <c r="C2550" s="407"/>
      <c r="D2550" s="474" t="s">
        <v>1066</v>
      </c>
      <c r="E2550" s="388"/>
      <c r="F2550" s="474" t="s">
        <v>1147</v>
      </c>
      <c r="G2550" s="474">
        <v>2022</v>
      </c>
      <c r="H2550" s="474">
        <v>3</v>
      </c>
      <c r="I2550" s="485">
        <v>127365</v>
      </c>
      <c r="J2550" s="475">
        <v>44637</v>
      </c>
      <c r="K2550" s="474" t="s">
        <v>1585</v>
      </c>
      <c r="L2550" s="475" t="s">
        <v>1561</v>
      </c>
      <c r="M2550" s="475">
        <v>44468</v>
      </c>
      <c r="N2550" s="475" t="s">
        <v>1586</v>
      </c>
      <c r="O2550" s="475"/>
      <c r="P2550" s="475">
        <v>44623</v>
      </c>
      <c r="Q2550" s="475">
        <v>44636</v>
      </c>
      <c r="R2550" s="475">
        <v>44637</v>
      </c>
      <c r="S2550" s="474" t="s">
        <v>1563</v>
      </c>
      <c r="T2550" s="474">
        <v>60</v>
      </c>
      <c r="U2550" s="474" t="s">
        <v>1583</v>
      </c>
      <c r="V2550" s="474" t="s">
        <v>1565</v>
      </c>
      <c r="W2550" s="476">
        <v>395</v>
      </c>
      <c r="X2550" s="402">
        <v>624</v>
      </c>
      <c r="Y2550" s="491">
        <f t="shared" si="444"/>
        <v>246480</v>
      </c>
      <c r="Z2550" s="478">
        <v>0.44</v>
      </c>
      <c r="AA2550" s="479">
        <f t="shared" si="445"/>
        <v>108451.2</v>
      </c>
      <c r="AB2550" s="386"/>
      <c r="AC2550" s="481">
        <v>0</v>
      </c>
      <c r="AD2550" s="474"/>
      <c r="AE2550" s="482"/>
      <c r="AF2550" s="493">
        <f t="shared" si="446"/>
        <v>108451.2</v>
      </c>
      <c r="AG2550" s="501" t="s">
        <v>47</v>
      </c>
      <c r="AH2550" s="409"/>
      <c r="AI2550" s="501">
        <v>75</v>
      </c>
      <c r="AJ2550" s="501" t="s">
        <v>1566</v>
      </c>
      <c r="AK2550" s="501" t="s">
        <v>50</v>
      </c>
      <c r="AL2550" s="509" t="s">
        <v>1567</v>
      </c>
      <c r="AM2550" s="501" t="s">
        <v>52</v>
      </c>
      <c r="AN2550" s="501" t="s">
        <v>50</v>
      </c>
      <c r="AO2550" s="474"/>
      <c r="AP2550" s="474" t="s">
        <v>92</v>
      </c>
      <c r="AQ2550" s="474" t="s">
        <v>37</v>
      </c>
      <c r="AR2550" s="474"/>
      <c r="AS2550" s="387"/>
      <c r="AT2550" s="387"/>
      <c r="AU2550" s="471"/>
      <c r="AV2550" s="262" t="str">
        <f>U2550</f>
        <v>30390255H</v>
      </c>
      <c r="AW2550" s="262" cm="1">
        <f t="array" ref="AW2550">SUM(MID(0&amp;AV2550,LARGE(INDEX(ISNUMBER(--MID(AV2550,ROW($1:$8),1))*ROW($1:$8),),ROW($1:$8))+1,1)*10^ROW($1:$8)/10)</f>
        <v>30390255</v>
      </c>
      <c r="AX2550" s="262" t="str">
        <f>VLOOKUP($AW2550,'Item Master Data'!$A:$F,3,FALSE)</f>
        <v>T395H</v>
      </c>
      <c r="AY2550" s="262">
        <f>VLOOKUP($AW2550,'Item Master Data'!$A:$F,6,FALSE)</f>
        <v>395</v>
      </c>
      <c r="AZ2550" s="262">
        <f>X2550/BA2550</f>
        <v>24</v>
      </c>
      <c r="BA2550" s="262">
        <f>VLOOKUP(AW2550,'Item Master Data'!$A:$G,7,FALSE)</f>
        <v>26</v>
      </c>
      <c r="BC2550" s="262">
        <f>W2550-AY2550</f>
        <v>0</v>
      </c>
    </row>
    <row r="2551" spans="1:55">
      <c r="A2551" s="410"/>
      <c r="B2551" s="407"/>
      <c r="C2551" s="407"/>
      <c r="D2551" s="474" t="s">
        <v>1066</v>
      </c>
      <c r="E2551" s="388"/>
      <c r="F2551" s="474" t="s">
        <v>1147</v>
      </c>
      <c r="G2551" s="474">
        <v>2022</v>
      </c>
      <c r="H2551" s="474">
        <v>3</v>
      </c>
      <c r="I2551" s="485">
        <v>127538</v>
      </c>
      <c r="J2551" s="475">
        <v>44643</v>
      </c>
      <c r="K2551" s="474" t="s">
        <v>1585</v>
      </c>
      <c r="L2551" s="475" t="s">
        <v>1561</v>
      </c>
      <c r="M2551" s="475">
        <v>44468</v>
      </c>
      <c r="N2551" s="475" t="s">
        <v>1586</v>
      </c>
      <c r="O2551" s="475"/>
      <c r="P2551" s="475">
        <v>44623</v>
      </c>
      <c r="Q2551" s="475">
        <v>44644</v>
      </c>
      <c r="R2551" s="475">
        <v>44643</v>
      </c>
      <c r="S2551" s="474" t="s">
        <v>1563</v>
      </c>
      <c r="T2551" s="474">
        <v>60</v>
      </c>
      <c r="U2551" s="474" t="s">
        <v>1564</v>
      </c>
      <c r="V2551" s="474" t="s">
        <v>1565</v>
      </c>
      <c r="W2551" s="476">
        <v>395</v>
      </c>
      <c r="X2551" s="402">
        <v>624</v>
      </c>
      <c r="Y2551" s="491">
        <f t="shared" ref="Y2551:Y2614" si="453">W2551*X2551</f>
        <v>246480</v>
      </c>
      <c r="Z2551" s="478">
        <v>0.44</v>
      </c>
      <c r="AA2551" s="479">
        <f t="shared" si="445"/>
        <v>108451.2</v>
      </c>
      <c r="AB2551" s="386"/>
      <c r="AC2551" s="481">
        <v>0</v>
      </c>
      <c r="AD2551" s="474"/>
      <c r="AE2551" s="482"/>
      <c r="AF2551" s="493">
        <f t="shared" si="446"/>
        <v>108451.2</v>
      </c>
      <c r="AG2551" s="501" t="s">
        <v>47</v>
      </c>
      <c r="AH2551" s="409"/>
      <c r="AI2551" s="501">
        <v>75</v>
      </c>
      <c r="AJ2551" s="501" t="s">
        <v>1566</v>
      </c>
      <c r="AK2551" s="501" t="s">
        <v>50</v>
      </c>
      <c r="AL2551" s="509" t="s">
        <v>1567</v>
      </c>
      <c r="AM2551" s="501" t="s">
        <v>52</v>
      </c>
      <c r="AN2551" s="501" t="s">
        <v>50</v>
      </c>
      <c r="AO2551" s="474"/>
      <c r="AP2551" s="474" t="s">
        <v>92</v>
      </c>
      <c r="AQ2551" s="474" t="s">
        <v>37</v>
      </c>
      <c r="AR2551" s="474"/>
      <c r="AS2551" s="387"/>
      <c r="AT2551" s="387"/>
      <c r="AU2551" s="471"/>
    </row>
    <row r="2552" spans="1:55">
      <c r="A2552" s="410"/>
      <c r="B2552" s="407"/>
      <c r="C2552" s="407"/>
      <c r="D2552" s="474" t="s">
        <v>1066</v>
      </c>
      <c r="E2552" s="388"/>
      <c r="F2552" s="474" t="s">
        <v>1147</v>
      </c>
      <c r="G2552" s="474">
        <v>2022</v>
      </c>
      <c r="H2552" s="474">
        <v>3</v>
      </c>
      <c r="I2552" s="485">
        <v>127542</v>
      </c>
      <c r="J2552" s="475">
        <v>44644</v>
      </c>
      <c r="K2552" s="474" t="s">
        <v>1585</v>
      </c>
      <c r="L2552" s="475" t="s">
        <v>1561</v>
      </c>
      <c r="M2552" s="475">
        <v>44468</v>
      </c>
      <c r="N2552" s="475" t="s">
        <v>1586</v>
      </c>
      <c r="O2552" s="475"/>
      <c r="P2552" s="475">
        <v>44623</v>
      </c>
      <c r="Q2552" s="475">
        <v>44644</v>
      </c>
      <c r="R2552" s="475">
        <v>44644</v>
      </c>
      <c r="S2552" s="474" t="s">
        <v>1563</v>
      </c>
      <c r="T2552" s="474">
        <v>60</v>
      </c>
      <c r="U2552" s="474" t="s">
        <v>1564</v>
      </c>
      <c r="V2552" s="474" t="s">
        <v>1565</v>
      </c>
      <c r="W2552" s="476">
        <v>395</v>
      </c>
      <c r="X2552" s="402">
        <v>624</v>
      </c>
      <c r="Y2552" s="491">
        <f t="shared" si="453"/>
        <v>246480</v>
      </c>
      <c r="Z2552" s="478">
        <v>0.44</v>
      </c>
      <c r="AA2552" s="479">
        <f t="shared" si="445"/>
        <v>108451.2</v>
      </c>
      <c r="AB2552" s="386"/>
      <c r="AC2552" s="481">
        <v>0</v>
      </c>
      <c r="AD2552" s="474"/>
      <c r="AE2552" s="482"/>
      <c r="AF2552" s="493">
        <f t="shared" si="446"/>
        <v>108451.2</v>
      </c>
      <c r="AG2552" s="501" t="s">
        <v>47</v>
      </c>
      <c r="AH2552" s="409"/>
      <c r="AI2552" s="501">
        <v>75</v>
      </c>
      <c r="AJ2552" s="501" t="s">
        <v>1566</v>
      </c>
      <c r="AK2552" s="501" t="s">
        <v>50</v>
      </c>
      <c r="AL2552" s="509" t="s">
        <v>1567</v>
      </c>
      <c r="AM2552" s="501" t="s">
        <v>52</v>
      </c>
      <c r="AN2552" s="501" t="s">
        <v>50</v>
      </c>
      <c r="AO2552" s="474"/>
      <c r="AP2552" s="474" t="s">
        <v>92</v>
      </c>
      <c r="AQ2552" s="474" t="s">
        <v>37</v>
      </c>
      <c r="AR2552" s="474"/>
      <c r="AS2552" s="387"/>
      <c r="AT2552" s="387"/>
      <c r="AU2552" s="471"/>
    </row>
    <row r="2553" spans="1:55">
      <c r="A2553" s="410"/>
      <c r="B2553" s="407"/>
      <c r="C2553" s="407"/>
      <c r="D2553" s="474" t="s">
        <v>1066</v>
      </c>
      <c r="E2553" s="388"/>
      <c r="F2553" s="474" t="s">
        <v>1147</v>
      </c>
      <c r="G2553" s="474">
        <v>2022</v>
      </c>
      <c r="H2553" s="474">
        <v>3</v>
      </c>
      <c r="I2553" s="485">
        <v>127539</v>
      </c>
      <c r="J2553" s="475">
        <v>44644</v>
      </c>
      <c r="K2553" s="474" t="s">
        <v>1585</v>
      </c>
      <c r="L2553" s="475" t="s">
        <v>1561</v>
      </c>
      <c r="M2553" s="475">
        <v>44468</v>
      </c>
      <c r="N2553" s="475" t="s">
        <v>1586</v>
      </c>
      <c r="O2553" s="475"/>
      <c r="P2553" s="475">
        <v>44623</v>
      </c>
      <c r="Q2553" s="475">
        <v>44644</v>
      </c>
      <c r="R2553" s="475">
        <v>44644</v>
      </c>
      <c r="S2553" s="474" t="s">
        <v>1563</v>
      </c>
      <c r="T2553" s="474">
        <v>60</v>
      </c>
      <c r="U2553" s="474" t="s">
        <v>1564</v>
      </c>
      <c r="V2553" s="474" t="s">
        <v>1565</v>
      </c>
      <c r="W2553" s="476">
        <v>395</v>
      </c>
      <c r="X2553" s="402">
        <v>624</v>
      </c>
      <c r="Y2553" s="491">
        <f t="shared" si="453"/>
        <v>246480</v>
      </c>
      <c r="Z2553" s="478">
        <v>0.44</v>
      </c>
      <c r="AA2553" s="479">
        <f t="shared" si="445"/>
        <v>108451.2</v>
      </c>
      <c r="AB2553" s="386"/>
      <c r="AC2553" s="481">
        <v>0</v>
      </c>
      <c r="AD2553" s="474"/>
      <c r="AE2553" s="482"/>
      <c r="AF2553" s="493">
        <f t="shared" si="446"/>
        <v>108451.2</v>
      </c>
      <c r="AG2553" s="501" t="s">
        <v>47</v>
      </c>
      <c r="AH2553" s="409"/>
      <c r="AI2553" s="501">
        <v>75</v>
      </c>
      <c r="AJ2553" s="501" t="s">
        <v>1566</v>
      </c>
      <c r="AK2553" s="501" t="s">
        <v>50</v>
      </c>
      <c r="AL2553" s="509" t="s">
        <v>1567</v>
      </c>
      <c r="AM2553" s="501" t="s">
        <v>52</v>
      </c>
      <c r="AN2553" s="501" t="s">
        <v>50</v>
      </c>
      <c r="AO2553" s="474"/>
      <c r="AP2553" s="474" t="s">
        <v>92</v>
      </c>
      <c r="AQ2553" s="474" t="s">
        <v>37</v>
      </c>
      <c r="AR2553" s="474"/>
      <c r="AS2553" s="387"/>
      <c r="AT2553" s="387"/>
      <c r="AU2553" s="471"/>
    </row>
    <row r="2554" spans="1:55">
      <c r="A2554" s="410"/>
      <c r="B2554" s="407"/>
      <c r="C2554" s="407"/>
      <c r="D2554" s="474" t="s">
        <v>1066</v>
      </c>
      <c r="E2554" s="388"/>
      <c r="F2554" s="474" t="s">
        <v>1147</v>
      </c>
      <c r="G2554" s="474">
        <v>2022</v>
      </c>
      <c r="H2554" s="474">
        <v>3</v>
      </c>
      <c r="I2554" s="485">
        <v>127541</v>
      </c>
      <c r="J2554" s="475">
        <v>44644</v>
      </c>
      <c r="K2554" s="474" t="s">
        <v>1585</v>
      </c>
      <c r="L2554" s="475" t="s">
        <v>1561</v>
      </c>
      <c r="M2554" s="475">
        <v>44468</v>
      </c>
      <c r="N2554" s="475" t="s">
        <v>1586</v>
      </c>
      <c r="O2554" s="475"/>
      <c r="P2554" s="475">
        <v>44623</v>
      </c>
      <c r="Q2554" s="475">
        <v>44644</v>
      </c>
      <c r="R2554" s="475">
        <v>44644</v>
      </c>
      <c r="S2554" s="474" t="s">
        <v>1563</v>
      </c>
      <c r="T2554" s="474">
        <v>60</v>
      </c>
      <c r="U2554" s="474" t="s">
        <v>1564</v>
      </c>
      <c r="V2554" s="474" t="s">
        <v>1565</v>
      </c>
      <c r="W2554" s="476">
        <v>395</v>
      </c>
      <c r="X2554" s="402">
        <v>624</v>
      </c>
      <c r="Y2554" s="491">
        <f t="shared" si="453"/>
        <v>246480</v>
      </c>
      <c r="Z2554" s="478">
        <v>0.44</v>
      </c>
      <c r="AA2554" s="479">
        <f t="shared" si="445"/>
        <v>108451.2</v>
      </c>
      <c r="AB2554" s="386"/>
      <c r="AC2554" s="481">
        <v>0</v>
      </c>
      <c r="AD2554" s="474"/>
      <c r="AE2554" s="482"/>
      <c r="AF2554" s="493">
        <f t="shared" si="446"/>
        <v>108451.2</v>
      </c>
      <c r="AG2554" s="501" t="s">
        <v>47</v>
      </c>
      <c r="AH2554" s="409"/>
      <c r="AI2554" s="501">
        <v>75</v>
      </c>
      <c r="AJ2554" s="501" t="s">
        <v>1566</v>
      </c>
      <c r="AK2554" s="501" t="s">
        <v>50</v>
      </c>
      <c r="AL2554" s="509" t="s">
        <v>1567</v>
      </c>
      <c r="AM2554" s="501" t="s">
        <v>52</v>
      </c>
      <c r="AN2554" s="501" t="s">
        <v>50</v>
      </c>
      <c r="AO2554" s="474"/>
      <c r="AP2554" s="474" t="s">
        <v>92</v>
      </c>
      <c r="AQ2554" s="474" t="s">
        <v>37</v>
      </c>
      <c r="AR2554" s="474"/>
      <c r="AS2554" s="387"/>
      <c r="AT2554" s="387"/>
      <c r="AU2554" s="471"/>
      <c r="AV2554" s="262" t="str">
        <f t="shared" ref="AV2554:AV2595" si="454">U2554</f>
        <v>30390255C</v>
      </c>
      <c r="AW2554" s="262" cm="1">
        <f t="array" ref="AW2554">SUM(MID(0&amp;AV2554,LARGE(INDEX(ISNUMBER(--MID(AV2554,ROW($1:$8),1))*ROW($1:$8),),ROW($1:$8))+1,1)*10^ROW($1:$8)/10)</f>
        <v>30390255</v>
      </c>
      <c r="AX2554" s="262" t="str">
        <f>VLOOKUP($AW2554,'Item Master Data'!$A:$F,3,FALSE)</f>
        <v>T395H</v>
      </c>
      <c r="AY2554" s="262">
        <f>VLOOKUP($AW2554,'Item Master Data'!$A:$F,6,FALSE)</f>
        <v>395</v>
      </c>
      <c r="AZ2554" s="262">
        <f t="shared" ref="AZ2554:AZ2595" si="455">X2554/BA2554</f>
        <v>24</v>
      </c>
      <c r="BA2554" s="262">
        <f>VLOOKUP(AW2554,'Item Master Data'!$A:$G,7,FALSE)</f>
        <v>26</v>
      </c>
      <c r="BC2554" s="262">
        <f t="shared" ref="BC2554:BC2595" si="456">W2554-AY2554</f>
        <v>0</v>
      </c>
    </row>
    <row r="2555" spans="1:55">
      <c r="A2555" s="410"/>
      <c r="B2555" s="407"/>
      <c r="C2555" s="407"/>
      <c r="D2555" s="474" t="s">
        <v>1066</v>
      </c>
      <c r="E2555" s="388"/>
      <c r="F2555" s="474" t="s">
        <v>1147</v>
      </c>
      <c r="G2555" s="474">
        <v>2022</v>
      </c>
      <c r="H2555" s="474">
        <v>3</v>
      </c>
      <c r="I2555" s="485">
        <v>127640</v>
      </c>
      <c r="J2555" s="475">
        <v>44649</v>
      </c>
      <c r="K2555" s="474" t="s">
        <v>1585</v>
      </c>
      <c r="L2555" s="475" t="s">
        <v>1561</v>
      </c>
      <c r="M2555" s="475">
        <v>44468</v>
      </c>
      <c r="N2555" s="475" t="s">
        <v>1586</v>
      </c>
      <c r="O2555" s="475"/>
      <c r="P2555" s="475">
        <v>44623</v>
      </c>
      <c r="Q2555" s="475">
        <v>44648</v>
      </c>
      <c r="R2555" s="475">
        <v>44649</v>
      </c>
      <c r="S2555" s="474" t="s">
        <v>1563</v>
      </c>
      <c r="T2555" s="474">
        <v>60</v>
      </c>
      <c r="U2555" s="474" t="s">
        <v>1583</v>
      </c>
      <c r="V2555" s="474" t="s">
        <v>1565</v>
      </c>
      <c r="W2555" s="476">
        <v>395</v>
      </c>
      <c r="X2555" s="402">
        <v>624</v>
      </c>
      <c r="Y2555" s="491">
        <f t="shared" si="453"/>
        <v>246480</v>
      </c>
      <c r="Z2555" s="478">
        <v>0.44</v>
      </c>
      <c r="AA2555" s="479">
        <f t="shared" si="445"/>
        <v>108451.2</v>
      </c>
      <c r="AB2555" s="386"/>
      <c r="AC2555" s="481">
        <v>0</v>
      </c>
      <c r="AD2555" s="474"/>
      <c r="AE2555" s="482"/>
      <c r="AF2555" s="493">
        <f t="shared" si="446"/>
        <v>108451.2</v>
      </c>
      <c r="AG2555" s="501" t="s">
        <v>47</v>
      </c>
      <c r="AH2555" s="409"/>
      <c r="AI2555" s="501">
        <v>75</v>
      </c>
      <c r="AJ2555" s="501" t="s">
        <v>1566</v>
      </c>
      <c r="AK2555" s="501" t="s">
        <v>50</v>
      </c>
      <c r="AL2555" s="509" t="s">
        <v>1567</v>
      </c>
      <c r="AM2555" s="501" t="s">
        <v>52</v>
      </c>
      <c r="AN2555" s="501" t="s">
        <v>50</v>
      </c>
      <c r="AO2555" s="474"/>
      <c r="AP2555" s="474" t="s">
        <v>92</v>
      </c>
      <c r="AQ2555" s="474" t="s">
        <v>37</v>
      </c>
      <c r="AR2555" s="474"/>
      <c r="AS2555" s="387"/>
      <c r="AT2555" s="387"/>
      <c r="AU2555" s="471"/>
      <c r="AV2555" s="262" t="str">
        <f t="shared" si="454"/>
        <v>30390255H</v>
      </c>
      <c r="AW2555" s="262" cm="1">
        <f t="array" ref="AW2555">SUM(MID(0&amp;AV2555,LARGE(INDEX(ISNUMBER(--MID(AV2555,ROW($1:$8),1))*ROW($1:$8),),ROW($1:$8))+1,1)*10^ROW($1:$8)/10)</f>
        <v>30390255</v>
      </c>
      <c r="AX2555" s="262" t="str">
        <f>VLOOKUP($AW2555,'Item Master Data'!$A:$F,3,FALSE)</f>
        <v>T395H</v>
      </c>
      <c r="AY2555" s="262">
        <f>VLOOKUP($AW2555,'Item Master Data'!$A:$F,6,FALSE)</f>
        <v>395</v>
      </c>
      <c r="AZ2555" s="262">
        <f t="shared" si="455"/>
        <v>24</v>
      </c>
      <c r="BA2555" s="262">
        <f>VLOOKUP(AW2555,'Item Master Data'!$A:$G,7,FALSE)</f>
        <v>26</v>
      </c>
      <c r="BC2555" s="262">
        <f t="shared" si="456"/>
        <v>0</v>
      </c>
    </row>
    <row r="2556" spans="1:55">
      <c r="A2556" s="410"/>
      <c r="B2556" s="407"/>
      <c r="C2556" s="407"/>
      <c r="D2556" s="474" t="s">
        <v>1066</v>
      </c>
      <c r="E2556" s="388"/>
      <c r="F2556" s="474" t="s">
        <v>1147</v>
      </c>
      <c r="G2556" s="474">
        <v>2022</v>
      </c>
      <c r="H2556" s="474">
        <v>3</v>
      </c>
      <c r="I2556" s="485">
        <v>127639</v>
      </c>
      <c r="J2556" s="475">
        <v>44649</v>
      </c>
      <c r="K2556" s="474" t="s">
        <v>1585</v>
      </c>
      <c r="L2556" s="475" t="s">
        <v>1561</v>
      </c>
      <c r="M2556" s="475">
        <v>44468</v>
      </c>
      <c r="N2556" s="475" t="s">
        <v>1586</v>
      </c>
      <c r="O2556" s="475"/>
      <c r="P2556" s="475">
        <v>44623</v>
      </c>
      <c r="Q2556" s="475">
        <v>44648</v>
      </c>
      <c r="R2556" s="475">
        <v>44649</v>
      </c>
      <c r="S2556" s="474" t="s">
        <v>1563</v>
      </c>
      <c r="T2556" s="474">
        <v>60</v>
      </c>
      <c r="U2556" s="474" t="s">
        <v>1583</v>
      </c>
      <c r="V2556" s="474" t="s">
        <v>1565</v>
      </c>
      <c r="W2556" s="476">
        <v>395</v>
      </c>
      <c r="X2556" s="402">
        <v>624</v>
      </c>
      <c r="Y2556" s="491">
        <f t="shared" si="453"/>
        <v>246480</v>
      </c>
      <c r="Z2556" s="478">
        <v>0.44</v>
      </c>
      <c r="AA2556" s="479">
        <f t="shared" si="445"/>
        <v>108451.2</v>
      </c>
      <c r="AB2556" s="386"/>
      <c r="AC2556" s="481">
        <v>0</v>
      </c>
      <c r="AD2556" s="474"/>
      <c r="AE2556" s="482"/>
      <c r="AF2556" s="493">
        <f t="shared" si="446"/>
        <v>108451.2</v>
      </c>
      <c r="AG2556" s="501" t="s">
        <v>47</v>
      </c>
      <c r="AH2556" s="409"/>
      <c r="AI2556" s="501">
        <v>75</v>
      </c>
      <c r="AJ2556" s="501" t="s">
        <v>1566</v>
      </c>
      <c r="AK2556" s="501" t="s">
        <v>50</v>
      </c>
      <c r="AL2556" s="509" t="s">
        <v>1567</v>
      </c>
      <c r="AM2556" s="501" t="s">
        <v>52</v>
      </c>
      <c r="AN2556" s="501" t="s">
        <v>50</v>
      </c>
      <c r="AO2556" s="474"/>
      <c r="AP2556" s="474" t="s">
        <v>92</v>
      </c>
      <c r="AQ2556" s="474" t="s">
        <v>37</v>
      </c>
      <c r="AR2556" s="474"/>
      <c r="AS2556" s="387"/>
      <c r="AT2556" s="387"/>
      <c r="AU2556" s="471"/>
      <c r="AV2556" s="262" t="str">
        <f t="shared" si="454"/>
        <v>30390255H</v>
      </c>
      <c r="AW2556" s="262" cm="1">
        <f t="array" ref="AW2556">SUM(MID(0&amp;AV2556,LARGE(INDEX(ISNUMBER(--MID(AV2556,ROW($1:$8),1))*ROW($1:$8),),ROW($1:$8))+1,1)*10^ROW($1:$8)/10)</f>
        <v>30390255</v>
      </c>
      <c r="AX2556" s="262" t="str">
        <f>VLOOKUP($AW2556,'Item Master Data'!$A:$F,3,FALSE)</f>
        <v>T395H</v>
      </c>
      <c r="AY2556" s="262">
        <f>VLOOKUP($AW2556,'Item Master Data'!$A:$F,6,FALSE)</f>
        <v>395</v>
      </c>
      <c r="AZ2556" s="262">
        <f t="shared" si="455"/>
        <v>24</v>
      </c>
      <c r="BA2556" s="262">
        <f>VLOOKUP(AW2556,'Item Master Data'!$A:$G,7,FALSE)</f>
        <v>26</v>
      </c>
      <c r="BC2556" s="262">
        <f t="shared" si="456"/>
        <v>0</v>
      </c>
    </row>
    <row r="2557" spans="1:55">
      <c r="A2557" s="410"/>
      <c r="B2557" s="407"/>
      <c r="C2557" s="407"/>
      <c r="D2557" s="474" t="s">
        <v>1066</v>
      </c>
      <c r="E2557" s="388"/>
      <c r="F2557" s="474" t="s">
        <v>87</v>
      </c>
      <c r="G2557" s="474">
        <v>2022</v>
      </c>
      <c r="H2557" s="474">
        <v>3</v>
      </c>
      <c r="I2557" s="485">
        <v>127509</v>
      </c>
      <c r="J2557" s="475">
        <v>44642</v>
      </c>
      <c r="K2557" s="474" t="s">
        <v>1569</v>
      </c>
      <c r="L2557" s="475" t="s">
        <v>1561</v>
      </c>
      <c r="M2557" s="475">
        <v>44568</v>
      </c>
      <c r="N2557" s="475">
        <v>44622</v>
      </c>
      <c r="O2557" s="475"/>
      <c r="P2557" s="475">
        <v>44623</v>
      </c>
      <c r="Q2557" s="475">
        <v>44641</v>
      </c>
      <c r="R2557" s="475">
        <v>44642</v>
      </c>
      <c r="S2557" s="474" t="s">
        <v>1563</v>
      </c>
      <c r="T2557" s="474">
        <v>72</v>
      </c>
      <c r="U2557" s="474" t="s">
        <v>1542</v>
      </c>
      <c r="V2557" s="474" t="s">
        <v>1226</v>
      </c>
      <c r="W2557" s="476">
        <v>475</v>
      </c>
      <c r="X2557" s="402">
        <v>638</v>
      </c>
      <c r="Y2557" s="491">
        <f t="shared" si="453"/>
        <v>303050</v>
      </c>
      <c r="Z2557" s="478">
        <v>0.47</v>
      </c>
      <c r="AA2557" s="479">
        <f t="shared" si="445"/>
        <v>142433.5</v>
      </c>
      <c r="AB2557" s="386"/>
      <c r="AC2557" s="481">
        <v>0</v>
      </c>
      <c r="AD2557" s="474"/>
      <c r="AE2557" s="482"/>
      <c r="AF2557" s="493">
        <f t="shared" si="446"/>
        <v>142433.5</v>
      </c>
      <c r="AG2557" s="474" t="s">
        <v>47</v>
      </c>
      <c r="AH2557" s="447"/>
      <c r="AI2557" s="474">
        <v>75</v>
      </c>
      <c r="AJ2557" s="444" t="s">
        <v>1589</v>
      </c>
      <c r="AK2557" s="444" t="s">
        <v>1590</v>
      </c>
      <c r="AL2557" s="408">
        <v>38017</v>
      </c>
      <c r="AM2557" s="444" t="s">
        <v>52</v>
      </c>
      <c r="AN2557" s="444" t="s">
        <v>1151</v>
      </c>
      <c r="AO2557" s="474"/>
      <c r="AP2557" s="474" t="s">
        <v>92</v>
      </c>
      <c r="AQ2557" s="474" t="s">
        <v>37</v>
      </c>
      <c r="AR2557" s="474"/>
      <c r="AS2557" s="387"/>
      <c r="AT2557" s="387"/>
      <c r="AU2557" s="471"/>
      <c r="AV2557" s="262" t="str">
        <f t="shared" si="454"/>
        <v>30397571C</v>
      </c>
      <c r="AW2557" s="262" cm="1">
        <f t="array" ref="AW2557">SUM(MID(0&amp;AV2557,LARGE(INDEX(ISNUMBER(--MID(AV2557,ROW($1:$8),1))*ROW($1:$8),),ROW($1:$8))+1,1)*10^ROW($1:$8)/10)</f>
        <v>30397571</v>
      </c>
      <c r="AX2557" s="262" t="str">
        <f>VLOOKUP($AW2557,'Item Master Data'!$A:$F,3,FALSE)</f>
        <v>Q.PEAK DUO XL G10 BFG</v>
      </c>
      <c r="AY2557" s="262">
        <f>VLOOKUP($AW2557,'Item Master Data'!$A:$F,6,FALSE)</f>
        <v>475</v>
      </c>
      <c r="AZ2557" s="262">
        <f t="shared" si="455"/>
        <v>22</v>
      </c>
      <c r="BA2557" s="262">
        <f>VLOOKUP(AW2557,'Item Master Data'!$A:$G,7,FALSE)</f>
        <v>29</v>
      </c>
      <c r="BC2557" s="262">
        <f t="shared" si="456"/>
        <v>0</v>
      </c>
    </row>
    <row r="2558" spans="1:55">
      <c r="A2558" s="410"/>
      <c r="B2558" s="407"/>
      <c r="C2558" s="407"/>
      <c r="D2558" s="474" t="s">
        <v>1066</v>
      </c>
      <c r="E2558" s="388"/>
      <c r="F2558" s="474" t="s">
        <v>87</v>
      </c>
      <c r="G2558" s="474">
        <v>2022</v>
      </c>
      <c r="H2558" s="474">
        <v>3</v>
      </c>
      <c r="I2558" s="485">
        <v>127510</v>
      </c>
      <c r="J2558" s="475">
        <v>44642</v>
      </c>
      <c r="K2558" s="474" t="s">
        <v>1569</v>
      </c>
      <c r="L2558" s="475" t="s">
        <v>1561</v>
      </c>
      <c r="M2558" s="475">
        <v>44568</v>
      </c>
      <c r="N2558" s="475">
        <v>44622</v>
      </c>
      <c r="O2558" s="475"/>
      <c r="P2558" s="475">
        <v>44623</v>
      </c>
      <c r="Q2558" s="475">
        <v>44641</v>
      </c>
      <c r="R2558" s="475">
        <v>44642</v>
      </c>
      <c r="S2558" s="474" t="s">
        <v>1563</v>
      </c>
      <c r="T2558" s="474">
        <v>72</v>
      </c>
      <c r="U2558" s="474" t="s">
        <v>1542</v>
      </c>
      <c r="V2558" s="474" t="s">
        <v>1226</v>
      </c>
      <c r="W2558" s="476">
        <v>475</v>
      </c>
      <c r="X2558" s="402">
        <v>377</v>
      </c>
      <c r="Y2558" s="491">
        <f t="shared" si="453"/>
        <v>179075</v>
      </c>
      <c r="Z2558" s="478">
        <v>0.47</v>
      </c>
      <c r="AA2558" s="479">
        <f t="shared" si="445"/>
        <v>84165.25</v>
      </c>
      <c r="AB2558" s="386"/>
      <c r="AC2558" s="481">
        <v>0</v>
      </c>
      <c r="AD2558" s="474"/>
      <c r="AE2558" s="482"/>
      <c r="AF2558" s="493">
        <f t="shared" si="446"/>
        <v>84165.25</v>
      </c>
      <c r="AG2558" s="474" t="s">
        <v>47</v>
      </c>
      <c r="AH2558" s="447"/>
      <c r="AI2558" s="474">
        <v>75</v>
      </c>
      <c r="AJ2558" s="444" t="s">
        <v>1589</v>
      </c>
      <c r="AK2558" s="444" t="s">
        <v>1590</v>
      </c>
      <c r="AL2558" s="408">
        <v>38017</v>
      </c>
      <c r="AM2558" s="444" t="s">
        <v>52</v>
      </c>
      <c r="AN2558" s="444" t="s">
        <v>1151</v>
      </c>
      <c r="AO2558" s="474"/>
      <c r="AP2558" s="474" t="s">
        <v>92</v>
      </c>
      <c r="AQ2558" s="474" t="s">
        <v>37</v>
      </c>
      <c r="AR2558" s="474"/>
      <c r="AS2558" s="387"/>
      <c r="AT2558" s="387"/>
      <c r="AU2558" s="471"/>
      <c r="AV2558" s="262" t="str">
        <f t="shared" si="454"/>
        <v>30397571C</v>
      </c>
      <c r="AW2558" s="262" cm="1">
        <f t="array" ref="AW2558">SUM(MID(0&amp;AV2558,LARGE(INDEX(ISNUMBER(--MID(AV2558,ROW($1:$8),1))*ROW($1:$8),),ROW($1:$8))+1,1)*10^ROW($1:$8)/10)</f>
        <v>30397571</v>
      </c>
      <c r="AX2558" s="262" t="str">
        <f>VLOOKUP($AW2558,'Item Master Data'!$A:$F,3,FALSE)</f>
        <v>Q.PEAK DUO XL G10 BFG</v>
      </c>
      <c r="AY2558" s="262">
        <f>VLOOKUP($AW2558,'Item Master Data'!$A:$F,6,FALSE)</f>
        <v>475</v>
      </c>
      <c r="AZ2558" s="262">
        <f t="shared" si="455"/>
        <v>13</v>
      </c>
      <c r="BA2558" s="262">
        <f>VLOOKUP(AW2558,'Item Master Data'!$A:$G,7,FALSE)</f>
        <v>29</v>
      </c>
      <c r="BC2558" s="262">
        <f t="shared" si="456"/>
        <v>0</v>
      </c>
    </row>
    <row r="2559" spans="1:55">
      <c r="A2559" s="410"/>
      <c r="B2559" s="407"/>
      <c r="C2559" s="407"/>
      <c r="D2559" s="474" t="s">
        <v>1066</v>
      </c>
      <c r="E2559" s="388"/>
      <c r="F2559" s="474" t="s">
        <v>87</v>
      </c>
      <c r="G2559" s="474">
        <v>2022</v>
      </c>
      <c r="H2559" s="474">
        <v>3</v>
      </c>
      <c r="I2559" s="485">
        <v>127511</v>
      </c>
      <c r="J2559" s="475">
        <v>44642</v>
      </c>
      <c r="K2559" s="474" t="s">
        <v>1569</v>
      </c>
      <c r="L2559" s="475" t="s">
        <v>1561</v>
      </c>
      <c r="M2559" s="475">
        <v>44568</v>
      </c>
      <c r="N2559" s="475">
        <v>44622</v>
      </c>
      <c r="O2559" s="475"/>
      <c r="P2559" s="475">
        <v>44623</v>
      </c>
      <c r="Q2559" s="475">
        <v>44641</v>
      </c>
      <c r="R2559" s="475">
        <v>44642</v>
      </c>
      <c r="S2559" s="474" t="s">
        <v>1563</v>
      </c>
      <c r="T2559" s="474">
        <v>72</v>
      </c>
      <c r="U2559" s="474" t="s">
        <v>1541</v>
      </c>
      <c r="V2559" s="474" t="s">
        <v>1226</v>
      </c>
      <c r="W2559" s="476">
        <v>475</v>
      </c>
      <c r="X2559" s="402">
        <v>261</v>
      </c>
      <c r="Y2559" s="491">
        <f t="shared" si="453"/>
        <v>123975</v>
      </c>
      <c r="Z2559" s="478">
        <v>0.47</v>
      </c>
      <c r="AA2559" s="479">
        <f t="shared" si="445"/>
        <v>58268.25</v>
      </c>
      <c r="AB2559" s="386"/>
      <c r="AC2559" s="481">
        <v>0</v>
      </c>
      <c r="AD2559" s="474"/>
      <c r="AE2559" s="482"/>
      <c r="AF2559" s="493">
        <f t="shared" si="446"/>
        <v>58268.25</v>
      </c>
      <c r="AG2559" s="474" t="s">
        <v>47</v>
      </c>
      <c r="AH2559" s="447"/>
      <c r="AI2559" s="474">
        <v>75</v>
      </c>
      <c r="AJ2559" s="444" t="s">
        <v>1589</v>
      </c>
      <c r="AK2559" s="444" t="s">
        <v>1590</v>
      </c>
      <c r="AL2559" s="408">
        <v>38017</v>
      </c>
      <c r="AM2559" s="444" t="s">
        <v>52</v>
      </c>
      <c r="AN2559" s="444" t="s">
        <v>1151</v>
      </c>
      <c r="AO2559" s="474"/>
      <c r="AP2559" s="474" t="s">
        <v>92</v>
      </c>
      <c r="AQ2559" s="474" t="s">
        <v>37</v>
      </c>
      <c r="AR2559" s="474"/>
      <c r="AS2559" s="387"/>
      <c r="AT2559" s="387"/>
      <c r="AU2559" s="471"/>
      <c r="AV2559" s="262" t="str">
        <f t="shared" si="454"/>
        <v>30397571F</v>
      </c>
      <c r="AW2559" s="262" cm="1">
        <f t="array" ref="AW2559">SUM(MID(0&amp;AV2559,LARGE(INDEX(ISNUMBER(--MID(AV2559,ROW($1:$8),1))*ROW($1:$8),),ROW($1:$8))+1,1)*10^ROW($1:$8)/10)</f>
        <v>30397571</v>
      </c>
      <c r="AX2559" s="262" t="str">
        <f>VLOOKUP($AW2559,'Item Master Data'!$A:$F,3,FALSE)</f>
        <v>Q.PEAK DUO XL G10 BFG</v>
      </c>
      <c r="AY2559" s="262">
        <f>VLOOKUP($AW2559,'Item Master Data'!$A:$F,6,FALSE)</f>
        <v>475</v>
      </c>
      <c r="AZ2559" s="262">
        <f t="shared" si="455"/>
        <v>9</v>
      </c>
      <c r="BA2559" s="262">
        <f>VLOOKUP(AW2559,'Item Master Data'!$A:$G,7,FALSE)</f>
        <v>29</v>
      </c>
      <c r="BC2559" s="262">
        <f t="shared" si="456"/>
        <v>0</v>
      </c>
    </row>
    <row r="2560" spans="1:55">
      <c r="A2560" s="410"/>
      <c r="B2560" s="407"/>
      <c r="C2560" s="407"/>
      <c r="D2560" s="474" t="s">
        <v>1066</v>
      </c>
      <c r="E2560" s="388"/>
      <c r="F2560" s="474" t="s">
        <v>87</v>
      </c>
      <c r="G2560" s="474">
        <v>2022</v>
      </c>
      <c r="H2560" s="474">
        <v>3</v>
      </c>
      <c r="I2560" s="485">
        <v>127512</v>
      </c>
      <c r="J2560" s="475">
        <v>44642</v>
      </c>
      <c r="K2560" s="474" t="s">
        <v>1569</v>
      </c>
      <c r="L2560" s="475" t="s">
        <v>1561</v>
      </c>
      <c r="M2560" s="475">
        <v>44568</v>
      </c>
      <c r="N2560" s="475">
        <v>44622</v>
      </c>
      <c r="O2560" s="475"/>
      <c r="P2560" s="475">
        <v>44623</v>
      </c>
      <c r="Q2560" s="475">
        <v>44641</v>
      </c>
      <c r="R2560" s="475">
        <v>44642</v>
      </c>
      <c r="S2560" s="474" t="s">
        <v>1563</v>
      </c>
      <c r="T2560" s="474">
        <v>72</v>
      </c>
      <c r="U2560" s="474" t="s">
        <v>1542</v>
      </c>
      <c r="V2560" s="474" t="s">
        <v>1226</v>
      </c>
      <c r="W2560" s="476">
        <v>475</v>
      </c>
      <c r="X2560" s="402">
        <v>551</v>
      </c>
      <c r="Y2560" s="491">
        <f t="shared" si="453"/>
        <v>261725</v>
      </c>
      <c r="Z2560" s="478">
        <v>0.47</v>
      </c>
      <c r="AA2560" s="479">
        <f t="shared" si="445"/>
        <v>123010.75</v>
      </c>
      <c r="AB2560" s="386"/>
      <c r="AC2560" s="481">
        <v>0</v>
      </c>
      <c r="AD2560" s="474"/>
      <c r="AE2560" s="482"/>
      <c r="AF2560" s="493">
        <f t="shared" si="446"/>
        <v>123010.75</v>
      </c>
      <c r="AG2560" s="474" t="s">
        <v>47</v>
      </c>
      <c r="AH2560" s="447"/>
      <c r="AI2560" s="474">
        <v>75</v>
      </c>
      <c r="AJ2560" s="444" t="s">
        <v>1589</v>
      </c>
      <c r="AK2560" s="444" t="s">
        <v>1590</v>
      </c>
      <c r="AL2560" s="408">
        <v>38017</v>
      </c>
      <c r="AM2560" s="444" t="s">
        <v>52</v>
      </c>
      <c r="AN2560" s="444" t="s">
        <v>1151</v>
      </c>
      <c r="AO2560" s="474"/>
      <c r="AP2560" s="474" t="s">
        <v>92</v>
      </c>
      <c r="AQ2560" s="474" t="s">
        <v>37</v>
      </c>
      <c r="AR2560" s="474"/>
      <c r="AS2560" s="387"/>
      <c r="AT2560" s="387"/>
      <c r="AU2560" s="471"/>
      <c r="AV2560" s="262" t="str">
        <f t="shared" si="454"/>
        <v>30397571C</v>
      </c>
      <c r="AW2560" s="262" cm="1">
        <f t="array" ref="AW2560">SUM(MID(0&amp;AV2560,LARGE(INDEX(ISNUMBER(--MID(AV2560,ROW($1:$8),1))*ROW($1:$8),),ROW($1:$8))+1,1)*10^ROW($1:$8)/10)</f>
        <v>30397571</v>
      </c>
      <c r="AX2560" s="262" t="str">
        <f>VLOOKUP($AW2560,'Item Master Data'!$A:$F,3,FALSE)</f>
        <v>Q.PEAK DUO XL G10 BFG</v>
      </c>
      <c r="AY2560" s="262">
        <f>VLOOKUP($AW2560,'Item Master Data'!$A:$F,6,FALSE)</f>
        <v>475</v>
      </c>
      <c r="AZ2560" s="262">
        <f t="shared" si="455"/>
        <v>19</v>
      </c>
      <c r="BA2560" s="262">
        <f>VLOOKUP(AW2560,'Item Master Data'!$A:$G,7,FALSE)</f>
        <v>29</v>
      </c>
      <c r="BC2560" s="262">
        <f t="shared" si="456"/>
        <v>0</v>
      </c>
    </row>
    <row r="2561" spans="1:55">
      <c r="A2561" s="410"/>
      <c r="B2561" s="407"/>
      <c r="C2561" s="407"/>
      <c r="D2561" s="474" t="s">
        <v>1066</v>
      </c>
      <c r="E2561" s="388"/>
      <c r="F2561" s="474" t="s">
        <v>87</v>
      </c>
      <c r="G2561" s="474">
        <v>2022</v>
      </c>
      <c r="H2561" s="474">
        <v>3</v>
      </c>
      <c r="I2561" s="485">
        <v>127513</v>
      </c>
      <c r="J2561" s="475">
        <v>44642</v>
      </c>
      <c r="K2561" s="474" t="s">
        <v>1569</v>
      </c>
      <c r="L2561" s="475" t="s">
        <v>1561</v>
      </c>
      <c r="M2561" s="475">
        <v>44568</v>
      </c>
      <c r="N2561" s="475">
        <v>44622</v>
      </c>
      <c r="O2561" s="475"/>
      <c r="P2561" s="475">
        <v>44623</v>
      </c>
      <c r="Q2561" s="475">
        <v>44641</v>
      </c>
      <c r="R2561" s="475">
        <v>44642</v>
      </c>
      <c r="S2561" s="474" t="s">
        <v>1563</v>
      </c>
      <c r="T2561" s="474">
        <v>72</v>
      </c>
      <c r="U2561" s="474" t="s">
        <v>1541</v>
      </c>
      <c r="V2561" s="474" t="s">
        <v>1226</v>
      </c>
      <c r="W2561" s="476">
        <v>475</v>
      </c>
      <c r="X2561" s="402">
        <v>87</v>
      </c>
      <c r="Y2561" s="491">
        <f t="shared" si="453"/>
        <v>41325</v>
      </c>
      <c r="Z2561" s="478">
        <v>0.47</v>
      </c>
      <c r="AA2561" s="479">
        <f t="shared" ref="AA2561:AA2624" si="457">Z2561*Y2561</f>
        <v>19422.75</v>
      </c>
      <c r="AB2561" s="386"/>
      <c r="AC2561" s="481">
        <v>0</v>
      </c>
      <c r="AD2561" s="474"/>
      <c r="AE2561" s="482"/>
      <c r="AF2561" s="493">
        <f t="shared" ref="AF2561:AF2624" si="458">AA2561+AE2561</f>
        <v>19422.75</v>
      </c>
      <c r="AG2561" s="474" t="s">
        <v>47</v>
      </c>
      <c r="AH2561" s="447"/>
      <c r="AI2561" s="474">
        <v>75</v>
      </c>
      <c r="AJ2561" s="444" t="s">
        <v>1589</v>
      </c>
      <c r="AK2561" s="444" t="s">
        <v>1590</v>
      </c>
      <c r="AL2561" s="408">
        <v>38017</v>
      </c>
      <c r="AM2561" s="444" t="s">
        <v>52</v>
      </c>
      <c r="AN2561" s="444" t="s">
        <v>1151</v>
      </c>
      <c r="AO2561" s="474"/>
      <c r="AP2561" s="474" t="s">
        <v>92</v>
      </c>
      <c r="AQ2561" s="474" t="s">
        <v>37</v>
      </c>
      <c r="AR2561" s="474"/>
      <c r="AS2561" s="387"/>
      <c r="AT2561" s="387"/>
      <c r="AU2561" s="471"/>
      <c r="AV2561" s="262" t="str">
        <f t="shared" si="454"/>
        <v>30397571F</v>
      </c>
      <c r="AW2561" s="262" cm="1">
        <f t="array" ref="AW2561">SUM(MID(0&amp;AV2561,LARGE(INDEX(ISNUMBER(--MID(AV2561,ROW($1:$8),1))*ROW($1:$8),),ROW($1:$8))+1,1)*10^ROW($1:$8)/10)</f>
        <v>30397571</v>
      </c>
      <c r="AX2561" s="262" t="str">
        <f>VLOOKUP($AW2561,'Item Master Data'!$A:$F,3,FALSE)</f>
        <v>Q.PEAK DUO XL G10 BFG</v>
      </c>
      <c r="AY2561" s="262">
        <f>VLOOKUP($AW2561,'Item Master Data'!$A:$F,6,FALSE)</f>
        <v>475</v>
      </c>
      <c r="AZ2561" s="262">
        <f t="shared" si="455"/>
        <v>3</v>
      </c>
      <c r="BA2561" s="262">
        <f>VLOOKUP(AW2561,'Item Master Data'!$A:$G,7,FALSE)</f>
        <v>29</v>
      </c>
      <c r="BC2561" s="262">
        <f t="shared" si="456"/>
        <v>0</v>
      </c>
    </row>
    <row r="2562" spans="1:55">
      <c r="A2562" s="410"/>
      <c r="B2562" s="407"/>
      <c r="C2562" s="407"/>
      <c r="D2562" s="474" t="s">
        <v>1066</v>
      </c>
      <c r="E2562" s="388"/>
      <c r="F2562" s="474" t="s">
        <v>87</v>
      </c>
      <c r="G2562" s="474">
        <v>2022</v>
      </c>
      <c r="H2562" s="474">
        <v>3</v>
      </c>
      <c r="I2562" s="485">
        <v>127516</v>
      </c>
      <c r="J2562" s="475">
        <v>44643</v>
      </c>
      <c r="K2562" s="474" t="s">
        <v>1569</v>
      </c>
      <c r="L2562" s="475" t="s">
        <v>1561</v>
      </c>
      <c r="M2562" s="475">
        <v>44568</v>
      </c>
      <c r="N2562" s="475">
        <v>44622</v>
      </c>
      <c r="O2562" s="475"/>
      <c r="P2562" s="475">
        <v>44623</v>
      </c>
      <c r="Q2562" s="475">
        <v>44641</v>
      </c>
      <c r="R2562" s="475">
        <v>44643</v>
      </c>
      <c r="S2562" s="474" t="s">
        <v>1563</v>
      </c>
      <c r="T2562" s="474">
        <v>72</v>
      </c>
      <c r="U2562" s="474" t="s">
        <v>1542</v>
      </c>
      <c r="V2562" s="474" t="s">
        <v>1226</v>
      </c>
      <c r="W2562" s="476">
        <v>475</v>
      </c>
      <c r="X2562" s="402">
        <v>464</v>
      </c>
      <c r="Y2562" s="491">
        <f t="shared" si="453"/>
        <v>220400</v>
      </c>
      <c r="Z2562" s="478">
        <v>0.47</v>
      </c>
      <c r="AA2562" s="479">
        <f t="shared" si="457"/>
        <v>103588</v>
      </c>
      <c r="AB2562" s="386"/>
      <c r="AC2562" s="481">
        <v>0</v>
      </c>
      <c r="AD2562" s="474"/>
      <c r="AE2562" s="482"/>
      <c r="AF2562" s="493">
        <f t="shared" si="458"/>
        <v>103588</v>
      </c>
      <c r="AG2562" s="474" t="s">
        <v>47</v>
      </c>
      <c r="AH2562" s="447"/>
      <c r="AI2562" s="474">
        <v>75</v>
      </c>
      <c r="AJ2562" s="444" t="s">
        <v>1589</v>
      </c>
      <c r="AK2562" s="444" t="s">
        <v>1590</v>
      </c>
      <c r="AL2562" s="408">
        <v>38017</v>
      </c>
      <c r="AM2562" s="444" t="s">
        <v>52</v>
      </c>
      <c r="AN2562" s="444" t="s">
        <v>1151</v>
      </c>
      <c r="AO2562" s="474"/>
      <c r="AP2562" s="474" t="s">
        <v>92</v>
      </c>
      <c r="AQ2562" s="474" t="s">
        <v>37</v>
      </c>
      <c r="AR2562" s="474"/>
      <c r="AS2562" s="387"/>
      <c r="AT2562" s="387"/>
      <c r="AU2562" s="471"/>
      <c r="AV2562" s="262" t="str">
        <f t="shared" si="454"/>
        <v>30397571C</v>
      </c>
      <c r="AW2562" s="262" cm="1">
        <f t="array" ref="AW2562">SUM(MID(0&amp;AV2562,LARGE(INDEX(ISNUMBER(--MID(AV2562,ROW($1:$8),1))*ROW($1:$8),),ROW($1:$8))+1,1)*10^ROW($1:$8)/10)</f>
        <v>30397571</v>
      </c>
      <c r="AX2562" s="262" t="str">
        <f>VLOOKUP($AW2562,'Item Master Data'!$A:$F,3,FALSE)</f>
        <v>Q.PEAK DUO XL G10 BFG</v>
      </c>
      <c r="AY2562" s="262">
        <f>VLOOKUP($AW2562,'Item Master Data'!$A:$F,6,FALSE)</f>
        <v>475</v>
      </c>
      <c r="AZ2562" s="262">
        <f t="shared" si="455"/>
        <v>16</v>
      </c>
      <c r="BA2562" s="262">
        <f>VLOOKUP(AW2562,'Item Master Data'!$A:$G,7,FALSE)</f>
        <v>29</v>
      </c>
      <c r="BC2562" s="262">
        <f t="shared" si="456"/>
        <v>0</v>
      </c>
    </row>
    <row r="2563" spans="1:55">
      <c r="A2563" s="410"/>
      <c r="B2563" s="407"/>
      <c r="C2563" s="407"/>
      <c r="D2563" s="474" t="s">
        <v>1066</v>
      </c>
      <c r="E2563" s="388"/>
      <c r="F2563" s="474" t="s">
        <v>87</v>
      </c>
      <c r="G2563" s="474">
        <v>2022</v>
      </c>
      <c r="H2563" s="474">
        <v>3</v>
      </c>
      <c r="I2563" s="485">
        <v>127517</v>
      </c>
      <c r="J2563" s="475">
        <v>44643</v>
      </c>
      <c r="K2563" s="474" t="s">
        <v>1569</v>
      </c>
      <c r="L2563" s="475" t="s">
        <v>1561</v>
      </c>
      <c r="M2563" s="475">
        <v>44568</v>
      </c>
      <c r="N2563" s="475">
        <v>44622</v>
      </c>
      <c r="O2563" s="475"/>
      <c r="P2563" s="475">
        <v>44623</v>
      </c>
      <c r="Q2563" s="475">
        <v>44641</v>
      </c>
      <c r="R2563" s="475">
        <v>44643</v>
      </c>
      <c r="S2563" s="474" t="s">
        <v>1563</v>
      </c>
      <c r="T2563" s="474">
        <v>72</v>
      </c>
      <c r="U2563" s="474" t="s">
        <v>1541</v>
      </c>
      <c r="V2563" s="474" t="s">
        <v>1226</v>
      </c>
      <c r="W2563" s="476">
        <v>475</v>
      </c>
      <c r="X2563" s="402">
        <v>174</v>
      </c>
      <c r="Y2563" s="491">
        <f t="shared" si="453"/>
        <v>82650</v>
      </c>
      <c r="Z2563" s="478">
        <v>0.47</v>
      </c>
      <c r="AA2563" s="479">
        <f t="shared" si="457"/>
        <v>38845.5</v>
      </c>
      <c r="AB2563" s="386"/>
      <c r="AC2563" s="481">
        <v>0</v>
      </c>
      <c r="AD2563" s="474"/>
      <c r="AE2563" s="482"/>
      <c r="AF2563" s="493">
        <f t="shared" si="458"/>
        <v>38845.5</v>
      </c>
      <c r="AG2563" s="474" t="s">
        <v>47</v>
      </c>
      <c r="AH2563" s="447"/>
      <c r="AI2563" s="474">
        <v>75</v>
      </c>
      <c r="AJ2563" s="444" t="s">
        <v>1589</v>
      </c>
      <c r="AK2563" s="444" t="s">
        <v>1590</v>
      </c>
      <c r="AL2563" s="408">
        <v>38017</v>
      </c>
      <c r="AM2563" s="444" t="s">
        <v>52</v>
      </c>
      <c r="AN2563" s="444" t="s">
        <v>1151</v>
      </c>
      <c r="AO2563" s="474"/>
      <c r="AP2563" s="474" t="s">
        <v>92</v>
      </c>
      <c r="AQ2563" s="474" t="s">
        <v>37</v>
      </c>
      <c r="AR2563" s="474"/>
      <c r="AS2563" s="387"/>
      <c r="AT2563" s="387"/>
      <c r="AU2563" s="471"/>
      <c r="AV2563" s="262" t="str">
        <f t="shared" si="454"/>
        <v>30397571F</v>
      </c>
      <c r="AW2563" s="262" cm="1">
        <f t="array" ref="AW2563">SUM(MID(0&amp;AV2563,LARGE(INDEX(ISNUMBER(--MID(AV2563,ROW($1:$8),1))*ROW($1:$8),),ROW($1:$8))+1,1)*10^ROW($1:$8)/10)</f>
        <v>30397571</v>
      </c>
      <c r="AX2563" s="262" t="str">
        <f>VLOOKUP($AW2563,'Item Master Data'!$A:$F,3,FALSE)</f>
        <v>Q.PEAK DUO XL G10 BFG</v>
      </c>
      <c r="AY2563" s="262">
        <f>VLOOKUP($AW2563,'Item Master Data'!$A:$F,6,FALSE)</f>
        <v>475</v>
      </c>
      <c r="AZ2563" s="262">
        <f t="shared" si="455"/>
        <v>6</v>
      </c>
      <c r="BA2563" s="262">
        <f>VLOOKUP(AW2563,'Item Master Data'!$A:$G,7,FALSE)</f>
        <v>29</v>
      </c>
      <c r="BC2563" s="262">
        <f t="shared" si="456"/>
        <v>0</v>
      </c>
    </row>
    <row r="2564" spans="1:55">
      <c r="A2564" s="410"/>
      <c r="B2564" s="407"/>
      <c r="C2564" s="407"/>
      <c r="D2564" s="474" t="s">
        <v>1066</v>
      </c>
      <c r="E2564" s="388"/>
      <c r="F2564" s="474" t="s">
        <v>87</v>
      </c>
      <c r="G2564" s="474">
        <v>2022</v>
      </c>
      <c r="H2564" s="474">
        <v>3</v>
      </c>
      <c r="I2564" s="485">
        <v>127518</v>
      </c>
      <c r="J2564" s="475">
        <v>44643</v>
      </c>
      <c r="K2564" s="474" t="s">
        <v>1569</v>
      </c>
      <c r="L2564" s="475" t="s">
        <v>1561</v>
      </c>
      <c r="M2564" s="475">
        <v>44568</v>
      </c>
      <c r="N2564" s="475">
        <v>44622</v>
      </c>
      <c r="O2564" s="475"/>
      <c r="P2564" s="475">
        <v>44623</v>
      </c>
      <c r="Q2564" s="475">
        <v>44642</v>
      </c>
      <c r="R2564" s="475">
        <v>44643</v>
      </c>
      <c r="S2564" s="474" t="s">
        <v>1563</v>
      </c>
      <c r="T2564" s="474">
        <v>72</v>
      </c>
      <c r="U2564" s="474" t="s">
        <v>1542</v>
      </c>
      <c r="V2564" s="474" t="s">
        <v>1226</v>
      </c>
      <c r="W2564" s="476">
        <v>475</v>
      </c>
      <c r="X2564" s="402">
        <v>232</v>
      </c>
      <c r="Y2564" s="491">
        <f t="shared" si="453"/>
        <v>110200</v>
      </c>
      <c r="Z2564" s="478">
        <v>0.47</v>
      </c>
      <c r="AA2564" s="479">
        <f t="shared" si="457"/>
        <v>51794</v>
      </c>
      <c r="AB2564" s="386"/>
      <c r="AC2564" s="481">
        <v>0</v>
      </c>
      <c r="AD2564" s="474"/>
      <c r="AE2564" s="482"/>
      <c r="AF2564" s="493">
        <f t="shared" si="458"/>
        <v>51794</v>
      </c>
      <c r="AG2564" s="474" t="s">
        <v>47</v>
      </c>
      <c r="AH2564" s="447"/>
      <c r="AI2564" s="474">
        <v>75</v>
      </c>
      <c r="AJ2564" s="444" t="s">
        <v>1589</v>
      </c>
      <c r="AK2564" s="444" t="s">
        <v>1590</v>
      </c>
      <c r="AL2564" s="408">
        <v>38017</v>
      </c>
      <c r="AM2564" s="444" t="s">
        <v>52</v>
      </c>
      <c r="AN2564" s="444" t="s">
        <v>1151</v>
      </c>
      <c r="AO2564" s="474"/>
      <c r="AP2564" s="474" t="s">
        <v>92</v>
      </c>
      <c r="AQ2564" s="474" t="s">
        <v>37</v>
      </c>
      <c r="AR2564" s="474"/>
      <c r="AS2564" s="387"/>
      <c r="AT2564" s="387"/>
      <c r="AU2564" s="471"/>
      <c r="AV2564" s="262" t="str">
        <f t="shared" si="454"/>
        <v>30397571C</v>
      </c>
      <c r="AW2564" s="262" cm="1">
        <f t="array" ref="AW2564">SUM(MID(0&amp;AV2564,LARGE(INDEX(ISNUMBER(--MID(AV2564,ROW($1:$8),1))*ROW($1:$8),),ROW($1:$8))+1,1)*10^ROW($1:$8)/10)</f>
        <v>30397571</v>
      </c>
      <c r="AX2564" s="262" t="str">
        <f>VLOOKUP($AW2564,'Item Master Data'!$A:$F,3,FALSE)</f>
        <v>Q.PEAK DUO XL G10 BFG</v>
      </c>
      <c r="AY2564" s="262">
        <f>VLOOKUP($AW2564,'Item Master Data'!$A:$F,6,FALSE)</f>
        <v>475</v>
      </c>
      <c r="AZ2564" s="262">
        <f t="shared" si="455"/>
        <v>8</v>
      </c>
      <c r="BA2564" s="262">
        <f>VLOOKUP(AW2564,'Item Master Data'!$A:$G,7,FALSE)</f>
        <v>29</v>
      </c>
      <c r="BC2564" s="262">
        <f t="shared" si="456"/>
        <v>0</v>
      </c>
    </row>
    <row r="2565" spans="1:55">
      <c r="A2565" s="410"/>
      <c r="B2565" s="407"/>
      <c r="C2565" s="407"/>
      <c r="D2565" s="474" t="s">
        <v>1066</v>
      </c>
      <c r="E2565" s="388"/>
      <c r="F2565" s="474" t="s">
        <v>87</v>
      </c>
      <c r="G2565" s="474">
        <v>2022</v>
      </c>
      <c r="H2565" s="474">
        <v>3</v>
      </c>
      <c r="I2565" s="485">
        <v>127519</v>
      </c>
      <c r="J2565" s="475">
        <v>44643</v>
      </c>
      <c r="K2565" s="474" t="s">
        <v>1569</v>
      </c>
      <c r="L2565" s="475" t="s">
        <v>1561</v>
      </c>
      <c r="M2565" s="475">
        <v>44568</v>
      </c>
      <c r="N2565" s="475">
        <v>44622</v>
      </c>
      <c r="O2565" s="475"/>
      <c r="P2565" s="475">
        <v>44623</v>
      </c>
      <c r="Q2565" s="475">
        <v>44642</v>
      </c>
      <c r="R2565" s="475">
        <v>44643</v>
      </c>
      <c r="S2565" s="474" t="s">
        <v>1563</v>
      </c>
      <c r="T2565" s="474">
        <v>72</v>
      </c>
      <c r="U2565" s="474" t="s">
        <v>1541</v>
      </c>
      <c r="V2565" s="474" t="s">
        <v>1226</v>
      </c>
      <c r="W2565" s="476">
        <v>475</v>
      </c>
      <c r="X2565" s="402">
        <v>145</v>
      </c>
      <c r="Y2565" s="491">
        <f t="shared" si="453"/>
        <v>68875</v>
      </c>
      <c r="Z2565" s="478">
        <v>0.47</v>
      </c>
      <c r="AA2565" s="479">
        <f t="shared" si="457"/>
        <v>32371.249999999996</v>
      </c>
      <c r="AB2565" s="386"/>
      <c r="AC2565" s="481">
        <v>0</v>
      </c>
      <c r="AD2565" s="474"/>
      <c r="AE2565" s="482"/>
      <c r="AF2565" s="493">
        <f t="shared" si="458"/>
        <v>32371.249999999996</v>
      </c>
      <c r="AG2565" s="474" t="s">
        <v>47</v>
      </c>
      <c r="AH2565" s="447"/>
      <c r="AI2565" s="474">
        <v>75</v>
      </c>
      <c r="AJ2565" s="444" t="s">
        <v>1589</v>
      </c>
      <c r="AK2565" s="444" t="s">
        <v>1590</v>
      </c>
      <c r="AL2565" s="408">
        <v>38017</v>
      </c>
      <c r="AM2565" s="444" t="s">
        <v>52</v>
      </c>
      <c r="AN2565" s="444" t="s">
        <v>1151</v>
      </c>
      <c r="AO2565" s="474"/>
      <c r="AP2565" s="474" t="s">
        <v>92</v>
      </c>
      <c r="AQ2565" s="474" t="s">
        <v>37</v>
      </c>
      <c r="AR2565" s="474"/>
      <c r="AS2565" s="387"/>
      <c r="AT2565" s="387"/>
      <c r="AU2565" s="471"/>
      <c r="AV2565" s="262" t="str">
        <f t="shared" si="454"/>
        <v>30397571F</v>
      </c>
      <c r="AW2565" s="262" cm="1">
        <f t="array" ref="AW2565">SUM(MID(0&amp;AV2565,LARGE(INDEX(ISNUMBER(--MID(AV2565,ROW($1:$8),1))*ROW($1:$8),),ROW($1:$8))+1,1)*10^ROW($1:$8)/10)</f>
        <v>30397571</v>
      </c>
      <c r="AX2565" s="262" t="str">
        <f>VLOOKUP($AW2565,'Item Master Data'!$A:$F,3,FALSE)</f>
        <v>Q.PEAK DUO XL G10 BFG</v>
      </c>
      <c r="AY2565" s="262">
        <f>VLOOKUP($AW2565,'Item Master Data'!$A:$F,6,FALSE)</f>
        <v>475</v>
      </c>
      <c r="AZ2565" s="262">
        <f t="shared" si="455"/>
        <v>5</v>
      </c>
      <c r="BA2565" s="262">
        <f>VLOOKUP(AW2565,'Item Master Data'!$A:$G,7,FALSE)</f>
        <v>29</v>
      </c>
      <c r="BC2565" s="262">
        <f t="shared" si="456"/>
        <v>0</v>
      </c>
    </row>
    <row r="2566" spans="1:55">
      <c r="A2566" s="410"/>
      <c r="B2566" s="407"/>
      <c r="C2566" s="407"/>
      <c r="D2566" s="474" t="s">
        <v>1066</v>
      </c>
      <c r="E2566" s="388"/>
      <c r="F2566" s="474" t="s">
        <v>87</v>
      </c>
      <c r="G2566" s="474">
        <v>2022</v>
      </c>
      <c r="H2566" s="474">
        <v>3</v>
      </c>
      <c r="I2566" s="485">
        <v>127514</v>
      </c>
      <c r="J2566" s="475">
        <v>44645</v>
      </c>
      <c r="K2566" s="474" t="s">
        <v>1569</v>
      </c>
      <c r="L2566" s="475" t="s">
        <v>1561</v>
      </c>
      <c r="M2566" s="475">
        <v>44568</v>
      </c>
      <c r="N2566" s="475">
        <v>44622</v>
      </c>
      <c r="O2566" s="475"/>
      <c r="P2566" s="475">
        <v>44623</v>
      </c>
      <c r="Q2566" s="475">
        <v>44642</v>
      </c>
      <c r="R2566" s="475">
        <v>44645</v>
      </c>
      <c r="S2566" s="474" t="s">
        <v>1563</v>
      </c>
      <c r="T2566" s="474">
        <v>72</v>
      </c>
      <c r="U2566" s="474" t="s">
        <v>1542</v>
      </c>
      <c r="V2566" s="474" t="s">
        <v>1226</v>
      </c>
      <c r="W2566" s="476">
        <v>475</v>
      </c>
      <c r="X2566" s="402">
        <v>464</v>
      </c>
      <c r="Y2566" s="491">
        <f t="shared" si="453"/>
        <v>220400</v>
      </c>
      <c r="Z2566" s="478">
        <v>0.47</v>
      </c>
      <c r="AA2566" s="479">
        <f t="shared" si="457"/>
        <v>103588</v>
      </c>
      <c r="AB2566" s="386"/>
      <c r="AC2566" s="481">
        <v>0</v>
      </c>
      <c r="AD2566" s="474"/>
      <c r="AE2566" s="482"/>
      <c r="AF2566" s="493">
        <f t="shared" si="458"/>
        <v>103588</v>
      </c>
      <c r="AG2566" s="474" t="s">
        <v>47</v>
      </c>
      <c r="AH2566" s="447"/>
      <c r="AI2566" s="474">
        <v>75</v>
      </c>
      <c r="AJ2566" s="444" t="s">
        <v>1589</v>
      </c>
      <c r="AK2566" s="444" t="s">
        <v>1590</v>
      </c>
      <c r="AL2566" s="408">
        <v>38017</v>
      </c>
      <c r="AM2566" s="444" t="s">
        <v>52</v>
      </c>
      <c r="AN2566" s="444" t="s">
        <v>1151</v>
      </c>
      <c r="AO2566" s="474"/>
      <c r="AP2566" s="474" t="s">
        <v>92</v>
      </c>
      <c r="AQ2566" s="474" t="s">
        <v>37</v>
      </c>
      <c r="AR2566" s="474"/>
      <c r="AS2566" s="387"/>
      <c r="AT2566" s="387"/>
      <c r="AU2566" s="471"/>
      <c r="AV2566" s="262" t="str">
        <f t="shared" si="454"/>
        <v>30397571C</v>
      </c>
      <c r="AW2566" s="262" cm="1">
        <f t="array" ref="AW2566">SUM(MID(0&amp;AV2566,LARGE(INDEX(ISNUMBER(--MID(AV2566,ROW($1:$8),1))*ROW($1:$8),),ROW($1:$8))+1,1)*10^ROW($1:$8)/10)</f>
        <v>30397571</v>
      </c>
      <c r="AX2566" s="262" t="str">
        <f>VLOOKUP($AW2566,'Item Master Data'!$A:$F,3,FALSE)</f>
        <v>Q.PEAK DUO XL G10 BFG</v>
      </c>
      <c r="AY2566" s="262">
        <f>VLOOKUP($AW2566,'Item Master Data'!$A:$F,6,FALSE)</f>
        <v>475</v>
      </c>
      <c r="AZ2566" s="262">
        <f t="shared" si="455"/>
        <v>16</v>
      </c>
      <c r="BA2566" s="262">
        <f>VLOOKUP(AW2566,'Item Master Data'!$A:$G,7,FALSE)</f>
        <v>29</v>
      </c>
      <c r="BC2566" s="262">
        <f t="shared" si="456"/>
        <v>0</v>
      </c>
    </row>
    <row r="2567" spans="1:55">
      <c r="A2567" s="410"/>
      <c r="B2567" s="407"/>
      <c r="C2567" s="407"/>
      <c r="D2567" s="474" t="s">
        <v>1066</v>
      </c>
      <c r="E2567" s="388"/>
      <c r="F2567" s="474" t="s">
        <v>87</v>
      </c>
      <c r="G2567" s="474">
        <v>2022</v>
      </c>
      <c r="H2567" s="474">
        <v>3</v>
      </c>
      <c r="I2567" s="485">
        <v>127754</v>
      </c>
      <c r="J2567" s="475">
        <v>44638</v>
      </c>
      <c r="K2567" s="474" t="s">
        <v>1569</v>
      </c>
      <c r="L2567" s="475" t="s">
        <v>1561</v>
      </c>
      <c r="M2567" s="475">
        <v>44568</v>
      </c>
      <c r="N2567" s="475">
        <v>44622</v>
      </c>
      <c r="O2567" s="475"/>
      <c r="P2567" s="475">
        <v>44623</v>
      </c>
      <c r="Q2567" s="475">
        <v>44634</v>
      </c>
      <c r="R2567" s="475">
        <v>44638</v>
      </c>
      <c r="S2567" s="474" t="s">
        <v>1563</v>
      </c>
      <c r="T2567" s="474">
        <v>72</v>
      </c>
      <c r="U2567" s="474" t="s">
        <v>1542</v>
      </c>
      <c r="V2567" s="474" t="s">
        <v>1226</v>
      </c>
      <c r="W2567" s="476">
        <v>475</v>
      </c>
      <c r="X2567" s="402">
        <v>638</v>
      </c>
      <c r="Y2567" s="491">
        <f t="shared" si="453"/>
        <v>303050</v>
      </c>
      <c r="Z2567" s="478">
        <v>0.47</v>
      </c>
      <c r="AA2567" s="479">
        <f t="shared" si="457"/>
        <v>142433.5</v>
      </c>
      <c r="AB2567" s="386"/>
      <c r="AC2567" s="481">
        <v>0</v>
      </c>
      <c r="AD2567" s="474"/>
      <c r="AE2567" s="482"/>
      <c r="AF2567" s="493">
        <f t="shared" si="458"/>
        <v>142433.5</v>
      </c>
      <c r="AG2567" s="474" t="s">
        <v>47</v>
      </c>
      <c r="AH2567" s="447"/>
      <c r="AI2567" s="474">
        <v>75</v>
      </c>
      <c r="AJ2567" s="444" t="s">
        <v>1589</v>
      </c>
      <c r="AK2567" s="444" t="s">
        <v>1590</v>
      </c>
      <c r="AL2567" s="408">
        <v>38017</v>
      </c>
      <c r="AM2567" s="444" t="s">
        <v>52</v>
      </c>
      <c r="AN2567" s="444" t="s">
        <v>1151</v>
      </c>
      <c r="AO2567" s="474"/>
      <c r="AP2567" s="474" t="s">
        <v>92</v>
      </c>
      <c r="AQ2567" s="474" t="s">
        <v>37</v>
      </c>
      <c r="AR2567" s="474"/>
      <c r="AS2567" s="387"/>
      <c r="AT2567" s="387"/>
      <c r="AU2567" s="471"/>
      <c r="AV2567" s="262" t="str">
        <f t="shared" si="454"/>
        <v>30397571C</v>
      </c>
      <c r="AW2567" s="262" cm="1">
        <f t="array" ref="AW2567">SUM(MID(0&amp;AV2567,LARGE(INDEX(ISNUMBER(--MID(AV2567,ROW($1:$8),1))*ROW($1:$8),),ROW($1:$8))+1,1)*10^ROW($1:$8)/10)</f>
        <v>30397571</v>
      </c>
      <c r="AX2567" s="262" t="str">
        <f>VLOOKUP($AW2567,'Item Master Data'!$A:$F,3,FALSE)</f>
        <v>Q.PEAK DUO XL G10 BFG</v>
      </c>
      <c r="AY2567" s="262">
        <f>VLOOKUP($AW2567,'Item Master Data'!$A:$F,6,FALSE)</f>
        <v>475</v>
      </c>
      <c r="AZ2567" s="262">
        <f t="shared" si="455"/>
        <v>22</v>
      </c>
      <c r="BA2567" s="262">
        <f>VLOOKUP(AW2567,'Item Master Data'!$A:$G,7,FALSE)</f>
        <v>29</v>
      </c>
      <c r="BC2567" s="262">
        <f t="shared" si="456"/>
        <v>0</v>
      </c>
    </row>
    <row r="2568" spans="1:55">
      <c r="A2568" s="410"/>
      <c r="B2568" s="407"/>
      <c r="C2568" s="407"/>
      <c r="D2568" s="474" t="s">
        <v>1066</v>
      </c>
      <c r="E2568" s="388"/>
      <c r="F2568" s="474" t="s">
        <v>87</v>
      </c>
      <c r="G2568" s="474">
        <v>2022</v>
      </c>
      <c r="H2568" s="474">
        <v>3</v>
      </c>
      <c r="I2568" s="485">
        <v>127753</v>
      </c>
      <c r="J2568" s="475">
        <v>44638</v>
      </c>
      <c r="K2568" s="474" t="s">
        <v>1569</v>
      </c>
      <c r="L2568" s="475" t="s">
        <v>1561</v>
      </c>
      <c r="M2568" s="475">
        <v>44568</v>
      </c>
      <c r="N2568" s="475">
        <v>44622</v>
      </c>
      <c r="O2568" s="475"/>
      <c r="P2568" s="475">
        <v>44623</v>
      </c>
      <c r="Q2568" s="475">
        <v>44634</v>
      </c>
      <c r="R2568" s="475">
        <v>44638</v>
      </c>
      <c r="S2568" s="474" t="s">
        <v>1563</v>
      </c>
      <c r="T2568" s="474">
        <v>72</v>
      </c>
      <c r="U2568" s="474" t="s">
        <v>1542</v>
      </c>
      <c r="V2568" s="474" t="s">
        <v>1226</v>
      </c>
      <c r="W2568" s="476">
        <v>475</v>
      </c>
      <c r="X2568" s="402">
        <v>638</v>
      </c>
      <c r="Y2568" s="491">
        <f t="shared" si="453"/>
        <v>303050</v>
      </c>
      <c r="Z2568" s="478">
        <v>0.47</v>
      </c>
      <c r="AA2568" s="479">
        <f t="shared" si="457"/>
        <v>142433.5</v>
      </c>
      <c r="AB2568" s="386"/>
      <c r="AC2568" s="481">
        <v>0</v>
      </c>
      <c r="AD2568" s="474"/>
      <c r="AE2568" s="482"/>
      <c r="AF2568" s="493">
        <f t="shared" si="458"/>
        <v>142433.5</v>
      </c>
      <c r="AG2568" s="474" t="s">
        <v>47</v>
      </c>
      <c r="AH2568" s="447"/>
      <c r="AI2568" s="474">
        <v>75</v>
      </c>
      <c r="AJ2568" s="444" t="s">
        <v>1589</v>
      </c>
      <c r="AK2568" s="444" t="s">
        <v>1590</v>
      </c>
      <c r="AL2568" s="408">
        <v>38017</v>
      </c>
      <c r="AM2568" s="444" t="s">
        <v>52</v>
      </c>
      <c r="AN2568" s="444" t="s">
        <v>1151</v>
      </c>
      <c r="AO2568" s="474"/>
      <c r="AP2568" s="474" t="s">
        <v>92</v>
      </c>
      <c r="AQ2568" s="474" t="s">
        <v>37</v>
      </c>
      <c r="AR2568" s="474"/>
      <c r="AS2568" s="387"/>
      <c r="AT2568" s="387"/>
      <c r="AU2568" s="471"/>
      <c r="AV2568" s="262" t="str">
        <f t="shared" si="454"/>
        <v>30397571C</v>
      </c>
      <c r="AW2568" s="262" cm="1">
        <f t="array" ref="AW2568">SUM(MID(0&amp;AV2568,LARGE(INDEX(ISNUMBER(--MID(AV2568,ROW($1:$8),1))*ROW($1:$8),),ROW($1:$8))+1,1)*10^ROW($1:$8)/10)</f>
        <v>30397571</v>
      </c>
      <c r="AX2568" s="262" t="str">
        <f>VLOOKUP($AW2568,'Item Master Data'!$A:$F,3,FALSE)</f>
        <v>Q.PEAK DUO XL G10 BFG</v>
      </c>
      <c r="AY2568" s="262">
        <f>VLOOKUP($AW2568,'Item Master Data'!$A:$F,6,FALSE)</f>
        <v>475</v>
      </c>
      <c r="AZ2568" s="262">
        <f t="shared" si="455"/>
        <v>22</v>
      </c>
      <c r="BA2568" s="262">
        <f>VLOOKUP(AW2568,'Item Master Data'!$A:$G,7,FALSE)</f>
        <v>29</v>
      </c>
      <c r="BC2568" s="262">
        <f t="shared" si="456"/>
        <v>0</v>
      </c>
    </row>
    <row r="2569" spans="1:55">
      <c r="A2569" s="410"/>
      <c r="B2569" s="407"/>
      <c r="C2569" s="407"/>
      <c r="D2569" s="474" t="s">
        <v>1066</v>
      </c>
      <c r="E2569" s="388"/>
      <c r="F2569" s="474" t="s">
        <v>87</v>
      </c>
      <c r="G2569" s="474">
        <v>2022</v>
      </c>
      <c r="H2569" s="474">
        <v>3</v>
      </c>
      <c r="I2569" s="485">
        <v>127756</v>
      </c>
      <c r="J2569" s="475">
        <v>44638</v>
      </c>
      <c r="K2569" s="474" t="s">
        <v>1569</v>
      </c>
      <c r="L2569" s="475" t="s">
        <v>1561</v>
      </c>
      <c r="M2569" s="475">
        <v>44568</v>
      </c>
      <c r="N2569" s="475">
        <v>44622</v>
      </c>
      <c r="O2569" s="475"/>
      <c r="P2569" s="475">
        <v>44623</v>
      </c>
      <c r="Q2569" s="475">
        <v>44634</v>
      </c>
      <c r="R2569" s="475">
        <v>44638</v>
      </c>
      <c r="S2569" s="474" t="s">
        <v>1563</v>
      </c>
      <c r="T2569" s="474">
        <v>72</v>
      </c>
      <c r="U2569" s="474" t="s">
        <v>1542</v>
      </c>
      <c r="V2569" s="474" t="s">
        <v>1226</v>
      </c>
      <c r="W2569" s="476">
        <v>475</v>
      </c>
      <c r="X2569" s="402">
        <v>638</v>
      </c>
      <c r="Y2569" s="491">
        <f t="shared" si="453"/>
        <v>303050</v>
      </c>
      <c r="Z2569" s="478">
        <v>0.47</v>
      </c>
      <c r="AA2569" s="479">
        <f t="shared" si="457"/>
        <v>142433.5</v>
      </c>
      <c r="AB2569" s="386"/>
      <c r="AC2569" s="481">
        <v>0</v>
      </c>
      <c r="AD2569" s="474"/>
      <c r="AE2569" s="482"/>
      <c r="AF2569" s="493">
        <f t="shared" si="458"/>
        <v>142433.5</v>
      </c>
      <c r="AG2569" s="474" t="s">
        <v>47</v>
      </c>
      <c r="AH2569" s="447"/>
      <c r="AI2569" s="474">
        <v>75</v>
      </c>
      <c r="AJ2569" s="444" t="s">
        <v>1589</v>
      </c>
      <c r="AK2569" s="444" t="s">
        <v>1590</v>
      </c>
      <c r="AL2569" s="408">
        <v>38017</v>
      </c>
      <c r="AM2569" s="444" t="s">
        <v>52</v>
      </c>
      <c r="AN2569" s="444" t="s">
        <v>1151</v>
      </c>
      <c r="AO2569" s="474"/>
      <c r="AP2569" s="474" t="s">
        <v>92</v>
      </c>
      <c r="AQ2569" s="474" t="s">
        <v>37</v>
      </c>
      <c r="AR2569" s="474"/>
      <c r="AS2569" s="387"/>
      <c r="AT2569" s="387"/>
      <c r="AU2569" s="471"/>
      <c r="AV2569" s="262" t="str">
        <f t="shared" si="454"/>
        <v>30397571C</v>
      </c>
      <c r="AW2569" s="262" cm="1">
        <f t="array" ref="AW2569">SUM(MID(0&amp;AV2569,LARGE(INDEX(ISNUMBER(--MID(AV2569,ROW($1:$8),1))*ROW($1:$8),),ROW($1:$8))+1,1)*10^ROW($1:$8)/10)</f>
        <v>30397571</v>
      </c>
      <c r="AX2569" s="262" t="str">
        <f>VLOOKUP($AW2569,'Item Master Data'!$A:$F,3,FALSE)</f>
        <v>Q.PEAK DUO XL G10 BFG</v>
      </c>
      <c r="AY2569" s="262">
        <f>VLOOKUP($AW2569,'Item Master Data'!$A:$F,6,FALSE)</f>
        <v>475</v>
      </c>
      <c r="AZ2569" s="262">
        <f t="shared" si="455"/>
        <v>22</v>
      </c>
      <c r="BA2569" s="262">
        <f>VLOOKUP(AW2569,'Item Master Data'!$A:$G,7,FALSE)</f>
        <v>29</v>
      </c>
      <c r="BC2569" s="262">
        <f t="shared" si="456"/>
        <v>0</v>
      </c>
    </row>
    <row r="2570" spans="1:55">
      <c r="A2570" s="410"/>
      <c r="B2570" s="407"/>
      <c r="C2570" s="407"/>
      <c r="D2570" s="474" t="s">
        <v>1066</v>
      </c>
      <c r="E2570" s="388" t="s">
        <v>1591</v>
      </c>
      <c r="F2570" s="474" t="s">
        <v>1147</v>
      </c>
      <c r="G2570" s="474">
        <v>2022</v>
      </c>
      <c r="H2570" s="474">
        <v>3</v>
      </c>
      <c r="I2570" s="485">
        <v>127850</v>
      </c>
      <c r="J2570" s="475">
        <v>44641</v>
      </c>
      <c r="K2570" s="474" t="s">
        <v>1581</v>
      </c>
      <c r="L2570" s="475" t="s">
        <v>1561</v>
      </c>
      <c r="M2570" s="475">
        <v>44468</v>
      </c>
      <c r="N2570" s="475" t="s">
        <v>1571</v>
      </c>
      <c r="O2570" s="475"/>
      <c r="P2570" s="475">
        <v>44596</v>
      </c>
      <c r="Q2570" s="475">
        <v>44636</v>
      </c>
      <c r="R2570" s="475">
        <v>44641</v>
      </c>
      <c r="S2570" s="474" t="s">
        <v>1563</v>
      </c>
      <c r="T2570" s="474">
        <v>60</v>
      </c>
      <c r="U2570" s="474" t="s">
        <v>1573</v>
      </c>
      <c r="V2570" s="474" t="s">
        <v>1574</v>
      </c>
      <c r="W2570" s="476">
        <v>400</v>
      </c>
      <c r="X2570" s="402">
        <v>624</v>
      </c>
      <c r="Y2570" s="491">
        <f t="shared" si="453"/>
        <v>249600</v>
      </c>
      <c r="Z2570" s="478">
        <v>0.44</v>
      </c>
      <c r="AA2570" s="479">
        <f t="shared" si="457"/>
        <v>109824</v>
      </c>
      <c r="AB2570" s="386"/>
      <c r="AC2570" s="481">
        <v>0</v>
      </c>
      <c r="AD2570" s="474"/>
      <c r="AE2570" s="482"/>
      <c r="AF2570" s="493">
        <f t="shared" si="458"/>
        <v>109824</v>
      </c>
      <c r="AG2570" s="474" t="s">
        <v>47</v>
      </c>
      <c r="AH2570" s="447"/>
      <c r="AI2570" s="474">
        <v>75</v>
      </c>
      <c r="AJ2570" s="474" t="s">
        <v>1580</v>
      </c>
      <c r="AK2570" s="474" t="s">
        <v>1073</v>
      </c>
      <c r="AL2570" s="494">
        <v>21075</v>
      </c>
      <c r="AM2570" s="474" t="s">
        <v>52</v>
      </c>
      <c r="AN2570" s="474" t="s">
        <v>1568</v>
      </c>
      <c r="AO2570" s="474"/>
      <c r="AP2570" s="474" t="s">
        <v>92</v>
      </c>
      <c r="AQ2570" s="474" t="s">
        <v>37</v>
      </c>
      <c r="AR2570" s="474"/>
      <c r="AS2570" s="387"/>
      <c r="AT2570" s="387"/>
      <c r="AU2570" s="471"/>
      <c r="AV2570" s="262" t="str">
        <f t="shared" si="454"/>
        <v>30390256C</v>
      </c>
      <c r="AW2570" s="262" cm="1">
        <f t="array" ref="AW2570">SUM(MID(0&amp;AV2570,LARGE(INDEX(ISNUMBER(--MID(AV2570,ROW($1:$8),1))*ROW($1:$8),),ROW($1:$8))+1,1)*10^ROW($1:$8)/10)</f>
        <v>30390256</v>
      </c>
      <c r="AX2570" s="262" t="str">
        <f>VLOOKUP($AW2570,'Item Master Data'!$A:$F,3,FALSE)</f>
        <v>T400H</v>
      </c>
      <c r="AY2570" s="262">
        <f>VLOOKUP($AW2570,'Item Master Data'!$A:$F,6,FALSE)</f>
        <v>400</v>
      </c>
      <c r="AZ2570" s="262">
        <f t="shared" si="455"/>
        <v>24</v>
      </c>
      <c r="BA2570" s="262">
        <f>VLOOKUP(AW2570,'Item Master Data'!$A:$G,7,FALSE)</f>
        <v>26</v>
      </c>
      <c r="BC2570" s="262">
        <f t="shared" si="456"/>
        <v>0</v>
      </c>
    </row>
    <row r="2571" spans="1:55">
      <c r="A2571" s="410"/>
      <c r="B2571" s="407"/>
      <c r="C2571" s="407"/>
      <c r="D2571" s="474" t="s">
        <v>1066</v>
      </c>
      <c r="E2571" s="475" t="s">
        <v>1122</v>
      </c>
      <c r="F2571" s="474" t="s">
        <v>1147</v>
      </c>
      <c r="G2571" s="474">
        <v>2022</v>
      </c>
      <c r="H2571" s="474">
        <v>3</v>
      </c>
      <c r="I2571" s="485">
        <v>127385</v>
      </c>
      <c r="J2571" s="475">
        <v>44638</v>
      </c>
      <c r="K2571" s="474" t="s">
        <v>1584</v>
      </c>
      <c r="L2571" s="475" t="s">
        <v>1561</v>
      </c>
      <c r="M2571" s="475">
        <v>44468</v>
      </c>
      <c r="N2571" s="475" t="s">
        <v>1571</v>
      </c>
      <c r="O2571" s="475"/>
      <c r="P2571" s="475">
        <v>44596</v>
      </c>
      <c r="Q2571" s="475">
        <v>44636</v>
      </c>
      <c r="R2571" s="475">
        <v>44638</v>
      </c>
      <c r="S2571" s="474" t="s">
        <v>1563</v>
      </c>
      <c r="T2571" s="474">
        <v>60</v>
      </c>
      <c r="U2571" s="474" t="s">
        <v>1573</v>
      </c>
      <c r="V2571" s="474" t="s">
        <v>1574</v>
      </c>
      <c r="W2571" s="476">
        <v>400</v>
      </c>
      <c r="X2571" s="402">
        <v>624</v>
      </c>
      <c r="Y2571" s="491">
        <f t="shared" si="453"/>
        <v>249600</v>
      </c>
      <c r="Z2571" s="478">
        <v>0.44</v>
      </c>
      <c r="AA2571" s="479">
        <f t="shared" si="457"/>
        <v>109824</v>
      </c>
      <c r="AB2571" s="386"/>
      <c r="AC2571" s="481">
        <v>0</v>
      </c>
      <c r="AD2571" s="474"/>
      <c r="AE2571" s="482"/>
      <c r="AF2571" s="493">
        <f t="shared" si="458"/>
        <v>109824</v>
      </c>
      <c r="AG2571" s="474" t="s">
        <v>47</v>
      </c>
      <c r="AH2571" s="447"/>
      <c r="AI2571" s="474">
        <v>75</v>
      </c>
      <c r="AJ2571" s="474" t="s">
        <v>1575</v>
      </c>
      <c r="AK2571" s="474" t="s">
        <v>50</v>
      </c>
      <c r="AL2571" s="494">
        <v>94544</v>
      </c>
      <c r="AM2571" s="474" t="s">
        <v>52</v>
      </c>
      <c r="AN2571" s="474" t="s">
        <v>1568</v>
      </c>
      <c r="AO2571" s="474"/>
      <c r="AP2571" s="474" t="s">
        <v>92</v>
      </c>
      <c r="AQ2571" s="474" t="s">
        <v>37</v>
      </c>
      <c r="AR2571" s="474"/>
      <c r="AS2571" s="387"/>
      <c r="AT2571" s="387"/>
      <c r="AU2571" s="471"/>
      <c r="AV2571" s="262" t="str">
        <f t="shared" si="454"/>
        <v>30390256C</v>
      </c>
      <c r="AW2571" s="262" cm="1">
        <f t="array" ref="AW2571">SUM(MID(0&amp;AV2571,LARGE(INDEX(ISNUMBER(--MID(AV2571,ROW($1:$8),1))*ROW($1:$8),),ROW($1:$8))+1,1)*10^ROW($1:$8)/10)</f>
        <v>30390256</v>
      </c>
      <c r="AX2571" s="262" t="str">
        <f>VLOOKUP($AW2571,'Item Master Data'!$A:$F,3,FALSE)</f>
        <v>T400H</v>
      </c>
      <c r="AY2571" s="262">
        <f>VLOOKUP($AW2571,'Item Master Data'!$A:$F,6,FALSE)</f>
        <v>400</v>
      </c>
      <c r="AZ2571" s="262">
        <f t="shared" si="455"/>
        <v>24</v>
      </c>
      <c r="BA2571" s="262">
        <f>VLOOKUP(AW2571,'Item Master Data'!$A:$G,7,FALSE)</f>
        <v>26</v>
      </c>
      <c r="BC2571" s="262">
        <f t="shared" si="456"/>
        <v>0</v>
      </c>
    </row>
    <row r="2572" spans="1:55">
      <c r="A2572" s="410"/>
      <c r="B2572" s="407"/>
      <c r="C2572" s="407"/>
      <c r="D2572" s="474" t="s">
        <v>1066</v>
      </c>
      <c r="E2572" s="388"/>
      <c r="F2572" s="474" t="s">
        <v>87</v>
      </c>
      <c r="G2572" s="474">
        <v>2022</v>
      </c>
      <c r="H2572" s="474">
        <v>3</v>
      </c>
      <c r="I2572" s="485">
        <v>127515</v>
      </c>
      <c r="J2572" s="475">
        <v>44645</v>
      </c>
      <c r="K2572" s="474" t="s">
        <v>1569</v>
      </c>
      <c r="L2572" s="475" t="s">
        <v>1561</v>
      </c>
      <c r="M2572" s="475">
        <v>44568</v>
      </c>
      <c r="N2572" s="475">
        <v>44622</v>
      </c>
      <c r="O2572" s="475"/>
      <c r="P2572" s="475">
        <v>44623</v>
      </c>
      <c r="Q2572" s="475">
        <v>44642</v>
      </c>
      <c r="R2572" s="475">
        <v>44645</v>
      </c>
      <c r="S2572" s="474" t="s">
        <v>1563</v>
      </c>
      <c r="T2572" s="474">
        <v>72</v>
      </c>
      <c r="U2572" s="474" t="s">
        <v>1541</v>
      </c>
      <c r="V2572" s="474" t="s">
        <v>1226</v>
      </c>
      <c r="W2572" s="476">
        <v>475</v>
      </c>
      <c r="X2572" s="402">
        <v>174</v>
      </c>
      <c r="Y2572" s="491">
        <f t="shared" si="453"/>
        <v>82650</v>
      </c>
      <c r="Z2572" s="478">
        <v>0.47</v>
      </c>
      <c r="AA2572" s="479">
        <f t="shared" si="457"/>
        <v>38845.5</v>
      </c>
      <c r="AB2572" s="386"/>
      <c r="AC2572" s="481">
        <v>0</v>
      </c>
      <c r="AD2572" s="474"/>
      <c r="AE2572" s="482"/>
      <c r="AF2572" s="493">
        <f t="shared" si="458"/>
        <v>38845.5</v>
      </c>
      <c r="AG2572" s="474" t="s">
        <v>47</v>
      </c>
      <c r="AH2572" s="447"/>
      <c r="AI2572" s="474">
        <v>75</v>
      </c>
      <c r="AJ2572" s="444" t="s">
        <v>1589</v>
      </c>
      <c r="AK2572" s="444" t="s">
        <v>1590</v>
      </c>
      <c r="AL2572" s="408">
        <v>38017</v>
      </c>
      <c r="AM2572" s="444" t="s">
        <v>52</v>
      </c>
      <c r="AN2572" s="444" t="s">
        <v>1151</v>
      </c>
      <c r="AO2572" s="474"/>
      <c r="AP2572" s="474" t="s">
        <v>92</v>
      </c>
      <c r="AQ2572" s="474" t="s">
        <v>37</v>
      </c>
      <c r="AR2572" s="474"/>
      <c r="AS2572" s="387"/>
      <c r="AT2572" s="387"/>
      <c r="AU2572" s="471"/>
      <c r="AV2572" s="262" t="str">
        <f t="shared" si="454"/>
        <v>30397571F</v>
      </c>
      <c r="AW2572" s="262" cm="1">
        <f t="array" ref="AW2572">SUM(MID(0&amp;AV2572,LARGE(INDEX(ISNUMBER(--MID(AV2572,ROW($1:$8),1))*ROW($1:$8),),ROW($1:$8))+1,1)*10^ROW($1:$8)/10)</f>
        <v>30397571</v>
      </c>
      <c r="AX2572" s="262" t="str">
        <f>VLOOKUP($AW2572,'Item Master Data'!$A:$F,3,FALSE)</f>
        <v>Q.PEAK DUO XL G10 BFG</v>
      </c>
      <c r="AY2572" s="262">
        <f>VLOOKUP($AW2572,'Item Master Data'!$A:$F,6,FALSE)</f>
        <v>475</v>
      </c>
      <c r="AZ2572" s="262">
        <f t="shared" si="455"/>
        <v>6</v>
      </c>
      <c r="BA2572" s="262">
        <f>VLOOKUP(AW2572,'Item Master Data'!$A:$G,7,FALSE)</f>
        <v>29</v>
      </c>
      <c r="BC2572" s="262">
        <f t="shared" si="456"/>
        <v>0</v>
      </c>
    </row>
    <row r="2573" spans="1:55">
      <c r="A2573" s="410"/>
      <c r="B2573" s="407"/>
      <c r="C2573" s="407"/>
      <c r="D2573" s="474" t="s">
        <v>1066</v>
      </c>
      <c r="E2573" s="388"/>
      <c r="F2573" s="474" t="s">
        <v>1147</v>
      </c>
      <c r="G2573" s="474">
        <v>2022</v>
      </c>
      <c r="H2573" s="474">
        <v>3</v>
      </c>
      <c r="I2573" s="485">
        <v>127641</v>
      </c>
      <c r="J2573" s="475">
        <v>44649</v>
      </c>
      <c r="K2573" s="474" t="s">
        <v>1585</v>
      </c>
      <c r="L2573" s="475" t="s">
        <v>1561</v>
      </c>
      <c r="M2573" s="475">
        <v>44468</v>
      </c>
      <c r="N2573" s="475" t="s">
        <v>1586</v>
      </c>
      <c r="O2573" s="475"/>
      <c r="P2573" s="475">
        <v>44623</v>
      </c>
      <c r="Q2573" s="475">
        <v>44648</v>
      </c>
      <c r="R2573" s="475">
        <v>44649</v>
      </c>
      <c r="S2573" s="474" t="s">
        <v>1563</v>
      </c>
      <c r="T2573" s="474">
        <v>60</v>
      </c>
      <c r="U2573" s="474" t="s">
        <v>1583</v>
      </c>
      <c r="V2573" s="474" t="s">
        <v>1565</v>
      </c>
      <c r="W2573" s="476">
        <v>395</v>
      </c>
      <c r="X2573" s="402">
        <v>624</v>
      </c>
      <c r="Y2573" s="491">
        <f t="shared" si="453"/>
        <v>246480</v>
      </c>
      <c r="Z2573" s="478">
        <v>0.44</v>
      </c>
      <c r="AA2573" s="479">
        <f t="shared" si="457"/>
        <v>108451.2</v>
      </c>
      <c r="AB2573" s="386"/>
      <c r="AC2573" s="481">
        <v>0</v>
      </c>
      <c r="AD2573" s="474"/>
      <c r="AE2573" s="482"/>
      <c r="AF2573" s="493">
        <f t="shared" si="458"/>
        <v>108451.2</v>
      </c>
      <c r="AG2573" s="501" t="s">
        <v>47</v>
      </c>
      <c r="AH2573" s="409"/>
      <c r="AI2573" s="501">
        <v>75</v>
      </c>
      <c r="AJ2573" s="501" t="s">
        <v>1566</v>
      </c>
      <c r="AK2573" s="501" t="s">
        <v>50</v>
      </c>
      <c r="AL2573" s="509" t="s">
        <v>1567</v>
      </c>
      <c r="AM2573" s="501" t="s">
        <v>52</v>
      </c>
      <c r="AN2573" s="501" t="s">
        <v>50</v>
      </c>
      <c r="AO2573" s="474"/>
      <c r="AP2573" s="474" t="s">
        <v>92</v>
      </c>
      <c r="AQ2573" s="474" t="s">
        <v>37</v>
      </c>
      <c r="AR2573" s="474"/>
      <c r="AS2573" s="387"/>
      <c r="AT2573" s="387"/>
      <c r="AU2573" s="471"/>
      <c r="AV2573" s="262" t="str">
        <f t="shared" si="454"/>
        <v>30390255H</v>
      </c>
      <c r="AW2573" s="262" cm="1">
        <f t="array" ref="AW2573">SUM(MID(0&amp;AV2573,LARGE(INDEX(ISNUMBER(--MID(AV2573,ROW($1:$8),1))*ROW($1:$8),),ROW($1:$8))+1,1)*10^ROW($1:$8)/10)</f>
        <v>30390255</v>
      </c>
      <c r="AX2573" s="262" t="str">
        <f>VLOOKUP($AW2573,'Item Master Data'!$A:$F,3,FALSE)</f>
        <v>T395H</v>
      </c>
      <c r="AY2573" s="262">
        <f>VLOOKUP($AW2573,'Item Master Data'!$A:$F,6,FALSE)</f>
        <v>395</v>
      </c>
      <c r="AZ2573" s="262">
        <f t="shared" si="455"/>
        <v>24</v>
      </c>
      <c r="BA2573" s="262">
        <f>VLOOKUP(AW2573,'Item Master Data'!$A:$G,7,FALSE)</f>
        <v>26</v>
      </c>
      <c r="BC2573" s="262">
        <f t="shared" si="456"/>
        <v>0</v>
      </c>
    </row>
    <row r="2574" spans="1:55">
      <c r="A2574" s="410"/>
      <c r="B2574" s="407"/>
      <c r="C2574" s="407"/>
      <c r="D2574" s="474" t="s">
        <v>1066</v>
      </c>
      <c r="E2574" s="388" t="s">
        <v>1118</v>
      </c>
      <c r="F2574" s="474" t="s">
        <v>87</v>
      </c>
      <c r="G2574" s="474">
        <v>2022</v>
      </c>
      <c r="H2574" s="474">
        <v>3</v>
      </c>
      <c r="I2574" s="485">
        <v>127220</v>
      </c>
      <c r="J2574" s="475">
        <v>44621</v>
      </c>
      <c r="K2574" s="474" t="s">
        <v>1592</v>
      </c>
      <c r="L2574" s="475" t="s">
        <v>1561</v>
      </c>
      <c r="M2574" s="475">
        <v>44592</v>
      </c>
      <c r="N2574" s="475">
        <v>44596</v>
      </c>
      <c r="O2574" s="475"/>
      <c r="P2574" s="475">
        <v>44606</v>
      </c>
      <c r="Q2574" s="475">
        <v>44617</v>
      </c>
      <c r="R2574" s="475">
        <v>44621</v>
      </c>
      <c r="S2574" s="474" t="s">
        <v>1563</v>
      </c>
      <c r="T2574" s="474">
        <v>72</v>
      </c>
      <c r="U2574" s="474" t="s">
        <v>1541</v>
      </c>
      <c r="V2574" s="474" t="s">
        <v>1070</v>
      </c>
      <c r="W2574" s="476">
        <v>475</v>
      </c>
      <c r="X2574" s="402">
        <v>638</v>
      </c>
      <c r="Y2574" s="491">
        <f t="shared" si="453"/>
        <v>303050</v>
      </c>
      <c r="Z2574" s="478">
        <v>0.47</v>
      </c>
      <c r="AA2574" s="479">
        <f t="shared" si="457"/>
        <v>142433.5</v>
      </c>
      <c r="AB2574" s="386"/>
      <c r="AC2574" s="481">
        <v>0</v>
      </c>
      <c r="AD2574" s="474"/>
      <c r="AE2574" s="482"/>
      <c r="AF2574" s="493">
        <f t="shared" si="458"/>
        <v>142433.5</v>
      </c>
      <c r="AG2574" s="501" t="s">
        <v>47</v>
      </c>
      <c r="AH2574" s="409"/>
      <c r="AI2574" s="501">
        <v>60</v>
      </c>
      <c r="AJ2574" s="501" t="s">
        <v>1593</v>
      </c>
      <c r="AK2574" s="501" t="s">
        <v>1144</v>
      </c>
      <c r="AL2574" s="509">
        <v>78725</v>
      </c>
      <c r="AM2574" s="501" t="s">
        <v>52</v>
      </c>
      <c r="AN2574" s="501" t="s">
        <v>1085</v>
      </c>
      <c r="AO2574" s="474"/>
      <c r="AP2574" s="474" t="s">
        <v>92</v>
      </c>
      <c r="AQ2574" s="474" t="s">
        <v>37</v>
      </c>
      <c r="AR2574" s="474"/>
      <c r="AS2574" s="387"/>
      <c r="AT2574" s="387"/>
      <c r="AU2574" s="471"/>
      <c r="AV2574" s="262" t="str">
        <f t="shared" si="454"/>
        <v>30397571F</v>
      </c>
      <c r="AW2574" s="262" cm="1">
        <f t="array" ref="AW2574">SUM(MID(0&amp;AV2574,LARGE(INDEX(ISNUMBER(--MID(AV2574,ROW($1:$8),1))*ROW($1:$8),),ROW($1:$8))+1,1)*10^ROW($1:$8)/10)</f>
        <v>30397571</v>
      </c>
      <c r="AX2574" s="262" t="str">
        <f>VLOOKUP($AW2574,'Item Master Data'!$A:$F,3,FALSE)</f>
        <v>Q.PEAK DUO XL G10 BFG</v>
      </c>
      <c r="AY2574" s="262">
        <f>VLOOKUP($AW2574,'Item Master Data'!$A:$F,6,FALSE)</f>
        <v>475</v>
      </c>
      <c r="AZ2574" s="262">
        <f t="shared" si="455"/>
        <v>22</v>
      </c>
      <c r="BA2574" s="262">
        <f>VLOOKUP(AW2574,'Item Master Data'!$A:$G,7,FALSE)</f>
        <v>29</v>
      </c>
      <c r="BC2574" s="262">
        <f t="shared" si="456"/>
        <v>0</v>
      </c>
    </row>
    <row r="2575" spans="1:55">
      <c r="A2575" s="410"/>
      <c r="B2575" s="407"/>
      <c r="C2575" s="407"/>
      <c r="D2575" s="474" t="s">
        <v>1066</v>
      </c>
      <c r="E2575" s="388" t="s">
        <v>1118</v>
      </c>
      <c r="F2575" s="474" t="s">
        <v>87</v>
      </c>
      <c r="G2575" s="474">
        <v>2022</v>
      </c>
      <c r="H2575" s="474">
        <v>3</v>
      </c>
      <c r="I2575" s="485">
        <v>127221</v>
      </c>
      <c r="J2575" s="475">
        <v>44623</v>
      </c>
      <c r="K2575" s="474" t="s">
        <v>1592</v>
      </c>
      <c r="L2575" s="475" t="s">
        <v>1561</v>
      </c>
      <c r="M2575" s="475">
        <v>44592</v>
      </c>
      <c r="N2575" s="475">
        <v>44596</v>
      </c>
      <c r="O2575" s="475"/>
      <c r="P2575" s="475">
        <v>44606</v>
      </c>
      <c r="Q2575" s="475">
        <v>44620</v>
      </c>
      <c r="R2575" s="475">
        <v>44623</v>
      </c>
      <c r="S2575" s="474" t="s">
        <v>1563</v>
      </c>
      <c r="T2575" s="474">
        <v>72</v>
      </c>
      <c r="U2575" s="474" t="s">
        <v>1541</v>
      </c>
      <c r="V2575" s="474" t="s">
        <v>1070</v>
      </c>
      <c r="W2575" s="476">
        <v>475</v>
      </c>
      <c r="X2575" s="402">
        <v>406</v>
      </c>
      <c r="Y2575" s="491">
        <f t="shared" si="453"/>
        <v>192850</v>
      </c>
      <c r="Z2575" s="478">
        <v>0.47</v>
      </c>
      <c r="AA2575" s="479">
        <f t="shared" si="457"/>
        <v>90639.5</v>
      </c>
      <c r="AB2575" s="386"/>
      <c r="AC2575" s="481">
        <v>0</v>
      </c>
      <c r="AD2575" s="474"/>
      <c r="AE2575" s="482"/>
      <c r="AF2575" s="493">
        <f t="shared" si="458"/>
        <v>90639.5</v>
      </c>
      <c r="AG2575" s="501" t="s">
        <v>47</v>
      </c>
      <c r="AH2575" s="409"/>
      <c r="AI2575" s="501">
        <v>60</v>
      </c>
      <c r="AJ2575" s="501" t="s">
        <v>1593</v>
      </c>
      <c r="AK2575" s="501" t="s">
        <v>1144</v>
      </c>
      <c r="AL2575" s="509">
        <v>78725</v>
      </c>
      <c r="AM2575" s="501" t="s">
        <v>52</v>
      </c>
      <c r="AN2575" s="501" t="s">
        <v>1085</v>
      </c>
      <c r="AO2575" s="474"/>
      <c r="AP2575" s="474" t="s">
        <v>92</v>
      </c>
      <c r="AQ2575" s="474" t="s">
        <v>37</v>
      </c>
      <c r="AR2575" s="474"/>
      <c r="AS2575" s="387"/>
      <c r="AT2575" s="387"/>
      <c r="AU2575" s="471"/>
      <c r="AV2575" s="262" t="str">
        <f t="shared" si="454"/>
        <v>30397571F</v>
      </c>
      <c r="AW2575" s="262" cm="1">
        <f t="array" ref="AW2575">SUM(MID(0&amp;AV2575,LARGE(INDEX(ISNUMBER(--MID(AV2575,ROW($1:$8),1))*ROW($1:$8),),ROW($1:$8))+1,1)*10^ROW($1:$8)/10)</f>
        <v>30397571</v>
      </c>
      <c r="AX2575" s="262" t="str">
        <f>VLOOKUP($AW2575,'Item Master Data'!$A:$F,3,FALSE)</f>
        <v>Q.PEAK DUO XL G10 BFG</v>
      </c>
      <c r="AY2575" s="262">
        <f>VLOOKUP($AW2575,'Item Master Data'!$A:$F,6,FALSE)</f>
        <v>475</v>
      </c>
      <c r="AZ2575" s="262">
        <f t="shared" si="455"/>
        <v>14</v>
      </c>
      <c r="BA2575" s="262">
        <f>VLOOKUP(AW2575,'Item Master Data'!$A:$G,7,FALSE)</f>
        <v>29</v>
      </c>
      <c r="BC2575" s="262">
        <f t="shared" si="456"/>
        <v>0</v>
      </c>
    </row>
    <row r="2576" spans="1:55">
      <c r="A2576" s="410"/>
      <c r="B2576" s="407"/>
      <c r="C2576" s="407"/>
      <c r="D2576" s="474" t="s">
        <v>1066</v>
      </c>
      <c r="E2576" s="388" t="s">
        <v>1118</v>
      </c>
      <c r="F2576" s="474" t="s">
        <v>87</v>
      </c>
      <c r="G2576" s="474">
        <v>2022</v>
      </c>
      <c r="H2576" s="474">
        <v>3</v>
      </c>
      <c r="I2576" s="485">
        <v>127222</v>
      </c>
      <c r="J2576" s="475">
        <v>44624</v>
      </c>
      <c r="K2576" s="474" t="s">
        <v>1592</v>
      </c>
      <c r="L2576" s="475" t="s">
        <v>1561</v>
      </c>
      <c r="M2576" s="475">
        <v>44592</v>
      </c>
      <c r="N2576" s="475">
        <v>44596</v>
      </c>
      <c r="O2576" s="475"/>
      <c r="P2576" s="475">
        <v>44606</v>
      </c>
      <c r="Q2576" s="475">
        <v>44621</v>
      </c>
      <c r="R2576" s="475">
        <v>44624</v>
      </c>
      <c r="S2576" s="474" t="s">
        <v>1563</v>
      </c>
      <c r="T2576" s="474">
        <v>72</v>
      </c>
      <c r="U2576" s="474" t="s">
        <v>1541</v>
      </c>
      <c r="V2576" s="474" t="s">
        <v>1070</v>
      </c>
      <c r="W2576" s="476">
        <v>475</v>
      </c>
      <c r="X2576" s="402">
        <v>638</v>
      </c>
      <c r="Y2576" s="491">
        <f t="shared" si="453"/>
        <v>303050</v>
      </c>
      <c r="Z2576" s="478">
        <v>0.47</v>
      </c>
      <c r="AA2576" s="479">
        <f t="shared" si="457"/>
        <v>142433.5</v>
      </c>
      <c r="AB2576" s="386"/>
      <c r="AC2576" s="481">
        <v>0</v>
      </c>
      <c r="AD2576" s="474"/>
      <c r="AE2576" s="482"/>
      <c r="AF2576" s="493">
        <f t="shared" si="458"/>
        <v>142433.5</v>
      </c>
      <c r="AG2576" s="501" t="s">
        <v>47</v>
      </c>
      <c r="AH2576" s="409"/>
      <c r="AI2576" s="501">
        <v>60</v>
      </c>
      <c r="AJ2576" s="501" t="s">
        <v>1593</v>
      </c>
      <c r="AK2576" s="501" t="s">
        <v>1144</v>
      </c>
      <c r="AL2576" s="509">
        <v>78725</v>
      </c>
      <c r="AM2576" s="501" t="s">
        <v>52</v>
      </c>
      <c r="AN2576" s="501" t="s">
        <v>1085</v>
      </c>
      <c r="AO2576" s="474"/>
      <c r="AP2576" s="474" t="s">
        <v>92</v>
      </c>
      <c r="AQ2576" s="474" t="s">
        <v>37</v>
      </c>
      <c r="AR2576" s="474"/>
      <c r="AS2576" s="387"/>
      <c r="AT2576" s="387"/>
      <c r="AU2576" s="471"/>
      <c r="AV2576" s="262" t="str">
        <f t="shared" si="454"/>
        <v>30397571F</v>
      </c>
      <c r="AW2576" s="262" cm="1">
        <f t="array" ref="AW2576">SUM(MID(0&amp;AV2576,LARGE(INDEX(ISNUMBER(--MID(AV2576,ROW($1:$8),1))*ROW($1:$8),),ROW($1:$8))+1,1)*10^ROW($1:$8)/10)</f>
        <v>30397571</v>
      </c>
      <c r="AX2576" s="262" t="str">
        <f>VLOOKUP($AW2576,'Item Master Data'!$A:$F,3,FALSE)</f>
        <v>Q.PEAK DUO XL G10 BFG</v>
      </c>
      <c r="AY2576" s="262">
        <f>VLOOKUP($AW2576,'Item Master Data'!$A:$F,6,FALSE)</f>
        <v>475</v>
      </c>
      <c r="AZ2576" s="262">
        <f t="shared" si="455"/>
        <v>22</v>
      </c>
      <c r="BA2576" s="262">
        <f>VLOOKUP(AW2576,'Item Master Data'!$A:$G,7,FALSE)</f>
        <v>29</v>
      </c>
      <c r="BC2576" s="262">
        <f t="shared" si="456"/>
        <v>0</v>
      </c>
    </row>
    <row r="2577" spans="1:55">
      <c r="A2577" s="410"/>
      <c r="B2577" s="407"/>
      <c r="C2577" s="407"/>
      <c r="D2577" s="474" t="s">
        <v>1066</v>
      </c>
      <c r="E2577" s="388" t="s">
        <v>1118</v>
      </c>
      <c r="F2577" s="474" t="s">
        <v>87</v>
      </c>
      <c r="G2577" s="474">
        <v>2022</v>
      </c>
      <c r="H2577" s="474">
        <v>3</v>
      </c>
      <c r="I2577" s="485">
        <v>127223</v>
      </c>
      <c r="J2577" s="475">
        <v>44627</v>
      </c>
      <c r="K2577" s="474" t="s">
        <v>1592</v>
      </c>
      <c r="L2577" s="475" t="s">
        <v>1561</v>
      </c>
      <c r="M2577" s="475">
        <v>44592</v>
      </c>
      <c r="N2577" s="475">
        <v>44596</v>
      </c>
      <c r="O2577" s="475"/>
      <c r="P2577" s="475">
        <v>44606</v>
      </c>
      <c r="Q2577" s="475">
        <v>44624</v>
      </c>
      <c r="R2577" s="475">
        <v>44627</v>
      </c>
      <c r="S2577" s="474" t="s">
        <v>1563</v>
      </c>
      <c r="T2577" s="474">
        <v>72</v>
      </c>
      <c r="U2577" s="474" t="s">
        <v>1541</v>
      </c>
      <c r="V2577" s="474" t="s">
        <v>1070</v>
      </c>
      <c r="W2577" s="476">
        <v>475</v>
      </c>
      <c r="X2577" s="402">
        <v>638</v>
      </c>
      <c r="Y2577" s="491">
        <f t="shared" si="453"/>
        <v>303050</v>
      </c>
      <c r="Z2577" s="478">
        <v>0.47</v>
      </c>
      <c r="AA2577" s="479">
        <f t="shared" si="457"/>
        <v>142433.5</v>
      </c>
      <c r="AB2577" s="386"/>
      <c r="AC2577" s="481">
        <v>0</v>
      </c>
      <c r="AD2577" s="474"/>
      <c r="AE2577" s="482"/>
      <c r="AF2577" s="493">
        <f t="shared" si="458"/>
        <v>142433.5</v>
      </c>
      <c r="AG2577" s="501" t="s">
        <v>47</v>
      </c>
      <c r="AH2577" s="409"/>
      <c r="AI2577" s="501">
        <v>60</v>
      </c>
      <c r="AJ2577" s="501" t="s">
        <v>1593</v>
      </c>
      <c r="AK2577" s="501" t="s">
        <v>1144</v>
      </c>
      <c r="AL2577" s="509">
        <v>78725</v>
      </c>
      <c r="AM2577" s="501" t="s">
        <v>52</v>
      </c>
      <c r="AN2577" s="501" t="s">
        <v>1085</v>
      </c>
      <c r="AO2577" s="474"/>
      <c r="AP2577" s="474" t="s">
        <v>92</v>
      </c>
      <c r="AQ2577" s="474" t="s">
        <v>37</v>
      </c>
      <c r="AR2577" s="474"/>
      <c r="AS2577" s="387"/>
      <c r="AT2577" s="387"/>
      <c r="AU2577" s="471"/>
      <c r="AV2577" s="262" t="str">
        <f t="shared" si="454"/>
        <v>30397571F</v>
      </c>
      <c r="AW2577" s="262" cm="1">
        <f t="array" ref="AW2577">SUM(MID(0&amp;AV2577,LARGE(INDEX(ISNUMBER(--MID(AV2577,ROW($1:$8),1))*ROW($1:$8),),ROW($1:$8))+1,1)*10^ROW($1:$8)/10)</f>
        <v>30397571</v>
      </c>
      <c r="AX2577" s="262" t="str">
        <f>VLOOKUP($AW2577,'Item Master Data'!$A:$F,3,FALSE)</f>
        <v>Q.PEAK DUO XL G10 BFG</v>
      </c>
      <c r="AY2577" s="262">
        <f>VLOOKUP($AW2577,'Item Master Data'!$A:$F,6,FALSE)</f>
        <v>475</v>
      </c>
      <c r="AZ2577" s="262">
        <f t="shared" si="455"/>
        <v>22</v>
      </c>
      <c r="BA2577" s="262">
        <f>VLOOKUP(AW2577,'Item Master Data'!$A:$G,7,FALSE)</f>
        <v>29</v>
      </c>
      <c r="BC2577" s="262">
        <f t="shared" si="456"/>
        <v>0</v>
      </c>
    </row>
    <row r="2578" spans="1:55">
      <c r="A2578" s="410"/>
      <c r="B2578" s="407"/>
      <c r="C2578" s="407"/>
      <c r="D2578" s="474" t="s">
        <v>1066</v>
      </c>
      <c r="E2578" s="388"/>
      <c r="F2578" s="474" t="s">
        <v>1147</v>
      </c>
      <c r="G2578" s="474">
        <v>2022</v>
      </c>
      <c r="H2578" s="474">
        <v>3</v>
      </c>
      <c r="I2578" s="485">
        <v>127525</v>
      </c>
      <c r="J2578" s="475">
        <v>44644</v>
      </c>
      <c r="K2578" s="474" t="s">
        <v>1594</v>
      </c>
      <c r="L2578" s="475" t="s">
        <v>1561</v>
      </c>
      <c r="M2578" s="475">
        <v>44468</v>
      </c>
      <c r="N2578" s="475" t="s">
        <v>1586</v>
      </c>
      <c r="O2578" s="475"/>
      <c r="P2578" s="475">
        <v>44623</v>
      </c>
      <c r="Q2578" s="475">
        <v>44643</v>
      </c>
      <c r="R2578" s="475">
        <v>44644</v>
      </c>
      <c r="S2578" s="474" t="s">
        <v>1563</v>
      </c>
      <c r="T2578" s="474">
        <v>60</v>
      </c>
      <c r="U2578" s="474" t="s">
        <v>1595</v>
      </c>
      <c r="V2578" s="474" t="s">
        <v>1574</v>
      </c>
      <c r="W2578" s="476">
        <v>400</v>
      </c>
      <c r="X2578" s="402">
        <v>624</v>
      </c>
      <c r="Y2578" s="491">
        <f t="shared" si="453"/>
        <v>249600</v>
      </c>
      <c r="Z2578" s="478">
        <v>0.44</v>
      </c>
      <c r="AA2578" s="479">
        <f t="shared" si="457"/>
        <v>109824</v>
      </c>
      <c r="AB2578" s="386"/>
      <c r="AC2578" s="481">
        <v>0</v>
      </c>
      <c r="AD2578" s="474"/>
      <c r="AE2578" s="482"/>
      <c r="AF2578" s="493">
        <f t="shared" si="458"/>
        <v>109824</v>
      </c>
      <c r="AG2578" s="501" t="s">
        <v>47</v>
      </c>
      <c r="AH2578" s="409"/>
      <c r="AI2578" s="501">
        <v>75</v>
      </c>
      <c r="AJ2578" s="501" t="s">
        <v>1575</v>
      </c>
      <c r="AK2578" s="501" t="s">
        <v>50</v>
      </c>
      <c r="AL2578" s="509">
        <v>94544</v>
      </c>
      <c r="AM2578" s="501" t="s">
        <v>52</v>
      </c>
      <c r="AN2578" s="501" t="s">
        <v>50</v>
      </c>
      <c r="AO2578" s="474"/>
      <c r="AP2578" s="474" t="s">
        <v>92</v>
      </c>
      <c r="AQ2578" s="474" t="s">
        <v>37</v>
      </c>
      <c r="AR2578" s="474"/>
      <c r="AS2578" s="387"/>
      <c r="AT2578" s="387"/>
      <c r="AU2578" s="471"/>
      <c r="AV2578" s="262" t="str">
        <f t="shared" si="454"/>
        <v>30390256H</v>
      </c>
      <c r="AW2578" s="262" cm="1">
        <f t="array" ref="AW2578">SUM(MID(0&amp;AV2578,LARGE(INDEX(ISNUMBER(--MID(AV2578,ROW($1:$8),1))*ROW($1:$8),),ROW($1:$8))+1,1)*10^ROW($1:$8)/10)</f>
        <v>30390256</v>
      </c>
      <c r="AX2578" s="262" t="str">
        <f>VLOOKUP($AW2578,'Item Master Data'!$A:$F,3,FALSE)</f>
        <v>T400H</v>
      </c>
      <c r="AY2578" s="262">
        <f>VLOOKUP($AW2578,'Item Master Data'!$A:$F,6,FALSE)</f>
        <v>400</v>
      </c>
      <c r="AZ2578" s="262">
        <f t="shared" si="455"/>
        <v>24</v>
      </c>
      <c r="BA2578" s="262">
        <f>VLOOKUP(AW2578,'Item Master Data'!$A:$G,7,FALSE)</f>
        <v>26</v>
      </c>
      <c r="BC2578" s="262">
        <f t="shared" si="456"/>
        <v>0</v>
      </c>
    </row>
    <row r="2579" spans="1:55">
      <c r="A2579" s="410"/>
      <c r="B2579" s="407"/>
      <c r="C2579" s="407"/>
      <c r="D2579" s="474" t="s">
        <v>1066</v>
      </c>
      <c r="E2579" s="388"/>
      <c r="F2579" s="474" t="s">
        <v>1147</v>
      </c>
      <c r="G2579" s="474">
        <v>2022</v>
      </c>
      <c r="H2579" s="474">
        <v>3</v>
      </c>
      <c r="I2579" s="485">
        <v>127486</v>
      </c>
      <c r="J2579" s="475">
        <v>44643</v>
      </c>
      <c r="K2579" s="474" t="s">
        <v>1596</v>
      </c>
      <c r="L2579" s="475" t="s">
        <v>1561</v>
      </c>
      <c r="M2579" s="475">
        <v>44468</v>
      </c>
      <c r="N2579" s="475" t="s">
        <v>1586</v>
      </c>
      <c r="O2579" s="475"/>
      <c r="P2579" s="475">
        <v>44630</v>
      </c>
      <c r="Q2579" s="475">
        <v>44641</v>
      </c>
      <c r="R2579" s="475">
        <v>44643</v>
      </c>
      <c r="S2579" s="474" t="s">
        <v>1563</v>
      </c>
      <c r="T2579" s="474">
        <v>60</v>
      </c>
      <c r="U2579" s="474" t="s">
        <v>1595</v>
      </c>
      <c r="V2579" s="474" t="s">
        <v>1574</v>
      </c>
      <c r="W2579" s="476">
        <v>400</v>
      </c>
      <c r="X2579" s="402">
        <v>624</v>
      </c>
      <c r="Y2579" s="491">
        <f t="shared" si="453"/>
        <v>249600</v>
      </c>
      <c r="Z2579" s="478">
        <v>0.44</v>
      </c>
      <c r="AA2579" s="492">
        <f t="shared" si="457"/>
        <v>109824</v>
      </c>
      <c r="AB2579" s="386"/>
      <c r="AC2579" s="481">
        <v>0</v>
      </c>
      <c r="AD2579" s="474"/>
      <c r="AE2579" s="482"/>
      <c r="AF2579" s="493">
        <f t="shared" si="458"/>
        <v>109824</v>
      </c>
      <c r="AG2579" s="474" t="s">
        <v>47</v>
      </c>
      <c r="AH2579" s="447"/>
      <c r="AI2579" s="474">
        <v>75</v>
      </c>
      <c r="AJ2579" s="474" t="s">
        <v>1575</v>
      </c>
      <c r="AK2579" s="474" t="s">
        <v>50</v>
      </c>
      <c r="AL2579" s="494">
        <v>94544</v>
      </c>
      <c r="AM2579" s="474" t="s">
        <v>52</v>
      </c>
      <c r="AN2579" s="474" t="s">
        <v>1568</v>
      </c>
      <c r="AO2579" s="474"/>
      <c r="AP2579" s="474" t="s">
        <v>92</v>
      </c>
      <c r="AQ2579" s="474" t="s">
        <v>37</v>
      </c>
      <c r="AR2579" s="474"/>
      <c r="AS2579" s="387"/>
      <c r="AT2579" s="387"/>
      <c r="AU2579" s="471"/>
      <c r="AV2579" s="262" t="str">
        <f t="shared" si="454"/>
        <v>30390256H</v>
      </c>
      <c r="AW2579" s="262" cm="1">
        <f t="array" ref="AW2579">SUM(MID(0&amp;AV2579,LARGE(INDEX(ISNUMBER(--MID(AV2579,ROW($1:$8),1))*ROW($1:$8),),ROW($1:$8))+1,1)*10^ROW($1:$8)/10)</f>
        <v>30390256</v>
      </c>
      <c r="AX2579" s="262" t="str">
        <f>VLOOKUP($AW2579,'Item Master Data'!$A:$F,3,FALSE)</f>
        <v>T400H</v>
      </c>
      <c r="AY2579" s="262">
        <f>VLOOKUP($AW2579,'Item Master Data'!$A:$F,6,FALSE)</f>
        <v>400</v>
      </c>
      <c r="AZ2579" s="262">
        <f t="shared" si="455"/>
        <v>24</v>
      </c>
      <c r="BA2579" s="262">
        <f>VLOOKUP(AW2579,'Item Master Data'!$A:$G,7,FALSE)</f>
        <v>26</v>
      </c>
      <c r="BC2579" s="262">
        <f t="shared" si="456"/>
        <v>0</v>
      </c>
    </row>
    <row r="2580" spans="1:55">
      <c r="A2580" s="410"/>
      <c r="B2580" s="407"/>
      <c r="C2580" s="407"/>
      <c r="D2580" s="474" t="s">
        <v>1066</v>
      </c>
      <c r="E2580" s="388"/>
      <c r="F2580" s="474" t="s">
        <v>1147</v>
      </c>
      <c r="G2580" s="474">
        <v>2022</v>
      </c>
      <c r="H2580" s="474">
        <v>3</v>
      </c>
      <c r="I2580" s="485">
        <v>127489</v>
      </c>
      <c r="J2580" s="475">
        <v>44643</v>
      </c>
      <c r="K2580" s="474" t="s">
        <v>1596</v>
      </c>
      <c r="L2580" s="475" t="s">
        <v>1561</v>
      </c>
      <c r="M2580" s="475">
        <v>44468</v>
      </c>
      <c r="N2580" s="475" t="s">
        <v>1586</v>
      </c>
      <c r="O2580" s="475"/>
      <c r="P2580" s="475">
        <v>44630</v>
      </c>
      <c r="Q2580" s="475">
        <v>44641</v>
      </c>
      <c r="R2580" s="475">
        <v>44643</v>
      </c>
      <c r="S2580" s="474" t="s">
        <v>1563</v>
      </c>
      <c r="T2580" s="474">
        <v>60</v>
      </c>
      <c r="U2580" s="474" t="s">
        <v>1595</v>
      </c>
      <c r="V2580" s="474" t="s">
        <v>1574</v>
      </c>
      <c r="W2580" s="476">
        <v>400</v>
      </c>
      <c r="X2580" s="402">
        <v>624</v>
      </c>
      <c r="Y2580" s="491">
        <f t="shared" si="453"/>
        <v>249600</v>
      </c>
      <c r="Z2580" s="478">
        <v>0.44</v>
      </c>
      <c r="AA2580" s="492">
        <f t="shared" si="457"/>
        <v>109824</v>
      </c>
      <c r="AB2580" s="386"/>
      <c r="AC2580" s="481">
        <v>0</v>
      </c>
      <c r="AD2580" s="474"/>
      <c r="AE2580" s="482"/>
      <c r="AF2580" s="493">
        <f t="shared" si="458"/>
        <v>109824</v>
      </c>
      <c r="AG2580" s="474" t="s">
        <v>47</v>
      </c>
      <c r="AH2580" s="447"/>
      <c r="AI2580" s="474">
        <v>75</v>
      </c>
      <c r="AJ2580" s="474" t="s">
        <v>1575</v>
      </c>
      <c r="AK2580" s="474" t="s">
        <v>50</v>
      </c>
      <c r="AL2580" s="494">
        <v>94544</v>
      </c>
      <c r="AM2580" s="474" t="s">
        <v>52</v>
      </c>
      <c r="AN2580" s="474" t="s">
        <v>1568</v>
      </c>
      <c r="AO2580" s="474"/>
      <c r="AP2580" s="474" t="s">
        <v>92</v>
      </c>
      <c r="AQ2580" s="474" t="s">
        <v>37</v>
      </c>
      <c r="AR2580" s="474"/>
      <c r="AS2580" s="387"/>
      <c r="AT2580" s="387"/>
      <c r="AU2580" s="471"/>
      <c r="AV2580" s="262" t="str">
        <f t="shared" si="454"/>
        <v>30390256H</v>
      </c>
      <c r="AW2580" s="262" cm="1">
        <f t="array" ref="AW2580">SUM(MID(0&amp;AV2580,LARGE(INDEX(ISNUMBER(--MID(AV2580,ROW($1:$8),1))*ROW($1:$8),),ROW($1:$8))+1,1)*10^ROW($1:$8)/10)</f>
        <v>30390256</v>
      </c>
      <c r="AX2580" s="262" t="str">
        <f>VLOOKUP($AW2580,'Item Master Data'!$A:$F,3,FALSE)</f>
        <v>T400H</v>
      </c>
      <c r="AY2580" s="262">
        <f>VLOOKUP($AW2580,'Item Master Data'!$A:$F,6,FALSE)</f>
        <v>400</v>
      </c>
      <c r="AZ2580" s="262">
        <f t="shared" si="455"/>
        <v>24</v>
      </c>
      <c r="BA2580" s="262">
        <f>VLOOKUP(AW2580,'Item Master Data'!$A:$G,7,FALSE)</f>
        <v>26</v>
      </c>
      <c r="BC2580" s="262">
        <f t="shared" si="456"/>
        <v>0</v>
      </c>
    </row>
    <row r="2581" spans="1:55">
      <c r="A2581" s="410"/>
      <c r="B2581" s="407"/>
      <c r="C2581" s="407"/>
      <c r="D2581" s="474" t="s">
        <v>1066</v>
      </c>
      <c r="E2581" s="388"/>
      <c r="F2581" s="474" t="s">
        <v>1147</v>
      </c>
      <c r="G2581" s="474">
        <v>2022</v>
      </c>
      <c r="H2581" s="474">
        <v>3</v>
      </c>
      <c r="I2581" s="485">
        <v>127488</v>
      </c>
      <c r="J2581" s="475">
        <v>44643</v>
      </c>
      <c r="K2581" s="474" t="s">
        <v>1596</v>
      </c>
      <c r="L2581" s="475" t="s">
        <v>1561</v>
      </c>
      <c r="M2581" s="475">
        <v>44468</v>
      </c>
      <c r="N2581" s="475" t="s">
        <v>1586</v>
      </c>
      <c r="O2581" s="475"/>
      <c r="P2581" s="475">
        <v>44630</v>
      </c>
      <c r="Q2581" s="475">
        <v>44641</v>
      </c>
      <c r="R2581" s="475">
        <v>44643</v>
      </c>
      <c r="S2581" s="474" t="s">
        <v>1563</v>
      </c>
      <c r="T2581" s="474">
        <v>60</v>
      </c>
      <c r="U2581" s="474" t="s">
        <v>1595</v>
      </c>
      <c r="V2581" s="474" t="s">
        <v>1574</v>
      </c>
      <c r="W2581" s="476">
        <v>400</v>
      </c>
      <c r="X2581" s="402">
        <v>624</v>
      </c>
      <c r="Y2581" s="491">
        <f t="shared" si="453"/>
        <v>249600</v>
      </c>
      <c r="Z2581" s="478">
        <v>0.44</v>
      </c>
      <c r="AA2581" s="492">
        <f t="shared" si="457"/>
        <v>109824</v>
      </c>
      <c r="AB2581" s="386"/>
      <c r="AC2581" s="481">
        <v>0</v>
      </c>
      <c r="AD2581" s="474"/>
      <c r="AE2581" s="482"/>
      <c r="AF2581" s="493">
        <f t="shared" si="458"/>
        <v>109824</v>
      </c>
      <c r="AG2581" s="474" t="s">
        <v>47</v>
      </c>
      <c r="AH2581" s="447"/>
      <c r="AI2581" s="474">
        <v>75</v>
      </c>
      <c r="AJ2581" s="474" t="s">
        <v>1575</v>
      </c>
      <c r="AK2581" s="474" t="s">
        <v>50</v>
      </c>
      <c r="AL2581" s="494">
        <v>94544</v>
      </c>
      <c r="AM2581" s="474" t="s">
        <v>52</v>
      </c>
      <c r="AN2581" s="474" t="s">
        <v>1568</v>
      </c>
      <c r="AO2581" s="474"/>
      <c r="AP2581" s="474" t="s">
        <v>92</v>
      </c>
      <c r="AQ2581" s="474" t="s">
        <v>37</v>
      </c>
      <c r="AR2581" s="474"/>
      <c r="AS2581" s="387"/>
      <c r="AT2581" s="387"/>
      <c r="AU2581" s="471"/>
      <c r="AV2581" s="262" t="str">
        <f t="shared" si="454"/>
        <v>30390256H</v>
      </c>
      <c r="AW2581" s="262" cm="1">
        <f t="array" ref="AW2581">SUM(MID(0&amp;AV2581,LARGE(INDEX(ISNUMBER(--MID(AV2581,ROW($1:$8),1))*ROW($1:$8),),ROW($1:$8))+1,1)*10^ROW($1:$8)/10)</f>
        <v>30390256</v>
      </c>
      <c r="AX2581" s="262" t="str">
        <f>VLOOKUP($AW2581,'Item Master Data'!$A:$F,3,FALSE)</f>
        <v>T400H</v>
      </c>
      <c r="AY2581" s="262">
        <f>VLOOKUP($AW2581,'Item Master Data'!$A:$F,6,FALSE)</f>
        <v>400</v>
      </c>
      <c r="AZ2581" s="262">
        <f t="shared" si="455"/>
        <v>24</v>
      </c>
      <c r="BA2581" s="262">
        <f>VLOOKUP(AW2581,'Item Master Data'!$A:$G,7,FALSE)</f>
        <v>26</v>
      </c>
      <c r="BC2581" s="262">
        <f t="shared" si="456"/>
        <v>0</v>
      </c>
    </row>
    <row r="2582" spans="1:55">
      <c r="A2582" s="410"/>
      <c r="B2582" s="407"/>
      <c r="C2582" s="407"/>
      <c r="D2582" s="474" t="s">
        <v>1066</v>
      </c>
      <c r="E2582" s="388"/>
      <c r="F2582" s="474" t="s">
        <v>1147</v>
      </c>
      <c r="G2582" s="474">
        <v>2022</v>
      </c>
      <c r="H2582" s="474">
        <v>3</v>
      </c>
      <c r="I2582" s="485">
        <v>127487</v>
      </c>
      <c r="J2582" s="475">
        <v>44643</v>
      </c>
      <c r="K2582" s="474" t="s">
        <v>1596</v>
      </c>
      <c r="L2582" s="475" t="s">
        <v>1561</v>
      </c>
      <c r="M2582" s="475">
        <v>44468</v>
      </c>
      <c r="N2582" s="475" t="s">
        <v>1586</v>
      </c>
      <c r="O2582" s="475"/>
      <c r="P2582" s="475">
        <v>44630</v>
      </c>
      <c r="Q2582" s="475">
        <v>44641</v>
      </c>
      <c r="R2582" s="475">
        <v>44643</v>
      </c>
      <c r="S2582" s="474" t="s">
        <v>1563</v>
      </c>
      <c r="T2582" s="474">
        <v>60</v>
      </c>
      <c r="U2582" s="474" t="s">
        <v>1595</v>
      </c>
      <c r="V2582" s="474" t="s">
        <v>1574</v>
      </c>
      <c r="W2582" s="476">
        <v>400</v>
      </c>
      <c r="X2582" s="402">
        <v>624</v>
      </c>
      <c r="Y2582" s="491">
        <f t="shared" si="453"/>
        <v>249600</v>
      </c>
      <c r="Z2582" s="478">
        <v>0.44</v>
      </c>
      <c r="AA2582" s="492">
        <f t="shared" si="457"/>
        <v>109824</v>
      </c>
      <c r="AB2582" s="386"/>
      <c r="AC2582" s="481">
        <v>0</v>
      </c>
      <c r="AD2582" s="474"/>
      <c r="AE2582" s="482"/>
      <c r="AF2582" s="493">
        <f t="shared" si="458"/>
        <v>109824</v>
      </c>
      <c r="AG2582" s="474" t="s">
        <v>47</v>
      </c>
      <c r="AH2582" s="447"/>
      <c r="AI2582" s="474">
        <v>75</v>
      </c>
      <c r="AJ2582" s="474" t="s">
        <v>1575</v>
      </c>
      <c r="AK2582" s="474" t="s">
        <v>50</v>
      </c>
      <c r="AL2582" s="494">
        <v>94544</v>
      </c>
      <c r="AM2582" s="474" t="s">
        <v>52</v>
      </c>
      <c r="AN2582" s="474" t="s">
        <v>1568</v>
      </c>
      <c r="AO2582" s="474"/>
      <c r="AP2582" s="474" t="s">
        <v>92</v>
      </c>
      <c r="AQ2582" s="474" t="s">
        <v>37</v>
      </c>
      <c r="AR2582" s="474"/>
      <c r="AS2582" s="387"/>
      <c r="AT2582" s="387"/>
      <c r="AU2582" s="471"/>
      <c r="AV2582" s="262" t="str">
        <f t="shared" si="454"/>
        <v>30390256H</v>
      </c>
      <c r="AW2582" s="262" cm="1">
        <f t="array" ref="AW2582">SUM(MID(0&amp;AV2582,LARGE(INDEX(ISNUMBER(--MID(AV2582,ROW($1:$8),1))*ROW($1:$8),),ROW($1:$8))+1,1)*10^ROW($1:$8)/10)</f>
        <v>30390256</v>
      </c>
      <c r="AX2582" s="262" t="str">
        <f>VLOOKUP($AW2582,'Item Master Data'!$A:$F,3,FALSE)</f>
        <v>T400H</v>
      </c>
      <c r="AY2582" s="262">
        <f>VLOOKUP($AW2582,'Item Master Data'!$A:$F,6,FALSE)</f>
        <v>400</v>
      </c>
      <c r="AZ2582" s="262">
        <f t="shared" si="455"/>
        <v>24</v>
      </c>
      <c r="BA2582" s="262">
        <f>VLOOKUP(AW2582,'Item Master Data'!$A:$G,7,FALSE)</f>
        <v>26</v>
      </c>
      <c r="BC2582" s="262">
        <f t="shared" si="456"/>
        <v>0</v>
      </c>
    </row>
    <row r="2583" spans="1:55">
      <c r="A2583" s="410"/>
      <c r="B2583" s="407"/>
      <c r="C2583" s="407"/>
      <c r="D2583" s="474" t="s">
        <v>1066</v>
      </c>
      <c r="E2583" s="388"/>
      <c r="F2583" s="474" t="s">
        <v>1147</v>
      </c>
      <c r="G2583" s="474">
        <v>2022</v>
      </c>
      <c r="H2583" s="474">
        <v>3</v>
      </c>
      <c r="I2583" s="485">
        <v>127490</v>
      </c>
      <c r="J2583" s="475">
        <v>44643</v>
      </c>
      <c r="K2583" s="474" t="s">
        <v>1596</v>
      </c>
      <c r="L2583" s="475" t="s">
        <v>1561</v>
      </c>
      <c r="M2583" s="475">
        <v>44468</v>
      </c>
      <c r="N2583" s="475" t="s">
        <v>1586</v>
      </c>
      <c r="O2583" s="475"/>
      <c r="P2583" s="475">
        <v>44630</v>
      </c>
      <c r="Q2583" s="475">
        <v>44641</v>
      </c>
      <c r="R2583" s="475">
        <v>44643</v>
      </c>
      <c r="S2583" s="474" t="s">
        <v>1563</v>
      </c>
      <c r="T2583" s="474">
        <v>60</v>
      </c>
      <c r="U2583" s="474" t="s">
        <v>1595</v>
      </c>
      <c r="V2583" s="474" t="s">
        <v>1574</v>
      </c>
      <c r="W2583" s="476">
        <v>400</v>
      </c>
      <c r="X2583" s="402">
        <v>624</v>
      </c>
      <c r="Y2583" s="491">
        <f t="shared" si="453"/>
        <v>249600</v>
      </c>
      <c r="Z2583" s="478">
        <v>0.44</v>
      </c>
      <c r="AA2583" s="492">
        <f t="shared" si="457"/>
        <v>109824</v>
      </c>
      <c r="AB2583" s="386"/>
      <c r="AC2583" s="481">
        <v>0</v>
      </c>
      <c r="AD2583" s="474"/>
      <c r="AE2583" s="482"/>
      <c r="AF2583" s="493">
        <f t="shared" si="458"/>
        <v>109824</v>
      </c>
      <c r="AG2583" s="474" t="s">
        <v>47</v>
      </c>
      <c r="AH2583" s="447"/>
      <c r="AI2583" s="474">
        <v>75</v>
      </c>
      <c r="AJ2583" s="474" t="s">
        <v>1575</v>
      </c>
      <c r="AK2583" s="474" t="s">
        <v>50</v>
      </c>
      <c r="AL2583" s="494">
        <v>94544</v>
      </c>
      <c r="AM2583" s="474" t="s">
        <v>52</v>
      </c>
      <c r="AN2583" s="474" t="s">
        <v>1568</v>
      </c>
      <c r="AO2583" s="474"/>
      <c r="AP2583" s="474" t="s">
        <v>92</v>
      </c>
      <c r="AQ2583" s="474" t="s">
        <v>37</v>
      </c>
      <c r="AR2583" s="474"/>
      <c r="AS2583" s="387"/>
      <c r="AT2583" s="387"/>
      <c r="AU2583" s="471"/>
      <c r="AV2583" s="262" t="str">
        <f t="shared" si="454"/>
        <v>30390256H</v>
      </c>
      <c r="AW2583" s="262" cm="1">
        <f t="array" ref="AW2583">SUM(MID(0&amp;AV2583,LARGE(INDEX(ISNUMBER(--MID(AV2583,ROW($1:$8),1))*ROW($1:$8),),ROW($1:$8))+1,1)*10^ROW($1:$8)/10)</f>
        <v>30390256</v>
      </c>
      <c r="AX2583" s="262" t="str">
        <f>VLOOKUP($AW2583,'Item Master Data'!$A:$F,3,FALSE)</f>
        <v>T400H</v>
      </c>
      <c r="AY2583" s="262">
        <f>VLOOKUP($AW2583,'Item Master Data'!$A:$F,6,FALSE)</f>
        <v>400</v>
      </c>
      <c r="AZ2583" s="262">
        <f t="shared" si="455"/>
        <v>24</v>
      </c>
      <c r="BA2583" s="262">
        <f>VLOOKUP(AW2583,'Item Master Data'!$A:$G,7,FALSE)</f>
        <v>26</v>
      </c>
      <c r="BC2583" s="262">
        <f t="shared" si="456"/>
        <v>0</v>
      </c>
    </row>
    <row r="2584" spans="1:55">
      <c r="A2584" s="410"/>
      <c r="B2584" s="407"/>
      <c r="C2584" s="407"/>
      <c r="D2584" s="474" t="s">
        <v>1066</v>
      </c>
      <c r="E2584" s="388" t="s">
        <v>1122</v>
      </c>
      <c r="F2584" s="474" t="s">
        <v>1147</v>
      </c>
      <c r="G2584" s="474">
        <v>2022</v>
      </c>
      <c r="H2584" s="474">
        <v>3</v>
      </c>
      <c r="I2584" s="485">
        <v>127630</v>
      </c>
      <c r="J2584" s="475">
        <v>44648</v>
      </c>
      <c r="K2584" s="474" t="s">
        <v>1596</v>
      </c>
      <c r="L2584" s="475" t="s">
        <v>1561</v>
      </c>
      <c r="M2584" s="475">
        <v>44468</v>
      </c>
      <c r="N2584" s="475" t="s">
        <v>1586</v>
      </c>
      <c r="O2584" s="475"/>
      <c r="P2584" s="475">
        <v>44630</v>
      </c>
      <c r="Q2584" s="475">
        <v>44645</v>
      </c>
      <c r="R2584" s="475">
        <v>44648</v>
      </c>
      <c r="S2584" s="474" t="s">
        <v>1563</v>
      </c>
      <c r="T2584" s="474">
        <v>60</v>
      </c>
      <c r="U2584" s="474" t="s">
        <v>1595</v>
      </c>
      <c r="V2584" s="474" t="s">
        <v>1574</v>
      </c>
      <c r="W2584" s="476">
        <v>400</v>
      </c>
      <c r="X2584" s="402">
        <v>624</v>
      </c>
      <c r="Y2584" s="491">
        <f t="shared" si="453"/>
        <v>249600</v>
      </c>
      <c r="Z2584" s="478">
        <v>0.44</v>
      </c>
      <c r="AA2584" s="492">
        <f t="shared" si="457"/>
        <v>109824</v>
      </c>
      <c r="AB2584" s="386"/>
      <c r="AC2584" s="481">
        <v>0</v>
      </c>
      <c r="AD2584" s="474"/>
      <c r="AE2584" s="482"/>
      <c r="AF2584" s="493">
        <f t="shared" si="458"/>
        <v>109824</v>
      </c>
      <c r="AG2584" s="474" t="s">
        <v>47</v>
      </c>
      <c r="AH2584" s="447"/>
      <c r="AI2584" s="474">
        <v>75</v>
      </c>
      <c r="AJ2584" s="474" t="s">
        <v>1575</v>
      </c>
      <c r="AK2584" s="474" t="s">
        <v>50</v>
      </c>
      <c r="AL2584" s="494">
        <v>94544</v>
      </c>
      <c r="AM2584" s="474" t="s">
        <v>52</v>
      </c>
      <c r="AN2584" s="474" t="s">
        <v>1568</v>
      </c>
      <c r="AO2584" s="474"/>
      <c r="AP2584" s="474" t="s">
        <v>92</v>
      </c>
      <c r="AQ2584" s="474" t="s">
        <v>37</v>
      </c>
      <c r="AR2584" s="474"/>
      <c r="AS2584" s="387"/>
      <c r="AT2584" s="387"/>
      <c r="AU2584" s="471"/>
      <c r="AV2584" s="262" t="str">
        <f t="shared" si="454"/>
        <v>30390256H</v>
      </c>
      <c r="AW2584" s="262" cm="1">
        <f t="array" ref="AW2584">SUM(MID(0&amp;AV2584,LARGE(INDEX(ISNUMBER(--MID(AV2584,ROW($1:$8),1))*ROW($1:$8),),ROW($1:$8))+1,1)*10^ROW($1:$8)/10)</f>
        <v>30390256</v>
      </c>
      <c r="AX2584" s="262" t="str">
        <f>VLOOKUP($AW2584,'Item Master Data'!$A:$F,3,FALSE)</f>
        <v>T400H</v>
      </c>
      <c r="AY2584" s="262">
        <f>VLOOKUP($AW2584,'Item Master Data'!$A:$F,6,FALSE)</f>
        <v>400</v>
      </c>
      <c r="AZ2584" s="262">
        <f t="shared" si="455"/>
        <v>24</v>
      </c>
      <c r="BA2584" s="262">
        <f>VLOOKUP(AW2584,'Item Master Data'!$A:$G,7,FALSE)</f>
        <v>26</v>
      </c>
      <c r="BC2584" s="262">
        <f t="shared" si="456"/>
        <v>0</v>
      </c>
    </row>
    <row r="2585" spans="1:55">
      <c r="A2585" s="410"/>
      <c r="B2585" s="407"/>
      <c r="C2585" s="407"/>
      <c r="D2585" s="474" t="s">
        <v>1066</v>
      </c>
      <c r="E2585" s="388"/>
      <c r="F2585" s="474" t="s">
        <v>1147</v>
      </c>
      <c r="G2585" s="474">
        <v>2022</v>
      </c>
      <c r="H2585" s="474">
        <v>3</v>
      </c>
      <c r="I2585" s="485">
        <v>127625</v>
      </c>
      <c r="J2585" s="475">
        <v>44649</v>
      </c>
      <c r="K2585" s="474" t="s">
        <v>1596</v>
      </c>
      <c r="L2585" s="475" t="s">
        <v>1561</v>
      </c>
      <c r="M2585" s="475">
        <v>44468</v>
      </c>
      <c r="N2585" s="475" t="s">
        <v>1586</v>
      </c>
      <c r="O2585" s="475"/>
      <c r="P2585" s="475">
        <v>44630</v>
      </c>
      <c r="Q2585" s="475">
        <v>44648</v>
      </c>
      <c r="R2585" s="475">
        <v>44649</v>
      </c>
      <c r="S2585" s="474" t="s">
        <v>1563</v>
      </c>
      <c r="T2585" s="474">
        <v>60</v>
      </c>
      <c r="U2585" s="474" t="s">
        <v>1595</v>
      </c>
      <c r="V2585" s="474" t="s">
        <v>1574</v>
      </c>
      <c r="W2585" s="476">
        <v>400</v>
      </c>
      <c r="X2585" s="402">
        <v>624</v>
      </c>
      <c r="Y2585" s="491">
        <f t="shared" si="453"/>
        <v>249600</v>
      </c>
      <c r="Z2585" s="478">
        <v>0.44</v>
      </c>
      <c r="AA2585" s="492">
        <f t="shared" si="457"/>
        <v>109824</v>
      </c>
      <c r="AB2585" s="386"/>
      <c r="AC2585" s="481">
        <v>0</v>
      </c>
      <c r="AD2585" s="474"/>
      <c r="AE2585" s="482"/>
      <c r="AF2585" s="493">
        <f t="shared" si="458"/>
        <v>109824</v>
      </c>
      <c r="AG2585" s="474" t="s">
        <v>47</v>
      </c>
      <c r="AH2585" s="447"/>
      <c r="AI2585" s="474">
        <v>75</v>
      </c>
      <c r="AJ2585" s="474" t="s">
        <v>1575</v>
      </c>
      <c r="AK2585" s="474" t="s">
        <v>50</v>
      </c>
      <c r="AL2585" s="494">
        <v>94544</v>
      </c>
      <c r="AM2585" s="474" t="s">
        <v>52</v>
      </c>
      <c r="AN2585" s="474" t="s">
        <v>50</v>
      </c>
      <c r="AO2585" s="474"/>
      <c r="AP2585" s="474" t="s">
        <v>92</v>
      </c>
      <c r="AQ2585" s="474" t="s">
        <v>37</v>
      </c>
      <c r="AR2585" s="474"/>
      <c r="AS2585" s="387"/>
      <c r="AT2585" s="387"/>
      <c r="AU2585" s="471"/>
      <c r="AV2585" s="262" t="str">
        <f t="shared" si="454"/>
        <v>30390256H</v>
      </c>
      <c r="AW2585" s="262" cm="1">
        <f t="array" ref="AW2585">SUM(MID(0&amp;AV2585,LARGE(INDEX(ISNUMBER(--MID(AV2585,ROW($1:$8),1))*ROW($1:$8),),ROW($1:$8))+1,1)*10^ROW($1:$8)/10)</f>
        <v>30390256</v>
      </c>
      <c r="AX2585" s="262" t="str">
        <f>VLOOKUP($AW2585,'Item Master Data'!$A:$F,3,FALSE)</f>
        <v>T400H</v>
      </c>
      <c r="AY2585" s="262">
        <f>VLOOKUP($AW2585,'Item Master Data'!$A:$F,6,FALSE)</f>
        <v>400</v>
      </c>
      <c r="AZ2585" s="262">
        <f t="shared" si="455"/>
        <v>24</v>
      </c>
      <c r="BA2585" s="262">
        <f>VLOOKUP(AW2585,'Item Master Data'!$A:$G,7,FALSE)</f>
        <v>26</v>
      </c>
      <c r="BC2585" s="262">
        <f t="shared" si="456"/>
        <v>0</v>
      </c>
    </row>
    <row r="2586" spans="1:55">
      <c r="A2586" s="410"/>
      <c r="B2586" s="407"/>
      <c r="C2586" s="407"/>
      <c r="D2586" s="474" t="s">
        <v>1066</v>
      </c>
      <c r="E2586" s="388"/>
      <c r="F2586" s="474" t="s">
        <v>1147</v>
      </c>
      <c r="G2586" s="474">
        <v>2022</v>
      </c>
      <c r="H2586" s="474">
        <v>3</v>
      </c>
      <c r="I2586" s="485">
        <v>127626</v>
      </c>
      <c r="J2586" s="475">
        <v>44649</v>
      </c>
      <c r="K2586" s="474" t="s">
        <v>1596</v>
      </c>
      <c r="L2586" s="475" t="s">
        <v>1561</v>
      </c>
      <c r="M2586" s="475">
        <v>44468</v>
      </c>
      <c r="N2586" s="475" t="s">
        <v>1586</v>
      </c>
      <c r="O2586" s="475"/>
      <c r="P2586" s="475">
        <v>44630</v>
      </c>
      <c r="Q2586" s="475">
        <v>44648</v>
      </c>
      <c r="R2586" s="475">
        <v>44649</v>
      </c>
      <c r="S2586" s="474" t="s">
        <v>1563</v>
      </c>
      <c r="T2586" s="474">
        <v>60</v>
      </c>
      <c r="U2586" s="474" t="s">
        <v>1595</v>
      </c>
      <c r="V2586" s="474" t="s">
        <v>1574</v>
      </c>
      <c r="W2586" s="476">
        <v>400</v>
      </c>
      <c r="X2586" s="402">
        <v>624</v>
      </c>
      <c r="Y2586" s="491">
        <f t="shared" si="453"/>
        <v>249600</v>
      </c>
      <c r="Z2586" s="478">
        <v>0.44</v>
      </c>
      <c r="AA2586" s="492">
        <f t="shared" si="457"/>
        <v>109824</v>
      </c>
      <c r="AB2586" s="386"/>
      <c r="AC2586" s="481">
        <v>0</v>
      </c>
      <c r="AD2586" s="474"/>
      <c r="AE2586" s="482"/>
      <c r="AF2586" s="493">
        <f t="shared" si="458"/>
        <v>109824</v>
      </c>
      <c r="AG2586" s="474" t="s">
        <v>47</v>
      </c>
      <c r="AH2586" s="447"/>
      <c r="AI2586" s="474">
        <v>75</v>
      </c>
      <c r="AJ2586" s="474" t="s">
        <v>1575</v>
      </c>
      <c r="AK2586" s="474" t="s">
        <v>50</v>
      </c>
      <c r="AL2586" s="494">
        <v>94544</v>
      </c>
      <c r="AM2586" s="474" t="s">
        <v>52</v>
      </c>
      <c r="AN2586" s="474" t="s">
        <v>50</v>
      </c>
      <c r="AO2586" s="474"/>
      <c r="AP2586" s="474" t="s">
        <v>92</v>
      </c>
      <c r="AQ2586" s="474" t="s">
        <v>37</v>
      </c>
      <c r="AR2586" s="474"/>
      <c r="AS2586" s="387"/>
      <c r="AT2586" s="387"/>
      <c r="AU2586" s="471"/>
      <c r="AV2586" s="262" t="str">
        <f t="shared" si="454"/>
        <v>30390256H</v>
      </c>
      <c r="AW2586" s="262" cm="1">
        <f t="array" ref="AW2586">SUM(MID(0&amp;AV2586,LARGE(INDEX(ISNUMBER(--MID(AV2586,ROW($1:$8),1))*ROW($1:$8),),ROW($1:$8))+1,1)*10^ROW($1:$8)/10)</f>
        <v>30390256</v>
      </c>
      <c r="AX2586" s="262" t="str">
        <f>VLOOKUP($AW2586,'Item Master Data'!$A:$F,3,FALSE)</f>
        <v>T400H</v>
      </c>
      <c r="AY2586" s="262">
        <f>VLOOKUP($AW2586,'Item Master Data'!$A:$F,6,FALSE)</f>
        <v>400</v>
      </c>
      <c r="AZ2586" s="262">
        <f t="shared" si="455"/>
        <v>24</v>
      </c>
      <c r="BA2586" s="262">
        <f>VLOOKUP(AW2586,'Item Master Data'!$A:$G,7,FALSE)</f>
        <v>26</v>
      </c>
      <c r="BC2586" s="262">
        <f t="shared" si="456"/>
        <v>0</v>
      </c>
    </row>
    <row r="2587" spans="1:55">
      <c r="A2587" s="410"/>
      <c r="B2587" s="407"/>
      <c r="C2587" s="407"/>
      <c r="D2587" s="474" t="s">
        <v>1066</v>
      </c>
      <c r="E2587" s="388"/>
      <c r="F2587" s="474" t="s">
        <v>1147</v>
      </c>
      <c r="G2587" s="474">
        <v>2022</v>
      </c>
      <c r="H2587" s="474">
        <v>3</v>
      </c>
      <c r="I2587" s="485">
        <v>127627</v>
      </c>
      <c r="J2587" s="475">
        <v>44649</v>
      </c>
      <c r="K2587" s="474" t="s">
        <v>1596</v>
      </c>
      <c r="L2587" s="475" t="s">
        <v>1561</v>
      </c>
      <c r="M2587" s="475">
        <v>44468</v>
      </c>
      <c r="N2587" s="475" t="s">
        <v>1586</v>
      </c>
      <c r="O2587" s="475"/>
      <c r="P2587" s="475">
        <v>44630</v>
      </c>
      <c r="Q2587" s="475">
        <v>44648</v>
      </c>
      <c r="R2587" s="475">
        <v>44649</v>
      </c>
      <c r="S2587" s="474" t="s">
        <v>1563</v>
      </c>
      <c r="T2587" s="474">
        <v>60</v>
      </c>
      <c r="U2587" s="474" t="s">
        <v>1595</v>
      </c>
      <c r="V2587" s="474" t="s">
        <v>1574</v>
      </c>
      <c r="W2587" s="476">
        <v>400</v>
      </c>
      <c r="X2587" s="402">
        <v>624</v>
      </c>
      <c r="Y2587" s="491">
        <f t="shared" si="453"/>
        <v>249600</v>
      </c>
      <c r="Z2587" s="478">
        <v>0.44</v>
      </c>
      <c r="AA2587" s="492">
        <f t="shared" si="457"/>
        <v>109824</v>
      </c>
      <c r="AB2587" s="386"/>
      <c r="AC2587" s="481">
        <v>0</v>
      </c>
      <c r="AD2587" s="474"/>
      <c r="AE2587" s="482"/>
      <c r="AF2587" s="493">
        <f t="shared" si="458"/>
        <v>109824</v>
      </c>
      <c r="AG2587" s="474" t="s">
        <v>47</v>
      </c>
      <c r="AH2587" s="447"/>
      <c r="AI2587" s="474">
        <v>75</v>
      </c>
      <c r="AJ2587" s="474" t="s">
        <v>1575</v>
      </c>
      <c r="AK2587" s="474" t="s">
        <v>50</v>
      </c>
      <c r="AL2587" s="494">
        <v>94544</v>
      </c>
      <c r="AM2587" s="474" t="s">
        <v>52</v>
      </c>
      <c r="AN2587" s="474" t="s">
        <v>50</v>
      </c>
      <c r="AO2587" s="474"/>
      <c r="AP2587" s="474" t="s">
        <v>92</v>
      </c>
      <c r="AQ2587" s="474" t="s">
        <v>37</v>
      </c>
      <c r="AR2587" s="474"/>
      <c r="AS2587" s="387"/>
      <c r="AT2587" s="387"/>
      <c r="AU2587" s="471"/>
      <c r="AV2587" s="262" t="str">
        <f t="shared" si="454"/>
        <v>30390256H</v>
      </c>
      <c r="AW2587" s="262" cm="1">
        <f t="array" ref="AW2587">SUM(MID(0&amp;AV2587,LARGE(INDEX(ISNUMBER(--MID(AV2587,ROW($1:$8),1))*ROW($1:$8),),ROW($1:$8))+1,1)*10^ROW($1:$8)/10)</f>
        <v>30390256</v>
      </c>
      <c r="AX2587" s="262" t="str">
        <f>VLOOKUP($AW2587,'Item Master Data'!$A:$F,3,FALSE)</f>
        <v>T400H</v>
      </c>
      <c r="AY2587" s="262">
        <f>VLOOKUP($AW2587,'Item Master Data'!$A:$F,6,FALSE)</f>
        <v>400</v>
      </c>
      <c r="AZ2587" s="262">
        <f t="shared" si="455"/>
        <v>24</v>
      </c>
      <c r="BA2587" s="262">
        <f>VLOOKUP(AW2587,'Item Master Data'!$A:$G,7,FALSE)</f>
        <v>26</v>
      </c>
      <c r="BC2587" s="262">
        <f t="shared" si="456"/>
        <v>0</v>
      </c>
    </row>
    <row r="2588" spans="1:55">
      <c r="A2588" s="410"/>
      <c r="B2588" s="407"/>
      <c r="C2588" s="407"/>
      <c r="D2588" s="474" t="s">
        <v>1066</v>
      </c>
      <c r="E2588" s="388"/>
      <c r="F2588" s="474" t="s">
        <v>1147</v>
      </c>
      <c r="G2588" s="474">
        <v>2022</v>
      </c>
      <c r="H2588" s="474">
        <v>3</v>
      </c>
      <c r="I2588" s="485">
        <v>127624</v>
      </c>
      <c r="J2588" s="475">
        <v>44650</v>
      </c>
      <c r="K2588" s="474" t="s">
        <v>1596</v>
      </c>
      <c r="L2588" s="475" t="s">
        <v>1561</v>
      </c>
      <c r="M2588" s="475">
        <v>44468</v>
      </c>
      <c r="N2588" s="475" t="s">
        <v>1586</v>
      </c>
      <c r="O2588" s="475"/>
      <c r="P2588" s="475">
        <v>44630</v>
      </c>
      <c r="Q2588" s="475">
        <v>44649</v>
      </c>
      <c r="R2588" s="475">
        <v>44650</v>
      </c>
      <c r="S2588" s="474" t="s">
        <v>1563</v>
      </c>
      <c r="T2588" s="474">
        <v>60</v>
      </c>
      <c r="U2588" s="474" t="s">
        <v>1595</v>
      </c>
      <c r="V2588" s="474" t="s">
        <v>1574</v>
      </c>
      <c r="W2588" s="476">
        <v>400</v>
      </c>
      <c r="X2588" s="402">
        <v>624</v>
      </c>
      <c r="Y2588" s="491">
        <f t="shared" si="453"/>
        <v>249600</v>
      </c>
      <c r="Z2588" s="478">
        <v>0.44</v>
      </c>
      <c r="AA2588" s="492">
        <f t="shared" si="457"/>
        <v>109824</v>
      </c>
      <c r="AB2588" s="386"/>
      <c r="AC2588" s="481">
        <v>0</v>
      </c>
      <c r="AD2588" s="474"/>
      <c r="AE2588" s="482"/>
      <c r="AF2588" s="493">
        <f t="shared" si="458"/>
        <v>109824</v>
      </c>
      <c r="AG2588" s="474" t="s">
        <v>47</v>
      </c>
      <c r="AH2588" s="447"/>
      <c r="AI2588" s="474">
        <v>75</v>
      </c>
      <c r="AJ2588" s="474" t="s">
        <v>1575</v>
      </c>
      <c r="AK2588" s="474" t="s">
        <v>50</v>
      </c>
      <c r="AL2588" s="494">
        <v>94544</v>
      </c>
      <c r="AM2588" s="474" t="s">
        <v>52</v>
      </c>
      <c r="AN2588" s="474" t="s">
        <v>50</v>
      </c>
      <c r="AO2588" s="474"/>
      <c r="AP2588" s="474" t="s">
        <v>92</v>
      </c>
      <c r="AQ2588" s="474" t="s">
        <v>37</v>
      </c>
      <c r="AR2588" s="474"/>
      <c r="AS2588" s="387"/>
      <c r="AT2588" s="387"/>
      <c r="AU2588" s="471"/>
      <c r="AV2588" s="262" t="str">
        <f t="shared" si="454"/>
        <v>30390256H</v>
      </c>
      <c r="AW2588" s="262" cm="1">
        <f t="array" ref="AW2588">SUM(MID(0&amp;AV2588,LARGE(INDEX(ISNUMBER(--MID(AV2588,ROW($1:$8),1))*ROW($1:$8),),ROW($1:$8))+1,1)*10^ROW($1:$8)/10)</f>
        <v>30390256</v>
      </c>
      <c r="AX2588" s="262" t="str">
        <f>VLOOKUP($AW2588,'Item Master Data'!$A:$F,3,FALSE)</f>
        <v>T400H</v>
      </c>
      <c r="AY2588" s="262">
        <f>VLOOKUP($AW2588,'Item Master Data'!$A:$F,6,FALSE)</f>
        <v>400</v>
      </c>
      <c r="AZ2588" s="262">
        <f t="shared" si="455"/>
        <v>24</v>
      </c>
      <c r="BA2588" s="262">
        <f>VLOOKUP(AW2588,'Item Master Data'!$A:$G,7,FALSE)</f>
        <v>26</v>
      </c>
      <c r="BC2588" s="262">
        <f t="shared" si="456"/>
        <v>0</v>
      </c>
    </row>
    <row r="2589" spans="1:55">
      <c r="A2589" s="410"/>
      <c r="B2589" s="407"/>
      <c r="C2589" s="407"/>
      <c r="D2589" s="474" t="s">
        <v>1066</v>
      </c>
      <c r="E2589" s="388"/>
      <c r="F2589" s="474" t="s">
        <v>1147</v>
      </c>
      <c r="G2589" s="474">
        <v>2022</v>
      </c>
      <c r="H2589" s="474">
        <v>3</v>
      </c>
      <c r="I2589" s="485">
        <v>127622</v>
      </c>
      <c r="J2589" s="475">
        <v>44650</v>
      </c>
      <c r="K2589" s="474" t="s">
        <v>1596</v>
      </c>
      <c r="L2589" s="475" t="s">
        <v>1561</v>
      </c>
      <c r="M2589" s="475">
        <v>44468</v>
      </c>
      <c r="N2589" s="475" t="s">
        <v>1586</v>
      </c>
      <c r="O2589" s="475"/>
      <c r="P2589" s="475">
        <v>44630</v>
      </c>
      <c r="Q2589" s="475">
        <v>44649</v>
      </c>
      <c r="R2589" s="475">
        <v>44650</v>
      </c>
      <c r="S2589" s="474" t="s">
        <v>1563</v>
      </c>
      <c r="T2589" s="474">
        <v>60</v>
      </c>
      <c r="U2589" s="474" t="s">
        <v>1595</v>
      </c>
      <c r="V2589" s="474" t="s">
        <v>1574</v>
      </c>
      <c r="W2589" s="476">
        <v>400</v>
      </c>
      <c r="X2589" s="402">
        <v>624</v>
      </c>
      <c r="Y2589" s="491">
        <f t="shared" si="453"/>
        <v>249600</v>
      </c>
      <c r="Z2589" s="478">
        <v>0.44</v>
      </c>
      <c r="AA2589" s="492">
        <f t="shared" si="457"/>
        <v>109824</v>
      </c>
      <c r="AB2589" s="386"/>
      <c r="AC2589" s="481">
        <v>0</v>
      </c>
      <c r="AD2589" s="474"/>
      <c r="AE2589" s="482"/>
      <c r="AF2589" s="493">
        <f t="shared" si="458"/>
        <v>109824</v>
      </c>
      <c r="AG2589" s="474" t="s">
        <v>47</v>
      </c>
      <c r="AH2589" s="447"/>
      <c r="AI2589" s="474">
        <v>75</v>
      </c>
      <c r="AJ2589" s="474" t="s">
        <v>1575</v>
      </c>
      <c r="AK2589" s="474" t="s">
        <v>50</v>
      </c>
      <c r="AL2589" s="494">
        <v>94544</v>
      </c>
      <c r="AM2589" s="474" t="s">
        <v>52</v>
      </c>
      <c r="AN2589" s="474" t="s">
        <v>50</v>
      </c>
      <c r="AO2589" s="474"/>
      <c r="AP2589" s="474" t="s">
        <v>92</v>
      </c>
      <c r="AQ2589" s="474" t="s">
        <v>37</v>
      </c>
      <c r="AR2589" s="474"/>
      <c r="AS2589" s="387"/>
      <c r="AT2589" s="387"/>
      <c r="AU2589" s="471"/>
      <c r="AV2589" s="262" t="str">
        <f t="shared" si="454"/>
        <v>30390256H</v>
      </c>
      <c r="AW2589" s="262" cm="1">
        <f t="array" ref="AW2589">SUM(MID(0&amp;AV2589,LARGE(INDEX(ISNUMBER(--MID(AV2589,ROW($1:$8),1))*ROW($1:$8),),ROW($1:$8))+1,1)*10^ROW($1:$8)/10)</f>
        <v>30390256</v>
      </c>
      <c r="AX2589" s="262" t="str">
        <f>VLOOKUP($AW2589,'Item Master Data'!$A:$F,3,FALSE)</f>
        <v>T400H</v>
      </c>
      <c r="AY2589" s="262">
        <f>VLOOKUP($AW2589,'Item Master Data'!$A:$F,6,FALSE)</f>
        <v>400</v>
      </c>
      <c r="AZ2589" s="262">
        <f t="shared" si="455"/>
        <v>24</v>
      </c>
      <c r="BA2589" s="262">
        <f>VLOOKUP(AW2589,'Item Master Data'!$A:$G,7,FALSE)</f>
        <v>26</v>
      </c>
      <c r="BC2589" s="262">
        <f t="shared" si="456"/>
        <v>0</v>
      </c>
    </row>
    <row r="2590" spans="1:55">
      <c r="A2590" s="410"/>
      <c r="B2590" s="407"/>
      <c r="C2590" s="407"/>
      <c r="D2590" s="474" t="s">
        <v>1066</v>
      </c>
      <c r="E2590" s="388"/>
      <c r="F2590" s="474" t="s">
        <v>1147</v>
      </c>
      <c r="G2590" s="474">
        <v>2022</v>
      </c>
      <c r="H2590" s="474">
        <v>3</v>
      </c>
      <c r="I2590" s="485">
        <v>127623</v>
      </c>
      <c r="J2590" s="475">
        <v>44650</v>
      </c>
      <c r="K2590" s="474" t="s">
        <v>1596</v>
      </c>
      <c r="L2590" s="475" t="s">
        <v>1561</v>
      </c>
      <c r="M2590" s="475">
        <v>44468</v>
      </c>
      <c r="N2590" s="475" t="s">
        <v>1586</v>
      </c>
      <c r="O2590" s="475"/>
      <c r="P2590" s="475">
        <v>44630</v>
      </c>
      <c r="Q2590" s="475">
        <v>44649</v>
      </c>
      <c r="R2590" s="475">
        <v>44650</v>
      </c>
      <c r="S2590" s="474" t="s">
        <v>1563</v>
      </c>
      <c r="T2590" s="474">
        <v>60</v>
      </c>
      <c r="U2590" s="474" t="s">
        <v>1595</v>
      </c>
      <c r="V2590" s="474" t="s">
        <v>1574</v>
      </c>
      <c r="W2590" s="476">
        <v>400</v>
      </c>
      <c r="X2590" s="402">
        <v>624</v>
      </c>
      <c r="Y2590" s="491">
        <f t="shared" si="453"/>
        <v>249600</v>
      </c>
      <c r="Z2590" s="478">
        <v>0.44</v>
      </c>
      <c r="AA2590" s="492">
        <f t="shared" si="457"/>
        <v>109824</v>
      </c>
      <c r="AB2590" s="386"/>
      <c r="AC2590" s="481">
        <v>0</v>
      </c>
      <c r="AD2590" s="474"/>
      <c r="AE2590" s="482"/>
      <c r="AF2590" s="493">
        <f t="shared" si="458"/>
        <v>109824</v>
      </c>
      <c r="AG2590" s="474" t="s">
        <v>47</v>
      </c>
      <c r="AH2590" s="447"/>
      <c r="AI2590" s="474">
        <v>75</v>
      </c>
      <c r="AJ2590" s="474" t="s">
        <v>1575</v>
      </c>
      <c r="AK2590" s="474" t="s">
        <v>50</v>
      </c>
      <c r="AL2590" s="494">
        <v>94544</v>
      </c>
      <c r="AM2590" s="474" t="s">
        <v>52</v>
      </c>
      <c r="AN2590" s="474" t="s">
        <v>50</v>
      </c>
      <c r="AO2590" s="474"/>
      <c r="AP2590" s="474" t="s">
        <v>92</v>
      </c>
      <c r="AQ2590" s="474" t="s">
        <v>37</v>
      </c>
      <c r="AR2590" s="474"/>
      <c r="AS2590" s="387"/>
      <c r="AT2590" s="387"/>
      <c r="AU2590" s="471"/>
      <c r="AV2590" s="262" t="str">
        <f t="shared" si="454"/>
        <v>30390256H</v>
      </c>
      <c r="AW2590" s="262" cm="1">
        <f t="array" ref="AW2590">SUM(MID(0&amp;AV2590,LARGE(INDEX(ISNUMBER(--MID(AV2590,ROW($1:$8),1))*ROW($1:$8),),ROW($1:$8))+1,1)*10^ROW($1:$8)/10)</f>
        <v>30390256</v>
      </c>
      <c r="AX2590" s="262" t="str">
        <f>VLOOKUP($AW2590,'Item Master Data'!$A:$F,3,FALSE)</f>
        <v>T400H</v>
      </c>
      <c r="AY2590" s="262">
        <f>VLOOKUP($AW2590,'Item Master Data'!$A:$F,6,FALSE)</f>
        <v>400</v>
      </c>
      <c r="AZ2590" s="262">
        <f t="shared" si="455"/>
        <v>24</v>
      </c>
      <c r="BA2590" s="262">
        <f>VLOOKUP(AW2590,'Item Master Data'!$A:$G,7,FALSE)</f>
        <v>26</v>
      </c>
      <c r="BC2590" s="262">
        <f t="shared" si="456"/>
        <v>0</v>
      </c>
    </row>
    <row r="2591" spans="1:55">
      <c r="A2591" s="410"/>
      <c r="B2591" s="407"/>
      <c r="C2591" s="407"/>
      <c r="D2591" s="474" t="s">
        <v>1066</v>
      </c>
      <c r="E2591" s="388"/>
      <c r="F2591" s="474" t="s">
        <v>1147</v>
      </c>
      <c r="G2591" s="474">
        <v>2022</v>
      </c>
      <c r="H2591" s="474">
        <v>3</v>
      </c>
      <c r="I2591" s="485">
        <v>127526</v>
      </c>
      <c r="J2591" s="475">
        <v>44644</v>
      </c>
      <c r="K2591" s="474" t="s">
        <v>1594</v>
      </c>
      <c r="L2591" s="475" t="s">
        <v>1561</v>
      </c>
      <c r="M2591" s="475">
        <v>44468</v>
      </c>
      <c r="N2591" s="475" t="s">
        <v>1586</v>
      </c>
      <c r="O2591" s="475"/>
      <c r="P2591" s="475">
        <v>44623</v>
      </c>
      <c r="Q2591" s="475">
        <v>44643</v>
      </c>
      <c r="R2591" s="475">
        <v>44644</v>
      </c>
      <c r="S2591" s="474" t="s">
        <v>1563</v>
      </c>
      <c r="T2591" s="474">
        <v>60</v>
      </c>
      <c r="U2591" s="474" t="s">
        <v>1595</v>
      </c>
      <c r="V2591" s="474" t="s">
        <v>1574</v>
      </c>
      <c r="W2591" s="476">
        <v>400</v>
      </c>
      <c r="X2591" s="402">
        <v>624</v>
      </c>
      <c r="Y2591" s="491">
        <f t="shared" si="453"/>
        <v>249600</v>
      </c>
      <c r="Z2591" s="478">
        <v>0.44</v>
      </c>
      <c r="AA2591" s="479">
        <f t="shared" si="457"/>
        <v>109824</v>
      </c>
      <c r="AB2591" s="386"/>
      <c r="AC2591" s="481">
        <v>0</v>
      </c>
      <c r="AD2591" s="474"/>
      <c r="AE2591" s="482"/>
      <c r="AF2591" s="493">
        <f t="shared" si="458"/>
        <v>109824</v>
      </c>
      <c r="AG2591" s="501" t="s">
        <v>47</v>
      </c>
      <c r="AH2591" s="409"/>
      <c r="AI2591" s="501">
        <v>75</v>
      </c>
      <c r="AJ2591" s="501" t="s">
        <v>1575</v>
      </c>
      <c r="AK2591" s="501" t="s">
        <v>50</v>
      </c>
      <c r="AL2591" s="509">
        <v>94544</v>
      </c>
      <c r="AM2591" s="501" t="s">
        <v>52</v>
      </c>
      <c r="AN2591" s="501" t="s">
        <v>50</v>
      </c>
      <c r="AO2591" s="474"/>
      <c r="AP2591" s="474" t="s">
        <v>92</v>
      </c>
      <c r="AQ2591" s="474" t="s">
        <v>37</v>
      </c>
      <c r="AR2591" s="474"/>
      <c r="AS2591" s="387"/>
      <c r="AT2591" s="387"/>
      <c r="AU2591" s="471"/>
      <c r="AV2591" s="262" t="str">
        <f t="shared" si="454"/>
        <v>30390256H</v>
      </c>
      <c r="AW2591" s="262" cm="1">
        <f t="array" ref="AW2591">SUM(MID(0&amp;AV2591,LARGE(INDEX(ISNUMBER(--MID(AV2591,ROW($1:$8),1))*ROW($1:$8),),ROW($1:$8))+1,1)*10^ROW($1:$8)/10)</f>
        <v>30390256</v>
      </c>
      <c r="AX2591" s="262" t="str">
        <f>VLOOKUP($AW2591,'Item Master Data'!$A:$F,3,FALSE)</f>
        <v>T400H</v>
      </c>
      <c r="AY2591" s="262">
        <f>VLOOKUP($AW2591,'Item Master Data'!$A:$F,6,FALSE)</f>
        <v>400</v>
      </c>
      <c r="AZ2591" s="262">
        <f t="shared" si="455"/>
        <v>24</v>
      </c>
      <c r="BA2591" s="262">
        <f>VLOOKUP(AW2591,'Item Master Data'!$A:$G,7,FALSE)</f>
        <v>26</v>
      </c>
      <c r="BC2591" s="262">
        <f t="shared" si="456"/>
        <v>0</v>
      </c>
    </row>
    <row r="2592" spans="1:55">
      <c r="A2592" s="410"/>
      <c r="B2592" s="407"/>
      <c r="C2592" s="407"/>
      <c r="D2592" s="474" t="s">
        <v>1066</v>
      </c>
      <c r="E2592" s="388" t="s">
        <v>50</v>
      </c>
      <c r="F2592" s="474" t="s">
        <v>1147</v>
      </c>
      <c r="G2592" s="474">
        <v>2022</v>
      </c>
      <c r="H2592" s="474">
        <v>3</v>
      </c>
      <c r="I2592" s="485">
        <v>127528</v>
      </c>
      <c r="J2592" s="475">
        <v>44645</v>
      </c>
      <c r="K2592" s="474" t="s">
        <v>1596</v>
      </c>
      <c r="L2592" s="475" t="s">
        <v>1561</v>
      </c>
      <c r="M2592" s="475">
        <v>44468</v>
      </c>
      <c r="N2592" s="475" t="s">
        <v>1586</v>
      </c>
      <c r="O2592" s="475"/>
      <c r="P2592" s="475">
        <v>44630</v>
      </c>
      <c r="Q2592" s="475">
        <v>44644</v>
      </c>
      <c r="R2592" s="475">
        <v>44645</v>
      </c>
      <c r="S2592" s="474" t="s">
        <v>1563</v>
      </c>
      <c r="T2592" s="474">
        <v>60</v>
      </c>
      <c r="U2592" s="474" t="s">
        <v>1595</v>
      </c>
      <c r="V2592" s="474" t="s">
        <v>1574</v>
      </c>
      <c r="W2592" s="476">
        <v>400</v>
      </c>
      <c r="X2592" s="402">
        <v>624</v>
      </c>
      <c r="Y2592" s="491">
        <f t="shared" si="453"/>
        <v>249600</v>
      </c>
      <c r="Z2592" s="478">
        <v>0.44</v>
      </c>
      <c r="AA2592" s="492">
        <f t="shared" si="457"/>
        <v>109824</v>
      </c>
      <c r="AB2592" s="386"/>
      <c r="AC2592" s="481">
        <v>0</v>
      </c>
      <c r="AD2592" s="474"/>
      <c r="AE2592" s="482"/>
      <c r="AF2592" s="493">
        <f t="shared" si="458"/>
        <v>109824</v>
      </c>
      <c r="AG2592" s="474" t="s">
        <v>47</v>
      </c>
      <c r="AH2592" s="447"/>
      <c r="AI2592" s="474">
        <v>75</v>
      </c>
      <c r="AJ2592" s="474" t="s">
        <v>1575</v>
      </c>
      <c r="AK2592" s="474" t="s">
        <v>50</v>
      </c>
      <c r="AL2592" s="494">
        <v>94544</v>
      </c>
      <c r="AM2592" s="474" t="s">
        <v>52</v>
      </c>
      <c r="AN2592" s="474" t="s">
        <v>50</v>
      </c>
      <c r="AO2592" s="474"/>
      <c r="AP2592" s="474" t="s">
        <v>92</v>
      </c>
      <c r="AQ2592" s="474" t="s">
        <v>37</v>
      </c>
      <c r="AR2592" s="474"/>
      <c r="AS2592" s="387"/>
      <c r="AT2592" s="387"/>
      <c r="AU2592" s="471"/>
      <c r="AV2592" s="262" t="str">
        <f t="shared" si="454"/>
        <v>30390256H</v>
      </c>
      <c r="AW2592" s="262" cm="1">
        <f t="array" ref="AW2592">SUM(MID(0&amp;AV2592,LARGE(INDEX(ISNUMBER(--MID(AV2592,ROW($1:$8),1))*ROW($1:$8),),ROW($1:$8))+1,1)*10^ROW($1:$8)/10)</f>
        <v>30390256</v>
      </c>
      <c r="AX2592" s="262" t="str">
        <f>VLOOKUP($AW2592,'Item Master Data'!$A:$F,3,FALSE)</f>
        <v>T400H</v>
      </c>
      <c r="AY2592" s="262">
        <f>VLOOKUP($AW2592,'Item Master Data'!$A:$F,6,FALSE)</f>
        <v>400</v>
      </c>
      <c r="AZ2592" s="262">
        <f t="shared" si="455"/>
        <v>24</v>
      </c>
      <c r="BA2592" s="262">
        <f>VLOOKUP(AW2592,'Item Master Data'!$A:$G,7,FALSE)</f>
        <v>26</v>
      </c>
      <c r="BC2592" s="262">
        <f t="shared" si="456"/>
        <v>0</v>
      </c>
    </row>
    <row r="2593" spans="1:55">
      <c r="A2593" s="410"/>
      <c r="B2593" s="407"/>
      <c r="C2593" s="407"/>
      <c r="D2593" s="474" t="s">
        <v>1066</v>
      </c>
      <c r="E2593" s="388" t="s">
        <v>50</v>
      </c>
      <c r="F2593" s="474" t="s">
        <v>1147</v>
      </c>
      <c r="G2593" s="474">
        <v>2022</v>
      </c>
      <c r="H2593" s="474">
        <v>3</v>
      </c>
      <c r="I2593" s="485">
        <v>127527</v>
      </c>
      <c r="J2593" s="475">
        <v>44645</v>
      </c>
      <c r="K2593" s="474" t="s">
        <v>1596</v>
      </c>
      <c r="L2593" s="475" t="s">
        <v>1561</v>
      </c>
      <c r="M2593" s="475">
        <v>44468</v>
      </c>
      <c r="N2593" s="475" t="s">
        <v>1586</v>
      </c>
      <c r="O2593" s="475"/>
      <c r="P2593" s="475">
        <v>44630</v>
      </c>
      <c r="Q2593" s="475">
        <v>44644</v>
      </c>
      <c r="R2593" s="475">
        <v>44645</v>
      </c>
      <c r="S2593" s="474" t="s">
        <v>1563</v>
      </c>
      <c r="T2593" s="474">
        <v>60</v>
      </c>
      <c r="U2593" s="474" t="s">
        <v>1595</v>
      </c>
      <c r="V2593" s="474" t="s">
        <v>1574</v>
      </c>
      <c r="W2593" s="476">
        <v>400</v>
      </c>
      <c r="X2593" s="402">
        <v>624</v>
      </c>
      <c r="Y2593" s="491">
        <f t="shared" si="453"/>
        <v>249600</v>
      </c>
      <c r="Z2593" s="478">
        <v>0.44</v>
      </c>
      <c r="AA2593" s="492">
        <f t="shared" si="457"/>
        <v>109824</v>
      </c>
      <c r="AB2593" s="386"/>
      <c r="AC2593" s="481">
        <v>0</v>
      </c>
      <c r="AD2593" s="474"/>
      <c r="AE2593" s="482"/>
      <c r="AF2593" s="493">
        <f t="shared" si="458"/>
        <v>109824</v>
      </c>
      <c r="AG2593" s="474" t="s">
        <v>47</v>
      </c>
      <c r="AH2593" s="447"/>
      <c r="AI2593" s="474">
        <v>75</v>
      </c>
      <c r="AJ2593" s="474" t="s">
        <v>1575</v>
      </c>
      <c r="AK2593" s="474" t="s">
        <v>50</v>
      </c>
      <c r="AL2593" s="494">
        <v>94544</v>
      </c>
      <c r="AM2593" s="474" t="s">
        <v>52</v>
      </c>
      <c r="AN2593" s="474" t="s">
        <v>50</v>
      </c>
      <c r="AO2593" s="474"/>
      <c r="AP2593" s="474" t="s">
        <v>92</v>
      </c>
      <c r="AQ2593" s="474" t="s">
        <v>37</v>
      </c>
      <c r="AR2593" s="474"/>
      <c r="AS2593" s="387"/>
      <c r="AT2593" s="387"/>
      <c r="AU2593" s="471"/>
      <c r="AV2593" s="262" t="str">
        <f t="shared" si="454"/>
        <v>30390256H</v>
      </c>
      <c r="AW2593" s="262" cm="1">
        <f t="array" ref="AW2593">SUM(MID(0&amp;AV2593,LARGE(INDEX(ISNUMBER(--MID(AV2593,ROW($1:$8),1))*ROW($1:$8),),ROW($1:$8))+1,1)*10^ROW($1:$8)/10)</f>
        <v>30390256</v>
      </c>
      <c r="AX2593" s="262" t="str">
        <f>VLOOKUP($AW2593,'Item Master Data'!$A:$F,3,FALSE)</f>
        <v>T400H</v>
      </c>
      <c r="AY2593" s="262">
        <f>VLOOKUP($AW2593,'Item Master Data'!$A:$F,6,FALSE)</f>
        <v>400</v>
      </c>
      <c r="AZ2593" s="262">
        <f t="shared" si="455"/>
        <v>24</v>
      </c>
      <c r="BA2593" s="262">
        <f>VLOOKUP(AW2593,'Item Master Data'!$A:$G,7,FALSE)</f>
        <v>26</v>
      </c>
      <c r="BC2593" s="262">
        <f t="shared" si="456"/>
        <v>0</v>
      </c>
    </row>
    <row r="2594" spans="1:55">
      <c r="A2594" s="410"/>
      <c r="B2594" s="407"/>
      <c r="C2594" s="407"/>
      <c r="D2594" s="474" t="s">
        <v>1066</v>
      </c>
      <c r="E2594" s="388" t="s">
        <v>1122</v>
      </c>
      <c r="F2594" s="474" t="s">
        <v>1147</v>
      </c>
      <c r="G2594" s="474">
        <v>2022</v>
      </c>
      <c r="H2594" s="474">
        <v>3</v>
      </c>
      <c r="I2594" s="485">
        <v>127384</v>
      </c>
      <c r="J2594" s="475">
        <v>44636</v>
      </c>
      <c r="K2594" s="474" t="s">
        <v>1584</v>
      </c>
      <c r="L2594" s="475" t="s">
        <v>1561</v>
      </c>
      <c r="M2594" s="475">
        <v>44468</v>
      </c>
      <c r="N2594" s="475" t="s">
        <v>1571</v>
      </c>
      <c r="O2594" s="475"/>
      <c r="P2594" s="475">
        <v>44596</v>
      </c>
      <c r="Q2594" s="475">
        <v>44634</v>
      </c>
      <c r="R2594" s="475">
        <v>44636</v>
      </c>
      <c r="S2594" s="474" t="s">
        <v>1563</v>
      </c>
      <c r="T2594" s="474">
        <v>60</v>
      </c>
      <c r="U2594" s="474" t="s">
        <v>1573</v>
      </c>
      <c r="V2594" s="474" t="s">
        <v>1574</v>
      </c>
      <c r="W2594" s="476">
        <v>400</v>
      </c>
      <c r="X2594" s="402">
        <v>624</v>
      </c>
      <c r="Y2594" s="491">
        <f t="shared" si="453"/>
        <v>249600</v>
      </c>
      <c r="Z2594" s="478">
        <v>0.44</v>
      </c>
      <c r="AA2594" s="492">
        <f t="shared" si="457"/>
        <v>109824</v>
      </c>
      <c r="AB2594" s="386"/>
      <c r="AC2594" s="481">
        <v>0</v>
      </c>
      <c r="AD2594" s="474"/>
      <c r="AE2594" s="482"/>
      <c r="AF2594" s="493">
        <f t="shared" si="458"/>
        <v>109824</v>
      </c>
      <c r="AG2594" s="474" t="s">
        <v>47</v>
      </c>
      <c r="AH2594" s="447"/>
      <c r="AI2594" s="474">
        <v>75</v>
      </c>
      <c r="AJ2594" s="474" t="s">
        <v>1575</v>
      </c>
      <c r="AK2594" s="474" t="s">
        <v>50</v>
      </c>
      <c r="AL2594" s="494">
        <v>94544</v>
      </c>
      <c r="AM2594" s="474" t="s">
        <v>52</v>
      </c>
      <c r="AN2594" s="474" t="s">
        <v>1568</v>
      </c>
      <c r="AO2594" s="474"/>
      <c r="AP2594" s="474" t="s">
        <v>92</v>
      </c>
      <c r="AQ2594" s="474" t="s">
        <v>37</v>
      </c>
      <c r="AR2594" s="474"/>
      <c r="AS2594" s="387"/>
      <c r="AT2594" s="387"/>
      <c r="AU2594" s="471"/>
      <c r="AV2594" s="262" t="str">
        <f t="shared" si="454"/>
        <v>30390256C</v>
      </c>
      <c r="AW2594" s="262" cm="1">
        <f t="array" ref="AW2594">SUM(MID(0&amp;AV2594,LARGE(INDEX(ISNUMBER(--MID(AV2594,ROW($1:$8),1))*ROW($1:$8),),ROW($1:$8))+1,1)*10^ROW($1:$8)/10)</f>
        <v>30390256</v>
      </c>
      <c r="AX2594" s="262" t="str">
        <f>VLOOKUP($AW2594,'Item Master Data'!$A:$F,3,FALSE)</f>
        <v>T400H</v>
      </c>
      <c r="AY2594" s="262">
        <f>VLOOKUP($AW2594,'Item Master Data'!$A:$F,6,FALSE)</f>
        <v>400</v>
      </c>
      <c r="AZ2594" s="262">
        <f t="shared" si="455"/>
        <v>24</v>
      </c>
      <c r="BA2594" s="262">
        <f>VLOOKUP(AW2594,'Item Master Data'!$A:$G,7,FALSE)</f>
        <v>26</v>
      </c>
      <c r="BC2594" s="262">
        <f t="shared" si="456"/>
        <v>0</v>
      </c>
    </row>
    <row r="2595" spans="1:55">
      <c r="A2595" s="410"/>
      <c r="B2595" s="407"/>
      <c r="C2595" s="407"/>
      <c r="D2595" s="474" t="s">
        <v>1066</v>
      </c>
      <c r="E2595" s="388" t="s">
        <v>1122</v>
      </c>
      <c r="F2595" s="474" t="s">
        <v>1147</v>
      </c>
      <c r="G2595" s="474">
        <v>2022</v>
      </c>
      <c r="H2595" s="474">
        <v>3</v>
      </c>
      <c r="I2595" s="485">
        <v>127383</v>
      </c>
      <c r="J2595" s="475">
        <v>44636</v>
      </c>
      <c r="K2595" s="474" t="s">
        <v>1584</v>
      </c>
      <c r="L2595" s="475" t="s">
        <v>1561</v>
      </c>
      <c r="M2595" s="475">
        <v>44468</v>
      </c>
      <c r="N2595" s="475" t="s">
        <v>1571</v>
      </c>
      <c r="O2595" s="475"/>
      <c r="P2595" s="475">
        <v>44596</v>
      </c>
      <c r="Q2595" s="475">
        <v>44634</v>
      </c>
      <c r="R2595" s="475">
        <v>44636</v>
      </c>
      <c r="S2595" s="474" t="s">
        <v>1563</v>
      </c>
      <c r="T2595" s="474">
        <v>60</v>
      </c>
      <c r="U2595" s="474" t="s">
        <v>1573</v>
      </c>
      <c r="V2595" s="474" t="s">
        <v>1574</v>
      </c>
      <c r="W2595" s="476">
        <v>400</v>
      </c>
      <c r="X2595" s="402">
        <v>624</v>
      </c>
      <c r="Y2595" s="491">
        <f t="shared" si="453"/>
        <v>249600</v>
      </c>
      <c r="Z2595" s="478">
        <v>0.44</v>
      </c>
      <c r="AA2595" s="492">
        <f t="shared" si="457"/>
        <v>109824</v>
      </c>
      <c r="AB2595" s="386"/>
      <c r="AC2595" s="481">
        <v>0</v>
      </c>
      <c r="AD2595" s="474"/>
      <c r="AE2595" s="482"/>
      <c r="AF2595" s="493">
        <f t="shared" si="458"/>
        <v>109824</v>
      </c>
      <c r="AG2595" s="474" t="s">
        <v>47</v>
      </c>
      <c r="AH2595" s="447"/>
      <c r="AI2595" s="474">
        <v>75</v>
      </c>
      <c r="AJ2595" s="474" t="s">
        <v>1575</v>
      </c>
      <c r="AK2595" s="474" t="s">
        <v>50</v>
      </c>
      <c r="AL2595" s="494">
        <v>94544</v>
      </c>
      <c r="AM2595" s="474" t="s">
        <v>52</v>
      </c>
      <c r="AN2595" s="474" t="s">
        <v>1568</v>
      </c>
      <c r="AO2595" s="474"/>
      <c r="AP2595" s="474" t="s">
        <v>92</v>
      </c>
      <c r="AQ2595" s="474" t="s">
        <v>37</v>
      </c>
      <c r="AR2595" s="474"/>
      <c r="AS2595" s="387"/>
      <c r="AT2595" s="387"/>
      <c r="AU2595" s="471"/>
      <c r="AV2595" s="262" t="str">
        <f t="shared" si="454"/>
        <v>30390256C</v>
      </c>
      <c r="AW2595" s="262" cm="1">
        <f t="array" ref="AW2595">SUM(MID(0&amp;AV2595,LARGE(INDEX(ISNUMBER(--MID(AV2595,ROW($1:$8),1))*ROW($1:$8),),ROW($1:$8))+1,1)*10^ROW($1:$8)/10)</f>
        <v>30390256</v>
      </c>
      <c r="AX2595" s="262" t="str">
        <f>VLOOKUP($AW2595,'Item Master Data'!$A:$F,3,FALSE)</f>
        <v>T400H</v>
      </c>
      <c r="AY2595" s="262">
        <f>VLOOKUP($AW2595,'Item Master Data'!$A:$F,6,FALSE)</f>
        <v>400</v>
      </c>
      <c r="AZ2595" s="262">
        <f t="shared" si="455"/>
        <v>24</v>
      </c>
      <c r="BA2595" s="262">
        <f>VLOOKUP(AW2595,'Item Master Data'!$A:$G,7,FALSE)</f>
        <v>26</v>
      </c>
      <c r="BC2595" s="262">
        <f t="shared" si="456"/>
        <v>0</v>
      </c>
    </row>
    <row r="2596" spans="1:55">
      <c r="A2596" s="410"/>
      <c r="B2596" s="407"/>
      <c r="C2596" s="407"/>
      <c r="D2596" s="474" t="s">
        <v>1066</v>
      </c>
      <c r="E2596" s="388" t="s">
        <v>1122</v>
      </c>
      <c r="F2596" s="474" t="s">
        <v>1147</v>
      </c>
      <c r="G2596" s="474">
        <v>2022</v>
      </c>
      <c r="H2596" s="474">
        <v>3</v>
      </c>
      <c r="I2596" s="485">
        <v>127381</v>
      </c>
      <c r="J2596" s="475">
        <v>44636</v>
      </c>
      <c r="K2596" s="474" t="s">
        <v>1584</v>
      </c>
      <c r="L2596" s="475" t="s">
        <v>1561</v>
      </c>
      <c r="M2596" s="475">
        <v>44468</v>
      </c>
      <c r="N2596" s="475" t="s">
        <v>1571</v>
      </c>
      <c r="O2596" s="475"/>
      <c r="P2596" s="475">
        <v>44596</v>
      </c>
      <c r="Q2596" s="475">
        <v>44634</v>
      </c>
      <c r="R2596" s="475">
        <v>44636</v>
      </c>
      <c r="S2596" s="474" t="s">
        <v>1563</v>
      </c>
      <c r="T2596" s="474">
        <v>60</v>
      </c>
      <c r="U2596" s="474" t="s">
        <v>1573</v>
      </c>
      <c r="V2596" s="474" t="s">
        <v>1574</v>
      </c>
      <c r="W2596" s="476">
        <v>400</v>
      </c>
      <c r="X2596" s="402">
        <v>624</v>
      </c>
      <c r="Y2596" s="491">
        <f t="shared" si="453"/>
        <v>249600</v>
      </c>
      <c r="Z2596" s="478">
        <v>0.44</v>
      </c>
      <c r="AA2596" s="492">
        <f t="shared" si="457"/>
        <v>109824</v>
      </c>
      <c r="AB2596" s="386"/>
      <c r="AC2596" s="481">
        <v>0</v>
      </c>
      <c r="AD2596" s="474"/>
      <c r="AE2596" s="482"/>
      <c r="AF2596" s="493">
        <f t="shared" si="458"/>
        <v>109824</v>
      </c>
      <c r="AG2596" s="474" t="s">
        <v>47</v>
      </c>
      <c r="AH2596" s="447"/>
      <c r="AI2596" s="474">
        <v>75</v>
      </c>
      <c r="AJ2596" s="474" t="s">
        <v>1575</v>
      </c>
      <c r="AK2596" s="474" t="s">
        <v>50</v>
      </c>
      <c r="AL2596" s="494">
        <v>94544</v>
      </c>
      <c r="AM2596" s="474" t="s">
        <v>52</v>
      </c>
      <c r="AN2596" s="474" t="s">
        <v>1568</v>
      </c>
      <c r="AO2596" s="474"/>
      <c r="AP2596" s="474" t="s">
        <v>92</v>
      </c>
      <c r="AQ2596" s="474" t="s">
        <v>37</v>
      </c>
      <c r="AR2596" s="474"/>
      <c r="AS2596" s="387"/>
      <c r="AT2596" s="387"/>
      <c r="AU2596" s="471"/>
    </row>
    <row r="2597" spans="1:55">
      <c r="A2597" s="410"/>
      <c r="B2597" s="407"/>
      <c r="C2597" s="407"/>
      <c r="D2597" s="474" t="s">
        <v>1066</v>
      </c>
      <c r="E2597" s="388" t="s">
        <v>1122</v>
      </c>
      <c r="F2597" s="474" t="s">
        <v>1147</v>
      </c>
      <c r="G2597" s="474">
        <v>2022</v>
      </c>
      <c r="H2597" s="474">
        <v>3</v>
      </c>
      <c r="I2597" s="485">
        <v>127382</v>
      </c>
      <c r="J2597" s="475">
        <v>44636</v>
      </c>
      <c r="K2597" s="474" t="s">
        <v>1584</v>
      </c>
      <c r="L2597" s="475" t="s">
        <v>1561</v>
      </c>
      <c r="M2597" s="475">
        <v>44468</v>
      </c>
      <c r="N2597" s="475" t="s">
        <v>1571</v>
      </c>
      <c r="O2597" s="475"/>
      <c r="P2597" s="475">
        <v>44596</v>
      </c>
      <c r="Q2597" s="475">
        <v>44634</v>
      </c>
      <c r="R2597" s="475">
        <v>44636</v>
      </c>
      <c r="S2597" s="474" t="s">
        <v>1563</v>
      </c>
      <c r="T2597" s="474">
        <v>60</v>
      </c>
      <c r="U2597" s="474" t="s">
        <v>1573</v>
      </c>
      <c r="V2597" s="474" t="s">
        <v>1574</v>
      </c>
      <c r="W2597" s="476">
        <v>400</v>
      </c>
      <c r="X2597" s="402">
        <v>624</v>
      </c>
      <c r="Y2597" s="491">
        <f t="shared" si="453"/>
        <v>249600</v>
      </c>
      <c r="Z2597" s="478">
        <v>0.44</v>
      </c>
      <c r="AA2597" s="492">
        <f t="shared" si="457"/>
        <v>109824</v>
      </c>
      <c r="AB2597" s="386"/>
      <c r="AC2597" s="481">
        <v>0</v>
      </c>
      <c r="AD2597" s="474"/>
      <c r="AE2597" s="482"/>
      <c r="AF2597" s="493">
        <f t="shared" si="458"/>
        <v>109824</v>
      </c>
      <c r="AG2597" s="474" t="s">
        <v>47</v>
      </c>
      <c r="AH2597" s="447"/>
      <c r="AI2597" s="474">
        <v>75</v>
      </c>
      <c r="AJ2597" s="474" t="s">
        <v>1575</v>
      </c>
      <c r="AK2597" s="474" t="s">
        <v>50</v>
      </c>
      <c r="AL2597" s="494">
        <v>94544</v>
      </c>
      <c r="AM2597" s="474" t="s">
        <v>52</v>
      </c>
      <c r="AN2597" s="474" t="s">
        <v>1568</v>
      </c>
      <c r="AO2597" s="474"/>
      <c r="AP2597" s="474" t="s">
        <v>92</v>
      </c>
      <c r="AQ2597" s="474" t="s">
        <v>37</v>
      </c>
      <c r="AR2597" s="474"/>
      <c r="AS2597" s="387"/>
      <c r="AT2597" s="387"/>
      <c r="AU2597" s="471"/>
    </row>
    <row r="2598" spans="1:55">
      <c r="A2598" s="410"/>
      <c r="B2598" s="407"/>
      <c r="C2598" s="407"/>
      <c r="D2598" s="474" t="s">
        <v>1066</v>
      </c>
      <c r="E2598" s="388" t="s">
        <v>1122</v>
      </c>
      <c r="F2598" s="474" t="s">
        <v>1147</v>
      </c>
      <c r="G2598" s="474">
        <v>2022</v>
      </c>
      <c r="H2598" s="474">
        <v>3</v>
      </c>
      <c r="I2598" s="485">
        <v>127387</v>
      </c>
      <c r="J2598" s="475">
        <v>44638</v>
      </c>
      <c r="K2598" s="474" t="s">
        <v>1584</v>
      </c>
      <c r="L2598" s="475" t="s">
        <v>1561</v>
      </c>
      <c r="M2598" s="475">
        <v>44468</v>
      </c>
      <c r="N2598" s="475" t="s">
        <v>1571</v>
      </c>
      <c r="O2598" s="475"/>
      <c r="P2598" s="475">
        <v>44596</v>
      </c>
      <c r="Q2598" s="475">
        <v>44637</v>
      </c>
      <c r="R2598" s="475">
        <v>44638</v>
      </c>
      <c r="S2598" s="474" t="s">
        <v>1563</v>
      </c>
      <c r="T2598" s="474">
        <v>60</v>
      </c>
      <c r="U2598" s="474" t="s">
        <v>1573</v>
      </c>
      <c r="V2598" s="474" t="s">
        <v>1574</v>
      </c>
      <c r="W2598" s="476">
        <v>400</v>
      </c>
      <c r="X2598" s="402">
        <v>624</v>
      </c>
      <c r="Y2598" s="491">
        <f t="shared" si="453"/>
        <v>249600</v>
      </c>
      <c r="Z2598" s="478">
        <v>0.44</v>
      </c>
      <c r="AA2598" s="492">
        <f t="shared" si="457"/>
        <v>109824</v>
      </c>
      <c r="AB2598" s="386"/>
      <c r="AC2598" s="481">
        <v>0</v>
      </c>
      <c r="AD2598" s="474"/>
      <c r="AE2598" s="482"/>
      <c r="AF2598" s="493">
        <f t="shared" si="458"/>
        <v>109824</v>
      </c>
      <c r="AG2598" s="474" t="s">
        <v>47</v>
      </c>
      <c r="AH2598" s="447"/>
      <c r="AI2598" s="474">
        <v>75</v>
      </c>
      <c r="AJ2598" s="474" t="s">
        <v>1575</v>
      </c>
      <c r="AK2598" s="474" t="s">
        <v>50</v>
      </c>
      <c r="AL2598" s="494">
        <v>94544</v>
      </c>
      <c r="AM2598" s="474" t="s">
        <v>52</v>
      </c>
      <c r="AN2598" s="474" t="s">
        <v>1568</v>
      </c>
      <c r="AO2598" s="474"/>
      <c r="AP2598" s="474" t="s">
        <v>92</v>
      </c>
      <c r="AQ2598" s="474" t="s">
        <v>37</v>
      </c>
      <c r="AR2598" s="474"/>
      <c r="AS2598" s="387"/>
      <c r="AT2598" s="387"/>
      <c r="AU2598" s="471"/>
    </row>
    <row r="2599" spans="1:55">
      <c r="A2599" s="410"/>
      <c r="B2599" s="407"/>
      <c r="C2599" s="407"/>
      <c r="D2599" s="474" t="s">
        <v>1066</v>
      </c>
      <c r="E2599" s="388"/>
      <c r="F2599" s="474" t="s">
        <v>1147</v>
      </c>
      <c r="G2599" s="474">
        <v>2022</v>
      </c>
      <c r="H2599" s="474">
        <v>3</v>
      </c>
      <c r="I2599" s="485">
        <v>127361</v>
      </c>
      <c r="J2599" s="475">
        <v>44637</v>
      </c>
      <c r="K2599" s="474" t="s">
        <v>1594</v>
      </c>
      <c r="L2599" s="475" t="s">
        <v>1561</v>
      </c>
      <c r="M2599" s="475">
        <v>44468</v>
      </c>
      <c r="N2599" s="475" t="s">
        <v>1586</v>
      </c>
      <c r="O2599" s="475"/>
      <c r="P2599" s="475">
        <v>44623</v>
      </c>
      <c r="Q2599" s="475">
        <v>44637</v>
      </c>
      <c r="R2599" s="475">
        <v>44637</v>
      </c>
      <c r="S2599" s="474" t="s">
        <v>1563</v>
      </c>
      <c r="T2599" s="474">
        <v>60</v>
      </c>
      <c r="U2599" s="474" t="s">
        <v>1595</v>
      </c>
      <c r="V2599" s="474" t="s">
        <v>1574</v>
      </c>
      <c r="W2599" s="476">
        <v>400</v>
      </c>
      <c r="X2599" s="402">
        <v>624</v>
      </c>
      <c r="Y2599" s="491">
        <f t="shared" si="453"/>
        <v>249600</v>
      </c>
      <c r="Z2599" s="478">
        <v>0.44</v>
      </c>
      <c r="AA2599" s="479">
        <f t="shared" si="457"/>
        <v>109824</v>
      </c>
      <c r="AB2599" s="386"/>
      <c r="AC2599" s="481">
        <v>0</v>
      </c>
      <c r="AD2599" s="474"/>
      <c r="AE2599" s="482"/>
      <c r="AF2599" s="493">
        <f t="shared" si="458"/>
        <v>109824</v>
      </c>
      <c r="AG2599" s="501" t="s">
        <v>47</v>
      </c>
      <c r="AH2599" s="409"/>
      <c r="AI2599" s="501">
        <v>75</v>
      </c>
      <c r="AJ2599" s="501" t="s">
        <v>1575</v>
      </c>
      <c r="AK2599" s="501" t="s">
        <v>50</v>
      </c>
      <c r="AL2599" s="509">
        <v>94544</v>
      </c>
      <c r="AM2599" s="501" t="s">
        <v>52</v>
      </c>
      <c r="AN2599" s="501" t="s">
        <v>50</v>
      </c>
      <c r="AO2599" s="474"/>
      <c r="AP2599" s="474" t="s">
        <v>92</v>
      </c>
      <c r="AQ2599" s="474" t="s">
        <v>37</v>
      </c>
      <c r="AR2599" s="474"/>
      <c r="AS2599" s="387"/>
      <c r="AT2599" s="387"/>
      <c r="AU2599" s="471"/>
    </row>
    <row r="2600" spans="1:55">
      <c r="A2600" s="410"/>
      <c r="B2600" s="407"/>
      <c r="C2600" s="407"/>
      <c r="D2600" s="474" t="s">
        <v>1066</v>
      </c>
      <c r="E2600" s="388"/>
      <c r="F2600" s="474" t="s">
        <v>1147</v>
      </c>
      <c r="G2600" s="474">
        <v>2022</v>
      </c>
      <c r="H2600" s="474">
        <v>3</v>
      </c>
      <c r="I2600" s="485">
        <v>127360</v>
      </c>
      <c r="J2600" s="475">
        <v>44638</v>
      </c>
      <c r="K2600" s="474" t="s">
        <v>1594</v>
      </c>
      <c r="L2600" s="475" t="s">
        <v>1561</v>
      </c>
      <c r="M2600" s="475">
        <v>44468</v>
      </c>
      <c r="N2600" s="475" t="s">
        <v>1586</v>
      </c>
      <c r="O2600" s="475"/>
      <c r="P2600" s="475">
        <v>44623</v>
      </c>
      <c r="Q2600" s="475">
        <v>44637</v>
      </c>
      <c r="R2600" s="475">
        <v>44638</v>
      </c>
      <c r="S2600" s="474" t="s">
        <v>1563</v>
      </c>
      <c r="T2600" s="474">
        <v>60</v>
      </c>
      <c r="U2600" s="474" t="s">
        <v>1595</v>
      </c>
      <c r="V2600" s="474" t="s">
        <v>1574</v>
      </c>
      <c r="W2600" s="476">
        <v>400</v>
      </c>
      <c r="X2600" s="402">
        <v>624</v>
      </c>
      <c r="Y2600" s="491">
        <f t="shared" si="453"/>
        <v>249600</v>
      </c>
      <c r="Z2600" s="478">
        <v>0.44</v>
      </c>
      <c r="AA2600" s="479">
        <f t="shared" si="457"/>
        <v>109824</v>
      </c>
      <c r="AB2600" s="386"/>
      <c r="AC2600" s="481">
        <v>0</v>
      </c>
      <c r="AD2600" s="474"/>
      <c r="AE2600" s="482"/>
      <c r="AF2600" s="493">
        <f t="shared" si="458"/>
        <v>109824</v>
      </c>
      <c r="AG2600" s="501" t="s">
        <v>47</v>
      </c>
      <c r="AH2600" s="409"/>
      <c r="AI2600" s="501">
        <v>75</v>
      </c>
      <c r="AJ2600" s="501" t="s">
        <v>1575</v>
      </c>
      <c r="AK2600" s="501" t="s">
        <v>50</v>
      </c>
      <c r="AL2600" s="509">
        <v>94544</v>
      </c>
      <c r="AM2600" s="501" t="s">
        <v>52</v>
      </c>
      <c r="AN2600" s="501" t="s">
        <v>50</v>
      </c>
      <c r="AO2600" s="474"/>
      <c r="AP2600" s="474" t="s">
        <v>92</v>
      </c>
      <c r="AQ2600" s="474" t="s">
        <v>37</v>
      </c>
      <c r="AR2600" s="474"/>
      <c r="AS2600" s="387"/>
      <c r="AT2600" s="387"/>
      <c r="AU2600" s="471"/>
    </row>
    <row r="2601" spans="1:55">
      <c r="A2601" s="410"/>
      <c r="B2601" s="407"/>
      <c r="C2601" s="407"/>
      <c r="D2601" s="474" t="s">
        <v>1066</v>
      </c>
      <c r="E2601" s="388"/>
      <c r="F2601" s="474" t="s">
        <v>1147</v>
      </c>
      <c r="G2601" s="474">
        <v>2022</v>
      </c>
      <c r="H2601" s="474">
        <v>3</v>
      </c>
      <c r="I2601" s="485">
        <v>127359</v>
      </c>
      <c r="J2601" s="475">
        <v>44638</v>
      </c>
      <c r="K2601" s="474" t="s">
        <v>1594</v>
      </c>
      <c r="L2601" s="475" t="s">
        <v>1561</v>
      </c>
      <c r="M2601" s="475">
        <v>44468</v>
      </c>
      <c r="N2601" s="475" t="s">
        <v>1586</v>
      </c>
      <c r="O2601" s="475"/>
      <c r="P2601" s="475">
        <v>44623</v>
      </c>
      <c r="Q2601" s="475">
        <v>44638</v>
      </c>
      <c r="R2601" s="475">
        <v>44638</v>
      </c>
      <c r="S2601" s="474" t="s">
        <v>1563</v>
      </c>
      <c r="T2601" s="474">
        <v>60</v>
      </c>
      <c r="U2601" s="474" t="s">
        <v>1595</v>
      </c>
      <c r="V2601" s="474" t="s">
        <v>1574</v>
      </c>
      <c r="W2601" s="476">
        <v>400</v>
      </c>
      <c r="X2601" s="402">
        <v>624</v>
      </c>
      <c r="Y2601" s="491">
        <f t="shared" si="453"/>
        <v>249600</v>
      </c>
      <c r="Z2601" s="478">
        <v>0.44</v>
      </c>
      <c r="AA2601" s="479">
        <f t="shared" si="457"/>
        <v>109824</v>
      </c>
      <c r="AB2601" s="386"/>
      <c r="AC2601" s="481">
        <v>0</v>
      </c>
      <c r="AD2601" s="474"/>
      <c r="AE2601" s="482"/>
      <c r="AF2601" s="493">
        <f t="shared" si="458"/>
        <v>109824</v>
      </c>
      <c r="AG2601" s="501" t="s">
        <v>47</v>
      </c>
      <c r="AH2601" s="409"/>
      <c r="AI2601" s="501">
        <v>75</v>
      </c>
      <c r="AJ2601" s="501" t="s">
        <v>1575</v>
      </c>
      <c r="AK2601" s="501" t="s">
        <v>50</v>
      </c>
      <c r="AL2601" s="509">
        <v>94544</v>
      </c>
      <c r="AM2601" s="501" t="s">
        <v>52</v>
      </c>
      <c r="AN2601" s="501" t="s">
        <v>50</v>
      </c>
      <c r="AO2601" s="474"/>
      <c r="AP2601" s="474" t="s">
        <v>92</v>
      </c>
      <c r="AQ2601" s="474" t="s">
        <v>37</v>
      </c>
      <c r="AR2601" s="474"/>
      <c r="AS2601" s="387"/>
      <c r="AT2601" s="387"/>
      <c r="AU2601" s="471"/>
    </row>
    <row r="2602" spans="1:55">
      <c r="A2602" s="410"/>
      <c r="B2602" s="407"/>
      <c r="C2602" s="407"/>
      <c r="D2602" s="474" t="s">
        <v>1066</v>
      </c>
      <c r="E2602" s="388"/>
      <c r="F2602" s="474" t="s">
        <v>1147</v>
      </c>
      <c r="G2602" s="474">
        <v>2022</v>
      </c>
      <c r="H2602" s="474">
        <v>3</v>
      </c>
      <c r="I2602" s="485">
        <v>127358</v>
      </c>
      <c r="J2602" s="475">
        <v>44638</v>
      </c>
      <c r="K2602" s="474" t="s">
        <v>1594</v>
      </c>
      <c r="L2602" s="475" t="s">
        <v>1561</v>
      </c>
      <c r="M2602" s="475">
        <v>44468</v>
      </c>
      <c r="N2602" s="475" t="s">
        <v>1586</v>
      </c>
      <c r="O2602" s="475"/>
      <c r="P2602" s="475">
        <v>44623</v>
      </c>
      <c r="Q2602" s="475">
        <v>44638</v>
      </c>
      <c r="R2602" s="475">
        <v>44638</v>
      </c>
      <c r="S2602" s="474" t="s">
        <v>1563</v>
      </c>
      <c r="T2602" s="474">
        <v>60</v>
      </c>
      <c r="U2602" s="474" t="s">
        <v>1595</v>
      </c>
      <c r="V2602" s="474" t="s">
        <v>1574</v>
      </c>
      <c r="W2602" s="476">
        <v>400</v>
      </c>
      <c r="X2602" s="402">
        <v>624</v>
      </c>
      <c r="Y2602" s="491">
        <f t="shared" si="453"/>
        <v>249600</v>
      </c>
      <c r="Z2602" s="478">
        <v>0.44</v>
      </c>
      <c r="AA2602" s="479">
        <f t="shared" si="457"/>
        <v>109824</v>
      </c>
      <c r="AB2602" s="386"/>
      <c r="AC2602" s="481">
        <v>0</v>
      </c>
      <c r="AD2602" s="474"/>
      <c r="AE2602" s="482"/>
      <c r="AF2602" s="493">
        <f t="shared" si="458"/>
        <v>109824</v>
      </c>
      <c r="AG2602" s="501" t="s">
        <v>47</v>
      </c>
      <c r="AH2602" s="409"/>
      <c r="AI2602" s="501">
        <v>75</v>
      </c>
      <c r="AJ2602" s="501" t="s">
        <v>1575</v>
      </c>
      <c r="AK2602" s="501" t="s">
        <v>50</v>
      </c>
      <c r="AL2602" s="509">
        <v>94544</v>
      </c>
      <c r="AM2602" s="501" t="s">
        <v>52</v>
      </c>
      <c r="AN2602" s="501" t="s">
        <v>50</v>
      </c>
      <c r="AO2602" s="474"/>
      <c r="AP2602" s="474" t="s">
        <v>92</v>
      </c>
      <c r="AQ2602" s="474" t="s">
        <v>37</v>
      </c>
      <c r="AR2602" s="474"/>
      <c r="AS2602" s="387"/>
      <c r="AT2602" s="387"/>
      <c r="AU2602" s="471"/>
    </row>
    <row r="2603" spans="1:55">
      <c r="A2603" s="410"/>
      <c r="B2603" s="407"/>
      <c r="C2603" s="407"/>
      <c r="D2603" s="474" t="s">
        <v>1066</v>
      </c>
      <c r="E2603" s="388"/>
      <c r="F2603" s="474" t="s">
        <v>1147</v>
      </c>
      <c r="G2603" s="474">
        <v>2022</v>
      </c>
      <c r="H2603" s="474">
        <v>3</v>
      </c>
      <c r="I2603" s="485">
        <v>127357</v>
      </c>
      <c r="J2603" s="475">
        <v>44638</v>
      </c>
      <c r="K2603" s="474" t="s">
        <v>1594</v>
      </c>
      <c r="L2603" s="475" t="s">
        <v>1561</v>
      </c>
      <c r="M2603" s="475">
        <v>44468</v>
      </c>
      <c r="N2603" s="475" t="s">
        <v>1586</v>
      </c>
      <c r="O2603" s="475"/>
      <c r="P2603" s="475">
        <v>44623</v>
      </c>
      <c r="Q2603" s="475">
        <v>44638</v>
      </c>
      <c r="R2603" s="475">
        <v>44638</v>
      </c>
      <c r="S2603" s="474" t="s">
        <v>1563</v>
      </c>
      <c r="T2603" s="474">
        <v>60</v>
      </c>
      <c r="U2603" s="474" t="s">
        <v>1595</v>
      </c>
      <c r="V2603" s="474" t="s">
        <v>1574</v>
      </c>
      <c r="W2603" s="476">
        <v>400</v>
      </c>
      <c r="X2603" s="402">
        <v>624</v>
      </c>
      <c r="Y2603" s="491">
        <f t="shared" si="453"/>
        <v>249600</v>
      </c>
      <c r="Z2603" s="478">
        <v>0.44</v>
      </c>
      <c r="AA2603" s="479">
        <f t="shared" si="457"/>
        <v>109824</v>
      </c>
      <c r="AB2603" s="386"/>
      <c r="AC2603" s="481">
        <v>0</v>
      </c>
      <c r="AD2603" s="474"/>
      <c r="AE2603" s="482"/>
      <c r="AF2603" s="493">
        <f t="shared" si="458"/>
        <v>109824</v>
      </c>
      <c r="AG2603" s="501" t="s">
        <v>47</v>
      </c>
      <c r="AH2603" s="409"/>
      <c r="AI2603" s="501">
        <v>75</v>
      </c>
      <c r="AJ2603" s="501" t="s">
        <v>1575</v>
      </c>
      <c r="AK2603" s="501" t="s">
        <v>50</v>
      </c>
      <c r="AL2603" s="509">
        <v>94544</v>
      </c>
      <c r="AM2603" s="501" t="s">
        <v>52</v>
      </c>
      <c r="AN2603" s="501" t="s">
        <v>50</v>
      </c>
      <c r="AO2603" s="474"/>
      <c r="AP2603" s="474" t="s">
        <v>92</v>
      </c>
      <c r="AQ2603" s="474" t="s">
        <v>37</v>
      </c>
      <c r="AR2603" s="474"/>
      <c r="AS2603" s="387"/>
      <c r="AT2603" s="387"/>
      <c r="AU2603" s="471"/>
    </row>
    <row r="2604" spans="1:55">
      <c r="A2604" s="410"/>
      <c r="B2604" s="407"/>
      <c r="C2604" s="407"/>
      <c r="D2604" s="474" t="s">
        <v>1066</v>
      </c>
      <c r="E2604" s="388" t="s">
        <v>1122</v>
      </c>
      <c r="F2604" s="474" t="s">
        <v>1147</v>
      </c>
      <c r="G2604" s="474">
        <v>2022</v>
      </c>
      <c r="H2604" s="474">
        <v>3</v>
      </c>
      <c r="I2604" s="485">
        <v>127386</v>
      </c>
      <c r="J2604" s="475">
        <v>44638</v>
      </c>
      <c r="K2604" s="474" t="s">
        <v>1584</v>
      </c>
      <c r="L2604" s="475" t="s">
        <v>1561</v>
      </c>
      <c r="M2604" s="475">
        <v>44468</v>
      </c>
      <c r="N2604" s="475" t="s">
        <v>1571</v>
      </c>
      <c r="O2604" s="475"/>
      <c r="P2604" s="475">
        <v>44596</v>
      </c>
      <c r="Q2604" s="475">
        <v>44636</v>
      </c>
      <c r="R2604" s="475">
        <v>44638</v>
      </c>
      <c r="S2604" s="474" t="s">
        <v>1563</v>
      </c>
      <c r="T2604" s="474">
        <v>60</v>
      </c>
      <c r="U2604" s="474" t="s">
        <v>1573</v>
      </c>
      <c r="V2604" s="474" t="s">
        <v>1574</v>
      </c>
      <c r="W2604" s="476">
        <v>400</v>
      </c>
      <c r="X2604" s="402">
        <v>624</v>
      </c>
      <c r="Y2604" s="491">
        <f t="shared" si="453"/>
        <v>249600</v>
      </c>
      <c r="Z2604" s="478">
        <v>0.44</v>
      </c>
      <c r="AA2604" s="492">
        <f t="shared" si="457"/>
        <v>109824</v>
      </c>
      <c r="AB2604" s="386"/>
      <c r="AC2604" s="481">
        <v>0</v>
      </c>
      <c r="AD2604" s="474"/>
      <c r="AE2604" s="482"/>
      <c r="AF2604" s="493">
        <f t="shared" si="458"/>
        <v>109824</v>
      </c>
      <c r="AG2604" s="474" t="s">
        <v>47</v>
      </c>
      <c r="AH2604" s="447"/>
      <c r="AI2604" s="474">
        <v>75</v>
      </c>
      <c r="AJ2604" s="474" t="s">
        <v>1575</v>
      </c>
      <c r="AK2604" s="474" t="s">
        <v>50</v>
      </c>
      <c r="AL2604" s="494">
        <v>94544</v>
      </c>
      <c r="AM2604" s="474" t="s">
        <v>52</v>
      </c>
      <c r="AN2604" s="474" t="s">
        <v>1568</v>
      </c>
      <c r="AO2604" s="474"/>
      <c r="AP2604" s="474" t="s">
        <v>92</v>
      </c>
      <c r="AQ2604" s="474" t="s">
        <v>37</v>
      </c>
      <c r="AR2604" s="474"/>
      <c r="AS2604" s="387"/>
      <c r="AT2604" s="387"/>
      <c r="AU2604" s="471"/>
    </row>
    <row r="2605" spans="1:55">
      <c r="A2605" s="410"/>
      <c r="B2605" s="407"/>
      <c r="C2605" s="407"/>
      <c r="D2605" s="474" t="s">
        <v>1066</v>
      </c>
      <c r="E2605" s="388" t="s">
        <v>1122</v>
      </c>
      <c r="F2605" s="474" t="s">
        <v>1147</v>
      </c>
      <c r="G2605" s="474">
        <v>2022</v>
      </c>
      <c r="H2605" s="474">
        <v>3</v>
      </c>
      <c r="I2605" s="485">
        <v>127390</v>
      </c>
      <c r="J2605" s="475">
        <v>44641</v>
      </c>
      <c r="K2605" s="474" t="s">
        <v>1584</v>
      </c>
      <c r="L2605" s="475" t="s">
        <v>1561</v>
      </c>
      <c r="M2605" s="475">
        <v>44468</v>
      </c>
      <c r="N2605" s="475" t="s">
        <v>1571</v>
      </c>
      <c r="O2605" s="475"/>
      <c r="P2605" s="475">
        <v>44596</v>
      </c>
      <c r="Q2605" s="475">
        <v>44638</v>
      </c>
      <c r="R2605" s="475">
        <v>44641</v>
      </c>
      <c r="S2605" s="474" t="s">
        <v>1563</v>
      </c>
      <c r="T2605" s="474">
        <v>60</v>
      </c>
      <c r="U2605" s="474" t="s">
        <v>1573</v>
      </c>
      <c r="V2605" s="474" t="s">
        <v>1574</v>
      </c>
      <c r="W2605" s="476">
        <v>400</v>
      </c>
      <c r="X2605" s="402">
        <v>624</v>
      </c>
      <c r="Y2605" s="491">
        <f t="shared" si="453"/>
        <v>249600</v>
      </c>
      <c r="Z2605" s="478">
        <v>0.44</v>
      </c>
      <c r="AA2605" s="492">
        <f t="shared" si="457"/>
        <v>109824</v>
      </c>
      <c r="AB2605" s="386"/>
      <c r="AC2605" s="481">
        <v>0</v>
      </c>
      <c r="AD2605" s="474"/>
      <c r="AE2605" s="482"/>
      <c r="AF2605" s="493">
        <f t="shared" si="458"/>
        <v>109824</v>
      </c>
      <c r="AG2605" s="474" t="s">
        <v>47</v>
      </c>
      <c r="AH2605" s="447"/>
      <c r="AI2605" s="474">
        <v>75</v>
      </c>
      <c r="AJ2605" s="474" t="s">
        <v>1575</v>
      </c>
      <c r="AK2605" s="474" t="s">
        <v>50</v>
      </c>
      <c r="AL2605" s="494">
        <v>94544</v>
      </c>
      <c r="AM2605" s="474" t="s">
        <v>52</v>
      </c>
      <c r="AN2605" s="474" t="s">
        <v>1568</v>
      </c>
      <c r="AO2605" s="474"/>
      <c r="AP2605" s="474" t="s">
        <v>92</v>
      </c>
      <c r="AQ2605" s="474" t="s">
        <v>37</v>
      </c>
      <c r="AR2605" s="474"/>
      <c r="AS2605" s="387"/>
      <c r="AT2605" s="387"/>
      <c r="AU2605" s="471"/>
    </row>
    <row r="2606" spans="1:55">
      <c r="A2606" s="410"/>
      <c r="B2606" s="407"/>
      <c r="C2606" s="407"/>
      <c r="D2606" s="474" t="s">
        <v>1066</v>
      </c>
      <c r="E2606" s="388" t="s">
        <v>1122</v>
      </c>
      <c r="F2606" s="474" t="s">
        <v>1147</v>
      </c>
      <c r="G2606" s="474">
        <v>2022</v>
      </c>
      <c r="H2606" s="474">
        <v>3</v>
      </c>
      <c r="I2606" s="485">
        <v>127388</v>
      </c>
      <c r="J2606" s="475">
        <v>44641</v>
      </c>
      <c r="K2606" s="474" t="s">
        <v>1584</v>
      </c>
      <c r="L2606" s="475" t="s">
        <v>1561</v>
      </c>
      <c r="M2606" s="475">
        <v>44468</v>
      </c>
      <c r="N2606" s="475" t="s">
        <v>1571</v>
      </c>
      <c r="O2606" s="475"/>
      <c r="P2606" s="475">
        <v>44596</v>
      </c>
      <c r="Q2606" s="475">
        <v>44638</v>
      </c>
      <c r="R2606" s="475">
        <v>44641</v>
      </c>
      <c r="S2606" s="474" t="s">
        <v>1563</v>
      </c>
      <c r="T2606" s="474">
        <v>60</v>
      </c>
      <c r="U2606" s="474" t="s">
        <v>1573</v>
      </c>
      <c r="V2606" s="474" t="s">
        <v>1574</v>
      </c>
      <c r="W2606" s="476">
        <v>400</v>
      </c>
      <c r="X2606" s="402">
        <v>624</v>
      </c>
      <c r="Y2606" s="491">
        <f t="shared" si="453"/>
        <v>249600</v>
      </c>
      <c r="Z2606" s="478">
        <v>0.44</v>
      </c>
      <c r="AA2606" s="492">
        <f t="shared" si="457"/>
        <v>109824</v>
      </c>
      <c r="AB2606" s="386"/>
      <c r="AC2606" s="481">
        <v>0</v>
      </c>
      <c r="AD2606" s="474"/>
      <c r="AE2606" s="482"/>
      <c r="AF2606" s="493">
        <f t="shared" si="458"/>
        <v>109824</v>
      </c>
      <c r="AG2606" s="474" t="s">
        <v>47</v>
      </c>
      <c r="AH2606" s="447"/>
      <c r="AI2606" s="474">
        <v>75</v>
      </c>
      <c r="AJ2606" s="474" t="s">
        <v>1575</v>
      </c>
      <c r="AK2606" s="474" t="s">
        <v>50</v>
      </c>
      <c r="AL2606" s="494">
        <v>94544</v>
      </c>
      <c r="AM2606" s="474" t="s">
        <v>52</v>
      </c>
      <c r="AN2606" s="474" t="s">
        <v>1568</v>
      </c>
      <c r="AO2606" s="474"/>
      <c r="AP2606" s="474" t="s">
        <v>92</v>
      </c>
      <c r="AQ2606" s="474" t="s">
        <v>37</v>
      </c>
      <c r="AR2606" s="474"/>
      <c r="AS2606" s="387"/>
      <c r="AT2606" s="387"/>
      <c r="AU2606" s="471"/>
    </row>
    <row r="2607" spans="1:55">
      <c r="A2607" s="410"/>
      <c r="B2607" s="407"/>
      <c r="C2607" s="407"/>
      <c r="D2607" s="474" t="s">
        <v>1066</v>
      </c>
      <c r="E2607" s="388" t="s">
        <v>1122</v>
      </c>
      <c r="F2607" s="474" t="s">
        <v>1147</v>
      </c>
      <c r="G2607" s="474">
        <v>2022</v>
      </c>
      <c r="H2607" s="474">
        <v>3</v>
      </c>
      <c r="I2607" s="485">
        <v>127389</v>
      </c>
      <c r="J2607" s="475">
        <v>44641</v>
      </c>
      <c r="K2607" s="474" t="s">
        <v>1584</v>
      </c>
      <c r="L2607" s="475" t="s">
        <v>1561</v>
      </c>
      <c r="M2607" s="475">
        <v>44468</v>
      </c>
      <c r="N2607" s="475" t="s">
        <v>1571</v>
      </c>
      <c r="O2607" s="475"/>
      <c r="P2607" s="475">
        <v>44596</v>
      </c>
      <c r="Q2607" s="475">
        <v>44638</v>
      </c>
      <c r="R2607" s="475">
        <v>44641</v>
      </c>
      <c r="S2607" s="474" t="s">
        <v>1563</v>
      </c>
      <c r="T2607" s="474">
        <v>60</v>
      </c>
      <c r="U2607" s="474" t="s">
        <v>1573</v>
      </c>
      <c r="V2607" s="474" t="s">
        <v>1574</v>
      </c>
      <c r="W2607" s="476">
        <v>400</v>
      </c>
      <c r="X2607" s="402">
        <v>624</v>
      </c>
      <c r="Y2607" s="491">
        <f t="shared" si="453"/>
        <v>249600</v>
      </c>
      <c r="Z2607" s="478">
        <v>0.44</v>
      </c>
      <c r="AA2607" s="492">
        <f t="shared" si="457"/>
        <v>109824</v>
      </c>
      <c r="AB2607" s="386"/>
      <c r="AC2607" s="481">
        <v>0</v>
      </c>
      <c r="AD2607" s="474"/>
      <c r="AE2607" s="482"/>
      <c r="AF2607" s="493">
        <f t="shared" si="458"/>
        <v>109824</v>
      </c>
      <c r="AG2607" s="474" t="s">
        <v>47</v>
      </c>
      <c r="AH2607" s="447"/>
      <c r="AI2607" s="474">
        <v>75</v>
      </c>
      <c r="AJ2607" s="474" t="s">
        <v>1575</v>
      </c>
      <c r="AK2607" s="474" t="s">
        <v>50</v>
      </c>
      <c r="AL2607" s="494">
        <v>94544</v>
      </c>
      <c r="AM2607" s="474" t="s">
        <v>52</v>
      </c>
      <c r="AN2607" s="474" t="s">
        <v>1568</v>
      </c>
      <c r="AO2607" s="474"/>
      <c r="AP2607" s="474" t="s">
        <v>92</v>
      </c>
      <c r="AQ2607" s="474" t="s">
        <v>37</v>
      </c>
      <c r="AR2607" s="474"/>
      <c r="AS2607" s="387"/>
      <c r="AT2607" s="387"/>
      <c r="AU2607" s="471"/>
    </row>
    <row r="2608" spans="1:55">
      <c r="A2608" s="410"/>
      <c r="B2608" s="407"/>
      <c r="C2608" s="407"/>
      <c r="D2608" s="474" t="s">
        <v>1066</v>
      </c>
      <c r="E2608" s="388" t="s">
        <v>50</v>
      </c>
      <c r="F2608" s="474" t="s">
        <v>1147</v>
      </c>
      <c r="G2608" s="474">
        <v>2022</v>
      </c>
      <c r="H2608" s="474">
        <v>3</v>
      </c>
      <c r="I2608" s="485">
        <v>127545</v>
      </c>
      <c r="J2608" s="475">
        <v>44645</v>
      </c>
      <c r="K2608" s="474" t="s">
        <v>1596</v>
      </c>
      <c r="L2608" s="475" t="s">
        <v>1561</v>
      </c>
      <c r="M2608" s="475">
        <v>44468</v>
      </c>
      <c r="N2608" s="475" t="s">
        <v>1586</v>
      </c>
      <c r="O2608" s="475"/>
      <c r="P2608" s="475">
        <v>44630</v>
      </c>
      <c r="Q2608" s="475">
        <v>44644</v>
      </c>
      <c r="R2608" s="475">
        <v>44645</v>
      </c>
      <c r="S2608" s="474" t="s">
        <v>1563</v>
      </c>
      <c r="T2608" s="474">
        <v>60</v>
      </c>
      <c r="U2608" s="474" t="s">
        <v>1595</v>
      </c>
      <c r="V2608" s="474" t="s">
        <v>1574</v>
      </c>
      <c r="W2608" s="476">
        <v>400</v>
      </c>
      <c r="X2608" s="402">
        <v>624</v>
      </c>
      <c r="Y2608" s="491">
        <f t="shared" si="453"/>
        <v>249600</v>
      </c>
      <c r="Z2608" s="478">
        <v>0.44</v>
      </c>
      <c r="AA2608" s="492">
        <f t="shared" si="457"/>
        <v>109824</v>
      </c>
      <c r="AB2608" s="386"/>
      <c r="AC2608" s="481">
        <v>0</v>
      </c>
      <c r="AD2608" s="474"/>
      <c r="AE2608" s="482"/>
      <c r="AF2608" s="493">
        <f t="shared" si="458"/>
        <v>109824</v>
      </c>
      <c r="AG2608" s="474" t="s">
        <v>47</v>
      </c>
      <c r="AH2608" s="447"/>
      <c r="AI2608" s="474">
        <v>75</v>
      </c>
      <c r="AJ2608" s="474" t="s">
        <v>1575</v>
      </c>
      <c r="AK2608" s="474" t="s">
        <v>50</v>
      </c>
      <c r="AL2608" s="494">
        <v>94544</v>
      </c>
      <c r="AM2608" s="474" t="s">
        <v>52</v>
      </c>
      <c r="AN2608" s="474" t="s">
        <v>50</v>
      </c>
      <c r="AO2608" s="474"/>
      <c r="AP2608" s="474" t="s">
        <v>92</v>
      </c>
      <c r="AQ2608" s="474" t="s">
        <v>37</v>
      </c>
      <c r="AR2608" s="474"/>
      <c r="AS2608" s="387"/>
      <c r="AT2608" s="387"/>
      <c r="AU2608" s="471"/>
    </row>
    <row r="2609" spans="1:55">
      <c r="A2609" s="410"/>
      <c r="B2609" s="407"/>
      <c r="C2609" s="407"/>
      <c r="D2609" s="474" t="s">
        <v>1066</v>
      </c>
      <c r="E2609" s="388" t="s">
        <v>1122</v>
      </c>
      <c r="F2609" s="474" t="s">
        <v>1147</v>
      </c>
      <c r="G2609" s="474">
        <v>2022</v>
      </c>
      <c r="H2609" s="474">
        <v>3</v>
      </c>
      <c r="I2609" s="485">
        <v>127373</v>
      </c>
      <c r="J2609" s="475">
        <v>44638</v>
      </c>
      <c r="K2609" s="474" t="s">
        <v>1597</v>
      </c>
      <c r="L2609" s="475" t="s">
        <v>1561</v>
      </c>
      <c r="M2609" s="475">
        <v>44468</v>
      </c>
      <c r="N2609" s="475" t="s">
        <v>1571</v>
      </c>
      <c r="O2609" s="475"/>
      <c r="P2609" s="475">
        <v>44596</v>
      </c>
      <c r="Q2609" s="475">
        <v>44636</v>
      </c>
      <c r="R2609" s="475">
        <v>44638</v>
      </c>
      <c r="S2609" s="474" t="s">
        <v>1563</v>
      </c>
      <c r="T2609" s="474">
        <v>60</v>
      </c>
      <c r="U2609" s="474" t="s">
        <v>1573</v>
      </c>
      <c r="V2609" s="474" t="s">
        <v>1574</v>
      </c>
      <c r="W2609" s="476">
        <v>400</v>
      </c>
      <c r="X2609" s="402">
        <f>3744-624-624-624-624-624</f>
        <v>624</v>
      </c>
      <c r="Y2609" s="491">
        <f t="shared" si="453"/>
        <v>249600</v>
      </c>
      <c r="Z2609" s="478">
        <v>0.44</v>
      </c>
      <c r="AA2609" s="479">
        <f t="shared" si="457"/>
        <v>109824</v>
      </c>
      <c r="AB2609" s="386"/>
      <c r="AC2609" s="481">
        <v>0</v>
      </c>
      <c r="AD2609" s="474"/>
      <c r="AE2609" s="482"/>
      <c r="AF2609" s="493">
        <f t="shared" si="458"/>
        <v>109824</v>
      </c>
      <c r="AG2609" s="474" t="s">
        <v>47</v>
      </c>
      <c r="AH2609" s="447"/>
      <c r="AI2609" s="474">
        <v>75</v>
      </c>
      <c r="AJ2609" s="474" t="s">
        <v>1577</v>
      </c>
      <c r="AK2609" s="474" t="s">
        <v>50</v>
      </c>
      <c r="AL2609" s="494">
        <v>92407</v>
      </c>
      <c r="AM2609" s="474" t="s">
        <v>52</v>
      </c>
      <c r="AN2609" s="474" t="s">
        <v>1568</v>
      </c>
      <c r="AO2609" s="474"/>
      <c r="AP2609" s="474" t="s">
        <v>92</v>
      </c>
      <c r="AQ2609" s="474" t="s">
        <v>37</v>
      </c>
      <c r="AR2609" s="474"/>
      <c r="AS2609" s="387"/>
      <c r="AT2609" s="387"/>
      <c r="AU2609" s="471"/>
      <c r="AV2609" s="262" t="str">
        <f>U2609</f>
        <v>30390256C</v>
      </c>
      <c r="AW2609" s="262" cm="1">
        <f t="array" ref="AW2609">SUM(MID(0&amp;AV2609,LARGE(INDEX(ISNUMBER(--MID(AV2609,ROW($1:$8),1))*ROW($1:$8),),ROW($1:$8))+1,1)*10^ROW($1:$8)/10)</f>
        <v>30390256</v>
      </c>
      <c r="AX2609" s="262" t="str">
        <f>VLOOKUP($AW2609,'Item Master Data'!$A:$F,3,FALSE)</f>
        <v>T400H</v>
      </c>
      <c r="AY2609" s="262">
        <f>VLOOKUP($AW2609,'Item Master Data'!$A:$F,6,FALSE)</f>
        <v>400</v>
      </c>
      <c r="AZ2609" s="262">
        <f>X2609/BA2609</f>
        <v>24</v>
      </c>
      <c r="BA2609" s="262">
        <f>VLOOKUP(AW2609,'Item Master Data'!$A:$G,7,FALSE)</f>
        <v>26</v>
      </c>
      <c r="BC2609" s="262">
        <f>W2609-AY2609</f>
        <v>0</v>
      </c>
    </row>
    <row r="2610" spans="1:55">
      <c r="A2610" s="410"/>
      <c r="B2610" s="407"/>
      <c r="C2610" s="407"/>
      <c r="D2610" s="474" t="s">
        <v>1066</v>
      </c>
      <c r="E2610" s="388" t="s">
        <v>1598</v>
      </c>
      <c r="F2610" s="474" t="s">
        <v>1147</v>
      </c>
      <c r="G2610" s="474">
        <v>2022</v>
      </c>
      <c r="H2610" s="474">
        <v>3</v>
      </c>
      <c r="I2610" s="485">
        <v>127463</v>
      </c>
      <c r="J2610" s="475">
        <v>44638</v>
      </c>
      <c r="K2610" s="474" t="s">
        <v>1597</v>
      </c>
      <c r="L2610" s="475" t="s">
        <v>1561</v>
      </c>
      <c r="M2610" s="475">
        <v>44468</v>
      </c>
      <c r="N2610" s="475" t="s">
        <v>1571</v>
      </c>
      <c r="O2610" s="475"/>
      <c r="P2610" s="475">
        <v>44596</v>
      </c>
      <c r="Q2610" s="475">
        <v>44636</v>
      </c>
      <c r="R2610" s="475">
        <v>44638</v>
      </c>
      <c r="S2610" s="474" t="s">
        <v>1563</v>
      </c>
      <c r="T2610" s="474">
        <v>60</v>
      </c>
      <c r="U2610" s="474" t="s">
        <v>1573</v>
      </c>
      <c r="V2610" s="474" t="s">
        <v>1574</v>
      </c>
      <c r="W2610" s="476">
        <v>400</v>
      </c>
      <c r="X2610" s="402">
        <f>3744-624-624-624-624-624</f>
        <v>624</v>
      </c>
      <c r="Y2610" s="491">
        <f t="shared" si="453"/>
        <v>249600</v>
      </c>
      <c r="Z2610" s="478">
        <v>0.44</v>
      </c>
      <c r="AA2610" s="479">
        <f t="shared" si="457"/>
        <v>109824</v>
      </c>
      <c r="AB2610" s="386"/>
      <c r="AC2610" s="481">
        <v>0</v>
      </c>
      <c r="AD2610" s="474"/>
      <c r="AE2610" s="482"/>
      <c r="AF2610" s="493">
        <f t="shared" si="458"/>
        <v>109824</v>
      </c>
      <c r="AG2610" s="474" t="s">
        <v>47</v>
      </c>
      <c r="AH2610" s="447"/>
      <c r="AI2610" s="474">
        <v>75</v>
      </c>
      <c r="AJ2610" s="474" t="s">
        <v>1577</v>
      </c>
      <c r="AK2610" s="474" t="s">
        <v>50</v>
      </c>
      <c r="AL2610" s="494">
        <v>92407</v>
      </c>
      <c r="AM2610" s="474" t="s">
        <v>52</v>
      </c>
      <c r="AN2610" s="474" t="s">
        <v>1568</v>
      </c>
      <c r="AO2610" s="474"/>
      <c r="AP2610" s="474" t="s">
        <v>92</v>
      </c>
      <c r="AQ2610" s="474" t="s">
        <v>37</v>
      </c>
      <c r="AR2610" s="474"/>
      <c r="AS2610" s="387"/>
      <c r="AT2610" s="387"/>
      <c r="AU2610" s="471"/>
      <c r="AV2610" s="262" t="str">
        <f>U2610</f>
        <v>30390256C</v>
      </c>
      <c r="AW2610" s="262" cm="1">
        <f t="array" ref="AW2610">SUM(MID(0&amp;AV2610,LARGE(INDEX(ISNUMBER(--MID(AV2610,ROW($1:$8),1))*ROW($1:$8),),ROW($1:$8))+1,1)*10^ROW($1:$8)/10)</f>
        <v>30390256</v>
      </c>
      <c r="AX2610" s="262" t="str">
        <f>VLOOKUP($AW2610,'Item Master Data'!$A:$F,3,FALSE)</f>
        <v>T400H</v>
      </c>
      <c r="AY2610" s="262">
        <f>VLOOKUP($AW2610,'Item Master Data'!$A:$F,6,FALSE)</f>
        <v>400</v>
      </c>
      <c r="AZ2610" s="262">
        <f>X2610/BA2610</f>
        <v>24</v>
      </c>
      <c r="BA2610" s="262">
        <f>VLOOKUP(AW2610,'Item Master Data'!$A:$G,7,FALSE)</f>
        <v>26</v>
      </c>
      <c r="BC2610" s="262">
        <f>W2610-AY2610</f>
        <v>0</v>
      </c>
    </row>
    <row r="2611" spans="1:55">
      <c r="A2611" s="410"/>
      <c r="B2611" s="407"/>
      <c r="C2611" s="407"/>
      <c r="D2611" s="474" t="s">
        <v>1066</v>
      </c>
      <c r="E2611" s="388"/>
      <c r="F2611" s="474" t="s">
        <v>1147</v>
      </c>
      <c r="G2611" s="474">
        <v>2022</v>
      </c>
      <c r="H2611" s="474">
        <v>3</v>
      </c>
      <c r="I2611" s="485">
        <v>127345</v>
      </c>
      <c r="J2611" s="475">
        <v>44637</v>
      </c>
      <c r="K2611" s="474" t="s">
        <v>1599</v>
      </c>
      <c r="L2611" s="475" t="s">
        <v>1561</v>
      </c>
      <c r="M2611" s="475">
        <v>44468</v>
      </c>
      <c r="N2611" s="475" t="s">
        <v>1586</v>
      </c>
      <c r="O2611" s="475"/>
      <c r="P2611" s="475">
        <v>44630</v>
      </c>
      <c r="Q2611" s="475">
        <v>44637</v>
      </c>
      <c r="R2611" s="475">
        <v>44637</v>
      </c>
      <c r="S2611" s="474" t="s">
        <v>1563</v>
      </c>
      <c r="T2611" s="474">
        <v>60</v>
      </c>
      <c r="U2611" s="474" t="s">
        <v>1595</v>
      </c>
      <c r="V2611" s="474" t="s">
        <v>1574</v>
      </c>
      <c r="W2611" s="476">
        <v>400</v>
      </c>
      <c r="X2611" s="402">
        <v>624</v>
      </c>
      <c r="Y2611" s="491">
        <f t="shared" si="453"/>
        <v>249600</v>
      </c>
      <c r="Z2611" s="478">
        <v>0.44</v>
      </c>
      <c r="AA2611" s="492">
        <f t="shared" si="457"/>
        <v>109824</v>
      </c>
      <c r="AB2611" s="386"/>
      <c r="AC2611" s="481">
        <v>0</v>
      </c>
      <c r="AD2611" s="474"/>
      <c r="AE2611" s="482"/>
      <c r="AF2611" s="493">
        <f t="shared" si="458"/>
        <v>109824</v>
      </c>
      <c r="AG2611" s="474" t="s">
        <v>47</v>
      </c>
      <c r="AH2611" s="447"/>
      <c r="AI2611" s="474">
        <v>75</v>
      </c>
      <c r="AJ2611" s="474" t="s">
        <v>1577</v>
      </c>
      <c r="AK2611" s="474" t="s">
        <v>50</v>
      </c>
      <c r="AL2611" s="494">
        <v>92407</v>
      </c>
      <c r="AM2611" s="474" t="s">
        <v>52</v>
      </c>
      <c r="AN2611" s="474" t="s">
        <v>50</v>
      </c>
      <c r="AO2611" s="474"/>
      <c r="AP2611" s="474" t="s">
        <v>92</v>
      </c>
      <c r="AQ2611" s="474" t="s">
        <v>37</v>
      </c>
      <c r="AR2611" s="474"/>
      <c r="AS2611" s="387"/>
      <c r="AT2611" s="387"/>
      <c r="AU2611" s="471"/>
    </row>
    <row r="2612" spans="1:55">
      <c r="A2612" s="410"/>
      <c r="B2612" s="407"/>
      <c r="C2612" s="407"/>
      <c r="D2612" s="474" t="s">
        <v>1066</v>
      </c>
      <c r="E2612" s="388"/>
      <c r="F2612" s="474" t="s">
        <v>1147</v>
      </c>
      <c r="G2612" s="474">
        <v>2022</v>
      </c>
      <c r="H2612" s="474">
        <v>3</v>
      </c>
      <c r="I2612" s="485">
        <v>127344</v>
      </c>
      <c r="J2612" s="475">
        <v>44637</v>
      </c>
      <c r="K2612" s="474" t="s">
        <v>1599</v>
      </c>
      <c r="L2612" s="475" t="s">
        <v>1561</v>
      </c>
      <c r="M2612" s="475">
        <v>44468</v>
      </c>
      <c r="N2612" s="475" t="s">
        <v>1586</v>
      </c>
      <c r="O2612" s="475"/>
      <c r="P2612" s="475">
        <v>44630</v>
      </c>
      <c r="Q2612" s="475">
        <v>44637</v>
      </c>
      <c r="R2612" s="475">
        <v>44637</v>
      </c>
      <c r="S2612" s="474" t="s">
        <v>1563</v>
      </c>
      <c r="T2612" s="474">
        <v>60</v>
      </c>
      <c r="U2612" s="474" t="s">
        <v>1595</v>
      </c>
      <c r="V2612" s="474" t="s">
        <v>1574</v>
      </c>
      <c r="W2612" s="476">
        <v>400</v>
      </c>
      <c r="X2612" s="402">
        <v>624</v>
      </c>
      <c r="Y2612" s="491">
        <f t="shared" si="453"/>
        <v>249600</v>
      </c>
      <c r="Z2612" s="478">
        <v>0.44</v>
      </c>
      <c r="AA2612" s="492">
        <f t="shared" si="457"/>
        <v>109824</v>
      </c>
      <c r="AB2612" s="386"/>
      <c r="AC2612" s="481">
        <v>0</v>
      </c>
      <c r="AD2612" s="474"/>
      <c r="AE2612" s="482"/>
      <c r="AF2612" s="493">
        <f t="shared" si="458"/>
        <v>109824</v>
      </c>
      <c r="AG2612" s="474" t="s">
        <v>47</v>
      </c>
      <c r="AH2612" s="447"/>
      <c r="AI2612" s="474">
        <v>75</v>
      </c>
      <c r="AJ2612" s="474" t="s">
        <v>1577</v>
      </c>
      <c r="AK2612" s="474" t="s">
        <v>50</v>
      </c>
      <c r="AL2612" s="494">
        <v>92407</v>
      </c>
      <c r="AM2612" s="474" t="s">
        <v>52</v>
      </c>
      <c r="AN2612" s="474" t="s">
        <v>50</v>
      </c>
      <c r="AO2612" s="474"/>
      <c r="AP2612" s="474" t="s">
        <v>92</v>
      </c>
      <c r="AQ2612" s="474" t="s">
        <v>37</v>
      </c>
      <c r="AR2612" s="474"/>
      <c r="AS2612" s="387"/>
      <c r="AT2612" s="387"/>
      <c r="AU2612" s="471"/>
    </row>
    <row r="2613" spans="1:55">
      <c r="A2613" s="410"/>
      <c r="B2613" s="407"/>
      <c r="C2613" s="407"/>
      <c r="D2613" s="474" t="s">
        <v>1066</v>
      </c>
      <c r="E2613" s="388"/>
      <c r="F2613" s="474" t="s">
        <v>1147</v>
      </c>
      <c r="G2613" s="474">
        <v>2022</v>
      </c>
      <c r="H2613" s="474">
        <v>3</v>
      </c>
      <c r="I2613" s="485">
        <v>127343</v>
      </c>
      <c r="J2613" s="475">
        <v>44637</v>
      </c>
      <c r="K2613" s="474" t="s">
        <v>1599</v>
      </c>
      <c r="L2613" s="475" t="s">
        <v>1561</v>
      </c>
      <c r="M2613" s="475">
        <v>44468</v>
      </c>
      <c r="N2613" s="475" t="s">
        <v>1586</v>
      </c>
      <c r="O2613" s="475"/>
      <c r="P2613" s="475">
        <v>44630</v>
      </c>
      <c r="Q2613" s="475">
        <v>44637</v>
      </c>
      <c r="R2613" s="475">
        <v>44637</v>
      </c>
      <c r="S2613" s="474" t="s">
        <v>1563</v>
      </c>
      <c r="T2613" s="474">
        <v>60</v>
      </c>
      <c r="U2613" s="474" t="s">
        <v>1595</v>
      </c>
      <c r="V2613" s="474" t="s">
        <v>1574</v>
      </c>
      <c r="W2613" s="476">
        <v>400</v>
      </c>
      <c r="X2613" s="402">
        <v>624</v>
      </c>
      <c r="Y2613" s="491">
        <f t="shared" si="453"/>
        <v>249600</v>
      </c>
      <c r="Z2613" s="478">
        <v>0.44</v>
      </c>
      <c r="AA2613" s="492">
        <f t="shared" si="457"/>
        <v>109824</v>
      </c>
      <c r="AB2613" s="386"/>
      <c r="AC2613" s="481">
        <v>0</v>
      </c>
      <c r="AD2613" s="474"/>
      <c r="AE2613" s="482"/>
      <c r="AF2613" s="493">
        <f t="shared" si="458"/>
        <v>109824</v>
      </c>
      <c r="AG2613" s="474" t="s">
        <v>47</v>
      </c>
      <c r="AH2613" s="447"/>
      <c r="AI2613" s="474">
        <v>75</v>
      </c>
      <c r="AJ2613" s="474" t="s">
        <v>1577</v>
      </c>
      <c r="AK2613" s="474" t="s">
        <v>50</v>
      </c>
      <c r="AL2613" s="494">
        <v>92407</v>
      </c>
      <c r="AM2613" s="474" t="s">
        <v>52</v>
      </c>
      <c r="AN2613" s="474" t="s">
        <v>50</v>
      </c>
      <c r="AO2613" s="474"/>
      <c r="AP2613" s="474" t="s">
        <v>92</v>
      </c>
      <c r="AQ2613" s="474" t="s">
        <v>37</v>
      </c>
      <c r="AR2613" s="474"/>
      <c r="AS2613" s="387"/>
      <c r="AT2613" s="387"/>
      <c r="AU2613" s="471"/>
    </row>
    <row r="2614" spans="1:55">
      <c r="A2614" s="410"/>
      <c r="B2614" s="407"/>
      <c r="C2614" s="407"/>
      <c r="D2614" s="474" t="s">
        <v>1066</v>
      </c>
      <c r="E2614" s="388"/>
      <c r="F2614" s="474" t="s">
        <v>1147</v>
      </c>
      <c r="G2614" s="474">
        <v>2022</v>
      </c>
      <c r="H2614" s="474">
        <v>3</v>
      </c>
      <c r="I2614" s="485">
        <v>127349</v>
      </c>
      <c r="J2614" s="475">
        <v>44638</v>
      </c>
      <c r="K2614" s="474" t="s">
        <v>1599</v>
      </c>
      <c r="L2614" s="475" t="s">
        <v>1561</v>
      </c>
      <c r="M2614" s="475">
        <v>44468</v>
      </c>
      <c r="N2614" s="475" t="s">
        <v>1586</v>
      </c>
      <c r="O2614" s="475"/>
      <c r="P2614" s="475">
        <v>44630</v>
      </c>
      <c r="Q2614" s="475">
        <v>44637</v>
      </c>
      <c r="R2614" s="475">
        <v>44638</v>
      </c>
      <c r="S2614" s="474" t="s">
        <v>1563</v>
      </c>
      <c r="T2614" s="474">
        <v>60</v>
      </c>
      <c r="U2614" s="474" t="s">
        <v>1595</v>
      </c>
      <c r="V2614" s="474" t="s">
        <v>1574</v>
      </c>
      <c r="W2614" s="476">
        <v>400</v>
      </c>
      <c r="X2614" s="402">
        <v>624</v>
      </c>
      <c r="Y2614" s="491">
        <f t="shared" si="453"/>
        <v>249600</v>
      </c>
      <c r="Z2614" s="478">
        <v>0.44</v>
      </c>
      <c r="AA2614" s="492">
        <f t="shared" si="457"/>
        <v>109824</v>
      </c>
      <c r="AB2614" s="386"/>
      <c r="AC2614" s="481">
        <v>0</v>
      </c>
      <c r="AD2614" s="474"/>
      <c r="AE2614" s="482"/>
      <c r="AF2614" s="493">
        <f t="shared" si="458"/>
        <v>109824</v>
      </c>
      <c r="AG2614" s="474" t="s">
        <v>47</v>
      </c>
      <c r="AH2614" s="447"/>
      <c r="AI2614" s="474">
        <v>75</v>
      </c>
      <c r="AJ2614" s="474" t="s">
        <v>1577</v>
      </c>
      <c r="AK2614" s="474" t="s">
        <v>50</v>
      </c>
      <c r="AL2614" s="494">
        <v>92407</v>
      </c>
      <c r="AM2614" s="474" t="s">
        <v>52</v>
      </c>
      <c r="AN2614" s="474" t="s">
        <v>50</v>
      </c>
      <c r="AO2614" s="474"/>
      <c r="AP2614" s="474" t="s">
        <v>92</v>
      </c>
      <c r="AQ2614" s="474" t="s">
        <v>37</v>
      </c>
      <c r="AR2614" s="474"/>
      <c r="AS2614" s="387"/>
      <c r="AT2614" s="387"/>
      <c r="AU2614" s="471"/>
      <c r="AV2614" s="262" t="str">
        <f>U2614</f>
        <v>30390256H</v>
      </c>
      <c r="AW2614" s="262" cm="1">
        <f t="array" ref="AW2614">SUM(MID(0&amp;AV2614,LARGE(INDEX(ISNUMBER(--MID(AV2614,ROW($1:$8),1))*ROW($1:$8),),ROW($1:$8))+1,1)*10^ROW($1:$8)/10)</f>
        <v>30390256</v>
      </c>
      <c r="AX2614" s="262" t="str">
        <f>VLOOKUP($AW2614,'Item Master Data'!$A:$F,3,FALSE)</f>
        <v>T400H</v>
      </c>
      <c r="AY2614" s="262">
        <f>VLOOKUP($AW2614,'Item Master Data'!$A:$F,6,FALSE)</f>
        <v>400</v>
      </c>
      <c r="AZ2614" s="262">
        <f>X2614/BA2614</f>
        <v>24</v>
      </c>
      <c r="BA2614" s="262">
        <f>VLOOKUP(AW2614,'Item Master Data'!$A:$G,7,FALSE)</f>
        <v>26</v>
      </c>
      <c r="BC2614" s="262">
        <f>W2614-AY2614</f>
        <v>0</v>
      </c>
    </row>
    <row r="2615" spans="1:55">
      <c r="A2615" s="410"/>
      <c r="B2615" s="407"/>
      <c r="C2615" s="407"/>
      <c r="D2615" s="474" t="s">
        <v>1066</v>
      </c>
      <c r="E2615" s="388" t="s">
        <v>1122</v>
      </c>
      <c r="F2615" s="474" t="s">
        <v>1147</v>
      </c>
      <c r="G2615" s="474">
        <v>2022</v>
      </c>
      <c r="H2615" s="474">
        <v>3</v>
      </c>
      <c r="I2615" s="485">
        <v>127374</v>
      </c>
      <c r="J2615" s="475">
        <v>44638</v>
      </c>
      <c r="K2615" s="474" t="s">
        <v>1597</v>
      </c>
      <c r="L2615" s="475" t="s">
        <v>1561</v>
      </c>
      <c r="M2615" s="475">
        <v>44468</v>
      </c>
      <c r="N2615" s="475" t="s">
        <v>1571</v>
      </c>
      <c r="O2615" s="475"/>
      <c r="P2615" s="475">
        <v>44596</v>
      </c>
      <c r="Q2615" s="475">
        <v>44636</v>
      </c>
      <c r="R2615" s="475">
        <v>44638</v>
      </c>
      <c r="S2615" s="474" t="s">
        <v>1563</v>
      </c>
      <c r="T2615" s="474">
        <v>60</v>
      </c>
      <c r="U2615" s="474" t="s">
        <v>1573</v>
      </c>
      <c r="V2615" s="474" t="s">
        <v>1574</v>
      </c>
      <c r="W2615" s="476">
        <v>400</v>
      </c>
      <c r="X2615" s="402">
        <f>3744-624-624-624-624-624</f>
        <v>624</v>
      </c>
      <c r="Y2615" s="491">
        <f t="shared" ref="Y2615:Y2678" si="459">W2615*X2615</f>
        <v>249600</v>
      </c>
      <c r="Z2615" s="478">
        <v>0.44</v>
      </c>
      <c r="AA2615" s="479">
        <f t="shared" si="457"/>
        <v>109824</v>
      </c>
      <c r="AB2615" s="386"/>
      <c r="AC2615" s="481">
        <v>0</v>
      </c>
      <c r="AD2615" s="474"/>
      <c r="AE2615" s="482"/>
      <c r="AF2615" s="493">
        <f t="shared" si="458"/>
        <v>109824</v>
      </c>
      <c r="AG2615" s="474" t="s">
        <v>47</v>
      </c>
      <c r="AH2615" s="447"/>
      <c r="AI2615" s="474">
        <v>75</v>
      </c>
      <c r="AJ2615" s="474" t="s">
        <v>1577</v>
      </c>
      <c r="AK2615" s="474" t="s">
        <v>50</v>
      </c>
      <c r="AL2615" s="494">
        <v>92407</v>
      </c>
      <c r="AM2615" s="474" t="s">
        <v>52</v>
      </c>
      <c r="AN2615" s="474" t="s">
        <v>1568</v>
      </c>
      <c r="AO2615" s="474"/>
      <c r="AP2615" s="474" t="s">
        <v>92</v>
      </c>
      <c r="AQ2615" s="474" t="s">
        <v>37</v>
      </c>
      <c r="AR2615" s="474"/>
      <c r="AS2615" s="387"/>
      <c r="AT2615" s="387"/>
      <c r="AU2615" s="471"/>
    </row>
    <row r="2616" spans="1:55">
      <c r="A2616" s="410"/>
      <c r="B2616" s="407"/>
      <c r="C2616" s="407"/>
      <c r="D2616" s="474" t="s">
        <v>1066</v>
      </c>
      <c r="E2616" s="388" t="s">
        <v>1122</v>
      </c>
      <c r="F2616" s="474" t="s">
        <v>1147</v>
      </c>
      <c r="G2616" s="474">
        <v>2022</v>
      </c>
      <c r="H2616" s="474">
        <v>3</v>
      </c>
      <c r="I2616" s="485">
        <v>127300</v>
      </c>
      <c r="J2616" s="475">
        <v>44630</v>
      </c>
      <c r="K2616" s="474" t="s">
        <v>1584</v>
      </c>
      <c r="L2616" s="475" t="s">
        <v>1561</v>
      </c>
      <c r="M2616" s="475">
        <v>44468</v>
      </c>
      <c r="N2616" s="475" t="s">
        <v>1571</v>
      </c>
      <c r="O2616" s="475"/>
      <c r="P2616" s="475">
        <v>44596</v>
      </c>
      <c r="Q2616" s="475">
        <v>44628</v>
      </c>
      <c r="R2616" s="475">
        <v>44630</v>
      </c>
      <c r="S2616" s="474" t="s">
        <v>1563</v>
      </c>
      <c r="T2616" s="474">
        <v>60</v>
      </c>
      <c r="U2616" s="474" t="s">
        <v>1573</v>
      </c>
      <c r="V2616" s="474" t="s">
        <v>1574</v>
      </c>
      <c r="W2616" s="476">
        <v>400</v>
      </c>
      <c r="X2616" s="402">
        <v>624</v>
      </c>
      <c r="Y2616" s="491">
        <f t="shared" si="459"/>
        <v>249600</v>
      </c>
      <c r="Z2616" s="478">
        <v>0.44</v>
      </c>
      <c r="AA2616" s="492">
        <f t="shared" si="457"/>
        <v>109824</v>
      </c>
      <c r="AB2616" s="386"/>
      <c r="AC2616" s="481">
        <v>0</v>
      </c>
      <c r="AD2616" s="474"/>
      <c r="AE2616" s="482"/>
      <c r="AF2616" s="493">
        <f t="shared" si="458"/>
        <v>109824</v>
      </c>
      <c r="AG2616" s="474" t="s">
        <v>47</v>
      </c>
      <c r="AH2616" s="447"/>
      <c r="AI2616" s="474">
        <v>75</v>
      </c>
      <c r="AJ2616" s="474" t="s">
        <v>1575</v>
      </c>
      <c r="AK2616" s="474" t="s">
        <v>50</v>
      </c>
      <c r="AL2616" s="494">
        <v>94544</v>
      </c>
      <c r="AM2616" s="474" t="s">
        <v>52</v>
      </c>
      <c r="AN2616" s="474" t="s">
        <v>1568</v>
      </c>
      <c r="AO2616" s="474"/>
      <c r="AP2616" s="474" t="s">
        <v>92</v>
      </c>
      <c r="AQ2616" s="474" t="s">
        <v>37</v>
      </c>
      <c r="AR2616" s="474"/>
      <c r="AS2616" s="387"/>
      <c r="AT2616" s="387"/>
      <c r="AU2616" s="471"/>
    </row>
    <row r="2617" spans="1:55">
      <c r="A2617" s="410"/>
      <c r="B2617" s="407"/>
      <c r="C2617" s="407"/>
      <c r="D2617" s="474" t="s">
        <v>1066</v>
      </c>
      <c r="E2617" s="388"/>
      <c r="F2617" s="474" t="s">
        <v>87</v>
      </c>
      <c r="G2617" s="474">
        <v>2022</v>
      </c>
      <c r="H2617" s="474">
        <v>3</v>
      </c>
      <c r="I2617" s="485">
        <v>127334</v>
      </c>
      <c r="J2617" s="475">
        <v>44628</v>
      </c>
      <c r="K2617" s="474" t="s">
        <v>1592</v>
      </c>
      <c r="L2617" s="475" t="s">
        <v>1561</v>
      </c>
      <c r="M2617" s="475">
        <v>44592</v>
      </c>
      <c r="N2617" s="475">
        <v>44596</v>
      </c>
      <c r="O2617" s="475"/>
      <c r="P2617" s="475">
        <v>44606</v>
      </c>
      <c r="Q2617" s="475">
        <v>44624</v>
      </c>
      <c r="R2617" s="475">
        <v>44628</v>
      </c>
      <c r="S2617" s="474" t="s">
        <v>1563</v>
      </c>
      <c r="T2617" s="474">
        <v>72</v>
      </c>
      <c r="U2617" s="474" t="s">
        <v>1542</v>
      </c>
      <c r="V2617" s="474" t="s">
        <v>1070</v>
      </c>
      <c r="W2617" s="476">
        <v>475</v>
      </c>
      <c r="X2617" s="402">
        <v>638</v>
      </c>
      <c r="Y2617" s="491">
        <f t="shared" si="459"/>
        <v>303050</v>
      </c>
      <c r="Z2617" s="478">
        <v>0.47</v>
      </c>
      <c r="AA2617" s="479">
        <f t="shared" si="457"/>
        <v>142433.5</v>
      </c>
      <c r="AB2617" s="386"/>
      <c r="AC2617" s="481">
        <v>0</v>
      </c>
      <c r="AD2617" s="474"/>
      <c r="AE2617" s="482"/>
      <c r="AF2617" s="493">
        <f t="shared" si="458"/>
        <v>142433.5</v>
      </c>
      <c r="AG2617" s="501" t="s">
        <v>47</v>
      </c>
      <c r="AH2617" s="409"/>
      <c r="AI2617" s="501">
        <v>60</v>
      </c>
      <c r="AJ2617" s="501" t="s">
        <v>1593</v>
      </c>
      <c r="AK2617" s="501" t="s">
        <v>1144</v>
      </c>
      <c r="AL2617" s="509">
        <v>78725</v>
      </c>
      <c r="AM2617" s="501" t="s">
        <v>52</v>
      </c>
      <c r="AN2617" s="501" t="s">
        <v>1085</v>
      </c>
      <c r="AO2617" s="474"/>
      <c r="AP2617" s="474" t="s">
        <v>92</v>
      </c>
      <c r="AQ2617" s="474" t="s">
        <v>37</v>
      </c>
      <c r="AR2617" s="474"/>
      <c r="AS2617" s="387"/>
      <c r="AT2617" s="387"/>
      <c r="AU2617" s="471"/>
      <c r="AV2617" s="262" t="str">
        <f>U2617</f>
        <v>30397571C</v>
      </c>
      <c r="AW2617" s="262" cm="1">
        <f t="array" ref="AW2617">SUM(MID(0&amp;AV2617,LARGE(INDEX(ISNUMBER(--MID(AV2617,ROW($1:$8),1))*ROW($1:$8),),ROW($1:$8))+1,1)*10^ROW($1:$8)/10)</f>
        <v>30397571</v>
      </c>
      <c r="AX2617" s="262" t="str">
        <f>VLOOKUP($AW2617,'Item Master Data'!$A:$F,3,FALSE)</f>
        <v>Q.PEAK DUO XL G10 BFG</v>
      </c>
      <c r="AY2617" s="262">
        <f>VLOOKUP($AW2617,'Item Master Data'!$A:$F,6,FALSE)</f>
        <v>475</v>
      </c>
      <c r="AZ2617" s="262">
        <f>X2617/BA2617</f>
        <v>22</v>
      </c>
      <c r="BA2617" s="262">
        <f>VLOOKUP(AW2617,'Item Master Data'!$A:$G,7,FALSE)</f>
        <v>29</v>
      </c>
      <c r="BC2617" s="262">
        <f>W2617-AY2617</f>
        <v>0</v>
      </c>
    </row>
    <row r="2618" spans="1:55">
      <c r="A2618" s="410"/>
      <c r="B2618" s="407"/>
      <c r="C2618" s="407"/>
      <c r="D2618" s="474" t="s">
        <v>1066</v>
      </c>
      <c r="E2618" s="388" t="s">
        <v>1118</v>
      </c>
      <c r="F2618" s="474" t="s">
        <v>87</v>
      </c>
      <c r="G2618" s="474">
        <v>2022</v>
      </c>
      <c r="H2618" s="474">
        <v>3</v>
      </c>
      <c r="I2618" s="485">
        <v>127242</v>
      </c>
      <c r="J2618" s="475">
        <v>44630</v>
      </c>
      <c r="K2618" s="474" t="s">
        <v>1592</v>
      </c>
      <c r="L2618" s="475" t="s">
        <v>1561</v>
      </c>
      <c r="M2618" s="475">
        <v>44592</v>
      </c>
      <c r="N2618" s="475">
        <v>44596</v>
      </c>
      <c r="O2618" s="475"/>
      <c r="P2618" s="475">
        <v>44606</v>
      </c>
      <c r="Q2618" s="475">
        <v>44627</v>
      </c>
      <c r="R2618" s="475">
        <v>44630</v>
      </c>
      <c r="S2618" s="474" t="s">
        <v>1563</v>
      </c>
      <c r="T2618" s="474">
        <v>72</v>
      </c>
      <c r="U2618" s="474" t="s">
        <v>1541</v>
      </c>
      <c r="V2618" s="474" t="s">
        <v>1070</v>
      </c>
      <c r="W2618" s="476">
        <v>475</v>
      </c>
      <c r="X2618" s="402">
        <v>638</v>
      </c>
      <c r="Y2618" s="491">
        <f t="shared" si="459"/>
        <v>303050</v>
      </c>
      <c r="Z2618" s="478">
        <v>0.47</v>
      </c>
      <c r="AA2618" s="479">
        <f t="shared" si="457"/>
        <v>142433.5</v>
      </c>
      <c r="AB2618" s="386"/>
      <c r="AC2618" s="481">
        <v>0</v>
      </c>
      <c r="AD2618" s="474"/>
      <c r="AE2618" s="482"/>
      <c r="AF2618" s="493">
        <f t="shared" si="458"/>
        <v>142433.5</v>
      </c>
      <c r="AG2618" s="501" t="s">
        <v>47</v>
      </c>
      <c r="AH2618" s="409"/>
      <c r="AI2618" s="501">
        <v>60</v>
      </c>
      <c r="AJ2618" s="501" t="s">
        <v>1593</v>
      </c>
      <c r="AK2618" s="501" t="s">
        <v>1144</v>
      </c>
      <c r="AL2618" s="509">
        <v>78725</v>
      </c>
      <c r="AM2618" s="501" t="s">
        <v>52</v>
      </c>
      <c r="AN2618" s="501" t="s">
        <v>1085</v>
      </c>
      <c r="AO2618" s="474"/>
      <c r="AP2618" s="474" t="s">
        <v>92</v>
      </c>
      <c r="AQ2618" s="474" t="s">
        <v>37</v>
      </c>
      <c r="AR2618" s="474"/>
      <c r="AS2618" s="387"/>
      <c r="AT2618" s="387"/>
      <c r="AU2618" s="471"/>
    </row>
    <row r="2619" spans="1:55">
      <c r="A2619" s="410"/>
      <c r="B2619" s="407"/>
      <c r="C2619" s="407"/>
      <c r="D2619" s="474" t="s">
        <v>1066</v>
      </c>
      <c r="E2619" s="388"/>
      <c r="F2619" s="474" t="s">
        <v>1147</v>
      </c>
      <c r="G2619" s="474">
        <v>2022</v>
      </c>
      <c r="H2619" s="474">
        <v>3</v>
      </c>
      <c r="I2619" s="485">
        <v>127348</v>
      </c>
      <c r="J2619" s="475">
        <v>44638</v>
      </c>
      <c r="K2619" s="474" t="s">
        <v>1599</v>
      </c>
      <c r="L2619" s="475" t="s">
        <v>1561</v>
      </c>
      <c r="M2619" s="475">
        <v>44468</v>
      </c>
      <c r="N2619" s="475" t="s">
        <v>1586</v>
      </c>
      <c r="O2619" s="475"/>
      <c r="P2619" s="475">
        <v>44630</v>
      </c>
      <c r="Q2619" s="475">
        <v>44637</v>
      </c>
      <c r="R2619" s="475">
        <v>44638</v>
      </c>
      <c r="S2619" s="474" t="s">
        <v>1563</v>
      </c>
      <c r="T2619" s="474">
        <v>60</v>
      </c>
      <c r="U2619" s="474" t="s">
        <v>1595</v>
      </c>
      <c r="V2619" s="474" t="s">
        <v>1574</v>
      </c>
      <c r="W2619" s="476">
        <v>400</v>
      </c>
      <c r="X2619" s="402">
        <v>624</v>
      </c>
      <c r="Y2619" s="491">
        <f t="shared" si="459"/>
        <v>249600</v>
      </c>
      <c r="Z2619" s="478">
        <v>0.44</v>
      </c>
      <c r="AA2619" s="492">
        <f t="shared" si="457"/>
        <v>109824</v>
      </c>
      <c r="AB2619" s="386"/>
      <c r="AC2619" s="481">
        <v>0</v>
      </c>
      <c r="AD2619" s="474"/>
      <c r="AE2619" s="482"/>
      <c r="AF2619" s="493">
        <f t="shared" si="458"/>
        <v>109824</v>
      </c>
      <c r="AG2619" s="474" t="s">
        <v>47</v>
      </c>
      <c r="AH2619" s="447"/>
      <c r="AI2619" s="474">
        <v>75</v>
      </c>
      <c r="AJ2619" s="474" t="s">
        <v>1577</v>
      </c>
      <c r="AK2619" s="474" t="s">
        <v>50</v>
      </c>
      <c r="AL2619" s="494">
        <v>92407</v>
      </c>
      <c r="AM2619" s="474" t="s">
        <v>52</v>
      </c>
      <c r="AN2619" s="474" t="s">
        <v>50</v>
      </c>
      <c r="AO2619" s="474"/>
      <c r="AP2619" s="474" t="s">
        <v>92</v>
      </c>
      <c r="AQ2619" s="474" t="s">
        <v>37</v>
      </c>
      <c r="AR2619" s="474"/>
      <c r="AS2619" s="387"/>
      <c r="AT2619" s="387"/>
      <c r="AU2619" s="471"/>
      <c r="AV2619" s="262" t="str">
        <f>U2619</f>
        <v>30390256H</v>
      </c>
      <c r="AW2619" s="262" cm="1">
        <f t="array" ref="AW2619">SUM(MID(0&amp;AV2619,LARGE(INDEX(ISNUMBER(--MID(AV2619,ROW($1:$8),1))*ROW($1:$8),),ROW($1:$8))+1,1)*10^ROW($1:$8)/10)</f>
        <v>30390256</v>
      </c>
      <c r="AX2619" s="262" t="str">
        <f>VLOOKUP($AW2619,'Item Master Data'!$A:$F,3,FALSE)</f>
        <v>T400H</v>
      </c>
      <c r="AY2619" s="262">
        <f>VLOOKUP($AW2619,'Item Master Data'!$A:$F,6,FALSE)</f>
        <v>400</v>
      </c>
      <c r="AZ2619" s="262">
        <f>X2619/BA2619</f>
        <v>24</v>
      </c>
      <c r="BA2619" s="262">
        <f>VLOOKUP(AW2619,'Item Master Data'!$A:$G,7,FALSE)</f>
        <v>26</v>
      </c>
      <c r="BC2619" s="262">
        <f>W2619-AY2619</f>
        <v>0</v>
      </c>
    </row>
    <row r="2620" spans="1:55">
      <c r="A2620" s="410"/>
      <c r="B2620" s="407"/>
      <c r="C2620" s="407"/>
      <c r="D2620" s="474" t="s">
        <v>1066</v>
      </c>
      <c r="E2620" s="388"/>
      <c r="F2620" s="474" t="s">
        <v>1147</v>
      </c>
      <c r="G2620" s="474">
        <v>2022</v>
      </c>
      <c r="H2620" s="474">
        <v>3</v>
      </c>
      <c r="I2620" s="485">
        <v>127356</v>
      </c>
      <c r="J2620" s="475">
        <v>44637</v>
      </c>
      <c r="K2620" s="474" t="s">
        <v>1600</v>
      </c>
      <c r="L2620" s="475" t="s">
        <v>1561</v>
      </c>
      <c r="M2620" s="475">
        <v>44468</v>
      </c>
      <c r="N2620" s="475" t="s">
        <v>1586</v>
      </c>
      <c r="O2620" s="475"/>
      <c r="P2620" s="475">
        <v>44623</v>
      </c>
      <c r="Q2620" s="475">
        <v>44637</v>
      </c>
      <c r="R2620" s="475">
        <v>44637</v>
      </c>
      <c r="S2620" s="474" t="s">
        <v>1563</v>
      </c>
      <c r="T2620" s="474">
        <v>60</v>
      </c>
      <c r="U2620" s="474" t="s">
        <v>1595</v>
      </c>
      <c r="V2620" s="474" t="s">
        <v>1574</v>
      </c>
      <c r="W2620" s="476">
        <v>400</v>
      </c>
      <c r="X2620" s="402">
        <v>624</v>
      </c>
      <c r="Y2620" s="491">
        <f t="shared" si="459"/>
        <v>249600</v>
      </c>
      <c r="Z2620" s="478">
        <v>0.44</v>
      </c>
      <c r="AA2620" s="479">
        <f t="shared" si="457"/>
        <v>109824</v>
      </c>
      <c r="AB2620" s="386"/>
      <c r="AC2620" s="481">
        <v>0</v>
      </c>
      <c r="AD2620" s="474"/>
      <c r="AE2620" s="482"/>
      <c r="AF2620" s="493">
        <f t="shared" si="458"/>
        <v>109824</v>
      </c>
      <c r="AG2620" s="501" t="s">
        <v>47</v>
      </c>
      <c r="AH2620" s="409"/>
      <c r="AI2620" s="501">
        <v>75</v>
      </c>
      <c r="AJ2620" s="501" t="s">
        <v>1577</v>
      </c>
      <c r="AK2620" s="501" t="s">
        <v>50</v>
      </c>
      <c r="AL2620" s="509">
        <v>92407</v>
      </c>
      <c r="AM2620" s="501" t="s">
        <v>52</v>
      </c>
      <c r="AN2620" s="501" t="s">
        <v>50</v>
      </c>
      <c r="AO2620" s="474"/>
      <c r="AP2620" s="474" t="s">
        <v>92</v>
      </c>
      <c r="AQ2620" s="474" t="s">
        <v>37</v>
      </c>
      <c r="AR2620" s="474"/>
      <c r="AS2620" s="387"/>
      <c r="AT2620" s="387"/>
      <c r="AU2620" s="471"/>
      <c r="AV2620" s="262" t="str">
        <f>U2620</f>
        <v>30390256H</v>
      </c>
      <c r="AW2620" s="262" cm="1">
        <f t="array" ref="AW2620">SUM(MID(0&amp;AV2620,LARGE(INDEX(ISNUMBER(--MID(AV2620,ROW($1:$8),1))*ROW($1:$8),),ROW($1:$8))+1,1)*10^ROW($1:$8)/10)</f>
        <v>30390256</v>
      </c>
      <c r="AX2620" s="262" t="str">
        <f>VLOOKUP($AW2620,'Item Master Data'!$A:$F,3,FALSE)</f>
        <v>T400H</v>
      </c>
      <c r="AY2620" s="262">
        <f>VLOOKUP($AW2620,'Item Master Data'!$A:$F,6,FALSE)</f>
        <v>400</v>
      </c>
      <c r="AZ2620" s="262">
        <f>X2620/BA2620</f>
        <v>24</v>
      </c>
      <c r="BA2620" s="262">
        <f>VLOOKUP(AW2620,'Item Master Data'!$A:$G,7,FALSE)</f>
        <v>26</v>
      </c>
      <c r="BC2620" s="262">
        <f>W2620-AY2620</f>
        <v>0</v>
      </c>
    </row>
    <row r="2621" spans="1:55">
      <c r="A2621" s="410"/>
      <c r="B2621" s="407"/>
      <c r="C2621" s="407"/>
      <c r="D2621" s="474" t="s">
        <v>1066</v>
      </c>
      <c r="E2621" s="388"/>
      <c r="F2621" s="474" t="s">
        <v>1147</v>
      </c>
      <c r="G2621" s="474">
        <v>2022</v>
      </c>
      <c r="H2621" s="474">
        <v>3</v>
      </c>
      <c r="I2621" s="485">
        <v>127347</v>
      </c>
      <c r="J2621" s="475">
        <v>44638</v>
      </c>
      <c r="K2621" s="474" t="s">
        <v>1599</v>
      </c>
      <c r="L2621" s="475" t="s">
        <v>1561</v>
      </c>
      <c r="M2621" s="475">
        <v>44468</v>
      </c>
      <c r="N2621" s="475" t="s">
        <v>1586</v>
      </c>
      <c r="O2621" s="475"/>
      <c r="P2621" s="475">
        <v>44630</v>
      </c>
      <c r="Q2621" s="475">
        <v>44637</v>
      </c>
      <c r="R2621" s="475">
        <v>44638</v>
      </c>
      <c r="S2621" s="474" t="s">
        <v>1563</v>
      </c>
      <c r="T2621" s="474">
        <v>60</v>
      </c>
      <c r="U2621" s="474" t="s">
        <v>1595</v>
      </c>
      <c r="V2621" s="474" t="s">
        <v>1574</v>
      </c>
      <c r="W2621" s="476">
        <v>400</v>
      </c>
      <c r="X2621" s="402">
        <v>624</v>
      </c>
      <c r="Y2621" s="491">
        <f t="shared" si="459"/>
        <v>249600</v>
      </c>
      <c r="Z2621" s="478">
        <v>0.44</v>
      </c>
      <c r="AA2621" s="492">
        <f t="shared" si="457"/>
        <v>109824</v>
      </c>
      <c r="AB2621" s="386"/>
      <c r="AC2621" s="481">
        <v>0</v>
      </c>
      <c r="AD2621" s="474"/>
      <c r="AE2621" s="482"/>
      <c r="AF2621" s="493">
        <f t="shared" si="458"/>
        <v>109824</v>
      </c>
      <c r="AG2621" s="474" t="s">
        <v>47</v>
      </c>
      <c r="AH2621" s="447"/>
      <c r="AI2621" s="474">
        <v>75</v>
      </c>
      <c r="AJ2621" s="474" t="s">
        <v>1577</v>
      </c>
      <c r="AK2621" s="474" t="s">
        <v>50</v>
      </c>
      <c r="AL2621" s="494">
        <v>92407</v>
      </c>
      <c r="AM2621" s="474" t="s">
        <v>52</v>
      </c>
      <c r="AN2621" s="474" t="s">
        <v>50</v>
      </c>
      <c r="AO2621" s="474"/>
      <c r="AP2621" s="474" t="s">
        <v>92</v>
      </c>
      <c r="AQ2621" s="474" t="s">
        <v>37</v>
      </c>
      <c r="AR2621" s="474"/>
      <c r="AS2621" s="387"/>
      <c r="AT2621" s="387"/>
      <c r="AU2621" s="471"/>
      <c r="AV2621" s="262" t="str">
        <f>U2621</f>
        <v>30390256H</v>
      </c>
      <c r="AW2621" s="262" cm="1">
        <f t="array" ref="AW2621">SUM(MID(0&amp;AV2621,LARGE(INDEX(ISNUMBER(--MID(AV2621,ROW($1:$8),1))*ROW($1:$8),),ROW($1:$8))+1,1)*10^ROW($1:$8)/10)</f>
        <v>30390256</v>
      </c>
      <c r="AX2621" s="262" t="str">
        <f>VLOOKUP($AW2621,'Item Master Data'!$A:$F,3,FALSE)</f>
        <v>T400H</v>
      </c>
      <c r="AY2621" s="262">
        <f>VLOOKUP($AW2621,'Item Master Data'!$A:$F,6,FALSE)</f>
        <v>400</v>
      </c>
      <c r="AZ2621" s="262">
        <f>X2621/BA2621</f>
        <v>24</v>
      </c>
      <c r="BA2621" s="262">
        <f>VLOOKUP(AW2621,'Item Master Data'!$A:$G,7,FALSE)</f>
        <v>26</v>
      </c>
      <c r="BC2621" s="262">
        <f>W2621-AY2621</f>
        <v>0</v>
      </c>
    </row>
    <row r="2622" spans="1:55">
      <c r="A2622" s="410"/>
      <c r="B2622" s="407"/>
      <c r="C2622" s="407"/>
      <c r="D2622" s="474" t="s">
        <v>1066</v>
      </c>
      <c r="E2622" s="388"/>
      <c r="F2622" s="474" t="s">
        <v>1147</v>
      </c>
      <c r="G2622" s="474">
        <v>2022</v>
      </c>
      <c r="H2622" s="474">
        <v>3</v>
      </c>
      <c r="I2622" s="485">
        <v>127346</v>
      </c>
      <c r="J2622" s="475">
        <v>44638</v>
      </c>
      <c r="K2622" s="474" t="s">
        <v>1599</v>
      </c>
      <c r="L2622" s="475" t="s">
        <v>1561</v>
      </c>
      <c r="M2622" s="475">
        <v>44468</v>
      </c>
      <c r="N2622" s="475" t="s">
        <v>1586</v>
      </c>
      <c r="O2622" s="475"/>
      <c r="P2622" s="475">
        <v>44630</v>
      </c>
      <c r="Q2622" s="475">
        <v>44637</v>
      </c>
      <c r="R2622" s="475">
        <v>44638</v>
      </c>
      <c r="S2622" s="474" t="s">
        <v>1563</v>
      </c>
      <c r="T2622" s="474">
        <v>60</v>
      </c>
      <c r="U2622" s="474" t="s">
        <v>1595</v>
      </c>
      <c r="V2622" s="474" t="s">
        <v>1574</v>
      </c>
      <c r="W2622" s="476">
        <v>400</v>
      </c>
      <c r="X2622" s="402">
        <v>624</v>
      </c>
      <c r="Y2622" s="491">
        <f t="shared" si="459"/>
        <v>249600</v>
      </c>
      <c r="Z2622" s="478">
        <v>0.44</v>
      </c>
      <c r="AA2622" s="492">
        <f t="shared" si="457"/>
        <v>109824</v>
      </c>
      <c r="AB2622" s="386"/>
      <c r="AC2622" s="481">
        <v>0</v>
      </c>
      <c r="AD2622" s="474"/>
      <c r="AE2622" s="482"/>
      <c r="AF2622" s="493">
        <f t="shared" si="458"/>
        <v>109824</v>
      </c>
      <c r="AG2622" s="474" t="s">
        <v>47</v>
      </c>
      <c r="AH2622" s="447"/>
      <c r="AI2622" s="474">
        <v>75</v>
      </c>
      <c r="AJ2622" s="474" t="s">
        <v>1577</v>
      </c>
      <c r="AK2622" s="474" t="s">
        <v>50</v>
      </c>
      <c r="AL2622" s="494">
        <v>92407</v>
      </c>
      <c r="AM2622" s="474" t="s">
        <v>52</v>
      </c>
      <c r="AN2622" s="474" t="s">
        <v>50</v>
      </c>
      <c r="AO2622" s="474"/>
      <c r="AP2622" s="474" t="s">
        <v>92</v>
      </c>
      <c r="AQ2622" s="474" t="s">
        <v>37</v>
      </c>
      <c r="AR2622" s="474"/>
      <c r="AS2622" s="387"/>
      <c r="AT2622" s="387"/>
      <c r="AU2622" s="471"/>
      <c r="AV2622" s="262" t="str">
        <f>U2622</f>
        <v>30390256H</v>
      </c>
      <c r="AW2622" s="262" cm="1">
        <f t="array" ref="AW2622">SUM(MID(0&amp;AV2622,LARGE(INDEX(ISNUMBER(--MID(AV2622,ROW($1:$8),1))*ROW($1:$8),),ROW($1:$8))+1,1)*10^ROW($1:$8)/10)</f>
        <v>30390256</v>
      </c>
      <c r="AX2622" s="262" t="str">
        <f>VLOOKUP($AW2622,'Item Master Data'!$A:$F,3,FALSE)</f>
        <v>T400H</v>
      </c>
      <c r="AY2622" s="262">
        <f>VLOOKUP($AW2622,'Item Master Data'!$A:$F,6,FALSE)</f>
        <v>400</v>
      </c>
      <c r="AZ2622" s="262">
        <f>X2622/BA2622</f>
        <v>24</v>
      </c>
      <c r="BA2622" s="262">
        <f>VLOOKUP(AW2622,'Item Master Data'!$A:$G,7,FALSE)</f>
        <v>26</v>
      </c>
      <c r="BC2622" s="262">
        <f>W2622-AY2622</f>
        <v>0</v>
      </c>
    </row>
    <row r="2623" spans="1:55">
      <c r="A2623" s="410"/>
      <c r="B2623" s="407"/>
      <c r="C2623" s="407"/>
      <c r="D2623" s="474" t="s">
        <v>1066</v>
      </c>
      <c r="E2623" s="388"/>
      <c r="F2623" s="474" t="s">
        <v>1147</v>
      </c>
      <c r="G2623" s="474">
        <v>2022</v>
      </c>
      <c r="H2623" s="474">
        <v>3</v>
      </c>
      <c r="I2623" s="485">
        <v>127427</v>
      </c>
      <c r="J2623" s="475">
        <v>44641</v>
      </c>
      <c r="K2623" s="474" t="s">
        <v>1599</v>
      </c>
      <c r="L2623" s="475" t="s">
        <v>1561</v>
      </c>
      <c r="M2623" s="475">
        <v>44468</v>
      </c>
      <c r="N2623" s="475" t="s">
        <v>1586</v>
      </c>
      <c r="O2623" s="475"/>
      <c r="P2623" s="475">
        <v>44630</v>
      </c>
      <c r="Q2623" s="475">
        <v>44641</v>
      </c>
      <c r="R2623" s="475">
        <v>44641</v>
      </c>
      <c r="S2623" s="474" t="s">
        <v>1563</v>
      </c>
      <c r="T2623" s="474">
        <v>60</v>
      </c>
      <c r="U2623" s="474" t="s">
        <v>1573</v>
      </c>
      <c r="V2623" s="474" t="s">
        <v>1574</v>
      </c>
      <c r="W2623" s="476">
        <v>400</v>
      </c>
      <c r="X2623" s="402">
        <v>624</v>
      </c>
      <c r="Y2623" s="491">
        <f t="shared" si="459"/>
        <v>249600</v>
      </c>
      <c r="Z2623" s="478">
        <v>0.44</v>
      </c>
      <c r="AA2623" s="492">
        <f t="shared" si="457"/>
        <v>109824</v>
      </c>
      <c r="AB2623" s="386"/>
      <c r="AC2623" s="481">
        <v>0</v>
      </c>
      <c r="AD2623" s="474"/>
      <c r="AE2623" s="482"/>
      <c r="AF2623" s="493">
        <f t="shared" si="458"/>
        <v>109824</v>
      </c>
      <c r="AG2623" s="474" t="s">
        <v>47</v>
      </c>
      <c r="AH2623" s="447"/>
      <c r="AI2623" s="474">
        <v>75</v>
      </c>
      <c r="AJ2623" s="474" t="s">
        <v>1577</v>
      </c>
      <c r="AK2623" s="474" t="s">
        <v>50</v>
      </c>
      <c r="AL2623" s="494">
        <v>92407</v>
      </c>
      <c r="AM2623" s="474" t="s">
        <v>52</v>
      </c>
      <c r="AN2623" s="474" t="s">
        <v>50</v>
      </c>
      <c r="AO2623" s="474"/>
      <c r="AP2623" s="474" t="s">
        <v>92</v>
      </c>
      <c r="AQ2623" s="474" t="s">
        <v>37</v>
      </c>
      <c r="AR2623" s="474"/>
      <c r="AS2623" s="387"/>
      <c r="AT2623" s="387"/>
      <c r="AU2623" s="471"/>
    </row>
    <row r="2624" spans="1:55">
      <c r="A2624" s="410"/>
      <c r="B2624" s="407"/>
      <c r="C2624" s="407"/>
      <c r="D2624" s="474" t="s">
        <v>1066</v>
      </c>
      <c r="E2624" s="388" t="s">
        <v>1118</v>
      </c>
      <c r="F2624" s="474" t="s">
        <v>87</v>
      </c>
      <c r="G2624" s="474">
        <v>2022</v>
      </c>
      <c r="H2624" s="474">
        <v>3</v>
      </c>
      <c r="I2624" s="485">
        <v>127243</v>
      </c>
      <c r="J2624" s="475">
        <v>44631</v>
      </c>
      <c r="K2624" s="474" t="s">
        <v>1592</v>
      </c>
      <c r="L2624" s="475" t="s">
        <v>1561</v>
      </c>
      <c r="M2624" s="475">
        <v>44592</v>
      </c>
      <c r="N2624" s="475">
        <v>44596</v>
      </c>
      <c r="O2624" s="475"/>
      <c r="P2624" s="475">
        <v>44606</v>
      </c>
      <c r="Q2624" s="475">
        <v>44628</v>
      </c>
      <c r="R2624" s="475">
        <v>44631</v>
      </c>
      <c r="S2624" s="474" t="s">
        <v>1563</v>
      </c>
      <c r="T2624" s="474">
        <v>72</v>
      </c>
      <c r="U2624" s="474" t="s">
        <v>1541</v>
      </c>
      <c r="V2624" s="474" t="s">
        <v>1070</v>
      </c>
      <c r="W2624" s="476">
        <v>475</v>
      </c>
      <c r="X2624" s="402">
        <v>638</v>
      </c>
      <c r="Y2624" s="491">
        <f t="shared" si="459"/>
        <v>303050</v>
      </c>
      <c r="Z2624" s="478">
        <v>0.47</v>
      </c>
      <c r="AA2624" s="479">
        <f t="shared" si="457"/>
        <v>142433.5</v>
      </c>
      <c r="AB2624" s="386"/>
      <c r="AC2624" s="481">
        <v>0</v>
      </c>
      <c r="AD2624" s="474"/>
      <c r="AE2624" s="482"/>
      <c r="AF2624" s="493">
        <f t="shared" si="458"/>
        <v>142433.5</v>
      </c>
      <c r="AG2624" s="501" t="s">
        <v>47</v>
      </c>
      <c r="AH2624" s="409"/>
      <c r="AI2624" s="501">
        <v>60</v>
      </c>
      <c r="AJ2624" s="501" t="s">
        <v>1593</v>
      </c>
      <c r="AK2624" s="501" t="s">
        <v>1144</v>
      </c>
      <c r="AL2624" s="509">
        <v>78725</v>
      </c>
      <c r="AM2624" s="501" t="s">
        <v>52</v>
      </c>
      <c r="AN2624" s="501" t="s">
        <v>1085</v>
      </c>
      <c r="AO2624" s="474"/>
      <c r="AP2624" s="474" t="s">
        <v>92</v>
      </c>
      <c r="AQ2624" s="474" t="s">
        <v>37</v>
      </c>
      <c r="AR2624" s="474"/>
      <c r="AS2624" s="387"/>
      <c r="AT2624" s="387"/>
      <c r="AU2624" s="471"/>
    </row>
    <row r="2625" spans="1:55">
      <c r="A2625" s="410"/>
      <c r="B2625" s="407"/>
      <c r="C2625" s="407"/>
      <c r="D2625" s="474" t="s">
        <v>1066</v>
      </c>
      <c r="E2625" s="388"/>
      <c r="F2625" s="474" t="s">
        <v>1147</v>
      </c>
      <c r="G2625" s="474">
        <v>2022</v>
      </c>
      <c r="H2625" s="474">
        <v>3</v>
      </c>
      <c r="I2625" s="485">
        <v>127426</v>
      </c>
      <c r="J2625" s="475">
        <v>44641</v>
      </c>
      <c r="K2625" s="474" t="s">
        <v>1599</v>
      </c>
      <c r="L2625" s="475" t="s">
        <v>1561</v>
      </c>
      <c r="M2625" s="475">
        <v>44468</v>
      </c>
      <c r="N2625" s="475" t="s">
        <v>1586</v>
      </c>
      <c r="O2625" s="475"/>
      <c r="P2625" s="475">
        <v>44630</v>
      </c>
      <c r="Q2625" s="475">
        <v>44641</v>
      </c>
      <c r="R2625" s="475">
        <v>44641</v>
      </c>
      <c r="S2625" s="474" t="s">
        <v>1563</v>
      </c>
      <c r="T2625" s="474">
        <v>60</v>
      </c>
      <c r="U2625" s="474" t="s">
        <v>1573</v>
      </c>
      <c r="V2625" s="474" t="s">
        <v>1574</v>
      </c>
      <c r="W2625" s="476">
        <v>400</v>
      </c>
      <c r="X2625" s="402">
        <v>624</v>
      </c>
      <c r="Y2625" s="491">
        <f t="shared" si="459"/>
        <v>249600</v>
      </c>
      <c r="Z2625" s="478">
        <v>0.44</v>
      </c>
      <c r="AA2625" s="492">
        <f t="shared" ref="AA2625:AA2688" si="460">Z2625*Y2625</f>
        <v>109824</v>
      </c>
      <c r="AB2625" s="386"/>
      <c r="AC2625" s="481">
        <v>0</v>
      </c>
      <c r="AD2625" s="474"/>
      <c r="AE2625" s="482"/>
      <c r="AF2625" s="493">
        <f t="shared" ref="AF2625:AF2688" si="461">AA2625+AE2625</f>
        <v>109824</v>
      </c>
      <c r="AG2625" s="474" t="s">
        <v>47</v>
      </c>
      <c r="AH2625" s="447"/>
      <c r="AI2625" s="474">
        <v>75</v>
      </c>
      <c r="AJ2625" s="474" t="s">
        <v>1577</v>
      </c>
      <c r="AK2625" s="474" t="s">
        <v>50</v>
      </c>
      <c r="AL2625" s="494">
        <v>92407</v>
      </c>
      <c r="AM2625" s="474" t="s">
        <v>52</v>
      </c>
      <c r="AN2625" s="474" t="s">
        <v>50</v>
      </c>
      <c r="AO2625" s="474"/>
      <c r="AP2625" s="474" t="s">
        <v>92</v>
      </c>
      <c r="AQ2625" s="474" t="s">
        <v>37</v>
      </c>
      <c r="AR2625" s="474"/>
      <c r="AS2625" s="387"/>
      <c r="AT2625" s="387"/>
      <c r="AU2625" s="471"/>
    </row>
    <row r="2626" spans="1:55">
      <c r="A2626" s="410"/>
      <c r="B2626" s="407"/>
      <c r="C2626" s="407"/>
      <c r="D2626" s="474" t="s">
        <v>1066</v>
      </c>
      <c r="E2626" s="388" t="s">
        <v>50</v>
      </c>
      <c r="F2626" s="474" t="s">
        <v>1147</v>
      </c>
      <c r="G2626" s="474">
        <v>2022</v>
      </c>
      <c r="H2626" s="474">
        <v>3</v>
      </c>
      <c r="I2626" s="485">
        <v>127546</v>
      </c>
      <c r="J2626" s="475">
        <v>44645</v>
      </c>
      <c r="K2626" s="474" t="s">
        <v>1596</v>
      </c>
      <c r="L2626" s="475" t="s">
        <v>1561</v>
      </c>
      <c r="M2626" s="475">
        <v>44468</v>
      </c>
      <c r="N2626" s="475" t="s">
        <v>1586</v>
      </c>
      <c r="O2626" s="475"/>
      <c r="P2626" s="475">
        <v>44630</v>
      </c>
      <c r="Q2626" s="475">
        <v>44644</v>
      </c>
      <c r="R2626" s="475">
        <v>44645</v>
      </c>
      <c r="S2626" s="474" t="s">
        <v>1563</v>
      </c>
      <c r="T2626" s="474">
        <v>60</v>
      </c>
      <c r="U2626" s="474" t="s">
        <v>1595</v>
      </c>
      <c r="V2626" s="474" t="s">
        <v>1574</v>
      </c>
      <c r="W2626" s="476">
        <v>400</v>
      </c>
      <c r="X2626" s="402">
        <v>624</v>
      </c>
      <c r="Y2626" s="491">
        <f t="shared" si="459"/>
        <v>249600</v>
      </c>
      <c r="Z2626" s="478">
        <v>0.44</v>
      </c>
      <c r="AA2626" s="492">
        <f t="shared" si="460"/>
        <v>109824</v>
      </c>
      <c r="AB2626" s="386"/>
      <c r="AC2626" s="481">
        <v>0</v>
      </c>
      <c r="AD2626" s="474"/>
      <c r="AE2626" s="482"/>
      <c r="AF2626" s="493">
        <f t="shared" si="461"/>
        <v>109824</v>
      </c>
      <c r="AG2626" s="474" t="s">
        <v>47</v>
      </c>
      <c r="AH2626" s="447"/>
      <c r="AI2626" s="474">
        <v>75</v>
      </c>
      <c r="AJ2626" s="474" t="s">
        <v>1575</v>
      </c>
      <c r="AK2626" s="474" t="s">
        <v>50</v>
      </c>
      <c r="AL2626" s="494">
        <v>94544</v>
      </c>
      <c r="AM2626" s="474" t="s">
        <v>52</v>
      </c>
      <c r="AN2626" s="474" t="s">
        <v>50</v>
      </c>
      <c r="AO2626" s="474"/>
      <c r="AP2626" s="474" t="s">
        <v>92</v>
      </c>
      <c r="AQ2626" s="474" t="s">
        <v>37</v>
      </c>
      <c r="AR2626" s="474"/>
      <c r="AS2626" s="387"/>
      <c r="AT2626" s="387"/>
      <c r="AU2626" s="471"/>
    </row>
    <row r="2627" spans="1:55">
      <c r="A2627" s="410"/>
      <c r="B2627" s="407"/>
      <c r="C2627" s="407"/>
      <c r="D2627" s="474" t="s">
        <v>1066</v>
      </c>
      <c r="E2627" s="388"/>
      <c r="F2627" s="474" t="s">
        <v>87</v>
      </c>
      <c r="G2627" s="474">
        <v>2022</v>
      </c>
      <c r="H2627" s="474">
        <v>3</v>
      </c>
      <c r="I2627" s="485">
        <v>127332</v>
      </c>
      <c r="J2627" s="475">
        <v>44634</v>
      </c>
      <c r="K2627" s="474" t="s">
        <v>1592</v>
      </c>
      <c r="L2627" s="475" t="s">
        <v>1561</v>
      </c>
      <c r="M2627" s="475">
        <v>44592</v>
      </c>
      <c r="N2627" s="475">
        <v>44596</v>
      </c>
      <c r="O2627" s="475"/>
      <c r="P2627" s="475">
        <v>44606</v>
      </c>
      <c r="Q2627" s="475">
        <v>44631</v>
      </c>
      <c r="R2627" s="475">
        <v>44634</v>
      </c>
      <c r="S2627" s="474" t="s">
        <v>1563</v>
      </c>
      <c r="T2627" s="474">
        <v>72</v>
      </c>
      <c r="U2627" s="474" t="s">
        <v>1542</v>
      </c>
      <c r="V2627" s="474" t="s">
        <v>1070</v>
      </c>
      <c r="W2627" s="476">
        <v>475</v>
      </c>
      <c r="X2627" s="402">
        <v>638</v>
      </c>
      <c r="Y2627" s="491">
        <f t="shared" si="459"/>
        <v>303050</v>
      </c>
      <c r="Z2627" s="478">
        <v>0.47</v>
      </c>
      <c r="AA2627" s="479">
        <f t="shared" si="460"/>
        <v>142433.5</v>
      </c>
      <c r="AB2627" s="386"/>
      <c r="AC2627" s="481">
        <v>0</v>
      </c>
      <c r="AD2627" s="474"/>
      <c r="AE2627" s="482"/>
      <c r="AF2627" s="493">
        <f t="shared" si="461"/>
        <v>142433.5</v>
      </c>
      <c r="AG2627" s="501" t="s">
        <v>47</v>
      </c>
      <c r="AH2627" s="409"/>
      <c r="AI2627" s="501">
        <v>60</v>
      </c>
      <c r="AJ2627" s="501" t="s">
        <v>1593</v>
      </c>
      <c r="AK2627" s="501" t="s">
        <v>1144</v>
      </c>
      <c r="AL2627" s="509">
        <v>78725</v>
      </c>
      <c r="AM2627" s="501" t="s">
        <v>52</v>
      </c>
      <c r="AN2627" s="501" t="s">
        <v>1085</v>
      </c>
      <c r="AO2627" s="474"/>
      <c r="AP2627" s="474" t="s">
        <v>92</v>
      </c>
      <c r="AQ2627" s="474" t="s">
        <v>37</v>
      </c>
      <c r="AR2627" s="474"/>
      <c r="AS2627" s="387"/>
      <c r="AT2627" s="387"/>
      <c r="AU2627" s="471"/>
    </row>
    <row r="2628" spans="1:55">
      <c r="A2628" s="410"/>
      <c r="B2628" s="407"/>
      <c r="C2628" s="407"/>
      <c r="D2628" s="474" t="s">
        <v>1066</v>
      </c>
      <c r="E2628" s="388"/>
      <c r="F2628" s="474" t="s">
        <v>87</v>
      </c>
      <c r="G2628" s="474">
        <v>2022</v>
      </c>
      <c r="H2628" s="474">
        <v>3</v>
      </c>
      <c r="I2628" s="485">
        <v>127333</v>
      </c>
      <c r="J2628" s="475">
        <v>44635</v>
      </c>
      <c r="K2628" s="474" t="s">
        <v>1592</v>
      </c>
      <c r="L2628" s="475" t="s">
        <v>1561</v>
      </c>
      <c r="M2628" s="475">
        <v>44592</v>
      </c>
      <c r="N2628" s="475">
        <v>44596</v>
      </c>
      <c r="O2628" s="475"/>
      <c r="P2628" s="475">
        <v>44606</v>
      </c>
      <c r="Q2628" s="475">
        <v>44631</v>
      </c>
      <c r="R2628" s="475">
        <v>44635</v>
      </c>
      <c r="S2628" s="474" t="s">
        <v>1563</v>
      </c>
      <c r="T2628" s="474">
        <v>72</v>
      </c>
      <c r="U2628" s="474" t="s">
        <v>1542</v>
      </c>
      <c r="V2628" s="474" t="s">
        <v>1070</v>
      </c>
      <c r="W2628" s="476">
        <v>475</v>
      </c>
      <c r="X2628" s="402">
        <v>638</v>
      </c>
      <c r="Y2628" s="491">
        <f t="shared" si="459"/>
        <v>303050</v>
      </c>
      <c r="Z2628" s="478">
        <v>0.47</v>
      </c>
      <c r="AA2628" s="479">
        <f t="shared" si="460"/>
        <v>142433.5</v>
      </c>
      <c r="AB2628" s="386"/>
      <c r="AC2628" s="481">
        <v>0</v>
      </c>
      <c r="AD2628" s="474"/>
      <c r="AE2628" s="482"/>
      <c r="AF2628" s="493">
        <f t="shared" si="461"/>
        <v>142433.5</v>
      </c>
      <c r="AG2628" s="501" t="s">
        <v>47</v>
      </c>
      <c r="AH2628" s="409"/>
      <c r="AI2628" s="501">
        <v>60</v>
      </c>
      <c r="AJ2628" s="501" t="s">
        <v>1593</v>
      </c>
      <c r="AK2628" s="501" t="s">
        <v>1144</v>
      </c>
      <c r="AL2628" s="509">
        <v>78725</v>
      </c>
      <c r="AM2628" s="501" t="s">
        <v>52</v>
      </c>
      <c r="AN2628" s="501" t="s">
        <v>1085</v>
      </c>
      <c r="AO2628" s="474"/>
      <c r="AP2628" s="474" t="s">
        <v>92</v>
      </c>
      <c r="AQ2628" s="474" t="s">
        <v>37</v>
      </c>
      <c r="AR2628" s="474"/>
      <c r="AS2628" s="387"/>
      <c r="AT2628" s="387"/>
      <c r="AU2628" s="471"/>
    </row>
    <row r="2629" spans="1:55">
      <c r="A2629" s="410"/>
      <c r="B2629" s="407"/>
      <c r="C2629" s="407"/>
      <c r="D2629" s="474" t="s">
        <v>1066</v>
      </c>
      <c r="E2629" s="388"/>
      <c r="F2629" s="474" t="s">
        <v>87</v>
      </c>
      <c r="G2629" s="474">
        <v>2022</v>
      </c>
      <c r="H2629" s="474">
        <v>3</v>
      </c>
      <c r="I2629" s="485">
        <v>127395</v>
      </c>
      <c r="J2629" s="475">
        <v>44637</v>
      </c>
      <c r="K2629" s="474" t="s">
        <v>1592</v>
      </c>
      <c r="L2629" s="475" t="s">
        <v>1561</v>
      </c>
      <c r="M2629" s="475">
        <v>44592</v>
      </c>
      <c r="N2629" s="475">
        <v>44596</v>
      </c>
      <c r="O2629" s="475"/>
      <c r="P2629" s="475">
        <v>44606</v>
      </c>
      <c r="Q2629" s="475">
        <v>44634</v>
      </c>
      <c r="R2629" s="475">
        <v>44637</v>
      </c>
      <c r="S2629" s="474" t="s">
        <v>1563</v>
      </c>
      <c r="T2629" s="474">
        <v>72</v>
      </c>
      <c r="U2629" s="474" t="s">
        <v>1542</v>
      </c>
      <c r="V2629" s="474" t="s">
        <v>1070</v>
      </c>
      <c r="W2629" s="476">
        <v>475</v>
      </c>
      <c r="X2629" s="402">
        <v>638</v>
      </c>
      <c r="Y2629" s="491">
        <f t="shared" si="459"/>
        <v>303050</v>
      </c>
      <c r="Z2629" s="478">
        <v>0.47</v>
      </c>
      <c r="AA2629" s="479">
        <f t="shared" si="460"/>
        <v>142433.5</v>
      </c>
      <c r="AB2629" s="386"/>
      <c r="AC2629" s="481">
        <v>0</v>
      </c>
      <c r="AD2629" s="474"/>
      <c r="AE2629" s="482"/>
      <c r="AF2629" s="493">
        <f t="shared" si="461"/>
        <v>142433.5</v>
      </c>
      <c r="AG2629" s="501" t="s">
        <v>47</v>
      </c>
      <c r="AH2629" s="409"/>
      <c r="AI2629" s="501">
        <v>60</v>
      </c>
      <c r="AJ2629" s="501" t="s">
        <v>1593</v>
      </c>
      <c r="AK2629" s="501" t="s">
        <v>1144</v>
      </c>
      <c r="AL2629" s="509">
        <v>78725</v>
      </c>
      <c r="AM2629" s="501" t="s">
        <v>52</v>
      </c>
      <c r="AN2629" s="501" t="s">
        <v>1085</v>
      </c>
      <c r="AO2629" s="474"/>
      <c r="AP2629" s="474" t="s">
        <v>92</v>
      </c>
      <c r="AQ2629" s="474" t="s">
        <v>37</v>
      </c>
      <c r="AR2629" s="474"/>
      <c r="AS2629" s="387"/>
      <c r="AT2629" s="387"/>
      <c r="AU2629" s="471"/>
    </row>
    <row r="2630" spans="1:55">
      <c r="A2630" s="410"/>
      <c r="B2630" s="407"/>
      <c r="C2630" s="407"/>
      <c r="D2630" s="474" t="s">
        <v>1066</v>
      </c>
      <c r="E2630" s="388"/>
      <c r="F2630" s="474" t="s">
        <v>1147</v>
      </c>
      <c r="G2630" s="474">
        <v>2022</v>
      </c>
      <c r="H2630" s="474">
        <v>3</v>
      </c>
      <c r="I2630" s="485">
        <v>127218</v>
      </c>
      <c r="J2630" s="475">
        <v>44627</v>
      </c>
      <c r="K2630" s="474" t="s">
        <v>1600</v>
      </c>
      <c r="L2630" s="475" t="s">
        <v>1561</v>
      </c>
      <c r="M2630" s="475">
        <v>44468</v>
      </c>
      <c r="N2630" s="475" t="s">
        <v>1586</v>
      </c>
      <c r="O2630" s="475"/>
      <c r="P2630" s="475">
        <v>44623</v>
      </c>
      <c r="Q2630" s="475">
        <v>44627</v>
      </c>
      <c r="R2630" s="475">
        <v>44627</v>
      </c>
      <c r="S2630" s="474" t="s">
        <v>1563</v>
      </c>
      <c r="T2630" s="474">
        <v>60</v>
      </c>
      <c r="U2630" s="474" t="s">
        <v>1573</v>
      </c>
      <c r="V2630" s="474" t="s">
        <v>1574</v>
      </c>
      <c r="W2630" s="476">
        <v>400</v>
      </c>
      <c r="X2630" s="402">
        <v>624</v>
      </c>
      <c r="Y2630" s="491">
        <f t="shared" si="459"/>
        <v>249600</v>
      </c>
      <c r="Z2630" s="478">
        <v>0.44</v>
      </c>
      <c r="AA2630" s="479">
        <f t="shared" si="460"/>
        <v>109824</v>
      </c>
      <c r="AB2630" s="386"/>
      <c r="AC2630" s="481">
        <v>0</v>
      </c>
      <c r="AD2630" s="474"/>
      <c r="AE2630" s="482"/>
      <c r="AF2630" s="493">
        <f t="shared" si="461"/>
        <v>109824</v>
      </c>
      <c r="AG2630" s="501" t="s">
        <v>47</v>
      </c>
      <c r="AH2630" s="409"/>
      <c r="AI2630" s="501">
        <v>75</v>
      </c>
      <c r="AJ2630" s="501" t="s">
        <v>1577</v>
      </c>
      <c r="AK2630" s="501" t="s">
        <v>50</v>
      </c>
      <c r="AL2630" s="509">
        <v>92407</v>
      </c>
      <c r="AM2630" s="501" t="s">
        <v>52</v>
      </c>
      <c r="AN2630" s="501" t="s">
        <v>50</v>
      </c>
      <c r="AO2630" s="474"/>
      <c r="AP2630" s="474" t="s">
        <v>92</v>
      </c>
      <c r="AQ2630" s="474" t="s">
        <v>37</v>
      </c>
      <c r="AR2630" s="474"/>
      <c r="AS2630" s="387"/>
      <c r="AT2630" s="387"/>
      <c r="AU2630" s="471"/>
    </row>
    <row r="2631" spans="1:55">
      <c r="A2631" s="410"/>
      <c r="B2631" s="407"/>
      <c r="C2631" s="407"/>
      <c r="D2631" s="474" t="s">
        <v>1066</v>
      </c>
      <c r="E2631" s="388"/>
      <c r="F2631" s="474" t="s">
        <v>1147</v>
      </c>
      <c r="G2631" s="474">
        <v>2022</v>
      </c>
      <c r="H2631" s="474">
        <v>3</v>
      </c>
      <c r="I2631" s="485">
        <v>127239</v>
      </c>
      <c r="J2631" s="475">
        <v>44629</v>
      </c>
      <c r="K2631" s="474" t="s">
        <v>1600</v>
      </c>
      <c r="L2631" s="475" t="s">
        <v>1561</v>
      </c>
      <c r="M2631" s="475">
        <v>44468</v>
      </c>
      <c r="N2631" s="475" t="s">
        <v>1586</v>
      </c>
      <c r="O2631" s="475"/>
      <c r="P2631" s="475">
        <v>44623</v>
      </c>
      <c r="Q2631" s="475">
        <v>44629</v>
      </c>
      <c r="R2631" s="475">
        <v>44629</v>
      </c>
      <c r="S2631" s="474" t="s">
        <v>1563</v>
      </c>
      <c r="T2631" s="474">
        <v>60</v>
      </c>
      <c r="U2631" s="474" t="s">
        <v>1573</v>
      </c>
      <c r="V2631" s="474" t="s">
        <v>1574</v>
      </c>
      <c r="W2631" s="476">
        <v>400</v>
      </c>
      <c r="X2631" s="402">
        <v>624</v>
      </c>
      <c r="Y2631" s="491">
        <f t="shared" si="459"/>
        <v>249600</v>
      </c>
      <c r="Z2631" s="478">
        <v>0.44</v>
      </c>
      <c r="AA2631" s="479">
        <f t="shared" si="460"/>
        <v>109824</v>
      </c>
      <c r="AB2631" s="386"/>
      <c r="AC2631" s="481">
        <v>0</v>
      </c>
      <c r="AD2631" s="474"/>
      <c r="AE2631" s="482"/>
      <c r="AF2631" s="493">
        <f t="shared" si="461"/>
        <v>109824</v>
      </c>
      <c r="AG2631" s="501" t="s">
        <v>47</v>
      </c>
      <c r="AH2631" s="409"/>
      <c r="AI2631" s="501">
        <v>75</v>
      </c>
      <c r="AJ2631" s="501" t="s">
        <v>1577</v>
      </c>
      <c r="AK2631" s="501" t="s">
        <v>50</v>
      </c>
      <c r="AL2631" s="509">
        <v>92407</v>
      </c>
      <c r="AM2631" s="501" t="s">
        <v>52</v>
      </c>
      <c r="AN2631" s="501" t="s">
        <v>50</v>
      </c>
      <c r="AO2631" s="474"/>
      <c r="AP2631" s="474" t="s">
        <v>92</v>
      </c>
      <c r="AQ2631" s="474" t="s">
        <v>37</v>
      </c>
      <c r="AR2631" s="474"/>
      <c r="AS2631" s="387"/>
      <c r="AT2631" s="387"/>
      <c r="AU2631" s="471"/>
    </row>
    <row r="2632" spans="1:55">
      <c r="A2632" s="410"/>
      <c r="B2632" s="407"/>
      <c r="C2632" s="407"/>
      <c r="D2632" s="474" t="s">
        <v>1066</v>
      </c>
      <c r="E2632" s="388" t="s">
        <v>1122</v>
      </c>
      <c r="F2632" s="474" t="s">
        <v>1147</v>
      </c>
      <c r="G2632" s="474">
        <v>2022</v>
      </c>
      <c r="H2632" s="474">
        <v>3</v>
      </c>
      <c r="I2632" s="485">
        <v>127304</v>
      </c>
      <c r="J2632" s="475">
        <v>44631</v>
      </c>
      <c r="K2632" s="474" t="s">
        <v>1584</v>
      </c>
      <c r="L2632" s="475" t="s">
        <v>1561</v>
      </c>
      <c r="M2632" s="475">
        <v>44468</v>
      </c>
      <c r="N2632" s="475" t="s">
        <v>1571</v>
      </c>
      <c r="O2632" s="475"/>
      <c r="P2632" s="475">
        <v>44596</v>
      </c>
      <c r="Q2632" s="475">
        <v>44630</v>
      </c>
      <c r="R2632" s="475">
        <v>44631</v>
      </c>
      <c r="S2632" s="474" t="s">
        <v>1563</v>
      </c>
      <c r="T2632" s="474">
        <v>60</v>
      </c>
      <c r="U2632" s="474" t="s">
        <v>1573</v>
      </c>
      <c r="V2632" s="474" t="s">
        <v>1574</v>
      </c>
      <c r="W2632" s="476">
        <v>400</v>
      </c>
      <c r="X2632" s="402">
        <v>624</v>
      </c>
      <c r="Y2632" s="491">
        <f t="shared" si="459"/>
        <v>249600</v>
      </c>
      <c r="Z2632" s="478">
        <v>0.44</v>
      </c>
      <c r="AA2632" s="492">
        <f t="shared" si="460"/>
        <v>109824</v>
      </c>
      <c r="AB2632" s="386"/>
      <c r="AC2632" s="481">
        <v>0</v>
      </c>
      <c r="AD2632" s="474"/>
      <c r="AE2632" s="482"/>
      <c r="AF2632" s="493">
        <f t="shared" si="461"/>
        <v>109824</v>
      </c>
      <c r="AG2632" s="474" t="s">
        <v>47</v>
      </c>
      <c r="AH2632" s="447"/>
      <c r="AI2632" s="474">
        <v>75</v>
      </c>
      <c r="AJ2632" s="474" t="s">
        <v>1575</v>
      </c>
      <c r="AK2632" s="474" t="s">
        <v>50</v>
      </c>
      <c r="AL2632" s="494">
        <v>94544</v>
      </c>
      <c r="AM2632" s="474" t="s">
        <v>52</v>
      </c>
      <c r="AN2632" s="474" t="s">
        <v>1568</v>
      </c>
      <c r="AO2632" s="474"/>
      <c r="AP2632" s="474" t="s">
        <v>92</v>
      </c>
      <c r="AQ2632" s="474" t="s">
        <v>37</v>
      </c>
      <c r="AR2632" s="474"/>
      <c r="AS2632" s="387"/>
      <c r="AT2632" s="387"/>
      <c r="AU2632" s="471"/>
    </row>
    <row r="2633" spans="1:55">
      <c r="A2633" s="410"/>
      <c r="B2633" s="407"/>
      <c r="C2633" s="407"/>
      <c r="D2633" s="474" t="s">
        <v>1066</v>
      </c>
      <c r="E2633" s="388" t="s">
        <v>1122</v>
      </c>
      <c r="F2633" s="474" t="s">
        <v>1147</v>
      </c>
      <c r="G2633" s="474">
        <v>2022</v>
      </c>
      <c r="H2633" s="474">
        <v>3</v>
      </c>
      <c r="I2633" s="485">
        <v>127303</v>
      </c>
      <c r="J2633" s="475">
        <v>44631</v>
      </c>
      <c r="K2633" s="474" t="s">
        <v>1584</v>
      </c>
      <c r="L2633" s="475" t="s">
        <v>1561</v>
      </c>
      <c r="M2633" s="475">
        <v>44468</v>
      </c>
      <c r="N2633" s="475" t="s">
        <v>1571</v>
      </c>
      <c r="O2633" s="475"/>
      <c r="P2633" s="475">
        <v>44596</v>
      </c>
      <c r="Q2633" s="475">
        <v>44629</v>
      </c>
      <c r="R2633" s="475">
        <v>44631</v>
      </c>
      <c r="S2633" s="474" t="s">
        <v>1563</v>
      </c>
      <c r="T2633" s="474">
        <v>60</v>
      </c>
      <c r="U2633" s="474" t="s">
        <v>1573</v>
      </c>
      <c r="V2633" s="474" t="s">
        <v>1574</v>
      </c>
      <c r="W2633" s="476">
        <v>400</v>
      </c>
      <c r="X2633" s="402">
        <v>624</v>
      </c>
      <c r="Y2633" s="491">
        <f t="shared" si="459"/>
        <v>249600</v>
      </c>
      <c r="Z2633" s="478">
        <v>0.44</v>
      </c>
      <c r="AA2633" s="492">
        <f t="shared" si="460"/>
        <v>109824</v>
      </c>
      <c r="AB2633" s="386"/>
      <c r="AC2633" s="481">
        <v>0</v>
      </c>
      <c r="AD2633" s="474"/>
      <c r="AE2633" s="482"/>
      <c r="AF2633" s="493">
        <f t="shared" si="461"/>
        <v>109824</v>
      </c>
      <c r="AG2633" s="474" t="s">
        <v>47</v>
      </c>
      <c r="AH2633" s="447"/>
      <c r="AI2633" s="474">
        <v>75</v>
      </c>
      <c r="AJ2633" s="474" t="s">
        <v>1575</v>
      </c>
      <c r="AK2633" s="474" t="s">
        <v>50</v>
      </c>
      <c r="AL2633" s="494">
        <v>94544</v>
      </c>
      <c r="AM2633" s="474" t="s">
        <v>52</v>
      </c>
      <c r="AN2633" s="474" t="s">
        <v>1568</v>
      </c>
      <c r="AO2633" s="474"/>
      <c r="AP2633" s="474" t="s">
        <v>92</v>
      </c>
      <c r="AQ2633" s="474" t="s">
        <v>37</v>
      </c>
      <c r="AR2633" s="474"/>
      <c r="AS2633" s="387"/>
      <c r="AT2633" s="387"/>
      <c r="AU2633" s="471"/>
    </row>
    <row r="2634" spans="1:55">
      <c r="A2634" s="410"/>
      <c r="B2634" s="407"/>
      <c r="C2634" s="407"/>
      <c r="D2634" s="474" t="s">
        <v>1066</v>
      </c>
      <c r="E2634" s="388"/>
      <c r="F2634" s="474" t="s">
        <v>1147</v>
      </c>
      <c r="G2634" s="474">
        <v>2022</v>
      </c>
      <c r="H2634" s="474">
        <v>3</v>
      </c>
      <c r="I2634" s="485">
        <v>127240</v>
      </c>
      <c r="J2634" s="475">
        <v>44629</v>
      </c>
      <c r="K2634" s="474" t="s">
        <v>1600</v>
      </c>
      <c r="L2634" s="475" t="s">
        <v>1561</v>
      </c>
      <c r="M2634" s="475">
        <v>44468</v>
      </c>
      <c r="N2634" s="475" t="s">
        <v>1586</v>
      </c>
      <c r="O2634" s="475"/>
      <c r="P2634" s="475">
        <v>44623</v>
      </c>
      <c r="Q2634" s="475">
        <v>44629</v>
      </c>
      <c r="R2634" s="475">
        <v>44629</v>
      </c>
      <c r="S2634" s="474" t="s">
        <v>1563</v>
      </c>
      <c r="T2634" s="474">
        <v>60</v>
      </c>
      <c r="U2634" s="474" t="s">
        <v>1573</v>
      </c>
      <c r="V2634" s="474" t="s">
        <v>1574</v>
      </c>
      <c r="W2634" s="476">
        <v>400</v>
      </c>
      <c r="X2634" s="402">
        <v>624</v>
      </c>
      <c r="Y2634" s="491">
        <f t="shared" si="459"/>
        <v>249600</v>
      </c>
      <c r="Z2634" s="478">
        <v>0.44</v>
      </c>
      <c r="AA2634" s="479">
        <f t="shared" si="460"/>
        <v>109824</v>
      </c>
      <c r="AB2634" s="386"/>
      <c r="AC2634" s="481">
        <v>0</v>
      </c>
      <c r="AD2634" s="474"/>
      <c r="AE2634" s="482"/>
      <c r="AF2634" s="493">
        <f t="shared" si="461"/>
        <v>109824</v>
      </c>
      <c r="AG2634" s="501" t="s">
        <v>47</v>
      </c>
      <c r="AH2634" s="409"/>
      <c r="AI2634" s="501">
        <v>75</v>
      </c>
      <c r="AJ2634" s="501" t="s">
        <v>1577</v>
      </c>
      <c r="AK2634" s="501" t="s">
        <v>50</v>
      </c>
      <c r="AL2634" s="509">
        <v>92407</v>
      </c>
      <c r="AM2634" s="501" t="s">
        <v>52</v>
      </c>
      <c r="AN2634" s="501" t="s">
        <v>50</v>
      </c>
      <c r="AO2634" s="474"/>
      <c r="AP2634" s="474" t="s">
        <v>92</v>
      </c>
      <c r="AQ2634" s="474" t="s">
        <v>37</v>
      </c>
      <c r="AR2634" s="474"/>
      <c r="AS2634" s="387"/>
      <c r="AT2634" s="387"/>
      <c r="AU2634" s="471"/>
      <c r="AV2634" s="262" t="str">
        <f>U2634</f>
        <v>30390256C</v>
      </c>
      <c r="AW2634" s="262" cm="1">
        <f t="array" ref="AW2634">SUM(MID(0&amp;AV2634,LARGE(INDEX(ISNUMBER(--MID(AV2634,ROW($1:$8),1))*ROW($1:$8),),ROW($1:$8))+1,1)*10^ROW($1:$8)/10)</f>
        <v>30390256</v>
      </c>
      <c r="AX2634" s="262" t="str">
        <f>VLOOKUP($AW2634,'Item Master Data'!$A:$F,3,FALSE)</f>
        <v>T400H</v>
      </c>
      <c r="AY2634" s="262">
        <f>VLOOKUP($AW2634,'Item Master Data'!$A:$F,6,FALSE)</f>
        <v>400</v>
      </c>
      <c r="AZ2634" s="262">
        <f>X2634/BA2634</f>
        <v>24</v>
      </c>
      <c r="BA2634" s="262">
        <f>VLOOKUP(AW2634,'Item Master Data'!$A:$G,7,FALSE)</f>
        <v>26</v>
      </c>
      <c r="BC2634" s="262">
        <f>W2634-AY2634</f>
        <v>0</v>
      </c>
    </row>
    <row r="2635" spans="1:55">
      <c r="A2635" s="410"/>
      <c r="B2635" s="407"/>
      <c r="C2635" s="407"/>
      <c r="D2635" s="474" t="s">
        <v>1066</v>
      </c>
      <c r="E2635" s="388" t="s">
        <v>1122</v>
      </c>
      <c r="F2635" s="474" t="s">
        <v>1147</v>
      </c>
      <c r="G2635" s="474">
        <v>2022</v>
      </c>
      <c r="H2635" s="474">
        <v>3</v>
      </c>
      <c r="I2635" s="485">
        <v>127302</v>
      </c>
      <c r="J2635" s="475">
        <v>44631</v>
      </c>
      <c r="K2635" s="474" t="s">
        <v>1584</v>
      </c>
      <c r="L2635" s="475" t="s">
        <v>1561</v>
      </c>
      <c r="M2635" s="475">
        <v>44468</v>
      </c>
      <c r="N2635" s="475" t="s">
        <v>1571</v>
      </c>
      <c r="O2635" s="475"/>
      <c r="P2635" s="475">
        <v>44596</v>
      </c>
      <c r="Q2635" s="475">
        <v>44629</v>
      </c>
      <c r="R2635" s="475">
        <v>44631</v>
      </c>
      <c r="S2635" s="474" t="s">
        <v>1563</v>
      </c>
      <c r="T2635" s="474">
        <v>60</v>
      </c>
      <c r="U2635" s="474" t="s">
        <v>1573</v>
      </c>
      <c r="V2635" s="474" t="s">
        <v>1574</v>
      </c>
      <c r="W2635" s="476">
        <v>400</v>
      </c>
      <c r="X2635" s="402">
        <v>624</v>
      </c>
      <c r="Y2635" s="491">
        <f t="shared" si="459"/>
        <v>249600</v>
      </c>
      <c r="Z2635" s="478">
        <v>0.44</v>
      </c>
      <c r="AA2635" s="492">
        <f t="shared" si="460"/>
        <v>109824</v>
      </c>
      <c r="AB2635" s="386"/>
      <c r="AC2635" s="481">
        <v>0</v>
      </c>
      <c r="AD2635" s="474"/>
      <c r="AE2635" s="482"/>
      <c r="AF2635" s="493">
        <f t="shared" si="461"/>
        <v>109824</v>
      </c>
      <c r="AG2635" s="474" t="s">
        <v>47</v>
      </c>
      <c r="AH2635" s="447"/>
      <c r="AI2635" s="474">
        <v>75</v>
      </c>
      <c r="AJ2635" s="474" t="s">
        <v>1575</v>
      </c>
      <c r="AK2635" s="474" t="s">
        <v>50</v>
      </c>
      <c r="AL2635" s="494">
        <v>94544</v>
      </c>
      <c r="AM2635" s="474" t="s">
        <v>52</v>
      </c>
      <c r="AN2635" s="474" t="s">
        <v>1568</v>
      </c>
      <c r="AO2635" s="474"/>
      <c r="AP2635" s="474" t="s">
        <v>92</v>
      </c>
      <c r="AQ2635" s="474" t="s">
        <v>37</v>
      </c>
      <c r="AR2635" s="474"/>
      <c r="AS2635" s="387"/>
      <c r="AT2635" s="387"/>
      <c r="AU2635" s="471"/>
    </row>
    <row r="2636" spans="1:55">
      <c r="A2636" s="410"/>
      <c r="B2636" s="407"/>
      <c r="C2636" s="407"/>
      <c r="D2636" s="474" t="s">
        <v>1066</v>
      </c>
      <c r="E2636" s="388" t="s">
        <v>1122</v>
      </c>
      <c r="F2636" s="474" t="s">
        <v>1147</v>
      </c>
      <c r="G2636" s="474">
        <v>2022</v>
      </c>
      <c r="H2636" s="474">
        <v>3</v>
      </c>
      <c r="I2636" s="485">
        <v>127301</v>
      </c>
      <c r="J2636" s="475">
        <v>44631</v>
      </c>
      <c r="K2636" s="474" t="s">
        <v>1584</v>
      </c>
      <c r="L2636" s="475" t="s">
        <v>1561</v>
      </c>
      <c r="M2636" s="475">
        <v>44468</v>
      </c>
      <c r="N2636" s="475" t="s">
        <v>1571</v>
      </c>
      <c r="O2636" s="475"/>
      <c r="P2636" s="475">
        <v>44596</v>
      </c>
      <c r="Q2636" s="475">
        <v>44630</v>
      </c>
      <c r="R2636" s="475">
        <v>44631</v>
      </c>
      <c r="S2636" s="474" t="s">
        <v>1563</v>
      </c>
      <c r="T2636" s="474">
        <v>60</v>
      </c>
      <c r="U2636" s="474" t="s">
        <v>1573</v>
      </c>
      <c r="V2636" s="474" t="s">
        <v>1574</v>
      </c>
      <c r="W2636" s="476">
        <v>400</v>
      </c>
      <c r="X2636" s="402">
        <v>624</v>
      </c>
      <c r="Y2636" s="491">
        <f t="shared" si="459"/>
        <v>249600</v>
      </c>
      <c r="Z2636" s="478">
        <v>0.44</v>
      </c>
      <c r="AA2636" s="492">
        <f t="shared" si="460"/>
        <v>109824</v>
      </c>
      <c r="AB2636" s="386"/>
      <c r="AC2636" s="481">
        <v>0</v>
      </c>
      <c r="AD2636" s="474"/>
      <c r="AE2636" s="482"/>
      <c r="AF2636" s="493">
        <f t="shared" si="461"/>
        <v>109824</v>
      </c>
      <c r="AG2636" s="474" t="s">
        <v>47</v>
      </c>
      <c r="AH2636" s="447"/>
      <c r="AI2636" s="474">
        <v>75</v>
      </c>
      <c r="AJ2636" s="474" t="s">
        <v>1575</v>
      </c>
      <c r="AK2636" s="474" t="s">
        <v>50</v>
      </c>
      <c r="AL2636" s="494">
        <v>94544</v>
      </c>
      <c r="AM2636" s="474" t="s">
        <v>52</v>
      </c>
      <c r="AN2636" s="474" t="s">
        <v>1568</v>
      </c>
      <c r="AO2636" s="474"/>
      <c r="AP2636" s="474" t="s">
        <v>92</v>
      </c>
      <c r="AQ2636" s="474" t="s">
        <v>37</v>
      </c>
      <c r="AR2636" s="474"/>
      <c r="AS2636" s="387"/>
      <c r="AT2636" s="387"/>
      <c r="AU2636" s="471"/>
    </row>
    <row r="2637" spans="1:55">
      <c r="A2637" s="410"/>
      <c r="B2637" s="407"/>
      <c r="C2637" s="407"/>
      <c r="D2637" s="474" t="s">
        <v>1066</v>
      </c>
      <c r="E2637" s="388" t="s">
        <v>1122</v>
      </c>
      <c r="F2637" s="474" t="s">
        <v>1147</v>
      </c>
      <c r="G2637" s="474">
        <v>2022</v>
      </c>
      <c r="H2637" s="474">
        <v>3</v>
      </c>
      <c r="I2637" s="485">
        <v>127305</v>
      </c>
      <c r="J2637" s="475">
        <v>44634</v>
      </c>
      <c r="K2637" s="474" t="s">
        <v>1584</v>
      </c>
      <c r="L2637" s="475" t="s">
        <v>1561</v>
      </c>
      <c r="M2637" s="475">
        <v>44468</v>
      </c>
      <c r="N2637" s="475" t="s">
        <v>1571</v>
      </c>
      <c r="O2637" s="475"/>
      <c r="P2637" s="475">
        <v>44596</v>
      </c>
      <c r="Q2637" s="475">
        <v>44631</v>
      </c>
      <c r="R2637" s="475">
        <v>44634</v>
      </c>
      <c r="S2637" s="474" t="s">
        <v>1563</v>
      </c>
      <c r="T2637" s="474">
        <v>60</v>
      </c>
      <c r="U2637" s="474" t="s">
        <v>1573</v>
      </c>
      <c r="V2637" s="474" t="s">
        <v>1574</v>
      </c>
      <c r="W2637" s="476">
        <v>400</v>
      </c>
      <c r="X2637" s="402">
        <v>624</v>
      </c>
      <c r="Y2637" s="491">
        <f t="shared" si="459"/>
        <v>249600</v>
      </c>
      <c r="Z2637" s="478">
        <v>0.44</v>
      </c>
      <c r="AA2637" s="492">
        <f t="shared" si="460"/>
        <v>109824</v>
      </c>
      <c r="AB2637" s="386"/>
      <c r="AC2637" s="481">
        <v>0</v>
      </c>
      <c r="AD2637" s="474"/>
      <c r="AE2637" s="482"/>
      <c r="AF2637" s="493">
        <f t="shared" si="461"/>
        <v>109824</v>
      </c>
      <c r="AG2637" s="474" t="s">
        <v>47</v>
      </c>
      <c r="AH2637" s="447"/>
      <c r="AI2637" s="474">
        <v>75</v>
      </c>
      <c r="AJ2637" s="474" t="s">
        <v>1575</v>
      </c>
      <c r="AK2637" s="474" t="s">
        <v>50</v>
      </c>
      <c r="AL2637" s="494">
        <v>94544</v>
      </c>
      <c r="AM2637" s="474" t="s">
        <v>52</v>
      </c>
      <c r="AN2637" s="474" t="s">
        <v>1568</v>
      </c>
      <c r="AO2637" s="474"/>
      <c r="AP2637" s="474" t="s">
        <v>92</v>
      </c>
      <c r="AQ2637" s="474" t="s">
        <v>37</v>
      </c>
      <c r="AR2637" s="474"/>
      <c r="AS2637" s="387"/>
      <c r="AT2637" s="387"/>
      <c r="AU2637" s="471"/>
    </row>
    <row r="2638" spans="1:55">
      <c r="A2638" s="410"/>
      <c r="B2638" s="407"/>
      <c r="C2638" s="407"/>
      <c r="D2638" s="474" t="s">
        <v>1066</v>
      </c>
      <c r="E2638" s="388" t="s">
        <v>1122</v>
      </c>
      <c r="F2638" s="474" t="s">
        <v>1147</v>
      </c>
      <c r="G2638" s="474">
        <v>2022</v>
      </c>
      <c r="H2638" s="474">
        <v>3</v>
      </c>
      <c r="I2638" s="485">
        <v>127293</v>
      </c>
      <c r="J2638" s="475">
        <v>44624</v>
      </c>
      <c r="K2638" s="474" t="s">
        <v>1597</v>
      </c>
      <c r="L2638" s="475" t="s">
        <v>1561</v>
      </c>
      <c r="M2638" s="475">
        <v>44468</v>
      </c>
      <c r="N2638" s="475" t="s">
        <v>1571</v>
      </c>
      <c r="O2638" s="475"/>
      <c r="P2638" s="475">
        <v>44596</v>
      </c>
      <c r="Q2638" s="475">
        <v>44622</v>
      </c>
      <c r="R2638" s="475">
        <v>44624</v>
      </c>
      <c r="S2638" s="474" t="s">
        <v>1563</v>
      </c>
      <c r="T2638" s="474">
        <v>60</v>
      </c>
      <c r="U2638" s="474" t="s">
        <v>1573</v>
      </c>
      <c r="V2638" s="474" t="s">
        <v>1574</v>
      </c>
      <c r="W2638" s="476">
        <v>400</v>
      </c>
      <c r="X2638" s="402">
        <f>3744-624-624-624-624-624</f>
        <v>624</v>
      </c>
      <c r="Y2638" s="491">
        <f t="shared" si="459"/>
        <v>249600</v>
      </c>
      <c r="Z2638" s="478">
        <v>0.44</v>
      </c>
      <c r="AA2638" s="479">
        <f t="shared" si="460"/>
        <v>109824</v>
      </c>
      <c r="AB2638" s="386"/>
      <c r="AC2638" s="481">
        <v>0</v>
      </c>
      <c r="AD2638" s="474"/>
      <c r="AE2638" s="482"/>
      <c r="AF2638" s="493">
        <f t="shared" si="461"/>
        <v>109824</v>
      </c>
      <c r="AG2638" s="474" t="s">
        <v>47</v>
      </c>
      <c r="AH2638" s="447"/>
      <c r="AI2638" s="474">
        <v>75</v>
      </c>
      <c r="AJ2638" s="474" t="s">
        <v>1577</v>
      </c>
      <c r="AK2638" s="474" t="s">
        <v>50</v>
      </c>
      <c r="AL2638" s="494">
        <v>92407</v>
      </c>
      <c r="AM2638" s="474" t="s">
        <v>52</v>
      </c>
      <c r="AN2638" s="474" t="s">
        <v>1568</v>
      </c>
      <c r="AO2638" s="474"/>
      <c r="AP2638" s="474" t="s">
        <v>92</v>
      </c>
      <c r="AQ2638" s="474" t="s">
        <v>37</v>
      </c>
      <c r="AR2638" s="474"/>
      <c r="AS2638" s="387"/>
      <c r="AT2638" s="387"/>
      <c r="AU2638" s="471"/>
    </row>
    <row r="2639" spans="1:55">
      <c r="A2639" s="410"/>
      <c r="B2639" s="407"/>
      <c r="C2639" s="407"/>
      <c r="D2639" s="474" t="s">
        <v>1066</v>
      </c>
      <c r="E2639" s="388" t="s">
        <v>1122</v>
      </c>
      <c r="F2639" s="474" t="s">
        <v>1147</v>
      </c>
      <c r="G2639" s="474">
        <v>2022</v>
      </c>
      <c r="H2639" s="474">
        <v>3</v>
      </c>
      <c r="I2639" s="485">
        <v>127292</v>
      </c>
      <c r="J2639" s="475">
        <v>44624</v>
      </c>
      <c r="K2639" s="474" t="s">
        <v>1597</v>
      </c>
      <c r="L2639" s="475" t="s">
        <v>1561</v>
      </c>
      <c r="M2639" s="475">
        <v>44468</v>
      </c>
      <c r="N2639" s="475" t="s">
        <v>1571</v>
      </c>
      <c r="O2639" s="475"/>
      <c r="P2639" s="475">
        <v>44596</v>
      </c>
      <c r="Q2639" s="475">
        <v>44622</v>
      </c>
      <c r="R2639" s="475">
        <v>44624</v>
      </c>
      <c r="S2639" s="474" t="s">
        <v>1563</v>
      </c>
      <c r="T2639" s="474">
        <v>60</v>
      </c>
      <c r="U2639" s="474" t="s">
        <v>1573</v>
      </c>
      <c r="V2639" s="474" t="s">
        <v>1574</v>
      </c>
      <c r="W2639" s="476">
        <v>400</v>
      </c>
      <c r="X2639" s="402">
        <f>3744-624-624-624-624-624</f>
        <v>624</v>
      </c>
      <c r="Y2639" s="491">
        <f t="shared" si="459"/>
        <v>249600</v>
      </c>
      <c r="Z2639" s="478">
        <v>0.44</v>
      </c>
      <c r="AA2639" s="479">
        <f t="shared" si="460"/>
        <v>109824</v>
      </c>
      <c r="AB2639" s="386"/>
      <c r="AC2639" s="481">
        <v>0</v>
      </c>
      <c r="AD2639" s="474"/>
      <c r="AE2639" s="482"/>
      <c r="AF2639" s="493">
        <f t="shared" si="461"/>
        <v>109824</v>
      </c>
      <c r="AG2639" s="474" t="s">
        <v>47</v>
      </c>
      <c r="AH2639" s="447"/>
      <c r="AI2639" s="474">
        <v>75</v>
      </c>
      <c r="AJ2639" s="474" t="s">
        <v>1577</v>
      </c>
      <c r="AK2639" s="474" t="s">
        <v>50</v>
      </c>
      <c r="AL2639" s="494">
        <v>92407</v>
      </c>
      <c r="AM2639" s="474" t="s">
        <v>52</v>
      </c>
      <c r="AN2639" s="474" t="s">
        <v>1568</v>
      </c>
      <c r="AO2639" s="474"/>
      <c r="AP2639" s="474" t="s">
        <v>92</v>
      </c>
      <c r="AQ2639" s="474" t="s">
        <v>37</v>
      </c>
      <c r="AR2639" s="474"/>
      <c r="AS2639" s="387"/>
      <c r="AT2639" s="387"/>
      <c r="AU2639" s="471"/>
    </row>
    <row r="2640" spans="1:55">
      <c r="A2640" s="410"/>
      <c r="B2640" s="407"/>
      <c r="C2640" s="407"/>
      <c r="D2640" s="474" t="s">
        <v>1066</v>
      </c>
      <c r="E2640" s="388"/>
      <c r="F2640" s="474" t="s">
        <v>1147</v>
      </c>
      <c r="G2640" s="474">
        <v>2022</v>
      </c>
      <c r="H2640" s="474">
        <v>3</v>
      </c>
      <c r="I2640" s="485">
        <v>127355</v>
      </c>
      <c r="J2640" s="475">
        <v>44637</v>
      </c>
      <c r="K2640" s="474" t="s">
        <v>1600</v>
      </c>
      <c r="L2640" s="475" t="s">
        <v>1561</v>
      </c>
      <c r="M2640" s="475">
        <v>44468</v>
      </c>
      <c r="N2640" s="475" t="s">
        <v>1586</v>
      </c>
      <c r="O2640" s="475"/>
      <c r="P2640" s="475">
        <v>44623</v>
      </c>
      <c r="Q2640" s="475">
        <v>44637</v>
      </c>
      <c r="R2640" s="475">
        <v>44637</v>
      </c>
      <c r="S2640" s="474" t="s">
        <v>1563</v>
      </c>
      <c r="T2640" s="474">
        <v>60</v>
      </c>
      <c r="U2640" s="474" t="s">
        <v>1595</v>
      </c>
      <c r="V2640" s="474" t="s">
        <v>1574</v>
      </c>
      <c r="W2640" s="476">
        <v>400</v>
      </c>
      <c r="X2640" s="402">
        <v>624</v>
      </c>
      <c r="Y2640" s="491">
        <f t="shared" si="459"/>
        <v>249600</v>
      </c>
      <c r="Z2640" s="478">
        <v>0.44</v>
      </c>
      <c r="AA2640" s="479">
        <f t="shared" si="460"/>
        <v>109824</v>
      </c>
      <c r="AB2640" s="386"/>
      <c r="AC2640" s="481">
        <v>0</v>
      </c>
      <c r="AD2640" s="474"/>
      <c r="AE2640" s="482"/>
      <c r="AF2640" s="493">
        <f t="shared" si="461"/>
        <v>109824</v>
      </c>
      <c r="AG2640" s="501" t="s">
        <v>47</v>
      </c>
      <c r="AH2640" s="409"/>
      <c r="AI2640" s="501">
        <v>75</v>
      </c>
      <c r="AJ2640" s="501" t="s">
        <v>1577</v>
      </c>
      <c r="AK2640" s="501" t="s">
        <v>50</v>
      </c>
      <c r="AL2640" s="509">
        <v>92407</v>
      </c>
      <c r="AM2640" s="501" t="s">
        <v>52</v>
      </c>
      <c r="AN2640" s="501" t="s">
        <v>50</v>
      </c>
      <c r="AO2640" s="474"/>
      <c r="AP2640" s="474" t="s">
        <v>92</v>
      </c>
      <c r="AQ2640" s="474" t="s">
        <v>37</v>
      </c>
      <c r="AR2640" s="474"/>
      <c r="AS2640" s="387"/>
      <c r="AT2640" s="387"/>
      <c r="AU2640" s="471"/>
    </row>
    <row r="2641" spans="1:55">
      <c r="A2641" s="410"/>
      <c r="B2641" s="407"/>
      <c r="C2641" s="407"/>
      <c r="D2641" s="474" t="s">
        <v>1066</v>
      </c>
      <c r="E2641" s="388"/>
      <c r="F2641" s="474" t="s">
        <v>1147</v>
      </c>
      <c r="G2641" s="474">
        <v>2022</v>
      </c>
      <c r="H2641" s="474">
        <v>3</v>
      </c>
      <c r="I2641" s="485">
        <v>127352</v>
      </c>
      <c r="J2641" s="475">
        <v>44637</v>
      </c>
      <c r="K2641" s="474" t="s">
        <v>1600</v>
      </c>
      <c r="L2641" s="475" t="s">
        <v>1561</v>
      </c>
      <c r="M2641" s="475">
        <v>44468</v>
      </c>
      <c r="N2641" s="475" t="s">
        <v>1586</v>
      </c>
      <c r="O2641" s="475"/>
      <c r="P2641" s="475">
        <v>44623</v>
      </c>
      <c r="Q2641" s="475">
        <v>44637</v>
      </c>
      <c r="R2641" s="475">
        <v>44637</v>
      </c>
      <c r="S2641" s="474" t="s">
        <v>1563</v>
      </c>
      <c r="T2641" s="474">
        <v>60</v>
      </c>
      <c r="U2641" s="474" t="s">
        <v>1595</v>
      </c>
      <c r="V2641" s="474" t="s">
        <v>1574</v>
      </c>
      <c r="W2641" s="476">
        <v>400</v>
      </c>
      <c r="X2641" s="402">
        <v>624</v>
      </c>
      <c r="Y2641" s="491">
        <f t="shared" si="459"/>
        <v>249600</v>
      </c>
      <c r="Z2641" s="478">
        <v>0.44</v>
      </c>
      <c r="AA2641" s="479">
        <f t="shared" si="460"/>
        <v>109824</v>
      </c>
      <c r="AB2641" s="386"/>
      <c r="AC2641" s="481">
        <v>0</v>
      </c>
      <c r="AD2641" s="474"/>
      <c r="AE2641" s="482"/>
      <c r="AF2641" s="493">
        <f t="shared" si="461"/>
        <v>109824</v>
      </c>
      <c r="AG2641" s="501" t="s">
        <v>47</v>
      </c>
      <c r="AH2641" s="409"/>
      <c r="AI2641" s="501">
        <v>75</v>
      </c>
      <c r="AJ2641" s="501" t="s">
        <v>1577</v>
      </c>
      <c r="AK2641" s="501" t="s">
        <v>50</v>
      </c>
      <c r="AL2641" s="509">
        <v>92407</v>
      </c>
      <c r="AM2641" s="501" t="s">
        <v>52</v>
      </c>
      <c r="AN2641" s="501" t="s">
        <v>50</v>
      </c>
      <c r="AO2641" s="474"/>
      <c r="AP2641" s="474" t="s">
        <v>92</v>
      </c>
      <c r="AQ2641" s="474" t="s">
        <v>37</v>
      </c>
      <c r="AR2641" s="474"/>
      <c r="AS2641" s="387"/>
      <c r="AT2641" s="387"/>
      <c r="AU2641" s="471"/>
      <c r="AV2641" s="262" t="str">
        <f t="shared" ref="AV2641:AV2688" si="462">U2641</f>
        <v>30390256H</v>
      </c>
      <c r="AW2641" s="262" cm="1">
        <f t="array" ref="AW2641">SUM(MID(0&amp;AV2641,LARGE(INDEX(ISNUMBER(--MID(AV2641,ROW($1:$8),1))*ROW($1:$8),),ROW($1:$8))+1,1)*10^ROW($1:$8)/10)</f>
        <v>30390256</v>
      </c>
      <c r="AX2641" s="262" t="str">
        <f>VLOOKUP($AW2641,'Item Master Data'!$A:$F,3,FALSE)</f>
        <v>T400H</v>
      </c>
      <c r="AY2641" s="262">
        <f>VLOOKUP($AW2641,'Item Master Data'!$A:$F,6,FALSE)</f>
        <v>400</v>
      </c>
      <c r="AZ2641" s="262">
        <f t="shared" ref="AZ2641:AZ2688" si="463">X2641/BA2641</f>
        <v>24</v>
      </c>
      <c r="BA2641" s="262">
        <f>VLOOKUP(AW2641,'Item Master Data'!$A:$G,7,FALSE)</f>
        <v>26</v>
      </c>
      <c r="BC2641" s="262">
        <f t="shared" ref="BC2641:BC2688" si="464">W2641-AY2641</f>
        <v>0</v>
      </c>
    </row>
    <row r="2642" spans="1:55">
      <c r="A2642" s="410"/>
      <c r="B2642" s="407"/>
      <c r="C2642" s="407"/>
      <c r="D2642" s="474" t="s">
        <v>1066</v>
      </c>
      <c r="E2642" s="388"/>
      <c r="F2642" s="474" t="s">
        <v>1147</v>
      </c>
      <c r="G2642" s="474">
        <v>2022</v>
      </c>
      <c r="H2642" s="474">
        <v>3</v>
      </c>
      <c r="I2642" s="485">
        <v>127351</v>
      </c>
      <c r="J2642" s="475">
        <v>44638</v>
      </c>
      <c r="K2642" s="474" t="s">
        <v>1600</v>
      </c>
      <c r="L2642" s="475" t="s">
        <v>1561</v>
      </c>
      <c r="M2642" s="475">
        <v>44468</v>
      </c>
      <c r="N2642" s="475" t="s">
        <v>1586</v>
      </c>
      <c r="O2642" s="475"/>
      <c r="P2642" s="475">
        <v>44623</v>
      </c>
      <c r="Q2642" s="475">
        <v>44637</v>
      </c>
      <c r="R2642" s="475">
        <v>44638</v>
      </c>
      <c r="S2642" s="474" t="s">
        <v>1563</v>
      </c>
      <c r="T2642" s="474">
        <v>60</v>
      </c>
      <c r="U2642" s="474" t="s">
        <v>1595</v>
      </c>
      <c r="V2642" s="474" t="s">
        <v>1574</v>
      </c>
      <c r="W2642" s="476">
        <v>400</v>
      </c>
      <c r="X2642" s="402">
        <v>624</v>
      </c>
      <c r="Y2642" s="491">
        <f t="shared" si="459"/>
        <v>249600</v>
      </c>
      <c r="Z2642" s="478">
        <v>0.44</v>
      </c>
      <c r="AA2642" s="479">
        <f t="shared" si="460"/>
        <v>109824</v>
      </c>
      <c r="AB2642" s="386"/>
      <c r="AC2642" s="481">
        <v>0</v>
      </c>
      <c r="AD2642" s="474"/>
      <c r="AE2642" s="482"/>
      <c r="AF2642" s="493">
        <f t="shared" si="461"/>
        <v>109824</v>
      </c>
      <c r="AG2642" s="501" t="s">
        <v>47</v>
      </c>
      <c r="AH2642" s="409"/>
      <c r="AI2642" s="501">
        <v>75</v>
      </c>
      <c r="AJ2642" s="501" t="s">
        <v>1577</v>
      </c>
      <c r="AK2642" s="501" t="s">
        <v>50</v>
      </c>
      <c r="AL2642" s="509">
        <v>92407</v>
      </c>
      <c r="AM2642" s="501" t="s">
        <v>52</v>
      </c>
      <c r="AN2642" s="501" t="s">
        <v>50</v>
      </c>
      <c r="AO2642" s="474"/>
      <c r="AP2642" s="474" t="s">
        <v>92</v>
      </c>
      <c r="AQ2642" s="474" t="s">
        <v>37</v>
      </c>
      <c r="AR2642" s="474"/>
      <c r="AS2642" s="387"/>
      <c r="AT2642" s="387"/>
      <c r="AU2642" s="471"/>
      <c r="AV2642" s="262" t="str">
        <f t="shared" si="462"/>
        <v>30390256H</v>
      </c>
      <c r="AW2642" s="262" cm="1">
        <f t="array" ref="AW2642">SUM(MID(0&amp;AV2642,LARGE(INDEX(ISNUMBER(--MID(AV2642,ROW($1:$8),1))*ROW($1:$8),),ROW($1:$8))+1,1)*10^ROW($1:$8)/10)</f>
        <v>30390256</v>
      </c>
      <c r="AX2642" s="262" t="str">
        <f>VLOOKUP($AW2642,'Item Master Data'!$A:$F,3,FALSE)</f>
        <v>T400H</v>
      </c>
      <c r="AY2642" s="262">
        <f>VLOOKUP($AW2642,'Item Master Data'!$A:$F,6,FALSE)</f>
        <v>400</v>
      </c>
      <c r="AZ2642" s="262">
        <f t="shared" si="463"/>
        <v>24</v>
      </c>
      <c r="BA2642" s="262">
        <f>VLOOKUP(AW2642,'Item Master Data'!$A:$G,7,FALSE)</f>
        <v>26</v>
      </c>
      <c r="BC2642" s="262">
        <f t="shared" si="464"/>
        <v>0</v>
      </c>
    </row>
    <row r="2643" spans="1:55">
      <c r="A2643" s="410"/>
      <c r="B2643" s="407"/>
      <c r="C2643" s="407"/>
      <c r="D2643" s="474" t="s">
        <v>1066</v>
      </c>
      <c r="E2643" s="388" t="s">
        <v>1122</v>
      </c>
      <c r="F2643" s="474" t="s">
        <v>1147</v>
      </c>
      <c r="G2643" s="474">
        <v>2022</v>
      </c>
      <c r="H2643" s="474">
        <v>3</v>
      </c>
      <c r="I2643" s="485">
        <v>127316</v>
      </c>
      <c r="J2643" s="475">
        <v>44636</v>
      </c>
      <c r="K2643" s="474" t="s">
        <v>1597</v>
      </c>
      <c r="L2643" s="475" t="s">
        <v>1561</v>
      </c>
      <c r="M2643" s="475">
        <v>44468</v>
      </c>
      <c r="N2643" s="475" t="s">
        <v>1571</v>
      </c>
      <c r="O2643" s="475"/>
      <c r="P2643" s="475">
        <v>44596</v>
      </c>
      <c r="Q2643" s="475">
        <v>44634</v>
      </c>
      <c r="R2643" s="475">
        <v>44636</v>
      </c>
      <c r="S2643" s="474" t="s">
        <v>1563</v>
      </c>
      <c r="T2643" s="474">
        <v>60</v>
      </c>
      <c r="U2643" s="474" t="s">
        <v>1573</v>
      </c>
      <c r="V2643" s="474" t="s">
        <v>1574</v>
      </c>
      <c r="W2643" s="476">
        <v>400</v>
      </c>
      <c r="X2643" s="402">
        <f>3744-624-624-624-624-624</f>
        <v>624</v>
      </c>
      <c r="Y2643" s="491">
        <f t="shared" si="459"/>
        <v>249600</v>
      </c>
      <c r="Z2643" s="478">
        <v>0.44</v>
      </c>
      <c r="AA2643" s="479">
        <f t="shared" si="460"/>
        <v>109824</v>
      </c>
      <c r="AB2643" s="386"/>
      <c r="AC2643" s="481">
        <v>0</v>
      </c>
      <c r="AD2643" s="474"/>
      <c r="AE2643" s="482"/>
      <c r="AF2643" s="493">
        <f t="shared" si="461"/>
        <v>109824</v>
      </c>
      <c r="AG2643" s="474" t="s">
        <v>47</v>
      </c>
      <c r="AH2643" s="447"/>
      <c r="AI2643" s="474">
        <v>60</v>
      </c>
      <c r="AJ2643" s="474" t="s">
        <v>1577</v>
      </c>
      <c r="AK2643" s="474" t="s">
        <v>50</v>
      </c>
      <c r="AL2643" s="494">
        <v>92407</v>
      </c>
      <c r="AM2643" s="474" t="s">
        <v>52</v>
      </c>
      <c r="AN2643" s="474" t="s">
        <v>1568</v>
      </c>
      <c r="AO2643" s="474"/>
      <c r="AP2643" s="474" t="s">
        <v>92</v>
      </c>
      <c r="AQ2643" s="474" t="s">
        <v>37</v>
      </c>
      <c r="AR2643" s="474"/>
      <c r="AS2643" s="387"/>
      <c r="AT2643" s="387"/>
      <c r="AU2643" s="471"/>
      <c r="AV2643" s="262" t="str">
        <f t="shared" si="462"/>
        <v>30390256C</v>
      </c>
      <c r="AW2643" s="262" cm="1">
        <f t="array" ref="AW2643">SUM(MID(0&amp;AV2643,LARGE(INDEX(ISNUMBER(--MID(AV2643,ROW($1:$8),1))*ROW($1:$8),),ROW($1:$8))+1,1)*10^ROW($1:$8)/10)</f>
        <v>30390256</v>
      </c>
      <c r="AX2643" s="262" t="str">
        <f>VLOOKUP($AW2643,'Item Master Data'!$A:$F,3,FALSE)</f>
        <v>T400H</v>
      </c>
      <c r="AY2643" s="262">
        <f>VLOOKUP($AW2643,'Item Master Data'!$A:$F,6,FALSE)</f>
        <v>400</v>
      </c>
      <c r="AZ2643" s="262">
        <f t="shared" si="463"/>
        <v>24</v>
      </c>
      <c r="BA2643" s="262">
        <f>VLOOKUP(AW2643,'Item Master Data'!$A:$G,7,FALSE)</f>
        <v>26</v>
      </c>
      <c r="BC2643" s="262">
        <f t="shared" si="464"/>
        <v>0</v>
      </c>
    </row>
    <row r="2644" spans="1:55">
      <c r="A2644" s="410"/>
      <c r="B2644" s="407"/>
      <c r="C2644" s="407"/>
      <c r="D2644" s="474" t="s">
        <v>1066</v>
      </c>
      <c r="E2644" s="388" t="s">
        <v>1122</v>
      </c>
      <c r="F2644" s="474" t="s">
        <v>1147</v>
      </c>
      <c r="G2644" s="474">
        <v>2022</v>
      </c>
      <c r="H2644" s="474">
        <v>3</v>
      </c>
      <c r="I2644" s="485">
        <v>127314</v>
      </c>
      <c r="J2644" s="475">
        <v>44636</v>
      </c>
      <c r="K2644" s="474" t="s">
        <v>1597</v>
      </c>
      <c r="L2644" s="475" t="s">
        <v>1561</v>
      </c>
      <c r="M2644" s="475">
        <v>44468</v>
      </c>
      <c r="N2644" s="475" t="s">
        <v>1571</v>
      </c>
      <c r="O2644" s="475"/>
      <c r="P2644" s="475">
        <v>44596</v>
      </c>
      <c r="Q2644" s="475">
        <v>44634</v>
      </c>
      <c r="R2644" s="475">
        <v>44636</v>
      </c>
      <c r="S2644" s="474" t="s">
        <v>1563</v>
      </c>
      <c r="T2644" s="474">
        <v>60</v>
      </c>
      <c r="U2644" s="474" t="s">
        <v>1573</v>
      </c>
      <c r="V2644" s="474" t="s">
        <v>1574</v>
      </c>
      <c r="W2644" s="476">
        <v>400</v>
      </c>
      <c r="X2644" s="402">
        <f>3744-624-624-624-624-624</f>
        <v>624</v>
      </c>
      <c r="Y2644" s="491">
        <f t="shared" si="459"/>
        <v>249600</v>
      </c>
      <c r="Z2644" s="478">
        <v>0.44</v>
      </c>
      <c r="AA2644" s="479">
        <f t="shared" si="460"/>
        <v>109824</v>
      </c>
      <c r="AB2644" s="386"/>
      <c r="AC2644" s="481">
        <v>0</v>
      </c>
      <c r="AD2644" s="474"/>
      <c r="AE2644" s="482"/>
      <c r="AF2644" s="493">
        <f t="shared" si="461"/>
        <v>109824</v>
      </c>
      <c r="AG2644" s="474" t="s">
        <v>47</v>
      </c>
      <c r="AH2644" s="447"/>
      <c r="AI2644" s="474">
        <v>60</v>
      </c>
      <c r="AJ2644" s="474" t="s">
        <v>1577</v>
      </c>
      <c r="AK2644" s="474" t="s">
        <v>50</v>
      </c>
      <c r="AL2644" s="494">
        <v>92407</v>
      </c>
      <c r="AM2644" s="474" t="s">
        <v>52</v>
      </c>
      <c r="AN2644" s="474" t="s">
        <v>1568</v>
      </c>
      <c r="AO2644" s="474"/>
      <c r="AP2644" s="474" t="s">
        <v>92</v>
      </c>
      <c r="AQ2644" s="474" t="s">
        <v>37</v>
      </c>
      <c r="AR2644" s="474"/>
      <c r="AS2644" s="387"/>
      <c r="AT2644" s="387"/>
      <c r="AU2644" s="471"/>
      <c r="AV2644" s="262" t="str">
        <f t="shared" si="462"/>
        <v>30390256C</v>
      </c>
      <c r="AW2644" s="262" cm="1">
        <f t="array" ref="AW2644">SUM(MID(0&amp;AV2644,LARGE(INDEX(ISNUMBER(--MID(AV2644,ROW($1:$8),1))*ROW($1:$8),),ROW($1:$8))+1,1)*10^ROW($1:$8)/10)</f>
        <v>30390256</v>
      </c>
      <c r="AX2644" s="262" t="str">
        <f>VLOOKUP($AW2644,'Item Master Data'!$A:$F,3,FALSE)</f>
        <v>T400H</v>
      </c>
      <c r="AY2644" s="262">
        <f>VLOOKUP($AW2644,'Item Master Data'!$A:$F,6,FALSE)</f>
        <v>400</v>
      </c>
      <c r="AZ2644" s="262">
        <f t="shared" si="463"/>
        <v>24</v>
      </c>
      <c r="BA2644" s="262">
        <f>VLOOKUP(AW2644,'Item Master Data'!$A:$G,7,FALSE)</f>
        <v>26</v>
      </c>
      <c r="BC2644" s="262">
        <f t="shared" si="464"/>
        <v>0</v>
      </c>
    </row>
    <row r="2645" spans="1:55">
      <c r="A2645" s="410"/>
      <c r="B2645" s="407"/>
      <c r="C2645" s="407"/>
      <c r="D2645" s="474" t="s">
        <v>1066</v>
      </c>
      <c r="E2645" s="388" t="s">
        <v>1122</v>
      </c>
      <c r="F2645" s="474" t="s">
        <v>1147</v>
      </c>
      <c r="G2645" s="474">
        <v>2022</v>
      </c>
      <c r="H2645" s="474">
        <v>3</v>
      </c>
      <c r="I2645" s="485">
        <v>127315</v>
      </c>
      <c r="J2645" s="475">
        <v>44636</v>
      </c>
      <c r="K2645" s="474" t="s">
        <v>1597</v>
      </c>
      <c r="L2645" s="475" t="s">
        <v>1561</v>
      </c>
      <c r="M2645" s="475">
        <v>44468</v>
      </c>
      <c r="N2645" s="475" t="s">
        <v>1571</v>
      </c>
      <c r="O2645" s="475"/>
      <c r="P2645" s="475">
        <v>44596</v>
      </c>
      <c r="Q2645" s="475">
        <v>44634</v>
      </c>
      <c r="R2645" s="475">
        <v>44636</v>
      </c>
      <c r="S2645" s="474" t="s">
        <v>1563</v>
      </c>
      <c r="T2645" s="474">
        <v>60</v>
      </c>
      <c r="U2645" s="474" t="s">
        <v>1573</v>
      </c>
      <c r="V2645" s="474" t="s">
        <v>1574</v>
      </c>
      <c r="W2645" s="476">
        <v>400</v>
      </c>
      <c r="X2645" s="402">
        <f>3744-624-624-624-624-624</f>
        <v>624</v>
      </c>
      <c r="Y2645" s="491">
        <f t="shared" si="459"/>
        <v>249600</v>
      </c>
      <c r="Z2645" s="478">
        <v>0.44</v>
      </c>
      <c r="AA2645" s="479">
        <f t="shared" si="460"/>
        <v>109824</v>
      </c>
      <c r="AB2645" s="386"/>
      <c r="AC2645" s="481">
        <v>0</v>
      </c>
      <c r="AD2645" s="474"/>
      <c r="AE2645" s="482"/>
      <c r="AF2645" s="493">
        <f t="shared" si="461"/>
        <v>109824</v>
      </c>
      <c r="AG2645" s="474" t="s">
        <v>47</v>
      </c>
      <c r="AH2645" s="447"/>
      <c r="AI2645" s="474">
        <v>60</v>
      </c>
      <c r="AJ2645" s="474" t="s">
        <v>1577</v>
      </c>
      <c r="AK2645" s="474" t="s">
        <v>50</v>
      </c>
      <c r="AL2645" s="494">
        <v>92407</v>
      </c>
      <c r="AM2645" s="474" t="s">
        <v>52</v>
      </c>
      <c r="AN2645" s="474" t="s">
        <v>1568</v>
      </c>
      <c r="AO2645" s="474"/>
      <c r="AP2645" s="474" t="s">
        <v>92</v>
      </c>
      <c r="AQ2645" s="474" t="s">
        <v>37</v>
      </c>
      <c r="AR2645" s="474"/>
      <c r="AS2645" s="387"/>
      <c r="AT2645" s="387"/>
      <c r="AU2645" s="471"/>
      <c r="AV2645" s="262" t="str">
        <f t="shared" si="462"/>
        <v>30390256C</v>
      </c>
      <c r="AW2645" s="262" cm="1">
        <f t="array" ref="AW2645">SUM(MID(0&amp;AV2645,LARGE(INDEX(ISNUMBER(--MID(AV2645,ROW($1:$8),1))*ROW($1:$8),),ROW($1:$8))+1,1)*10^ROW($1:$8)/10)</f>
        <v>30390256</v>
      </c>
      <c r="AX2645" s="262" t="str">
        <f>VLOOKUP($AW2645,'Item Master Data'!$A:$F,3,FALSE)</f>
        <v>T400H</v>
      </c>
      <c r="AY2645" s="262">
        <f>VLOOKUP($AW2645,'Item Master Data'!$A:$F,6,FALSE)</f>
        <v>400</v>
      </c>
      <c r="AZ2645" s="262">
        <f t="shared" si="463"/>
        <v>24</v>
      </c>
      <c r="BA2645" s="262">
        <f>VLOOKUP(AW2645,'Item Master Data'!$A:$G,7,FALSE)</f>
        <v>26</v>
      </c>
      <c r="BC2645" s="262">
        <f t="shared" si="464"/>
        <v>0</v>
      </c>
    </row>
    <row r="2646" spans="1:55">
      <c r="A2646" s="410"/>
      <c r="B2646" s="407"/>
      <c r="C2646" s="407"/>
      <c r="D2646" s="474" t="s">
        <v>1066</v>
      </c>
      <c r="E2646" s="388"/>
      <c r="F2646" s="474" t="s">
        <v>1147</v>
      </c>
      <c r="G2646" s="474">
        <v>2022</v>
      </c>
      <c r="H2646" s="474">
        <v>3</v>
      </c>
      <c r="I2646" s="485">
        <v>127219</v>
      </c>
      <c r="J2646" s="475">
        <v>44628</v>
      </c>
      <c r="K2646" s="474" t="s">
        <v>1594</v>
      </c>
      <c r="L2646" s="475" t="s">
        <v>1561</v>
      </c>
      <c r="M2646" s="475">
        <v>44468</v>
      </c>
      <c r="N2646" s="475" t="s">
        <v>1586</v>
      </c>
      <c r="O2646" s="475"/>
      <c r="P2646" s="475">
        <v>44623</v>
      </c>
      <c r="Q2646" s="475">
        <v>44627</v>
      </c>
      <c r="R2646" s="475">
        <v>44628</v>
      </c>
      <c r="S2646" s="474" t="s">
        <v>1563</v>
      </c>
      <c r="T2646" s="474">
        <v>60</v>
      </c>
      <c r="U2646" s="474" t="s">
        <v>1573</v>
      </c>
      <c r="V2646" s="474" t="s">
        <v>1574</v>
      </c>
      <c r="W2646" s="476">
        <v>400</v>
      </c>
      <c r="X2646" s="402">
        <v>624</v>
      </c>
      <c r="Y2646" s="491">
        <f t="shared" si="459"/>
        <v>249600</v>
      </c>
      <c r="Z2646" s="478">
        <v>0.44</v>
      </c>
      <c r="AA2646" s="479">
        <f t="shared" si="460"/>
        <v>109824</v>
      </c>
      <c r="AB2646" s="386"/>
      <c r="AC2646" s="481">
        <v>0</v>
      </c>
      <c r="AD2646" s="474"/>
      <c r="AE2646" s="482"/>
      <c r="AF2646" s="493">
        <f t="shared" si="461"/>
        <v>109824</v>
      </c>
      <c r="AG2646" s="501" t="s">
        <v>47</v>
      </c>
      <c r="AH2646" s="409"/>
      <c r="AI2646" s="501">
        <v>75</v>
      </c>
      <c r="AJ2646" s="501" t="s">
        <v>1575</v>
      </c>
      <c r="AK2646" s="501" t="s">
        <v>50</v>
      </c>
      <c r="AL2646" s="509">
        <v>94544</v>
      </c>
      <c r="AM2646" s="501" t="s">
        <v>52</v>
      </c>
      <c r="AN2646" s="501" t="s">
        <v>50</v>
      </c>
      <c r="AO2646" s="474"/>
      <c r="AP2646" s="474" t="s">
        <v>92</v>
      </c>
      <c r="AQ2646" s="474" t="s">
        <v>37</v>
      </c>
      <c r="AR2646" s="474"/>
      <c r="AS2646" s="387"/>
      <c r="AT2646" s="387"/>
      <c r="AU2646" s="471"/>
      <c r="AV2646" s="262" t="str">
        <f t="shared" si="462"/>
        <v>30390256C</v>
      </c>
      <c r="AW2646" s="262" cm="1">
        <f t="array" ref="AW2646">SUM(MID(0&amp;AV2646,LARGE(INDEX(ISNUMBER(--MID(AV2646,ROW($1:$8),1))*ROW($1:$8),),ROW($1:$8))+1,1)*10^ROW($1:$8)/10)</f>
        <v>30390256</v>
      </c>
      <c r="AX2646" s="262" t="str">
        <f>VLOOKUP($AW2646,'Item Master Data'!$A:$F,3,FALSE)</f>
        <v>T400H</v>
      </c>
      <c r="AY2646" s="262">
        <f>VLOOKUP($AW2646,'Item Master Data'!$A:$F,6,FALSE)</f>
        <v>400</v>
      </c>
      <c r="AZ2646" s="262">
        <f t="shared" si="463"/>
        <v>24</v>
      </c>
      <c r="BA2646" s="262">
        <f>VLOOKUP(AW2646,'Item Master Data'!$A:$G,7,FALSE)</f>
        <v>26</v>
      </c>
      <c r="BC2646" s="262">
        <f t="shared" si="464"/>
        <v>0</v>
      </c>
    </row>
    <row r="2647" spans="1:55">
      <c r="A2647" s="410"/>
      <c r="B2647" s="407"/>
      <c r="C2647" s="407"/>
      <c r="D2647" s="474" t="s">
        <v>1066</v>
      </c>
      <c r="E2647" s="388"/>
      <c r="F2647" s="474" t="s">
        <v>1147</v>
      </c>
      <c r="G2647" s="474">
        <v>2022</v>
      </c>
      <c r="H2647" s="474">
        <v>3</v>
      </c>
      <c r="I2647" s="485">
        <v>127241</v>
      </c>
      <c r="J2647" s="475">
        <v>44630</v>
      </c>
      <c r="K2647" s="474" t="s">
        <v>1594</v>
      </c>
      <c r="L2647" s="475" t="s">
        <v>1561</v>
      </c>
      <c r="M2647" s="475">
        <v>44468</v>
      </c>
      <c r="N2647" s="475" t="s">
        <v>1586</v>
      </c>
      <c r="O2647" s="475"/>
      <c r="P2647" s="475">
        <v>44623</v>
      </c>
      <c r="Q2647" s="475">
        <v>44629</v>
      </c>
      <c r="R2647" s="475">
        <v>44630</v>
      </c>
      <c r="S2647" s="474" t="s">
        <v>1563</v>
      </c>
      <c r="T2647" s="474">
        <v>60</v>
      </c>
      <c r="U2647" s="474" t="s">
        <v>1573</v>
      </c>
      <c r="V2647" s="474" t="s">
        <v>1574</v>
      </c>
      <c r="W2647" s="476">
        <v>400</v>
      </c>
      <c r="X2647" s="402">
        <v>624</v>
      </c>
      <c r="Y2647" s="491">
        <f t="shared" si="459"/>
        <v>249600</v>
      </c>
      <c r="Z2647" s="478">
        <v>0.44</v>
      </c>
      <c r="AA2647" s="479">
        <f t="shared" si="460"/>
        <v>109824</v>
      </c>
      <c r="AB2647" s="386"/>
      <c r="AC2647" s="481">
        <v>0</v>
      </c>
      <c r="AD2647" s="474"/>
      <c r="AE2647" s="482"/>
      <c r="AF2647" s="493">
        <f t="shared" si="461"/>
        <v>109824</v>
      </c>
      <c r="AG2647" s="501" t="s">
        <v>47</v>
      </c>
      <c r="AH2647" s="409"/>
      <c r="AI2647" s="501">
        <v>75</v>
      </c>
      <c r="AJ2647" s="501" t="s">
        <v>1575</v>
      </c>
      <c r="AK2647" s="501" t="s">
        <v>50</v>
      </c>
      <c r="AL2647" s="509">
        <v>94544</v>
      </c>
      <c r="AM2647" s="501" t="s">
        <v>52</v>
      </c>
      <c r="AN2647" s="501" t="s">
        <v>50</v>
      </c>
      <c r="AO2647" s="474"/>
      <c r="AP2647" s="474" t="s">
        <v>92</v>
      </c>
      <c r="AQ2647" s="474" t="s">
        <v>37</v>
      </c>
      <c r="AR2647" s="474"/>
      <c r="AS2647" s="387"/>
      <c r="AT2647" s="387"/>
      <c r="AU2647" s="471"/>
      <c r="AV2647" s="262" t="str">
        <f t="shared" si="462"/>
        <v>30390256C</v>
      </c>
      <c r="AW2647" s="262" cm="1">
        <f t="array" ref="AW2647">SUM(MID(0&amp;AV2647,LARGE(INDEX(ISNUMBER(--MID(AV2647,ROW($1:$8),1))*ROW($1:$8),),ROW($1:$8))+1,1)*10^ROW($1:$8)/10)</f>
        <v>30390256</v>
      </c>
      <c r="AX2647" s="262" t="str">
        <f>VLOOKUP($AW2647,'Item Master Data'!$A:$F,3,FALSE)</f>
        <v>T400H</v>
      </c>
      <c r="AY2647" s="262">
        <f>VLOOKUP($AW2647,'Item Master Data'!$A:$F,6,FALSE)</f>
        <v>400</v>
      </c>
      <c r="AZ2647" s="262">
        <f t="shared" si="463"/>
        <v>24</v>
      </c>
      <c r="BA2647" s="262">
        <f>VLOOKUP(AW2647,'Item Master Data'!$A:$G,7,FALSE)</f>
        <v>26</v>
      </c>
      <c r="BC2647" s="262">
        <f t="shared" si="464"/>
        <v>0</v>
      </c>
    </row>
    <row r="2648" spans="1:55">
      <c r="A2648" s="410"/>
      <c r="B2648" s="407"/>
      <c r="C2648" s="407"/>
      <c r="D2648" s="474" t="s">
        <v>1066</v>
      </c>
      <c r="E2648" s="388" t="s">
        <v>1122</v>
      </c>
      <c r="F2648" s="474" t="s">
        <v>1147</v>
      </c>
      <c r="G2648" s="474">
        <v>2022</v>
      </c>
      <c r="H2648" s="474">
        <v>3</v>
      </c>
      <c r="I2648" s="485">
        <v>127295</v>
      </c>
      <c r="J2648" s="475">
        <v>44630</v>
      </c>
      <c r="K2648" s="474" t="s">
        <v>1597</v>
      </c>
      <c r="L2648" s="475" t="s">
        <v>1561</v>
      </c>
      <c r="M2648" s="475">
        <v>44468</v>
      </c>
      <c r="N2648" s="475" t="s">
        <v>1571</v>
      </c>
      <c r="O2648" s="475"/>
      <c r="P2648" s="475">
        <v>44596</v>
      </c>
      <c r="Q2648" s="475">
        <v>44628</v>
      </c>
      <c r="R2648" s="475">
        <v>44630</v>
      </c>
      <c r="S2648" s="474" t="s">
        <v>1563</v>
      </c>
      <c r="T2648" s="474">
        <v>60</v>
      </c>
      <c r="U2648" s="474" t="s">
        <v>1573</v>
      </c>
      <c r="V2648" s="474" t="s">
        <v>1574</v>
      </c>
      <c r="W2648" s="476">
        <v>400</v>
      </c>
      <c r="X2648" s="402">
        <f>3744-624-624-624-624-624</f>
        <v>624</v>
      </c>
      <c r="Y2648" s="491">
        <f t="shared" si="459"/>
        <v>249600</v>
      </c>
      <c r="Z2648" s="478">
        <v>0.44</v>
      </c>
      <c r="AA2648" s="479">
        <f t="shared" si="460"/>
        <v>109824</v>
      </c>
      <c r="AB2648" s="386"/>
      <c r="AC2648" s="481">
        <v>0</v>
      </c>
      <c r="AD2648" s="474"/>
      <c r="AE2648" s="482"/>
      <c r="AF2648" s="493">
        <f t="shared" si="461"/>
        <v>109824</v>
      </c>
      <c r="AG2648" s="474" t="s">
        <v>47</v>
      </c>
      <c r="AH2648" s="447"/>
      <c r="AI2648" s="474">
        <v>75</v>
      </c>
      <c r="AJ2648" s="474" t="s">
        <v>1577</v>
      </c>
      <c r="AK2648" s="474" t="s">
        <v>50</v>
      </c>
      <c r="AL2648" s="494">
        <v>92407</v>
      </c>
      <c r="AM2648" s="474" t="s">
        <v>52</v>
      </c>
      <c r="AN2648" s="474" t="s">
        <v>1568</v>
      </c>
      <c r="AO2648" s="474"/>
      <c r="AP2648" s="474" t="s">
        <v>92</v>
      </c>
      <c r="AQ2648" s="474" t="s">
        <v>37</v>
      </c>
      <c r="AR2648" s="474"/>
      <c r="AS2648" s="387"/>
      <c r="AT2648" s="387"/>
      <c r="AU2648" s="471"/>
      <c r="AV2648" s="262" t="str">
        <f t="shared" si="462"/>
        <v>30390256C</v>
      </c>
      <c r="AW2648" s="262" cm="1">
        <f t="array" ref="AW2648">SUM(MID(0&amp;AV2648,LARGE(INDEX(ISNUMBER(--MID(AV2648,ROW($1:$8),1))*ROW($1:$8),),ROW($1:$8))+1,1)*10^ROW($1:$8)/10)</f>
        <v>30390256</v>
      </c>
      <c r="AX2648" s="262" t="str">
        <f>VLOOKUP($AW2648,'Item Master Data'!$A:$F,3,FALSE)</f>
        <v>T400H</v>
      </c>
      <c r="AY2648" s="262">
        <f>VLOOKUP($AW2648,'Item Master Data'!$A:$F,6,FALSE)</f>
        <v>400</v>
      </c>
      <c r="AZ2648" s="262">
        <f t="shared" si="463"/>
        <v>24</v>
      </c>
      <c r="BA2648" s="262">
        <f>VLOOKUP(AW2648,'Item Master Data'!$A:$G,7,FALSE)</f>
        <v>26</v>
      </c>
      <c r="BC2648" s="262">
        <f t="shared" si="464"/>
        <v>0</v>
      </c>
    </row>
    <row r="2649" spans="1:55">
      <c r="A2649" s="410"/>
      <c r="B2649" s="407"/>
      <c r="C2649" s="407"/>
      <c r="D2649" s="474" t="s">
        <v>1066</v>
      </c>
      <c r="E2649" s="388" t="s">
        <v>1122</v>
      </c>
      <c r="F2649" s="474" t="s">
        <v>1147</v>
      </c>
      <c r="G2649" s="474">
        <v>2022</v>
      </c>
      <c r="H2649" s="474">
        <v>3</v>
      </c>
      <c r="I2649" s="485">
        <v>127298</v>
      </c>
      <c r="J2649" s="475">
        <v>44631</v>
      </c>
      <c r="K2649" s="474" t="s">
        <v>1597</v>
      </c>
      <c r="L2649" s="475" t="s">
        <v>1561</v>
      </c>
      <c r="M2649" s="475">
        <v>44468</v>
      </c>
      <c r="N2649" s="475" t="s">
        <v>1571</v>
      </c>
      <c r="O2649" s="475"/>
      <c r="P2649" s="475">
        <v>44596</v>
      </c>
      <c r="Q2649" s="475">
        <v>44628</v>
      </c>
      <c r="R2649" s="475">
        <v>44631</v>
      </c>
      <c r="S2649" s="474" t="s">
        <v>1563</v>
      </c>
      <c r="T2649" s="474">
        <v>60</v>
      </c>
      <c r="U2649" s="474" t="s">
        <v>1573</v>
      </c>
      <c r="V2649" s="474" t="s">
        <v>1574</v>
      </c>
      <c r="W2649" s="476">
        <v>400</v>
      </c>
      <c r="X2649" s="402">
        <f>3744-624-624-624-624-624</f>
        <v>624</v>
      </c>
      <c r="Y2649" s="491">
        <f t="shared" si="459"/>
        <v>249600</v>
      </c>
      <c r="Z2649" s="478">
        <v>0.44</v>
      </c>
      <c r="AA2649" s="479">
        <f t="shared" si="460"/>
        <v>109824</v>
      </c>
      <c r="AB2649" s="386"/>
      <c r="AC2649" s="481">
        <v>0</v>
      </c>
      <c r="AD2649" s="474"/>
      <c r="AE2649" s="482"/>
      <c r="AF2649" s="493">
        <f t="shared" si="461"/>
        <v>109824</v>
      </c>
      <c r="AG2649" s="474" t="s">
        <v>47</v>
      </c>
      <c r="AH2649" s="447"/>
      <c r="AI2649" s="474">
        <v>75</v>
      </c>
      <c r="AJ2649" s="474" t="s">
        <v>1577</v>
      </c>
      <c r="AK2649" s="474" t="s">
        <v>50</v>
      </c>
      <c r="AL2649" s="494">
        <v>92407</v>
      </c>
      <c r="AM2649" s="474" t="s">
        <v>52</v>
      </c>
      <c r="AN2649" s="474" t="s">
        <v>1568</v>
      </c>
      <c r="AO2649" s="474"/>
      <c r="AP2649" s="474" t="s">
        <v>92</v>
      </c>
      <c r="AQ2649" s="474" t="s">
        <v>37</v>
      </c>
      <c r="AR2649" s="474"/>
      <c r="AS2649" s="387"/>
      <c r="AT2649" s="387"/>
      <c r="AU2649" s="471"/>
      <c r="AV2649" s="262" t="str">
        <f t="shared" si="462"/>
        <v>30390256C</v>
      </c>
      <c r="AW2649" s="262" cm="1">
        <f t="array" ref="AW2649">SUM(MID(0&amp;AV2649,LARGE(INDEX(ISNUMBER(--MID(AV2649,ROW($1:$8),1))*ROW($1:$8),),ROW($1:$8))+1,1)*10^ROW($1:$8)/10)</f>
        <v>30390256</v>
      </c>
      <c r="AX2649" s="262" t="str">
        <f>VLOOKUP($AW2649,'Item Master Data'!$A:$F,3,FALSE)</f>
        <v>T400H</v>
      </c>
      <c r="AY2649" s="262">
        <f>VLOOKUP($AW2649,'Item Master Data'!$A:$F,6,FALSE)</f>
        <v>400</v>
      </c>
      <c r="AZ2649" s="262">
        <f t="shared" si="463"/>
        <v>24</v>
      </c>
      <c r="BA2649" s="262">
        <f>VLOOKUP(AW2649,'Item Master Data'!$A:$G,7,FALSE)</f>
        <v>26</v>
      </c>
      <c r="BC2649" s="262">
        <f t="shared" si="464"/>
        <v>0</v>
      </c>
    </row>
    <row r="2650" spans="1:55">
      <c r="A2650" s="410"/>
      <c r="B2650" s="407"/>
      <c r="C2650" s="407"/>
      <c r="D2650" s="474" t="s">
        <v>1066</v>
      </c>
      <c r="E2650" s="388" t="s">
        <v>1122</v>
      </c>
      <c r="F2650" s="474" t="s">
        <v>1147</v>
      </c>
      <c r="G2650" s="474">
        <v>2022</v>
      </c>
      <c r="H2650" s="474">
        <v>3</v>
      </c>
      <c r="I2650" s="485">
        <v>127297</v>
      </c>
      <c r="J2650" s="475">
        <v>44631</v>
      </c>
      <c r="K2650" s="474" t="s">
        <v>1597</v>
      </c>
      <c r="L2650" s="475" t="s">
        <v>1561</v>
      </c>
      <c r="M2650" s="475">
        <v>44468</v>
      </c>
      <c r="N2650" s="475" t="s">
        <v>1571</v>
      </c>
      <c r="O2650" s="475"/>
      <c r="P2650" s="475">
        <v>44596</v>
      </c>
      <c r="Q2650" s="475">
        <v>44629</v>
      </c>
      <c r="R2650" s="475">
        <v>44631</v>
      </c>
      <c r="S2650" s="474" t="s">
        <v>1563</v>
      </c>
      <c r="T2650" s="474">
        <v>60</v>
      </c>
      <c r="U2650" s="474" t="s">
        <v>1573</v>
      </c>
      <c r="V2650" s="474" t="s">
        <v>1574</v>
      </c>
      <c r="W2650" s="476">
        <v>400</v>
      </c>
      <c r="X2650" s="402">
        <f>3744-624-624-624-624-624</f>
        <v>624</v>
      </c>
      <c r="Y2650" s="491">
        <f t="shared" si="459"/>
        <v>249600</v>
      </c>
      <c r="Z2650" s="478">
        <v>0.44</v>
      </c>
      <c r="AA2650" s="479">
        <f t="shared" si="460"/>
        <v>109824</v>
      </c>
      <c r="AB2650" s="386"/>
      <c r="AC2650" s="481">
        <v>0</v>
      </c>
      <c r="AD2650" s="474"/>
      <c r="AE2650" s="482"/>
      <c r="AF2650" s="493">
        <f t="shared" si="461"/>
        <v>109824</v>
      </c>
      <c r="AG2650" s="474" t="s">
        <v>47</v>
      </c>
      <c r="AH2650" s="447"/>
      <c r="AI2650" s="474">
        <v>75</v>
      </c>
      <c r="AJ2650" s="474" t="s">
        <v>1577</v>
      </c>
      <c r="AK2650" s="474" t="s">
        <v>50</v>
      </c>
      <c r="AL2650" s="494">
        <v>92407</v>
      </c>
      <c r="AM2650" s="474" t="s">
        <v>52</v>
      </c>
      <c r="AN2650" s="474" t="s">
        <v>1568</v>
      </c>
      <c r="AO2650" s="474"/>
      <c r="AP2650" s="474" t="s">
        <v>92</v>
      </c>
      <c r="AQ2650" s="474" t="s">
        <v>37</v>
      </c>
      <c r="AR2650" s="474"/>
      <c r="AS2650" s="387"/>
      <c r="AT2650" s="387"/>
      <c r="AU2650" s="471"/>
      <c r="AV2650" s="262" t="str">
        <f t="shared" si="462"/>
        <v>30390256C</v>
      </c>
      <c r="AW2650" s="262" cm="1">
        <f t="array" ref="AW2650">SUM(MID(0&amp;AV2650,LARGE(INDEX(ISNUMBER(--MID(AV2650,ROW($1:$8),1))*ROW($1:$8),),ROW($1:$8))+1,1)*10^ROW($1:$8)/10)</f>
        <v>30390256</v>
      </c>
      <c r="AX2650" s="262" t="str">
        <f>VLOOKUP($AW2650,'Item Master Data'!$A:$F,3,FALSE)</f>
        <v>T400H</v>
      </c>
      <c r="AY2650" s="262">
        <f>VLOOKUP($AW2650,'Item Master Data'!$A:$F,6,FALSE)</f>
        <v>400</v>
      </c>
      <c r="AZ2650" s="262">
        <f t="shared" si="463"/>
        <v>24</v>
      </c>
      <c r="BA2650" s="262">
        <f>VLOOKUP(AW2650,'Item Master Data'!$A:$G,7,FALSE)</f>
        <v>26</v>
      </c>
      <c r="BC2650" s="262">
        <f t="shared" si="464"/>
        <v>0</v>
      </c>
    </row>
    <row r="2651" spans="1:55">
      <c r="A2651" s="410"/>
      <c r="B2651" s="407"/>
      <c r="C2651" s="407"/>
      <c r="D2651" s="474" t="s">
        <v>1066</v>
      </c>
      <c r="E2651" s="388" t="s">
        <v>1122</v>
      </c>
      <c r="F2651" s="474" t="s">
        <v>1147</v>
      </c>
      <c r="G2651" s="474">
        <v>2022</v>
      </c>
      <c r="H2651" s="474">
        <v>3</v>
      </c>
      <c r="I2651" s="485">
        <v>127296</v>
      </c>
      <c r="J2651" s="475">
        <v>44631</v>
      </c>
      <c r="K2651" s="474" t="s">
        <v>1597</v>
      </c>
      <c r="L2651" s="475" t="s">
        <v>1561</v>
      </c>
      <c r="M2651" s="475">
        <v>44468</v>
      </c>
      <c r="N2651" s="475" t="s">
        <v>1571</v>
      </c>
      <c r="O2651" s="475"/>
      <c r="P2651" s="475">
        <v>44596</v>
      </c>
      <c r="Q2651" s="475">
        <v>44629</v>
      </c>
      <c r="R2651" s="475">
        <v>44631</v>
      </c>
      <c r="S2651" s="474" t="s">
        <v>1563</v>
      </c>
      <c r="T2651" s="474">
        <v>60</v>
      </c>
      <c r="U2651" s="474" t="s">
        <v>1573</v>
      </c>
      <c r="V2651" s="474" t="s">
        <v>1574</v>
      </c>
      <c r="W2651" s="476">
        <v>400</v>
      </c>
      <c r="X2651" s="402">
        <f>3744-624-624-624-624-624</f>
        <v>624</v>
      </c>
      <c r="Y2651" s="491">
        <f t="shared" si="459"/>
        <v>249600</v>
      </c>
      <c r="Z2651" s="478">
        <v>0.44</v>
      </c>
      <c r="AA2651" s="479">
        <f t="shared" si="460"/>
        <v>109824</v>
      </c>
      <c r="AB2651" s="386"/>
      <c r="AC2651" s="481">
        <v>0</v>
      </c>
      <c r="AD2651" s="474"/>
      <c r="AE2651" s="482"/>
      <c r="AF2651" s="493">
        <f t="shared" si="461"/>
        <v>109824</v>
      </c>
      <c r="AG2651" s="474" t="s">
        <v>47</v>
      </c>
      <c r="AH2651" s="447"/>
      <c r="AI2651" s="474">
        <v>75</v>
      </c>
      <c r="AJ2651" s="474" t="s">
        <v>1577</v>
      </c>
      <c r="AK2651" s="474" t="s">
        <v>50</v>
      </c>
      <c r="AL2651" s="494">
        <v>92407</v>
      </c>
      <c r="AM2651" s="474" t="s">
        <v>52</v>
      </c>
      <c r="AN2651" s="474" t="s">
        <v>1568</v>
      </c>
      <c r="AO2651" s="474"/>
      <c r="AP2651" s="474" t="s">
        <v>92</v>
      </c>
      <c r="AQ2651" s="474" t="s">
        <v>37</v>
      </c>
      <c r="AR2651" s="474"/>
      <c r="AS2651" s="387"/>
      <c r="AT2651" s="387"/>
      <c r="AU2651" s="471"/>
      <c r="AV2651" s="262" t="str">
        <f t="shared" si="462"/>
        <v>30390256C</v>
      </c>
      <c r="AW2651" s="262" cm="1">
        <f t="array" ref="AW2651">SUM(MID(0&amp;AV2651,LARGE(INDEX(ISNUMBER(--MID(AV2651,ROW($1:$8),1))*ROW($1:$8),),ROW($1:$8))+1,1)*10^ROW($1:$8)/10)</f>
        <v>30390256</v>
      </c>
      <c r="AX2651" s="262" t="str">
        <f>VLOOKUP($AW2651,'Item Master Data'!$A:$F,3,FALSE)</f>
        <v>T400H</v>
      </c>
      <c r="AY2651" s="262">
        <f>VLOOKUP($AW2651,'Item Master Data'!$A:$F,6,FALSE)</f>
        <v>400</v>
      </c>
      <c r="AZ2651" s="262">
        <f t="shared" si="463"/>
        <v>24</v>
      </c>
      <c r="BA2651" s="262">
        <f>VLOOKUP(AW2651,'Item Master Data'!$A:$G,7,FALSE)</f>
        <v>26</v>
      </c>
      <c r="BC2651" s="262">
        <f t="shared" si="464"/>
        <v>0</v>
      </c>
    </row>
    <row r="2652" spans="1:55">
      <c r="A2652" s="410"/>
      <c r="B2652" s="407"/>
      <c r="C2652" s="407"/>
      <c r="D2652" s="474" t="s">
        <v>1066</v>
      </c>
      <c r="E2652" s="388" t="s">
        <v>1122</v>
      </c>
      <c r="F2652" s="474" t="s">
        <v>1147</v>
      </c>
      <c r="G2652" s="474">
        <v>2022</v>
      </c>
      <c r="H2652" s="474">
        <v>3</v>
      </c>
      <c r="I2652" s="485">
        <v>127294</v>
      </c>
      <c r="J2652" s="475">
        <v>44631</v>
      </c>
      <c r="K2652" s="474" t="s">
        <v>1597</v>
      </c>
      <c r="L2652" s="475" t="s">
        <v>1561</v>
      </c>
      <c r="M2652" s="475">
        <v>44468</v>
      </c>
      <c r="N2652" s="475" t="s">
        <v>1571</v>
      </c>
      <c r="O2652" s="475"/>
      <c r="P2652" s="475">
        <v>44596</v>
      </c>
      <c r="Q2652" s="475">
        <v>44629</v>
      </c>
      <c r="R2652" s="475">
        <v>44631</v>
      </c>
      <c r="S2652" s="474" t="s">
        <v>1563</v>
      </c>
      <c r="T2652" s="474">
        <v>60</v>
      </c>
      <c r="U2652" s="474" t="s">
        <v>1573</v>
      </c>
      <c r="V2652" s="474" t="s">
        <v>1574</v>
      </c>
      <c r="W2652" s="476">
        <v>400</v>
      </c>
      <c r="X2652" s="402">
        <f>3744-624-624-624-624-624</f>
        <v>624</v>
      </c>
      <c r="Y2652" s="491">
        <f t="shared" si="459"/>
        <v>249600</v>
      </c>
      <c r="Z2652" s="478">
        <v>0.44</v>
      </c>
      <c r="AA2652" s="479">
        <f t="shared" si="460"/>
        <v>109824</v>
      </c>
      <c r="AB2652" s="386"/>
      <c r="AC2652" s="481">
        <v>0</v>
      </c>
      <c r="AD2652" s="474"/>
      <c r="AE2652" s="482"/>
      <c r="AF2652" s="493">
        <f t="shared" si="461"/>
        <v>109824</v>
      </c>
      <c r="AG2652" s="474" t="s">
        <v>47</v>
      </c>
      <c r="AH2652" s="447"/>
      <c r="AI2652" s="474">
        <v>75</v>
      </c>
      <c r="AJ2652" s="474" t="s">
        <v>1577</v>
      </c>
      <c r="AK2652" s="474" t="s">
        <v>50</v>
      </c>
      <c r="AL2652" s="494">
        <v>92407</v>
      </c>
      <c r="AM2652" s="474" t="s">
        <v>52</v>
      </c>
      <c r="AN2652" s="474" t="s">
        <v>1568</v>
      </c>
      <c r="AO2652" s="474"/>
      <c r="AP2652" s="474" t="s">
        <v>92</v>
      </c>
      <c r="AQ2652" s="474" t="s">
        <v>37</v>
      </c>
      <c r="AR2652" s="474"/>
      <c r="AS2652" s="387"/>
      <c r="AT2652" s="387"/>
      <c r="AU2652" s="471"/>
      <c r="AV2652" s="262" t="str">
        <f t="shared" si="462"/>
        <v>30390256C</v>
      </c>
      <c r="AW2652" s="262" cm="1">
        <f t="array" ref="AW2652">SUM(MID(0&amp;AV2652,LARGE(INDEX(ISNUMBER(--MID(AV2652,ROW($1:$8),1))*ROW($1:$8),),ROW($1:$8))+1,1)*10^ROW($1:$8)/10)</f>
        <v>30390256</v>
      </c>
      <c r="AX2652" s="262" t="str">
        <f>VLOOKUP($AW2652,'Item Master Data'!$A:$F,3,FALSE)</f>
        <v>T400H</v>
      </c>
      <c r="AY2652" s="262">
        <f>VLOOKUP($AW2652,'Item Master Data'!$A:$F,6,FALSE)</f>
        <v>400</v>
      </c>
      <c r="AZ2652" s="262">
        <f t="shared" si="463"/>
        <v>24</v>
      </c>
      <c r="BA2652" s="262">
        <f>VLOOKUP(AW2652,'Item Master Data'!$A:$G,7,FALSE)</f>
        <v>26</v>
      </c>
      <c r="BC2652" s="262">
        <f t="shared" si="464"/>
        <v>0</v>
      </c>
    </row>
    <row r="2653" spans="1:55">
      <c r="A2653" s="410"/>
      <c r="B2653" s="407"/>
      <c r="C2653" s="407"/>
      <c r="D2653" s="474" t="s">
        <v>1066</v>
      </c>
      <c r="E2653" s="388"/>
      <c r="F2653" s="474" t="s">
        <v>1147</v>
      </c>
      <c r="G2653" s="474">
        <v>2022</v>
      </c>
      <c r="H2653" s="474">
        <v>3</v>
      </c>
      <c r="I2653" s="485">
        <v>127290</v>
      </c>
      <c r="J2653" s="475">
        <v>44631</v>
      </c>
      <c r="K2653" s="474" t="s">
        <v>1600</v>
      </c>
      <c r="L2653" s="475" t="s">
        <v>1561</v>
      </c>
      <c r="M2653" s="475">
        <v>44468</v>
      </c>
      <c r="N2653" s="475" t="s">
        <v>1586</v>
      </c>
      <c r="O2653" s="475"/>
      <c r="P2653" s="475">
        <v>44623</v>
      </c>
      <c r="Q2653" s="475">
        <v>44631</v>
      </c>
      <c r="R2653" s="475">
        <v>44631</v>
      </c>
      <c r="S2653" s="474" t="s">
        <v>1563</v>
      </c>
      <c r="T2653" s="474">
        <v>60</v>
      </c>
      <c r="U2653" s="474" t="s">
        <v>1595</v>
      </c>
      <c r="V2653" s="474" t="s">
        <v>1574</v>
      </c>
      <c r="W2653" s="476">
        <v>400</v>
      </c>
      <c r="X2653" s="402">
        <v>624</v>
      </c>
      <c r="Y2653" s="491">
        <f t="shared" si="459"/>
        <v>249600</v>
      </c>
      <c r="Z2653" s="478">
        <v>0.44</v>
      </c>
      <c r="AA2653" s="479">
        <f t="shared" si="460"/>
        <v>109824</v>
      </c>
      <c r="AB2653" s="386"/>
      <c r="AC2653" s="481">
        <v>0</v>
      </c>
      <c r="AD2653" s="474"/>
      <c r="AE2653" s="482"/>
      <c r="AF2653" s="493">
        <f t="shared" si="461"/>
        <v>109824</v>
      </c>
      <c r="AG2653" s="501" t="s">
        <v>47</v>
      </c>
      <c r="AH2653" s="409"/>
      <c r="AI2653" s="501">
        <v>75</v>
      </c>
      <c r="AJ2653" s="501" t="s">
        <v>1577</v>
      </c>
      <c r="AK2653" s="501" t="s">
        <v>50</v>
      </c>
      <c r="AL2653" s="509">
        <v>92407</v>
      </c>
      <c r="AM2653" s="501" t="s">
        <v>52</v>
      </c>
      <c r="AN2653" s="501" t="s">
        <v>50</v>
      </c>
      <c r="AO2653" s="474"/>
      <c r="AP2653" s="474" t="s">
        <v>92</v>
      </c>
      <c r="AQ2653" s="474" t="s">
        <v>37</v>
      </c>
      <c r="AR2653" s="474"/>
      <c r="AS2653" s="387"/>
      <c r="AT2653" s="387"/>
      <c r="AU2653" s="471"/>
      <c r="AV2653" s="262" t="str">
        <f t="shared" si="462"/>
        <v>30390256H</v>
      </c>
      <c r="AW2653" s="262" cm="1">
        <f t="array" ref="AW2653">SUM(MID(0&amp;AV2653,LARGE(INDEX(ISNUMBER(--MID(AV2653,ROW($1:$8),1))*ROW($1:$8),),ROW($1:$8))+1,1)*10^ROW($1:$8)/10)</f>
        <v>30390256</v>
      </c>
      <c r="AX2653" s="262" t="str">
        <f>VLOOKUP($AW2653,'Item Master Data'!$A:$F,3,FALSE)</f>
        <v>T400H</v>
      </c>
      <c r="AY2653" s="262">
        <f>VLOOKUP($AW2653,'Item Master Data'!$A:$F,6,FALSE)</f>
        <v>400</v>
      </c>
      <c r="AZ2653" s="262">
        <f t="shared" si="463"/>
        <v>24</v>
      </c>
      <c r="BA2653" s="262">
        <f>VLOOKUP(AW2653,'Item Master Data'!$A:$G,7,FALSE)</f>
        <v>26</v>
      </c>
      <c r="BC2653" s="262">
        <f t="shared" si="464"/>
        <v>0</v>
      </c>
    </row>
    <row r="2654" spans="1:55">
      <c r="A2654" s="410"/>
      <c r="B2654" s="407"/>
      <c r="C2654" s="407"/>
      <c r="D2654" s="474" t="s">
        <v>1066</v>
      </c>
      <c r="E2654" s="388"/>
      <c r="F2654" s="474" t="s">
        <v>1147</v>
      </c>
      <c r="G2654" s="474">
        <v>2022</v>
      </c>
      <c r="H2654" s="474">
        <v>3</v>
      </c>
      <c r="I2654" s="485">
        <v>127350</v>
      </c>
      <c r="J2654" s="475">
        <v>44638</v>
      </c>
      <c r="K2654" s="474" t="s">
        <v>1600</v>
      </c>
      <c r="L2654" s="475" t="s">
        <v>1561</v>
      </c>
      <c r="M2654" s="475">
        <v>44468</v>
      </c>
      <c r="N2654" s="475" t="s">
        <v>1586</v>
      </c>
      <c r="O2654" s="475"/>
      <c r="P2654" s="475">
        <v>44623</v>
      </c>
      <c r="Q2654" s="475">
        <v>44637</v>
      </c>
      <c r="R2654" s="475">
        <v>44638</v>
      </c>
      <c r="S2654" s="474" t="s">
        <v>1563</v>
      </c>
      <c r="T2654" s="474">
        <v>60</v>
      </c>
      <c r="U2654" s="474" t="s">
        <v>1595</v>
      </c>
      <c r="V2654" s="474" t="s">
        <v>1574</v>
      </c>
      <c r="W2654" s="476">
        <v>400</v>
      </c>
      <c r="X2654" s="402">
        <v>624</v>
      </c>
      <c r="Y2654" s="491">
        <f t="shared" si="459"/>
        <v>249600</v>
      </c>
      <c r="Z2654" s="478">
        <v>0.44</v>
      </c>
      <c r="AA2654" s="479">
        <f t="shared" si="460"/>
        <v>109824</v>
      </c>
      <c r="AB2654" s="386"/>
      <c r="AC2654" s="481">
        <v>0</v>
      </c>
      <c r="AD2654" s="474"/>
      <c r="AE2654" s="482"/>
      <c r="AF2654" s="493">
        <f t="shared" si="461"/>
        <v>109824</v>
      </c>
      <c r="AG2654" s="501" t="s">
        <v>47</v>
      </c>
      <c r="AH2654" s="409"/>
      <c r="AI2654" s="501">
        <v>75</v>
      </c>
      <c r="AJ2654" s="501" t="s">
        <v>1577</v>
      </c>
      <c r="AK2654" s="501" t="s">
        <v>50</v>
      </c>
      <c r="AL2654" s="509">
        <v>92407</v>
      </c>
      <c r="AM2654" s="501" t="s">
        <v>52</v>
      </c>
      <c r="AN2654" s="501" t="s">
        <v>50</v>
      </c>
      <c r="AO2654" s="474"/>
      <c r="AP2654" s="474" t="s">
        <v>92</v>
      </c>
      <c r="AQ2654" s="474" t="s">
        <v>37</v>
      </c>
      <c r="AR2654" s="474"/>
      <c r="AS2654" s="387"/>
      <c r="AT2654" s="387"/>
      <c r="AU2654" s="471"/>
      <c r="AV2654" s="262" t="str">
        <f t="shared" si="462"/>
        <v>30390256H</v>
      </c>
      <c r="AW2654" s="262" cm="1">
        <f t="array" ref="AW2654">SUM(MID(0&amp;AV2654,LARGE(INDEX(ISNUMBER(--MID(AV2654,ROW($1:$8),1))*ROW($1:$8),),ROW($1:$8))+1,1)*10^ROW($1:$8)/10)</f>
        <v>30390256</v>
      </c>
      <c r="AX2654" s="262" t="str">
        <f>VLOOKUP($AW2654,'Item Master Data'!$A:$F,3,FALSE)</f>
        <v>T400H</v>
      </c>
      <c r="AY2654" s="262">
        <f>VLOOKUP($AW2654,'Item Master Data'!$A:$F,6,FALSE)</f>
        <v>400</v>
      </c>
      <c r="AZ2654" s="262">
        <f t="shared" si="463"/>
        <v>24</v>
      </c>
      <c r="BA2654" s="262">
        <f>VLOOKUP(AW2654,'Item Master Data'!$A:$G,7,FALSE)</f>
        <v>26</v>
      </c>
      <c r="BC2654" s="262">
        <f t="shared" si="464"/>
        <v>0</v>
      </c>
    </row>
    <row r="2655" spans="1:55">
      <c r="A2655" s="410"/>
      <c r="B2655" s="407"/>
      <c r="C2655" s="407"/>
      <c r="D2655" s="474" t="s">
        <v>1066</v>
      </c>
      <c r="E2655" s="388"/>
      <c r="F2655" s="474" t="s">
        <v>1147</v>
      </c>
      <c r="G2655" s="474">
        <v>2022</v>
      </c>
      <c r="H2655" s="474">
        <v>3</v>
      </c>
      <c r="I2655" s="485">
        <v>127425</v>
      </c>
      <c r="J2655" s="475">
        <v>44641</v>
      </c>
      <c r="K2655" s="474" t="s">
        <v>1599</v>
      </c>
      <c r="L2655" s="475" t="s">
        <v>1561</v>
      </c>
      <c r="M2655" s="475">
        <v>44468</v>
      </c>
      <c r="N2655" s="475" t="s">
        <v>1586</v>
      </c>
      <c r="O2655" s="475"/>
      <c r="P2655" s="475">
        <v>44630</v>
      </c>
      <c r="Q2655" s="475">
        <v>44641</v>
      </c>
      <c r="R2655" s="475">
        <v>44641</v>
      </c>
      <c r="S2655" s="474" t="s">
        <v>1563</v>
      </c>
      <c r="T2655" s="474">
        <v>60</v>
      </c>
      <c r="U2655" s="474" t="s">
        <v>1573</v>
      </c>
      <c r="V2655" s="474" t="s">
        <v>1574</v>
      </c>
      <c r="W2655" s="476">
        <v>400</v>
      </c>
      <c r="X2655" s="402">
        <v>624</v>
      </c>
      <c r="Y2655" s="491">
        <f t="shared" si="459"/>
        <v>249600</v>
      </c>
      <c r="Z2655" s="478">
        <v>0.44</v>
      </c>
      <c r="AA2655" s="492">
        <f t="shared" si="460"/>
        <v>109824</v>
      </c>
      <c r="AB2655" s="386"/>
      <c r="AC2655" s="481">
        <v>0</v>
      </c>
      <c r="AD2655" s="474"/>
      <c r="AE2655" s="482"/>
      <c r="AF2655" s="493">
        <f t="shared" si="461"/>
        <v>109824</v>
      </c>
      <c r="AG2655" s="474" t="s">
        <v>47</v>
      </c>
      <c r="AH2655" s="447"/>
      <c r="AI2655" s="474">
        <v>75</v>
      </c>
      <c r="AJ2655" s="474" t="s">
        <v>1577</v>
      </c>
      <c r="AK2655" s="474" t="s">
        <v>50</v>
      </c>
      <c r="AL2655" s="494">
        <v>92407</v>
      </c>
      <c r="AM2655" s="474" t="s">
        <v>52</v>
      </c>
      <c r="AN2655" s="474" t="s">
        <v>50</v>
      </c>
      <c r="AO2655" s="474"/>
      <c r="AP2655" s="474" t="s">
        <v>92</v>
      </c>
      <c r="AQ2655" s="474" t="s">
        <v>37</v>
      </c>
      <c r="AR2655" s="474"/>
      <c r="AS2655" s="387"/>
      <c r="AT2655" s="387"/>
      <c r="AU2655" s="471"/>
      <c r="AV2655" s="262" t="str">
        <f t="shared" si="462"/>
        <v>30390256C</v>
      </c>
      <c r="AW2655" s="262" cm="1">
        <f t="array" ref="AW2655">SUM(MID(0&amp;AV2655,LARGE(INDEX(ISNUMBER(--MID(AV2655,ROW($1:$8),1))*ROW($1:$8),),ROW($1:$8))+1,1)*10^ROW($1:$8)/10)</f>
        <v>30390256</v>
      </c>
      <c r="AX2655" s="262" t="str">
        <f>VLOOKUP($AW2655,'Item Master Data'!$A:$F,3,FALSE)</f>
        <v>T400H</v>
      </c>
      <c r="AY2655" s="262">
        <f>VLOOKUP($AW2655,'Item Master Data'!$A:$F,6,FALSE)</f>
        <v>400</v>
      </c>
      <c r="AZ2655" s="262">
        <f t="shared" si="463"/>
        <v>24</v>
      </c>
      <c r="BA2655" s="262">
        <f>VLOOKUP(AW2655,'Item Master Data'!$A:$G,7,FALSE)</f>
        <v>26</v>
      </c>
      <c r="BC2655" s="262">
        <f t="shared" si="464"/>
        <v>0</v>
      </c>
    </row>
    <row r="2656" spans="1:55">
      <c r="A2656" s="410"/>
      <c r="B2656" s="407"/>
      <c r="C2656" s="407"/>
      <c r="D2656" s="474" t="s">
        <v>1066</v>
      </c>
      <c r="E2656" s="388"/>
      <c r="F2656" s="474" t="s">
        <v>1147</v>
      </c>
      <c r="G2656" s="474">
        <v>2022</v>
      </c>
      <c r="H2656" s="474">
        <v>3</v>
      </c>
      <c r="I2656" s="485">
        <v>127424</v>
      </c>
      <c r="J2656" s="475">
        <v>44641</v>
      </c>
      <c r="K2656" s="474" t="s">
        <v>1599</v>
      </c>
      <c r="L2656" s="475" t="s">
        <v>1561</v>
      </c>
      <c r="M2656" s="475">
        <v>44468</v>
      </c>
      <c r="N2656" s="475" t="s">
        <v>1586</v>
      </c>
      <c r="O2656" s="475"/>
      <c r="P2656" s="475">
        <v>44630</v>
      </c>
      <c r="Q2656" s="475">
        <v>44641</v>
      </c>
      <c r="R2656" s="475">
        <v>44641</v>
      </c>
      <c r="S2656" s="474" t="s">
        <v>1563</v>
      </c>
      <c r="T2656" s="474">
        <v>60</v>
      </c>
      <c r="U2656" s="474" t="s">
        <v>1573</v>
      </c>
      <c r="V2656" s="474" t="s">
        <v>1574</v>
      </c>
      <c r="W2656" s="476">
        <v>400</v>
      </c>
      <c r="X2656" s="402">
        <v>624</v>
      </c>
      <c r="Y2656" s="491">
        <f t="shared" si="459"/>
        <v>249600</v>
      </c>
      <c r="Z2656" s="478">
        <v>0.44</v>
      </c>
      <c r="AA2656" s="492">
        <f t="shared" si="460"/>
        <v>109824</v>
      </c>
      <c r="AB2656" s="386"/>
      <c r="AC2656" s="481">
        <v>0</v>
      </c>
      <c r="AD2656" s="474"/>
      <c r="AE2656" s="482"/>
      <c r="AF2656" s="493">
        <f t="shared" si="461"/>
        <v>109824</v>
      </c>
      <c r="AG2656" s="474" t="s">
        <v>47</v>
      </c>
      <c r="AH2656" s="447"/>
      <c r="AI2656" s="474">
        <v>75</v>
      </c>
      <c r="AJ2656" s="474" t="s">
        <v>1577</v>
      </c>
      <c r="AK2656" s="474" t="s">
        <v>50</v>
      </c>
      <c r="AL2656" s="494">
        <v>92407</v>
      </c>
      <c r="AM2656" s="474" t="s">
        <v>52</v>
      </c>
      <c r="AN2656" s="474" t="s">
        <v>50</v>
      </c>
      <c r="AO2656" s="474"/>
      <c r="AP2656" s="474" t="s">
        <v>92</v>
      </c>
      <c r="AQ2656" s="474" t="s">
        <v>37</v>
      </c>
      <c r="AR2656" s="474"/>
      <c r="AS2656" s="387"/>
      <c r="AT2656" s="387"/>
      <c r="AU2656" s="471"/>
      <c r="AV2656" s="262" t="str">
        <f t="shared" si="462"/>
        <v>30390256C</v>
      </c>
      <c r="AW2656" s="262" cm="1">
        <f t="array" ref="AW2656">SUM(MID(0&amp;AV2656,LARGE(INDEX(ISNUMBER(--MID(AV2656,ROW($1:$8),1))*ROW($1:$8),),ROW($1:$8))+1,1)*10^ROW($1:$8)/10)</f>
        <v>30390256</v>
      </c>
      <c r="AX2656" s="262" t="str">
        <f>VLOOKUP($AW2656,'Item Master Data'!$A:$F,3,FALSE)</f>
        <v>T400H</v>
      </c>
      <c r="AY2656" s="262">
        <f>VLOOKUP($AW2656,'Item Master Data'!$A:$F,6,FALSE)</f>
        <v>400</v>
      </c>
      <c r="AZ2656" s="262">
        <f t="shared" si="463"/>
        <v>24</v>
      </c>
      <c r="BA2656" s="262">
        <f>VLOOKUP(AW2656,'Item Master Data'!$A:$G,7,FALSE)</f>
        <v>26</v>
      </c>
      <c r="BC2656" s="262">
        <f t="shared" si="464"/>
        <v>0</v>
      </c>
    </row>
    <row r="2657" spans="1:55">
      <c r="A2657" s="410"/>
      <c r="B2657" s="407"/>
      <c r="C2657" s="407"/>
      <c r="D2657" s="474" t="s">
        <v>1066</v>
      </c>
      <c r="E2657" s="388" t="s">
        <v>1122</v>
      </c>
      <c r="F2657" s="474" t="s">
        <v>1147</v>
      </c>
      <c r="G2657" s="474">
        <v>2022</v>
      </c>
      <c r="H2657" s="474">
        <v>3</v>
      </c>
      <c r="I2657" s="485">
        <v>127423</v>
      </c>
      <c r="J2657" s="475">
        <v>44641</v>
      </c>
      <c r="K2657" s="474" t="s">
        <v>1599</v>
      </c>
      <c r="L2657" s="475" t="s">
        <v>1561</v>
      </c>
      <c r="M2657" s="475">
        <v>44468</v>
      </c>
      <c r="N2657" s="475" t="s">
        <v>1586</v>
      </c>
      <c r="O2657" s="475"/>
      <c r="P2657" s="475">
        <v>44630</v>
      </c>
      <c r="Q2657" s="475">
        <v>44638</v>
      </c>
      <c r="R2657" s="475">
        <v>44641</v>
      </c>
      <c r="S2657" s="474" t="s">
        <v>1563</v>
      </c>
      <c r="T2657" s="474">
        <v>60</v>
      </c>
      <c r="U2657" s="474" t="s">
        <v>1573</v>
      </c>
      <c r="V2657" s="474" t="s">
        <v>1574</v>
      </c>
      <c r="W2657" s="476">
        <v>400</v>
      </c>
      <c r="X2657" s="402">
        <v>624</v>
      </c>
      <c r="Y2657" s="491">
        <f t="shared" si="459"/>
        <v>249600</v>
      </c>
      <c r="Z2657" s="478">
        <v>0.44</v>
      </c>
      <c r="AA2657" s="492">
        <f t="shared" si="460"/>
        <v>109824</v>
      </c>
      <c r="AB2657" s="386"/>
      <c r="AC2657" s="481">
        <v>0</v>
      </c>
      <c r="AD2657" s="474"/>
      <c r="AE2657" s="482"/>
      <c r="AF2657" s="493">
        <f t="shared" si="461"/>
        <v>109824</v>
      </c>
      <c r="AG2657" s="474" t="s">
        <v>47</v>
      </c>
      <c r="AH2657" s="447"/>
      <c r="AI2657" s="474">
        <v>75</v>
      </c>
      <c r="AJ2657" s="474" t="s">
        <v>1577</v>
      </c>
      <c r="AK2657" s="474" t="s">
        <v>50</v>
      </c>
      <c r="AL2657" s="494">
        <v>92407</v>
      </c>
      <c r="AM2657" s="474" t="s">
        <v>52</v>
      </c>
      <c r="AN2657" s="474" t="s">
        <v>1568</v>
      </c>
      <c r="AO2657" s="474"/>
      <c r="AP2657" s="474" t="s">
        <v>92</v>
      </c>
      <c r="AQ2657" s="474" t="s">
        <v>37</v>
      </c>
      <c r="AR2657" s="474"/>
      <c r="AS2657" s="387"/>
      <c r="AT2657" s="387"/>
      <c r="AU2657" s="471"/>
      <c r="AV2657" s="262" t="str">
        <f t="shared" si="462"/>
        <v>30390256C</v>
      </c>
      <c r="AW2657" s="262" cm="1">
        <f t="array" ref="AW2657">SUM(MID(0&amp;AV2657,LARGE(INDEX(ISNUMBER(--MID(AV2657,ROW($1:$8),1))*ROW($1:$8),),ROW($1:$8))+1,1)*10^ROW($1:$8)/10)</f>
        <v>30390256</v>
      </c>
      <c r="AX2657" s="262" t="str">
        <f>VLOOKUP($AW2657,'Item Master Data'!$A:$F,3,FALSE)</f>
        <v>T400H</v>
      </c>
      <c r="AY2657" s="262">
        <f>VLOOKUP($AW2657,'Item Master Data'!$A:$F,6,FALSE)</f>
        <v>400</v>
      </c>
      <c r="AZ2657" s="262">
        <f t="shared" si="463"/>
        <v>24</v>
      </c>
      <c r="BA2657" s="262">
        <f>VLOOKUP(AW2657,'Item Master Data'!$A:$G,7,FALSE)</f>
        <v>26</v>
      </c>
      <c r="BC2657" s="262">
        <f t="shared" si="464"/>
        <v>0</v>
      </c>
    </row>
    <row r="2658" spans="1:55">
      <c r="A2658" s="410"/>
      <c r="B2658" s="407"/>
      <c r="C2658" s="407"/>
      <c r="D2658" s="474" t="s">
        <v>1066</v>
      </c>
      <c r="E2658" s="475" t="s">
        <v>1122</v>
      </c>
      <c r="F2658" s="474" t="s">
        <v>1147</v>
      </c>
      <c r="G2658" s="474">
        <v>2022</v>
      </c>
      <c r="H2658" s="474">
        <v>3</v>
      </c>
      <c r="I2658" s="485">
        <v>127469</v>
      </c>
      <c r="J2658" s="475">
        <v>44643</v>
      </c>
      <c r="K2658" s="474" t="s">
        <v>1599</v>
      </c>
      <c r="L2658" s="475" t="s">
        <v>1561</v>
      </c>
      <c r="M2658" s="475">
        <v>44468</v>
      </c>
      <c r="N2658" s="475" t="s">
        <v>1586</v>
      </c>
      <c r="O2658" s="475"/>
      <c r="P2658" s="475">
        <v>44630</v>
      </c>
      <c r="Q2658" s="475">
        <v>44641</v>
      </c>
      <c r="R2658" s="475">
        <v>44643</v>
      </c>
      <c r="S2658" s="474" t="s">
        <v>1563</v>
      </c>
      <c r="T2658" s="474">
        <v>60</v>
      </c>
      <c r="U2658" s="474" t="s">
        <v>1573</v>
      </c>
      <c r="V2658" s="474" t="s">
        <v>1574</v>
      </c>
      <c r="W2658" s="476">
        <v>400</v>
      </c>
      <c r="X2658" s="402">
        <v>624</v>
      </c>
      <c r="Y2658" s="491">
        <f t="shared" si="459"/>
        <v>249600</v>
      </c>
      <c r="Z2658" s="478">
        <v>0.44</v>
      </c>
      <c r="AA2658" s="492">
        <f t="shared" si="460"/>
        <v>109824</v>
      </c>
      <c r="AB2658" s="386"/>
      <c r="AC2658" s="481">
        <v>0</v>
      </c>
      <c r="AD2658" s="474"/>
      <c r="AE2658" s="482"/>
      <c r="AF2658" s="493">
        <f t="shared" si="461"/>
        <v>109824</v>
      </c>
      <c r="AG2658" s="474" t="s">
        <v>47</v>
      </c>
      <c r="AH2658" s="447"/>
      <c r="AI2658" s="474">
        <v>75</v>
      </c>
      <c r="AJ2658" s="474" t="s">
        <v>1577</v>
      </c>
      <c r="AK2658" s="474" t="s">
        <v>50</v>
      </c>
      <c r="AL2658" s="494">
        <v>92407</v>
      </c>
      <c r="AM2658" s="474" t="s">
        <v>52</v>
      </c>
      <c r="AN2658" s="474" t="s">
        <v>1568</v>
      </c>
      <c r="AO2658" s="474"/>
      <c r="AP2658" s="474" t="s">
        <v>92</v>
      </c>
      <c r="AQ2658" s="474" t="s">
        <v>37</v>
      </c>
      <c r="AR2658" s="474"/>
      <c r="AS2658" s="387"/>
      <c r="AT2658" s="387"/>
      <c r="AU2658" s="471"/>
      <c r="AV2658" s="262" t="str">
        <f t="shared" si="462"/>
        <v>30390256C</v>
      </c>
      <c r="AW2658" s="262" cm="1">
        <f t="array" ref="AW2658">SUM(MID(0&amp;AV2658,LARGE(INDEX(ISNUMBER(--MID(AV2658,ROW($1:$8),1))*ROW($1:$8),),ROW($1:$8))+1,1)*10^ROW($1:$8)/10)</f>
        <v>30390256</v>
      </c>
      <c r="AX2658" s="262" t="str">
        <f>VLOOKUP($AW2658,'Item Master Data'!$A:$F,3,FALSE)</f>
        <v>T400H</v>
      </c>
      <c r="AY2658" s="262">
        <f>VLOOKUP($AW2658,'Item Master Data'!$A:$F,6,FALSE)</f>
        <v>400</v>
      </c>
      <c r="AZ2658" s="262">
        <f t="shared" si="463"/>
        <v>24</v>
      </c>
      <c r="BA2658" s="262">
        <f>VLOOKUP(AW2658,'Item Master Data'!$A:$G,7,FALSE)</f>
        <v>26</v>
      </c>
      <c r="BC2658" s="262">
        <f t="shared" si="464"/>
        <v>0</v>
      </c>
    </row>
    <row r="2659" spans="1:55">
      <c r="A2659" s="410"/>
      <c r="B2659" s="407"/>
      <c r="C2659" s="407"/>
      <c r="D2659" s="474" t="s">
        <v>1066</v>
      </c>
      <c r="E2659" s="388"/>
      <c r="F2659" s="474" t="s">
        <v>1147</v>
      </c>
      <c r="G2659" s="474">
        <v>2022</v>
      </c>
      <c r="H2659" s="474">
        <v>3</v>
      </c>
      <c r="I2659" s="485">
        <v>127540</v>
      </c>
      <c r="J2659" s="475">
        <v>44644</v>
      </c>
      <c r="K2659" s="474" t="s">
        <v>1585</v>
      </c>
      <c r="L2659" s="475" t="s">
        <v>1561</v>
      </c>
      <c r="M2659" s="475">
        <v>44468</v>
      </c>
      <c r="N2659" s="475" t="s">
        <v>1586</v>
      </c>
      <c r="O2659" s="475"/>
      <c r="P2659" s="475">
        <v>44623</v>
      </c>
      <c r="Q2659" s="475">
        <v>44642</v>
      </c>
      <c r="R2659" s="475">
        <v>44644</v>
      </c>
      <c r="S2659" s="474" t="s">
        <v>1563</v>
      </c>
      <c r="T2659" s="474">
        <v>60</v>
      </c>
      <c r="U2659" s="474" t="s">
        <v>1564</v>
      </c>
      <c r="V2659" s="474" t="s">
        <v>1565</v>
      </c>
      <c r="W2659" s="476">
        <v>395</v>
      </c>
      <c r="X2659" s="402">
        <v>624</v>
      </c>
      <c r="Y2659" s="491">
        <f t="shared" si="459"/>
        <v>246480</v>
      </c>
      <c r="Z2659" s="478">
        <v>0.44</v>
      </c>
      <c r="AA2659" s="479">
        <f t="shared" si="460"/>
        <v>108451.2</v>
      </c>
      <c r="AB2659" s="386"/>
      <c r="AC2659" s="481">
        <v>0</v>
      </c>
      <c r="AD2659" s="474"/>
      <c r="AE2659" s="482"/>
      <c r="AF2659" s="493">
        <f t="shared" si="461"/>
        <v>108451.2</v>
      </c>
      <c r="AG2659" s="501" t="s">
        <v>47</v>
      </c>
      <c r="AH2659" s="409"/>
      <c r="AI2659" s="501">
        <v>75</v>
      </c>
      <c r="AJ2659" s="501" t="s">
        <v>1566</v>
      </c>
      <c r="AK2659" s="501" t="s">
        <v>50</v>
      </c>
      <c r="AL2659" s="509" t="s">
        <v>1567</v>
      </c>
      <c r="AM2659" s="501" t="s">
        <v>52</v>
      </c>
      <c r="AN2659" s="501" t="s">
        <v>50</v>
      </c>
      <c r="AO2659" s="474"/>
      <c r="AP2659" s="474" t="s">
        <v>92</v>
      </c>
      <c r="AQ2659" s="474" t="s">
        <v>37</v>
      </c>
      <c r="AR2659" s="474"/>
      <c r="AS2659" s="387"/>
      <c r="AT2659" s="387"/>
      <c r="AU2659" s="471"/>
      <c r="AV2659" s="262" t="str">
        <f t="shared" si="462"/>
        <v>30390255C</v>
      </c>
      <c r="AW2659" s="262" cm="1">
        <f t="array" ref="AW2659">SUM(MID(0&amp;AV2659,LARGE(INDEX(ISNUMBER(--MID(AV2659,ROW($1:$8),1))*ROW($1:$8),),ROW($1:$8))+1,1)*10^ROW($1:$8)/10)</f>
        <v>30390255</v>
      </c>
      <c r="AX2659" s="262" t="str">
        <f>VLOOKUP($AW2659,'Item Master Data'!$A:$F,3,FALSE)</f>
        <v>T395H</v>
      </c>
      <c r="AY2659" s="262">
        <f>VLOOKUP($AW2659,'Item Master Data'!$A:$F,6,FALSE)</f>
        <v>395</v>
      </c>
      <c r="AZ2659" s="262">
        <f t="shared" si="463"/>
        <v>24</v>
      </c>
      <c r="BA2659" s="262">
        <f>VLOOKUP(AW2659,'Item Master Data'!$A:$G,7,FALSE)</f>
        <v>26</v>
      </c>
      <c r="BC2659" s="262">
        <f t="shared" si="464"/>
        <v>0</v>
      </c>
    </row>
    <row r="2660" spans="1:55">
      <c r="A2660" s="410"/>
      <c r="B2660" s="407"/>
      <c r="C2660" s="407"/>
      <c r="D2660" s="474" t="s">
        <v>1066</v>
      </c>
      <c r="E2660" s="388"/>
      <c r="F2660" s="474" t="s">
        <v>1147</v>
      </c>
      <c r="G2660" s="474">
        <v>2022</v>
      </c>
      <c r="H2660" s="474">
        <v>4</v>
      </c>
      <c r="I2660" s="485"/>
      <c r="J2660" s="475"/>
      <c r="K2660" s="474" t="s">
        <v>5666</v>
      </c>
      <c r="L2660" s="475" t="s">
        <v>1561</v>
      </c>
      <c r="M2660" s="475">
        <v>44468</v>
      </c>
      <c r="N2660" s="475" t="s">
        <v>1631</v>
      </c>
      <c r="O2660" s="475"/>
      <c r="P2660" s="475">
        <v>44678</v>
      </c>
      <c r="Q2660" s="475">
        <v>44679</v>
      </c>
      <c r="R2660" s="475">
        <v>44680</v>
      </c>
      <c r="S2660" s="474" t="s">
        <v>1563</v>
      </c>
      <c r="T2660" s="474">
        <v>60</v>
      </c>
      <c r="U2660" s="474" t="s">
        <v>1564</v>
      </c>
      <c r="V2660" s="474" t="s">
        <v>1565</v>
      </c>
      <c r="W2660" s="476">
        <v>395</v>
      </c>
      <c r="X2660" s="402">
        <v>624</v>
      </c>
      <c r="Y2660" s="491">
        <f t="shared" si="459"/>
        <v>246480</v>
      </c>
      <c r="Z2660" s="478">
        <v>0.48</v>
      </c>
      <c r="AA2660" s="492">
        <f t="shared" si="460"/>
        <v>118310.39999999999</v>
      </c>
      <c r="AB2660" s="386"/>
      <c r="AC2660" s="481">
        <v>0</v>
      </c>
      <c r="AD2660" s="474"/>
      <c r="AE2660" s="482"/>
      <c r="AF2660" s="493">
        <f t="shared" si="461"/>
        <v>118310.39999999999</v>
      </c>
      <c r="AG2660" s="474" t="s">
        <v>47</v>
      </c>
      <c r="AH2660" s="447"/>
      <c r="AI2660" s="474">
        <v>75</v>
      </c>
      <c r="AJ2660" s="474" t="s">
        <v>1566</v>
      </c>
      <c r="AK2660" s="474" t="s">
        <v>50</v>
      </c>
      <c r="AL2660" s="494"/>
      <c r="AM2660" s="474" t="s">
        <v>52</v>
      </c>
      <c r="AN2660" s="474" t="s">
        <v>50</v>
      </c>
      <c r="AO2660" s="474"/>
      <c r="AP2660" s="474" t="s">
        <v>92</v>
      </c>
      <c r="AQ2660" s="474" t="s">
        <v>37</v>
      </c>
      <c r="AR2660" s="474"/>
      <c r="AS2660" s="387"/>
      <c r="AT2660" s="387"/>
      <c r="AU2660" s="471"/>
      <c r="AV2660" s="262" t="str">
        <f t="shared" si="462"/>
        <v>30390255C</v>
      </c>
      <c r="AW2660" s="262" cm="1">
        <f t="array" ref="AW2660">SUM(MID(0&amp;AV2660,LARGE(INDEX(ISNUMBER(--MID(AV2660,ROW($1:$8),1))*ROW($1:$8),),ROW($1:$8))+1,1)*10^ROW($1:$8)/10)</f>
        <v>30390255</v>
      </c>
      <c r="AX2660" s="262" t="str">
        <f>VLOOKUP($AW2660,'Item Master Data'!$A:$F,3,FALSE)</f>
        <v>T395H</v>
      </c>
      <c r="AY2660" s="262">
        <f>VLOOKUP($AW2660,'Item Master Data'!$A:$F,6,FALSE)</f>
        <v>395</v>
      </c>
      <c r="AZ2660" s="262">
        <f t="shared" si="463"/>
        <v>24</v>
      </c>
      <c r="BA2660" s="262">
        <f>VLOOKUP(AW2660,'Item Master Data'!$A:$G,7,FALSE)</f>
        <v>26</v>
      </c>
      <c r="BC2660" s="262">
        <f t="shared" si="464"/>
        <v>0</v>
      </c>
    </row>
    <row r="2661" spans="1:55">
      <c r="A2661" s="410"/>
      <c r="B2661" s="407"/>
      <c r="C2661" s="407"/>
      <c r="D2661" s="474" t="s">
        <v>1066</v>
      </c>
      <c r="E2661" s="388"/>
      <c r="F2661" s="474" t="s">
        <v>1147</v>
      </c>
      <c r="G2661" s="474">
        <v>2022</v>
      </c>
      <c r="H2661" s="474">
        <v>4</v>
      </c>
      <c r="I2661" s="485"/>
      <c r="J2661" s="475"/>
      <c r="K2661" s="474" t="s">
        <v>5666</v>
      </c>
      <c r="L2661" s="475" t="s">
        <v>1561</v>
      </c>
      <c r="M2661" s="475">
        <v>44468</v>
      </c>
      <c r="N2661" s="475" t="s">
        <v>1631</v>
      </c>
      <c r="O2661" s="475"/>
      <c r="P2661" s="475">
        <v>44678</v>
      </c>
      <c r="Q2661" s="475">
        <v>44679</v>
      </c>
      <c r="R2661" s="475">
        <v>44680</v>
      </c>
      <c r="S2661" s="474" t="s">
        <v>1563</v>
      </c>
      <c r="T2661" s="474">
        <v>60</v>
      </c>
      <c r="U2661" s="474" t="s">
        <v>1564</v>
      </c>
      <c r="V2661" s="474" t="s">
        <v>1565</v>
      </c>
      <c r="W2661" s="476">
        <v>395</v>
      </c>
      <c r="X2661" s="402">
        <v>624</v>
      </c>
      <c r="Y2661" s="491">
        <f t="shared" si="459"/>
        <v>246480</v>
      </c>
      <c r="Z2661" s="478">
        <v>0.48</v>
      </c>
      <c r="AA2661" s="492">
        <f t="shared" si="460"/>
        <v>118310.39999999999</v>
      </c>
      <c r="AB2661" s="386"/>
      <c r="AC2661" s="481">
        <v>0</v>
      </c>
      <c r="AD2661" s="474"/>
      <c r="AE2661" s="482"/>
      <c r="AF2661" s="493">
        <f t="shared" si="461"/>
        <v>118310.39999999999</v>
      </c>
      <c r="AG2661" s="474" t="s">
        <v>47</v>
      </c>
      <c r="AH2661" s="447"/>
      <c r="AI2661" s="474">
        <v>75</v>
      </c>
      <c r="AJ2661" s="474" t="s">
        <v>1566</v>
      </c>
      <c r="AK2661" s="474" t="s">
        <v>50</v>
      </c>
      <c r="AL2661" s="494"/>
      <c r="AM2661" s="474" t="s">
        <v>52</v>
      </c>
      <c r="AN2661" s="474" t="s">
        <v>50</v>
      </c>
      <c r="AO2661" s="474"/>
      <c r="AP2661" s="474" t="s">
        <v>92</v>
      </c>
      <c r="AQ2661" s="474" t="s">
        <v>37</v>
      </c>
      <c r="AR2661" s="474"/>
      <c r="AS2661" s="387"/>
      <c r="AT2661" s="387"/>
      <c r="AU2661" s="471"/>
      <c r="AV2661" s="262" t="str">
        <f t="shared" si="462"/>
        <v>30390255C</v>
      </c>
      <c r="AW2661" s="262" cm="1">
        <f t="array" ref="AW2661">SUM(MID(0&amp;AV2661,LARGE(INDEX(ISNUMBER(--MID(AV2661,ROW($1:$8),1))*ROW($1:$8),),ROW($1:$8))+1,1)*10^ROW($1:$8)/10)</f>
        <v>30390255</v>
      </c>
      <c r="AX2661" s="262" t="str">
        <f>VLOOKUP($AW2661,'Item Master Data'!$A:$F,3,FALSE)</f>
        <v>T395H</v>
      </c>
      <c r="AY2661" s="262">
        <f>VLOOKUP($AW2661,'Item Master Data'!$A:$F,6,FALSE)</f>
        <v>395</v>
      </c>
      <c r="AZ2661" s="262">
        <f t="shared" si="463"/>
        <v>24</v>
      </c>
      <c r="BA2661" s="262">
        <f>VLOOKUP(AW2661,'Item Master Data'!$A:$G,7,FALSE)</f>
        <v>26</v>
      </c>
      <c r="BC2661" s="262">
        <f t="shared" si="464"/>
        <v>0</v>
      </c>
    </row>
    <row r="2662" spans="1:55">
      <c r="A2662" s="410"/>
      <c r="B2662" s="407"/>
      <c r="C2662" s="407"/>
      <c r="D2662" s="474" t="s">
        <v>1066</v>
      </c>
      <c r="E2662" s="388"/>
      <c r="F2662" s="474" t="s">
        <v>1147</v>
      </c>
      <c r="G2662" s="474">
        <v>2022</v>
      </c>
      <c r="H2662" s="474">
        <v>4</v>
      </c>
      <c r="I2662" s="485">
        <v>128197</v>
      </c>
      <c r="J2662" s="475">
        <v>44676</v>
      </c>
      <c r="K2662" s="474" t="s">
        <v>1587</v>
      </c>
      <c r="L2662" s="475" t="s">
        <v>1561</v>
      </c>
      <c r="M2662" s="475">
        <v>44468</v>
      </c>
      <c r="N2662" s="475" t="s">
        <v>1588</v>
      </c>
      <c r="O2662" s="475"/>
      <c r="P2662" s="475">
        <v>44663</v>
      </c>
      <c r="Q2662" s="475">
        <v>44671</v>
      </c>
      <c r="R2662" s="475">
        <v>44676</v>
      </c>
      <c r="S2662" s="474" t="s">
        <v>1563</v>
      </c>
      <c r="T2662" s="474">
        <v>60</v>
      </c>
      <c r="U2662" s="474" t="s">
        <v>1583</v>
      </c>
      <c r="V2662" s="474" t="s">
        <v>1565</v>
      </c>
      <c r="W2662" s="476">
        <v>395</v>
      </c>
      <c r="X2662" s="402">
        <v>624</v>
      </c>
      <c r="Y2662" s="491">
        <f t="shared" si="459"/>
        <v>246480</v>
      </c>
      <c r="Z2662" s="478">
        <v>0.48</v>
      </c>
      <c r="AA2662" s="479">
        <f t="shared" si="460"/>
        <v>118310.39999999999</v>
      </c>
      <c r="AB2662" s="386"/>
      <c r="AC2662" s="481">
        <v>0</v>
      </c>
      <c r="AD2662" s="474"/>
      <c r="AE2662" s="482"/>
      <c r="AF2662" s="493">
        <f t="shared" si="461"/>
        <v>118310.39999999999</v>
      </c>
      <c r="AG2662" s="501" t="s">
        <v>47</v>
      </c>
      <c r="AH2662" s="409"/>
      <c r="AI2662" s="501">
        <v>75</v>
      </c>
      <c r="AJ2662" s="501" t="s">
        <v>1580</v>
      </c>
      <c r="AK2662" s="501" t="s">
        <v>1073</v>
      </c>
      <c r="AL2662" s="509">
        <v>21075</v>
      </c>
      <c r="AM2662" s="501" t="s">
        <v>52</v>
      </c>
      <c r="AN2662" s="501" t="s">
        <v>50</v>
      </c>
      <c r="AO2662" s="474"/>
      <c r="AP2662" s="474" t="s">
        <v>92</v>
      </c>
      <c r="AQ2662" s="474" t="s">
        <v>37</v>
      </c>
      <c r="AR2662" s="474"/>
      <c r="AS2662" s="387"/>
      <c r="AT2662" s="387"/>
      <c r="AU2662" s="471"/>
      <c r="AV2662" s="262" t="str">
        <f t="shared" si="462"/>
        <v>30390255H</v>
      </c>
      <c r="AW2662" s="262" cm="1">
        <f t="array" ref="AW2662">SUM(MID(0&amp;AV2662,LARGE(INDEX(ISNUMBER(--MID(AV2662,ROW($1:$8),1))*ROW($1:$8),),ROW($1:$8))+1,1)*10^ROW($1:$8)/10)</f>
        <v>30390255</v>
      </c>
      <c r="AX2662" s="262" t="str">
        <f>VLOOKUP($AW2662,'Item Master Data'!$A:$F,3,FALSE)</f>
        <v>T395H</v>
      </c>
      <c r="AY2662" s="262">
        <f>VLOOKUP($AW2662,'Item Master Data'!$A:$F,6,FALSE)</f>
        <v>395</v>
      </c>
      <c r="AZ2662" s="262">
        <f t="shared" si="463"/>
        <v>24</v>
      </c>
      <c r="BA2662" s="262">
        <f>VLOOKUP(AW2662,'Item Master Data'!$A:$G,7,FALSE)</f>
        <v>26</v>
      </c>
      <c r="BC2662" s="262">
        <f t="shared" si="464"/>
        <v>0</v>
      </c>
    </row>
    <row r="2663" spans="1:55">
      <c r="A2663" s="410"/>
      <c r="B2663" s="407"/>
      <c r="C2663" s="407"/>
      <c r="D2663" s="474" t="s">
        <v>1066</v>
      </c>
      <c r="E2663" s="388"/>
      <c r="F2663" s="474" t="s">
        <v>1147</v>
      </c>
      <c r="G2663" s="474">
        <v>2022</v>
      </c>
      <c r="H2663" s="474">
        <v>4</v>
      </c>
      <c r="I2663" s="485" t="s">
        <v>5389</v>
      </c>
      <c r="J2663" s="475">
        <v>44677</v>
      </c>
      <c r="K2663" s="474" t="s">
        <v>1587</v>
      </c>
      <c r="L2663" s="475" t="s">
        <v>1561</v>
      </c>
      <c r="M2663" s="475">
        <v>44468</v>
      </c>
      <c r="N2663" s="475" t="s">
        <v>1588</v>
      </c>
      <c r="O2663" s="475"/>
      <c r="P2663" s="475">
        <v>44663</v>
      </c>
      <c r="Q2663" s="475">
        <v>44672</v>
      </c>
      <c r="R2663" s="475">
        <v>44677</v>
      </c>
      <c r="S2663" s="474" t="s">
        <v>1563</v>
      </c>
      <c r="T2663" s="474">
        <v>60</v>
      </c>
      <c r="U2663" s="474" t="s">
        <v>1583</v>
      </c>
      <c r="V2663" s="474" t="s">
        <v>1565</v>
      </c>
      <c r="W2663" s="476">
        <v>395</v>
      </c>
      <c r="X2663" s="402">
        <v>624</v>
      </c>
      <c r="Y2663" s="491">
        <f t="shared" si="459"/>
        <v>246480</v>
      </c>
      <c r="Z2663" s="478">
        <v>0.48</v>
      </c>
      <c r="AA2663" s="479">
        <f t="shared" si="460"/>
        <v>118310.39999999999</v>
      </c>
      <c r="AB2663" s="386"/>
      <c r="AC2663" s="481">
        <v>0</v>
      </c>
      <c r="AD2663" s="474"/>
      <c r="AE2663" s="482"/>
      <c r="AF2663" s="493">
        <f t="shared" si="461"/>
        <v>118310.39999999999</v>
      </c>
      <c r="AG2663" s="501" t="s">
        <v>47</v>
      </c>
      <c r="AH2663" s="409"/>
      <c r="AI2663" s="501">
        <v>75</v>
      </c>
      <c r="AJ2663" s="501" t="s">
        <v>1580</v>
      </c>
      <c r="AK2663" s="501" t="s">
        <v>1073</v>
      </c>
      <c r="AL2663" s="509">
        <v>21075</v>
      </c>
      <c r="AM2663" s="501" t="s">
        <v>52</v>
      </c>
      <c r="AN2663" s="501" t="s">
        <v>50</v>
      </c>
      <c r="AO2663" s="474"/>
      <c r="AP2663" s="474" t="s">
        <v>92</v>
      </c>
      <c r="AQ2663" s="474" t="s">
        <v>37</v>
      </c>
      <c r="AR2663" s="474"/>
      <c r="AS2663" s="387"/>
      <c r="AT2663" s="387"/>
      <c r="AU2663" s="471"/>
      <c r="AV2663" s="262" t="str">
        <f t="shared" si="462"/>
        <v>30390255H</v>
      </c>
      <c r="AW2663" s="262" cm="1">
        <f t="array" ref="AW2663">SUM(MID(0&amp;AV2663,LARGE(INDEX(ISNUMBER(--MID(AV2663,ROW($1:$8),1))*ROW($1:$8),),ROW($1:$8))+1,1)*10^ROW($1:$8)/10)</f>
        <v>30390255</v>
      </c>
      <c r="AX2663" s="262" t="str">
        <f>VLOOKUP($AW2663,'Item Master Data'!$A:$F,3,FALSE)</f>
        <v>T395H</v>
      </c>
      <c r="AY2663" s="262">
        <f>VLOOKUP($AW2663,'Item Master Data'!$A:$F,6,FALSE)</f>
        <v>395</v>
      </c>
      <c r="AZ2663" s="262">
        <f t="shared" si="463"/>
        <v>24</v>
      </c>
      <c r="BA2663" s="262">
        <f>VLOOKUP(AW2663,'Item Master Data'!$A:$G,7,FALSE)</f>
        <v>26</v>
      </c>
      <c r="BC2663" s="262">
        <f t="shared" si="464"/>
        <v>0</v>
      </c>
    </row>
    <row r="2664" spans="1:55">
      <c r="A2664" s="410"/>
      <c r="B2664" s="407"/>
      <c r="C2664" s="407"/>
      <c r="D2664" s="474" t="s">
        <v>1066</v>
      </c>
      <c r="E2664" s="388" t="s">
        <v>1122</v>
      </c>
      <c r="F2664" s="474" t="s">
        <v>1147</v>
      </c>
      <c r="G2664" s="474">
        <v>2022</v>
      </c>
      <c r="H2664" s="474">
        <v>4</v>
      </c>
      <c r="I2664" s="485">
        <v>127954</v>
      </c>
      <c r="J2664" s="475">
        <v>44657</v>
      </c>
      <c r="K2664" s="474" t="s">
        <v>1581</v>
      </c>
      <c r="L2664" s="475" t="s">
        <v>1561</v>
      </c>
      <c r="M2664" s="475">
        <v>44468</v>
      </c>
      <c r="N2664" s="475" t="s">
        <v>1571</v>
      </c>
      <c r="O2664" s="475"/>
      <c r="P2664" s="475">
        <v>44596</v>
      </c>
      <c r="Q2664" s="475">
        <v>44652</v>
      </c>
      <c r="R2664" s="475">
        <v>44657</v>
      </c>
      <c r="S2664" s="474" t="s">
        <v>1563</v>
      </c>
      <c r="T2664" s="474">
        <v>60</v>
      </c>
      <c r="U2664" s="474" t="s">
        <v>1573</v>
      </c>
      <c r="V2664" s="474" t="s">
        <v>1574</v>
      </c>
      <c r="W2664" s="476">
        <v>400</v>
      </c>
      <c r="X2664" s="402">
        <v>624</v>
      </c>
      <c r="Y2664" s="491">
        <f t="shared" si="459"/>
        <v>249600</v>
      </c>
      <c r="Z2664" s="478">
        <v>0.48</v>
      </c>
      <c r="AA2664" s="479">
        <f t="shared" si="460"/>
        <v>119808</v>
      </c>
      <c r="AB2664" s="386"/>
      <c r="AC2664" s="481">
        <v>0</v>
      </c>
      <c r="AD2664" s="474"/>
      <c r="AE2664" s="482"/>
      <c r="AF2664" s="493">
        <f t="shared" si="461"/>
        <v>119808</v>
      </c>
      <c r="AG2664" s="474" t="s">
        <v>47</v>
      </c>
      <c r="AH2664" s="447"/>
      <c r="AI2664" s="474">
        <v>75</v>
      </c>
      <c r="AJ2664" s="474" t="s">
        <v>1580</v>
      </c>
      <c r="AK2664" s="474" t="s">
        <v>1073</v>
      </c>
      <c r="AL2664" s="494">
        <v>21075</v>
      </c>
      <c r="AM2664" s="474" t="s">
        <v>52</v>
      </c>
      <c r="AN2664" s="474" t="s">
        <v>1568</v>
      </c>
      <c r="AO2664" s="474"/>
      <c r="AP2664" s="474" t="s">
        <v>92</v>
      </c>
      <c r="AQ2664" s="474" t="s">
        <v>37</v>
      </c>
      <c r="AR2664" s="474"/>
      <c r="AS2664" s="387"/>
      <c r="AT2664" s="387"/>
      <c r="AU2664" s="471"/>
      <c r="AV2664" s="262" t="str">
        <f t="shared" si="462"/>
        <v>30390256C</v>
      </c>
      <c r="AW2664" s="262" cm="1">
        <f t="array" ref="AW2664">SUM(MID(0&amp;AV2664,LARGE(INDEX(ISNUMBER(--MID(AV2664,ROW($1:$8),1))*ROW($1:$8),),ROW($1:$8))+1,1)*10^ROW($1:$8)/10)</f>
        <v>30390256</v>
      </c>
      <c r="AX2664" s="262" t="str">
        <f>VLOOKUP($AW2664,'Item Master Data'!$A:$F,3,FALSE)</f>
        <v>T400H</v>
      </c>
      <c r="AY2664" s="262">
        <f>VLOOKUP($AW2664,'Item Master Data'!$A:$F,6,FALSE)</f>
        <v>400</v>
      </c>
      <c r="AZ2664" s="262">
        <f t="shared" si="463"/>
        <v>24</v>
      </c>
      <c r="BA2664" s="262">
        <f>VLOOKUP(AW2664,'Item Master Data'!$A:$G,7,FALSE)</f>
        <v>26</v>
      </c>
      <c r="BC2664" s="262">
        <f t="shared" si="464"/>
        <v>0</v>
      </c>
    </row>
    <row r="2665" spans="1:55">
      <c r="A2665" s="410"/>
      <c r="B2665" s="407"/>
      <c r="C2665" s="407"/>
      <c r="D2665" s="474" t="s">
        <v>1066</v>
      </c>
      <c r="E2665" s="388" t="s">
        <v>1122</v>
      </c>
      <c r="F2665" s="474" t="s">
        <v>1147</v>
      </c>
      <c r="G2665" s="474">
        <v>2022</v>
      </c>
      <c r="H2665" s="474">
        <v>4</v>
      </c>
      <c r="I2665" s="485">
        <v>127955</v>
      </c>
      <c r="J2665" s="475">
        <v>44657</v>
      </c>
      <c r="K2665" s="474" t="s">
        <v>1581</v>
      </c>
      <c r="L2665" s="475" t="s">
        <v>1561</v>
      </c>
      <c r="M2665" s="475">
        <v>44468</v>
      </c>
      <c r="N2665" s="475" t="s">
        <v>1571</v>
      </c>
      <c r="O2665" s="475"/>
      <c r="P2665" s="475">
        <v>44596</v>
      </c>
      <c r="Q2665" s="475">
        <v>44652</v>
      </c>
      <c r="R2665" s="475">
        <v>44657</v>
      </c>
      <c r="S2665" s="474" t="s">
        <v>1563</v>
      </c>
      <c r="T2665" s="474">
        <v>60</v>
      </c>
      <c r="U2665" s="474" t="s">
        <v>1573</v>
      </c>
      <c r="V2665" s="474" t="s">
        <v>1574</v>
      </c>
      <c r="W2665" s="476">
        <v>400</v>
      </c>
      <c r="X2665" s="402">
        <v>624</v>
      </c>
      <c r="Y2665" s="491">
        <f t="shared" si="459"/>
        <v>249600</v>
      </c>
      <c r="Z2665" s="478">
        <v>0.48</v>
      </c>
      <c r="AA2665" s="479">
        <f t="shared" si="460"/>
        <v>119808</v>
      </c>
      <c r="AB2665" s="386"/>
      <c r="AC2665" s="481">
        <v>0</v>
      </c>
      <c r="AD2665" s="474"/>
      <c r="AE2665" s="482"/>
      <c r="AF2665" s="493">
        <f t="shared" si="461"/>
        <v>119808</v>
      </c>
      <c r="AG2665" s="474" t="s">
        <v>47</v>
      </c>
      <c r="AH2665" s="447"/>
      <c r="AI2665" s="474">
        <v>75</v>
      </c>
      <c r="AJ2665" s="474" t="s">
        <v>1580</v>
      </c>
      <c r="AK2665" s="474" t="s">
        <v>1073</v>
      </c>
      <c r="AL2665" s="494">
        <v>21075</v>
      </c>
      <c r="AM2665" s="474" t="s">
        <v>52</v>
      </c>
      <c r="AN2665" s="474" t="s">
        <v>1568</v>
      </c>
      <c r="AO2665" s="474"/>
      <c r="AP2665" s="474" t="s">
        <v>92</v>
      </c>
      <c r="AQ2665" s="474" t="s">
        <v>37</v>
      </c>
      <c r="AR2665" s="474"/>
      <c r="AS2665" s="387"/>
      <c r="AT2665" s="387"/>
      <c r="AU2665" s="471"/>
      <c r="AV2665" s="262" t="str">
        <f t="shared" si="462"/>
        <v>30390256C</v>
      </c>
      <c r="AW2665" s="262" cm="1">
        <f t="array" ref="AW2665">SUM(MID(0&amp;AV2665,LARGE(INDEX(ISNUMBER(--MID(AV2665,ROW($1:$8),1))*ROW($1:$8),),ROW($1:$8))+1,1)*10^ROW($1:$8)/10)</f>
        <v>30390256</v>
      </c>
      <c r="AX2665" s="262" t="str">
        <f>VLOOKUP($AW2665,'Item Master Data'!$A:$F,3,FALSE)</f>
        <v>T400H</v>
      </c>
      <c r="AY2665" s="262">
        <f>VLOOKUP($AW2665,'Item Master Data'!$A:$F,6,FALSE)</f>
        <v>400</v>
      </c>
      <c r="AZ2665" s="262">
        <f t="shared" si="463"/>
        <v>24</v>
      </c>
      <c r="BA2665" s="262">
        <f>VLOOKUP(AW2665,'Item Master Data'!$A:$G,7,FALSE)</f>
        <v>26</v>
      </c>
      <c r="BC2665" s="262">
        <f t="shared" si="464"/>
        <v>0</v>
      </c>
    </row>
    <row r="2666" spans="1:55">
      <c r="A2666" s="410"/>
      <c r="B2666" s="407"/>
      <c r="C2666" s="407"/>
      <c r="D2666" s="474" t="s">
        <v>1066</v>
      </c>
      <c r="E2666" s="388" t="s">
        <v>1122</v>
      </c>
      <c r="F2666" s="474" t="s">
        <v>1147</v>
      </c>
      <c r="G2666" s="474">
        <v>2022</v>
      </c>
      <c r="H2666" s="474">
        <v>4</v>
      </c>
      <c r="I2666" s="485">
        <v>127952</v>
      </c>
      <c r="J2666" s="475">
        <v>44657</v>
      </c>
      <c r="K2666" s="474" t="s">
        <v>1581</v>
      </c>
      <c r="L2666" s="475" t="s">
        <v>1561</v>
      </c>
      <c r="M2666" s="475">
        <v>44468</v>
      </c>
      <c r="N2666" s="475" t="s">
        <v>1571</v>
      </c>
      <c r="O2666" s="475"/>
      <c r="P2666" s="475">
        <v>44596</v>
      </c>
      <c r="Q2666" s="475">
        <v>44652</v>
      </c>
      <c r="R2666" s="475">
        <v>44657</v>
      </c>
      <c r="S2666" s="474" t="s">
        <v>1563</v>
      </c>
      <c r="T2666" s="474">
        <v>60</v>
      </c>
      <c r="U2666" s="474" t="s">
        <v>1573</v>
      </c>
      <c r="V2666" s="474" t="s">
        <v>1574</v>
      </c>
      <c r="W2666" s="476">
        <v>400</v>
      </c>
      <c r="X2666" s="402">
        <v>624</v>
      </c>
      <c r="Y2666" s="491">
        <f t="shared" si="459"/>
        <v>249600</v>
      </c>
      <c r="Z2666" s="478">
        <v>0.48</v>
      </c>
      <c r="AA2666" s="479">
        <f t="shared" si="460"/>
        <v>119808</v>
      </c>
      <c r="AB2666" s="386"/>
      <c r="AC2666" s="481">
        <v>0</v>
      </c>
      <c r="AD2666" s="474"/>
      <c r="AE2666" s="482"/>
      <c r="AF2666" s="493">
        <f t="shared" si="461"/>
        <v>119808</v>
      </c>
      <c r="AG2666" s="474" t="s">
        <v>47</v>
      </c>
      <c r="AH2666" s="447"/>
      <c r="AI2666" s="474">
        <v>75</v>
      </c>
      <c r="AJ2666" s="474" t="s">
        <v>1580</v>
      </c>
      <c r="AK2666" s="474" t="s">
        <v>1073</v>
      </c>
      <c r="AL2666" s="494">
        <v>21075</v>
      </c>
      <c r="AM2666" s="474" t="s">
        <v>52</v>
      </c>
      <c r="AN2666" s="474" t="s">
        <v>1568</v>
      </c>
      <c r="AO2666" s="474"/>
      <c r="AP2666" s="474" t="s">
        <v>92</v>
      </c>
      <c r="AQ2666" s="474" t="s">
        <v>37</v>
      </c>
      <c r="AR2666" s="474"/>
      <c r="AS2666" s="387"/>
      <c r="AT2666" s="387"/>
      <c r="AU2666" s="471"/>
      <c r="AV2666" s="262" t="str">
        <f t="shared" si="462"/>
        <v>30390256C</v>
      </c>
      <c r="AW2666" s="262" cm="1">
        <f t="array" ref="AW2666">SUM(MID(0&amp;AV2666,LARGE(INDEX(ISNUMBER(--MID(AV2666,ROW($1:$8),1))*ROW($1:$8),),ROW($1:$8))+1,1)*10^ROW($1:$8)/10)</f>
        <v>30390256</v>
      </c>
      <c r="AX2666" s="262" t="str">
        <f>VLOOKUP($AW2666,'Item Master Data'!$A:$F,3,FALSE)</f>
        <v>T400H</v>
      </c>
      <c r="AY2666" s="262">
        <f>VLOOKUP($AW2666,'Item Master Data'!$A:$F,6,FALSE)</f>
        <v>400</v>
      </c>
      <c r="AZ2666" s="262">
        <f t="shared" si="463"/>
        <v>24</v>
      </c>
      <c r="BA2666" s="262">
        <f>VLOOKUP(AW2666,'Item Master Data'!$A:$G,7,FALSE)</f>
        <v>26</v>
      </c>
      <c r="BC2666" s="262">
        <f t="shared" si="464"/>
        <v>0</v>
      </c>
    </row>
    <row r="2667" spans="1:55">
      <c r="A2667" s="410"/>
      <c r="B2667" s="407"/>
      <c r="C2667" s="407"/>
      <c r="D2667" s="474" t="s">
        <v>1066</v>
      </c>
      <c r="E2667" s="388" t="s">
        <v>1122</v>
      </c>
      <c r="F2667" s="474" t="s">
        <v>1147</v>
      </c>
      <c r="G2667" s="474">
        <v>2022</v>
      </c>
      <c r="H2667" s="474">
        <v>4</v>
      </c>
      <c r="I2667" s="485">
        <v>127951</v>
      </c>
      <c r="J2667" s="475">
        <v>44657</v>
      </c>
      <c r="K2667" s="474" t="s">
        <v>1581</v>
      </c>
      <c r="L2667" s="475" t="s">
        <v>1561</v>
      </c>
      <c r="M2667" s="475">
        <v>44468</v>
      </c>
      <c r="N2667" s="475" t="s">
        <v>1571</v>
      </c>
      <c r="O2667" s="475"/>
      <c r="P2667" s="475">
        <v>44596</v>
      </c>
      <c r="Q2667" s="475">
        <v>44652</v>
      </c>
      <c r="R2667" s="475">
        <v>44657</v>
      </c>
      <c r="S2667" s="474" t="s">
        <v>1563</v>
      </c>
      <c r="T2667" s="474">
        <v>60</v>
      </c>
      <c r="U2667" s="474" t="s">
        <v>1573</v>
      </c>
      <c r="V2667" s="474" t="s">
        <v>1574</v>
      </c>
      <c r="W2667" s="476">
        <v>400</v>
      </c>
      <c r="X2667" s="402">
        <v>624</v>
      </c>
      <c r="Y2667" s="491">
        <f t="shared" si="459"/>
        <v>249600</v>
      </c>
      <c r="Z2667" s="478">
        <v>0.48</v>
      </c>
      <c r="AA2667" s="479">
        <f t="shared" si="460"/>
        <v>119808</v>
      </c>
      <c r="AB2667" s="386"/>
      <c r="AC2667" s="481">
        <v>0</v>
      </c>
      <c r="AD2667" s="474"/>
      <c r="AE2667" s="482"/>
      <c r="AF2667" s="493">
        <f t="shared" si="461"/>
        <v>119808</v>
      </c>
      <c r="AG2667" s="474" t="s">
        <v>47</v>
      </c>
      <c r="AH2667" s="447"/>
      <c r="AI2667" s="474">
        <v>75</v>
      </c>
      <c r="AJ2667" s="474" t="s">
        <v>1580</v>
      </c>
      <c r="AK2667" s="474" t="s">
        <v>1073</v>
      </c>
      <c r="AL2667" s="494">
        <v>21075</v>
      </c>
      <c r="AM2667" s="474" t="s">
        <v>52</v>
      </c>
      <c r="AN2667" s="474" t="s">
        <v>1568</v>
      </c>
      <c r="AO2667" s="474"/>
      <c r="AP2667" s="474" t="s">
        <v>92</v>
      </c>
      <c r="AQ2667" s="474" t="s">
        <v>37</v>
      </c>
      <c r="AR2667" s="474"/>
      <c r="AS2667" s="387"/>
      <c r="AT2667" s="387"/>
      <c r="AU2667" s="471"/>
      <c r="AV2667" s="262" t="str">
        <f t="shared" si="462"/>
        <v>30390256C</v>
      </c>
      <c r="AW2667" s="262" cm="1">
        <f t="array" ref="AW2667">SUM(MID(0&amp;AV2667,LARGE(INDEX(ISNUMBER(--MID(AV2667,ROW($1:$8),1))*ROW($1:$8),),ROW($1:$8))+1,1)*10^ROW($1:$8)/10)</f>
        <v>30390256</v>
      </c>
      <c r="AX2667" s="262" t="str">
        <f>VLOOKUP($AW2667,'Item Master Data'!$A:$F,3,FALSE)</f>
        <v>T400H</v>
      </c>
      <c r="AY2667" s="262">
        <f>VLOOKUP($AW2667,'Item Master Data'!$A:$F,6,FALSE)</f>
        <v>400</v>
      </c>
      <c r="AZ2667" s="262">
        <f t="shared" si="463"/>
        <v>24</v>
      </c>
      <c r="BA2667" s="262">
        <f>VLOOKUP(AW2667,'Item Master Data'!$A:$G,7,FALSE)</f>
        <v>26</v>
      </c>
      <c r="BC2667" s="262">
        <f t="shared" si="464"/>
        <v>0</v>
      </c>
    </row>
    <row r="2668" spans="1:55">
      <c r="A2668" s="410"/>
      <c r="B2668" s="407"/>
      <c r="C2668" s="407"/>
      <c r="D2668" s="474" t="s">
        <v>1066</v>
      </c>
      <c r="E2668" s="388" t="s">
        <v>1122</v>
      </c>
      <c r="F2668" s="474" t="s">
        <v>1147</v>
      </c>
      <c r="G2668" s="474">
        <v>2022</v>
      </c>
      <c r="H2668" s="474">
        <v>4</v>
      </c>
      <c r="I2668" s="485">
        <v>127956</v>
      </c>
      <c r="J2668" s="475">
        <v>44657</v>
      </c>
      <c r="K2668" s="474" t="s">
        <v>1581</v>
      </c>
      <c r="L2668" s="475" t="s">
        <v>1561</v>
      </c>
      <c r="M2668" s="475">
        <v>44468</v>
      </c>
      <c r="N2668" s="475" t="s">
        <v>1571</v>
      </c>
      <c r="O2668" s="475"/>
      <c r="P2668" s="475">
        <v>44596</v>
      </c>
      <c r="Q2668" s="475">
        <v>44652</v>
      </c>
      <c r="R2668" s="475">
        <v>44657</v>
      </c>
      <c r="S2668" s="474" t="s">
        <v>1563</v>
      </c>
      <c r="T2668" s="474">
        <v>60</v>
      </c>
      <c r="U2668" s="474" t="s">
        <v>1573</v>
      </c>
      <c r="V2668" s="474" t="s">
        <v>1574</v>
      </c>
      <c r="W2668" s="476">
        <v>400</v>
      </c>
      <c r="X2668" s="402">
        <v>624</v>
      </c>
      <c r="Y2668" s="491">
        <f t="shared" si="459"/>
        <v>249600</v>
      </c>
      <c r="Z2668" s="478">
        <v>0.48</v>
      </c>
      <c r="AA2668" s="479">
        <f t="shared" si="460"/>
        <v>119808</v>
      </c>
      <c r="AB2668" s="386"/>
      <c r="AC2668" s="481">
        <v>0</v>
      </c>
      <c r="AD2668" s="474"/>
      <c r="AE2668" s="482"/>
      <c r="AF2668" s="493">
        <f t="shared" si="461"/>
        <v>119808</v>
      </c>
      <c r="AG2668" s="474" t="s">
        <v>47</v>
      </c>
      <c r="AH2668" s="447"/>
      <c r="AI2668" s="474">
        <v>75</v>
      </c>
      <c r="AJ2668" s="474" t="s">
        <v>1580</v>
      </c>
      <c r="AK2668" s="474" t="s">
        <v>1073</v>
      </c>
      <c r="AL2668" s="494">
        <v>21075</v>
      </c>
      <c r="AM2668" s="474" t="s">
        <v>52</v>
      </c>
      <c r="AN2668" s="474" t="s">
        <v>1568</v>
      </c>
      <c r="AO2668" s="474"/>
      <c r="AP2668" s="474" t="s">
        <v>92</v>
      </c>
      <c r="AQ2668" s="474" t="s">
        <v>37</v>
      </c>
      <c r="AR2668" s="474"/>
      <c r="AS2668" s="387"/>
      <c r="AT2668" s="387"/>
      <c r="AU2668" s="471"/>
      <c r="AV2668" s="262" t="str">
        <f t="shared" si="462"/>
        <v>30390256C</v>
      </c>
      <c r="AW2668" s="262" cm="1">
        <f t="array" ref="AW2668">SUM(MID(0&amp;AV2668,LARGE(INDEX(ISNUMBER(--MID(AV2668,ROW($1:$8),1))*ROW($1:$8),),ROW($1:$8))+1,1)*10^ROW($1:$8)/10)</f>
        <v>30390256</v>
      </c>
      <c r="AX2668" s="262" t="str">
        <f>VLOOKUP($AW2668,'Item Master Data'!$A:$F,3,FALSE)</f>
        <v>T400H</v>
      </c>
      <c r="AY2668" s="262">
        <f>VLOOKUP($AW2668,'Item Master Data'!$A:$F,6,FALSE)</f>
        <v>400</v>
      </c>
      <c r="AZ2668" s="262">
        <f t="shared" si="463"/>
        <v>24</v>
      </c>
      <c r="BA2668" s="262">
        <f>VLOOKUP(AW2668,'Item Master Data'!$A:$G,7,FALSE)</f>
        <v>26</v>
      </c>
      <c r="BC2668" s="262">
        <f t="shared" si="464"/>
        <v>0</v>
      </c>
    </row>
    <row r="2669" spans="1:55">
      <c r="A2669" s="410"/>
      <c r="B2669" s="407"/>
      <c r="C2669" s="407"/>
      <c r="D2669" s="474" t="s">
        <v>1066</v>
      </c>
      <c r="E2669" s="388" t="s">
        <v>1122</v>
      </c>
      <c r="F2669" s="474" t="s">
        <v>1147</v>
      </c>
      <c r="G2669" s="474">
        <v>2022</v>
      </c>
      <c r="H2669" s="474">
        <v>4</v>
      </c>
      <c r="I2669" s="485">
        <v>127953</v>
      </c>
      <c r="J2669" s="475">
        <v>44658</v>
      </c>
      <c r="K2669" s="474" t="s">
        <v>1581</v>
      </c>
      <c r="L2669" s="475" t="s">
        <v>1561</v>
      </c>
      <c r="M2669" s="475">
        <v>44468</v>
      </c>
      <c r="N2669" s="475" t="s">
        <v>1571</v>
      </c>
      <c r="O2669" s="475"/>
      <c r="P2669" s="475">
        <v>44596</v>
      </c>
      <c r="Q2669" s="475">
        <v>44652</v>
      </c>
      <c r="R2669" s="475">
        <v>44658</v>
      </c>
      <c r="S2669" s="474" t="s">
        <v>1563</v>
      </c>
      <c r="T2669" s="474">
        <v>60</v>
      </c>
      <c r="U2669" s="474" t="s">
        <v>1573</v>
      </c>
      <c r="V2669" s="474" t="s">
        <v>1574</v>
      </c>
      <c r="W2669" s="476">
        <v>400</v>
      </c>
      <c r="X2669" s="402">
        <v>624</v>
      </c>
      <c r="Y2669" s="491">
        <f t="shared" si="459"/>
        <v>249600</v>
      </c>
      <c r="Z2669" s="478">
        <v>0.48</v>
      </c>
      <c r="AA2669" s="479">
        <f t="shared" si="460"/>
        <v>119808</v>
      </c>
      <c r="AB2669" s="386"/>
      <c r="AC2669" s="481">
        <v>0</v>
      </c>
      <c r="AD2669" s="474"/>
      <c r="AE2669" s="482"/>
      <c r="AF2669" s="493">
        <f t="shared" si="461"/>
        <v>119808</v>
      </c>
      <c r="AG2669" s="474" t="s">
        <v>47</v>
      </c>
      <c r="AH2669" s="447"/>
      <c r="AI2669" s="474">
        <v>75</v>
      </c>
      <c r="AJ2669" s="474" t="s">
        <v>1580</v>
      </c>
      <c r="AK2669" s="474" t="s">
        <v>1073</v>
      </c>
      <c r="AL2669" s="494">
        <v>21075</v>
      </c>
      <c r="AM2669" s="474" t="s">
        <v>52</v>
      </c>
      <c r="AN2669" s="474" t="s">
        <v>1568</v>
      </c>
      <c r="AO2669" s="474"/>
      <c r="AP2669" s="474" t="s">
        <v>92</v>
      </c>
      <c r="AQ2669" s="474" t="s">
        <v>37</v>
      </c>
      <c r="AR2669" s="474"/>
      <c r="AS2669" s="387"/>
      <c r="AT2669" s="387"/>
      <c r="AU2669" s="471"/>
      <c r="AV2669" s="262" t="str">
        <f t="shared" si="462"/>
        <v>30390256C</v>
      </c>
      <c r="AW2669" s="262" cm="1">
        <f t="array" ref="AW2669">SUM(MID(0&amp;AV2669,LARGE(INDEX(ISNUMBER(--MID(AV2669,ROW($1:$8),1))*ROW($1:$8),),ROW($1:$8))+1,1)*10^ROW($1:$8)/10)</f>
        <v>30390256</v>
      </c>
      <c r="AX2669" s="262" t="str">
        <f>VLOOKUP($AW2669,'Item Master Data'!$A:$F,3,FALSE)</f>
        <v>T400H</v>
      </c>
      <c r="AY2669" s="262">
        <f>VLOOKUP($AW2669,'Item Master Data'!$A:$F,6,FALSE)</f>
        <v>400</v>
      </c>
      <c r="AZ2669" s="262">
        <f t="shared" si="463"/>
        <v>24</v>
      </c>
      <c r="BA2669" s="262">
        <f>VLOOKUP(AW2669,'Item Master Data'!$A:$G,7,FALSE)</f>
        <v>26</v>
      </c>
      <c r="BC2669" s="262">
        <f t="shared" si="464"/>
        <v>0</v>
      </c>
    </row>
    <row r="2670" spans="1:55">
      <c r="A2670" s="410"/>
      <c r="B2670" s="407"/>
      <c r="C2670" s="407"/>
      <c r="D2670" s="474" t="s">
        <v>1066</v>
      </c>
      <c r="E2670" s="388" t="s">
        <v>1601</v>
      </c>
      <c r="F2670" s="474" t="s">
        <v>1147</v>
      </c>
      <c r="G2670" s="474">
        <v>2022</v>
      </c>
      <c r="H2670" s="474">
        <v>4</v>
      </c>
      <c r="I2670" s="485">
        <v>127902</v>
      </c>
      <c r="J2670" s="475">
        <v>44657</v>
      </c>
      <c r="K2670" s="474" t="s">
        <v>1602</v>
      </c>
      <c r="L2670" s="475" t="s">
        <v>1561</v>
      </c>
      <c r="M2670" s="475">
        <v>44468</v>
      </c>
      <c r="N2670" s="475" t="s">
        <v>1586</v>
      </c>
      <c r="O2670" s="475"/>
      <c r="P2670" s="475">
        <v>44623</v>
      </c>
      <c r="Q2670" s="475">
        <v>44652</v>
      </c>
      <c r="R2670" s="475">
        <v>44657</v>
      </c>
      <c r="S2670" s="474" t="s">
        <v>1563</v>
      </c>
      <c r="T2670" s="474">
        <v>60</v>
      </c>
      <c r="U2670" s="474" t="s">
        <v>1595</v>
      </c>
      <c r="V2670" s="474" t="s">
        <v>1574</v>
      </c>
      <c r="W2670" s="476">
        <v>400</v>
      </c>
      <c r="X2670" s="402">
        <v>624</v>
      </c>
      <c r="Y2670" s="491">
        <f t="shared" si="459"/>
        <v>249600</v>
      </c>
      <c r="Z2670" s="478">
        <v>0.48</v>
      </c>
      <c r="AA2670" s="479">
        <f t="shared" si="460"/>
        <v>119808</v>
      </c>
      <c r="AB2670" s="386"/>
      <c r="AC2670" s="481">
        <v>0</v>
      </c>
      <c r="AD2670" s="474"/>
      <c r="AE2670" s="482"/>
      <c r="AF2670" s="493">
        <f t="shared" si="461"/>
        <v>119808</v>
      </c>
      <c r="AG2670" s="501" t="s">
        <v>47</v>
      </c>
      <c r="AH2670" s="409"/>
      <c r="AI2670" s="501">
        <v>75</v>
      </c>
      <c r="AJ2670" s="501" t="s">
        <v>1580</v>
      </c>
      <c r="AK2670" s="501" t="s">
        <v>1073</v>
      </c>
      <c r="AL2670" s="509">
        <v>21075</v>
      </c>
      <c r="AM2670" s="501" t="s">
        <v>52</v>
      </c>
      <c r="AN2670" s="501" t="s">
        <v>50</v>
      </c>
      <c r="AO2670" s="474"/>
      <c r="AP2670" s="474" t="s">
        <v>92</v>
      </c>
      <c r="AQ2670" s="474" t="s">
        <v>37</v>
      </c>
      <c r="AR2670" s="474"/>
      <c r="AS2670" s="387"/>
      <c r="AT2670" s="387"/>
      <c r="AU2670" s="471"/>
      <c r="AV2670" s="262" t="str">
        <f t="shared" si="462"/>
        <v>30390256H</v>
      </c>
      <c r="AW2670" s="262" cm="1">
        <f t="array" ref="AW2670">SUM(MID(0&amp;AV2670,LARGE(INDEX(ISNUMBER(--MID(AV2670,ROW($1:$8),1))*ROW($1:$8),),ROW($1:$8))+1,1)*10^ROW($1:$8)/10)</f>
        <v>30390256</v>
      </c>
      <c r="AX2670" s="262" t="str">
        <f>VLOOKUP($AW2670,'Item Master Data'!$A:$F,3,FALSE)</f>
        <v>T400H</v>
      </c>
      <c r="AY2670" s="262">
        <f>VLOOKUP($AW2670,'Item Master Data'!$A:$F,6,FALSE)</f>
        <v>400</v>
      </c>
      <c r="AZ2670" s="262">
        <f t="shared" si="463"/>
        <v>24</v>
      </c>
      <c r="BA2670" s="262">
        <f>VLOOKUP(AW2670,'Item Master Data'!$A:$G,7,FALSE)</f>
        <v>26</v>
      </c>
      <c r="BC2670" s="262">
        <f t="shared" si="464"/>
        <v>0</v>
      </c>
    </row>
    <row r="2671" spans="1:55">
      <c r="A2671" s="410"/>
      <c r="B2671" s="407"/>
      <c r="C2671" s="407"/>
      <c r="D2671" s="474" t="s">
        <v>1066</v>
      </c>
      <c r="E2671" s="388" t="s">
        <v>1603</v>
      </c>
      <c r="F2671" s="474" t="s">
        <v>1147</v>
      </c>
      <c r="G2671" s="474">
        <v>2022</v>
      </c>
      <c r="H2671" s="474">
        <v>4</v>
      </c>
      <c r="I2671" s="485">
        <v>127903</v>
      </c>
      <c r="J2671" s="475">
        <v>44657</v>
      </c>
      <c r="K2671" s="474" t="s">
        <v>1602</v>
      </c>
      <c r="L2671" s="475" t="s">
        <v>1561</v>
      </c>
      <c r="M2671" s="475">
        <v>44468</v>
      </c>
      <c r="N2671" s="475" t="s">
        <v>1586</v>
      </c>
      <c r="O2671" s="475"/>
      <c r="P2671" s="475">
        <v>44623</v>
      </c>
      <c r="Q2671" s="475">
        <v>44652</v>
      </c>
      <c r="R2671" s="475">
        <v>44657</v>
      </c>
      <c r="S2671" s="474" t="s">
        <v>1563</v>
      </c>
      <c r="T2671" s="474">
        <v>60</v>
      </c>
      <c r="U2671" s="474" t="s">
        <v>1595</v>
      </c>
      <c r="V2671" s="474" t="s">
        <v>1574</v>
      </c>
      <c r="W2671" s="476">
        <v>400</v>
      </c>
      <c r="X2671" s="402">
        <v>624</v>
      </c>
      <c r="Y2671" s="491">
        <f t="shared" si="459"/>
        <v>249600</v>
      </c>
      <c r="Z2671" s="478">
        <v>0.48</v>
      </c>
      <c r="AA2671" s="479">
        <f t="shared" si="460"/>
        <v>119808</v>
      </c>
      <c r="AB2671" s="386"/>
      <c r="AC2671" s="481">
        <v>0</v>
      </c>
      <c r="AD2671" s="474"/>
      <c r="AE2671" s="482"/>
      <c r="AF2671" s="493">
        <f t="shared" si="461"/>
        <v>119808</v>
      </c>
      <c r="AG2671" s="501" t="s">
        <v>47</v>
      </c>
      <c r="AH2671" s="409"/>
      <c r="AI2671" s="501">
        <v>75</v>
      </c>
      <c r="AJ2671" s="501" t="s">
        <v>1580</v>
      </c>
      <c r="AK2671" s="501" t="s">
        <v>1073</v>
      </c>
      <c r="AL2671" s="509">
        <v>21075</v>
      </c>
      <c r="AM2671" s="501" t="s">
        <v>52</v>
      </c>
      <c r="AN2671" s="501" t="s">
        <v>50</v>
      </c>
      <c r="AO2671" s="474"/>
      <c r="AP2671" s="474" t="s">
        <v>92</v>
      </c>
      <c r="AQ2671" s="474" t="s">
        <v>37</v>
      </c>
      <c r="AR2671" s="474"/>
      <c r="AS2671" s="387"/>
      <c r="AT2671" s="387"/>
      <c r="AU2671" s="471"/>
      <c r="AV2671" s="262" t="str">
        <f t="shared" si="462"/>
        <v>30390256H</v>
      </c>
      <c r="AW2671" s="262" cm="1">
        <f t="array" ref="AW2671">SUM(MID(0&amp;AV2671,LARGE(INDEX(ISNUMBER(--MID(AV2671,ROW($1:$8),1))*ROW($1:$8),),ROW($1:$8))+1,1)*10^ROW($1:$8)/10)</f>
        <v>30390256</v>
      </c>
      <c r="AX2671" s="262" t="str">
        <f>VLOOKUP($AW2671,'Item Master Data'!$A:$F,3,FALSE)</f>
        <v>T400H</v>
      </c>
      <c r="AY2671" s="262">
        <f>VLOOKUP($AW2671,'Item Master Data'!$A:$F,6,FALSE)</f>
        <v>400</v>
      </c>
      <c r="AZ2671" s="262">
        <f t="shared" si="463"/>
        <v>24</v>
      </c>
      <c r="BA2671" s="262">
        <f>VLOOKUP(AW2671,'Item Master Data'!$A:$G,7,FALSE)</f>
        <v>26</v>
      </c>
      <c r="BC2671" s="262">
        <f t="shared" si="464"/>
        <v>0</v>
      </c>
    </row>
    <row r="2672" spans="1:55">
      <c r="A2672" s="410"/>
      <c r="B2672" s="407"/>
      <c r="C2672" s="407"/>
      <c r="D2672" s="474" t="s">
        <v>1066</v>
      </c>
      <c r="E2672" s="388" t="s">
        <v>1604</v>
      </c>
      <c r="F2672" s="474" t="s">
        <v>1147</v>
      </c>
      <c r="G2672" s="474">
        <v>2022</v>
      </c>
      <c r="H2672" s="474">
        <v>4</v>
      </c>
      <c r="I2672" s="485">
        <v>127904</v>
      </c>
      <c r="J2672" s="475">
        <v>44657</v>
      </c>
      <c r="K2672" s="474" t="s">
        <v>1602</v>
      </c>
      <c r="L2672" s="475" t="s">
        <v>1561</v>
      </c>
      <c r="M2672" s="475">
        <v>44468</v>
      </c>
      <c r="N2672" s="475" t="s">
        <v>1586</v>
      </c>
      <c r="O2672" s="475"/>
      <c r="P2672" s="475">
        <v>44623</v>
      </c>
      <c r="Q2672" s="475">
        <v>44652</v>
      </c>
      <c r="R2672" s="475">
        <v>44657</v>
      </c>
      <c r="S2672" s="474" t="s">
        <v>1563</v>
      </c>
      <c r="T2672" s="474">
        <v>60</v>
      </c>
      <c r="U2672" s="474" t="s">
        <v>1595</v>
      </c>
      <c r="V2672" s="474" t="s">
        <v>1574</v>
      </c>
      <c r="W2672" s="476">
        <v>400</v>
      </c>
      <c r="X2672" s="402">
        <v>624</v>
      </c>
      <c r="Y2672" s="491">
        <f t="shared" si="459"/>
        <v>249600</v>
      </c>
      <c r="Z2672" s="478">
        <v>0.48</v>
      </c>
      <c r="AA2672" s="479">
        <f t="shared" si="460"/>
        <v>119808</v>
      </c>
      <c r="AB2672" s="386"/>
      <c r="AC2672" s="481">
        <v>0</v>
      </c>
      <c r="AD2672" s="474"/>
      <c r="AE2672" s="482"/>
      <c r="AF2672" s="493">
        <f t="shared" si="461"/>
        <v>119808</v>
      </c>
      <c r="AG2672" s="501" t="s">
        <v>47</v>
      </c>
      <c r="AH2672" s="409"/>
      <c r="AI2672" s="501">
        <v>75</v>
      </c>
      <c r="AJ2672" s="501" t="s">
        <v>1580</v>
      </c>
      <c r="AK2672" s="501" t="s">
        <v>1073</v>
      </c>
      <c r="AL2672" s="509">
        <v>21075</v>
      </c>
      <c r="AM2672" s="501" t="s">
        <v>52</v>
      </c>
      <c r="AN2672" s="501" t="s">
        <v>50</v>
      </c>
      <c r="AO2672" s="474"/>
      <c r="AP2672" s="474" t="s">
        <v>92</v>
      </c>
      <c r="AQ2672" s="474" t="s">
        <v>37</v>
      </c>
      <c r="AR2672" s="474"/>
      <c r="AS2672" s="387"/>
      <c r="AT2672" s="387"/>
      <c r="AU2672" s="471"/>
      <c r="AV2672" s="262" t="str">
        <f t="shared" si="462"/>
        <v>30390256H</v>
      </c>
      <c r="AW2672" s="262" cm="1">
        <f t="array" ref="AW2672">SUM(MID(0&amp;AV2672,LARGE(INDEX(ISNUMBER(--MID(AV2672,ROW($1:$8),1))*ROW($1:$8),),ROW($1:$8))+1,1)*10^ROW($1:$8)/10)</f>
        <v>30390256</v>
      </c>
      <c r="AX2672" s="607" t="str">
        <f>VLOOKUP($AW2672,'Item Master Data'!$A:$F,3,FALSE)</f>
        <v>T400H</v>
      </c>
      <c r="AY2672" s="607">
        <f>VLOOKUP($AW2672,'Item Master Data'!$A:$F,6,FALSE)</f>
        <v>400</v>
      </c>
      <c r="AZ2672" s="607">
        <f t="shared" si="463"/>
        <v>24</v>
      </c>
      <c r="BA2672" s="607">
        <f>VLOOKUP(AW2672,'Item Master Data'!$A:$G,7,FALSE)</f>
        <v>26</v>
      </c>
      <c r="BC2672" s="262">
        <f t="shared" si="464"/>
        <v>0</v>
      </c>
    </row>
    <row r="2673" spans="1:55">
      <c r="A2673" s="410"/>
      <c r="B2673" s="407"/>
      <c r="C2673" s="407"/>
      <c r="D2673" s="474" t="s">
        <v>1066</v>
      </c>
      <c r="E2673" s="388" t="s">
        <v>1605</v>
      </c>
      <c r="F2673" s="474" t="s">
        <v>1147</v>
      </c>
      <c r="G2673" s="474">
        <v>2022</v>
      </c>
      <c r="H2673" s="474">
        <v>4</v>
      </c>
      <c r="I2673" s="485">
        <v>127905</v>
      </c>
      <c r="J2673" s="475">
        <v>44657</v>
      </c>
      <c r="K2673" s="474" t="s">
        <v>1602</v>
      </c>
      <c r="L2673" s="475" t="s">
        <v>1561</v>
      </c>
      <c r="M2673" s="475">
        <v>44468</v>
      </c>
      <c r="N2673" s="475" t="s">
        <v>1586</v>
      </c>
      <c r="O2673" s="475"/>
      <c r="P2673" s="475">
        <v>44623</v>
      </c>
      <c r="Q2673" s="475">
        <v>44652</v>
      </c>
      <c r="R2673" s="475">
        <v>44657</v>
      </c>
      <c r="S2673" s="474" t="s">
        <v>1563</v>
      </c>
      <c r="T2673" s="474">
        <v>60</v>
      </c>
      <c r="U2673" s="474" t="s">
        <v>1595</v>
      </c>
      <c r="V2673" s="474" t="s">
        <v>1574</v>
      </c>
      <c r="W2673" s="476">
        <v>400</v>
      </c>
      <c r="X2673" s="402">
        <v>624</v>
      </c>
      <c r="Y2673" s="491">
        <f t="shared" si="459"/>
        <v>249600</v>
      </c>
      <c r="Z2673" s="478">
        <v>0.48</v>
      </c>
      <c r="AA2673" s="479">
        <f t="shared" si="460"/>
        <v>119808</v>
      </c>
      <c r="AB2673" s="386"/>
      <c r="AC2673" s="481">
        <v>0</v>
      </c>
      <c r="AD2673" s="474"/>
      <c r="AE2673" s="482"/>
      <c r="AF2673" s="493">
        <f t="shared" si="461"/>
        <v>119808</v>
      </c>
      <c r="AG2673" s="501" t="s">
        <v>47</v>
      </c>
      <c r="AH2673" s="409"/>
      <c r="AI2673" s="501">
        <v>75</v>
      </c>
      <c r="AJ2673" s="501" t="s">
        <v>1580</v>
      </c>
      <c r="AK2673" s="501" t="s">
        <v>1073</v>
      </c>
      <c r="AL2673" s="509">
        <v>21075</v>
      </c>
      <c r="AM2673" s="501" t="s">
        <v>52</v>
      </c>
      <c r="AN2673" s="501" t="s">
        <v>50</v>
      </c>
      <c r="AO2673" s="474"/>
      <c r="AP2673" s="474" t="s">
        <v>92</v>
      </c>
      <c r="AQ2673" s="474" t="s">
        <v>37</v>
      </c>
      <c r="AR2673" s="474"/>
      <c r="AS2673" s="387"/>
      <c r="AT2673" s="387"/>
      <c r="AU2673" s="471"/>
      <c r="AV2673" s="262" t="str">
        <f t="shared" si="462"/>
        <v>30390256H</v>
      </c>
      <c r="AW2673" s="262" cm="1">
        <f t="array" ref="AW2673">SUM(MID(0&amp;AV2673,LARGE(INDEX(ISNUMBER(--MID(AV2673,ROW($1:$8),1))*ROW($1:$8),),ROW($1:$8))+1,1)*10^ROW($1:$8)/10)</f>
        <v>30390256</v>
      </c>
      <c r="AX2673" s="262" t="str">
        <f>VLOOKUP($AW2673,'Item Master Data'!$A:$F,3,FALSE)</f>
        <v>T400H</v>
      </c>
      <c r="AY2673" s="262">
        <f>VLOOKUP($AW2673,'Item Master Data'!$A:$F,6,FALSE)</f>
        <v>400</v>
      </c>
      <c r="AZ2673" s="262">
        <f t="shared" si="463"/>
        <v>24</v>
      </c>
      <c r="BA2673" s="262">
        <f>VLOOKUP(AW2673,'Item Master Data'!$A:$G,7,FALSE)</f>
        <v>26</v>
      </c>
      <c r="BC2673" s="262">
        <f t="shared" si="464"/>
        <v>0</v>
      </c>
    </row>
    <row r="2674" spans="1:55">
      <c r="A2674" s="410"/>
      <c r="B2674" s="407"/>
      <c r="C2674" s="407"/>
      <c r="D2674" s="474" t="s">
        <v>1066</v>
      </c>
      <c r="E2674" s="388" t="s">
        <v>1606</v>
      </c>
      <c r="F2674" s="474" t="s">
        <v>1147</v>
      </c>
      <c r="G2674" s="474">
        <v>2022</v>
      </c>
      <c r="H2674" s="474">
        <v>4</v>
      </c>
      <c r="I2674" s="485">
        <v>127909</v>
      </c>
      <c r="J2674" s="475">
        <v>44662</v>
      </c>
      <c r="K2674" s="474" t="s">
        <v>1602</v>
      </c>
      <c r="L2674" s="475" t="s">
        <v>1561</v>
      </c>
      <c r="M2674" s="475">
        <v>44468</v>
      </c>
      <c r="N2674" s="475" t="s">
        <v>1586</v>
      </c>
      <c r="O2674" s="475"/>
      <c r="P2674" s="475">
        <v>44623</v>
      </c>
      <c r="Q2674" s="475">
        <v>44656</v>
      </c>
      <c r="R2674" s="475">
        <v>44662</v>
      </c>
      <c r="S2674" s="474" t="s">
        <v>1563</v>
      </c>
      <c r="T2674" s="474">
        <v>60</v>
      </c>
      <c r="U2674" s="474" t="s">
        <v>1595</v>
      </c>
      <c r="V2674" s="474" t="s">
        <v>1574</v>
      </c>
      <c r="W2674" s="476">
        <v>400</v>
      </c>
      <c r="X2674" s="402">
        <v>624</v>
      </c>
      <c r="Y2674" s="491">
        <f t="shared" si="459"/>
        <v>249600</v>
      </c>
      <c r="Z2674" s="478">
        <v>0.48</v>
      </c>
      <c r="AA2674" s="479">
        <f t="shared" si="460"/>
        <v>119808</v>
      </c>
      <c r="AB2674" s="386"/>
      <c r="AC2674" s="481">
        <v>0</v>
      </c>
      <c r="AD2674" s="474"/>
      <c r="AE2674" s="482"/>
      <c r="AF2674" s="493">
        <f t="shared" si="461"/>
        <v>119808</v>
      </c>
      <c r="AG2674" s="501" t="s">
        <v>47</v>
      </c>
      <c r="AH2674" s="409"/>
      <c r="AI2674" s="501">
        <v>75</v>
      </c>
      <c r="AJ2674" s="501" t="s">
        <v>1580</v>
      </c>
      <c r="AK2674" s="501" t="s">
        <v>1073</v>
      </c>
      <c r="AL2674" s="509">
        <v>21075</v>
      </c>
      <c r="AM2674" s="501" t="s">
        <v>52</v>
      </c>
      <c r="AN2674" s="501" t="s">
        <v>50</v>
      </c>
      <c r="AO2674" s="474"/>
      <c r="AP2674" s="474" t="s">
        <v>92</v>
      </c>
      <c r="AQ2674" s="474" t="s">
        <v>37</v>
      </c>
      <c r="AR2674" s="474"/>
      <c r="AS2674" s="387"/>
      <c r="AT2674" s="387"/>
      <c r="AU2674" s="471"/>
      <c r="AV2674" s="262" t="str">
        <f t="shared" si="462"/>
        <v>30390256H</v>
      </c>
      <c r="AW2674" s="262" cm="1">
        <f t="array" ref="AW2674">SUM(MID(0&amp;AV2674,LARGE(INDEX(ISNUMBER(--MID(AV2674,ROW($1:$8),1))*ROW($1:$8),),ROW($1:$8))+1,1)*10^ROW($1:$8)/10)</f>
        <v>30390256</v>
      </c>
      <c r="AX2674" s="262" t="str">
        <f>VLOOKUP($AW2674,'Item Master Data'!$A:$F,3,FALSE)</f>
        <v>T400H</v>
      </c>
      <c r="AY2674" s="262">
        <f>VLOOKUP($AW2674,'Item Master Data'!$A:$F,6,FALSE)</f>
        <v>400</v>
      </c>
      <c r="AZ2674" s="262">
        <f t="shared" si="463"/>
        <v>24</v>
      </c>
      <c r="BA2674" s="262">
        <f>VLOOKUP(AW2674,'Item Master Data'!$A:$G,7,FALSE)</f>
        <v>26</v>
      </c>
      <c r="BC2674" s="262">
        <f t="shared" si="464"/>
        <v>0</v>
      </c>
    </row>
    <row r="2675" spans="1:55">
      <c r="A2675" s="410"/>
      <c r="B2675" s="407"/>
      <c r="C2675" s="407"/>
      <c r="D2675" s="474" t="s">
        <v>1066</v>
      </c>
      <c r="E2675" s="475" t="s">
        <v>1122</v>
      </c>
      <c r="F2675" s="474" t="s">
        <v>1147</v>
      </c>
      <c r="G2675" s="474">
        <v>2022</v>
      </c>
      <c r="H2675" s="474">
        <v>3</v>
      </c>
      <c r="I2675" s="485">
        <v>127468</v>
      </c>
      <c r="J2675" s="475">
        <v>44643</v>
      </c>
      <c r="K2675" s="474" t="s">
        <v>1599</v>
      </c>
      <c r="L2675" s="475" t="s">
        <v>1561</v>
      </c>
      <c r="M2675" s="475">
        <v>44468</v>
      </c>
      <c r="N2675" s="475" t="s">
        <v>1586</v>
      </c>
      <c r="O2675" s="475"/>
      <c r="P2675" s="475">
        <v>44630</v>
      </c>
      <c r="Q2675" s="475">
        <v>44641</v>
      </c>
      <c r="R2675" s="475">
        <v>44643</v>
      </c>
      <c r="S2675" s="474" t="s">
        <v>1563</v>
      </c>
      <c r="T2675" s="474">
        <v>60</v>
      </c>
      <c r="U2675" s="474" t="s">
        <v>1573</v>
      </c>
      <c r="V2675" s="474" t="s">
        <v>1574</v>
      </c>
      <c r="W2675" s="476">
        <v>400</v>
      </c>
      <c r="X2675" s="402">
        <v>624</v>
      </c>
      <c r="Y2675" s="491">
        <f t="shared" si="459"/>
        <v>249600</v>
      </c>
      <c r="Z2675" s="478">
        <v>0.44</v>
      </c>
      <c r="AA2675" s="492">
        <f t="shared" si="460"/>
        <v>109824</v>
      </c>
      <c r="AB2675" s="386"/>
      <c r="AC2675" s="481">
        <v>0</v>
      </c>
      <c r="AD2675" s="474"/>
      <c r="AE2675" s="482"/>
      <c r="AF2675" s="493">
        <f t="shared" si="461"/>
        <v>109824</v>
      </c>
      <c r="AG2675" s="474" t="s">
        <v>47</v>
      </c>
      <c r="AH2675" s="447"/>
      <c r="AI2675" s="474">
        <v>75</v>
      </c>
      <c r="AJ2675" s="474" t="s">
        <v>1577</v>
      </c>
      <c r="AK2675" s="474" t="s">
        <v>50</v>
      </c>
      <c r="AL2675" s="494">
        <v>92407</v>
      </c>
      <c r="AM2675" s="474" t="s">
        <v>52</v>
      </c>
      <c r="AN2675" s="474" t="s">
        <v>1568</v>
      </c>
      <c r="AO2675" s="474"/>
      <c r="AP2675" s="474" t="s">
        <v>92</v>
      </c>
      <c r="AQ2675" s="474" t="s">
        <v>37</v>
      </c>
      <c r="AR2675" s="474"/>
      <c r="AS2675" s="387"/>
      <c r="AT2675" s="387"/>
      <c r="AU2675" s="471"/>
      <c r="AV2675" s="262" t="str">
        <f t="shared" si="462"/>
        <v>30390256C</v>
      </c>
      <c r="AW2675" s="262" cm="1">
        <f t="array" ref="AW2675">SUM(MID(0&amp;AV2675,LARGE(INDEX(ISNUMBER(--MID(AV2675,ROW($1:$8),1))*ROW($1:$8),),ROW($1:$8))+1,1)*10^ROW($1:$8)/10)</f>
        <v>30390256</v>
      </c>
      <c r="AX2675" s="262" t="str">
        <f>VLOOKUP($AW2675,'Item Master Data'!$A:$F,3,FALSE)</f>
        <v>T400H</v>
      </c>
      <c r="AY2675" s="262">
        <f>VLOOKUP($AW2675,'Item Master Data'!$A:$F,6,FALSE)</f>
        <v>400</v>
      </c>
      <c r="AZ2675" s="262">
        <f t="shared" si="463"/>
        <v>24</v>
      </c>
      <c r="BA2675" s="262">
        <f>VLOOKUP(AW2675,'Item Master Data'!$A:$G,7,FALSE)</f>
        <v>26</v>
      </c>
      <c r="BC2675" s="262">
        <f t="shared" si="464"/>
        <v>0</v>
      </c>
    </row>
    <row r="2676" spans="1:55">
      <c r="A2676" s="410"/>
      <c r="B2676" s="407"/>
      <c r="C2676" s="407"/>
      <c r="D2676" s="474" t="s">
        <v>1066</v>
      </c>
      <c r="E2676" s="388"/>
      <c r="F2676" s="474" t="s">
        <v>1147</v>
      </c>
      <c r="G2676" s="474">
        <v>2022</v>
      </c>
      <c r="H2676" s="474">
        <v>3</v>
      </c>
      <c r="I2676" s="485">
        <v>127479</v>
      </c>
      <c r="J2676" s="475">
        <v>44642</v>
      </c>
      <c r="K2676" s="474" t="s">
        <v>1585</v>
      </c>
      <c r="L2676" s="475" t="s">
        <v>1561</v>
      </c>
      <c r="M2676" s="475">
        <v>44468</v>
      </c>
      <c r="N2676" s="475" t="s">
        <v>1586</v>
      </c>
      <c r="O2676" s="475"/>
      <c r="P2676" s="475">
        <v>44623</v>
      </c>
      <c r="Q2676" s="475">
        <v>44641</v>
      </c>
      <c r="R2676" s="475">
        <v>44642</v>
      </c>
      <c r="S2676" s="474" t="s">
        <v>1563</v>
      </c>
      <c r="T2676" s="474">
        <v>60</v>
      </c>
      <c r="U2676" s="474" t="s">
        <v>1583</v>
      </c>
      <c r="V2676" s="474" t="s">
        <v>1565</v>
      </c>
      <c r="W2676" s="476">
        <v>395</v>
      </c>
      <c r="X2676" s="402">
        <v>624</v>
      </c>
      <c r="Y2676" s="491">
        <f t="shared" si="459"/>
        <v>246480</v>
      </c>
      <c r="Z2676" s="478">
        <v>0.44</v>
      </c>
      <c r="AA2676" s="479">
        <f t="shared" si="460"/>
        <v>108451.2</v>
      </c>
      <c r="AB2676" s="386"/>
      <c r="AC2676" s="481">
        <v>0</v>
      </c>
      <c r="AD2676" s="474"/>
      <c r="AE2676" s="482"/>
      <c r="AF2676" s="493">
        <f t="shared" si="461"/>
        <v>108451.2</v>
      </c>
      <c r="AG2676" s="501" t="s">
        <v>47</v>
      </c>
      <c r="AH2676" s="409"/>
      <c r="AI2676" s="501">
        <v>75</v>
      </c>
      <c r="AJ2676" s="501" t="s">
        <v>1566</v>
      </c>
      <c r="AK2676" s="501" t="s">
        <v>50</v>
      </c>
      <c r="AL2676" s="509" t="s">
        <v>1567</v>
      </c>
      <c r="AM2676" s="501" t="s">
        <v>52</v>
      </c>
      <c r="AN2676" s="501" t="s">
        <v>50</v>
      </c>
      <c r="AO2676" s="474"/>
      <c r="AP2676" s="474" t="s">
        <v>92</v>
      </c>
      <c r="AQ2676" s="474" t="s">
        <v>37</v>
      </c>
      <c r="AR2676" s="474"/>
      <c r="AS2676" s="387"/>
      <c r="AT2676" s="387"/>
      <c r="AU2676" s="471"/>
      <c r="AV2676" s="262" t="str">
        <f t="shared" si="462"/>
        <v>30390255H</v>
      </c>
      <c r="AW2676" s="262" cm="1">
        <f t="array" ref="AW2676">SUM(MID(0&amp;AV2676,LARGE(INDEX(ISNUMBER(--MID(AV2676,ROW($1:$8),1))*ROW($1:$8),),ROW($1:$8))+1,1)*10^ROW($1:$8)/10)</f>
        <v>30390255</v>
      </c>
      <c r="AX2676" s="262" t="str">
        <f>VLOOKUP($AW2676,'Item Master Data'!$A:$F,3,FALSE)</f>
        <v>T395H</v>
      </c>
      <c r="AY2676" s="262">
        <f>VLOOKUP($AW2676,'Item Master Data'!$A:$F,6,FALSE)</f>
        <v>395</v>
      </c>
      <c r="AZ2676" s="262">
        <f t="shared" si="463"/>
        <v>24</v>
      </c>
      <c r="BA2676" s="262">
        <f>VLOOKUP(AW2676,'Item Master Data'!$A:$G,7,FALSE)</f>
        <v>26</v>
      </c>
      <c r="BC2676" s="262">
        <f t="shared" si="464"/>
        <v>0</v>
      </c>
    </row>
    <row r="2677" spans="1:55">
      <c r="A2677" s="410"/>
      <c r="B2677" s="407"/>
      <c r="C2677" s="407"/>
      <c r="D2677" s="474" t="s">
        <v>1066</v>
      </c>
      <c r="E2677" s="388" t="s">
        <v>1607</v>
      </c>
      <c r="F2677" s="474" t="s">
        <v>1147</v>
      </c>
      <c r="G2677" s="474">
        <v>2022</v>
      </c>
      <c r="H2677" s="474">
        <v>4</v>
      </c>
      <c r="I2677" s="485">
        <v>127906</v>
      </c>
      <c r="J2677" s="475">
        <v>44662</v>
      </c>
      <c r="K2677" s="474" t="s">
        <v>1602</v>
      </c>
      <c r="L2677" s="475" t="s">
        <v>1561</v>
      </c>
      <c r="M2677" s="475">
        <v>44468</v>
      </c>
      <c r="N2677" s="475" t="s">
        <v>1586</v>
      </c>
      <c r="O2677" s="475"/>
      <c r="P2677" s="475">
        <v>44623</v>
      </c>
      <c r="Q2677" s="475">
        <v>44657</v>
      </c>
      <c r="R2677" s="475">
        <v>44662</v>
      </c>
      <c r="S2677" s="474" t="s">
        <v>1563</v>
      </c>
      <c r="T2677" s="474">
        <v>60</v>
      </c>
      <c r="U2677" s="474" t="s">
        <v>1595</v>
      </c>
      <c r="V2677" s="474" t="s">
        <v>1574</v>
      </c>
      <c r="W2677" s="476">
        <v>400</v>
      </c>
      <c r="X2677" s="402">
        <v>624</v>
      </c>
      <c r="Y2677" s="491">
        <f t="shared" si="459"/>
        <v>249600</v>
      </c>
      <c r="Z2677" s="478">
        <v>0.48</v>
      </c>
      <c r="AA2677" s="479">
        <f t="shared" si="460"/>
        <v>119808</v>
      </c>
      <c r="AB2677" s="386"/>
      <c r="AC2677" s="481">
        <v>0</v>
      </c>
      <c r="AD2677" s="474"/>
      <c r="AE2677" s="482"/>
      <c r="AF2677" s="493">
        <f t="shared" si="461"/>
        <v>119808</v>
      </c>
      <c r="AG2677" s="501" t="s">
        <v>47</v>
      </c>
      <c r="AH2677" s="409"/>
      <c r="AI2677" s="501">
        <v>75</v>
      </c>
      <c r="AJ2677" s="501" t="s">
        <v>1580</v>
      </c>
      <c r="AK2677" s="501" t="s">
        <v>1073</v>
      </c>
      <c r="AL2677" s="509">
        <v>21075</v>
      </c>
      <c r="AM2677" s="501" t="s">
        <v>52</v>
      </c>
      <c r="AN2677" s="501" t="s">
        <v>50</v>
      </c>
      <c r="AO2677" s="474"/>
      <c r="AP2677" s="474" t="s">
        <v>92</v>
      </c>
      <c r="AQ2677" s="474" t="s">
        <v>37</v>
      </c>
      <c r="AR2677" s="474"/>
      <c r="AS2677" s="387"/>
      <c r="AT2677" s="387"/>
      <c r="AU2677" s="471"/>
      <c r="AV2677" s="262" t="str">
        <f t="shared" si="462"/>
        <v>30390256H</v>
      </c>
      <c r="AW2677" s="262" cm="1">
        <f t="array" ref="AW2677">SUM(MID(0&amp;AV2677,LARGE(INDEX(ISNUMBER(--MID(AV2677,ROW($1:$8),1))*ROW($1:$8),),ROW($1:$8))+1,1)*10^ROW($1:$8)/10)</f>
        <v>30390256</v>
      </c>
      <c r="AX2677" s="262" t="str">
        <f>VLOOKUP($AW2677,'Item Master Data'!$A:$F,3,FALSE)</f>
        <v>T400H</v>
      </c>
      <c r="AY2677" s="262">
        <f>VLOOKUP($AW2677,'Item Master Data'!$A:$F,6,FALSE)</f>
        <v>400</v>
      </c>
      <c r="AZ2677" s="262">
        <f t="shared" si="463"/>
        <v>24</v>
      </c>
      <c r="BA2677" s="262">
        <f>VLOOKUP(AW2677,'Item Master Data'!$A:$G,7,FALSE)</f>
        <v>26</v>
      </c>
      <c r="BC2677" s="262">
        <f t="shared" si="464"/>
        <v>0</v>
      </c>
    </row>
    <row r="2678" spans="1:55">
      <c r="A2678" s="410"/>
      <c r="B2678" s="407"/>
      <c r="C2678" s="407"/>
      <c r="D2678" s="474" t="s">
        <v>1066</v>
      </c>
      <c r="E2678" s="388" t="s">
        <v>1608</v>
      </c>
      <c r="F2678" s="474" t="s">
        <v>1147</v>
      </c>
      <c r="G2678" s="474">
        <v>2022</v>
      </c>
      <c r="H2678" s="474">
        <v>4</v>
      </c>
      <c r="I2678" s="485">
        <v>127907</v>
      </c>
      <c r="J2678" s="475">
        <v>44662</v>
      </c>
      <c r="K2678" s="474" t="s">
        <v>1602</v>
      </c>
      <c r="L2678" s="475" t="s">
        <v>1561</v>
      </c>
      <c r="M2678" s="475">
        <v>44468</v>
      </c>
      <c r="N2678" s="475" t="s">
        <v>1586</v>
      </c>
      <c r="O2678" s="475"/>
      <c r="P2678" s="475">
        <v>44623</v>
      </c>
      <c r="Q2678" s="475">
        <v>44657</v>
      </c>
      <c r="R2678" s="475">
        <v>44662</v>
      </c>
      <c r="S2678" s="474" t="s">
        <v>1563</v>
      </c>
      <c r="T2678" s="474">
        <v>60</v>
      </c>
      <c r="U2678" s="474" t="s">
        <v>1595</v>
      </c>
      <c r="V2678" s="474" t="s">
        <v>1574</v>
      </c>
      <c r="W2678" s="476">
        <v>400</v>
      </c>
      <c r="X2678" s="402">
        <v>624</v>
      </c>
      <c r="Y2678" s="491">
        <f t="shared" si="459"/>
        <v>249600</v>
      </c>
      <c r="Z2678" s="478">
        <v>0.48</v>
      </c>
      <c r="AA2678" s="479">
        <f t="shared" si="460"/>
        <v>119808</v>
      </c>
      <c r="AB2678" s="386"/>
      <c r="AC2678" s="481">
        <v>0</v>
      </c>
      <c r="AD2678" s="474"/>
      <c r="AE2678" s="482"/>
      <c r="AF2678" s="493">
        <f t="shared" si="461"/>
        <v>119808</v>
      </c>
      <c r="AG2678" s="501" t="s">
        <v>47</v>
      </c>
      <c r="AH2678" s="409"/>
      <c r="AI2678" s="501">
        <v>75</v>
      </c>
      <c r="AJ2678" s="501" t="s">
        <v>1580</v>
      </c>
      <c r="AK2678" s="501" t="s">
        <v>1073</v>
      </c>
      <c r="AL2678" s="509">
        <v>21075</v>
      </c>
      <c r="AM2678" s="501" t="s">
        <v>52</v>
      </c>
      <c r="AN2678" s="501" t="s">
        <v>50</v>
      </c>
      <c r="AO2678" s="474"/>
      <c r="AP2678" s="474" t="s">
        <v>92</v>
      </c>
      <c r="AQ2678" s="474" t="s">
        <v>37</v>
      </c>
      <c r="AR2678" s="474"/>
      <c r="AS2678" s="387"/>
      <c r="AT2678" s="387"/>
      <c r="AU2678" s="471"/>
      <c r="AV2678" s="262" t="str">
        <f t="shared" si="462"/>
        <v>30390256H</v>
      </c>
      <c r="AW2678" s="262" cm="1">
        <f t="array" ref="AW2678">SUM(MID(0&amp;AV2678,LARGE(INDEX(ISNUMBER(--MID(AV2678,ROW($1:$8),1))*ROW($1:$8),),ROW($1:$8))+1,1)*10^ROW($1:$8)/10)</f>
        <v>30390256</v>
      </c>
      <c r="AX2678" s="262" t="str">
        <f>VLOOKUP($AW2678,'Item Master Data'!$A:$F,3,FALSE)</f>
        <v>T400H</v>
      </c>
      <c r="AY2678" s="262">
        <f>VLOOKUP($AW2678,'Item Master Data'!$A:$F,6,FALSE)</f>
        <v>400</v>
      </c>
      <c r="AZ2678" s="262">
        <f t="shared" si="463"/>
        <v>24</v>
      </c>
      <c r="BA2678" s="262">
        <f>VLOOKUP(AW2678,'Item Master Data'!$A:$G,7,FALSE)</f>
        <v>26</v>
      </c>
      <c r="BC2678" s="262">
        <f t="shared" si="464"/>
        <v>0</v>
      </c>
    </row>
    <row r="2679" spans="1:55">
      <c r="A2679" s="410"/>
      <c r="B2679" s="407"/>
      <c r="C2679" s="407"/>
      <c r="D2679" s="474" t="s">
        <v>1066</v>
      </c>
      <c r="E2679" s="388" t="s">
        <v>1609</v>
      </c>
      <c r="F2679" s="474" t="s">
        <v>1147</v>
      </c>
      <c r="G2679" s="474">
        <v>2022</v>
      </c>
      <c r="H2679" s="474">
        <v>4</v>
      </c>
      <c r="I2679" s="485">
        <v>127908</v>
      </c>
      <c r="J2679" s="475">
        <v>44662</v>
      </c>
      <c r="K2679" s="474" t="s">
        <v>1602</v>
      </c>
      <c r="L2679" s="475" t="s">
        <v>1561</v>
      </c>
      <c r="M2679" s="475">
        <v>44468</v>
      </c>
      <c r="N2679" s="475" t="s">
        <v>1586</v>
      </c>
      <c r="O2679" s="475"/>
      <c r="P2679" s="475">
        <v>44623</v>
      </c>
      <c r="Q2679" s="475">
        <v>44657</v>
      </c>
      <c r="R2679" s="475">
        <v>44662</v>
      </c>
      <c r="S2679" s="474" t="s">
        <v>1563</v>
      </c>
      <c r="T2679" s="474">
        <v>60</v>
      </c>
      <c r="U2679" s="474" t="s">
        <v>1595</v>
      </c>
      <c r="V2679" s="474" t="s">
        <v>1574</v>
      </c>
      <c r="W2679" s="476">
        <v>400</v>
      </c>
      <c r="X2679" s="402">
        <v>624</v>
      </c>
      <c r="Y2679" s="491">
        <f t="shared" ref="Y2679:Y2742" si="465">W2679*X2679</f>
        <v>249600</v>
      </c>
      <c r="Z2679" s="478">
        <v>0.48</v>
      </c>
      <c r="AA2679" s="479">
        <f t="shared" si="460"/>
        <v>119808</v>
      </c>
      <c r="AB2679" s="386"/>
      <c r="AC2679" s="481">
        <v>0</v>
      </c>
      <c r="AD2679" s="474"/>
      <c r="AE2679" s="482"/>
      <c r="AF2679" s="493">
        <f t="shared" si="461"/>
        <v>119808</v>
      </c>
      <c r="AG2679" s="501" t="s">
        <v>47</v>
      </c>
      <c r="AH2679" s="409"/>
      <c r="AI2679" s="501">
        <v>75</v>
      </c>
      <c r="AJ2679" s="501" t="s">
        <v>1580</v>
      </c>
      <c r="AK2679" s="501" t="s">
        <v>1073</v>
      </c>
      <c r="AL2679" s="509">
        <v>21075</v>
      </c>
      <c r="AM2679" s="501" t="s">
        <v>52</v>
      </c>
      <c r="AN2679" s="501" t="s">
        <v>50</v>
      </c>
      <c r="AO2679" s="474"/>
      <c r="AP2679" s="474" t="s">
        <v>92</v>
      </c>
      <c r="AQ2679" s="474" t="s">
        <v>37</v>
      </c>
      <c r="AR2679" s="474"/>
      <c r="AS2679" s="387"/>
      <c r="AT2679" s="387"/>
      <c r="AU2679" s="471"/>
      <c r="AV2679" s="262" t="str">
        <f t="shared" si="462"/>
        <v>30390256H</v>
      </c>
      <c r="AW2679" s="262" cm="1">
        <f t="array" ref="AW2679">SUM(MID(0&amp;AV2679,LARGE(INDEX(ISNUMBER(--MID(AV2679,ROW($1:$8),1))*ROW($1:$8),),ROW($1:$8))+1,1)*10^ROW($1:$8)/10)</f>
        <v>30390256</v>
      </c>
      <c r="AX2679" s="262" t="str">
        <f>VLOOKUP($AW2679,'Item Master Data'!$A:$F,3,FALSE)</f>
        <v>T400H</v>
      </c>
      <c r="AY2679" s="262">
        <f>VLOOKUP($AW2679,'Item Master Data'!$A:$F,6,FALSE)</f>
        <v>400</v>
      </c>
      <c r="AZ2679" s="262">
        <f t="shared" si="463"/>
        <v>24</v>
      </c>
      <c r="BA2679" s="262">
        <f>VLOOKUP(AW2679,'Item Master Data'!$A:$G,7,FALSE)</f>
        <v>26</v>
      </c>
      <c r="BC2679" s="262">
        <f t="shared" si="464"/>
        <v>0</v>
      </c>
    </row>
    <row r="2680" spans="1:55">
      <c r="A2680" s="410"/>
      <c r="B2680" s="407"/>
      <c r="C2680" s="407"/>
      <c r="D2680" s="474" t="s">
        <v>1066</v>
      </c>
      <c r="E2680" s="388" t="s">
        <v>5193</v>
      </c>
      <c r="F2680" s="474" t="s">
        <v>1147</v>
      </c>
      <c r="G2680" s="474">
        <v>2022</v>
      </c>
      <c r="H2680" s="474">
        <v>4</v>
      </c>
      <c r="I2680" s="485">
        <v>127957</v>
      </c>
      <c r="J2680" s="475">
        <v>44662</v>
      </c>
      <c r="K2680" s="474" t="s">
        <v>1602</v>
      </c>
      <c r="L2680" s="475" t="s">
        <v>1561</v>
      </c>
      <c r="M2680" s="475">
        <v>44468</v>
      </c>
      <c r="N2680" s="475" t="s">
        <v>1586</v>
      </c>
      <c r="O2680" s="475"/>
      <c r="P2680" s="475">
        <v>44623</v>
      </c>
      <c r="Q2680" s="475">
        <v>44657</v>
      </c>
      <c r="R2680" s="475">
        <v>44662</v>
      </c>
      <c r="S2680" s="474" t="s">
        <v>1563</v>
      </c>
      <c r="T2680" s="474">
        <v>60</v>
      </c>
      <c r="U2680" s="474" t="s">
        <v>1595</v>
      </c>
      <c r="V2680" s="474" t="s">
        <v>1574</v>
      </c>
      <c r="W2680" s="476">
        <v>400</v>
      </c>
      <c r="X2680" s="402">
        <v>624</v>
      </c>
      <c r="Y2680" s="491">
        <f t="shared" si="465"/>
        <v>249600</v>
      </c>
      <c r="Z2680" s="478">
        <v>0.48</v>
      </c>
      <c r="AA2680" s="479">
        <f t="shared" si="460"/>
        <v>119808</v>
      </c>
      <c r="AB2680" s="386"/>
      <c r="AC2680" s="481">
        <v>0</v>
      </c>
      <c r="AD2680" s="474"/>
      <c r="AE2680" s="482"/>
      <c r="AF2680" s="493">
        <f t="shared" si="461"/>
        <v>119808</v>
      </c>
      <c r="AG2680" s="501" t="s">
        <v>47</v>
      </c>
      <c r="AH2680" s="409"/>
      <c r="AI2680" s="501">
        <v>75</v>
      </c>
      <c r="AJ2680" s="501" t="s">
        <v>1580</v>
      </c>
      <c r="AK2680" s="501" t="s">
        <v>1073</v>
      </c>
      <c r="AL2680" s="509">
        <v>21075</v>
      </c>
      <c r="AM2680" s="501" t="s">
        <v>52</v>
      </c>
      <c r="AN2680" s="501" t="s">
        <v>50</v>
      </c>
      <c r="AO2680" s="474"/>
      <c r="AP2680" s="474" t="s">
        <v>92</v>
      </c>
      <c r="AQ2680" s="474" t="s">
        <v>37</v>
      </c>
      <c r="AR2680" s="474"/>
      <c r="AS2680" s="387"/>
      <c r="AT2680" s="387"/>
      <c r="AU2680" s="471"/>
      <c r="AV2680" s="262" t="str">
        <f t="shared" si="462"/>
        <v>30390256H</v>
      </c>
      <c r="AW2680" s="262" cm="1">
        <f t="array" ref="AW2680">SUM(MID(0&amp;AV2680,LARGE(INDEX(ISNUMBER(--MID(AV2680,ROW($1:$8),1))*ROW($1:$8),),ROW($1:$8))+1,1)*10^ROW($1:$8)/10)</f>
        <v>30390256</v>
      </c>
      <c r="AX2680" s="262" t="str">
        <f>VLOOKUP($AW2680,'Item Master Data'!$A:$F,3,FALSE)</f>
        <v>T400H</v>
      </c>
      <c r="AY2680" s="262">
        <f>VLOOKUP($AW2680,'Item Master Data'!$A:$F,6,FALSE)</f>
        <v>400</v>
      </c>
      <c r="AZ2680" s="262">
        <f t="shared" si="463"/>
        <v>24</v>
      </c>
      <c r="BA2680" s="262">
        <f>VLOOKUP(AW2680,'Item Master Data'!$A:$G,7,FALSE)</f>
        <v>26</v>
      </c>
      <c r="BC2680" s="262">
        <f t="shared" si="464"/>
        <v>0</v>
      </c>
    </row>
    <row r="2681" spans="1:55">
      <c r="A2681" s="410"/>
      <c r="B2681" s="407"/>
      <c r="C2681" s="407"/>
      <c r="D2681" s="474" t="s">
        <v>1066</v>
      </c>
      <c r="E2681" s="388" t="s">
        <v>1122</v>
      </c>
      <c r="F2681" s="474" t="s">
        <v>1147</v>
      </c>
      <c r="G2681" s="474">
        <v>2022</v>
      </c>
      <c r="H2681" s="474">
        <v>4</v>
      </c>
      <c r="I2681" s="485">
        <v>127950</v>
      </c>
      <c r="J2681" s="475">
        <v>44659</v>
      </c>
      <c r="K2681" s="474" t="s">
        <v>1610</v>
      </c>
      <c r="L2681" s="475" t="s">
        <v>1561</v>
      </c>
      <c r="M2681" s="475">
        <v>44468</v>
      </c>
      <c r="N2681" s="475" t="s">
        <v>1586</v>
      </c>
      <c r="O2681" s="475"/>
      <c r="P2681" s="475">
        <v>44630</v>
      </c>
      <c r="Q2681" s="475">
        <v>44655</v>
      </c>
      <c r="R2681" s="475">
        <v>44659</v>
      </c>
      <c r="S2681" s="474" t="s">
        <v>1563</v>
      </c>
      <c r="T2681" s="474">
        <v>60</v>
      </c>
      <c r="U2681" s="474" t="s">
        <v>1595</v>
      </c>
      <c r="V2681" s="474" t="s">
        <v>1574</v>
      </c>
      <c r="W2681" s="476">
        <v>400</v>
      </c>
      <c r="X2681" s="402">
        <v>624</v>
      </c>
      <c r="Y2681" s="491">
        <f t="shared" si="465"/>
        <v>249600</v>
      </c>
      <c r="Z2681" s="478">
        <v>0.48</v>
      </c>
      <c r="AA2681" s="492">
        <f t="shared" si="460"/>
        <v>119808</v>
      </c>
      <c r="AB2681" s="386"/>
      <c r="AC2681" s="481">
        <v>0</v>
      </c>
      <c r="AD2681" s="474"/>
      <c r="AE2681" s="482"/>
      <c r="AF2681" s="493">
        <f t="shared" si="461"/>
        <v>119808</v>
      </c>
      <c r="AG2681" s="474" t="s">
        <v>47</v>
      </c>
      <c r="AH2681" s="447"/>
      <c r="AI2681" s="474">
        <v>75</v>
      </c>
      <c r="AJ2681" s="474" t="s">
        <v>1580</v>
      </c>
      <c r="AK2681" s="474" t="s">
        <v>1073</v>
      </c>
      <c r="AL2681" s="494">
        <v>21075</v>
      </c>
      <c r="AM2681" s="474" t="s">
        <v>52</v>
      </c>
      <c r="AN2681" s="474" t="s">
        <v>1568</v>
      </c>
      <c r="AO2681" s="474"/>
      <c r="AP2681" s="474" t="s">
        <v>92</v>
      </c>
      <c r="AQ2681" s="474" t="s">
        <v>37</v>
      </c>
      <c r="AR2681" s="474"/>
      <c r="AS2681" s="387"/>
      <c r="AT2681" s="387"/>
      <c r="AU2681" s="471"/>
      <c r="AV2681" s="262" t="str">
        <f t="shared" si="462"/>
        <v>30390256H</v>
      </c>
      <c r="AW2681" s="262" cm="1">
        <f t="array" ref="AW2681">SUM(MID(0&amp;AV2681,LARGE(INDEX(ISNUMBER(--MID(AV2681,ROW($1:$8),1))*ROW($1:$8),),ROW($1:$8))+1,1)*10^ROW($1:$8)/10)</f>
        <v>30390256</v>
      </c>
      <c r="AX2681" s="262" t="str">
        <f>VLOOKUP($AW2681,'Item Master Data'!$A:$F,3,FALSE)</f>
        <v>T400H</v>
      </c>
      <c r="AY2681" s="262">
        <f>VLOOKUP($AW2681,'Item Master Data'!$A:$F,6,FALSE)</f>
        <v>400</v>
      </c>
      <c r="AZ2681" s="262">
        <f t="shared" si="463"/>
        <v>24</v>
      </c>
      <c r="BA2681" s="262">
        <f>VLOOKUP(AW2681,'Item Master Data'!$A:$G,7,FALSE)</f>
        <v>26</v>
      </c>
      <c r="BC2681" s="262">
        <f t="shared" si="464"/>
        <v>0</v>
      </c>
    </row>
    <row r="2682" spans="1:55">
      <c r="A2682" s="410"/>
      <c r="B2682" s="407"/>
      <c r="C2682" s="407"/>
      <c r="D2682" s="474" t="s">
        <v>1066</v>
      </c>
      <c r="E2682" s="388"/>
      <c r="F2682" s="474" t="s">
        <v>1147</v>
      </c>
      <c r="G2682" s="474">
        <v>2022</v>
      </c>
      <c r="H2682" s="474">
        <v>4</v>
      </c>
      <c r="I2682" s="485">
        <v>128024</v>
      </c>
      <c r="J2682" s="475">
        <v>44663</v>
      </c>
      <c r="K2682" s="474" t="s">
        <v>1610</v>
      </c>
      <c r="L2682" s="475" t="s">
        <v>1561</v>
      </c>
      <c r="M2682" s="475">
        <v>44468</v>
      </c>
      <c r="N2682" s="475" t="s">
        <v>1586</v>
      </c>
      <c r="O2682" s="475"/>
      <c r="P2682" s="475">
        <v>44630</v>
      </c>
      <c r="Q2682" s="475">
        <v>44658</v>
      </c>
      <c r="R2682" s="475">
        <v>44663</v>
      </c>
      <c r="S2682" s="474" t="s">
        <v>1563</v>
      </c>
      <c r="T2682" s="474">
        <v>60</v>
      </c>
      <c r="U2682" s="474" t="s">
        <v>1595</v>
      </c>
      <c r="V2682" s="474" t="s">
        <v>1574</v>
      </c>
      <c r="W2682" s="476">
        <v>400</v>
      </c>
      <c r="X2682" s="402">
        <v>624</v>
      </c>
      <c r="Y2682" s="491">
        <f t="shared" si="465"/>
        <v>249600</v>
      </c>
      <c r="Z2682" s="478">
        <v>0.48</v>
      </c>
      <c r="AA2682" s="492">
        <f t="shared" si="460"/>
        <v>119808</v>
      </c>
      <c r="AB2682" s="386"/>
      <c r="AC2682" s="481">
        <v>0</v>
      </c>
      <c r="AD2682" s="474"/>
      <c r="AE2682" s="482"/>
      <c r="AF2682" s="493">
        <f t="shared" si="461"/>
        <v>119808</v>
      </c>
      <c r="AG2682" s="474" t="s">
        <v>47</v>
      </c>
      <c r="AH2682" s="447"/>
      <c r="AI2682" s="474">
        <v>75</v>
      </c>
      <c r="AJ2682" s="474" t="s">
        <v>1580</v>
      </c>
      <c r="AK2682" s="474" t="s">
        <v>1073</v>
      </c>
      <c r="AL2682" s="494">
        <v>21075</v>
      </c>
      <c r="AM2682" s="474" t="s">
        <v>52</v>
      </c>
      <c r="AN2682" s="474" t="s">
        <v>50</v>
      </c>
      <c r="AO2682" s="474"/>
      <c r="AP2682" s="474" t="s">
        <v>92</v>
      </c>
      <c r="AQ2682" s="474" t="s">
        <v>37</v>
      </c>
      <c r="AR2682" s="474"/>
      <c r="AS2682" s="387"/>
      <c r="AT2682" s="387"/>
      <c r="AU2682" s="471"/>
      <c r="AV2682" s="262" t="str">
        <f t="shared" si="462"/>
        <v>30390256H</v>
      </c>
      <c r="AW2682" s="262" cm="1">
        <f t="array" ref="AW2682">SUM(MID(0&amp;AV2682,LARGE(INDEX(ISNUMBER(--MID(AV2682,ROW($1:$8),1))*ROW($1:$8),),ROW($1:$8))+1,1)*10^ROW($1:$8)/10)</f>
        <v>30390256</v>
      </c>
      <c r="AX2682" s="262" t="str">
        <f>VLOOKUP($AW2682,'Item Master Data'!$A:$F,3,FALSE)</f>
        <v>T400H</v>
      </c>
      <c r="AY2682" s="262">
        <f>VLOOKUP($AW2682,'Item Master Data'!$A:$F,6,FALSE)</f>
        <v>400</v>
      </c>
      <c r="AZ2682" s="262">
        <f t="shared" si="463"/>
        <v>24</v>
      </c>
      <c r="BA2682" s="262">
        <f>VLOOKUP(AW2682,'Item Master Data'!$A:$G,7,FALSE)</f>
        <v>26</v>
      </c>
      <c r="BC2682" s="262">
        <f t="shared" si="464"/>
        <v>0</v>
      </c>
    </row>
    <row r="2683" spans="1:55">
      <c r="A2683" s="410"/>
      <c r="B2683" s="407"/>
      <c r="C2683" s="407"/>
      <c r="D2683" s="474" t="s">
        <v>1066</v>
      </c>
      <c r="E2683" s="388"/>
      <c r="F2683" s="474" t="s">
        <v>1147</v>
      </c>
      <c r="G2683" s="474">
        <v>2022</v>
      </c>
      <c r="H2683" s="474">
        <v>4</v>
      </c>
      <c r="I2683" s="485">
        <v>128025</v>
      </c>
      <c r="J2683" s="475">
        <v>44663</v>
      </c>
      <c r="K2683" s="474" t="s">
        <v>1610</v>
      </c>
      <c r="L2683" s="475" t="s">
        <v>1561</v>
      </c>
      <c r="M2683" s="475">
        <v>44468</v>
      </c>
      <c r="N2683" s="475" t="s">
        <v>1586</v>
      </c>
      <c r="O2683" s="475"/>
      <c r="P2683" s="475">
        <v>44630</v>
      </c>
      <c r="Q2683" s="475">
        <v>44658</v>
      </c>
      <c r="R2683" s="475">
        <v>44663</v>
      </c>
      <c r="S2683" s="474" t="s">
        <v>1563</v>
      </c>
      <c r="T2683" s="474">
        <v>60</v>
      </c>
      <c r="U2683" s="474" t="s">
        <v>1595</v>
      </c>
      <c r="V2683" s="474" t="s">
        <v>1574</v>
      </c>
      <c r="W2683" s="476">
        <v>400</v>
      </c>
      <c r="X2683" s="402">
        <v>624</v>
      </c>
      <c r="Y2683" s="491">
        <f t="shared" si="465"/>
        <v>249600</v>
      </c>
      <c r="Z2683" s="478">
        <v>0.48</v>
      </c>
      <c r="AA2683" s="492">
        <f t="shared" si="460"/>
        <v>119808</v>
      </c>
      <c r="AB2683" s="386"/>
      <c r="AC2683" s="481">
        <v>0</v>
      </c>
      <c r="AD2683" s="474"/>
      <c r="AE2683" s="482"/>
      <c r="AF2683" s="493">
        <f t="shared" si="461"/>
        <v>119808</v>
      </c>
      <c r="AG2683" s="474" t="s">
        <v>47</v>
      </c>
      <c r="AH2683" s="447"/>
      <c r="AI2683" s="474">
        <v>75</v>
      </c>
      <c r="AJ2683" s="474" t="s">
        <v>1580</v>
      </c>
      <c r="AK2683" s="474" t="s">
        <v>1073</v>
      </c>
      <c r="AL2683" s="494">
        <v>21075</v>
      </c>
      <c r="AM2683" s="474" t="s">
        <v>52</v>
      </c>
      <c r="AN2683" s="474" t="s">
        <v>50</v>
      </c>
      <c r="AO2683" s="474"/>
      <c r="AP2683" s="474" t="s">
        <v>92</v>
      </c>
      <c r="AQ2683" s="474" t="s">
        <v>37</v>
      </c>
      <c r="AR2683" s="474"/>
      <c r="AS2683" s="387"/>
      <c r="AT2683" s="387"/>
      <c r="AU2683" s="471"/>
      <c r="AV2683" s="262" t="str">
        <f t="shared" si="462"/>
        <v>30390256H</v>
      </c>
      <c r="AW2683" s="262" cm="1">
        <f t="array" ref="AW2683">SUM(MID(0&amp;AV2683,LARGE(INDEX(ISNUMBER(--MID(AV2683,ROW($1:$8),1))*ROW($1:$8),),ROW($1:$8))+1,1)*10^ROW($1:$8)/10)</f>
        <v>30390256</v>
      </c>
      <c r="AX2683" s="262" t="str">
        <f>VLOOKUP($AW2683,'Item Master Data'!$A:$F,3,FALSE)</f>
        <v>T400H</v>
      </c>
      <c r="AY2683" s="262">
        <f>VLOOKUP($AW2683,'Item Master Data'!$A:$F,6,FALSE)</f>
        <v>400</v>
      </c>
      <c r="AZ2683" s="262">
        <f t="shared" si="463"/>
        <v>24</v>
      </c>
      <c r="BA2683" s="262">
        <f>VLOOKUP(AW2683,'Item Master Data'!$A:$G,7,FALSE)</f>
        <v>26</v>
      </c>
      <c r="BC2683" s="262">
        <f t="shared" si="464"/>
        <v>0</v>
      </c>
    </row>
    <row r="2684" spans="1:55">
      <c r="A2684" s="410"/>
      <c r="B2684" s="407"/>
      <c r="C2684" s="407"/>
      <c r="D2684" s="474" t="s">
        <v>1066</v>
      </c>
      <c r="E2684" s="388"/>
      <c r="F2684" s="474" t="s">
        <v>1147</v>
      </c>
      <c r="G2684" s="474">
        <v>2022</v>
      </c>
      <c r="H2684" s="474">
        <v>4</v>
      </c>
      <c r="I2684" s="485">
        <v>128026</v>
      </c>
      <c r="J2684" s="475">
        <v>44663</v>
      </c>
      <c r="K2684" s="474" t="s">
        <v>1610</v>
      </c>
      <c r="L2684" s="475" t="s">
        <v>1561</v>
      </c>
      <c r="M2684" s="475">
        <v>44468</v>
      </c>
      <c r="N2684" s="475" t="s">
        <v>1586</v>
      </c>
      <c r="O2684" s="475"/>
      <c r="P2684" s="475">
        <v>44630</v>
      </c>
      <c r="Q2684" s="475">
        <v>44658</v>
      </c>
      <c r="R2684" s="475">
        <v>44663</v>
      </c>
      <c r="S2684" s="474" t="s">
        <v>1563</v>
      </c>
      <c r="T2684" s="474">
        <v>60</v>
      </c>
      <c r="U2684" s="474" t="s">
        <v>1595</v>
      </c>
      <c r="V2684" s="474" t="s">
        <v>1574</v>
      </c>
      <c r="W2684" s="476">
        <v>400</v>
      </c>
      <c r="X2684" s="402">
        <v>624</v>
      </c>
      <c r="Y2684" s="491">
        <f t="shared" si="465"/>
        <v>249600</v>
      </c>
      <c r="Z2684" s="478">
        <v>0.48</v>
      </c>
      <c r="AA2684" s="492">
        <f t="shared" si="460"/>
        <v>119808</v>
      </c>
      <c r="AB2684" s="386"/>
      <c r="AC2684" s="481">
        <v>0</v>
      </c>
      <c r="AD2684" s="474"/>
      <c r="AE2684" s="482"/>
      <c r="AF2684" s="493">
        <f t="shared" si="461"/>
        <v>119808</v>
      </c>
      <c r="AG2684" s="474" t="s">
        <v>47</v>
      </c>
      <c r="AH2684" s="447"/>
      <c r="AI2684" s="474">
        <v>75</v>
      </c>
      <c r="AJ2684" s="474" t="s">
        <v>1580</v>
      </c>
      <c r="AK2684" s="474" t="s">
        <v>1073</v>
      </c>
      <c r="AL2684" s="494">
        <v>21075</v>
      </c>
      <c r="AM2684" s="474" t="s">
        <v>52</v>
      </c>
      <c r="AN2684" s="474" t="s">
        <v>50</v>
      </c>
      <c r="AO2684" s="474"/>
      <c r="AP2684" s="474" t="s">
        <v>92</v>
      </c>
      <c r="AQ2684" s="474" t="s">
        <v>37</v>
      </c>
      <c r="AR2684" s="474"/>
      <c r="AS2684" s="387"/>
      <c r="AT2684" s="387"/>
      <c r="AU2684" s="471"/>
      <c r="AV2684" s="262" t="str">
        <f t="shared" si="462"/>
        <v>30390256H</v>
      </c>
      <c r="AW2684" s="262" cm="1">
        <f t="array" ref="AW2684">SUM(MID(0&amp;AV2684,LARGE(INDEX(ISNUMBER(--MID(AV2684,ROW($1:$8),1))*ROW($1:$8),),ROW($1:$8))+1,1)*10^ROW($1:$8)/10)</f>
        <v>30390256</v>
      </c>
      <c r="AX2684" s="262" t="str">
        <f>VLOOKUP($AW2684,'Item Master Data'!$A:$F,3,FALSE)</f>
        <v>T400H</v>
      </c>
      <c r="AY2684" s="262">
        <f>VLOOKUP($AW2684,'Item Master Data'!$A:$F,6,FALSE)</f>
        <v>400</v>
      </c>
      <c r="AZ2684" s="262">
        <f t="shared" si="463"/>
        <v>24</v>
      </c>
      <c r="BA2684" s="262">
        <f>VLOOKUP(AW2684,'Item Master Data'!$A:$G,7,FALSE)</f>
        <v>26</v>
      </c>
      <c r="BC2684" s="262">
        <f t="shared" si="464"/>
        <v>0</v>
      </c>
    </row>
    <row r="2685" spans="1:55">
      <c r="A2685" s="410"/>
      <c r="B2685" s="407"/>
      <c r="C2685" s="407"/>
      <c r="D2685" s="474" t="s">
        <v>1066</v>
      </c>
      <c r="E2685" s="388"/>
      <c r="F2685" s="474" t="s">
        <v>1147</v>
      </c>
      <c r="G2685" s="474">
        <v>2022</v>
      </c>
      <c r="H2685" s="474">
        <v>4</v>
      </c>
      <c r="I2685" s="485">
        <v>128027</v>
      </c>
      <c r="J2685" s="475">
        <v>44664</v>
      </c>
      <c r="K2685" s="474" t="s">
        <v>1610</v>
      </c>
      <c r="L2685" s="475" t="s">
        <v>1561</v>
      </c>
      <c r="M2685" s="475">
        <v>44468</v>
      </c>
      <c r="N2685" s="475" t="s">
        <v>1586</v>
      </c>
      <c r="O2685" s="475"/>
      <c r="P2685" s="475">
        <v>44630</v>
      </c>
      <c r="Q2685" s="475">
        <v>44658</v>
      </c>
      <c r="R2685" s="475">
        <v>44664</v>
      </c>
      <c r="S2685" s="474" t="s">
        <v>1563</v>
      </c>
      <c r="T2685" s="474">
        <v>60</v>
      </c>
      <c r="U2685" s="474" t="s">
        <v>1595</v>
      </c>
      <c r="V2685" s="474" t="s">
        <v>1574</v>
      </c>
      <c r="W2685" s="476">
        <v>400</v>
      </c>
      <c r="X2685" s="402">
        <v>624</v>
      </c>
      <c r="Y2685" s="491">
        <f t="shared" si="465"/>
        <v>249600</v>
      </c>
      <c r="Z2685" s="478">
        <v>0.48</v>
      </c>
      <c r="AA2685" s="492">
        <f t="shared" si="460"/>
        <v>119808</v>
      </c>
      <c r="AB2685" s="386"/>
      <c r="AC2685" s="481">
        <v>0</v>
      </c>
      <c r="AD2685" s="474"/>
      <c r="AE2685" s="482"/>
      <c r="AF2685" s="493">
        <f t="shared" si="461"/>
        <v>119808</v>
      </c>
      <c r="AG2685" s="474" t="s">
        <v>47</v>
      </c>
      <c r="AH2685" s="447"/>
      <c r="AI2685" s="474">
        <v>75</v>
      </c>
      <c r="AJ2685" s="474" t="s">
        <v>1580</v>
      </c>
      <c r="AK2685" s="474" t="s">
        <v>1073</v>
      </c>
      <c r="AL2685" s="494">
        <v>21075</v>
      </c>
      <c r="AM2685" s="474" t="s">
        <v>52</v>
      </c>
      <c r="AN2685" s="474" t="s">
        <v>50</v>
      </c>
      <c r="AO2685" s="474"/>
      <c r="AP2685" s="474" t="s">
        <v>92</v>
      </c>
      <c r="AQ2685" s="474" t="s">
        <v>37</v>
      </c>
      <c r="AR2685" s="474"/>
      <c r="AS2685" s="387"/>
      <c r="AT2685" s="387"/>
      <c r="AU2685" s="471"/>
      <c r="AV2685" s="262" t="str">
        <f t="shared" si="462"/>
        <v>30390256H</v>
      </c>
      <c r="AW2685" s="262" cm="1">
        <f t="array" ref="AW2685">SUM(MID(0&amp;AV2685,LARGE(INDEX(ISNUMBER(--MID(AV2685,ROW($1:$8),1))*ROW($1:$8),),ROW($1:$8))+1,1)*10^ROW($1:$8)/10)</f>
        <v>30390256</v>
      </c>
      <c r="AX2685" s="262" t="str">
        <f>VLOOKUP($AW2685,'Item Master Data'!$A:$F,3,FALSE)</f>
        <v>T400H</v>
      </c>
      <c r="AY2685" s="262">
        <f>VLOOKUP($AW2685,'Item Master Data'!$A:$F,6,FALSE)</f>
        <v>400</v>
      </c>
      <c r="AZ2685" s="262">
        <f t="shared" si="463"/>
        <v>24</v>
      </c>
      <c r="BA2685" s="262">
        <f>VLOOKUP(AW2685,'Item Master Data'!$A:$G,7,FALSE)</f>
        <v>26</v>
      </c>
      <c r="BC2685" s="262">
        <f t="shared" si="464"/>
        <v>0</v>
      </c>
    </row>
    <row r="2686" spans="1:55">
      <c r="A2686" s="410"/>
      <c r="B2686" s="407"/>
      <c r="C2686" s="407"/>
      <c r="D2686" s="474" t="s">
        <v>1066</v>
      </c>
      <c r="E2686" s="388"/>
      <c r="F2686" s="474" t="s">
        <v>1147</v>
      </c>
      <c r="G2686" s="474">
        <v>2022</v>
      </c>
      <c r="H2686" s="474">
        <v>4</v>
      </c>
      <c r="I2686" s="485">
        <v>128042</v>
      </c>
      <c r="J2686" s="475">
        <v>44665</v>
      </c>
      <c r="K2686" s="474" t="s">
        <v>1610</v>
      </c>
      <c r="L2686" s="475" t="s">
        <v>1561</v>
      </c>
      <c r="M2686" s="475">
        <v>44468</v>
      </c>
      <c r="N2686" s="475" t="s">
        <v>1586</v>
      </c>
      <c r="O2686" s="475"/>
      <c r="P2686" s="475">
        <v>44630</v>
      </c>
      <c r="Q2686" s="475">
        <v>44658</v>
      </c>
      <c r="R2686" s="475">
        <v>44665</v>
      </c>
      <c r="S2686" s="474" t="s">
        <v>1563</v>
      </c>
      <c r="T2686" s="474">
        <v>60</v>
      </c>
      <c r="U2686" s="474" t="s">
        <v>1595</v>
      </c>
      <c r="V2686" s="474" t="s">
        <v>1574</v>
      </c>
      <c r="W2686" s="476">
        <v>400</v>
      </c>
      <c r="X2686" s="402">
        <v>624</v>
      </c>
      <c r="Y2686" s="491">
        <f t="shared" si="465"/>
        <v>249600</v>
      </c>
      <c r="Z2686" s="478">
        <v>0.48</v>
      </c>
      <c r="AA2686" s="492">
        <f t="shared" si="460"/>
        <v>119808</v>
      </c>
      <c r="AB2686" s="386"/>
      <c r="AC2686" s="481">
        <v>0</v>
      </c>
      <c r="AD2686" s="474"/>
      <c r="AE2686" s="482"/>
      <c r="AF2686" s="493">
        <f t="shared" si="461"/>
        <v>119808</v>
      </c>
      <c r="AG2686" s="474" t="s">
        <v>47</v>
      </c>
      <c r="AH2686" s="447"/>
      <c r="AI2686" s="474">
        <v>75</v>
      </c>
      <c r="AJ2686" s="474" t="s">
        <v>1580</v>
      </c>
      <c r="AK2686" s="474" t="s">
        <v>1073</v>
      </c>
      <c r="AL2686" s="494">
        <v>21075</v>
      </c>
      <c r="AM2686" s="474" t="s">
        <v>52</v>
      </c>
      <c r="AN2686" s="474" t="s">
        <v>50</v>
      </c>
      <c r="AO2686" s="474"/>
      <c r="AP2686" s="474" t="s">
        <v>92</v>
      </c>
      <c r="AQ2686" s="474" t="s">
        <v>37</v>
      </c>
      <c r="AR2686" s="474"/>
      <c r="AS2686" s="387"/>
      <c r="AT2686" s="387"/>
      <c r="AU2686" s="471"/>
      <c r="AV2686" s="262" t="str">
        <f t="shared" si="462"/>
        <v>30390256H</v>
      </c>
      <c r="AW2686" s="262" cm="1">
        <f t="array" ref="AW2686">SUM(MID(0&amp;AV2686,LARGE(INDEX(ISNUMBER(--MID(AV2686,ROW($1:$8),1))*ROW($1:$8),),ROW($1:$8))+1,1)*10^ROW($1:$8)/10)</f>
        <v>30390256</v>
      </c>
      <c r="AX2686" s="262" t="str">
        <f>VLOOKUP($AW2686,'Item Master Data'!$A:$F,3,FALSE)</f>
        <v>T400H</v>
      </c>
      <c r="AY2686" s="262">
        <f>VLOOKUP($AW2686,'Item Master Data'!$A:$F,6,FALSE)</f>
        <v>400</v>
      </c>
      <c r="AZ2686" s="262">
        <f t="shared" si="463"/>
        <v>24</v>
      </c>
      <c r="BA2686" s="262">
        <f>VLOOKUP(AW2686,'Item Master Data'!$A:$G,7,FALSE)</f>
        <v>26</v>
      </c>
      <c r="BC2686" s="262">
        <f t="shared" si="464"/>
        <v>0</v>
      </c>
    </row>
    <row r="2687" spans="1:55">
      <c r="A2687" s="410"/>
      <c r="B2687" s="407"/>
      <c r="C2687" s="407"/>
      <c r="D2687" s="474" t="s">
        <v>1066</v>
      </c>
      <c r="E2687" s="475" t="s">
        <v>1122</v>
      </c>
      <c r="F2687" s="474" t="s">
        <v>1147</v>
      </c>
      <c r="G2687" s="474">
        <v>2022</v>
      </c>
      <c r="H2687" s="474">
        <v>4</v>
      </c>
      <c r="I2687" s="485">
        <v>128098</v>
      </c>
      <c r="J2687" s="475">
        <v>44669</v>
      </c>
      <c r="K2687" s="474" t="s">
        <v>1610</v>
      </c>
      <c r="L2687" s="475" t="s">
        <v>1561</v>
      </c>
      <c r="M2687" s="475">
        <v>44468</v>
      </c>
      <c r="N2687" s="475" t="s">
        <v>1586</v>
      </c>
      <c r="O2687" s="475"/>
      <c r="P2687" s="475">
        <v>44630</v>
      </c>
      <c r="Q2687" s="475">
        <v>44664</v>
      </c>
      <c r="R2687" s="475">
        <v>44669</v>
      </c>
      <c r="S2687" s="474" t="s">
        <v>1563</v>
      </c>
      <c r="T2687" s="474">
        <v>60</v>
      </c>
      <c r="U2687" s="474" t="s">
        <v>1573</v>
      </c>
      <c r="V2687" s="474" t="s">
        <v>1574</v>
      </c>
      <c r="W2687" s="476">
        <v>400</v>
      </c>
      <c r="X2687" s="402">
        <v>624</v>
      </c>
      <c r="Y2687" s="491">
        <f t="shared" si="465"/>
        <v>249600</v>
      </c>
      <c r="Z2687" s="478">
        <v>0.48</v>
      </c>
      <c r="AA2687" s="492">
        <f t="shared" si="460"/>
        <v>119808</v>
      </c>
      <c r="AB2687" s="386"/>
      <c r="AC2687" s="481">
        <v>0</v>
      </c>
      <c r="AD2687" s="474"/>
      <c r="AE2687" s="482"/>
      <c r="AF2687" s="493">
        <f t="shared" si="461"/>
        <v>119808</v>
      </c>
      <c r="AG2687" s="474" t="s">
        <v>47</v>
      </c>
      <c r="AH2687" s="447"/>
      <c r="AI2687" s="474">
        <v>75</v>
      </c>
      <c r="AJ2687" s="474" t="s">
        <v>1580</v>
      </c>
      <c r="AK2687" s="474" t="s">
        <v>1073</v>
      </c>
      <c r="AL2687" s="494">
        <v>21075</v>
      </c>
      <c r="AM2687" s="474" t="s">
        <v>52</v>
      </c>
      <c r="AN2687" s="474" t="s">
        <v>1568</v>
      </c>
      <c r="AO2687" s="474"/>
      <c r="AP2687" s="474" t="s">
        <v>92</v>
      </c>
      <c r="AQ2687" s="474" t="s">
        <v>37</v>
      </c>
      <c r="AR2687" s="474"/>
      <c r="AS2687" s="387"/>
      <c r="AT2687" s="387"/>
      <c r="AU2687" s="471"/>
      <c r="AV2687" s="262" t="str">
        <f t="shared" si="462"/>
        <v>30390256C</v>
      </c>
      <c r="AW2687" s="262" cm="1">
        <f t="array" ref="AW2687">SUM(MID(0&amp;AV2687,LARGE(INDEX(ISNUMBER(--MID(AV2687,ROW($1:$8),1))*ROW($1:$8),),ROW($1:$8))+1,1)*10^ROW($1:$8)/10)</f>
        <v>30390256</v>
      </c>
      <c r="AX2687" s="262" t="str">
        <f>VLOOKUP($AW2687,'Item Master Data'!$A:$F,3,FALSE)</f>
        <v>T400H</v>
      </c>
      <c r="AY2687" s="262">
        <f>VLOOKUP($AW2687,'Item Master Data'!$A:$F,6,FALSE)</f>
        <v>400</v>
      </c>
      <c r="AZ2687" s="262">
        <f t="shared" si="463"/>
        <v>24</v>
      </c>
      <c r="BA2687" s="262">
        <f>VLOOKUP(AW2687,'Item Master Data'!$A:$G,7,FALSE)</f>
        <v>26</v>
      </c>
      <c r="BC2687" s="262">
        <f t="shared" si="464"/>
        <v>0</v>
      </c>
    </row>
    <row r="2688" spans="1:55">
      <c r="A2688" s="410"/>
      <c r="B2688" s="407"/>
      <c r="C2688" s="407"/>
      <c r="D2688" s="474" t="s">
        <v>1066</v>
      </c>
      <c r="E2688" s="475" t="s">
        <v>1122</v>
      </c>
      <c r="F2688" s="474" t="s">
        <v>1147</v>
      </c>
      <c r="G2688" s="474">
        <v>2022</v>
      </c>
      <c r="H2688" s="474">
        <v>4</v>
      </c>
      <c r="I2688" s="485">
        <v>128097</v>
      </c>
      <c r="J2688" s="475">
        <v>44669</v>
      </c>
      <c r="K2688" s="474" t="s">
        <v>1610</v>
      </c>
      <c r="L2688" s="475" t="s">
        <v>1561</v>
      </c>
      <c r="M2688" s="475">
        <v>44468</v>
      </c>
      <c r="N2688" s="475" t="s">
        <v>1586</v>
      </c>
      <c r="O2688" s="475"/>
      <c r="P2688" s="475">
        <v>44630</v>
      </c>
      <c r="Q2688" s="475">
        <v>44664</v>
      </c>
      <c r="R2688" s="475">
        <v>44669</v>
      </c>
      <c r="S2688" s="474" t="s">
        <v>1563</v>
      </c>
      <c r="T2688" s="474">
        <v>60</v>
      </c>
      <c r="U2688" s="474" t="s">
        <v>1573</v>
      </c>
      <c r="V2688" s="474" t="s">
        <v>1574</v>
      </c>
      <c r="W2688" s="476">
        <v>400</v>
      </c>
      <c r="X2688" s="402">
        <v>624</v>
      </c>
      <c r="Y2688" s="491">
        <f t="shared" si="465"/>
        <v>249600</v>
      </c>
      <c r="Z2688" s="478">
        <v>0.48</v>
      </c>
      <c r="AA2688" s="492">
        <f t="shared" si="460"/>
        <v>119808</v>
      </c>
      <c r="AB2688" s="386"/>
      <c r="AC2688" s="481">
        <v>0</v>
      </c>
      <c r="AD2688" s="474"/>
      <c r="AE2688" s="482"/>
      <c r="AF2688" s="493">
        <f t="shared" si="461"/>
        <v>119808</v>
      </c>
      <c r="AG2688" s="474" t="s">
        <v>47</v>
      </c>
      <c r="AH2688" s="447"/>
      <c r="AI2688" s="474">
        <v>75</v>
      </c>
      <c r="AJ2688" s="474" t="s">
        <v>1580</v>
      </c>
      <c r="AK2688" s="474" t="s">
        <v>1073</v>
      </c>
      <c r="AL2688" s="494">
        <v>21075</v>
      </c>
      <c r="AM2688" s="474" t="s">
        <v>52</v>
      </c>
      <c r="AN2688" s="474" t="s">
        <v>1568</v>
      </c>
      <c r="AO2688" s="474"/>
      <c r="AP2688" s="474" t="s">
        <v>92</v>
      </c>
      <c r="AQ2688" s="474" t="s">
        <v>37</v>
      </c>
      <c r="AR2688" s="474"/>
      <c r="AS2688" s="387"/>
      <c r="AT2688" s="387"/>
      <c r="AU2688" s="471"/>
      <c r="AV2688" s="262" t="str">
        <f t="shared" si="462"/>
        <v>30390256C</v>
      </c>
      <c r="AW2688" s="262" cm="1">
        <f t="array" ref="AW2688">SUM(MID(0&amp;AV2688,LARGE(INDEX(ISNUMBER(--MID(AV2688,ROW($1:$8),1))*ROW($1:$8),),ROW($1:$8))+1,1)*10^ROW($1:$8)/10)</f>
        <v>30390256</v>
      </c>
      <c r="AX2688" s="262" t="str">
        <f>VLOOKUP($AW2688,'Item Master Data'!$A:$F,3,FALSE)</f>
        <v>T400H</v>
      </c>
      <c r="AY2688" s="262">
        <f>VLOOKUP($AW2688,'Item Master Data'!$A:$F,6,FALSE)</f>
        <v>400</v>
      </c>
      <c r="AZ2688" s="262">
        <f t="shared" si="463"/>
        <v>24</v>
      </c>
      <c r="BA2688" s="262">
        <f>VLOOKUP(AW2688,'Item Master Data'!$A:$G,7,FALSE)</f>
        <v>26</v>
      </c>
      <c r="BC2688" s="262">
        <f t="shared" si="464"/>
        <v>0</v>
      </c>
    </row>
    <row r="2689" spans="1:55">
      <c r="A2689" s="410"/>
      <c r="B2689" s="407"/>
      <c r="C2689" s="407"/>
      <c r="D2689" s="474" t="s">
        <v>1066</v>
      </c>
      <c r="E2689" s="388" t="s">
        <v>1556</v>
      </c>
      <c r="F2689" s="474" t="s">
        <v>1077</v>
      </c>
      <c r="G2689" s="474">
        <v>2022</v>
      </c>
      <c r="H2689" s="474">
        <v>5</v>
      </c>
      <c r="I2689" s="485" t="s">
        <v>5418</v>
      </c>
      <c r="J2689" s="475"/>
      <c r="K2689" s="474" t="s">
        <v>1553</v>
      </c>
      <c r="L2689" s="475" t="s">
        <v>1535</v>
      </c>
      <c r="M2689" s="475">
        <v>44470</v>
      </c>
      <c r="N2689" s="475">
        <v>44228</v>
      </c>
      <c r="O2689" s="475"/>
      <c r="P2689" s="475">
        <v>44641</v>
      </c>
      <c r="Q2689" s="475"/>
      <c r="R2689" s="475">
        <v>44683</v>
      </c>
      <c r="S2689" s="474" t="s">
        <v>1102</v>
      </c>
      <c r="T2689" s="474">
        <v>72</v>
      </c>
      <c r="U2689" s="474" t="s">
        <v>1539</v>
      </c>
      <c r="V2689" s="474" t="s">
        <v>1070</v>
      </c>
      <c r="W2689" s="476">
        <v>475</v>
      </c>
      <c r="X2689" s="402">
        <v>29</v>
      </c>
      <c r="Y2689" s="491">
        <f t="shared" si="465"/>
        <v>13775</v>
      </c>
      <c r="Z2689" s="478">
        <v>0.42</v>
      </c>
      <c r="AA2689" s="479">
        <f t="shared" ref="AA2689:AA2752" si="466">Z2689*Y2689</f>
        <v>5785.5</v>
      </c>
      <c r="AB2689" s="386"/>
      <c r="AC2689" s="481">
        <f>AB2689*Y2689</f>
        <v>0</v>
      </c>
      <c r="AD2689" s="474"/>
      <c r="AE2689" s="482"/>
      <c r="AF2689" s="493">
        <f>AE2689+AD2689+AA2689</f>
        <v>5785.5</v>
      </c>
      <c r="AG2689" s="474" t="s">
        <v>47</v>
      </c>
      <c r="AH2689" s="447">
        <v>100</v>
      </c>
      <c r="AI2689" s="474">
        <v>0</v>
      </c>
      <c r="AJ2689" s="474" t="s">
        <v>1537</v>
      </c>
      <c r="AK2689" s="474" t="s">
        <v>1096</v>
      </c>
      <c r="AL2689" s="494">
        <v>1604</v>
      </c>
      <c r="AM2689" s="474" t="s">
        <v>52</v>
      </c>
      <c r="AN2689" s="474" t="s">
        <v>1085</v>
      </c>
      <c r="AO2689" s="474"/>
      <c r="AP2689" s="474" t="s">
        <v>92</v>
      </c>
      <c r="AQ2689" s="474" t="s">
        <v>1086</v>
      </c>
      <c r="AR2689" s="474"/>
      <c r="AS2689" s="387" t="s">
        <v>1087</v>
      </c>
      <c r="AT2689" s="387" t="s">
        <v>1076</v>
      </c>
      <c r="AU2689" s="471"/>
    </row>
    <row r="2690" spans="1:55">
      <c r="A2690" s="410"/>
      <c r="B2690" s="407"/>
      <c r="C2690" s="407"/>
      <c r="D2690" s="474" t="s">
        <v>1066</v>
      </c>
      <c r="E2690" s="388"/>
      <c r="F2690" s="474" t="s">
        <v>87</v>
      </c>
      <c r="G2690" s="474">
        <v>2022</v>
      </c>
      <c r="H2690" s="474">
        <v>3</v>
      </c>
      <c r="I2690" s="485">
        <v>127394</v>
      </c>
      <c r="J2690" s="475">
        <v>44639</v>
      </c>
      <c r="K2690" s="474" t="s">
        <v>1592</v>
      </c>
      <c r="L2690" s="475" t="s">
        <v>1561</v>
      </c>
      <c r="M2690" s="475">
        <v>44592</v>
      </c>
      <c r="N2690" s="475">
        <v>44596</v>
      </c>
      <c r="O2690" s="475"/>
      <c r="P2690" s="475">
        <v>44606</v>
      </c>
      <c r="Q2690" s="475">
        <v>44635</v>
      </c>
      <c r="R2690" s="475">
        <v>44639</v>
      </c>
      <c r="S2690" s="474" t="s">
        <v>1563</v>
      </c>
      <c r="T2690" s="474">
        <v>72</v>
      </c>
      <c r="U2690" s="474" t="s">
        <v>1542</v>
      </c>
      <c r="V2690" s="474" t="s">
        <v>1070</v>
      </c>
      <c r="W2690" s="476">
        <v>475</v>
      </c>
      <c r="X2690" s="402">
        <v>638</v>
      </c>
      <c r="Y2690" s="491">
        <f t="shared" si="465"/>
        <v>303050</v>
      </c>
      <c r="Z2690" s="478">
        <v>0.47</v>
      </c>
      <c r="AA2690" s="479">
        <f t="shared" si="466"/>
        <v>142433.5</v>
      </c>
      <c r="AB2690" s="386"/>
      <c r="AC2690" s="481">
        <v>0</v>
      </c>
      <c r="AD2690" s="474"/>
      <c r="AE2690" s="482"/>
      <c r="AF2690" s="493">
        <f t="shared" ref="AF2690:AF2753" si="467">AA2690+AE2690</f>
        <v>142433.5</v>
      </c>
      <c r="AG2690" s="501" t="s">
        <v>47</v>
      </c>
      <c r="AH2690" s="409"/>
      <c r="AI2690" s="501">
        <v>60</v>
      </c>
      <c r="AJ2690" s="501" t="s">
        <v>1593</v>
      </c>
      <c r="AK2690" s="501" t="s">
        <v>1144</v>
      </c>
      <c r="AL2690" s="509">
        <v>78725</v>
      </c>
      <c r="AM2690" s="501" t="s">
        <v>52</v>
      </c>
      <c r="AN2690" s="501" t="s">
        <v>1085</v>
      </c>
      <c r="AO2690" s="474"/>
      <c r="AP2690" s="474" t="s">
        <v>92</v>
      </c>
      <c r="AQ2690" s="474" t="s">
        <v>37</v>
      </c>
      <c r="AR2690" s="474"/>
      <c r="AS2690" s="387"/>
      <c r="AT2690" s="387"/>
      <c r="AU2690" s="471"/>
    </row>
    <row r="2691" spans="1:55">
      <c r="A2691" s="410"/>
      <c r="B2691" s="407"/>
      <c r="C2691" s="407"/>
      <c r="D2691" s="474" t="s">
        <v>1066</v>
      </c>
      <c r="E2691" s="388"/>
      <c r="F2691" s="474" t="s">
        <v>87</v>
      </c>
      <c r="G2691" s="474">
        <v>2022</v>
      </c>
      <c r="H2691" s="474">
        <v>3</v>
      </c>
      <c r="I2691" s="485">
        <v>127393</v>
      </c>
      <c r="J2691" s="475">
        <v>44641</v>
      </c>
      <c r="K2691" s="474" t="s">
        <v>1592</v>
      </c>
      <c r="L2691" s="475" t="s">
        <v>1561</v>
      </c>
      <c r="M2691" s="475">
        <v>44592</v>
      </c>
      <c r="N2691" s="475">
        <v>44596</v>
      </c>
      <c r="O2691" s="475"/>
      <c r="P2691" s="475">
        <v>44606</v>
      </c>
      <c r="Q2691" s="475">
        <v>44638</v>
      </c>
      <c r="R2691" s="475">
        <v>44641</v>
      </c>
      <c r="S2691" s="474" t="s">
        <v>1563</v>
      </c>
      <c r="T2691" s="474">
        <v>72</v>
      </c>
      <c r="U2691" s="474" t="s">
        <v>1542</v>
      </c>
      <c r="V2691" s="474" t="s">
        <v>1070</v>
      </c>
      <c r="W2691" s="476">
        <v>475</v>
      </c>
      <c r="X2691" s="402">
        <v>638</v>
      </c>
      <c r="Y2691" s="491">
        <f t="shared" si="465"/>
        <v>303050</v>
      </c>
      <c r="Z2691" s="478">
        <v>0.47</v>
      </c>
      <c r="AA2691" s="479">
        <f t="shared" si="466"/>
        <v>142433.5</v>
      </c>
      <c r="AB2691" s="386"/>
      <c r="AC2691" s="481">
        <v>0</v>
      </c>
      <c r="AD2691" s="474"/>
      <c r="AE2691" s="482"/>
      <c r="AF2691" s="493">
        <f t="shared" si="467"/>
        <v>142433.5</v>
      </c>
      <c r="AG2691" s="501" t="s">
        <v>47</v>
      </c>
      <c r="AH2691" s="409"/>
      <c r="AI2691" s="501">
        <v>60</v>
      </c>
      <c r="AJ2691" s="501" t="s">
        <v>1593</v>
      </c>
      <c r="AK2691" s="501" t="s">
        <v>1144</v>
      </c>
      <c r="AL2691" s="509">
        <v>78725</v>
      </c>
      <c r="AM2691" s="501" t="s">
        <v>52</v>
      </c>
      <c r="AN2691" s="501" t="s">
        <v>1085</v>
      </c>
      <c r="AO2691" s="474"/>
      <c r="AP2691" s="474" t="s">
        <v>92</v>
      </c>
      <c r="AQ2691" s="474" t="s">
        <v>37</v>
      </c>
      <c r="AR2691" s="474"/>
      <c r="AS2691" s="387"/>
      <c r="AT2691" s="387"/>
      <c r="AU2691" s="471"/>
    </row>
    <row r="2692" spans="1:55">
      <c r="A2692" s="410"/>
      <c r="B2692" s="407"/>
      <c r="C2692" s="407"/>
      <c r="D2692" s="474" t="s">
        <v>1066</v>
      </c>
      <c r="E2692" s="388"/>
      <c r="F2692" s="474" t="s">
        <v>87</v>
      </c>
      <c r="G2692" s="474">
        <v>2022</v>
      </c>
      <c r="H2692" s="474">
        <v>3</v>
      </c>
      <c r="I2692" s="485">
        <v>127392</v>
      </c>
      <c r="J2692" s="475">
        <v>44642</v>
      </c>
      <c r="K2692" s="474" t="s">
        <v>1592</v>
      </c>
      <c r="L2692" s="475" t="s">
        <v>1561</v>
      </c>
      <c r="M2692" s="475">
        <v>44592</v>
      </c>
      <c r="N2692" s="475">
        <v>44596</v>
      </c>
      <c r="O2692" s="475"/>
      <c r="P2692" s="475">
        <v>44606</v>
      </c>
      <c r="Q2692" s="475">
        <v>44638</v>
      </c>
      <c r="R2692" s="475">
        <v>44642</v>
      </c>
      <c r="S2692" s="474" t="s">
        <v>1563</v>
      </c>
      <c r="T2692" s="474">
        <v>72</v>
      </c>
      <c r="U2692" s="474" t="s">
        <v>1542</v>
      </c>
      <c r="V2692" s="474" t="s">
        <v>1070</v>
      </c>
      <c r="W2692" s="476">
        <v>475</v>
      </c>
      <c r="X2692" s="402">
        <v>638</v>
      </c>
      <c r="Y2692" s="491">
        <f t="shared" si="465"/>
        <v>303050</v>
      </c>
      <c r="Z2692" s="478">
        <v>0.47</v>
      </c>
      <c r="AA2692" s="479">
        <f t="shared" si="466"/>
        <v>142433.5</v>
      </c>
      <c r="AB2692" s="386"/>
      <c r="AC2692" s="481">
        <v>0</v>
      </c>
      <c r="AD2692" s="474"/>
      <c r="AE2692" s="482"/>
      <c r="AF2692" s="493">
        <f t="shared" si="467"/>
        <v>142433.5</v>
      </c>
      <c r="AG2692" s="501" t="s">
        <v>47</v>
      </c>
      <c r="AH2692" s="409"/>
      <c r="AI2692" s="501">
        <v>60</v>
      </c>
      <c r="AJ2692" s="501" t="s">
        <v>1593</v>
      </c>
      <c r="AK2692" s="501" t="s">
        <v>1144</v>
      </c>
      <c r="AL2692" s="509">
        <v>78725</v>
      </c>
      <c r="AM2692" s="501" t="s">
        <v>52</v>
      </c>
      <c r="AN2692" s="501" t="s">
        <v>1085</v>
      </c>
      <c r="AO2692" s="474"/>
      <c r="AP2692" s="474" t="s">
        <v>92</v>
      </c>
      <c r="AQ2692" s="474" t="s">
        <v>37</v>
      </c>
      <c r="AR2692" s="474"/>
      <c r="AS2692" s="387"/>
      <c r="AT2692" s="387"/>
      <c r="AU2692" s="471"/>
    </row>
    <row r="2693" spans="1:55">
      <c r="A2693" s="410"/>
      <c r="B2693" s="407"/>
      <c r="C2693" s="407"/>
      <c r="D2693" s="474" t="s">
        <v>1066</v>
      </c>
      <c r="E2693" s="388"/>
      <c r="F2693" s="474" t="s">
        <v>87</v>
      </c>
      <c r="G2693" s="474">
        <v>2022</v>
      </c>
      <c r="H2693" s="474">
        <v>3</v>
      </c>
      <c r="I2693" s="485">
        <v>127548</v>
      </c>
      <c r="J2693" s="475">
        <v>44645</v>
      </c>
      <c r="K2693" s="474" t="s">
        <v>1592</v>
      </c>
      <c r="L2693" s="475" t="s">
        <v>1561</v>
      </c>
      <c r="M2693" s="475">
        <v>44592</v>
      </c>
      <c r="N2693" s="475">
        <v>44596</v>
      </c>
      <c r="O2693" s="475"/>
      <c r="P2693" s="475">
        <v>44606</v>
      </c>
      <c r="Q2693" s="475">
        <v>44642</v>
      </c>
      <c r="R2693" s="475">
        <v>44645</v>
      </c>
      <c r="S2693" s="474" t="s">
        <v>1563</v>
      </c>
      <c r="T2693" s="474">
        <v>72</v>
      </c>
      <c r="U2693" s="474" t="s">
        <v>1542</v>
      </c>
      <c r="V2693" s="474" t="s">
        <v>1070</v>
      </c>
      <c r="W2693" s="476">
        <v>475</v>
      </c>
      <c r="X2693" s="402">
        <v>638</v>
      </c>
      <c r="Y2693" s="491">
        <f t="shared" si="465"/>
        <v>303050</v>
      </c>
      <c r="Z2693" s="478">
        <v>0.47</v>
      </c>
      <c r="AA2693" s="479">
        <f t="shared" si="466"/>
        <v>142433.5</v>
      </c>
      <c r="AB2693" s="386"/>
      <c r="AC2693" s="481">
        <v>0</v>
      </c>
      <c r="AD2693" s="474"/>
      <c r="AE2693" s="482"/>
      <c r="AF2693" s="493">
        <f t="shared" si="467"/>
        <v>142433.5</v>
      </c>
      <c r="AG2693" s="501" t="s">
        <v>47</v>
      </c>
      <c r="AH2693" s="409"/>
      <c r="AI2693" s="501">
        <v>60</v>
      </c>
      <c r="AJ2693" s="501" t="s">
        <v>1593</v>
      </c>
      <c r="AK2693" s="501" t="s">
        <v>1144</v>
      </c>
      <c r="AL2693" s="509">
        <v>78725</v>
      </c>
      <c r="AM2693" s="501" t="s">
        <v>52</v>
      </c>
      <c r="AN2693" s="501" t="s">
        <v>1085</v>
      </c>
      <c r="AO2693" s="474"/>
      <c r="AP2693" s="474" t="s">
        <v>92</v>
      </c>
      <c r="AQ2693" s="474" t="s">
        <v>37</v>
      </c>
      <c r="AR2693" s="474"/>
      <c r="AS2693" s="387"/>
      <c r="AT2693" s="387"/>
      <c r="AU2693" s="471"/>
    </row>
    <row r="2694" spans="1:55">
      <c r="A2694" s="410"/>
      <c r="B2694" s="407"/>
      <c r="C2694" s="407"/>
      <c r="D2694" s="474" t="s">
        <v>1066</v>
      </c>
      <c r="E2694" s="475" t="s">
        <v>1122</v>
      </c>
      <c r="F2694" s="474" t="s">
        <v>1147</v>
      </c>
      <c r="G2694" s="474">
        <v>2022</v>
      </c>
      <c r="H2694" s="474">
        <v>4</v>
      </c>
      <c r="I2694" s="485">
        <v>128096</v>
      </c>
      <c r="J2694" s="475">
        <v>44669</v>
      </c>
      <c r="K2694" s="474" t="s">
        <v>1610</v>
      </c>
      <c r="L2694" s="475" t="s">
        <v>1561</v>
      </c>
      <c r="M2694" s="475">
        <v>44468</v>
      </c>
      <c r="N2694" s="475" t="s">
        <v>1586</v>
      </c>
      <c r="O2694" s="475"/>
      <c r="P2694" s="475">
        <v>44630</v>
      </c>
      <c r="Q2694" s="475">
        <v>44664</v>
      </c>
      <c r="R2694" s="475">
        <v>44669</v>
      </c>
      <c r="S2694" s="474" t="s">
        <v>1563</v>
      </c>
      <c r="T2694" s="474">
        <v>60</v>
      </c>
      <c r="U2694" s="474" t="s">
        <v>1573</v>
      </c>
      <c r="V2694" s="474" t="s">
        <v>1574</v>
      </c>
      <c r="W2694" s="476">
        <v>400</v>
      </c>
      <c r="X2694" s="402">
        <v>624</v>
      </c>
      <c r="Y2694" s="491">
        <f t="shared" si="465"/>
        <v>249600</v>
      </c>
      <c r="Z2694" s="478">
        <v>0.48</v>
      </c>
      <c r="AA2694" s="492">
        <f t="shared" si="466"/>
        <v>119808</v>
      </c>
      <c r="AB2694" s="386"/>
      <c r="AC2694" s="481">
        <v>0</v>
      </c>
      <c r="AD2694" s="474"/>
      <c r="AE2694" s="482"/>
      <c r="AF2694" s="493">
        <f t="shared" si="467"/>
        <v>119808</v>
      </c>
      <c r="AG2694" s="474" t="s">
        <v>47</v>
      </c>
      <c r="AH2694" s="447"/>
      <c r="AI2694" s="474">
        <v>75</v>
      </c>
      <c r="AJ2694" s="474" t="s">
        <v>1580</v>
      </c>
      <c r="AK2694" s="474" t="s">
        <v>1073</v>
      </c>
      <c r="AL2694" s="494">
        <v>21075</v>
      </c>
      <c r="AM2694" s="474" t="s">
        <v>52</v>
      </c>
      <c r="AN2694" s="474" t="s">
        <v>1568</v>
      </c>
      <c r="AO2694" s="474"/>
      <c r="AP2694" s="474" t="s">
        <v>92</v>
      </c>
      <c r="AQ2694" s="474" t="s">
        <v>37</v>
      </c>
      <c r="AR2694" s="474"/>
      <c r="AS2694" s="387"/>
      <c r="AT2694" s="387"/>
      <c r="AU2694" s="471"/>
    </row>
    <row r="2695" spans="1:55">
      <c r="A2695" s="410"/>
      <c r="B2695" s="407"/>
      <c r="C2695" s="407"/>
      <c r="D2695" s="474" t="s">
        <v>1066</v>
      </c>
      <c r="E2695" s="475" t="s">
        <v>1122</v>
      </c>
      <c r="F2695" s="474" t="s">
        <v>1147</v>
      </c>
      <c r="G2695" s="474">
        <v>2022</v>
      </c>
      <c r="H2695" s="474">
        <v>4</v>
      </c>
      <c r="I2695" s="485">
        <v>128099</v>
      </c>
      <c r="J2695" s="475">
        <v>44669</v>
      </c>
      <c r="K2695" s="474" t="s">
        <v>1610</v>
      </c>
      <c r="L2695" s="475" t="s">
        <v>1561</v>
      </c>
      <c r="M2695" s="475">
        <v>44468</v>
      </c>
      <c r="N2695" s="475" t="s">
        <v>1586</v>
      </c>
      <c r="O2695" s="475"/>
      <c r="P2695" s="475">
        <v>44630</v>
      </c>
      <c r="Q2695" s="475">
        <v>44664</v>
      </c>
      <c r="R2695" s="475">
        <v>44669</v>
      </c>
      <c r="S2695" s="474" t="s">
        <v>1563</v>
      </c>
      <c r="T2695" s="474">
        <v>60</v>
      </c>
      <c r="U2695" s="474" t="s">
        <v>1573</v>
      </c>
      <c r="V2695" s="474" t="s">
        <v>1574</v>
      </c>
      <c r="W2695" s="476">
        <v>400</v>
      </c>
      <c r="X2695" s="402">
        <v>624</v>
      </c>
      <c r="Y2695" s="491">
        <f t="shared" si="465"/>
        <v>249600</v>
      </c>
      <c r="Z2695" s="478">
        <v>0.48</v>
      </c>
      <c r="AA2695" s="492">
        <f t="shared" si="466"/>
        <v>119808</v>
      </c>
      <c r="AB2695" s="386"/>
      <c r="AC2695" s="481">
        <v>0</v>
      </c>
      <c r="AD2695" s="474"/>
      <c r="AE2695" s="482"/>
      <c r="AF2695" s="493">
        <f t="shared" si="467"/>
        <v>119808</v>
      </c>
      <c r="AG2695" s="474" t="s">
        <v>47</v>
      </c>
      <c r="AH2695" s="447"/>
      <c r="AI2695" s="474">
        <v>75</v>
      </c>
      <c r="AJ2695" s="474" t="s">
        <v>1580</v>
      </c>
      <c r="AK2695" s="474" t="s">
        <v>1073</v>
      </c>
      <c r="AL2695" s="494">
        <v>21075</v>
      </c>
      <c r="AM2695" s="474" t="s">
        <v>52</v>
      </c>
      <c r="AN2695" s="474" t="s">
        <v>1568</v>
      </c>
      <c r="AO2695" s="474"/>
      <c r="AP2695" s="474" t="s">
        <v>92</v>
      </c>
      <c r="AQ2695" s="474" t="s">
        <v>37</v>
      </c>
      <c r="AR2695" s="474"/>
      <c r="AS2695" s="387"/>
      <c r="AT2695" s="387"/>
      <c r="AU2695" s="471"/>
    </row>
    <row r="2696" spans="1:55">
      <c r="A2696" s="410"/>
      <c r="B2696" s="407"/>
      <c r="C2696" s="407"/>
      <c r="D2696" s="474" t="s">
        <v>1066</v>
      </c>
      <c r="E2696" s="388"/>
      <c r="F2696" s="474" t="s">
        <v>1147</v>
      </c>
      <c r="G2696" s="474">
        <v>2022</v>
      </c>
      <c r="H2696" s="474">
        <v>4</v>
      </c>
      <c r="I2696" s="485">
        <v>128129</v>
      </c>
      <c r="J2696" s="475">
        <v>44670</v>
      </c>
      <c r="K2696" s="474" t="s">
        <v>1629</v>
      </c>
      <c r="L2696" s="475" t="s">
        <v>1561</v>
      </c>
      <c r="M2696" s="475">
        <v>44468</v>
      </c>
      <c r="N2696" s="475" t="s">
        <v>1588</v>
      </c>
      <c r="O2696" s="475"/>
      <c r="P2696" s="475">
        <v>44658</v>
      </c>
      <c r="Q2696" s="475">
        <v>44665</v>
      </c>
      <c r="R2696" s="475">
        <v>44670</v>
      </c>
      <c r="S2696" s="474" t="s">
        <v>1563</v>
      </c>
      <c r="T2696" s="474">
        <v>60</v>
      </c>
      <c r="U2696" s="474" t="s">
        <v>1595</v>
      </c>
      <c r="V2696" s="474" t="s">
        <v>1574</v>
      </c>
      <c r="W2696" s="476">
        <v>400</v>
      </c>
      <c r="X2696" s="402">
        <v>624</v>
      </c>
      <c r="Y2696" s="491">
        <f t="shared" si="465"/>
        <v>249600</v>
      </c>
      <c r="Z2696" s="478">
        <v>0.48</v>
      </c>
      <c r="AA2696" s="492">
        <f t="shared" si="466"/>
        <v>119808</v>
      </c>
      <c r="AB2696" s="386"/>
      <c r="AC2696" s="481">
        <v>0</v>
      </c>
      <c r="AD2696" s="474"/>
      <c r="AE2696" s="482"/>
      <c r="AF2696" s="493">
        <f t="shared" si="467"/>
        <v>119808</v>
      </c>
      <c r="AG2696" s="474" t="s">
        <v>47</v>
      </c>
      <c r="AH2696" s="447"/>
      <c r="AI2696" s="474">
        <v>75</v>
      </c>
      <c r="AJ2696" s="474" t="s">
        <v>1580</v>
      </c>
      <c r="AK2696" s="474" t="s">
        <v>1073</v>
      </c>
      <c r="AL2696" s="494">
        <v>21075</v>
      </c>
      <c r="AM2696" s="474" t="s">
        <v>52</v>
      </c>
      <c r="AN2696" s="474" t="s">
        <v>50</v>
      </c>
      <c r="AO2696" s="474"/>
      <c r="AP2696" s="474" t="s">
        <v>92</v>
      </c>
      <c r="AQ2696" s="474" t="s">
        <v>37</v>
      </c>
      <c r="AR2696" s="474"/>
      <c r="AS2696" s="387"/>
      <c r="AT2696" s="387"/>
      <c r="AU2696" s="471"/>
    </row>
    <row r="2697" spans="1:55">
      <c r="A2697" s="410"/>
      <c r="B2697" s="407"/>
      <c r="C2697" s="407"/>
      <c r="D2697" s="474" t="s">
        <v>1066</v>
      </c>
      <c r="E2697" s="388"/>
      <c r="F2697" s="474" t="s">
        <v>1147</v>
      </c>
      <c r="G2697" s="474">
        <v>2022</v>
      </c>
      <c r="H2697" s="474">
        <v>4</v>
      </c>
      <c r="I2697" s="485">
        <v>128128</v>
      </c>
      <c r="J2697" s="475">
        <v>44670</v>
      </c>
      <c r="K2697" s="474" t="s">
        <v>1629</v>
      </c>
      <c r="L2697" s="475" t="s">
        <v>1561</v>
      </c>
      <c r="M2697" s="475">
        <v>44468</v>
      </c>
      <c r="N2697" s="475" t="s">
        <v>1588</v>
      </c>
      <c r="O2697" s="475"/>
      <c r="P2697" s="475">
        <v>44658</v>
      </c>
      <c r="Q2697" s="475">
        <v>44665</v>
      </c>
      <c r="R2697" s="475">
        <v>44670</v>
      </c>
      <c r="S2697" s="474" t="s">
        <v>1563</v>
      </c>
      <c r="T2697" s="474">
        <v>60</v>
      </c>
      <c r="U2697" s="474" t="s">
        <v>1595</v>
      </c>
      <c r="V2697" s="474" t="s">
        <v>1574</v>
      </c>
      <c r="W2697" s="476">
        <v>400</v>
      </c>
      <c r="X2697" s="402">
        <v>624</v>
      </c>
      <c r="Y2697" s="491">
        <f t="shared" si="465"/>
        <v>249600</v>
      </c>
      <c r="Z2697" s="478">
        <v>0.48</v>
      </c>
      <c r="AA2697" s="492">
        <f t="shared" si="466"/>
        <v>119808</v>
      </c>
      <c r="AB2697" s="386"/>
      <c r="AC2697" s="481">
        <v>0</v>
      </c>
      <c r="AD2697" s="474"/>
      <c r="AE2697" s="482"/>
      <c r="AF2697" s="493">
        <f t="shared" si="467"/>
        <v>119808</v>
      </c>
      <c r="AG2697" s="474" t="s">
        <v>47</v>
      </c>
      <c r="AH2697" s="447"/>
      <c r="AI2697" s="474">
        <v>75</v>
      </c>
      <c r="AJ2697" s="474" t="s">
        <v>1580</v>
      </c>
      <c r="AK2697" s="474" t="s">
        <v>1073</v>
      </c>
      <c r="AL2697" s="494">
        <v>21075</v>
      </c>
      <c r="AM2697" s="474" t="s">
        <v>52</v>
      </c>
      <c r="AN2697" s="474" t="s">
        <v>50</v>
      </c>
      <c r="AO2697" s="474"/>
      <c r="AP2697" s="474" t="s">
        <v>92</v>
      </c>
      <c r="AQ2697" s="474" t="s">
        <v>37</v>
      </c>
      <c r="AR2697" s="474"/>
      <c r="AS2697" s="387"/>
      <c r="AT2697" s="387"/>
      <c r="AU2697" s="471"/>
      <c r="AV2697" s="262" t="str">
        <f>U2697</f>
        <v>30390256H</v>
      </c>
      <c r="AW2697" s="262" cm="1">
        <f t="array" ref="AW2697">SUM(MID(0&amp;AV2697,LARGE(INDEX(ISNUMBER(--MID(AV2697,ROW($1:$8),1))*ROW($1:$8),),ROW($1:$8))+1,1)*10^ROW($1:$8)/10)</f>
        <v>30390256</v>
      </c>
      <c r="AX2697" s="262" t="str">
        <f>VLOOKUP($AW2697,'Item Master Data'!$A:$F,3,FALSE)</f>
        <v>T400H</v>
      </c>
      <c r="AY2697" s="262">
        <f>VLOOKUP($AW2697,'Item Master Data'!$A:$F,6,FALSE)</f>
        <v>400</v>
      </c>
      <c r="AZ2697" s="262">
        <f>X2697/BA2697</f>
        <v>24</v>
      </c>
      <c r="BA2697" s="262">
        <f>VLOOKUP(AW2697,'Item Master Data'!$A:$G,7,FALSE)</f>
        <v>26</v>
      </c>
      <c r="BC2697" s="262">
        <f>W2697-AY2697</f>
        <v>0</v>
      </c>
    </row>
    <row r="2698" spans="1:55">
      <c r="A2698" s="410"/>
      <c r="B2698" s="407"/>
      <c r="C2698" s="407"/>
      <c r="D2698" s="474" t="s">
        <v>1066</v>
      </c>
      <c r="E2698" s="388"/>
      <c r="F2698" s="474" t="s">
        <v>1147</v>
      </c>
      <c r="G2698" s="474">
        <v>2022</v>
      </c>
      <c r="H2698" s="474">
        <v>4</v>
      </c>
      <c r="I2698" s="485">
        <v>128127</v>
      </c>
      <c r="J2698" s="475">
        <v>44671</v>
      </c>
      <c r="K2698" s="474" t="s">
        <v>1629</v>
      </c>
      <c r="L2698" s="475" t="s">
        <v>1561</v>
      </c>
      <c r="M2698" s="475">
        <v>44468</v>
      </c>
      <c r="N2698" s="475" t="s">
        <v>1588</v>
      </c>
      <c r="O2698" s="475"/>
      <c r="P2698" s="475">
        <v>44658</v>
      </c>
      <c r="Q2698" s="475">
        <v>44665</v>
      </c>
      <c r="R2698" s="475">
        <v>44671</v>
      </c>
      <c r="S2698" s="474" t="s">
        <v>1563</v>
      </c>
      <c r="T2698" s="474">
        <v>60</v>
      </c>
      <c r="U2698" s="474" t="s">
        <v>1595</v>
      </c>
      <c r="V2698" s="474" t="s">
        <v>1574</v>
      </c>
      <c r="W2698" s="476">
        <v>400</v>
      </c>
      <c r="X2698" s="402">
        <v>624</v>
      </c>
      <c r="Y2698" s="491">
        <f t="shared" si="465"/>
        <v>249600</v>
      </c>
      <c r="Z2698" s="478">
        <v>0.48</v>
      </c>
      <c r="AA2698" s="492">
        <f t="shared" si="466"/>
        <v>119808</v>
      </c>
      <c r="AB2698" s="386"/>
      <c r="AC2698" s="481">
        <v>0</v>
      </c>
      <c r="AD2698" s="474"/>
      <c r="AE2698" s="482"/>
      <c r="AF2698" s="493">
        <f t="shared" si="467"/>
        <v>119808</v>
      </c>
      <c r="AG2698" s="474" t="s">
        <v>47</v>
      </c>
      <c r="AH2698" s="447"/>
      <c r="AI2698" s="474">
        <v>75</v>
      </c>
      <c r="AJ2698" s="474" t="s">
        <v>1580</v>
      </c>
      <c r="AK2698" s="474" t="s">
        <v>1073</v>
      </c>
      <c r="AL2698" s="494">
        <v>21075</v>
      </c>
      <c r="AM2698" s="474" t="s">
        <v>52</v>
      </c>
      <c r="AN2698" s="474" t="s">
        <v>50</v>
      </c>
      <c r="AO2698" s="474"/>
      <c r="AP2698" s="474" t="s">
        <v>92</v>
      </c>
      <c r="AQ2698" s="474" t="s">
        <v>37</v>
      </c>
      <c r="AR2698" s="474"/>
      <c r="AS2698" s="387"/>
      <c r="AT2698" s="387"/>
      <c r="AU2698" s="471"/>
      <c r="AV2698" s="262" t="str">
        <f>U2698</f>
        <v>30390256H</v>
      </c>
      <c r="AW2698" s="262" cm="1">
        <f t="array" ref="AW2698">SUM(MID(0&amp;AV2698,LARGE(INDEX(ISNUMBER(--MID(AV2698,ROW($1:$8),1))*ROW($1:$8),),ROW($1:$8))+1,1)*10^ROW($1:$8)/10)</f>
        <v>30390256</v>
      </c>
      <c r="AX2698" s="262" t="str">
        <f>VLOOKUP($AW2698,'Item Master Data'!$A:$F,3,FALSE)</f>
        <v>T400H</v>
      </c>
      <c r="AY2698" s="262">
        <f>VLOOKUP($AW2698,'Item Master Data'!$A:$F,6,FALSE)</f>
        <v>400</v>
      </c>
      <c r="AZ2698" s="262">
        <f>X2698/BA2698</f>
        <v>24</v>
      </c>
      <c r="BA2698" s="262">
        <f>VLOOKUP(AW2698,'Item Master Data'!$A:$G,7,FALSE)</f>
        <v>26</v>
      </c>
      <c r="BC2698" s="262">
        <f>W2698-AY2698</f>
        <v>0</v>
      </c>
    </row>
    <row r="2699" spans="1:55">
      <c r="A2699" s="410"/>
      <c r="B2699" s="407"/>
      <c r="C2699" s="407"/>
      <c r="D2699" s="474" t="s">
        <v>1066</v>
      </c>
      <c r="E2699" s="388"/>
      <c r="F2699" s="474" t="s">
        <v>1147</v>
      </c>
      <c r="G2699" s="474">
        <v>2022</v>
      </c>
      <c r="H2699" s="474">
        <v>4</v>
      </c>
      <c r="I2699" s="485">
        <v>128126</v>
      </c>
      <c r="J2699" s="475">
        <v>44671</v>
      </c>
      <c r="K2699" s="474" t="s">
        <v>1629</v>
      </c>
      <c r="L2699" s="475" t="s">
        <v>1561</v>
      </c>
      <c r="M2699" s="475">
        <v>44468</v>
      </c>
      <c r="N2699" s="475" t="s">
        <v>1588</v>
      </c>
      <c r="O2699" s="475"/>
      <c r="P2699" s="475">
        <v>44658</v>
      </c>
      <c r="Q2699" s="475">
        <v>44666</v>
      </c>
      <c r="R2699" s="475">
        <v>44671</v>
      </c>
      <c r="S2699" s="474" t="s">
        <v>1563</v>
      </c>
      <c r="T2699" s="474">
        <v>60</v>
      </c>
      <c r="U2699" s="474" t="s">
        <v>1595</v>
      </c>
      <c r="V2699" s="474" t="s">
        <v>1574</v>
      </c>
      <c r="W2699" s="476">
        <v>400</v>
      </c>
      <c r="X2699" s="402">
        <v>624</v>
      </c>
      <c r="Y2699" s="491">
        <f t="shared" si="465"/>
        <v>249600</v>
      </c>
      <c r="Z2699" s="478">
        <v>0.48</v>
      </c>
      <c r="AA2699" s="492">
        <f t="shared" si="466"/>
        <v>119808</v>
      </c>
      <c r="AB2699" s="386"/>
      <c r="AC2699" s="481">
        <v>0</v>
      </c>
      <c r="AD2699" s="474"/>
      <c r="AE2699" s="482"/>
      <c r="AF2699" s="493">
        <f t="shared" si="467"/>
        <v>119808</v>
      </c>
      <c r="AG2699" s="474" t="s">
        <v>47</v>
      </c>
      <c r="AH2699" s="447"/>
      <c r="AI2699" s="474">
        <v>75</v>
      </c>
      <c r="AJ2699" s="474" t="s">
        <v>1580</v>
      </c>
      <c r="AK2699" s="474" t="s">
        <v>1073</v>
      </c>
      <c r="AL2699" s="494">
        <v>21075</v>
      </c>
      <c r="AM2699" s="474" t="s">
        <v>52</v>
      </c>
      <c r="AN2699" s="474" t="s">
        <v>50</v>
      </c>
      <c r="AO2699" s="474"/>
      <c r="AP2699" s="474" t="s">
        <v>92</v>
      </c>
      <c r="AQ2699" s="474" t="s">
        <v>37</v>
      </c>
      <c r="AR2699" s="474"/>
      <c r="AS2699" s="387"/>
      <c r="AT2699" s="387"/>
      <c r="AU2699" s="471"/>
    </row>
    <row r="2700" spans="1:55">
      <c r="A2700" s="410"/>
      <c r="B2700" s="407"/>
      <c r="C2700" s="407"/>
      <c r="D2700" s="474" t="s">
        <v>1066</v>
      </c>
      <c r="E2700" s="388"/>
      <c r="F2700" s="474" t="s">
        <v>1147</v>
      </c>
      <c r="G2700" s="474">
        <v>2022</v>
      </c>
      <c r="H2700" s="474">
        <v>4</v>
      </c>
      <c r="I2700" s="485">
        <v>128125</v>
      </c>
      <c r="J2700" s="475">
        <v>44671</v>
      </c>
      <c r="K2700" s="474" t="s">
        <v>1629</v>
      </c>
      <c r="L2700" s="475" t="s">
        <v>1561</v>
      </c>
      <c r="M2700" s="475">
        <v>44468</v>
      </c>
      <c r="N2700" s="475" t="s">
        <v>1588</v>
      </c>
      <c r="O2700" s="475"/>
      <c r="P2700" s="475">
        <v>44658</v>
      </c>
      <c r="Q2700" s="475">
        <v>44666</v>
      </c>
      <c r="R2700" s="475">
        <v>44671</v>
      </c>
      <c r="S2700" s="474" t="s">
        <v>1563</v>
      </c>
      <c r="T2700" s="474">
        <v>60</v>
      </c>
      <c r="U2700" s="474" t="s">
        <v>1595</v>
      </c>
      <c r="V2700" s="474" t="s">
        <v>1574</v>
      </c>
      <c r="W2700" s="476">
        <v>400</v>
      </c>
      <c r="X2700" s="402">
        <v>624</v>
      </c>
      <c r="Y2700" s="491">
        <f t="shared" si="465"/>
        <v>249600</v>
      </c>
      <c r="Z2700" s="478">
        <v>0.48</v>
      </c>
      <c r="AA2700" s="492">
        <f t="shared" si="466"/>
        <v>119808</v>
      </c>
      <c r="AB2700" s="386"/>
      <c r="AC2700" s="481">
        <v>0</v>
      </c>
      <c r="AD2700" s="474"/>
      <c r="AE2700" s="482"/>
      <c r="AF2700" s="493">
        <f t="shared" si="467"/>
        <v>119808</v>
      </c>
      <c r="AG2700" s="474" t="s">
        <v>47</v>
      </c>
      <c r="AH2700" s="447"/>
      <c r="AI2700" s="474">
        <v>75</v>
      </c>
      <c r="AJ2700" s="474" t="s">
        <v>1580</v>
      </c>
      <c r="AK2700" s="474" t="s">
        <v>1073</v>
      </c>
      <c r="AL2700" s="494">
        <v>21075</v>
      </c>
      <c r="AM2700" s="474" t="s">
        <v>52</v>
      </c>
      <c r="AN2700" s="474" t="s">
        <v>50</v>
      </c>
      <c r="AO2700" s="474"/>
      <c r="AP2700" s="474" t="s">
        <v>92</v>
      </c>
      <c r="AQ2700" s="474" t="s">
        <v>37</v>
      </c>
      <c r="AR2700" s="474"/>
      <c r="AS2700" s="387"/>
      <c r="AT2700" s="387"/>
      <c r="AU2700" s="471"/>
    </row>
    <row r="2701" spans="1:55">
      <c r="A2701" s="410"/>
      <c r="B2701" s="407"/>
      <c r="C2701" s="407"/>
      <c r="D2701" s="474" t="s">
        <v>1066</v>
      </c>
      <c r="E2701" s="388"/>
      <c r="F2701" s="474" t="s">
        <v>1147</v>
      </c>
      <c r="G2701" s="474">
        <v>2022</v>
      </c>
      <c r="H2701" s="474">
        <v>4</v>
      </c>
      <c r="I2701" s="485">
        <v>128198</v>
      </c>
      <c r="J2701" s="475">
        <v>44672</v>
      </c>
      <c r="K2701" s="474" t="s">
        <v>1629</v>
      </c>
      <c r="L2701" s="475" t="s">
        <v>1561</v>
      </c>
      <c r="M2701" s="475">
        <v>44468</v>
      </c>
      <c r="N2701" s="475" t="s">
        <v>1588</v>
      </c>
      <c r="O2701" s="475"/>
      <c r="P2701" s="475">
        <v>44658</v>
      </c>
      <c r="Q2701" s="475">
        <v>44666</v>
      </c>
      <c r="R2701" s="475">
        <v>44672</v>
      </c>
      <c r="S2701" s="474" t="s">
        <v>1563</v>
      </c>
      <c r="T2701" s="474">
        <v>60</v>
      </c>
      <c r="U2701" s="474" t="s">
        <v>1595</v>
      </c>
      <c r="V2701" s="474" t="s">
        <v>1574</v>
      </c>
      <c r="W2701" s="476">
        <v>400</v>
      </c>
      <c r="X2701" s="402">
        <v>624</v>
      </c>
      <c r="Y2701" s="491">
        <f t="shared" si="465"/>
        <v>249600</v>
      </c>
      <c r="Z2701" s="478">
        <v>0.48</v>
      </c>
      <c r="AA2701" s="492">
        <f t="shared" si="466"/>
        <v>119808</v>
      </c>
      <c r="AB2701" s="386"/>
      <c r="AC2701" s="481">
        <v>0</v>
      </c>
      <c r="AD2701" s="474"/>
      <c r="AE2701" s="482"/>
      <c r="AF2701" s="493">
        <f t="shared" si="467"/>
        <v>119808</v>
      </c>
      <c r="AG2701" s="474" t="s">
        <v>47</v>
      </c>
      <c r="AH2701" s="447"/>
      <c r="AI2701" s="474">
        <v>75</v>
      </c>
      <c r="AJ2701" s="474" t="s">
        <v>1580</v>
      </c>
      <c r="AK2701" s="474" t="s">
        <v>1073</v>
      </c>
      <c r="AL2701" s="494">
        <v>21075</v>
      </c>
      <c r="AM2701" s="474" t="s">
        <v>52</v>
      </c>
      <c r="AN2701" s="474" t="s">
        <v>50</v>
      </c>
      <c r="AO2701" s="474"/>
      <c r="AP2701" s="474" t="s">
        <v>92</v>
      </c>
      <c r="AQ2701" s="474" t="s">
        <v>37</v>
      </c>
      <c r="AR2701" s="474"/>
      <c r="AS2701" s="387"/>
      <c r="AT2701" s="387"/>
      <c r="AU2701" s="471"/>
    </row>
    <row r="2702" spans="1:55">
      <c r="A2702" s="410"/>
      <c r="B2702" s="407"/>
      <c r="C2702" s="407"/>
      <c r="D2702" s="474" t="s">
        <v>1066</v>
      </c>
      <c r="E2702" s="388"/>
      <c r="F2702" s="474" t="s">
        <v>1147</v>
      </c>
      <c r="G2702" s="474">
        <v>2022</v>
      </c>
      <c r="H2702" s="474">
        <v>4</v>
      </c>
      <c r="I2702" s="485"/>
      <c r="J2702" s="475">
        <v>44677</v>
      </c>
      <c r="K2702" s="474" t="s">
        <v>1629</v>
      </c>
      <c r="L2702" s="475" t="s">
        <v>1561</v>
      </c>
      <c r="M2702" s="475">
        <v>44468</v>
      </c>
      <c r="N2702" s="475" t="s">
        <v>1588</v>
      </c>
      <c r="O2702" s="475"/>
      <c r="P2702" s="475">
        <v>44658</v>
      </c>
      <c r="Q2702" s="475">
        <v>44672</v>
      </c>
      <c r="R2702" s="475">
        <v>44677</v>
      </c>
      <c r="S2702" s="474" t="s">
        <v>1563</v>
      </c>
      <c r="T2702" s="474">
        <v>60</v>
      </c>
      <c r="U2702" s="474" t="s">
        <v>1630</v>
      </c>
      <c r="V2702" s="474" t="s">
        <v>1574</v>
      </c>
      <c r="W2702" s="476">
        <v>400</v>
      </c>
      <c r="X2702" s="402">
        <v>624</v>
      </c>
      <c r="Y2702" s="491">
        <f t="shared" si="465"/>
        <v>249600</v>
      </c>
      <c r="Z2702" s="478">
        <v>0.48</v>
      </c>
      <c r="AA2702" s="492">
        <f t="shared" si="466"/>
        <v>119808</v>
      </c>
      <c r="AB2702" s="386"/>
      <c r="AC2702" s="481">
        <v>0</v>
      </c>
      <c r="AD2702" s="474"/>
      <c r="AE2702" s="482"/>
      <c r="AF2702" s="493">
        <f t="shared" si="467"/>
        <v>119808</v>
      </c>
      <c r="AG2702" s="474" t="s">
        <v>47</v>
      </c>
      <c r="AH2702" s="447"/>
      <c r="AI2702" s="474">
        <v>75</v>
      </c>
      <c r="AJ2702" s="474" t="s">
        <v>1580</v>
      </c>
      <c r="AK2702" s="474" t="s">
        <v>1073</v>
      </c>
      <c r="AL2702" s="494">
        <v>21075</v>
      </c>
      <c r="AM2702" s="474" t="s">
        <v>52</v>
      </c>
      <c r="AN2702" s="474" t="s">
        <v>50</v>
      </c>
      <c r="AO2702" s="474"/>
      <c r="AP2702" s="474" t="s">
        <v>92</v>
      </c>
      <c r="AQ2702" s="474" t="s">
        <v>37</v>
      </c>
      <c r="AR2702" s="474"/>
      <c r="AS2702" s="387"/>
      <c r="AT2702" s="387"/>
      <c r="AU2702" s="471"/>
      <c r="AV2702" s="262" t="str">
        <f>U2702</f>
        <v>30390256F</v>
      </c>
      <c r="AW2702" s="262" cm="1">
        <f t="array" ref="AW2702">SUM(MID(0&amp;AV2702,LARGE(INDEX(ISNUMBER(--MID(AV2702,ROW($1:$8),1))*ROW($1:$8),),ROW($1:$8))+1,1)*10^ROW($1:$8)/10)</f>
        <v>30390256</v>
      </c>
      <c r="AX2702" s="262" t="str">
        <f>VLOOKUP($AW2702,'Item Master Data'!$A:$F,3,FALSE)</f>
        <v>T400H</v>
      </c>
      <c r="AY2702" s="262">
        <f>VLOOKUP($AW2702,'Item Master Data'!$A:$F,6,FALSE)</f>
        <v>400</v>
      </c>
      <c r="AZ2702" s="262">
        <f>X2702/BA2702</f>
        <v>24</v>
      </c>
      <c r="BA2702" s="262">
        <f>VLOOKUP(AW2702,'Item Master Data'!$A:$G,7,FALSE)</f>
        <v>26</v>
      </c>
      <c r="BC2702" s="262">
        <f>W2702-AY2702</f>
        <v>0</v>
      </c>
    </row>
    <row r="2703" spans="1:55">
      <c r="A2703" s="410"/>
      <c r="B2703" s="407"/>
      <c r="C2703" s="407"/>
      <c r="D2703" s="474" t="s">
        <v>1066</v>
      </c>
      <c r="E2703" s="388" t="s">
        <v>5188</v>
      </c>
      <c r="F2703" s="474" t="s">
        <v>87</v>
      </c>
      <c r="G2703" s="474">
        <v>2022</v>
      </c>
      <c r="H2703" s="474">
        <v>5</v>
      </c>
      <c r="I2703" s="485"/>
      <c r="J2703" s="475"/>
      <c r="K2703" s="474" t="s">
        <v>1592</v>
      </c>
      <c r="L2703" s="475" t="s">
        <v>1561</v>
      </c>
      <c r="M2703" s="475">
        <v>44592</v>
      </c>
      <c r="N2703" s="475">
        <v>44596</v>
      </c>
      <c r="O2703" s="475"/>
      <c r="P2703" s="475">
        <v>44606</v>
      </c>
      <c r="Q2703" s="475"/>
      <c r="R2703" s="475"/>
      <c r="S2703" s="474" t="s">
        <v>1563</v>
      </c>
      <c r="T2703" s="474">
        <v>72</v>
      </c>
      <c r="U2703" s="474" t="s">
        <v>1542</v>
      </c>
      <c r="V2703" s="474" t="s">
        <v>1070</v>
      </c>
      <c r="W2703" s="476">
        <v>475</v>
      </c>
      <c r="X2703" s="402">
        <f>18966-1276-11252-638</f>
        <v>5800</v>
      </c>
      <c r="Y2703" s="491">
        <f t="shared" si="465"/>
        <v>2755000</v>
      </c>
      <c r="Z2703" s="478">
        <v>0.47</v>
      </c>
      <c r="AA2703" s="479">
        <f t="shared" si="466"/>
        <v>1294850</v>
      </c>
      <c r="AB2703" s="386"/>
      <c r="AC2703" s="481">
        <v>0</v>
      </c>
      <c r="AD2703" s="474"/>
      <c r="AE2703" s="482"/>
      <c r="AF2703" s="493">
        <f t="shared" si="467"/>
        <v>1294850</v>
      </c>
      <c r="AG2703" s="474" t="s">
        <v>47</v>
      </c>
      <c r="AH2703" s="447"/>
      <c r="AI2703" s="474">
        <v>60</v>
      </c>
      <c r="AJ2703" s="474" t="s">
        <v>1593</v>
      </c>
      <c r="AK2703" s="474" t="s">
        <v>1144</v>
      </c>
      <c r="AL2703" s="494">
        <v>78725</v>
      </c>
      <c r="AM2703" s="474" t="s">
        <v>52</v>
      </c>
      <c r="AN2703" s="474" t="s">
        <v>1085</v>
      </c>
      <c r="AO2703" s="474"/>
      <c r="AP2703" s="474" t="s">
        <v>92</v>
      </c>
      <c r="AQ2703" s="474" t="s">
        <v>37</v>
      </c>
      <c r="AR2703" s="474"/>
      <c r="AS2703" s="387"/>
      <c r="AT2703" s="387"/>
      <c r="AU2703" s="471"/>
      <c r="AV2703" s="262" t="str">
        <f>U2703</f>
        <v>30397571C</v>
      </c>
      <c r="AW2703" s="262" cm="1">
        <f t="array" ref="AW2703">SUM(MID(0&amp;AV2703,LARGE(INDEX(ISNUMBER(--MID(AV2703,ROW($1:$8),1))*ROW($1:$8),),ROW($1:$8))+1,1)*10^ROW($1:$8)/10)</f>
        <v>30397571</v>
      </c>
      <c r="AX2703" s="262" t="str">
        <f>VLOOKUP($AW2703,'Item Master Data'!$A:$F,3,FALSE)</f>
        <v>Q.PEAK DUO XL G10 BFG</v>
      </c>
      <c r="AY2703" s="262">
        <f>VLOOKUP($AW2703,'Item Master Data'!$A:$F,6,FALSE)</f>
        <v>475</v>
      </c>
      <c r="AZ2703" s="262">
        <f>X2703/BA2703</f>
        <v>200</v>
      </c>
      <c r="BA2703" s="262">
        <f>VLOOKUP(AW2703,'Item Master Data'!$A:$G,7,FALSE)</f>
        <v>29</v>
      </c>
      <c r="BC2703" s="262">
        <f>W2703-AY2703</f>
        <v>0</v>
      </c>
    </row>
    <row r="2704" spans="1:55">
      <c r="A2704" s="410"/>
      <c r="B2704" s="407"/>
      <c r="C2704" s="407"/>
      <c r="D2704" s="474" t="s">
        <v>1066</v>
      </c>
      <c r="E2704" s="388"/>
      <c r="F2704" s="474" t="s">
        <v>1147</v>
      </c>
      <c r="G2704" s="474">
        <v>2022</v>
      </c>
      <c r="H2704" s="474">
        <v>4</v>
      </c>
      <c r="I2704" s="485"/>
      <c r="J2704" s="475">
        <v>44677</v>
      </c>
      <c r="K2704" s="474" t="s">
        <v>1629</v>
      </c>
      <c r="L2704" s="475" t="s">
        <v>1561</v>
      </c>
      <c r="M2704" s="475">
        <v>44468</v>
      </c>
      <c r="N2704" s="475" t="s">
        <v>1588</v>
      </c>
      <c r="O2704" s="475"/>
      <c r="P2704" s="475">
        <v>44658</v>
      </c>
      <c r="Q2704" s="475">
        <v>44672</v>
      </c>
      <c r="R2704" s="475">
        <v>44677</v>
      </c>
      <c r="S2704" s="474" t="s">
        <v>1563</v>
      </c>
      <c r="T2704" s="474">
        <v>60</v>
      </c>
      <c r="U2704" s="474" t="s">
        <v>1630</v>
      </c>
      <c r="V2704" s="474" t="s">
        <v>1574</v>
      </c>
      <c r="W2704" s="476">
        <v>400</v>
      </c>
      <c r="X2704" s="402">
        <v>624</v>
      </c>
      <c r="Y2704" s="491">
        <f t="shared" si="465"/>
        <v>249600</v>
      </c>
      <c r="Z2704" s="478">
        <v>0.48</v>
      </c>
      <c r="AA2704" s="492">
        <f t="shared" si="466"/>
        <v>119808</v>
      </c>
      <c r="AB2704" s="386"/>
      <c r="AC2704" s="481">
        <v>0</v>
      </c>
      <c r="AD2704" s="474"/>
      <c r="AE2704" s="482"/>
      <c r="AF2704" s="493">
        <f t="shared" si="467"/>
        <v>119808</v>
      </c>
      <c r="AG2704" s="474" t="s">
        <v>47</v>
      </c>
      <c r="AH2704" s="447"/>
      <c r="AI2704" s="474">
        <v>75</v>
      </c>
      <c r="AJ2704" s="474" t="s">
        <v>1580</v>
      </c>
      <c r="AK2704" s="474" t="s">
        <v>1073</v>
      </c>
      <c r="AL2704" s="494">
        <v>21075</v>
      </c>
      <c r="AM2704" s="474" t="s">
        <v>52</v>
      </c>
      <c r="AN2704" s="474" t="s">
        <v>50</v>
      </c>
      <c r="AO2704" s="474"/>
      <c r="AP2704" s="474" t="s">
        <v>92</v>
      </c>
      <c r="AQ2704" s="474" t="s">
        <v>37</v>
      </c>
      <c r="AR2704" s="474"/>
      <c r="AS2704" s="387"/>
      <c r="AT2704" s="387"/>
      <c r="AU2704" s="471"/>
    </row>
    <row r="2705" spans="1:55">
      <c r="A2705" s="410"/>
      <c r="B2705" s="407"/>
      <c r="C2705" s="407"/>
      <c r="D2705" s="474" t="s">
        <v>1066</v>
      </c>
      <c r="E2705" s="388"/>
      <c r="F2705" s="474" t="s">
        <v>1147</v>
      </c>
      <c r="G2705" s="474">
        <v>2022</v>
      </c>
      <c r="H2705" s="474">
        <v>4</v>
      </c>
      <c r="I2705" s="485"/>
      <c r="J2705" s="475">
        <v>44677</v>
      </c>
      <c r="K2705" s="474" t="s">
        <v>1629</v>
      </c>
      <c r="L2705" s="475" t="s">
        <v>1561</v>
      </c>
      <c r="M2705" s="475">
        <v>44468</v>
      </c>
      <c r="N2705" s="475" t="s">
        <v>1588</v>
      </c>
      <c r="O2705" s="475"/>
      <c r="P2705" s="475">
        <v>44658</v>
      </c>
      <c r="Q2705" s="475">
        <v>44672</v>
      </c>
      <c r="R2705" s="475">
        <v>44677</v>
      </c>
      <c r="S2705" s="474" t="s">
        <v>1563</v>
      </c>
      <c r="T2705" s="474">
        <v>60</v>
      </c>
      <c r="U2705" s="474" t="s">
        <v>1630</v>
      </c>
      <c r="V2705" s="474" t="s">
        <v>1574</v>
      </c>
      <c r="W2705" s="476">
        <v>400</v>
      </c>
      <c r="X2705" s="402">
        <v>624</v>
      </c>
      <c r="Y2705" s="491">
        <f t="shared" si="465"/>
        <v>249600</v>
      </c>
      <c r="Z2705" s="478">
        <v>0.48</v>
      </c>
      <c r="AA2705" s="492">
        <f t="shared" si="466"/>
        <v>119808</v>
      </c>
      <c r="AB2705" s="386"/>
      <c r="AC2705" s="481">
        <v>0</v>
      </c>
      <c r="AD2705" s="474"/>
      <c r="AE2705" s="482"/>
      <c r="AF2705" s="493">
        <f t="shared" si="467"/>
        <v>119808</v>
      </c>
      <c r="AG2705" s="474" t="s">
        <v>47</v>
      </c>
      <c r="AH2705" s="447"/>
      <c r="AI2705" s="474">
        <v>75</v>
      </c>
      <c r="AJ2705" s="474" t="s">
        <v>1580</v>
      </c>
      <c r="AK2705" s="474" t="s">
        <v>1073</v>
      </c>
      <c r="AL2705" s="494">
        <v>21075</v>
      </c>
      <c r="AM2705" s="474" t="s">
        <v>52</v>
      </c>
      <c r="AN2705" s="474" t="s">
        <v>50</v>
      </c>
      <c r="AO2705" s="474"/>
      <c r="AP2705" s="474" t="s">
        <v>92</v>
      </c>
      <c r="AQ2705" s="474" t="s">
        <v>37</v>
      </c>
      <c r="AR2705" s="474"/>
      <c r="AS2705" s="387"/>
      <c r="AT2705" s="387"/>
      <c r="AU2705" s="471"/>
    </row>
    <row r="2706" spans="1:55">
      <c r="A2706" s="410"/>
      <c r="B2706" s="407"/>
      <c r="C2706" s="407"/>
      <c r="D2706" s="474" t="s">
        <v>1066</v>
      </c>
      <c r="E2706" s="388"/>
      <c r="F2706" s="474" t="s">
        <v>1147</v>
      </c>
      <c r="G2706" s="474">
        <v>2022</v>
      </c>
      <c r="H2706" s="474">
        <v>4</v>
      </c>
      <c r="I2706" s="485"/>
      <c r="J2706" s="475">
        <v>44677</v>
      </c>
      <c r="K2706" s="474" t="s">
        <v>1629</v>
      </c>
      <c r="L2706" s="475" t="s">
        <v>1561</v>
      </c>
      <c r="M2706" s="475">
        <v>44468</v>
      </c>
      <c r="N2706" s="475" t="s">
        <v>1588</v>
      </c>
      <c r="O2706" s="475"/>
      <c r="P2706" s="475">
        <v>44658</v>
      </c>
      <c r="Q2706" s="475">
        <v>44672</v>
      </c>
      <c r="R2706" s="475">
        <v>44677</v>
      </c>
      <c r="S2706" s="474" t="s">
        <v>1563</v>
      </c>
      <c r="T2706" s="474">
        <v>60</v>
      </c>
      <c r="U2706" s="474" t="s">
        <v>1630</v>
      </c>
      <c r="V2706" s="474" t="s">
        <v>1574</v>
      </c>
      <c r="W2706" s="476">
        <v>400</v>
      </c>
      <c r="X2706" s="402">
        <v>624</v>
      </c>
      <c r="Y2706" s="491">
        <f t="shared" si="465"/>
        <v>249600</v>
      </c>
      <c r="Z2706" s="478">
        <v>0.48</v>
      </c>
      <c r="AA2706" s="492">
        <f t="shared" si="466"/>
        <v>119808</v>
      </c>
      <c r="AB2706" s="386"/>
      <c r="AC2706" s="481">
        <v>0</v>
      </c>
      <c r="AD2706" s="474"/>
      <c r="AE2706" s="482"/>
      <c r="AF2706" s="493">
        <f t="shared" si="467"/>
        <v>119808</v>
      </c>
      <c r="AG2706" s="474" t="s">
        <v>47</v>
      </c>
      <c r="AH2706" s="447"/>
      <c r="AI2706" s="474">
        <v>75</v>
      </c>
      <c r="AJ2706" s="474" t="s">
        <v>1580</v>
      </c>
      <c r="AK2706" s="474" t="s">
        <v>1073</v>
      </c>
      <c r="AL2706" s="494">
        <v>21075</v>
      </c>
      <c r="AM2706" s="474" t="s">
        <v>52</v>
      </c>
      <c r="AN2706" s="474" t="s">
        <v>50</v>
      </c>
      <c r="AO2706" s="474"/>
      <c r="AP2706" s="474" t="s">
        <v>92</v>
      </c>
      <c r="AQ2706" s="474" t="s">
        <v>37</v>
      </c>
      <c r="AR2706" s="474"/>
      <c r="AS2706" s="387"/>
      <c r="AT2706" s="387"/>
      <c r="AU2706" s="471"/>
      <c r="AV2706" s="262" t="str">
        <f>U2706</f>
        <v>30390256F</v>
      </c>
      <c r="AW2706" s="262" cm="1">
        <f t="array" ref="AW2706">SUM(MID(0&amp;AV2706,LARGE(INDEX(ISNUMBER(--MID(AV2706,ROW($1:$8),1))*ROW($1:$8),),ROW($1:$8))+1,1)*10^ROW($1:$8)/10)</f>
        <v>30390256</v>
      </c>
      <c r="AX2706" s="262" t="str">
        <f>VLOOKUP($AW2706,'Item Master Data'!$A:$F,3,FALSE)</f>
        <v>T400H</v>
      </c>
      <c r="AY2706" s="262">
        <f>VLOOKUP($AW2706,'Item Master Data'!$A:$F,6,FALSE)</f>
        <v>400</v>
      </c>
      <c r="AZ2706" s="262">
        <f>X2706/BA2706</f>
        <v>24</v>
      </c>
      <c r="BA2706" s="262">
        <f>VLOOKUP(AW2706,'Item Master Data'!$A:$G,7,FALSE)</f>
        <v>26</v>
      </c>
      <c r="BC2706" s="262">
        <f>W2706-AY2706</f>
        <v>0</v>
      </c>
    </row>
    <row r="2707" spans="1:55">
      <c r="A2707" s="410"/>
      <c r="B2707" s="407"/>
      <c r="C2707" s="407"/>
      <c r="D2707" s="474" t="s">
        <v>1066</v>
      </c>
      <c r="E2707" s="388"/>
      <c r="F2707" s="474" t="s">
        <v>1147</v>
      </c>
      <c r="G2707" s="474">
        <v>2022</v>
      </c>
      <c r="H2707" s="474">
        <v>4</v>
      </c>
      <c r="I2707" s="485"/>
      <c r="J2707" s="475" t="s">
        <v>1122</v>
      </c>
      <c r="K2707" s="474" t="s">
        <v>1629</v>
      </c>
      <c r="L2707" s="475" t="s">
        <v>1561</v>
      </c>
      <c r="M2707" s="475">
        <v>44468</v>
      </c>
      <c r="N2707" s="475" t="s">
        <v>1588</v>
      </c>
      <c r="O2707" s="475"/>
      <c r="P2707" s="475">
        <v>44658</v>
      </c>
      <c r="Q2707" s="475">
        <v>44676</v>
      </c>
      <c r="R2707" s="475">
        <v>44680</v>
      </c>
      <c r="S2707" s="474" t="s">
        <v>1563</v>
      </c>
      <c r="T2707" s="474">
        <v>60</v>
      </c>
      <c r="U2707" s="474" t="s">
        <v>1630</v>
      </c>
      <c r="V2707" s="474" t="s">
        <v>1574</v>
      </c>
      <c r="W2707" s="476">
        <v>400</v>
      </c>
      <c r="X2707" s="402">
        <v>624</v>
      </c>
      <c r="Y2707" s="491">
        <f t="shared" si="465"/>
        <v>249600</v>
      </c>
      <c r="Z2707" s="478">
        <v>0.48</v>
      </c>
      <c r="AA2707" s="492">
        <f t="shared" si="466"/>
        <v>119808</v>
      </c>
      <c r="AB2707" s="386"/>
      <c r="AC2707" s="481">
        <v>0</v>
      </c>
      <c r="AD2707" s="474"/>
      <c r="AE2707" s="482"/>
      <c r="AF2707" s="493">
        <f t="shared" si="467"/>
        <v>119808</v>
      </c>
      <c r="AG2707" s="474" t="s">
        <v>47</v>
      </c>
      <c r="AH2707" s="447"/>
      <c r="AI2707" s="474">
        <v>75</v>
      </c>
      <c r="AJ2707" s="474" t="s">
        <v>1580</v>
      </c>
      <c r="AK2707" s="474" t="s">
        <v>1073</v>
      </c>
      <c r="AL2707" s="494">
        <v>21075</v>
      </c>
      <c r="AM2707" s="474" t="s">
        <v>52</v>
      </c>
      <c r="AN2707" s="474" t="s">
        <v>1568</v>
      </c>
      <c r="AO2707" s="474"/>
      <c r="AP2707" s="474" t="s">
        <v>92</v>
      </c>
      <c r="AQ2707" s="474" t="s">
        <v>37</v>
      </c>
      <c r="AR2707" s="474"/>
      <c r="AS2707" s="387"/>
      <c r="AT2707" s="387"/>
      <c r="AU2707" s="471"/>
      <c r="AV2707" s="262" t="str">
        <f>U2707</f>
        <v>30390256F</v>
      </c>
      <c r="AW2707" s="262" cm="1">
        <f t="array" ref="AW2707">SUM(MID(0&amp;AV2707,LARGE(INDEX(ISNUMBER(--MID(AV2707,ROW($1:$8),1))*ROW($1:$8),),ROW($1:$8))+1,1)*10^ROW($1:$8)/10)</f>
        <v>30390256</v>
      </c>
      <c r="AX2707" s="262" t="str">
        <f>VLOOKUP($AW2707,'Item Master Data'!$A:$F,3,FALSE)</f>
        <v>T400H</v>
      </c>
      <c r="AY2707" s="262">
        <f>VLOOKUP($AW2707,'Item Master Data'!$A:$F,6,FALSE)</f>
        <v>400</v>
      </c>
      <c r="AZ2707" s="262">
        <f>X2707/BA2707</f>
        <v>24</v>
      </c>
      <c r="BA2707" s="262">
        <f>VLOOKUP(AW2707,'Item Master Data'!$A:$G,7,FALSE)</f>
        <v>26</v>
      </c>
      <c r="BC2707" s="262">
        <f>W2707-AY2707</f>
        <v>0</v>
      </c>
    </row>
    <row r="2708" spans="1:55">
      <c r="A2708" s="410"/>
      <c r="B2708" s="407"/>
      <c r="C2708" s="407"/>
      <c r="D2708" s="474" t="s">
        <v>1066</v>
      </c>
      <c r="E2708" s="388"/>
      <c r="F2708" s="474" t="s">
        <v>1147</v>
      </c>
      <c r="G2708" s="474">
        <v>2022</v>
      </c>
      <c r="H2708" s="474">
        <v>4</v>
      </c>
      <c r="I2708" s="485"/>
      <c r="J2708" s="475" t="s">
        <v>1122</v>
      </c>
      <c r="K2708" s="474" t="s">
        <v>1629</v>
      </c>
      <c r="L2708" s="475" t="s">
        <v>1561</v>
      </c>
      <c r="M2708" s="475">
        <v>44468</v>
      </c>
      <c r="N2708" s="475" t="s">
        <v>1588</v>
      </c>
      <c r="O2708" s="475"/>
      <c r="P2708" s="475">
        <v>44658</v>
      </c>
      <c r="Q2708" s="475">
        <v>44676</v>
      </c>
      <c r="R2708" s="475">
        <v>44680</v>
      </c>
      <c r="S2708" s="474" t="s">
        <v>1563</v>
      </c>
      <c r="T2708" s="474">
        <v>60</v>
      </c>
      <c r="U2708" s="474" t="s">
        <v>1630</v>
      </c>
      <c r="V2708" s="474" t="s">
        <v>1574</v>
      </c>
      <c r="W2708" s="476">
        <v>400</v>
      </c>
      <c r="X2708" s="402">
        <v>624</v>
      </c>
      <c r="Y2708" s="491">
        <f t="shared" si="465"/>
        <v>249600</v>
      </c>
      <c r="Z2708" s="478">
        <v>0.48</v>
      </c>
      <c r="AA2708" s="492">
        <f t="shared" si="466"/>
        <v>119808</v>
      </c>
      <c r="AB2708" s="386"/>
      <c r="AC2708" s="481">
        <v>0</v>
      </c>
      <c r="AD2708" s="474"/>
      <c r="AE2708" s="482"/>
      <c r="AF2708" s="493">
        <f t="shared" si="467"/>
        <v>119808</v>
      </c>
      <c r="AG2708" s="474" t="s">
        <v>47</v>
      </c>
      <c r="AH2708" s="447"/>
      <c r="AI2708" s="474">
        <v>75</v>
      </c>
      <c r="AJ2708" s="474" t="s">
        <v>1580</v>
      </c>
      <c r="AK2708" s="474" t="s">
        <v>1073</v>
      </c>
      <c r="AL2708" s="494">
        <v>21075</v>
      </c>
      <c r="AM2708" s="474" t="s">
        <v>52</v>
      </c>
      <c r="AN2708" s="474" t="s">
        <v>1568</v>
      </c>
      <c r="AO2708" s="474"/>
      <c r="AP2708" s="474" t="s">
        <v>92</v>
      </c>
      <c r="AQ2708" s="474" t="s">
        <v>37</v>
      </c>
      <c r="AR2708" s="474"/>
      <c r="AS2708" s="387"/>
      <c r="AT2708" s="387"/>
      <c r="AU2708" s="471"/>
      <c r="AV2708" s="262" t="str">
        <f>U2708</f>
        <v>30390256F</v>
      </c>
      <c r="AW2708" s="262" cm="1">
        <f t="array" ref="AW2708">SUM(MID(0&amp;AV2708,LARGE(INDEX(ISNUMBER(--MID(AV2708,ROW($1:$8),1))*ROW($1:$8),),ROW($1:$8))+1,1)*10^ROW($1:$8)/10)</f>
        <v>30390256</v>
      </c>
      <c r="AX2708" s="262" t="str">
        <f>VLOOKUP($AW2708,'Item Master Data'!$A:$F,3,FALSE)</f>
        <v>T400H</v>
      </c>
      <c r="AY2708" s="262">
        <f>VLOOKUP($AW2708,'Item Master Data'!$A:$F,6,FALSE)</f>
        <v>400</v>
      </c>
      <c r="AZ2708" s="262">
        <f>X2708/BA2708</f>
        <v>24</v>
      </c>
      <c r="BA2708" s="262">
        <f>VLOOKUP(AW2708,'Item Master Data'!$A:$G,7,FALSE)</f>
        <v>26</v>
      </c>
      <c r="BC2708" s="262">
        <f>W2708-AY2708</f>
        <v>0</v>
      </c>
    </row>
    <row r="2709" spans="1:55">
      <c r="A2709" s="410"/>
      <c r="B2709" s="407"/>
      <c r="C2709" s="407"/>
      <c r="D2709" s="474" t="s">
        <v>1066</v>
      </c>
      <c r="E2709" s="388"/>
      <c r="F2709" s="474" t="s">
        <v>1147</v>
      </c>
      <c r="G2709" s="474">
        <v>2022</v>
      </c>
      <c r="H2709" s="474">
        <v>4</v>
      </c>
      <c r="I2709" s="485"/>
      <c r="J2709" s="475" t="s">
        <v>1122</v>
      </c>
      <c r="K2709" s="474" t="s">
        <v>1629</v>
      </c>
      <c r="L2709" s="475" t="s">
        <v>1561</v>
      </c>
      <c r="M2709" s="475">
        <v>44468</v>
      </c>
      <c r="N2709" s="475" t="s">
        <v>1588</v>
      </c>
      <c r="O2709" s="475"/>
      <c r="P2709" s="475">
        <v>44658</v>
      </c>
      <c r="Q2709" s="475">
        <v>44676</v>
      </c>
      <c r="R2709" s="475">
        <v>44680</v>
      </c>
      <c r="S2709" s="474" t="s">
        <v>1563</v>
      </c>
      <c r="T2709" s="474">
        <v>60</v>
      </c>
      <c r="U2709" s="474" t="s">
        <v>1630</v>
      </c>
      <c r="V2709" s="474" t="s">
        <v>1574</v>
      </c>
      <c r="W2709" s="476">
        <v>400</v>
      </c>
      <c r="X2709" s="402">
        <v>624</v>
      </c>
      <c r="Y2709" s="491">
        <f t="shared" si="465"/>
        <v>249600</v>
      </c>
      <c r="Z2709" s="478">
        <v>0.48</v>
      </c>
      <c r="AA2709" s="492">
        <f t="shared" si="466"/>
        <v>119808</v>
      </c>
      <c r="AB2709" s="386"/>
      <c r="AC2709" s="481">
        <v>0</v>
      </c>
      <c r="AD2709" s="474"/>
      <c r="AE2709" s="482"/>
      <c r="AF2709" s="493">
        <f t="shared" si="467"/>
        <v>119808</v>
      </c>
      <c r="AG2709" s="474" t="s">
        <v>47</v>
      </c>
      <c r="AH2709" s="447"/>
      <c r="AI2709" s="474">
        <v>75</v>
      </c>
      <c r="AJ2709" s="474" t="s">
        <v>1580</v>
      </c>
      <c r="AK2709" s="474" t="s">
        <v>1073</v>
      </c>
      <c r="AL2709" s="494">
        <v>21075</v>
      </c>
      <c r="AM2709" s="474" t="s">
        <v>52</v>
      </c>
      <c r="AN2709" s="474" t="s">
        <v>1568</v>
      </c>
      <c r="AO2709" s="474"/>
      <c r="AP2709" s="474" t="s">
        <v>92</v>
      </c>
      <c r="AQ2709" s="474" t="s">
        <v>37</v>
      </c>
      <c r="AR2709" s="474"/>
      <c r="AS2709" s="387"/>
      <c r="AT2709" s="387"/>
      <c r="AU2709" s="471"/>
      <c r="AX2709" s="471"/>
      <c r="AY2709" s="471"/>
      <c r="AZ2709" s="471"/>
      <c r="BA2709" s="471"/>
    </row>
    <row r="2710" spans="1:55">
      <c r="A2710" s="410"/>
      <c r="B2710" s="407"/>
      <c r="C2710" s="407"/>
      <c r="D2710" s="474" t="s">
        <v>1066</v>
      </c>
      <c r="E2710" s="388"/>
      <c r="F2710" s="474" t="s">
        <v>1147</v>
      </c>
      <c r="G2710" s="474">
        <v>2022</v>
      </c>
      <c r="H2710" s="474">
        <v>4</v>
      </c>
      <c r="I2710" s="485"/>
      <c r="J2710" s="475">
        <v>44678</v>
      </c>
      <c r="K2710" s="474" t="s">
        <v>1629</v>
      </c>
      <c r="L2710" s="475" t="s">
        <v>1561</v>
      </c>
      <c r="M2710" s="475">
        <v>44468</v>
      </c>
      <c r="N2710" s="475" t="s">
        <v>1588</v>
      </c>
      <c r="O2710" s="475"/>
      <c r="P2710" s="475">
        <v>44658</v>
      </c>
      <c r="Q2710" s="475">
        <v>44673</v>
      </c>
      <c r="R2710" s="475">
        <v>44678</v>
      </c>
      <c r="S2710" s="474" t="s">
        <v>1563</v>
      </c>
      <c r="T2710" s="474">
        <v>60</v>
      </c>
      <c r="U2710" s="474" t="s">
        <v>1630</v>
      </c>
      <c r="V2710" s="474" t="s">
        <v>1574</v>
      </c>
      <c r="W2710" s="476">
        <v>400</v>
      </c>
      <c r="X2710" s="402">
        <v>624</v>
      </c>
      <c r="Y2710" s="491">
        <f t="shared" si="465"/>
        <v>249600</v>
      </c>
      <c r="Z2710" s="478">
        <v>0.48</v>
      </c>
      <c r="AA2710" s="492">
        <f t="shared" si="466"/>
        <v>119808</v>
      </c>
      <c r="AB2710" s="386"/>
      <c r="AC2710" s="481">
        <v>0</v>
      </c>
      <c r="AD2710" s="474"/>
      <c r="AE2710" s="482"/>
      <c r="AF2710" s="493">
        <f t="shared" si="467"/>
        <v>119808</v>
      </c>
      <c r="AG2710" s="474" t="s">
        <v>47</v>
      </c>
      <c r="AH2710" s="447"/>
      <c r="AI2710" s="474">
        <v>75</v>
      </c>
      <c r="AJ2710" s="474" t="s">
        <v>1580</v>
      </c>
      <c r="AK2710" s="474" t="s">
        <v>1073</v>
      </c>
      <c r="AL2710" s="494">
        <v>21075</v>
      </c>
      <c r="AM2710" s="474" t="s">
        <v>52</v>
      </c>
      <c r="AN2710" s="474" t="s">
        <v>50</v>
      </c>
      <c r="AO2710" s="474"/>
      <c r="AP2710" s="474" t="s">
        <v>92</v>
      </c>
      <c r="AQ2710" s="474" t="s">
        <v>37</v>
      </c>
      <c r="AR2710" s="474"/>
      <c r="AS2710" s="387"/>
      <c r="AT2710" s="387"/>
      <c r="AU2710" s="471"/>
    </row>
    <row r="2711" spans="1:55">
      <c r="A2711" s="410"/>
      <c r="B2711" s="407"/>
      <c r="C2711" s="407"/>
      <c r="D2711" s="474" t="s">
        <v>1066</v>
      </c>
      <c r="E2711" s="388"/>
      <c r="F2711" s="474" t="s">
        <v>1147</v>
      </c>
      <c r="G2711" s="474">
        <v>2022</v>
      </c>
      <c r="H2711" s="474">
        <v>4</v>
      </c>
      <c r="I2711" s="485"/>
      <c r="J2711" s="475">
        <v>44678</v>
      </c>
      <c r="K2711" s="474" t="s">
        <v>1629</v>
      </c>
      <c r="L2711" s="475" t="s">
        <v>1561</v>
      </c>
      <c r="M2711" s="475">
        <v>44468</v>
      </c>
      <c r="N2711" s="475" t="s">
        <v>1588</v>
      </c>
      <c r="O2711" s="475"/>
      <c r="P2711" s="475">
        <v>44658</v>
      </c>
      <c r="Q2711" s="475">
        <v>44673</v>
      </c>
      <c r="R2711" s="475">
        <v>44678</v>
      </c>
      <c r="S2711" s="474" t="s">
        <v>1563</v>
      </c>
      <c r="T2711" s="474">
        <v>60</v>
      </c>
      <c r="U2711" s="474" t="s">
        <v>1630</v>
      </c>
      <c r="V2711" s="474" t="s">
        <v>1574</v>
      </c>
      <c r="W2711" s="476">
        <v>400</v>
      </c>
      <c r="X2711" s="402">
        <v>624</v>
      </c>
      <c r="Y2711" s="491">
        <f t="shared" si="465"/>
        <v>249600</v>
      </c>
      <c r="Z2711" s="478">
        <v>0.48</v>
      </c>
      <c r="AA2711" s="492">
        <f t="shared" si="466"/>
        <v>119808</v>
      </c>
      <c r="AB2711" s="386"/>
      <c r="AC2711" s="481">
        <v>0</v>
      </c>
      <c r="AD2711" s="474"/>
      <c r="AE2711" s="482"/>
      <c r="AF2711" s="493">
        <f t="shared" si="467"/>
        <v>119808</v>
      </c>
      <c r="AG2711" s="474" t="s">
        <v>47</v>
      </c>
      <c r="AH2711" s="447"/>
      <c r="AI2711" s="474">
        <v>75</v>
      </c>
      <c r="AJ2711" s="474" t="s">
        <v>1580</v>
      </c>
      <c r="AK2711" s="474" t="s">
        <v>1073</v>
      </c>
      <c r="AL2711" s="494">
        <v>21075</v>
      </c>
      <c r="AM2711" s="474" t="s">
        <v>52</v>
      </c>
      <c r="AN2711" s="474" t="s">
        <v>50</v>
      </c>
      <c r="AO2711" s="474"/>
      <c r="AP2711" s="474" t="s">
        <v>92</v>
      </c>
      <c r="AQ2711" s="474" t="s">
        <v>37</v>
      </c>
      <c r="AR2711" s="474"/>
      <c r="AS2711" s="387"/>
      <c r="AT2711" s="387"/>
      <c r="AU2711" s="471"/>
    </row>
    <row r="2712" spans="1:55">
      <c r="A2712" s="410"/>
      <c r="B2712" s="407"/>
      <c r="C2712" s="407"/>
      <c r="D2712" s="474" t="s">
        <v>1066</v>
      </c>
      <c r="E2712" s="388"/>
      <c r="F2712" s="474" t="s">
        <v>1147</v>
      </c>
      <c r="G2712" s="474">
        <v>2022</v>
      </c>
      <c r="H2712" s="474">
        <v>4</v>
      </c>
      <c r="I2712" s="485"/>
      <c r="J2712" s="475">
        <v>44678</v>
      </c>
      <c r="K2712" s="474" t="s">
        <v>1629</v>
      </c>
      <c r="L2712" s="475" t="s">
        <v>1561</v>
      </c>
      <c r="M2712" s="475">
        <v>44468</v>
      </c>
      <c r="N2712" s="475" t="s">
        <v>1588</v>
      </c>
      <c r="O2712" s="475"/>
      <c r="P2712" s="475">
        <v>44658</v>
      </c>
      <c r="Q2712" s="475">
        <v>44673</v>
      </c>
      <c r="R2712" s="475">
        <v>44678</v>
      </c>
      <c r="S2712" s="474" t="s">
        <v>1563</v>
      </c>
      <c r="T2712" s="474">
        <v>60</v>
      </c>
      <c r="U2712" s="474" t="s">
        <v>1630</v>
      </c>
      <c r="V2712" s="474" t="s">
        <v>1574</v>
      </c>
      <c r="W2712" s="476">
        <v>400</v>
      </c>
      <c r="X2712" s="402">
        <v>624</v>
      </c>
      <c r="Y2712" s="491">
        <f t="shared" si="465"/>
        <v>249600</v>
      </c>
      <c r="Z2712" s="478">
        <v>0.48</v>
      </c>
      <c r="AA2712" s="492">
        <f t="shared" si="466"/>
        <v>119808</v>
      </c>
      <c r="AB2712" s="386"/>
      <c r="AC2712" s="481">
        <v>0</v>
      </c>
      <c r="AD2712" s="474"/>
      <c r="AE2712" s="482"/>
      <c r="AF2712" s="493">
        <f t="shared" si="467"/>
        <v>119808</v>
      </c>
      <c r="AG2712" s="474" t="s">
        <v>47</v>
      </c>
      <c r="AH2712" s="447"/>
      <c r="AI2712" s="474">
        <v>75</v>
      </c>
      <c r="AJ2712" s="474" t="s">
        <v>1580</v>
      </c>
      <c r="AK2712" s="474" t="s">
        <v>1073</v>
      </c>
      <c r="AL2712" s="494">
        <v>21075</v>
      </c>
      <c r="AM2712" s="474" t="s">
        <v>52</v>
      </c>
      <c r="AN2712" s="474" t="s">
        <v>50</v>
      </c>
      <c r="AO2712" s="474"/>
      <c r="AP2712" s="474" t="s">
        <v>92</v>
      </c>
      <c r="AQ2712" s="474" t="s">
        <v>37</v>
      </c>
      <c r="AR2712" s="474"/>
      <c r="AS2712" s="387"/>
      <c r="AT2712" s="387"/>
      <c r="AU2712" s="471"/>
    </row>
    <row r="2713" spans="1:55">
      <c r="A2713" s="410"/>
      <c r="B2713" s="407"/>
      <c r="C2713" s="407"/>
      <c r="D2713" s="474" t="s">
        <v>1066</v>
      </c>
      <c r="E2713" s="388" t="s">
        <v>5667</v>
      </c>
      <c r="F2713" s="474" t="s">
        <v>1147</v>
      </c>
      <c r="G2713" s="474">
        <v>2022</v>
      </c>
      <c r="H2713" s="474">
        <v>4</v>
      </c>
      <c r="I2713" s="485"/>
      <c r="J2713" s="475">
        <v>44677</v>
      </c>
      <c r="K2713" s="474" t="s">
        <v>1629</v>
      </c>
      <c r="L2713" s="475" t="s">
        <v>1561</v>
      </c>
      <c r="M2713" s="475">
        <v>44468</v>
      </c>
      <c r="N2713" s="475" t="s">
        <v>1588</v>
      </c>
      <c r="O2713" s="475"/>
      <c r="P2713" s="475">
        <v>44658</v>
      </c>
      <c r="Q2713" s="475">
        <v>44671</v>
      </c>
      <c r="R2713" s="475">
        <v>44677</v>
      </c>
      <c r="S2713" s="474" t="s">
        <v>1563</v>
      </c>
      <c r="T2713" s="474">
        <v>60</v>
      </c>
      <c r="U2713" s="474" t="s">
        <v>1630</v>
      </c>
      <c r="V2713" s="474" t="s">
        <v>1574</v>
      </c>
      <c r="W2713" s="476">
        <v>400</v>
      </c>
      <c r="X2713" s="402">
        <v>624</v>
      </c>
      <c r="Y2713" s="491">
        <f t="shared" si="465"/>
        <v>249600</v>
      </c>
      <c r="Z2713" s="478">
        <v>0.48</v>
      </c>
      <c r="AA2713" s="492">
        <f t="shared" si="466"/>
        <v>119808</v>
      </c>
      <c r="AB2713" s="386"/>
      <c r="AC2713" s="481">
        <v>0</v>
      </c>
      <c r="AD2713" s="474"/>
      <c r="AE2713" s="482"/>
      <c r="AF2713" s="493">
        <f t="shared" si="467"/>
        <v>119808</v>
      </c>
      <c r="AG2713" s="474" t="s">
        <v>47</v>
      </c>
      <c r="AH2713" s="447"/>
      <c r="AI2713" s="474">
        <v>75</v>
      </c>
      <c r="AJ2713" s="474" t="s">
        <v>1580</v>
      </c>
      <c r="AK2713" s="474" t="s">
        <v>1073</v>
      </c>
      <c r="AL2713" s="494">
        <v>21075</v>
      </c>
      <c r="AM2713" s="474" t="s">
        <v>52</v>
      </c>
      <c r="AN2713" s="474" t="s">
        <v>50</v>
      </c>
      <c r="AO2713" s="474"/>
      <c r="AP2713" s="474" t="s">
        <v>92</v>
      </c>
      <c r="AQ2713" s="474" t="s">
        <v>37</v>
      </c>
      <c r="AR2713" s="474"/>
      <c r="AS2713" s="387"/>
      <c r="AT2713" s="387"/>
      <c r="AU2713" s="471"/>
    </row>
    <row r="2714" spans="1:55">
      <c r="A2714" s="410"/>
      <c r="B2714" s="407"/>
      <c r="C2714" s="407"/>
      <c r="D2714" s="474" t="s">
        <v>1066</v>
      </c>
      <c r="E2714" s="388"/>
      <c r="F2714" s="474" t="s">
        <v>1147</v>
      </c>
      <c r="G2714" s="474">
        <v>2022</v>
      </c>
      <c r="H2714" s="474">
        <v>4</v>
      </c>
      <c r="I2714" s="485">
        <v>127960</v>
      </c>
      <c r="J2714" s="475">
        <v>44665</v>
      </c>
      <c r="K2714" s="474" t="s">
        <v>1619</v>
      </c>
      <c r="L2714" s="475" t="s">
        <v>1561</v>
      </c>
      <c r="M2714" s="475">
        <v>44468</v>
      </c>
      <c r="N2714" s="475" t="s">
        <v>1588</v>
      </c>
      <c r="O2714" s="475"/>
      <c r="P2714" s="475">
        <v>44658</v>
      </c>
      <c r="Q2714" s="475">
        <v>44664</v>
      </c>
      <c r="R2714" s="475">
        <v>44665</v>
      </c>
      <c r="S2714" s="474" t="s">
        <v>1563</v>
      </c>
      <c r="T2714" s="474">
        <v>60</v>
      </c>
      <c r="U2714" s="474" t="s">
        <v>1595</v>
      </c>
      <c r="V2714" s="474" t="s">
        <v>1574</v>
      </c>
      <c r="W2714" s="476">
        <v>400</v>
      </c>
      <c r="X2714" s="402">
        <v>624</v>
      </c>
      <c r="Y2714" s="491">
        <f t="shared" si="465"/>
        <v>249600</v>
      </c>
      <c r="Z2714" s="478">
        <v>0.48</v>
      </c>
      <c r="AA2714" s="492">
        <f t="shared" si="466"/>
        <v>119808</v>
      </c>
      <c r="AB2714" s="386"/>
      <c r="AC2714" s="481">
        <v>0</v>
      </c>
      <c r="AD2714" s="474"/>
      <c r="AE2714" s="482"/>
      <c r="AF2714" s="493">
        <f t="shared" si="467"/>
        <v>119808</v>
      </c>
      <c r="AG2714" s="474" t="s">
        <v>47</v>
      </c>
      <c r="AH2714" s="447"/>
      <c r="AI2714" s="474">
        <v>75</v>
      </c>
      <c r="AJ2714" s="474" t="s">
        <v>1575</v>
      </c>
      <c r="AK2714" s="474" t="s">
        <v>50</v>
      </c>
      <c r="AL2714" s="494">
        <v>94544</v>
      </c>
      <c r="AM2714" s="474" t="s">
        <v>52</v>
      </c>
      <c r="AN2714" s="474" t="s">
        <v>50</v>
      </c>
      <c r="AO2714" s="474"/>
      <c r="AP2714" s="474" t="s">
        <v>92</v>
      </c>
      <c r="AQ2714" s="474" t="s">
        <v>37</v>
      </c>
      <c r="AR2714" s="474"/>
      <c r="AS2714" s="387"/>
      <c r="AT2714" s="387"/>
      <c r="AU2714" s="471"/>
    </row>
    <row r="2715" spans="1:55">
      <c r="A2715" s="410"/>
      <c r="B2715" s="407"/>
      <c r="C2715" s="407"/>
      <c r="D2715" s="474" t="s">
        <v>1066</v>
      </c>
      <c r="E2715" s="388"/>
      <c r="F2715" s="474" t="s">
        <v>1147</v>
      </c>
      <c r="G2715" s="474">
        <v>2022</v>
      </c>
      <c r="H2715" s="474">
        <v>4</v>
      </c>
      <c r="I2715" s="485">
        <v>127961</v>
      </c>
      <c r="J2715" s="475">
        <v>44665</v>
      </c>
      <c r="K2715" s="474" t="s">
        <v>1619</v>
      </c>
      <c r="L2715" s="475" t="s">
        <v>1561</v>
      </c>
      <c r="M2715" s="475">
        <v>44468</v>
      </c>
      <c r="N2715" s="475" t="s">
        <v>1588</v>
      </c>
      <c r="O2715" s="475"/>
      <c r="P2715" s="475">
        <v>44658</v>
      </c>
      <c r="Q2715" s="475">
        <v>44664</v>
      </c>
      <c r="R2715" s="475">
        <v>44665</v>
      </c>
      <c r="S2715" s="474" t="s">
        <v>1563</v>
      </c>
      <c r="T2715" s="474">
        <v>60</v>
      </c>
      <c r="U2715" s="474" t="s">
        <v>1595</v>
      </c>
      <c r="V2715" s="474" t="s">
        <v>1574</v>
      </c>
      <c r="W2715" s="476">
        <v>400</v>
      </c>
      <c r="X2715" s="402">
        <v>624</v>
      </c>
      <c r="Y2715" s="491">
        <f t="shared" si="465"/>
        <v>249600</v>
      </c>
      <c r="Z2715" s="478">
        <v>0.48</v>
      </c>
      <c r="AA2715" s="492">
        <f t="shared" si="466"/>
        <v>119808</v>
      </c>
      <c r="AB2715" s="386"/>
      <c r="AC2715" s="481">
        <v>0</v>
      </c>
      <c r="AD2715" s="474"/>
      <c r="AE2715" s="482"/>
      <c r="AF2715" s="493">
        <f t="shared" si="467"/>
        <v>119808</v>
      </c>
      <c r="AG2715" s="474" t="s">
        <v>47</v>
      </c>
      <c r="AH2715" s="447"/>
      <c r="AI2715" s="474">
        <v>75</v>
      </c>
      <c r="AJ2715" s="474" t="s">
        <v>1575</v>
      </c>
      <c r="AK2715" s="474" t="s">
        <v>50</v>
      </c>
      <c r="AL2715" s="494">
        <v>94544</v>
      </c>
      <c r="AM2715" s="474" t="s">
        <v>52</v>
      </c>
      <c r="AN2715" s="474" t="s">
        <v>50</v>
      </c>
      <c r="AO2715" s="474"/>
      <c r="AP2715" s="474" t="s">
        <v>92</v>
      </c>
      <c r="AQ2715" s="474" t="s">
        <v>37</v>
      </c>
      <c r="AR2715" s="474"/>
      <c r="AS2715" s="387"/>
      <c r="AT2715" s="387"/>
      <c r="AU2715" s="471"/>
    </row>
    <row r="2716" spans="1:55">
      <c r="A2716" s="410"/>
      <c r="B2716" s="407"/>
      <c r="C2716" s="407"/>
      <c r="D2716" s="474" t="s">
        <v>1066</v>
      </c>
      <c r="E2716" s="388"/>
      <c r="F2716" s="474" t="s">
        <v>1147</v>
      </c>
      <c r="G2716" s="474">
        <v>2022</v>
      </c>
      <c r="H2716" s="474">
        <v>4</v>
      </c>
      <c r="I2716" s="485">
        <v>127962</v>
      </c>
      <c r="J2716" s="475">
        <v>44665</v>
      </c>
      <c r="K2716" s="474" t="s">
        <v>1619</v>
      </c>
      <c r="L2716" s="475" t="s">
        <v>1561</v>
      </c>
      <c r="M2716" s="475">
        <v>44468</v>
      </c>
      <c r="N2716" s="475" t="s">
        <v>1588</v>
      </c>
      <c r="O2716" s="475"/>
      <c r="P2716" s="475">
        <v>44658</v>
      </c>
      <c r="Q2716" s="475">
        <v>44664</v>
      </c>
      <c r="R2716" s="475">
        <v>44665</v>
      </c>
      <c r="S2716" s="474" t="s">
        <v>1563</v>
      </c>
      <c r="T2716" s="474">
        <v>60</v>
      </c>
      <c r="U2716" s="474" t="s">
        <v>1595</v>
      </c>
      <c r="V2716" s="474" t="s">
        <v>1574</v>
      </c>
      <c r="W2716" s="476">
        <v>400</v>
      </c>
      <c r="X2716" s="402">
        <v>624</v>
      </c>
      <c r="Y2716" s="491">
        <f t="shared" si="465"/>
        <v>249600</v>
      </c>
      <c r="Z2716" s="478">
        <v>0.48</v>
      </c>
      <c r="AA2716" s="492">
        <f t="shared" si="466"/>
        <v>119808</v>
      </c>
      <c r="AB2716" s="386"/>
      <c r="AC2716" s="481">
        <v>0</v>
      </c>
      <c r="AD2716" s="474"/>
      <c r="AE2716" s="482"/>
      <c r="AF2716" s="493">
        <f t="shared" si="467"/>
        <v>119808</v>
      </c>
      <c r="AG2716" s="474" t="s">
        <v>47</v>
      </c>
      <c r="AH2716" s="447"/>
      <c r="AI2716" s="474">
        <v>75</v>
      </c>
      <c r="AJ2716" s="474" t="s">
        <v>1575</v>
      </c>
      <c r="AK2716" s="474" t="s">
        <v>50</v>
      </c>
      <c r="AL2716" s="494">
        <v>94544</v>
      </c>
      <c r="AM2716" s="474" t="s">
        <v>52</v>
      </c>
      <c r="AN2716" s="474" t="s">
        <v>50</v>
      </c>
      <c r="AO2716" s="474"/>
      <c r="AP2716" s="474" t="s">
        <v>92</v>
      </c>
      <c r="AQ2716" s="474" t="s">
        <v>37</v>
      </c>
      <c r="AR2716" s="474"/>
      <c r="AS2716" s="387"/>
      <c r="AT2716" s="387"/>
      <c r="AU2716" s="471"/>
      <c r="AV2716" s="262" t="str">
        <f>U2716</f>
        <v>30390256H</v>
      </c>
      <c r="AW2716" s="262" cm="1">
        <f t="array" ref="AW2716">SUM(MID(0&amp;AV2716,LARGE(INDEX(ISNUMBER(--MID(AV2716,ROW($1:$8),1))*ROW($1:$8),),ROW($1:$8))+1,1)*10^ROW($1:$8)/10)</f>
        <v>30390256</v>
      </c>
      <c r="AX2716" s="262" t="str">
        <f>VLOOKUP($AW2716,'Item Master Data'!$A:$F,3,FALSE)</f>
        <v>T400H</v>
      </c>
      <c r="AY2716" s="262">
        <f>VLOOKUP($AW2716,'Item Master Data'!$A:$F,6,FALSE)</f>
        <v>400</v>
      </c>
      <c r="AZ2716" s="262">
        <f>X2716/BA2716</f>
        <v>24</v>
      </c>
      <c r="BA2716" s="262">
        <f>VLOOKUP(AW2716,'Item Master Data'!$A:$G,7,FALSE)</f>
        <v>26</v>
      </c>
      <c r="BC2716" s="262">
        <f>W2716-AY2716</f>
        <v>0</v>
      </c>
    </row>
    <row r="2717" spans="1:55">
      <c r="A2717" s="410"/>
      <c r="B2717" s="407"/>
      <c r="C2717" s="407"/>
      <c r="D2717" s="474" t="s">
        <v>1066</v>
      </c>
      <c r="E2717" s="388"/>
      <c r="F2717" s="474" t="s">
        <v>1147</v>
      </c>
      <c r="G2717" s="474">
        <v>2022</v>
      </c>
      <c r="H2717" s="474">
        <v>4</v>
      </c>
      <c r="I2717" s="485">
        <v>127963</v>
      </c>
      <c r="J2717" s="475">
        <v>44665</v>
      </c>
      <c r="K2717" s="474" t="s">
        <v>1619</v>
      </c>
      <c r="L2717" s="475" t="s">
        <v>1561</v>
      </c>
      <c r="M2717" s="475">
        <v>44468</v>
      </c>
      <c r="N2717" s="475" t="s">
        <v>1588</v>
      </c>
      <c r="O2717" s="475"/>
      <c r="P2717" s="475">
        <v>44658</v>
      </c>
      <c r="Q2717" s="475">
        <v>44664</v>
      </c>
      <c r="R2717" s="475">
        <v>44665</v>
      </c>
      <c r="S2717" s="474" t="s">
        <v>1563</v>
      </c>
      <c r="T2717" s="474">
        <v>60</v>
      </c>
      <c r="U2717" s="474" t="s">
        <v>1595</v>
      </c>
      <c r="V2717" s="474" t="s">
        <v>1574</v>
      </c>
      <c r="W2717" s="476">
        <v>400</v>
      </c>
      <c r="X2717" s="402">
        <v>624</v>
      </c>
      <c r="Y2717" s="491">
        <f t="shared" si="465"/>
        <v>249600</v>
      </c>
      <c r="Z2717" s="478">
        <v>0.48</v>
      </c>
      <c r="AA2717" s="492">
        <f t="shared" si="466"/>
        <v>119808</v>
      </c>
      <c r="AB2717" s="386"/>
      <c r="AC2717" s="481">
        <v>0</v>
      </c>
      <c r="AD2717" s="474"/>
      <c r="AE2717" s="482"/>
      <c r="AF2717" s="493">
        <f t="shared" si="467"/>
        <v>119808</v>
      </c>
      <c r="AG2717" s="474" t="s">
        <v>47</v>
      </c>
      <c r="AH2717" s="447"/>
      <c r="AI2717" s="474">
        <v>75</v>
      </c>
      <c r="AJ2717" s="474" t="s">
        <v>1575</v>
      </c>
      <c r="AK2717" s="474" t="s">
        <v>50</v>
      </c>
      <c r="AL2717" s="494">
        <v>94544</v>
      </c>
      <c r="AM2717" s="474" t="s">
        <v>52</v>
      </c>
      <c r="AN2717" s="474" t="s">
        <v>50</v>
      </c>
      <c r="AO2717" s="474"/>
      <c r="AP2717" s="474" t="s">
        <v>92</v>
      </c>
      <c r="AQ2717" s="474" t="s">
        <v>37</v>
      </c>
      <c r="AR2717" s="474"/>
      <c r="AS2717" s="387"/>
      <c r="AT2717" s="387"/>
      <c r="AU2717" s="471"/>
      <c r="AV2717" s="262" t="str">
        <f>U2717</f>
        <v>30390256H</v>
      </c>
      <c r="AW2717" s="262" cm="1">
        <f t="array" ref="AW2717">SUM(MID(0&amp;AV2717,LARGE(INDEX(ISNUMBER(--MID(AV2717,ROW($1:$8),1))*ROW($1:$8),),ROW($1:$8))+1,1)*10^ROW($1:$8)/10)</f>
        <v>30390256</v>
      </c>
      <c r="AX2717" s="262" t="str">
        <f>VLOOKUP($AW2717,'Item Master Data'!$A:$F,3,FALSE)</f>
        <v>T400H</v>
      </c>
      <c r="AY2717" s="262">
        <f>VLOOKUP($AW2717,'Item Master Data'!$A:$F,6,FALSE)</f>
        <v>400</v>
      </c>
      <c r="AZ2717" s="262">
        <f>X2717/BA2717</f>
        <v>24</v>
      </c>
      <c r="BA2717" s="262">
        <f>VLOOKUP(AW2717,'Item Master Data'!$A:$G,7,FALSE)</f>
        <v>26</v>
      </c>
      <c r="BC2717" s="262">
        <f>W2717-AY2717</f>
        <v>0</v>
      </c>
    </row>
    <row r="2718" spans="1:55">
      <c r="A2718" s="410"/>
      <c r="B2718" s="407"/>
      <c r="C2718" s="407"/>
      <c r="D2718" s="474" t="s">
        <v>1066</v>
      </c>
      <c r="E2718" s="388"/>
      <c r="F2718" s="474" t="s">
        <v>1147</v>
      </c>
      <c r="G2718" s="474">
        <v>2022</v>
      </c>
      <c r="H2718" s="474">
        <v>4</v>
      </c>
      <c r="I2718" s="485">
        <v>127993</v>
      </c>
      <c r="J2718" s="475">
        <v>44666</v>
      </c>
      <c r="K2718" s="474" t="s">
        <v>1619</v>
      </c>
      <c r="L2718" s="475" t="s">
        <v>1561</v>
      </c>
      <c r="M2718" s="475">
        <v>44468</v>
      </c>
      <c r="N2718" s="475" t="s">
        <v>1588</v>
      </c>
      <c r="O2718" s="475"/>
      <c r="P2718" s="475">
        <v>44658</v>
      </c>
      <c r="Q2718" s="475">
        <v>44665</v>
      </c>
      <c r="R2718" s="475">
        <v>44666</v>
      </c>
      <c r="S2718" s="474" t="s">
        <v>1563</v>
      </c>
      <c r="T2718" s="474">
        <v>60</v>
      </c>
      <c r="U2718" s="474" t="s">
        <v>1595</v>
      </c>
      <c r="V2718" s="474" t="s">
        <v>1574</v>
      </c>
      <c r="W2718" s="476">
        <v>400</v>
      </c>
      <c r="X2718" s="402">
        <v>624</v>
      </c>
      <c r="Y2718" s="491">
        <f t="shared" si="465"/>
        <v>249600</v>
      </c>
      <c r="Z2718" s="478">
        <v>0.48</v>
      </c>
      <c r="AA2718" s="492">
        <f t="shared" si="466"/>
        <v>119808</v>
      </c>
      <c r="AB2718" s="386"/>
      <c r="AC2718" s="481">
        <v>0</v>
      </c>
      <c r="AD2718" s="474"/>
      <c r="AE2718" s="482"/>
      <c r="AF2718" s="493">
        <f t="shared" si="467"/>
        <v>119808</v>
      </c>
      <c r="AG2718" s="474" t="s">
        <v>47</v>
      </c>
      <c r="AH2718" s="447"/>
      <c r="AI2718" s="474">
        <v>75</v>
      </c>
      <c r="AJ2718" s="474" t="s">
        <v>1575</v>
      </c>
      <c r="AK2718" s="474" t="s">
        <v>50</v>
      </c>
      <c r="AL2718" s="494">
        <v>94544</v>
      </c>
      <c r="AM2718" s="474" t="s">
        <v>52</v>
      </c>
      <c r="AN2718" s="474" t="s">
        <v>50</v>
      </c>
      <c r="AO2718" s="474"/>
      <c r="AP2718" s="474" t="s">
        <v>92</v>
      </c>
      <c r="AQ2718" s="474" t="s">
        <v>37</v>
      </c>
      <c r="AR2718" s="474"/>
      <c r="AS2718" s="387"/>
      <c r="AT2718" s="387"/>
      <c r="AU2718" s="471"/>
    </row>
    <row r="2719" spans="1:55">
      <c r="A2719" s="410"/>
      <c r="B2719" s="407"/>
      <c r="C2719" s="407"/>
      <c r="D2719" s="474" t="s">
        <v>1066</v>
      </c>
      <c r="E2719" s="388"/>
      <c r="F2719" s="474" t="s">
        <v>1147</v>
      </c>
      <c r="G2719" s="474">
        <v>2022</v>
      </c>
      <c r="H2719" s="474">
        <v>4</v>
      </c>
      <c r="I2719" s="485">
        <v>127994</v>
      </c>
      <c r="J2719" s="475">
        <v>44666</v>
      </c>
      <c r="K2719" s="474" t="s">
        <v>1619</v>
      </c>
      <c r="L2719" s="475" t="s">
        <v>1561</v>
      </c>
      <c r="M2719" s="475">
        <v>44468</v>
      </c>
      <c r="N2719" s="475" t="s">
        <v>1588</v>
      </c>
      <c r="O2719" s="475"/>
      <c r="P2719" s="475">
        <v>44658</v>
      </c>
      <c r="Q2719" s="475">
        <v>44665</v>
      </c>
      <c r="R2719" s="475">
        <v>44666</v>
      </c>
      <c r="S2719" s="474" t="s">
        <v>1563</v>
      </c>
      <c r="T2719" s="474">
        <v>60</v>
      </c>
      <c r="U2719" s="474" t="s">
        <v>1595</v>
      </c>
      <c r="V2719" s="474" t="s">
        <v>1574</v>
      </c>
      <c r="W2719" s="476">
        <v>400</v>
      </c>
      <c r="X2719" s="402">
        <v>624</v>
      </c>
      <c r="Y2719" s="491">
        <f t="shared" si="465"/>
        <v>249600</v>
      </c>
      <c r="Z2719" s="478">
        <v>0.48</v>
      </c>
      <c r="AA2719" s="492">
        <f t="shared" si="466"/>
        <v>119808</v>
      </c>
      <c r="AB2719" s="386"/>
      <c r="AC2719" s="481">
        <v>0</v>
      </c>
      <c r="AD2719" s="474"/>
      <c r="AE2719" s="482"/>
      <c r="AF2719" s="493">
        <f t="shared" si="467"/>
        <v>119808</v>
      </c>
      <c r="AG2719" s="474" t="s">
        <v>47</v>
      </c>
      <c r="AH2719" s="447"/>
      <c r="AI2719" s="474">
        <v>75</v>
      </c>
      <c r="AJ2719" s="474" t="s">
        <v>1575</v>
      </c>
      <c r="AK2719" s="474" t="s">
        <v>50</v>
      </c>
      <c r="AL2719" s="494">
        <v>94544</v>
      </c>
      <c r="AM2719" s="474" t="s">
        <v>52</v>
      </c>
      <c r="AN2719" s="474" t="s">
        <v>50</v>
      </c>
      <c r="AO2719" s="474"/>
      <c r="AP2719" s="474" t="s">
        <v>92</v>
      </c>
      <c r="AQ2719" s="474" t="s">
        <v>37</v>
      </c>
      <c r="AR2719" s="474"/>
      <c r="AS2719" s="387"/>
      <c r="AT2719" s="387"/>
      <c r="AU2719" s="471"/>
    </row>
    <row r="2720" spans="1:55">
      <c r="A2720" s="410"/>
      <c r="B2720" s="407"/>
      <c r="C2720" s="407"/>
      <c r="D2720" s="474" t="s">
        <v>1066</v>
      </c>
      <c r="E2720" s="388"/>
      <c r="F2720" s="474" t="s">
        <v>1147</v>
      </c>
      <c r="G2720" s="474">
        <v>2022</v>
      </c>
      <c r="H2720" s="474">
        <v>4</v>
      </c>
      <c r="I2720" s="485">
        <v>127995</v>
      </c>
      <c r="J2720" s="475">
        <v>44666</v>
      </c>
      <c r="K2720" s="474" t="s">
        <v>1619</v>
      </c>
      <c r="L2720" s="475" t="s">
        <v>1561</v>
      </c>
      <c r="M2720" s="475">
        <v>44468</v>
      </c>
      <c r="N2720" s="475" t="s">
        <v>1588</v>
      </c>
      <c r="O2720" s="475"/>
      <c r="P2720" s="475">
        <v>44658</v>
      </c>
      <c r="Q2720" s="475">
        <v>44665</v>
      </c>
      <c r="R2720" s="475">
        <v>44666</v>
      </c>
      <c r="S2720" s="474" t="s">
        <v>1563</v>
      </c>
      <c r="T2720" s="474">
        <v>60</v>
      </c>
      <c r="U2720" s="474" t="s">
        <v>1595</v>
      </c>
      <c r="V2720" s="474" t="s">
        <v>1574</v>
      </c>
      <c r="W2720" s="476">
        <v>400</v>
      </c>
      <c r="X2720" s="402">
        <v>624</v>
      </c>
      <c r="Y2720" s="491">
        <f t="shared" si="465"/>
        <v>249600</v>
      </c>
      <c r="Z2720" s="478">
        <v>0.48</v>
      </c>
      <c r="AA2720" s="492">
        <f t="shared" si="466"/>
        <v>119808</v>
      </c>
      <c r="AB2720" s="386"/>
      <c r="AC2720" s="481">
        <v>0</v>
      </c>
      <c r="AD2720" s="474"/>
      <c r="AE2720" s="482"/>
      <c r="AF2720" s="493">
        <f t="shared" si="467"/>
        <v>119808</v>
      </c>
      <c r="AG2720" s="474" t="s">
        <v>47</v>
      </c>
      <c r="AH2720" s="447"/>
      <c r="AI2720" s="474">
        <v>75</v>
      </c>
      <c r="AJ2720" s="474" t="s">
        <v>1575</v>
      </c>
      <c r="AK2720" s="474" t="s">
        <v>50</v>
      </c>
      <c r="AL2720" s="494">
        <v>94544</v>
      </c>
      <c r="AM2720" s="474" t="s">
        <v>52</v>
      </c>
      <c r="AN2720" s="474" t="s">
        <v>50</v>
      </c>
      <c r="AO2720" s="474"/>
      <c r="AP2720" s="474" t="s">
        <v>92</v>
      </c>
      <c r="AQ2720" s="474" t="s">
        <v>37</v>
      </c>
      <c r="AR2720" s="474"/>
      <c r="AS2720" s="387"/>
      <c r="AT2720" s="387"/>
      <c r="AU2720" s="471"/>
    </row>
    <row r="2721" spans="1:55">
      <c r="A2721" s="410"/>
      <c r="B2721" s="407"/>
      <c r="C2721" s="407"/>
      <c r="D2721" s="474" t="s">
        <v>1066</v>
      </c>
      <c r="E2721" s="388"/>
      <c r="F2721" s="474" t="s">
        <v>1147</v>
      </c>
      <c r="G2721" s="474">
        <v>2022</v>
      </c>
      <c r="H2721" s="474">
        <v>4</v>
      </c>
      <c r="I2721" s="485">
        <v>128115</v>
      </c>
      <c r="J2721" s="475">
        <v>44669</v>
      </c>
      <c r="K2721" s="474" t="s">
        <v>1619</v>
      </c>
      <c r="L2721" s="475" t="s">
        <v>1561</v>
      </c>
      <c r="M2721" s="475">
        <v>44468</v>
      </c>
      <c r="N2721" s="475" t="s">
        <v>1588</v>
      </c>
      <c r="O2721" s="475"/>
      <c r="P2721" s="475">
        <v>44658</v>
      </c>
      <c r="Q2721" s="475">
        <v>44666</v>
      </c>
      <c r="R2721" s="475">
        <v>44669</v>
      </c>
      <c r="S2721" s="474" t="s">
        <v>1563</v>
      </c>
      <c r="T2721" s="474">
        <v>60</v>
      </c>
      <c r="U2721" s="474" t="s">
        <v>1595</v>
      </c>
      <c r="V2721" s="474" t="s">
        <v>1574</v>
      </c>
      <c r="W2721" s="476">
        <v>400</v>
      </c>
      <c r="X2721" s="402">
        <v>624</v>
      </c>
      <c r="Y2721" s="491">
        <f t="shared" si="465"/>
        <v>249600</v>
      </c>
      <c r="Z2721" s="478">
        <v>0.48</v>
      </c>
      <c r="AA2721" s="492">
        <f t="shared" si="466"/>
        <v>119808</v>
      </c>
      <c r="AB2721" s="386"/>
      <c r="AC2721" s="481">
        <v>0</v>
      </c>
      <c r="AD2721" s="474"/>
      <c r="AE2721" s="482"/>
      <c r="AF2721" s="493">
        <f t="shared" si="467"/>
        <v>119808</v>
      </c>
      <c r="AG2721" s="474" t="s">
        <v>47</v>
      </c>
      <c r="AH2721" s="447"/>
      <c r="AI2721" s="474">
        <v>75</v>
      </c>
      <c r="AJ2721" s="474" t="s">
        <v>1575</v>
      </c>
      <c r="AK2721" s="474" t="s">
        <v>50</v>
      </c>
      <c r="AL2721" s="494">
        <v>94544</v>
      </c>
      <c r="AM2721" s="474" t="s">
        <v>52</v>
      </c>
      <c r="AN2721" s="474" t="s">
        <v>50</v>
      </c>
      <c r="AO2721" s="474"/>
      <c r="AP2721" s="474" t="s">
        <v>92</v>
      </c>
      <c r="AQ2721" s="474" t="s">
        <v>37</v>
      </c>
      <c r="AR2721" s="474"/>
      <c r="AS2721" s="387"/>
      <c r="AT2721" s="387"/>
      <c r="AU2721" s="471"/>
      <c r="AV2721" s="262" t="str">
        <f t="shared" ref="AV2721:AV2745" si="468">U2721</f>
        <v>30390256H</v>
      </c>
      <c r="AW2721" s="262" cm="1">
        <f t="array" ref="AW2721">SUM(MID(0&amp;AV2721,LARGE(INDEX(ISNUMBER(--MID(AV2721,ROW($1:$8),1))*ROW($1:$8),),ROW($1:$8))+1,1)*10^ROW($1:$8)/10)</f>
        <v>30390256</v>
      </c>
      <c r="AX2721" s="262" t="str">
        <f>VLOOKUP($AW2721,'Item Master Data'!$A:$F,3,FALSE)</f>
        <v>T400H</v>
      </c>
      <c r="AY2721" s="262">
        <f>VLOOKUP($AW2721,'Item Master Data'!$A:$F,6,FALSE)</f>
        <v>400</v>
      </c>
      <c r="AZ2721" s="262">
        <f t="shared" ref="AZ2721:AZ2745" si="469">X2721/BA2721</f>
        <v>24</v>
      </c>
      <c r="BA2721" s="262">
        <f>VLOOKUP(AW2721,'Item Master Data'!$A:$G,7,FALSE)</f>
        <v>26</v>
      </c>
      <c r="BC2721" s="262">
        <f t="shared" ref="BC2721:BC2745" si="470">W2721-AY2721</f>
        <v>0</v>
      </c>
    </row>
    <row r="2722" spans="1:55">
      <c r="A2722" s="410"/>
      <c r="B2722" s="407"/>
      <c r="C2722" s="407"/>
      <c r="D2722" s="474" t="s">
        <v>1066</v>
      </c>
      <c r="E2722" s="388"/>
      <c r="F2722" s="474" t="s">
        <v>1147</v>
      </c>
      <c r="G2722" s="474">
        <v>2022</v>
      </c>
      <c r="H2722" s="474">
        <v>4</v>
      </c>
      <c r="I2722" s="485">
        <v>128114</v>
      </c>
      <c r="J2722" s="475">
        <v>44669</v>
      </c>
      <c r="K2722" s="474" t="s">
        <v>1619</v>
      </c>
      <c r="L2722" s="475" t="s">
        <v>1561</v>
      </c>
      <c r="M2722" s="475">
        <v>44468</v>
      </c>
      <c r="N2722" s="475" t="s">
        <v>1588</v>
      </c>
      <c r="O2722" s="475"/>
      <c r="P2722" s="475">
        <v>44658</v>
      </c>
      <c r="Q2722" s="475">
        <v>44666</v>
      </c>
      <c r="R2722" s="475">
        <v>44669</v>
      </c>
      <c r="S2722" s="474" t="s">
        <v>1563</v>
      </c>
      <c r="T2722" s="474">
        <v>60</v>
      </c>
      <c r="U2722" s="474" t="s">
        <v>1595</v>
      </c>
      <c r="V2722" s="474" t="s">
        <v>1574</v>
      </c>
      <c r="W2722" s="476">
        <v>400</v>
      </c>
      <c r="X2722" s="402">
        <v>624</v>
      </c>
      <c r="Y2722" s="491">
        <f t="shared" si="465"/>
        <v>249600</v>
      </c>
      <c r="Z2722" s="478">
        <v>0.48</v>
      </c>
      <c r="AA2722" s="492">
        <f t="shared" si="466"/>
        <v>119808</v>
      </c>
      <c r="AB2722" s="386"/>
      <c r="AC2722" s="481">
        <v>0</v>
      </c>
      <c r="AD2722" s="474"/>
      <c r="AE2722" s="482"/>
      <c r="AF2722" s="493">
        <f t="shared" si="467"/>
        <v>119808</v>
      </c>
      <c r="AG2722" s="474" t="s">
        <v>47</v>
      </c>
      <c r="AH2722" s="447"/>
      <c r="AI2722" s="474">
        <v>75</v>
      </c>
      <c r="AJ2722" s="474" t="s">
        <v>1575</v>
      </c>
      <c r="AK2722" s="474" t="s">
        <v>50</v>
      </c>
      <c r="AL2722" s="494">
        <v>94544</v>
      </c>
      <c r="AM2722" s="474" t="s">
        <v>52</v>
      </c>
      <c r="AN2722" s="474" t="s">
        <v>50</v>
      </c>
      <c r="AO2722" s="474"/>
      <c r="AP2722" s="474" t="s">
        <v>92</v>
      </c>
      <c r="AQ2722" s="474" t="s">
        <v>37</v>
      </c>
      <c r="AR2722" s="474"/>
      <c r="AS2722" s="387"/>
      <c r="AT2722" s="387"/>
      <c r="AU2722" s="471"/>
      <c r="AV2722" s="262" t="str">
        <f t="shared" si="468"/>
        <v>30390256H</v>
      </c>
      <c r="AW2722" s="262" cm="1">
        <f t="array" ref="AW2722">SUM(MID(0&amp;AV2722,LARGE(INDEX(ISNUMBER(--MID(AV2722,ROW($1:$8),1))*ROW($1:$8),),ROW($1:$8))+1,1)*10^ROW($1:$8)/10)</f>
        <v>30390256</v>
      </c>
      <c r="AX2722" s="262" t="str">
        <f>VLOOKUP($AW2722,'Item Master Data'!$A:$F,3,FALSE)</f>
        <v>T400H</v>
      </c>
      <c r="AY2722" s="262">
        <f>VLOOKUP($AW2722,'Item Master Data'!$A:$F,6,FALSE)</f>
        <v>400</v>
      </c>
      <c r="AZ2722" s="262">
        <f t="shared" si="469"/>
        <v>24</v>
      </c>
      <c r="BA2722" s="262">
        <f>VLOOKUP(AW2722,'Item Master Data'!$A:$G,7,FALSE)</f>
        <v>26</v>
      </c>
      <c r="BC2722" s="262">
        <f t="shared" si="470"/>
        <v>0</v>
      </c>
    </row>
    <row r="2723" spans="1:55">
      <c r="A2723" s="410"/>
      <c r="B2723" s="407"/>
      <c r="C2723" s="407"/>
      <c r="D2723" s="474" t="s">
        <v>1066</v>
      </c>
      <c r="E2723" s="388"/>
      <c r="F2723" s="474" t="s">
        <v>1147</v>
      </c>
      <c r="G2723" s="474">
        <v>2022</v>
      </c>
      <c r="H2723" s="474">
        <v>4</v>
      </c>
      <c r="I2723" s="485">
        <v>128113</v>
      </c>
      <c r="J2723" s="475">
        <v>44669</v>
      </c>
      <c r="K2723" s="474" t="s">
        <v>1619</v>
      </c>
      <c r="L2723" s="475" t="s">
        <v>1561</v>
      </c>
      <c r="M2723" s="475">
        <v>44468</v>
      </c>
      <c r="N2723" s="475" t="s">
        <v>1588</v>
      </c>
      <c r="O2723" s="475"/>
      <c r="P2723" s="475">
        <v>44658</v>
      </c>
      <c r="Q2723" s="475">
        <v>44666</v>
      </c>
      <c r="R2723" s="475">
        <v>44669</v>
      </c>
      <c r="S2723" s="474" t="s">
        <v>1563</v>
      </c>
      <c r="T2723" s="474">
        <v>60</v>
      </c>
      <c r="U2723" s="474" t="s">
        <v>1595</v>
      </c>
      <c r="V2723" s="474" t="s">
        <v>1574</v>
      </c>
      <c r="W2723" s="476">
        <v>400</v>
      </c>
      <c r="X2723" s="402">
        <v>624</v>
      </c>
      <c r="Y2723" s="491">
        <f t="shared" si="465"/>
        <v>249600</v>
      </c>
      <c r="Z2723" s="478">
        <v>0.48</v>
      </c>
      <c r="AA2723" s="492">
        <f t="shared" si="466"/>
        <v>119808</v>
      </c>
      <c r="AB2723" s="386"/>
      <c r="AC2723" s="481">
        <v>0</v>
      </c>
      <c r="AD2723" s="474"/>
      <c r="AE2723" s="482"/>
      <c r="AF2723" s="493">
        <f t="shared" si="467"/>
        <v>119808</v>
      </c>
      <c r="AG2723" s="474" t="s">
        <v>47</v>
      </c>
      <c r="AH2723" s="447"/>
      <c r="AI2723" s="474">
        <v>75</v>
      </c>
      <c r="AJ2723" s="474" t="s">
        <v>1575</v>
      </c>
      <c r="AK2723" s="474" t="s">
        <v>50</v>
      </c>
      <c r="AL2723" s="494">
        <v>94544</v>
      </c>
      <c r="AM2723" s="474" t="s">
        <v>52</v>
      </c>
      <c r="AN2723" s="474" t="s">
        <v>50</v>
      </c>
      <c r="AO2723" s="474"/>
      <c r="AP2723" s="474" t="s">
        <v>92</v>
      </c>
      <c r="AQ2723" s="474" t="s">
        <v>37</v>
      </c>
      <c r="AR2723" s="474"/>
      <c r="AS2723" s="387"/>
      <c r="AT2723" s="387"/>
      <c r="AU2723" s="471"/>
      <c r="AV2723" s="262" t="str">
        <f t="shared" si="468"/>
        <v>30390256H</v>
      </c>
      <c r="AW2723" s="262" cm="1">
        <f t="array" ref="AW2723">SUM(MID(0&amp;AV2723,LARGE(INDEX(ISNUMBER(--MID(AV2723,ROW($1:$8),1))*ROW($1:$8),),ROW($1:$8))+1,1)*10^ROW($1:$8)/10)</f>
        <v>30390256</v>
      </c>
      <c r="AX2723" s="262" t="str">
        <f>VLOOKUP($AW2723,'Item Master Data'!$A:$F,3,FALSE)</f>
        <v>T400H</v>
      </c>
      <c r="AY2723" s="262">
        <f>VLOOKUP($AW2723,'Item Master Data'!$A:$F,6,FALSE)</f>
        <v>400</v>
      </c>
      <c r="AZ2723" s="262">
        <f t="shared" si="469"/>
        <v>24</v>
      </c>
      <c r="BA2723" s="262">
        <f>VLOOKUP(AW2723,'Item Master Data'!$A:$G,7,FALSE)</f>
        <v>26</v>
      </c>
      <c r="BC2723" s="262">
        <f t="shared" si="470"/>
        <v>0</v>
      </c>
    </row>
    <row r="2724" spans="1:55">
      <c r="A2724" s="410"/>
      <c r="B2724" s="407"/>
      <c r="C2724" s="407"/>
      <c r="D2724" s="474" t="s">
        <v>1066</v>
      </c>
      <c r="E2724" s="388"/>
      <c r="F2724" s="474" t="s">
        <v>1147</v>
      </c>
      <c r="G2724" s="474">
        <v>2022</v>
      </c>
      <c r="H2724" s="474">
        <v>4</v>
      </c>
      <c r="I2724" s="485">
        <v>128112</v>
      </c>
      <c r="J2724" s="475">
        <v>44669</v>
      </c>
      <c r="K2724" s="474" t="s">
        <v>1619</v>
      </c>
      <c r="L2724" s="475" t="s">
        <v>1561</v>
      </c>
      <c r="M2724" s="475">
        <v>44468</v>
      </c>
      <c r="N2724" s="475" t="s">
        <v>1588</v>
      </c>
      <c r="O2724" s="475"/>
      <c r="P2724" s="475">
        <v>44658</v>
      </c>
      <c r="Q2724" s="475">
        <v>44666</v>
      </c>
      <c r="R2724" s="475">
        <v>44669</v>
      </c>
      <c r="S2724" s="474" t="s">
        <v>1563</v>
      </c>
      <c r="T2724" s="474">
        <v>60</v>
      </c>
      <c r="U2724" s="474" t="s">
        <v>1595</v>
      </c>
      <c r="V2724" s="474" t="s">
        <v>1574</v>
      </c>
      <c r="W2724" s="476">
        <v>400</v>
      </c>
      <c r="X2724" s="402">
        <v>624</v>
      </c>
      <c r="Y2724" s="491">
        <f t="shared" si="465"/>
        <v>249600</v>
      </c>
      <c r="Z2724" s="478">
        <v>0.48</v>
      </c>
      <c r="AA2724" s="492">
        <f t="shared" si="466"/>
        <v>119808</v>
      </c>
      <c r="AB2724" s="386"/>
      <c r="AC2724" s="481">
        <v>0</v>
      </c>
      <c r="AD2724" s="474"/>
      <c r="AE2724" s="482"/>
      <c r="AF2724" s="493">
        <f t="shared" si="467"/>
        <v>119808</v>
      </c>
      <c r="AG2724" s="474" t="s">
        <v>47</v>
      </c>
      <c r="AH2724" s="447"/>
      <c r="AI2724" s="474">
        <v>75</v>
      </c>
      <c r="AJ2724" s="474" t="s">
        <v>1575</v>
      </c>
      <c r="AK2724" s="474" t="s">
        <v>50</v>
      </c>
      <c r="AL2724" s="494">
        <v>94544</v>
      </c>
      <c r="AM2724" s="474" t="s">
        <v>52</v>
      </c>
      <c r="AN2724" s="474" t="s">
        <v>50</v>
      </c>
      <c r="AO2724" s="474"/>
      <c r="AP2724" s="474" t="s">
        <v>92</v>
      </c>
      <c r="AQ2724" s="474" t="s">
        <v>37</v>
      </c>
      <c r="AR2724" s="474"/>
      <c r="AS2724" s="387"/>
      <c r="AT2724" s="387"/>
      <c r="AU2724" s="471"/>
      <c r="AV2724" s="262" t="str">
        <f t="shared" si="468"/>
        <v>30390256H</v>
      </c>
      <c r="AW2724" s="262" cm="1">
        <f t="array" ref="AW2724">SUM(MID(0&amp;AV2724,LARGE(INDEX(ISNUMBER(--MID(AV2724,ROW($1:$8),1))*ROW($1:$8),),ROW($1:$8))+1,1)*10^ROW($1:$8)/10)</f>
        <v>30390256</v>
      </c>
      <c r="AX2724" s="262" t="str">
        <f>VLOOKUP($AW2724,'Item Master Data'!$A:$F,3,FALSE)</f>
        <v>T400H</v>
      </c>
      <c r="AY2724" s="262">
        <f>VLOOKUP($AW2724,'Item Master Data'!$A:$F,6,FALSE)</f>
        <v>400</v>
      </c>
      <c r="AZ2724" s="262">
        <f t="shared" si="469"/>
        <v>24</v>
      </c>
      <c r="BA2724" s="262">
        <f>VLOOKUP(AW2724,'Item Master Data'!$A:$G,7,FALSE)</f>
        <v>26</v>
      </c>
      <c r="BC2724" s="262">
        <f t="shared" si="470"/>
        <v>0</v>
      </c>
    </row>
    <row r="2725" spans="1:55">
      <c r="A2725" s="410"/>
      <c r="B2725" s="407"/>
      <c r="C2725" s="407"/>
      <c r="D2725" s="474" t="s">
        <v>1066</v>
      </c>
      <c r="E2725" s="388"/>
      <c r="F2725" s="474" t="s">
        <v>1147</v>
      </c>
      <c r="G2725" s="474">
        <v>2022</v>
      </c>
      <c r="H2725" s="474">
        <v>4</v>
      </c>
      <c r="I2725" s="485">
        <v>128117</v>
      </c>
      <c r="J2725" s="475">
        <v>44669</v>
      </c>
      <c r="K2725" s="474" t="s">
        <v>1619</v>
      </c>
      <c r="L2725" s="475" t="s">
        <v>1561</v>
      </c>
      <c r="M2725" s="475">
        <v>44468</v>
      </c>
      <c r="N2725" s="475" t="s">
        <v>1588</v>
      </c>
      <c r="O2725" s="475"/>
      <c r="P2725" s="475">
        <v>44658</v>
      </c>
      <c r="Q2725" s="475">
        <v>44666</v>
      </c>
      <c r="R2725" s="475">
        <v>44669</v>
      </c>
      <c r="S2725" s="474" t="s">
        <v>1563</v>
      </c>
      <c r="T2725" s="474">
        <v>60</v>
      </c>
      <c r="U2725" s="474" t="s">
        <v>1595</v>
      </c>
      <c r="V2725" s="474" t="s">
        <v>1574</v>
      </c>
      <c r="W2725" s="476">
        <v>400</v>
      </c>
      <c r="X2725" s="402">
        <v>624</v>
      </c>
      <c r="Y2725" s="491">
        <f t="shared" si="465"/>
        <v>249600</v>
      </c>
      <c r="Z2725" s="478">
        <v>0.48</v>
      </c>
      <c r="AA2725" s="492">
        <f t="shared" si="466"/>
        <v>119808</v>
      </c>
      <c r="AB2725" s="386"/>
      <c r="AC2725" s="481">
        <v>0</v>
      </c>
      <c r="AD2725" s="474"/>
      <c r="AE2725" s="482"/>
      <c r="AF2725" s="493">
        <f t="shared" si="467"/>
        <v>119808</v>
      </c>
      <c r="AG2725" s="474" t="s">
        <v>47</v>
      </c>
      <c r="AH2725" s="447"/>
      <c r="AI2725" s="474">
        <v>75</v>
      </c>
      <c r="AJ2725" s="474" t="s">
        <v>1575</v>
      </c>
      <c r="AK2725" s="474" t="s">
        <v>50</v>
      </c>
      <c r="AL2725" s="494">
        <v>94544</v>
      </c>
      <c r="AM2725" s="474" t="s">
        <v>52</v>
      </c>
      <c r="AN2725" s="474" t="s">
        <v>50</v>
      </c>
      <c r="AO2725" s="474"/>
      <c r="AP2725" s="474" t="s">
        <v>92</v>
      </c>
      <c r="AQ2725" s="474" t="s">
        <v>37</v>
      </c>
      <c r="AR2725" s="474"/>
      <c r="AS2725" s="387"/>
      <c r="AT2725" s="387"/>
      <c r="AU2725" s="471"/>
      <c r="AV2725" s="262" t="str">
        <f t="shared" si="468"/>
        <v>30390256H</v>
      </c>
      <c r="AW2725" s="262" cm="1">
        <f t="array" ref="AW2725">SUM(MID(0&amp;AV2725,LARGE(INDEX(ISNUMBER(--MID(AV2725,ROW($1:$8),1))*ROW($1:$8),),ROW($1:$8))+1,1)*10^ROW($1:$8)/10)</f>
        <v>30390256</v>
      </c>
      <c r="AX2725" s="262" t="str">
        <f>VLOOKUP($AW2725,'Item Master Data'!$A:$F,3,FALSE)</f>
        <v>T400H</v>
      </c>
      <c r="AY2725" s="262">
        <f>VLOOKUP($AW2725,'Item Master Data'!$A:$F,6,FALSE)</f>
        <v>400</v>
      </c>
      <c r="AZ2725" s="262">
        <f t="shared" si="469"/>
        <v>24</v>
      </c>
      <c r="BA2725" s="262">
        <f>VLOOKUP(AW2725,'Item Master Data'!$A:$G,7,FALSE)</f>
        <v>26</v>
      </c>
      <c r="BC2725" s="262">
        <f t="shared" si="470"/>
        <v>0</v>
      </c>
    </row>
    <row r="2726" spans="1:55">
      <c r="A2726" s="410"/>
      <c r="B2726" s="407"/>
      <c r="C2726" s="407"/>
      <c r="D2726" s="474" t="s">
        <v>1066</v>
      </c>
      <c r="E2726" s="388"/>
      <c r="F2726" s="474" t="s">
        <v>1147</v>
      </c>
      <c r="G2726" s="474">
        <v>2022</v>
      </c>
      <c r="H2726" s="474">
        <v>4</v>
      </c>
      <c r="I2726" s="485">
        <v>128116</v>
      </c>
      <c r="J2726" s="475">
        <v>44669</v>
      </c>
      <c r="K2726" s="474" t="s">
        <v>1619</v>
      </c>
      <c r="L2726" s="475" t="s">
        <v>1561</v>
      </c>
      <c r="M2726" s="475">
        <v>44468</v>
      </c>
      <c r="N2726" s="475" t="s">
        <v>1588</v>
      </c>
      <c r="O2726" s="475"/>
      <c r="P2726" s="475">
        <v>44658</v>
      </c>
      <c r="Q2726" s="475">
        <v>44666</v>
      </c>
      <c r="R2726" s="475">
        <v>44669</v>
      </c>
      <c r="S2726" s="474" t="s">
        <v>1563</v>
      </c>
      <c r="T2726" s="474">
        <v>60</v>
      </c>
      <c r="U2726" s="474" t="s">
        <v>1595</v>
      </c>
      <c r="V2726" s="474" t="s">
        <v>1574</v>
      </c>
      <c r="W2726" s="476">
        <v>400</v>
      </c>
      <c r="X2726" s="402">
        <v>624</v>
      </c>
      <c r="Y2726" s="491">
        <f t="shared" si="465"/>
        <v>249600</v>
      </c>
      <c r="Z2726" s="478">
        <v>0.48</v>
      </c>
      <c r="AA2726" s="492">
        <f t="shared" si="466"/>
        <v>119808</v>
      </c>
      <c r="AB2726" s="386"/>
      <c r="AC2726" s="481">
        <v>0</v>
      </c>
      <c r="AD2726" s="474"/>
      <c r="AE2726" s="482"/>
      <c r="AF2726" s="493">
        <f t="shared" si="467"/>
        <v>119808</v>
      </c>
      <c r="AG2726" s="474" t="s">
        <v>47</v>
      </c>
      <c r="AH2726" s="447"/>
      <c r="AI2726" s="474">
        <v>75</v>
      </c>
      <c r="AJ2726" s="474" t="s">
        <v>1575</v>
      </c>
      <c r="AK2726" s="474" t="s">
        <v>50</v>
      </c>
      <c r="AL2726" s="494">
        <v>94544</v>
      </c>
      <c r="AM2726" s="474" t="s">
        <v>52</v>
      </c>
      <c r="AN2726" s="474" t="s">
        <v>50</v>
      </c>
      <c r="AO2726" s="474"/>
      <c r="AP2726" s="474" t="s">
        <v>92</v>
      </c>
      <c r="AQ2726" s="474" t="s">
        <v>37</v>
      </c>
      <c r="AR2726" s="474"/>
      <c r="AS2726" s="387"/>
      <c r="AT2726" s="387"/>
      <c r="AU2726" s="471"/>
      <c r="AV2726" s="262" t="str">
        <f t="shared" si="468"/>
        <v>30390256H</v>
      </c>
      <c r="AW2726" s="262" cm="1">
        <f t="array" ref="AW2726">SUM(MID(0&amp;AV2726,LARGE(INDEX(ISNUMBER(--MID(AV2726,ROW($1:$8),1))*ROW($1:$8),),ROW($1:$8))+1,1)*10^ROW($1:$8)/10)</f>
        <v>30390256</v>
      </c>
      <c r="AX2726" s="262" t="str">
        <f>VLOOKUP($AW2726,'Item Master Data'!$A:$F,3,FALSE)</f>
        <v>T400H</v>
      </c>
      <c r="AY2726" s="262">
        <f>VLOOKUP($AW2726,'Item Master Data'!$A:$F,6,FALSE)</f>
        <v>400</v>
      </c>
      <c r="AZ2726" s="262">
        <f t="shared" si="469"/>
        <v>24</v>
      </c>
      <c r="BA2726" s="262">
        <f>VLOOKUP(AW2726,'Item Master Data'!$A:$G,7,FALSE)</f>
        <v>26</v>
      </c>
      <c r="BC2726" s="262">
        <f t="shared" si="470"/>
        <v>0</v>
      </c>
    </row>
    <row r="2727" spans="1:55">
      <c r="A2727" s="410"/>
      <c r="B2727" s="407"/>
      <c r="C2727" s="407"/>
      <c r="D2727" s="474" t="s">
        <v>1066</v>
      </c>
      <c r="E2727" s="388"/>
      <c r="F2727" s="474" t="s">
        <v>1147</v>
      </c>
      <c r="G2727" s="474">
        <v>2022</v>
      </c>
      <c r="H2727" s="474">
        <v>4</v>
      </c>
      <c r="I2727" s="485"/>
      <c r="J2727" s="475"/>
      <c r="K2727" s="474" t="s">
        <v>1619</v>
      </c>
      <c r="L2727" s="475" t="s">
        <v>1561</v>
      </c>
      <c r="M2727" s="475">
        <v>44468</v>
      </c>
      <c r="N2727" s="475" t="s">
        <v>1588</v>
      </c>
      <c r="O2727" s="475"/>
      <c r="P2727" s="475">
        <v>44658</v>
      </c>
      <c r="Q2727" s="475">
        <v>44679</v>
      </c>
      <c r="R2727" s="475">
        <v>44680</v>
      </c>
      <c r="S2727" s="474" t="s">
        <v>1563</v>
      </c>
      <c r="T2727" s="474">
        <v>60</v>
      </c>
      <c r="U2727" s="474" t="s">
        <v>1595</v>
      </c>
      <c r="V2727" s="474" t="s">
        <v>1574</v>
      </c>
      <c r="W2727" s="476">
        <v>400</v>
      </c>
      <c r="X2727" s="402">
        <v>624</v>
      </c>
      <c r="Y2727" s="491">
        <f t="shared" si="465"/>
        <v>249600</v>
      </c>
      <c r="Z2727" s="478">
        <v>0.48</v>
      </c>
      <c r="AA2727" s="492">
        <f t="shared" si="466"/>
        <v>119808</v>
      </c>
      <c r="AB2727" s="386"/>
      <c r="AC2727" s="481">
        <v>0</v>
      </c>
      <c r="AD2727" s="474"/>
      <c r="AE2727" s="482"/>
      <c r="AF2727" s="493">
        <f t="shared" si="467"/>
        <v>119808</v>
      </c>
      <c r="AG2727" s="474" t="s">
        <v>47</v>
      </c>
      <c r="AH2727" s="447"/>
      <c r="AI2727" s="474">
        <v>75</v>
      </c>
      <c r="AJ2727" s="474" t="s">
        <v>1575</v>
      </c>
      <c r="AK2727" s="474" t="s">
        <v>50</v>
      </c>
      <c r="AL2727" s="494">
        <v>94544</v>
      </c>
      <c r="AM2727" s="474" t="s">
        <v>52</v>
      </c>
      <c r="AN2727" s="474" t="s">
        <v>50</v>
      </c>
      <c r="AO2727" s="474"/>
      <c r="AP2727" s="474" t="s">
        <v>92</v>
      </c>
      <c r="AQ2727" s="474" t="s">
        <v>37</v>
      </c>
      <c r="AR2727" s="474"/>
      <c r="AS2727" s="387"/>
      <c r="AT2727" s="387"/>
      <c r="AU2727" s="471"/>
      <c r="AV2727" s="262" t="str">
        <f t="shared" si="468"/>
        <v>30390256H</v>
      </c>
      <c r="AW2727" s="262" cm="1">
        <f t="array" ref="AW2727">SUM(MID(0&amp;AV2727,LARGE(INDEX(ISNUMBER(--MID(AV2727,ROW($1:$8),1))*ROW($1:$8),),ROW($1:$8))+1,1)*10^ROW($1:$8)/10)</f>
        <v>30390256</v>
      </c>
      <c r="AX2727" s="262" t="str">
        <f>VLOOKUP($AW2727,'Item Master Data'!$A:$F,3,FALSE)</f>
        <v>T400H</v>
      </c>
      <c r="AY2727" s="262">
        <f>VLOOKUP($AW2727,'Item Master Data'!$A:$F,6,FALSE)</f>
        <v>400</v>
      </c>
      <c r="AZ2727" s="262">
        <f t="shared" si="469"/>
        <v>24</v>
      </c>
      <c r="BA2727" s="262">
        <f>VLOOKUP(AW2727,'Item Master Data'!$A:$G,7,FALSE)</f>
        <v>26</v>
      </c>
      <c r="BC2727" s="262">
        <f t="shared" si="470"/>
        <v>0</v>
      </c>
    </row>
    <row r="2728" spans="1:55">
      <c r="A2728" s="410"/>
      <c r="B2728" s="407"/>
      <c r="C2728" s="407"/>
      <c r="D2728" s="474" t="s">
        <v>1066</v>
      </c>
      <c r="E2728" s="388"/>
      <c r="F2728" s="474" t="s">
        <v>1147</v>
      </c>
      <c r="G2728" s="474">
        <v>2022</v>
      </c>
      <c r="H2728" s="474">
        <v>4</v>
      </c>
      <c r="I2728" s="485" t="s">
        <v>1544</v>
      </c>
      <c r="J2728" s="475">
        <v>44672</v>
      </c>
      <c r="K2728" s="474" t="s">
        <v>1619</v>
      </c>
      <c r="L2728" s="475" t="s">
        <v>1561</v>
      </c>
      <c r="M2728" s="475">
        <v>44468</v>
      </c>
      <c r="N2728" s="475" t="s">
        <v>1588</v>
      </c>
      <c r="O2728" s="475"/>
      <c r="P2728" s="475">
        <v>44658</v>
      </c>
      <c r="Q2728" s="475">
        <v>44672</v>
      </c>
      <c r="R2728" s="475">
        <v>44672</v>
      </c>
      <c r="S2728" s="474" t="s">
        <v>1563</v>
      </c>
      <c r="T2728" s="474">
        <v>60</v>
      </c>
      <c r="U2728" s="474" t="s">
        <v>1595</v>
      </c>
      <c r="V2728" s="474" t="s">
        <v>1574</v>
      </c>
      <c r="W2728" s="476">
        <v>400</v>
      </c>
      <c r="X2728" s="402">
        <v>624</v>
      </c>
      <c r="Y2728" s="491">
        <f t="shared" si="465"/>
        <v>249600</v>
      </c>
      <c r="Z2728" s="478">
        <v>0.48</v>
      </c>
      <c r="AA2728" s="492">
        <f t="shared" si="466"/>
        <v>119808</v>
      </c>
      <c r="AB2728" s="386"/>
      <c r="AC2728" s="481">
        <v>0</v>
      </c>
      <c r="AD2728" s="474"/>
      <c r="AE2728" s="482"/>
      <c r="AF2728" s="493">
        <f t="shared" si="467"/>
        <v>119808</v>
      </c>
      <c r="AG2728" s="474" t="s">
        <v>47</v>
      </c>
      <c r="AH2728" s="447"/>
      <c r="AI2728" s="474">
        <v>75</v>
      </c>
      <c r="AJ2728" s="474" t="s">
        <v>1575</v>
      </c>
      <c r="AK2728" s="474" t="s">
        <v>50</v>
      </c>
      <c r="AL2728" s="494">
        <v>94544</v>
      </c>
      <c r="AM2728" s="474" t="s">
        <v>52</v>
      </c>
      <c r="AN2728" s="474" t="s">
        <v>50</v>
      </c>
      <c r="AO2728" s="474"/>
      <c r="AP2728" s="474" t="s">
        <v>92</v>
      </c>
      <c r="AQ2728" s="474" t="s">
        <v>37</v>
      </c>
      <c r="AR2728" s="474"/>
      <c r="AS2728" s="387"/>
      <c r="AT2728" s="387"/>
      <c r="AU2728" s="471"/>
      <c r="AV2728" s="262" t="str">
        <f t="shared" si="468"/>
        <v>30390256H</v>
      </c>
      <c r="AW2728" s="262" cm="1">
        <f t="array" ref="AW2728">SUM(MID(0&amp;AV2728,LARGE(INDEX(ISNUMBER(--MID(AV2728,ROW($1:$8),1))*ROW($1:$8),),ROW($1:$8))+1,1)*10^ROW($1:$8)/10)</f>
        <v>30390256</v>
      </c>
      <c r="AX2728" s="262" t="str">
        <f>VLOOKUP($AW2728,'Item Master Data'!$A:$F,3,FALSE)</f>
        <v>T400H</v>
      </c>
      <c r="AY2728" s="262">
        <f>VLOOKUP($AW2728,'Item Master Data'!$A:$F,6,FALSE)</f>
        <v>400</v>
      </c>
      <c r="AZ2728" s="262">
        <f t="shared" si="469"/>
        <v>24</v>
      </c>
      <c r="BA2728" s="262">
        <f>VLOOKUP(AW2728,'Item Master Data'!$A:$G,7,FALSE)</f>
        <v>26</v>
      </c>
      <c r="BC2728" s="262">
        <f t="shared" si="470"/>
        <v>0</v>
      </c>
    </row>
    <row r="2729" spans="1:55">
      <c r="A2729" s="410"/>
      <c r="B2729" s="407"/>
      <c r="C2729" s="407"/>
      <c r="D2729" s="474" t="s">
        <v>1066</v>
      </c>
      <c r="E2729" s="388"/>
      <c r="F2729" s="474" t="s">
        <v>1147</v>
      </c>
      <c r="G2729" s="474">
        <v>2022</v>
      </c>
      <c r="H2729" s="474">
        <v>4</v>
      </c>
      <c r="I2729" s="485" t="s">
        <v>1544</v>
      </c>
      <c r="J2729" s="475">
        <v>44672</v>
      </c>
      <c r="K2729" s="474" t="s">
        <v>1619</v>
      </c>
      <c r="L2729" s="475" t="s">
        <v>1561</v>
      </c>
      <c r="M2729" s="475">
        <v>44468</v>
      </c>
      <c r="N2729" s="475" t="s">
        <v>1588</v>
      </c>
      <c r="O2729" s="475"/>
      <c r="P2729" s="475">
        <v>44658</v>
      </c>
      <c r="Q2729" s="475">
        <v>44672</v>
      </c>
      <c r="R2729" s="475">
        <v>44672</v>
      </c>
      <c r="S2729" s="474" t="s">
        <v>1563</v>
      </c>
      <c r="T2729" s="474">
        <v>60</v>
      </c>
      <c r="U2729" s="474" t="s">
        <v>1595</v>
      </c>
      <c r="V2729" s="474" t="s">
        <v>1574</v>
      </c>
      <c r="W2729" s="476">
        <v>400</v>
      </c>
      <c r="X2729" s="402">
        <v>624</v>
      </c>
      <c r="Y2729" s="491">
        <f t="shared" si="465"/>
        <v>249600</v>
      </c>
      <c r="Z2729" s="478">
        <v>0.48</v>
      </c>
      <c r="AA2729" s="492">
        <f t="shared" si="466"/>
        <v>119808</v>
      </c>
      <c r="AB2729" s="386"/>
      <c r="AC2729" s="481">
        <v>0</v>
      </c>
      <c r="AD2729" s="474"/>
      <c r="AE2729" s="482"/>
      <c r="AF2729" s="493">
        <f t="shared" si="467"/>
        <v>119808</v>
      </c>
      <c r="AG2729" s="474" t="s">
        <v>47</v>
      </c>
      <c r="AH2729" s="447"/>
      <c r="AI2729" s="474">
        <v>75</v>
      </c>
      <c r="AJ2729" s="474" t="s">
        <v>1575</v>
      </c>
      <c r="AK2729" s="474" t="s">
        <v>50</v>
      </c>
      <c r="AL2729" s="494">
        <v>94544</v>
      </c>
      <c r="AM2729" s="474" t="s">
        <v>52</v>
      </c>
      <c r="AN2729" s="474" t="s">
        <v>50</v>
      </c>
      <c r="AO2729" s="474"/>
      <c r="AP2729" s="474" t="s">
        <v>92</v>
      </c>
      <c r="AQ2729" s="474" t="s">
        <v>37</v>
      </c>
      <c r="AR2729" s="474"/>
      <c r="AS2729" s="387"/>
      <c r="AT2729" s="387"/>
      <c r="AU2729" s="471"/>
      <c r="AV2729" s="262" t="str">
        <f t="shared" si="468"/>
        <v>30390256H</v>
      </c>
      <c r="AW2729" s="262" cm="1">
        <f t="array" ref="AW2729">SUM(MID(0&amp;AV2729,LARGE(INDEX(ISNUMBER(--MID(AV2729,ROW($1:$8),1))*ROW($1:$8),),ROW($1:$8))+1,1)*10^ROW($1:$8)/10)</f>
        <v>30390256</v>
      </c>
      <c r="AX2729" s="262" t="str">
        <f>VLOOKUP($AW2729,'Item Master Data'!$A:$F,3,FALSE)</f>
        <v>T400H</v>
      </c>
      <c r="AY2729" s="262">
        <f>VLOOKUP($AW2729,'Item Master Data'!$A:$F,6,FALSE)</f>
        <v>400</v>
      </c>
      <c r="AZ2729" s="262">
        <f t="shared" si="469"/>
        <v>24</v>
      </c>
      <c r="BA2729" s="262">
        <f>VLOOKUP(AW2729,'Item Master Data'!$A:$G,7,FALSE)</f>
        <v>26</v>
      </c>
      <c r="BC2729" s="262">
        <f t="shared" si="470"/>
        <v>0</v>
      </c>
    </row>
    <row r="2730" spans="1:55">
      <c r="A2730" s="410"/>
      <c r="B2730" s="407"/>
      <c r="C2730" s="407"/>
      <c r="D2730" s="474" t="s">
        <v>1066</v>
      </c>
      <c r="E2730" s="388"/>
      <c r="F2730" s="474" t="s">
        <v>1147</v>
      </c>
      <c r="G2730" s="474">
        <v>2022</v>
      </c>
      <c r="H2730" s="474">
        <v>4</v>
      </c>
      <c r="I2730" s="485" t="s">
        <v>1544</v>
      </c>
      <c r="J2730" s="475">
        <v>44672</v>
      </c>
      <c r="K2730" s="474" t="s">
        <v>1619</v>
      </c>
      <c r="L2730" s="475" t="s">
        <v>1561</v>
      </c>
      <c r="M2730" s="475">
        <v>44468</v>
      </c>
      <c r="N2730" s="475" t="s">
        <v>1588</v>
      </c>
      <c r="O2730" s="475"/>
      <c r="P2730" s="475">
        <v>44658</v>
      </c>
      <c r="Q2730" s="475">
        <v>44672</v>
      </c>
      <c r="R2730" s="475">
        <v>44672</v>
      </c>
      <c r="S2730" s="474" t="s">
        <v>1563</v>
      </c>
      <c r="T2730" s="474">
        <v>60</v>
      </c>
      <c r="U2730" s="474" t="s">
        <v>1595</v>
      </c>
      <c r="V2730" s="474" t="s">
        <v>1574</v>
      </c>
      <c r="W2730" s="476">
        <v>400</v>
      </c>
      <c r="X2730" s="402">
        <v>624</v>
      </c>
      <c r="Y2730" s="491">
        <f t="shared" si="465"/>
        <v>249600</v>
      </c>
      <c r="Z2730" s="478">
        <v>0.48</v>
      </c>
      <c r="AA2730" s="492">
        <f t="shared" si="466"/>
        <v>119808</v>
      </c>
      <c r="AB2730" s="386"/>
      <c r="AC2730" s="481">
        <v>0</v>
      </c>
      <c r="AD2730" s="474"/>
      <c r="AE2730" s="482"/>
      <c r="AF2730" s="493">
        <f t="shared" si="467"/>
        <v>119808</v>
      </c>
      <c r="AG2730" s="474" t="s">
        <v>47</v>
      </c>
      <c r="AH2730" s="447"/>
      <c r="AI2730" s="474">
        <v>75</v>
      </c>
      <c r="AJ2730" s="474" t="s">
        <v>1575</v>
      </c>
      <c r="AK2730" s="474" t="s">
        <v>50</v>
      </c>
      <c r="AL2730" s="494">
        <v>94544</v>
      </c>
      <c r="AM2730" s="474" t="s">
        <v>52</v>
      </c>
      <c r="AN2730" s="474" t="s">
        <v>50</v>
      </c>
      <c r="AO2730" s="474"/>
      <c r="AP2730" s="474" t="s">
        <v>92</v>
      </c>
      <c r="AQ2730" s="474" t="s">
        <v>37</v>
      </c>
      <c r="AR2730" s="474"/>
      <c r="AS2730" s="387"/>
      <c r="AT2730" s="387"/>
      <c r="AU2730" s="471"/>
      <c r="AV2730" s="262" t="str">
        <f t="shared" si="468"/>
        <v>30390256H</v>
      </c>
      <c r="AW2730" s="262" cm="1">
        <f t="array" ref="AW2730">SUM(MID(0&amp;AV2730,LARGE(INDEX(ISNUMBER(--MID(AV2730,ROW($1:$8),1))*ROW($1:$8),),ROW($1:$8))+1,1)*10^ROW($1:$8)/10)</f>
        <v>30390256</v>
      </c>
      <c r="AX2730" s="262" t="str">
        <f>VLOOKUP($AW2730,'Item Master Data'!$A:$F,3,FALSE)</f>
        <v>T400H</v>
      </c>
      <c r="AY2730" s="262">
        <f>VLOOKUP($AW2730,'Item Master Data'!$A:$F,6,FALSE)</f>
        <v>400</v>
      </c>
      <c r="AZ2730" s="262">
        <f t="shared" si="469"/>
        <v>24</v>
      </c>
      <c r="BA2730" s="262">
        <f>VLOOKUP(AW2730,'Item Master Data'!$A:$G,7,FALSE)</f>
        <v>26</v>
      </c>
      <c r="BC2730" s="262">
        <f t="shared" si="470"/>
        <v>0</v>
      </c>
    </row>
    <row r="2731" spans="1:55">
      <c r="A2731" s="410"/>
      <c r="B2731" s="407"/>
      <c r="C2731" s="407"/>
      <c r="D2731" s="474" t="s">
        <v>1066</v>
      </c>
      <c r="E2731" s="388"/>
      <c r="F2731" s="474" t="s">
        <v>1147</v>
      </c>
      <c r="G2731" s="474">
        <v>2022</v>
      </c>
      <c r="H2731" s="474">
        <v>4</v>
      </c>
      <c r="I2731" s="485" t="s">
        <v>1544</v>
      </c>
      <c r="J2731" s="475">
        <v>44672</v>
      </c>
      <c r="K2731" s="474" t="s">
        <v>1619</v>
      </c>
      <c r="L2731" s="475" t="s">
        <v>1561</v>
      </c>
      <c r="M2731" s="475">
        <v>44468</v>
      </c>
      <c r="N2731" s="475" t="s">
        <v>1588</v>
      </c>
      <c r="O2731" s="475"/>
      <c r="P2731" s="475">
        <v>44658</v>
      </c>
      <c r="Q2731" s="475">
        <v>44672</v>
      </c>
      <c r="R2731" s="475">
        <v>44672</v>
      </c>
      <c r="S2731" s="474" t="s">
        <v>1563</v>
      </c>
      <c r="T2731" s="474">
        <v>60</v>
      </c>
      <c r="U2731" s="474" t="s">
        <v>1595</v>
      </c>
      <c r="V2731" s="474" t="s">
        <v>1574</v>
      </c>
      <c r="W2731" s="476">
        <v>400</v>
      </c>
      <c r="X2731" s="402">
        <v>624</v>
      </c>
      <c r="Y2731" s="491">
        <f t="shared" si="465"/>
        <v>249600</v>
      </c>
      <c r="Z2731" s="478">
        <v>0.48</v>
      </c>
      <c r="AA2731" s="492">
        <f t="shared" si="466"/>
        <v>119808</v>
      </c>
      <c r="AB2731" s="386"/>
      <c r="AC2731" s="481">
        <v>0</v>
      </c>
      <c r="AD2731" s="474"/>
      <c r="AE2731" s="482"/>
      <c r="AF2731" s="493">
        <f t="shared" si="467"/>
        <v>119808</v>
      </c>
      <c r="AG2731" s="474" t="s">
        <v>47</v>
      </c>
      <c r="AH2731" s="447"/>
      <c r="AI2731" s="474">
        <v>75</v>
      </c>
      <c r="AJ2731" s="474" t="s">
        <v>1575</v>
      </c>
      <c r="AK2731" s="474" t="s">
        <v>50</v>
      </c>
      <c r="AL2731" s="494">
        <v>94544</v>
      </c>
      <c r="AM2731" s="474" t="s">
        <v>52</v>
      </c>
      <c r="AN2731" s="474" t="s">
        <v>50</v>
      </c>
      <c r="AO2731" s="474"/>
      <c r="AP2731" s="474" t="s">
        <v>92</v>
      </c>
      <c r="AQ2731" s="474" t="s">
        <v>37</v>
      </c>
      <c r="AR2731" s="474"/>
      <c r="AS2731" s="387"/>
      <c r="AT2731" s="387"/>
      <c r="AU2731" s="471"/>
      <c r="AV2731" s="262" t="str">
        <f t="shared" si="468"/>
        <v>30390256H</v>
      </c>
      <c r="AW2731" s="262" cm="1">
        <f t="array" ref="AW2731">SUM(MID(0&amp;AV2731,LARGE(INDEX(ISNUMBER(--MID(AV2731,ROW($1:$8),1))*ROW($1:$8),),ROW($1:$8))+1,1)*10^ROW($1:$8)/10)</f>
        <v>30390256</v>
      </c>
      <c r="AX2731" s="262" t="str">
        <f>VLOOKUP($AW2731,'Item Master Data'!$A:$F,3,FALSE)</f>
        <v>T400H</v>
      </c>
      <c r="AY2731" s="262">
        <f>VLOOKUP($AW2731,'Item Master Data'!$A:$F,6,FALSE)</f>
        <v>400</v>
      </c>
      <c r="AZ2731" s="262">
        <f t="shared" si="469"/>
        <v>24</v>
      </c>
      <c r="BA2731" s="262">
        <f>VLOOKUP(AW2731,'Item Master Data'!$A:$G,7,FALSE)</f>
        <v>26</v>
      </c>
      <c r="BC2731" s="262">
        <f t="shared" si="470"/>
        <v>0</v>
      </c>
    </row>
    <row r="2732" spans="1:55">
      <c r="A2732" s="410"/>
      <c r="B2732" s="407"/>
      <c r="C2732" s="407"/>
      <c r="D2732" s="474" t="s">
        <v>1066</v>
      </c>
      <c r="E2732" s="388"/>
      <c r="F2732" s="474" t="s">
        <v>1147</v>
      </c>
      <c r="G2732" s="474">
        <v>2022</v>
      </c>
      <c r="H2732" s="474">
        <v>4</v>
      </c>
      <c r="I2732" s="485" t="s">
        <v>1544</v>
      </c>
      <c r="J2732" s="475">
        <v>44673</v>
      </c>
      <c r="K2732" s="474" t="s">
        <v>1619</v>
      </c>
      <c r="L2732" s="475" t="s">
        <v>1561</v>
      </c>
      <c r="M2732" s="475">
        <v>44468</v>
      </c>
      <c r="N2732" s="475" t="s">
        <v>1588</v>
      </c>
      <c r="O2732" s="475"/>
      <c r="P2732" s="475">
        <v>44658</v>
      </c>
      <c r="Q2732" s="475">
        <v>44673</v>
      </c>
      <c r="R2732" s="475">
        <v>44673</v>
      </c>
      <c r="S2732" s="474" t="s">
        <v>1563</v>
      </c>
      <c r="T2732" s="474">
        <v>60</v>
      </c>
      <c r="U2732" s="474" t="s">
        <v>1595</v>
      </c>
      <c r="V2732" s="474" t="s">
        <v>1574</v>
      </c>
      <c r="W2732" s="476">
        <v>400</v>
      </c>
      <c r="X2732" s="402">
        <v>624</v>
      </c>
      <c r="Y2732" s="491">
        <f t="shared" si="465"/>
        <v>249600</v>
      </c>
      <c r="Z2732" s="478">
        <v>0.48</v>
      </c>
      <c r="AA2732" s="492">
        <f t="shared" si="466"/>
        <v>119808</v>
      </c>
      <c r="AB2732" s="386"/>
      <c r="AC2732" s="481">
        <v>0</v>
      </c>
      <c r="AD2732" s="474"/>
      <c r="AE2732" s="482"/>
      <c r="AF2732" s="493">
        <f t="shared" si="467"/>
        <v>119808</v>
      </c>
      <c r="AG2732" s="474" t="s">
        <v>47</v>
      </c>
      <c r="AH2732" s="447"/>
      <c r="AI2732" s="474">
        <v>75</v>
      </c>
      <c r="AJ2732" s="474" t="s">
        <v>1575</v>
      </c>
      <c r="AK2732" s="474" t="s">
        <v>50</v>
      </c>
      <c r="AL2732" s="494">
        <v>94544</v>
      </c>
      <c r="AM2732" s="474" t="s">
        <v>52</v>
      </c>
      <c r="AN2732" s="474" t="s">
        <v>50</v>
      </c>
      <c r="AO2732" s="474"/>
      <c r="AP2732" s="474" t="s">
        <v>92</v>
      </c>
      <c r="AQ2732" s="474" t="s">
        <v>37</v>
      </c>
      <c r="AR2732" s="474"/>
      <c r="AS2732" s="387"/>
      <c r="AT2732" s="387"/>
      <c r="AU2732" s="471"/>
      <c r="AV2732" s="262" t="str">
        <f t="shared" si="468"/>
        <v>30390256H</v>
      </c>
      <c r="AW2732" s="262" cm="1">
        <f t="array" ref="AW2732">SUM(MID(0&amp;AV2732,LARGE(INDEX(ISNUMBER(--MID(AV2732,ROW($1:$8),1))*ROW($1:$8),),ROW($1:$8))+1,1)*10^ROW($1:$8)/10)</f>
        <v>30390256</v>
      </c>
      <c r="AX2732" s="262" t="str">
        <f>VLOOKUP($AW2732,'Item Master Data'!$A:$F,3,FALSE)</f>
        <v>T400H</v>
      </c>
      <c r="AY2732" s="262">
        <f>VLOOKUP($AW2732,'Item Master Data'!$A:$F,6,FALSE)</f>
        <v>400</v>
      </c>
      <c r="AZ2732" s="262">
        <f t="shared" si="469"/>
        <v>24</v>
      </c>
      <c r="BA2732" s="262">
        <f>VLOOKUP(AW2732,'Item Master Data'!$A:$G,7,FALSE)</f>
        <v>26</v>
      </c>
      <c r="BC2732" s="262">
        <f t="shared" si="470"/>
        <v>0</v>
      </c>
    </row>
    <row r="2733" spans="1:55">
      <c r="A2733" s="410"/>
      <c r="B2733" s="407"/>
      <c r="C2733" s="407"/>
      <c r="D2733" s="474" t="s">
        <v>1066</v>
      </c>
      <c r="E2733" s="388"/>
      <c r="F2733" s="474" t="s">
        <v>1147</v>
      </c>
      <c r="G2733" s="474">
        <v>2022</v>
      </c>
      <c r="H2733" s="474">
        <v>4</v>
      </c>
      <c r="I2733" s="485" t="s">
        <v>1544</v>
      </c>
      <c r="J2733" s="475">
        <v>44673</v>
      </c>
      <c r="K2733" s="474" t="s">
        <v>1619</v>
      </c>
      <c r="L2733" s="475" t="s">
        <v>1561</v>
      </c>
      <c r="M2733" s="475">
        <v>44468</v>
      </c>
      <c r="N2733" s="475" t="s">
        <v>1588</v>
      </c>
      <c r="O2733" s="475"/>
      <c r="P2733" s="475">
        <v>44658</v>
      </c>
      <c r="Q2733" s="475">
        <v>44673</v>
      </c>
      <c r="R2733" s="475">
        <v>44673</v>
      </c>
      <c r="S2733" s="474" t="s">
        <v>1563</v>
      </c>
      <c r="T2733" s="474">
        <v>60</v>
      </c>
      <c r="U2733" s="474" t="s">
        <v>1595</v>
      </c>
      <c r="V2733" s="474" t="s">
        <v>1574</v>
      </c>
      <c r="W2733" s="476">
        <v>400</v>
      </c>
      <c r="X2733" s="402">
        <v>624</v>
      </c>
      <c r="Y2733" s="491">
        <f t="shared" si="465"/>
        <v>249600</v>
      </c>
      <c r="Z2733" s="478">
        <v>0.48</v>
      </c>
      <c r="AA2733" s="492">
        <f t="shared" si="466"/>
        <v>119808</v>
      </c>
      <c r="AB2733" s="386"/>
      <c r="AC2733" s="481">
        <v>0</v>
      </c>
      <c r="AD2733" s="474"/>
      <c r="AE2733" s="482"/>
      <c r="AF2733" s="493">
        <f t="shared" si="467"/>
        <v>119808</v>
      </c>
      <c r="AG2733" s="474" t="s">
        <v>47</v>
      </c>
      <c r="AH2733" s="447"/>
      <c r="AI2733" s="474">
        <v>75</v>
      </c>
      <c r="AJ2733" s="474" t="s">
        <v>1575</v>
      </c>
      <c r="AK2733" s="474" t="s">
        <v>50</v>
      </c>
      <c r="AL2733" s="494">
        <v>94544</v>
      </c>
      <c r="AM2733" s="474" t="s">
        <v>52</v>
      </c>
      <c r="AN2733" s="474" t="s">
        <v>50</v>
      </c>
      <c r="AO2733" s="474"/>
      <c r="AP2733" s="474" t="s">
        <v>92</v>
      </c>
      <c r="AQ2733" s="474" t="s">
        <v>37</v>
      </c>
      <c r="AR2733" s="474"/>
      <c r="AS2733" s="387"/>
      <c r="AT2733" s="387"/>
      <c r="AU2733" s="471"/>
      <c r="AV2733" s="262" t="str">
        <f t="shared" si="468"/>
        <v>30390256H</v>
      </c>
      <c r="AW2733" s="262" cm="1">
        <f t="array" ref="AW2733">SUM(MID(0&amp;AV2733,LARGE(INDEX(ISNUMBER(--MID(AV2733,ROW($1:$8),1))*ROW($1:$8),),ROW($1:$8))+1,1)*10^ROW($1:$8)/10)</f>
        <v>30390256</v>
      </c>
      <c r="AX2733" s="262" t="str">
        <f>VLOOKUP($AW2733,'Item Master Data'!$A:$F,3,FALSE)</f>
        <v>T400H</v>
      </c>
      <c r="AY2733" s="262">
        <f>VLOOKUP($AW2733,'Item Master Data'!$A:$F,6,FALSE)</f>
        <v>400</v>
      </c>
      <c r="AZ2733" s="262">
        <f t="shared" si="469"/>
        <v>24</v>
      </c>
      <c r="BA2733" s="262">
        <f>VLOOKUP(AW2733,'Item Master Data'!$A:$G,7,FALSE)</f>
        <v>26</v>
      </c>
      <c r="BC2733" s="262">
        <f t="shared" si="470"/>
        <v>0</v>
      </c>
    </row>
    <row r="2734" spans="1:55">
      <c r="A2734" s="410"/>
      <c r="B2734" s="407"/>
      <c r="C2734" s="407"/>
      <c r="D2734" s="474" t="s">
        <v>1066</v>
      </c>
      <c r="E2734" s="388"/>
      <c r="F2734" s="474" t="s">
        <v>1147</v>
      </c>
      <c r="G2734" s="474">
        <v>2022</v>
      </c>
      <c r="H2734" s="474">
        <v>4</v>
      </c>
      <c r="I2734" s="485" t="s">
        <v>1544</v>
      </c>
      <c r="J2734" s="475">
        <v>44673</v>
      </c>
      <c r="K2734" s="474" t="s">
        <v>1619</v>
      </c>
      <c r="L2734" s="475" t="s">
        <v>1561</v>
      </c>
      <c r="M2734" s="475">
        <v>44468</v>
      </c>
      <c r="N2734" s="475" t="s">
        <v>1588</v>
      </c>
      <c r="O2734" s="475"/>
      <c r="P2734" s="475">
        <v>44658</v>
      </c>
      <c r="Q2734" s="475">
        <v>44673</v>
      </c>
      <c r="R2734" s="475">
        <v>44673</v>
      </c>
      <c r="S2734" s="474" t="s">
        <v>1563</v>
      </c>
      <c r="T2734" s="474">
        <v>60</v>
      </c>
      <c r="U2734" s="474" t="s">
        <v>1595</v>
      </c>
      <c r="V2734" s="474" t="s">
        <v>1574</v>
      </c>
      <c r="W2734" s="476">
        <v>400</v>
      </c>
      <c r="X2734" s="402">
        <v>624</v>
      </c>
      <c r="Y2734" s="491">
        <f t="shared" si="465"/>
        <v>249600</v>
      </c>
      <c r="Z2734" s="478">
        <v>0.48</v>
      </c>
      <c r="AA2734" s="492">
        <f t="shared" si="466"/>
        <v>119808</v>
      </c>
      <c r="AB2734" s="386"/>
      <c r="AC2734" s="481">
        <v>0</v>
      </c>
      <c r="AD2734" s="474"/>
      <c r="AE2734" s="482"/>
      <c r="AF2734" s="493">
        <f t="shared" si="467"/>
        <v>119808</v>
      </c>
      <c r="AG2734" s="474" t="s">
        <v>47</v>
      </c>
      <c r="AH2734" s="447"/>
      <c r="AI2734" s="474">
        <v>75</v>
      </c>
      <c r="AJ2734" s="474" t="s">
        <v>1575</v>
      </c>
      <c r="AK2734" s="474" t="s">
        <v>50</v>
      </c>
      <c r="AL2734" s="494">
        <v>94544</v>
      </c>
      <c r="AM2734" s="474" t="s">
        <v>52</v>
      </c>
      <c r="AN2734" s="474" t="s">
        <v>50</v>
      </c>
      <c r="AO2734" s="474"/>
      <c r="AP2734" s="474" t="s">
        <v>92</v>
      </c>
      <c r="AQ2734" s="474" t="s">
        <v>37</v>
      </c>
      <c r="AR2734" s="474"/>
      <c r="AS2734" s="387"/>
      <c r="AT2734" s="387"/>
      <c r="AU2734" s="471"/>
      <c r="AV2734" s="262" t="str">
        <f t="shared" si="468"/>
        <v>30390256H</v>
      </c>
      <c r="AW2734" s="262" cm="1">
        <f t="array" ref="AW2734">SUM(MID(0&amp;AV2734,LARGE(INDEX(ISNUMBER(--MID(AV2734,ROW($1:$8),1))*ROW($1:$8),),ROW($1:$8))+1,1)*10^ROW($1:$8)/10)</f>
        <v>30390256</v>
      </c>
      <c r="AX2734" s="262" t="str">
        <f>VLOOKUP($AW2734,'Item Master Data'!$A:$F,3,FALSE)</f>
        <v>T400H</v>
      </c>
      <c r="AY2734" s="262">
        <f>VLOOKUP($AW2734,'Item Master Data'!$A:$F,6,FALSE)</f>
        <v>400</v>
      </c>
      <c r="AZ2734" s="262">
        <f t="shared" si="469"/>
        <v>24</v>
      </c>
      <c r="BA2734" s="262">
        <f>VLOOKUP(AW2734,'Item Master Data'!$A:$G,7,FALSE)</f>
        <v>26</v>
      </c>
      <c r="BC2734" s="262">
        <f t="shared" si="470"/>
        <v>0</v>
      </c>
    </row>
    <row r="2735" spans="1:55">
      <c r="A2735" s="410"/>
      <c r="B2735" s="407"/>
      <c r="C2735" s="407"/>
      <c r="D2735" s="474" t="s">
        <v>1066</v>
      </c>
      <c r="E2735" s="388"/>
      <c r="F2735" s="474" t="s">
        <v>1147</v>
      </c>
      <c r="G2735" s="474">
        <v>2022</v>
      </c>
      <c r="H2735" s="474">
        <v>4</v>
      </c>
      <c r="I2735" s="485" t="s">
        <v>1544</v>
      </c>
      <c r="J2735" s="475">
        <v>44673</v>
      </c>
      <c r="K2735" s="474" t="s">
        <v>1619</v>
      </c>
      <c r="L2735" s="475" t="s">
        <v>1561</v>
      </c>
      <c r="M2735" s="475">
        <v>44468</v>
      </c>
      <c r="N2735" s="475" t="s">
        <v>1588</v>
      </c>
      <c r="O2735" s="475"/>
      <c r="P2735" s="475">
        <v>44658</v>
      </c>
      <c r="Q2735" s="475">
        <v>44673</v>
      </c>
      <c r="R2735" s="475">
        <v>44673</v>
      </c>
      <c r="S2735" s="474" t="s">
        <v>1563</v>
      </c>
      <c r="T2735" s="474">
        <v>60</v>
      </c>
      <c r="U2735" s="474" t="s">
        <v>1595</v>
      </c>
      <c r="V2735" s="474" t="s">
        <v>1574</v>
      </c>
      <c r="W2735" s="476">
        <v>400</v>
      </c>
      <c r="X2735" s="402">
        <v>624</v>
      </c>
      <c r="Y2735" s="491">
        <f t="shared" si="465"/>
        <v>249600</v>
      </c>
      <c r="Z2735" s="478">
        <v>0.48</v>
      </c>
      <c r="AA2735" s="492">
        <f t="shared" si="466"/>
        <v>119808</v>
      </c>
      <c r="AB2735" s="386"/>
      <c r="AC2735" s="481">
        <v>0</v>
      </c>
      <c r="AD2735" s="474"/>
      <c r="AE2735" s="482"/>
      <c r="AF2735" s="493">
        <f t="shared" si="467"/>
        <v>119808</v>
      </c>
      <c r="AG2735" s="474" t="s">
        <v>47</v>
      </c>
      <c r="AH2735" s="447"/>
      <c r="AI2735" s="474">
        <v>75</v>
      </c>
      <c r="AJ2735" s="474" t="s">
        <v>1575</v>
      </c>
      <c r="AK2735" s="474" t="s">
        <v>50</v>
      </c>
      <c r="AL2735" s="494">
        <v>94544</v>
      </c>
      <c r="AM2735" s="474" t="s">
        <v>52</v>
      </c>
      <c r="AN2735" s="474" t="s">
        <v>50</v>
      </c>
      <c r="AO2735" s="474"/>
      <c r="AP2735" s="474" t="s">
        <v>92</v>
      </c>
      <c r="AQ2735" s="474" t="s">
        <v>37</v>
      </c>
      <c r="AR2735" s="474"/>
      <c r="AS2735" s="387"/>
      <c r="AT2735" s="387"/>
      <c r="AU2735" s="471"/>
      <c r="AV2735" s="262" t="str">
        <f t="shared" si="468"/>
        <v>30390256H</v>
      </c>
      <c r="AW2735" s="262" cm="1">
        <f t="array" ref="AW2735">SUM(MID(0&amp;AV2735,LARGE(INDEX(ISNUMBER(--MID(AV2735,ROW($1:$8),1))*ROW($1:$8),),ROW($1:$8))+1,1)*10^ROW($1:$8)/10)</f>
        <v>30390256</v>
      </c>
      <c r="AX2735" s="262" t="str">
        <f>VLOOKUP($AW2735,'Item Master Data'!$A:$F,3,FALSE)</f>
        <v>T400H</v>
      </c>
      <c r="AY2735" s="262">
        <f>VLOOKUP($AW2735,'Item Master Data'!$A:$F,6,FALSE)</f>
        <v>400</v>
      </c>
      <c r="AZ2735" s="262">
        <f t="shared" si="469"/>
        <v>24</v>
      </c>
      <c r="BA2735" s="262">
        <f>VLOOKUP(AW2735,'Item Master Data'!$A:$G,7,FALSE)</f>
        <v>26</v>
      </c>
      <c r="BC2735" s="262">
        <f t="shared" si="470"/>
        <v>0</v>
      </c>
    </row>
    <row r="2736" spans="1:55">
      <c r="A2736" s="410"/>
      <c r="B2736" s="407"/>
      <c r="C2736" s="407"/>
      <c r="D2736" s="474" t="s">
        <v>1066</v>
      </c>
      <c r="E2736" s="388"/>
      <c r="F2736" s="474" t="s">
        <v>1147</v>
      </c>
      <c r="G2736" s="474">
        <v>2022</v>
      </c>
      <c r="H2736" s="474">
        <v>4</v>
      </c>
      <c r="I2736" s="485"/>
      <c r="J2736" s="475">
        <v>44678</v>
      </c>
      <c r="K2736" s="474" t="s">
        <v>1619</v>
      </c>
      <c r="L2736" s="475" t="s">
        <v>1561</v>
      </c>
      <c r="M2736" s="475">
        <v>44468</v>
      </c>
      <c r="N2736" s="475" t="s">
        <v>1588</v>
      </c>
      <c r="O2736" s="475"/>
      <c r="P2736" s="475">
        <v>44658</v>
      </c>
      <c r="Q2736" s="475">
        <v>44677</v>
      </c>
      <c r="R2736" s="475">
        <v>44678</v>
      </c>
      <c r="S2736" s="474" t="s">
        <v>1563</v>
      </c>
      <c r="T2736" s="474">
        <v>60</v>
      </c>
      <c r="U2736" s="474" t="s">
        <v>1595</v>
      </c>
      <c r="V2736" s="474" t="s">
        <v>1574</v>
      </c>
      <c r="W2736" s="476">
        <v>400</v>
      </c>
      <c r="X2736" s="402">
        <v>624</v>
      </c>
      <c r="Y2736" s="491">
        <f t="shared" si="465"/>
        <v>249600</v>
      </c>
      <c r="Z2736" s="478">
        <v>0.48</v>
      </c>
      <c r="AA2736" s="492">
        <f t="shared" si="466"/>
        <v>119808</v>
      </c>
      <c r="AB2736" s="386"/>
      <c r="AC2736" s="481">
        <v>0</v>
      </c>
      <c r="AD2736" s="474"/>
      <c r="AE2736" s="482"/>
      <c r="AF2736" s="493">
        <f t="shared" si="467"/>
        <v>119808</v>
      </c>
      <c r="AG2736" s="474" t="s">
        <v>47</v>
      </c>
      <c r="AH2736" s="447"/>
      <c r="AI2736" s="474">
        <v>75</v>
      </c>
      <c r="AJ2736" s="474" t="s">
        <v>1575</v>
      </c>
      <c r="AK2736" s="474" t="s">
        <v>50</v>
      </c>
      <c r="AL2736" s="494">
        <v>94544</v>
      </c>
      <c r="AM2736" s="474" t="s">
        <v>52</v>
      </c>
      <c r="AN2736" s="474" t="s">
        <v>50</v>
      </c>
      <c r="AO2736" s="474"/>
      <c r="AP2736" s="474" t="s">
        <v>92</v>
      </c>
      <c r="AQ2736" s="474" t="s">
        <v>37</v>
      </c>
      <c r="AR2736" s="474"/>
      <c r="AS2736" s="387"/>
      <c r="AT2736" s="387"/>
      <c r="AU2736" s="471"/>
      <c r="AV2736" s="262" t="str">
        <f t="shared" si="468"/>
        <v>30390256H</v>
      </c>
      <c r="AW2736" s="262" cm="1">
        <f t="array" ref="AW2736">SUM(MID(0&amp;AV2736,LARGE(INDEX(ISNUMBER(--MID(AV2736,ROW($1:$8),1))*ROW($1:$8),),ROW($1:$8))+1,1)*10^ROW($1:$8)/10)</f>
        <v>30390256</v>
      </c>
      <c r="AX2736" s="262" t="str">
        <f>VLOOKUP($AW2736,'Item Master Data'!$A:$F,3,FALSE)</f>
        <v>T400H</v>
      </c>
      <c r="AY2736" s="262">
        <f>VLOOKUP($AW2736,'Item Master Data'!$A:$F,6,FALSE)</f>
        <v>400</v>
      </c>
      <c r="AZ2736" s="262">
        <f t="shared" si="469"/>
        <v>24</v>
      </c>
      <c r="BA2736" s="262">
        <f>VLOOKUP(AW2736,'Item Master Data'!$A:$G,7,FALSE)</f>
        <v>26</v>
      </c>
      <c r="BC2736" s="262">
        <f t="shared" si="470"/>
        <v>0</v>
      </c>
    </row>
    <row r="2737" spans="1:55">
      <c r="A2737" s="410"/>
      <c r="B2737" s="407"/>
      <c r="C2737" s="407"/>
      <c r="D2737" s="474" t="s">
        <v>1066</v>
      </c>
      <c r="E2737" s="388"/>
      <c r="F2737" s="474" t="s">
        <v>1147</v>
      </c>
      <c r="G2737" s="474">
        <v>2022</v>
      </c>
      <c r="H2737" s="474">
        <v>4</v>
      </c>
      <c r="I2737" s="485"/>
      <c r="J2737" s="475">
        <v>44678</v>
      </c>
      <c r="K2737" s="474" t="s">
        <v>1619</v>
      </c>
      <c r="L2737" s="475" t="s">
        <v>1561</v>
      </c>
      <c r="M2737" s="475">
        <v>44468</v>
      </c>
      <c r="N2737" s="475" t="s">
        <v>1588</v>
      </c>
      <c r="O2737" s="475"/>
      <c r="P2737" s="475">
        <v>44658</v>
      </c>
      <c r="Q2737" s="475">
        <v>44677</v>
      </c>
      <c r="R2737" s="475">
        <v>44678</v>
      </c>
      <c r="S2737" s="474" t="s">
        <v>1563</v>
      </c>
      <c r="T2737" s="474">
        <v>60</v>
      </c>
      <c r="U2737" s="474" t="s">
        <v>1595</v>
      </c>
      <c r="V2737" s="474" t="s">
        <v>1574</v>
      </c>
      <c r="W2737" s="476">
        <v>400</v>
      </c>
      <c r="X2737" s="402">
        <v>624</v>
      </c>
      <c r="Y2737" s="491">
        <f t="shared" si="465"/>
        <v>249600</v>
      </c>
      <c r="Z2737" s="478">
        <v>0.48</v>
      </c>
      <c r="AA2737" s="492">
        <f t="shared" si="466"/>
        <v>119808</v>
      </c>
      <c r="AB2737" s="386"/>
      <c r="AC2737" s="481">
        <v>0</v>
      </c>
      <c r="AD2737" s="474"/>
      <c r="AE2737" s="482"/>
      <c r="AF2737" s="493">
        <f t="shared" si="467"/>
        <v>119808</v>
      </c>
      <c r="AG2737" s="474" t="s">
        <v>47</v>
      </c>
      <c r="AH2737" s="447"/>
      <c r="AI2737" s="474">
        <v>75</v>
      </c>
      <c r="AJ2737" s="474" t="s">
        <v>1575</v>
      </c>
      <c r="AK2737" s="474" t="s">
        <v>50</v>
      </c>
      <c r="AL2737" s="494">
        <v>94544</v>
      </c>
      <c r="AM2737" s="474" t="s">
        <v>52</v>
      </c>
      <c r="AN2737" s="474" t="s">
        <v>50</v>
      </c>
      <c r="AO2737" s="474"/>
      <c r="AP2737" s="474" t="s">
        <v>92</v>
      </c>
      <c r="AQ2737" s="474" t="s">
        <v>37</v>
      </c>
      <c r="AR2737" s="474"/>
      <c r="AS2737" s="387"/>
      <c r="AT2737" s="387"/>
      <c r="AU2737" s="471"/>
      <c r="AV2737" s="262" t="str">
        <f t="shared" si="468"/>
        <v>30390256H</v>
      </c>
      <c r="AW2737" s="262" cm="1">
        <f t="array" ref="AW2737">SUM(MID(0&amp;AV2737,LARGE(INDEX(ISNUMBER(--MID(AV2737,ROW($1:$8),1))*ROW($1:$8),),ROW($1:$8))+1,1)*10^ROW($1:$8)/10)</f>
        <v>30390256</v>
      </c>
      <c r="AX2737" s="262" t="str">
        <f>VLOOKUP($AW2737,'Item Master Data'!$A:$F,3,FALSE)</f>
        <v>T400H</v>
      </c>
      <c r="AY2737" s="262">
        <f>VLOOKUP($AW2737,'Item Master Data'!$A:$F,6,FALSE)</f>
        <v>400</v>
      </c>
      <c r="AZ2737" s="262">
        <f t="shared" si="469"/>
        <v>24</v>
      </c>
      <c r="BA2737" s="262">
        <f>VLOOKUP(AW2737,'Item Master Data'!$A:$G,7,FALSE)</f>
        <v>26</v>
      </c>
      <c r="BC2737" s="262">
        <f t="shared" si="470"/>
        <v>0</v>
      </c>
    </row>
    <row r="2738" spans="1:55">
      <c r="A2738" s="410"/>
      <c r="B2738" s="407"/>
      <c r="C2738" s="407"/>
      <c r="D2738" s="474" t="s">
        <v>1066</v>
      </c>
      <c r="E2738" s="388"/>
      <c r="F2738" s="474" t="s">
        <v>1147</v>
      </c>
      <c r="G2738" s="474">
        <v>2022</v>
      </c>
      <c r="H2738" s="474">
        <v>4</v>
      </c>
      <c r="I2738" s="485"/>
      <c r="J2738" s="475" t="s">
        <v>5668</v>
      </c>
      <c r="K2738" s="474" t="s">
        <v>5669</v>
      </c>
      <c r="L2738" s="475" t="s">
        <v>1561</v>
      </c>
      <c r="M2738" s="475">
        <v>44468</v>
      </c>
      <c r="N2738" s="475" t="s">
        <v>1631</v>
      </c>
      <c r="O2738" s="475"/>
      <c r="P2738" s="475">
        <v>44678</v>
      </c>
      <c r="Q2738" s="475">
        <v>44679</v>
      </c>
      <c r="R2738" s="475">
        <v>44680</v>
      </c>
      <c r="S2738" s="474" t="s">
        <v>1563</v>
      </c>
      <c r="T2738" s="474">
        <v>60</v>
      </c>
      <c r="U2738" s="474" t="s">
        <v>1595</v>
      </c>
      <c r="V2738" s="474" t="s">
        <v>1574</v>
      </c>
      <c r="W2738" s="476">
        <v>400</v>
      </c>
      <c r="X2738" s="402">
        <v>624</v>
      </c>
      <c r="Y2738" s="491">
        <f t="shared" si="465"/>
        <v>249600</v>
      </c>
      <c r="Z2738" s="478">
        <v>0.48</v>
      </c>
      <c r="AA2738" s="492">
        <f t="shared" si="466"/>
        <v>119808</v>
      </c>
      <c r="AB2738" s="386"/>
      <c r="AC2738" s="481">
        <v>0</v>
      </c>
      <c r="AD2738" s="474"/>
      <c r="AE2738" s="482"/>
      <c r="AF2738" s="493">
        <f t="shared" si="467"/>
        <v>119808</v>
      </c>
      <c r="AG2738" s="474" t="s">
        <v>47</v>
      </c>
      <c r="AH2738" s="447"/>
      <c r="AI2738" s="474">
        <v>75</v>
      </c>
      <c r="AJ2738" s="474" t="s">
        <v>1580</v>
      </c>
      <c r="AK2738" s="474" t="s">
        <v>1073</v>
      </c>
      <c r="AL2738" s="494">
        <v>21075</v>
      </c>
      <c r="AM2738" s="474" t="s">
        <v>52</v>
      </c>
      <c r="AN2738" s="474" t="s">
        <v>50</v>
      </c>
      <c r="AO2738" s="474"/>
      <c r="AP2738" s="474" t="s">
        <v>92</v>
      </c>
      <c r="AQ2738" s="474" t="s">
        <v>37</v>
      </c>
      <c r="AR2738" s="474"/>
      <c r="AS2738" s="387"/>
      <c r="AT2738" s="387"/>
      <c r="AU2738" s="471"/>
      <c r="AV2738" s="262" t="str">
        <f t="shared" si="468"/>
        <v>30390256H</v>
      </c>
      <c r="AW2738" s="262" cm="1">
        <f t="array" ref="AW2738">SUM(MID(0&amp;AV2738,LARGE(INDEX(ISNUMBER(--MID(AV2738,ROW($1:$8),1))*ROW($1:$8),),ROW($1:$8))+1,1)*10^ROW($1:$8)/10)</f>
        <v>30390256</v>
      </c>
      <c r="AX2738" s="262" t="str">
        <f>VLOOKUP($AW2738,'Item Master Data'!$A:$F,3,FALSE)</f>
        <v>T400H</v>
      </c>
      <c r="AY2738" s="262">
        <f>VLOOKUP($AW2738,'Item Master Data'!$A:$F,6,FALSE)</f>
        <v>400</v>
      </c>
      <c r="AZ2738" s="262">
        <f t="shared" si="469"/>
        <v>24</v>
      </c>
      <c r="BA2738" s="262">
        <f>VLOOKUP(AW2738,'Item Master Data'!$A:$G,7,FALSE)</f>
        <v>26</v>
      </c>
      <c r="BC2738" s="262">
        <f t="shared" si="470"/>
        <v>0</v>
      </c>
    </row>
    <row r="2739" spans="1:55">
      <c r="A2739" s="410"/>
      <c r="B2739" s="407"/>
      <c r="C2739" s="407"/>
      <c r="D2739" s="474" t="s">
        <v>1066</v>
      </c>
      <c r="E2739" s="388"/>
      <c r="F2739" s="474" t="s">
        <v>1147</v>
      </c>
      <c r="G2739" s="474">
        <v>2022</v>
      </c>
      <c r="H2739" s="474">
        <v>4</v>
      </c>
      <c r="I2739" s="485"/>
      <c r="J2739" s="475" t="s">
        <v>5668</v>
      </c>
      <c r="K2739" s="474" t="s">
        <v>5669</v>
      </c>
      <c r="L2739" s="475" t="s">
        <v>1561</v>
      </c>
      <c r="M2739" s="475">
        <v>44468</v>
      </c>
      <c r="N2739" s="475" t="s">
        <v>1631</v>
      </c>
      <c r="O2739" s="475"/>
      <c r="P2739" s="475">
        <v>44678</v>
      </c>
      <c r="Q2739" s="475">
        <v>44679</v>
      </c>
      <c r="R2739" s="475">
        <v>44680</v>
      </c>
      <c r="S2739" s="474" t="s">
        <v>1563</v>
      </c>
      <c r="T2739" s="474">
        <v>60</v>
      </c>
      <c r="U2739" s="474" t="s">
        <v>1595</v>
      </c>
      <c r="V2739" s="474" t="s">
        <v>1574</v>
      </c>
      <c r="W2739" s="476">
        <v>400</v>
      </c>
      <c r="X2739" s="402">
        <v>624</v>
      </c>
      <c r="Y2739" s="491">
        <f t="shared" si="465"/>
        <v>249600</v>
      </c>
      <c r="Z2739" s="478">
        <v>0.48</v>
      </c>
      <c r="AA2739" s="492">
        <f t="shared" si="466"/>
        <v>119808</v>
      </c>
      <c r="AB2739" s="386"/>
      <c r="AC2739" s="481">
        <v>0</v>
      </c>
      <c r="AD2739" s="474"/>
      <c r="AE2739" s="482"/>
      <c r="AF2739" s="493">
        <f t="shared" si="467"/>
        <v>119808</v>
      </c>
      <c r="AG2739" s="474" t="s">
        <v>47</v>
      </c>
      <c r="AH2739" s="447"/>
      <c r="AI2739" s="474">
        <v>75</v>
      </c>
      <c r="AJ2739" s="474" t="s">
        <v>1580</v>
      </c>
      <c r="AK2739" s="474" t="s">
        <v>1073</v>
      </c>
      <c r="AL2739" s="494">
        <v>21075</v>
      </c>
      <c r="AM2739" s="474" t="s">
        <v>52</v>
      </c>
      <c r="AN2739" s="474" t="s">
        <v>50</v>
      </c>
      <c r="AO2739" s="474"/>
      <c r="AP2739" s="474" t="s">
        <v>92</v>
      </c>
      <c r="AQ2739" s="474" t="s">
        <v>37</v>
      </c>
      <c r="AR2739" s="474"/>
      <c r="AS2739" s="387"/>
      <c r="AT2739" s="387"/>
      <c r="AU2739" s="471"/>
      <c r="AV2739" s="262" t="str">
        <f t="shared" si="468"/>
        <v>30390256H</v>
      </c>
      <c r="AW2739" s="262" cm="1">
        <f t="array" ref="AW2739">SUM(MID(0&amp;AV2739,LARGE(INDEX(ISNUMBER(--MID(AV2739,ROW($1:$8),1))*ROW($1:$8),),ROW($1:$8))+1,1)*10^ROW($1:$8)/10)</f>
        <v>30390256</v>
      </c>
      <c r="AX2739" s="262" t="str">
        <f>VLOOKUP($AW2739,'Item Master Data'!$A:$F,3,FALSE)</f>
        <v>T400H</v>
      </c>
      <c r="AY2739" s="262">
        <f>VLOOKUP($AW2739,'Item Master Data'!$A:$F,6,FALSE)</f>
        <v>400</v>
      </c>
      <c r="AZ2739" s="262">
        <f t="shared" si="469"/>
        <v>24</v>
      </c>
      <c r="BA2739" s="262">
        <f>VLOOKUP(AW2739,'Item Master Data'!$A:$G,7,FALSE)</f>
        <v>26</v>
      </c>
      <c r="BC2739" s="262">
        <f t="shared" si="470"/>
        <v>0</v>
      </c>
    </row>
    <row r="2740" spans="1:55">
      <c r="A2740" s="410"/>
      <c r="B2740" s="407"/>
      <c r="C2740" s="407"/>
      <c r="D2740" s="474" t="s">
        <v>1066</v>
      </c>
      <c r="E2740" s="388"/>
      <c r="F2740" s="474" t="s">
        <v>1147</v>
      </c>
      <c r="G2740" s="474">
        <v>2022</v>
      </c>
      <c r="H2740" s="474">
        <v>4</v>
      </c>
      <c r="I2740" s="485"/>
      <c r="J2740" s="475" t="s">
        <v>5668</v>
      </c>
      <c r="K2740" s="474" t="s">
        <v>5669</v>
      </c>
      <c r="L2740" s="475" t="s">
        <v>1561</v>
      </c>
      <c r="M2740" s="475">
        <v>44468</v>
      </c>
      <c r="N2740" s="475" t="s">
        <v>1631</v>
      </c>
      <c r="O2740" s="475"/>
      <c r="P2740" s="475">
        <v>44678</v>
      </c>
      <c r="Q2740" s="475">
        <v>44679</v>
      </c>
      <c r="R2740" s="475">
        <v>44680</v>
      </c>
      <c r="S2740" s="474" t="s">
        <v>1563</v>
      </c>
      <c r="T2740" s="474">
        <v>60</v>
      </c>
      <c r="U2740" s="474" t="s">
        <v>1595</v>
      </c>
      <c r="V2740" s="474" t="s">
        <v>1574</v>
      </c>
      <c r="W2740" s="476">
        <v>400</v>
      </c>
      <c r="X2740" s="402">
        <v>624</v>
      </c>
      <c r="Y2740" s="491">
        <f t="shared" si="465"/>
        <v>249600</v>
      </c>
      <c r="Z2740" s="478">
        <v>0.48</v>
      </c>
      <c r="AA2740" s="492">
        <f t="shared" si="466"/>
        <v>119808</v>
      </c>
      <c r="AB2740" s="386"/>
      <c r="AC2740" s="481">
        <v>0</v>
      </c>
      <c r="AD2740" s="474"/>
      <c r="AE2740" s="482"/>
      <c r="AF2740" s="493">
        <f t="shared" si="467"/>
        <v>119808</v>
      </c>
      <c r="AG2740" s="474" t="s">
        <v>47</v>
      </c>
      <c r="AH2740" s="447"/>
      <c r="AI2740" s="474">
        <v>75</v>
      </c>
      <c r="AJ2740" s="474" t="s">
        <v>1580</v>
      </c>
      <c r="AK2740" s="474" t="s">
        <v>1073</v>
      </c>
      <c r="AL2740" s="494">
        <v>21075</v>
      </c>
      <c r="AM2740" s="474" t="s">
        <v>52</v>
      </c>
      <c r="AN2740" s="474" t="s">
        <v>50</v>
      </c>
      <c r="AO2740" s="474"/>
      <c r="AP2740" s="474" t="s">
        <v>92</v>
      </c>
      <c r="AQ2740" s="474" t="s">
        <v>37</v>
      </c>
      <c r="AR2740" s="474"/>
      <c r="AS2740" s="387"/>
      <c r="AT2740" s="387"/>
      <c r="AU2740" s="471"/>
      <c r="AV2740" s="262" t="str">
        <f t="shared" si="468"/>
        <v>30390256H</v>
      </c>
      <c r="AW2740" s="262" cm="1">
        <f t="array" ref="AW2740">SUM(MID(0&amp;AV2740,LARGE(INDEX(ISNUMBER(--MID(AV2740,ROW($1:$8),1))*ROW($1:$8),),ROW($1:$8))+1,1)*10^ROW($1:$8)/10)</f>
        <v>30390256</v>
      </c>
      <c r="AX2740" s="262" t="str">
        <f>VLOOKUP($AW2740,'Item Master Data'!$A:$F,3,FALSE)</f>
        <v>T400H</v>
      </c>
      <c r="AY2740" s="262">
        <f>VLOOKUP($AW2740,'Item Master Data'!$A:$F,6,FALSE)</f>
        <v>400</v>
      </c>
      <c r="AZ2740" s="262">
        <f t="shared" si="469"/>
        <v>24</v>
      </c>
      <c r="BA2740" s="262">
        <f>VLOOKUP(AW2740,'Item Master Data'!$A:$G,7,FALSE)</f>
        <v>26</v>
      </c>
      <c r="BC2740" s="262">
        <f t="shared" si="470"/>
        <v>0</v>
      </c>
    </row>
    <row r="2741" spans="1:55">
      <c r="A2741" s="410"/>
      <c r="B2741" s="407"/>
      <c r="C2741" s="407"/>
      <c r="D2741" s="474" t="s">
        <v>1066</v>
      </c>
      <c r="E2741" s="475" t="s">
        <v>1122</v>
      </c>
      <c r="F2741" s="474" t="s">
        <v>1147</v>
      </c>
      <c r="G2741" s="474">
        <v>2022</v>
      </c>
      <c r="H2741" s="474">
        <v>4</v>
      </c>
      <c r="I2741" s="485">
        <v>128071</v>
      </c>
      <c r="J2741" s="475">
        <v>44655</v>
      </c>
      <c r="K2741" s="474" t="s">
        <v>1596</v>
      </c>
      <c r="L2741" s="475" t="s">
        <v>1561</v>
      </c>
      <c r="M2741" s="475">
        <v>44468</v>
      </c>
      <c r="N2741" s="475" t="s">
        <v>1586</v>
      </c>
      <c r="O2741" s="475"/>
      <c r="P2741" s="475">
        <v>44630</v>
      </c>
      <c r="Q2741" s="475">
        <v>44652</v>
      </c>
      <c r="R2741" s="475">
        <v>44655</v>
      </c>
      <c r="S2741" s="474" t="s">
        <v>1563</v>
      </c>
      <c r="T2741" s="474">
        <v>60</v>
      </c>
      <c r="U2741" s="474" t="s">
        <v>1573</v>
      </c>
      <c r="V2741" s="474" t="s">
        <v>1574</v>
      </c>
      <c r="W2741" s="476">
        <v>400</v>
      </c>
      <c r="X2741" s="402">
        <v>624</v>
      </c>
      <c r="Y2741" s="491">
        <f t="shared" si="465"/>
        <v>249600</v>
      </c>
      <c r="Z2741" s="478">
        <v>0.48</v>
      </c>
      <c r="AA2741" s="492">
        <f t="shared" si="466"/>
        <v>119808</v>
      </c>
      <c r="AB2741" s="386"/>
      <c r="AC2741" s="481">
        <v>0</v>
      </c>
      <c r="AD2741" s="474"/>
      <c r="AE2741" s="482"/>
      <c r="AF2741" s="493">
        <f t="shared" si="467"/>
        <v>119808</v>
      </c>
      <c r="AG2741" s="474" t="s">
        <v>47</v>
      </c>
      <c r="AH2741" s="447"/>
      <c r="AI2741" s="474">
        <v>75</v>
      </c>
      <c r="AJ2741" s="474" t="s">
        <v>1575</v>
      </c>
      <c r="AK2741" s="474" t="s">
        <v>50</v>
      </c>
      <c r="AL2741" s="494">
        <v>94544</v>
      </c>
      <c r="AM2741" s="474" t="s">
        <v>52</v>
      </c>
      <c r="AN2741" s="474" t="s">
        <v>1568</v>
      </c>
      <c r="AO2741" s="474"/>
      <c r="AP2741" s="474" t="s">
        <v>92</v>
      </c>
      <c r="AQ2741" s="474" t="s">
        <v>37</v>
      </c>
      <c r="AR2741" s="474"/>
      <c r="AS2741" s="387"/>
      <c r="AT2741" s="387"/>
      <c r="AU2741" s="471"/>
      <c r="AV2741" s="262" t="str">
        <f t="shared" si="468"/>
        <v>30390256C</v>
      </c>
      <c r="AW2741" s="262" cm="1">
        <f t="array" ref="AW2741">SUM(MID(0&amp;AV2741,LARGE(INDEX(ISNUMBER(--MID(AV2741,ROW($1:$8),1))*ROW($1:$8),),ROW($1:$8))+1,1)*10^ROW($1:$8)/10)</f>
        <v>30390256</v>
      </c>
      <c r="AX2741" s="262" t="str">
        <f>VLOOKUP($AW2741,'Item Master Data'!$A:$F,3,FALSE)</f>
        <v>T400H</v>
      </c>
      <c r="AY2741" s="262">
        <f>VLOOKUP($AW2741,'Item Master Data'!$A:$F,6,FALSE)</f>
        <v>400</v>
      </c>
      <c r="AZ2741" s="262">
        <f t="shared" si="469"/>
        <v>24</v>
      </c>
      <c r="BA2741" s="262">
        <f>VLOOKUP(AW2741,'Item Master Data'!$A:$G,7,FALSE)</f>
        <v>26</v>
      </c>
      <c r="BC2741" s="262">
        <f t="shared" si="470"/>
        <v>0</v>
      </c>
    </row>
    <row r="2742" spans="1:55">
      <c r="A2742" s="410"/>
      <c r="B2742" s="407"/>
      <c r="C2742" s="407"/>
      <c r="D2742" s="474" t="s">
        <v>1066</v>
      </c>
      <c r="E2742" s="475" t="s">
        <v>1122</v>
      </c>
      <c r="F2742" s="474" t="s">
        <v>1147</v>
      </c>
      <c r="G2742" s="474">
        <v>2022</v>
      </c>
      <c r="H2742" s="474">
        <v>4</v>
      </c>
      <c r="I2742" s="485">
        <v>128070</v>
      </c>
      <c r="J2742" s="475">
        <v>44655</v>
      </c>
      <c r="K2742" s="474" t="s">
        <v>1596</v>
      </c>
      <c r="L2742" s="475" t="s">
        <v>1561</v>
      </c>
      <c r="M2742" s="475">
        <v>44468</v>
      </c>
      <c r="N2742" s="475" t="s">
        <v>1586</v>
      </c>
      <c r="O2742" s="475"/>
      <c r="P2742" s="475">
        <v>44630</v>
      </c>
      <c r="Q2742" s="475">
        <v>44652</v>
      </c>
      <c r="R2742" s="475">
        <v>44655</v>
      </c>
      <c r="S2742" s="474" t="s">
        <v>1563</v>
      </c>
      <c r="T2742" s="474">
        <v>60</v>
      </c>
      <c r="U2742" s="474" t="s">
        <v>1573</v>
      </c>
      <c r="V2742" s="474" t="s">
        <v>1574</v>
      </c>
      <c r="W2742" s="476">
        <v>400</v>
      </c>
      <c r="X2742" s="402">
        <v>624</v>
      </c>
      <c r="Y2742" s="491">
        <f t="shared" si="465"/>
        <v>249600</v>
      </c>
      <c r="Z2742" s="478">
        <v>0.48</v>
      </c>
      <c r="AA2742" s="492">
        <f t="shared" si="466"/>
        <v>119808</v>
      </c>
      <c r="AB2742" s="386"/>
      <c r="AC2742" s="481">
        <v>0</v>
      </c>
      <c r="AD2742" s="474"/>
      <c r="AE2742" s="482"/>
      <c r="AF2742" s="493">
        <f t="shared" si="467"/>
        <v>119808</v>
      </c>
      <c r="AG2742" s="474" t="s">
        <v>47</v>
      </c>
      <c r="AH2742" s="447"/>
      <c r="AI2742" s="474">
        <v>75</v>
      </c>
      <c r="AJ2742" s="474" t="s">
        <v>1575</v>
      </c>
      <c r="AK2742" s="474" t="s">
        <v>50</v>
      </c>
      <c r="AL2742" s="494">
        <v>94544</v>
      </c>
      <c r="AM2742" s="474" t="s">
        <v>52</v>
      </c>
      <c r="AN2742" s="474" t="s">
        <v>1568</v>
      </c>
      <c r="AO2742" s="474"/>
      <c r="AP2742" s="474" t="s">
        <v>92</v>
      </c>
      <c r="AQ2742" s="474" t="s">
        <v>37</v>
      </c>
      <c r="AR2742" s="474"/>
      <c r="AS2742" s="387"/>
      <c r="AT2742" s="387"/>
      <c r="AU2742" s="471"/>
      <c r="AV2742" s="262" t="str">
        <f t="shared" si="468"/>
        <v>30390256C</v>
      </c>
      <c r="AW2742" s="262" cm="1">
        <f t="array" ref="AW2742">SUM(MID(0&amp;AV2742,LARGE(INDEX(ISNUMBER(--MID(AV2742,ROW($1:$8),1))*ROW($1:$8),),ROW($1:$8))+1,1)*10^ROW($1:$8)/10)</f>
        <v>30390256</v>
      </c>
      <c r="AX2742" s="262" t="str">
        <f>VLOOKUP($AW2742,'Item Master Data'!$A:$F,3,FALSE)</f>
        <v>T400H</v>
      </c>
      <c r="AY2742" s="262">
        <f>VLOOKUP($AW2742,'Item Master Data'!$A:$F,6,FALSE)</f>
        <v>400</v>
      </c>
      <c r="AZ2742" s="262">
        <f t="shared" si="469"/>
        <v>24</v>
      </c>
      <c r="BA2742" s="262">
        <f>VLOOKUP(AW2742,'Item Master Data'!$A:$G,7,FALSE)</f>
        <v>26</v>
      </c>
      <c r="BC2742" s="262">
        <f t="shared" si="470"/>
        <v>0</v>
      </c>
    </row>
    <row r="2743" spans="1:55">
      <c r="A2743" s="410"/>
      <c r="B2743" s="407"/>
      <c r="C2743" s="407"/>
      <c r="D2743" s="474" t="s">
        <v>1066</v>
      </c>
      <c r="E2743" s="388" t="s">
        <v>1611</v>
      </c>
      <c r="F2743" s="474" t="s">
        <v>1147</v>
      </c>
      <c r="G2743" s="474">
        <v>2022</v>
      </c>
      <c r="H2743" s="474">
        <v>4</v>
      </c>
      <c r="I2743" s="485">
        <v>127910</v>
      </c>
      <c r="J2743" s="475">
        <v>44657</v>
      </c>
      <c r="K2743" s="474" t="s">
        <v>1612</v>
      </c>
      <c r="L2743" s="475" t="s">
        <v>1561</v>
      </c>
      <c r="M2743" s="475">
        <v>44468</v>
      </c>
      <c r="N2743" s="475" t="s">
        <v>1586</v>
      </c>
      <c r="O2743" s="475"/>
      <c r="P2743" s="475">
        <v>44652</v>
      </c>
      <c r="Q2743" s="475">
        <v>44656</v>
      </c>
      <c r="R2743" s="475">
        <v>44657</v>
      </c>
      <c r="S2743" s="474" t="s">
        <v>1563</v>
      </c>
      <c r="T2743" s="474">
        <v>60</v>
      </c>
      <c r="U2743" s="474" t="s">
        <v>1595</v>
      </c>
      <c r="V2743" s="474" t="s">
        <v>1574</v>
      </c>
      <c r="W2743" s="476">
        <v>400</v>
      </c>
      <c r="X2743" s="402">
        <v>624</v>
      </c>
      <c r="Y2743" s="491">
        <f t="shared" ref="Y2743:Y2806" si="471">W2743*X2743</f>
        <v>249600</v>
      </c>
      <c r="Z2743" s="478">
        <v>0.48</v>
      </c>
      <c r="AA2743" s="492">
        <f t="shared" si="466"/>
        <v>119808</v>
      </c>
      <c r="AB2743" s="386"/>
      <c r="AC2743" s="481">
        <v>0</v>
      </c>
      <c r="AD2743" s="474"/>
      <c r="AE2743" s="482"/>
      <c r="AF2743" s="493">
        <f t="shared" si="467"/>
        <v>119808</v>
      </c>
      <c r="AG2743" s="474" t="s">
        <v>47</v>
      </c>
      <c r="AH2743" s="447"/>
      <c r="AI2743" s="474">
        <v>75</v>
      </c>
      <c r="AJ2743" s="474" t="s">
        <v>1575</v>
      </c>
      <c r="AK2743" s="474" t="s">
        <v>50</v>
      </c>
      <c r="AL2743" s="494">
        <v>94544</v>
      </c>
      <c r="AM2743" s="474" t="s">
        <v>52</v>
      </c>
      <c r="AN2743" s="474" t="s">
        <v>50</v>
      </c>
      <c r="AO2743" s="474"/>
      <c r="AP2743" s="474" t="s">
        <v>92</v>
      </c>
      <c r="AQ2743" s="474" t="s">
        <v>37</v>
      </c>
      <c r="AR2743" s="474"/>
      <c r="AS2743" s="387"/>
      <c r="AT2743" s="387"/>
      <c r="AU2743" s="471"/>
      <c r="AV2743" s="262" t="str">
        <f t="shared" si="468"/>
        <v>30390256H</v>
      </c>
      <c r="AW2743" s="262" cm="1">
        <f t="array" ref="AW2743">SUM(MID(0&amp;AV2743,LARGE(INDEX(ISNUMBER(--MID(AV2743,ROW($1:$8),1))*ROW($1:$8),),ROW($1:$8))+1,1)*10^ROW($1:$8)/10)</f>
        <v>30390256</v>
      </c>
      <c r="AX2743" s="262" t="str">
        <f>VLOOKUP($AW2743,'Item Master Data'!$A:$F,3,FALSE)</f>
        <v>T400H</v>
      </c>
      <c r="AY2743" s="262">
        <f>VLOOKUP($AW2743,'Item Master Data'!$A:$F,6,FALSE)</f>
        <v>400</v>
      </c>
      <c r="AZ2743" s="262">
        <f t="shared" si="469"/>
        <v>24</v>
      </c>
      <c r="BA2743" s="262">
        <f>VLOOKUP(AW2743,'Item Master Data'!$A:$G,7,FALSE)</f>
        <v>26</v>
      </c>
      <c r="BC2743" s="262">
        <f t="shared" si="470"/>
        <v>0</v>
      </c>
    </row>
    <row r="2744" spans="1:55">
      <c r="A2744" s="410"/>
      <c r="B2744" s="407"/>
      <c r="C2744" s="407"/>
      <c r="D2744" s="474" t="s">
        <v>1066</v>
      </c>
      <c r="E2744" s="388" t="s">
        <v>1613</v>
      </c>
      <c r="F2744" s="474" t="s">
        <v>1147</v>
      </c>
      <c r="G2744" s="474">
        <v>2022</v>
      </c>
      <c r="H2744" s="474">
        <v>4</v>
      </c>
      <c r="I2744" s="485">
        <v>127911</v>
      </c>
      <c r="J2744" s="475">
        <v>44657</v>
      </c>
      <c r="K2744" s="474" t="s">
        <v>1612</v>
      </c>
      <c r="L2744" s="475" t="s">
        <v>1561</v>
      </c>
      <c r="M2744" s="475">
        <v>44468</v>
      </c>
      <c r="N2744" s="475" t="s">
        <v>1586</v>
      </c>
      <c r="O2744" s="475"/>
      <c r="P2744" s="475">
        <v>44652</v>
      </c>
      <c r="Q2744" s="475">
        <v>44656</v>
      </c>
      <c r="R2744" s="475">
        <v>44657</v>
      </c>
      <c r="S2744" s="474" t="s">
        <v>1563</v>
      </c>
      <c r="T2744" s="474">
        <v>60</v>
      </c>
      <c r="U2744" s="474" t="s">
        <v>1595</v>
      </c>
      <c r="V2744" s="474" t="s">
        <v>1574</v>
      </c>
      <c r="W2744" s="476">
        <v>400</v>
      </c>
      <c r="X2744" s="402">
        <v>624</v>
      </c>
      <c r="Y2744" s="491">
        <f t="shared" si="471"/>
        <v>249600</v>
      </c>
      <c r="Z2744" s="478">
        <v>0.48</v>
      </c>
      <c r="AA2744" s="492">
        <f t="shared" si="466"/>
        <v>119808</v>
      </c>
      <c r="AB2744" s="386"/>
      <c r="AC2744" s="481">
        <v>0</v>
      </c>
      <c r="AD2744" s="474"/>
      <c r="AE2744" s="482"/>
      <c r="AF2744" s="493">
        <f t="shared" si="467"/>
        <v>119808</v>
      </c>
      <c r="AG2744" s="474" t="s">
        <v>47</v>
      </c>
      <c r="AH2744" s="447"/>
      <c r="AI2744" s="474">
        <v>75</v>
      </c>
      <c r="AJ2744" s="474" t="s">
        <v>1575</v>
      </c>
      <c r="AK2744" s="474" t="s">
        <v>50</v>
      </c>
      <c r="AL2744" s="494">
        <v>94544</v>
      </c>
      <c r="AM2744" s="474" t="s">
        <v>52</v>
      </c>
      <c r="AN2744" s="474" t="s">
        <v>50</v>
      </c>
      <c r="AO2744" s="474"/>
      <c r="AP2744" s="474" t="s">
        <v>92</v>
      </c>
      <c r="AQ2744" s="474" t="s">
        <v>37</v>
      </c>
      <c r="AR2744" s="474"/>
      <c r="AS2744" s="387"/>
      <c r="AT2744" s="387"/>
      <c r="AU2744" s="471"/>
      <c r="AV2744" s="262" t="str">
        <f t="shared" si="468"/>
        <v>30390256H</v>
      </c>
      <c r="AW2744" s="262" cm="1">
        <f t="array" ref="AW2744">SUM(MID(0&amp;AV2744,LARGE(INDEX(ISNUMBER(--MID(AV2744,ROW($1:$8),1))*ROW($1:$8),),ROW($1:$8))+1,1)*10^ROW($1:$8)/10)</f>
        <v>30390256</v>
      </c>
      <c r="AX2744" s="262" t="str">
        <f>VLOOKUP($AW2744,'Item Master Data'!$A:$F,3,FALSE)</f>
        <v>T400H</v>
      </c>
      <c r="AY2744" s="262">
        <f>VLOOKUP($AW2744,'Item Master Data'!$A:$F,6,FALSE)</f>
        <v>400</v>
      </c>
      <c r="AZ2744" s="262">
        <f t="shared" si="469"/>
        <v>24</v>
      </c>
      <c r="BA2744" s="262">
        <f>VLOOKUP(AW2744,'Item Master Data'!$A:$G,7,FALSE)</f>
        <v>26</v>
      </c>
      <c r="BC2744" s="262">
        <f t="shared" si="470"/>
        <v>0</v>
      </c>
    </row>
    <row r="2745" spans="1:55">
      <c r="A2745" s="410"/>
      <c r="B2745" s="407"/>
      <c r="C2745" s="407"/>
      <c r="D2745" s="474" t="s">
        <v>1066</v>
      </c>
      <c r="E2745" s="388" t="s">
        <v>5188</v>
      </c>
      <c r="F2745" s="474" t="s">
        <v>87</v>
      </c>
      <c r="G2745" s="474">
        <v>2022</v>
      </c>
      <c r="H2745" s="474">
        <v>5</v>
      </c>
      <c r="I2745" s="485"/>
      <c r="J2745" s="475"/>
      <c r="K2745" s="474" t="s">
        <v>1624</v>
      </c>
      <c r="L2745" s="475" t="s">
        <v>1561</v>
      </c>
      <c r="M2745" s="475">
        <v>44592</v>
      </c>
      <c r="N2745" s="475">
        <v>44596</v>
      </c>
      <c r="O2745" s="475"/>
      <c r="P2745" s="475">
        <v>44623</v>
      </c>
      <c r="Q2745" s="475"/>
      <c r="R2745" s="475"/>
      <c r="S2745" s="474" t="s">
        <v>1563</v>
      </c>
      <c r="T2745" s="474">
        <v>72</v>
      </c>
      <c r="U2745" s="474" t="s">
        <v>1542</v>
      </c>
      <c r="V2745" s="474" t="s">
        <v>1070</v>
      </c>
      <c r="W2745" s="476">
        <v>475</v>
      </c>
      <c r="X2745" s="402">
        <v>3654</v>
      </c>
      <c r="Y2745" s="491">
        <f t="shared" si="471"/>
        <v>1735650</v>
      </c>
      <c r="Z2745" s="478">
        <v>0.47</v>
      </c>
      <c r="AA2745" s="479">
        <f t="shared" si="466"/>
        <v>815755.5</v>
      </c>
      <c r="AB2745" s="386"/>
      <c r="AC2745" s="481">
        <v>0</v>
      </c>
      <c r="AD2745" s="474"/>
      <c r="AE2745" s="482"/>
      <c r="AF2745" s="493">
        <f t="shared" si="467"/>
        <v>815755.5</v>
      </c>
      <c r="AG2745" s="474" t="s">
        <v>47</v>
      </c>
      <c r="AH2745" s="447"/>
      <c r="AI2745" s="474">
        <v>60</v>
      </c>
      <c r="AJ2745" s="474" t="s">
        <v>1593</v>
      </c>
      <c r="AK2745" s="474" t="s">
        <v>1144</v>
      </c>
      <c r="AL2745" s="494">
        <v>78725</v>
      </c>
      <c r="AM2745" s="474" t="s">
        <v>52</v>
      </c>
      <c r="AN2745" s="474" t="s">
        <v>1151</v>
      </c>
      <c r="AO2745" s="474"/>
      <c r="AP2745" s="474" t="s">
        <v>92</v>
      </c>
      <c r="AQ2745" s="474" t="s">
        <v>37</v>
      </c>
      <c r="AR2745" s="474"/>
      <c r="AS2745" s="387"/>
      <c r="AT2745" s="387"/>
      <c r="AU2745" s="471"/>
      <c r="AV2745" s="262" t="str">
        <f t="shared" si="468"/>
        <v>30397571C</v>
      </c>
      <c r="AW2745" s="262" cm="1">
        <f t="array" ref="AW2745">SUM(MID(0&amp;AV2745,LARGE(INDEX(ISNUMBER(--MID(AV2745,ROW($1:$8),1))*ROW($1:$8),),ROW($1:$8))+1,1)*10^ROW($1:$8)/10)</f>
        <v>30397571</v>
      </c>
      <c r="AX2745" s="262" t="str">
        <f>VLOOKUP($AW2745,'Item Master Data'!$A:$F,3,FALSE)</f>
        <v>Q.PEAK DUO XL G10 BFG</v>
      </c>
      <c r="AY2745" s="262">
        <f>VLOOKUP($AW2745,'Item Master Data'!$A:$F,6,FALSE)</f>
        <v>475</v>
      </c>
      <c r="AZ2745" s="262">
        <f t="shared" si="469"/>
        <v>126</v>
      </c>
      <c r="BA2745" s="262">
        <f>VLOOKUP(AW2745,'Item Master Data'!$A:$G,7,FALSE)</f>
        <v>29</v>
      </c>
      <c r="BC2745" s="262">
        <f t="shared" si="470"/>
        <v>0</v>
      </c>
    </row>
    <row r="2746" spans="1:55">
      <c r="A2746" s="410"/>
      <c r="B2746" s="407"/>
      <c r="C2746" s="407"/>
      <c r="D2746" s="474" t="s">
        <v>1066</v>
      </c>
      <c r="E2746" s="388"/>
      <c r="F2746" s="474" t="s">
        <v>87</v>
      </c>
      <c r="G2746" s="474">
        <v>2022</v>
      </c>
      <c r="H2746" s="474">
        <v>3</v>
      </c>
      <c r="I2746" s="485">
        <v>127532</v>
      </c>
      <c r="J2746" s="475">
        <v>44645</v>
      </c>
      <c r="K2746" s="474" t="s">
        <v>1592</v>
      </c>
      <c r="L2746" s="475" t="s">
        <v>1561</v>
      </c>
      <c r="M2746" s="475">
        <v>44592</v>
      </c>
      <c r="N2746" s="475">
        <v>44596</v>
      </c>
      <c r="O2746" s="475"/>
      <c r="P2746" s="475">
        <v>44606</v>
      </c>
      <c r="Q2746" s="475">
        <v>44641</v>
      </c>
      <c r="R2746" s="475">
        <v>44645</v>
      </c>
      <c r="S2746" s="474" t="s">
        <v>1563</v>
      </c>
      <c r="T2746" s="474">
        <v>72</v>
      </c>
      <c r="U2746" s="474" t="s">
        <v>1542</v>
      </c>
      <c r="V2746" s="474" t="s">
        <v>1070</v>
      </c>
      <c r="W2746" s="476">
        <v>475</v>
      </c>
      <c r="X2746" s="402">
        <v>638</v>
      </c>
      <c r="Y2746" s="491">
        <f t="shared" si="471"/>
        <v>303050</v>
      </c>
      <c r="Z2746" s="478">
        <v>0.47</v>
      </c>
      <c r="AA2746" s="479">
        <f t="shared" si="466"/>
        <v>142433.5</v>
      </c>
      <c r="AB2746" s="386"/>
      <c r="AC2746" s="481">
        <v>0</v>
      </c>
      <c r="AD2746" s="474"/>
      <c r="AE2746" s="482"/>
      <c r="AF2746" s="493">
        <f t="shared" si="467"/>
        <v>142433.5</v>
      </c>
      <c r="AG2746" s="501" t="s">
        <v>47</v>
      </c>
      <c r="AH2746" s="409"/>
      <c r="AI2746" s="501">
        <v>60</v>
      </c>
      <c r="AJ2746" s="501" t="s">
        <v>1593</v>
      </c>
      <c r="AK2746" s="501" t="s">
        <v>1144</v>
      </c>
      <c r="AL2746" s="509">
        <v>78725</v>
      </c>
      <c r="AM2746" s="501" t="s">
        <v>52</v>
      </c>
      <c r="AN2746" s="501" t="s">
        <v>1085</v>
      </c>
      <c r="AO2746" s="474"/>
      <c r="AP2746" s="474" t="s">
        <v>92</v>
      </c>
      <c r="AQ2746" s="474" t="s">
        <v>37</v>
      </c>
      <c r="AR2746" s="474"/>
      <c r="AS2746" s="387"/>
      <c r="AT2746" s="387"/>
      <c r="AU2746" s="471"/>
    </row>
    <row r="2747" spans="1:55">
      <c r="A2747" s="410"/>
      <c r="B2747" s="407"/>
      <c r="C2747" s="407"/>
      <c r="D2747" s="474" t="s">
        <v>1066</v>
      </c>
      <c r="E2747" s="475" t="s">
        <v>1122</v>
      </c>
      <c r="F2747" s="474" t="s">
        <v>1147</v>
      </c>
      <c r="G2747" s="474">
        <v>2022</v>
      </c>
      <c r="H2747" s="474">
        <v>3</v>
      </c>
      <c r="I2747" s="485">
        <v>127465</v>
      </c>
      <c r="J2747" s="475">
        <v>44643</v>
      </c>
      <c r="K2747" s="474" t="s">
        <v>1599</v>
      </c>
      <c r="L2747" s="475" t="s">
        <v>1561</v>
      </c>
      <c r="M2747" s="475">
        <v>44468</v>
      </c>
      <c r="N2747" s="475" t="s">
        <v>1586</v>
      </c>
      <c r="O2747" s="475"/>
      <c r="P2747" s="475">
        <v>44630</v>
      </c>
      <c r="Q2747" s="475">
        <v>44641</v>
      </c>
      <c r="R2747" s="475">
        <v>44643</v>
      </c>
      <c r="S2747" s="474" t="s">
        <v>1563</v>
      </c>
      <c r="T2747" s="474">
        <v>60</v>
      </c>
      <c r="U2747" s="474" t="s">
        <v>1573</v>
      </c>
      <c r="V2747" s="474" t="s">
        <v>1574</v>
      </c>
      <c r="W2747" s="476">
        <v>400</v>
      </c>
      <c r="X2747" s="402">
        <v>624</v>
      </c>
      <c r="Y2747" s="491">
        <f t="shared" si="471"/>
        <v>249600</v>
      </c>
      <c r="Z2747" s="478">
        <v>0.44</v>
      </c>
      <c r="AA2747" s="492">
        <f t="shared" si="466"/>
        <v>109824</v>
      </c>
      <c r="AB2747" s="386"/>
      <c r="AC2747" s="481">
        <v>0</v>
      </c>
      <c r="AD2747" s="474"/>
      <c r="AE2747" s="482"/>
      <c r="AF2747" s="493">
        <f t="shared" si="467"/>
        <v>109824</v>
      </c>
      <c r="AG2747" s="474" t="s">
        <v>47</v>
      </c>
      <c r="AH2747" s="447"/>
      <c r="AI2747" s="474">
        <v>75</v>
      </c>
      <c r="AJ2747" s="474" t="s">
        <v>1577</v>
      </c>
      <c r="AK2747" s="474" t="s">
        <v>50</v>
      </c>
      <c r="AL2747" s="494">
        <v>92407</v>
      </c>
      <c r="AM2747" s="474" t="s">
        <v>52</v>
      </c>
      <c r="AN2747" s="474" t="s">
        <v>1568</v>
      </c>
      <c r="AO2747" s="474"/>
      <c r="AP2747" s="474" t="s">
        <v>92</v>
      </c>
      <c r="AQ2747" s="474" t="s">
        <v>37</v>
      </c>
      <c r="AR2747" s="474"/>
      <c r="AS2747" s="387"/>
      <c r="AT2747" s="387"/>
      <c r="AU2747" s="471"/>
    </row>
    <row r="2748" spans="1:55">
      <c r="A2748" s="410"/>
      <c r="B2748" s="407"/>
      <c r="C2748" s="407"/>
      <c r="D2748" s="474" t="s">
        <v>1066</v>
      </c>
      <c r="E2748" s="388" t="s">
        <v>5188</v>
      </c>
      <c r="F2748" s="474" t="s">
        <v>87</v>
      </c>
      <c r="G2748" s="474">
        <v>2022</v>
      </c>
      <c r="H2748" s="474">
        <v>5</v>
      </c>
      <c r="I2748" s="485"/>
      <c r="J2748" s="475"/>
      <c r="K2748" s="474" t="s">
        <v>1624</v>
      </c>
      <c r="L2748" s="475" t="s">
        <v>1561</v>
      </c>
      <c r="M2748" s="475">
        <v>44592</v>
      </c>
      <c r="N2748" s="475">
        <v>44596</v>
      </c>
      <c r="O2748" s="475"/>
      <c r="P2748" s="475">
        <v>44623</v>
      </c>
      <c r="Q2748" s="475"/>
      <c r="R2748" s="475"/>
      <c r="S2748" s="474" t="s">
        <v>1563</v>
      </c>
      <c r="T2748" s="474">
        <v>72</v>
      </c>
      <c r="U2748" s="474" t="s">
        <v>1541</v>
      </c>
      <c r="V2748" s="474" t="s">
        <v>1070</v>
      </c>
      <c r="W2748" s="476">
        <v>475</v>
      </c>
      <c r="X2748" s="402">
        <v>4118</v>
      </c>
      <c r="Y2748" s="491">
        <f t="shared" si="471"/>
        <v>1956050</v>
      </c>
      <c r="Z2748" s="478">
        <v>0.47</v>
      </c>
      <c r="AA2748" s="479">
        <f t="shared" si="466"/>
        <v>919343.5</v>
      </c>
      <c r="AB2748" s="386"/>
      <c r="AC2748" s="481">
        <v>0</v>
      </c>
      <c r="AD2748" s="474"/>
      <c r="AE2748" s="482"/>
      <c r="AF2748" s="493">
        <f t="shared" si="467"/>
        <v>919343.5</v>
      </c>
      <c r="AG2748" s="474" t="s">
        <v>47</v>
      </c>
      <c r="AH2748" s="447"/>
      <c r="AI2748" s="474">
        <v>60</v>
      </c>
      <c r="AJ2748" s="474" t="s">
        <v>1593</v>
      </c>
      <c r="AK2748" s="474" t="s">
        <v>1144</v>
      </c>
      <c r="AL2748" s="494">
        <v>78725</v>
      </c>
      <c r="AM2748" s="474" t="s">
        <v>52</v>
      </c>
      <c r="AN2748" s="474" t="s">
        <v>1151</v>
      </c>
      <c r="AO2748" s="474"/>
      <c r="AP2748" s="474" t="s">
        <v>92</v>
      </c>
      <c r="AQ2748" s="474" t="s">
        <v>37</v>
      </c>
      <c r="AR2748" s="474"/>
      <c r="AS2748" s="387"/>
      <c r="AT2748" s="387"/>
      <c r="AU2748" s="471"/>
    </row>
    <row r="2749" spans="1:55">
      <c r="A2749" s="410"/>
      <c r="B2749" s="407"/>
      <c r="C2749" s="407"/>
      <c r="D2749" s="474" t="s">
        <v>1066</v>
      </c>
      <c r="E2749" s="388"/>
      <c r="F2749" s="474" t="s">
        <v>87</v>
      </c>
      <c r="G2749" s="474">
        <v>2022</v>
      </c>
      <c r="H2749" s="474">
        <v>3</v>
      </c>
      <c r="I2749" s="485">
        <v>127531</v>
      </c>
      <c r="J2749" s="475">
        <v>44648</v>
      </c>
      <c r="K2749" s="474" t="s">
        <v>1592</v>
      </c>
      <c r="L2749" s="475" t="s">
        <v>1561</v>
      </c>
      <c r="M2749" s="475">
        <v>44592</v>
      </c>
      <c r="N2749" s="475">
        <v>44596</v>
      </c>
      <c r="O2749" s="475"/>
      <c r="P2749" s="475">
        <v>44606</v>
      </c>
      <c r="Q2749" s="475">
        <v>44645</v>
      </c>
      <c r="R2749" s="475">
        <v>44648</v>
      </c>
      <c r="S2749" s="474" t="s">
        <v>1563</v>
      </c>
      <c r="T2749" s="474">
        <v>72</v>
      </c>
      <c r="U2749" s="474" t="s">
        <v>1542</v>
      </c>
      <c r="V2749" s="474" t="s">
        <v>1070</v>
      </c>
      <c r="W2749" s="476">
        <v>475</v>
      </c>
      <c r="X2749" s="402">
        <v>638</v>
      </c>
      <c r="Y2749" s="491">
        <f t="shared" si="471"/>
        <v>303050</v>
      </c>
      <c r="Z2749" s="478">
        <v>0.47</v>
      </c>
      <c r="AA2749" s="479">
        <f t="shared" si="466"/>
        <v>142433.5</v>
      </c>
      <c r="AB2749" s="386"/>
      <c r="AC2749" s="481">
        <v>0</v>
      </c>
      <c r="AD2749" s="474"/>
      <c r="AE2749" s="482"/>
      <c r="AF2749" s="493">
        <f t="shared" si="467"/>
        <v>142433.5</v>
      </c>
      <c r="AG2749" s="501" t="s">
        <v>47</v>
      </c>
      <c r="AH2749" s="409"/>
      <c r="AI2749" s="501">
        <v>60</v>
      </c>
      <c r="AJ2749" s="501" t="s">
        <v>1593</v>
      </c>
      <c r="AK2749" s="501" t="s">
        <v>1144</v>
      </c>
      <c r="AL2749" s="509">
        <v>78725</v>
      </c>
      <c r="AM2749" s="501" t="s">
        <v>52</v>
      </c>
      <c r="AN2749" s="501" t="s">
        <v>1085</v>
      </c>
      <c r="AO2749" s="474"/>
      <c r="AP2749" s="474" t="s">
        <v>92</v>
      </c>
      <c r="AQ2749" s="474" t="s">
        <v>37</v>
      </c>
      <c r="AR2749" s="474"/>
      <c r="AS2749" s="387"/>
      <c r="AT2749" s="387"/>
      <c r="AU2749" s="471"/>
    </row>
    <row r="2750" spans="1:55">
      <c r="A2750" s="410"/>
      <c r="B2750" s="407"/>
      <c r="C2750" s="407"/>
      <c r="D2750" s="474" t="s">
        <v>1066</v>
      </c>
      <c r="E2750" s="388"/>
      <c r="F2750" s="474" t="s">
        <v>1147</v>
      </c>
      <c r="G2750" s="474">
        <v>2022</v>
      </c>
      <c r="H2750" s="474">
        <v>3</v>
      </c>
      <c r="I2750" s="485">
        <v>127616</v>
      </c>
      <c r="J2750" s="475">
        <v>44650</v>
      </c>
      <c r="K2750" s="474" t="s">
        <v>1626</v>
      </c>
      <c r="L2750" s="475" t="s">
        <v>1561</v>
      </c>
      <c r="M2750" s="475">
        <v>44468</v>
      </c>
      <c r="N2750" s="475" t="s">
        <v>1586</v>
      </c>
      <c r="O2750" s="475"/>
      <c r="P2750" s="475">
        <v>44636</v>
      </c>
      <c r="Q2750" s="475">
        <v>44649</v>
      </c>
      <c r="R2750" s="475">
        <v>44650</v>
      </c>
      <c r="S2750" s="474" t="s">
        <v>1563</v>
      </c>
      <c r="T2750" s="474">
        <v>60</v>
      </c>
      <c r="U2750" s="474" t="s">
        <v>1595</v>
      </c>
      <c r="V2750" s="474" t="s">
        <v>1574</v>
      </c>
      <c r="W2750" s="476">
        <v>400</v>
      </c>
      <c r="X2750" s="402">
        <v>624</v>
      </c>
      <c r="Y2750" s="491">
        <f t="shared" si="471"/>
        <v>249600</v>
      </c>
      <c r="Z2750" s="478">
        <v>0.44</v>
      </c>
      <c r="AA2750" s="479">
        <f t="shared" si="466"/>
        <v>109824</v>
      </c>
      <c r="AB2750" s="386"/>
      <c r="AC2750" s="481">
        <v>0</v>
      </c>
      <c r="AD2750" s="474"/>
      <c r="AE2750" s="482"/>
      <c r="AF2750" s="493">
        <f t="shared" si="467"/>
        <v>109824</v>
      </c>
      <c r="AG2750" s="474" t="s">
        <v>47</v>
      </c>
      <c r="AH2750" s="447"/>
      <c r="AI2750" s="474">
        <v>75</v>
      </c>
      <c r="AJ2750" s="474" t="s">
        <v>1580</v>
      </c>
      <c r="AK2750" s="474" t="s">
        <v>1073</v>
      </c>
      <c r="AL2750" s="494">
        <v>21075</v>
      </c>
      <c r="AM2750" s="474" t="s">
        <v>52</v>
      </c>
      <c r="AN2750" s="474" t="s">
        <v>1085</v>
      </c>
      <c r="AO2750" s="474"/>
      <c r="AP2750" s="474" t="s">
        <v>92</v>
      </c>
      <c r="AQ2750" s="474" t="s">
        <v>37</v>
      </c>
      <c r="AR2750" s="474"/>
      <c r="AS2750" s="387"/>
      <c r="AT2750" s="387"/>
      <c r="AU2750" s="471"/>
    </row>
    <row r="2751" spans="1:55">
      <c r="A2751" s="410"/>
      <c r="B2751" s="407"/>
      <c r="C2751" s="407"/>
      <c r="D2751" s="474" t="s">
        <v>1066</v>
      </c>
      <c r="E2751" s="388"/>
      <c r="F2751" s="474" t="s">
        <v>1147</v>
      </c>
      <c r="G2751" s="474">
        <v>2022</v>
      </c>
      <c r="H2751" s="474">
        <v>3</v>
      </c>
      <c r="I2751" s="485">
        <v>127615</v>
      </c>
      <c r="J2751" s="475">
        <v>44650</v>
      </c>
      <c r="K2751" s="474" t="s">
        <v>1626</v>
      </c>
      <c r="L2751" s="475" t="s">
        <v>1561</v>
      </c>
      <c r="M2751" s="475">
        <v>44468</v>
      </c>
      <c r="N2751" s="475" t="s">
        <v>1586</v>
      </c>
      <c r="O2751" s="475"/>
      <c r="P2751" s="475">
        <v>44636</v>
      </c>
      <c r="Q2751" s="475">
        <v>44649</v>
      </c>
      <c r="R2751" s="475">
        <v>44650</v>
      </c>
      <c r="S2751" s="474" t="s">
        <v>1563</v>
      </c>
      <c r="T2751" s="474">
        <v>60</v>
      </c>
      <c r="U2751" s="474" t="s">
        <v>1595</v>
      </c>
      <c r="V2751" s="474" t="s">
        <v>1574</v>
      </c>
      <c r="W2751" s="476">
        <v>400</v>
      </c>
      <c r="X2751" s="402">
        <v>624</v>
      </c>
      <c r="Y2751" s="491">
        <f t="shared" si="471"/>
        <v>249600</v>
      </c>
      <c r="Z2751" s="478">
        <v>0.44</v>
      </c>
      <c r="AA2751" s="479">
        <f t="shared" si="466"/>
        <v>109824</v>
      </c>
      <c r="AB2751" s="386"/>
      <c r="AC2751" s="481">
        <v>0</v>
      </c>
      <c r="AD2751" s="474"/>
      <c r="AE2751" s="482"/>
      <c r="AF2751" s="493">
        <f t="shared" si="467"/>
        <v>109824</v>
      </c>
      <c r="AG2751" s="474" t="s">
        <v>47</v>
      </c>
      <c r="AH2751" s="447"/>
      <c r="AI2751" s="474">
        <v>75</v>
      </c>
      <c r="AJ2751" s="474" t="s">
        <v>1580</v>
      </c>
      <c r="AK2751" s="474" t="s">
        <v>1073</v>
      </c>
      <c r="AL2751" s="494">
        <v>21075</v>
      </c>
      <c r="AM2751" s="474" t="s">
        <v>52</v>
      </c>
      <c r="AN2751" s="474" t="s">
        <v>1085</v>
      </c>
      <c r="AO2751" s="474"/>
      <c r="AP2751" s="474" t="s">
        <v>92</v>
      </c>
      <c r="AQ2751" s="474" t="s">
        <v>37</v>
      </c>
      <c r="AR2751" s="474"/>
      <c r="AS2751" s="387"/>
      <c r="AT2751" s="387"/>
      <c r="AU2751" s="471"/>
      <c r="AX2751" s="471"/>
      <c r="AY2751" s="471"/>
      <c r="AZ2751" s="471"/>
      <c r="BA2751" s="471"/>
    </row>
    <row r="2752" spans="1:55">
      <c r="A2752" s="410"/>
      <c r="B2752" s="407"/>
      <c r="C2752" s="407"/>
      <c r="D2752" s="474" t="s">
        <v>1066</v>
      </c>
      <c r="E2752" s="388"/>
      <c r="F2752" s="474" t="s">
        <v>1147</v>
      </c>
      <c r="G2752" s="474">
        <v>2022</v>
      </c>
      <c r="H2752" s="474">
        <v>3</v>
      </c>
      <c r="I2752" s="485">
        <v>127621</v>
      </c>
      <c r="J2752" s="475">
        <v>44650</v>
      </c>
      <c r="K2752" s="474" t="s">
        <v>1626</v>
      </c>
      <c r="L2752" s="475" t="s">
        <v>1561</v>
      </c>
      <c r="M2752" s="475">
        <v>44468</v>
      </c>
      <c r="N2752" s="475" t="s">
        <v>1586</v>
      </c>
      <c r="O2752" s="475"/>
      <c r="P2752" s="475">
        <v>44636</v>
      </c>
      <c r="Q2752" s="475">
        <v>44649</v>
      </c>
      <c r="R2752" s="475">
        <v>44650</v>
      </c>
      <c r="S2752" s="474" t="s">
        <v>1563</v>
      </c>
      <c r="T2752" s="474">
        <v>60</v>
      </c>
      <c r="U2752" s="474" t="s">
        <v>1595</v>
      </c>
      <c r="V2752" s="474" t="s">
        <v>1574</v>
      </c>
      <c r="W2752" s="476">
        <v>400</v>
      </c>
      <c r="X2752" s="402">
        <v>624</v>
      </c>
      <c r="Y2752" s="491">
        <f t="shared" si="471"/>
        <v>249600</v>
      </c>
      <c r="Z2752" s="478">
        <v>0.44</v>
      </c>
      <c r="AA2752" s="479">
        <f t="shared" si="466"/>
        <v>109824</v>
      </c>
      <c r="AB2752" s="386"/>
      <c r="AC2752" s="481">
        <v>0</v>
      </c>
      <c r="AD2752" s="474"/>
      <c r="AE2752" s="482"/>
      <c r="AF2752" s="493">
        <f t="shared" si="467"/>
        <v>109824</v>
      </c>
      <c r="AG2752" s="474" t="s">
        <v>47</v>
      </c>
      <c r="AH2752" s="447"/>
      <c r="AI2752" s="474">
        <v>75</v>
      </c>
      <c r="AJ2752" s="474" t="s">
        <v>1580</v>
      </c>
      <c r="AK2752" s="474" t="s">
        <v>1073</v>
      </c>
      <c r="AL2752" s="494">
        <v>21075</v>
      </c>
      <c r="AM2752" s="474" t="s">
        <v>52</v>
      </c>
      <c r="AN2752" s="474" t="s">
        <v>1085</v>
      </c>
      <c r="AO2752" s="474"/>
      <c r="AP2752" s="474" t="s">
        <v>92</v>
      </c>
      <c r="AQ2752" s="474" t="s">
        <v>37</v>
      </c>
      <c r="AR2752" s="474"/>
      <c r="AS2752" s="387"/>
      <c r="AT2752" s="387"/>
      <c r="AU2752" s="471"/>
    </row>
    <row r="2753" spans="1:55">
      <c r="A2753" s="410"/>
      <c r="B2753" s="407"/>
      <c r="C2753" s="407"/>
      <c r="D2753" s="474" t="s">
        <v>1066</v>
      </c>
      <c r="E2753" s="388"/>
      <c r="F2753" s="474" t="s">
        <v>1147</v>
      </c>
      <c r="G2753" s="474">
        <v>2022</v>
      </c>
      <c r="H2753" s="474">
        <v>3</v>
      </c>
      <c r="I2753" s="485">
        <v>127620</v>
      </c>
      <c r="J2753" s="475">
        <v>44650</v>
      </c>
      <c r="K2753" s="474" t="s">
        <v>1626</v>
      </c>
      <c r="L2753" s="475" t="s">
        <v>1561</v>
      </c>
      <c r="M2753" s="475">
        <v>44468</v>
      </c>
      <c r="N2753" s="475" t="s">
        <v>1586</v>
      </c>
      <c r="O2753" s="475"/>
      <c r="P2753" s="475">
        <v>44636</v>
      </c>
      <c r="Q2753" s="475">
        <v>44649</v>
      </c>
      <c r="R2753" s="475">
        <v>44650</v>
      </c>
      <c r="S2753" s="474" t="s">
        <v>1563</v>
      </c>
      <c r="T2753" s="474">
        <v>60</v>
      </c>
      <c r="U2753" s="474" t="s">
        <v>1595</v>
      </c>
      <c r="V2753" s="474" t="s">
        <v>1574</v>
      </c>
      <c r="W2753" s="476">
        <v>400</v>
      </c>
      <c r="X2753" s="402">
        <v>624</v>
      </c>
      <c r="Y2753" s="491">
        <f t="shared" si="471"/>
        <v>249600</v>
      </c>
      <c r="Z2753" s="478">
        <v>0.44</v>
      </c>
      <c r="AA2753" s="479">
        <f t="shared" ref="AA2753:AA2816" si="472">Z2753*Y2753</f>
        <v>109824</v>
      </c>
      <c r="AB2753" s="386"/>
      <c r="AC2753" s="481">
        <v>0</v>
      </c>
      <c r="AD2753" s="474"/>
      <c r="AE2753" s="482"/>
      <c r="AF2753" s="493">
        <f t="shared" si="467"/>
        <v>109824</v>
      </c>
      <c r="AG2753" s="474" t="s">
        <v>47</v>
      </c>
      <c r="AH2753" s="447"/>
      <c r="AI2753" s="474">
        <v>75</v>
      </c>
      <c r="AJ2753" s="474" t="s">
        <v>1580</v>
      </c>
      <c r="AK2753" s="474" t="s">
        <v>1073</v>
      </c>
      <c r="AL2753" s="494">
        <v>21075</v>
      </c>
      <c r="AM2753" s="474" t="s">
        <v>52</v>
      </c>
      <c r="AN2753" s="474" t="s">
        <v>1085</v>
      </c>
      <c r="AO2753" s="474"/>
      <c r="AP2753" s="474" t="s">
        <v>92</v>
      </c>
      <c r="AQ2753" s="474" t="s">
        <v>37</v>
      </c>
      <c r="AR2753" s="474"/>
      <c r="AS2753" s="387"/>
      <c r="AT2753" s="387"/>
      <c r="AU2753" s="471"/>
    </row>
    <row r="2754" spans="1:55">
      <c r="A2754" s="410"/>
      <c r="B2754" s="407"/>
      <c r="C2754" s="407"/>
      <c r="D2754" s="474" t="s">
        <v>1066</v>
      </c>
      <c r="E2754" s="388"/>
      <c r="F2754" s="474" t="s">
        <v>1147</v>
      </c>
      <c r="G2754" s="474">
        <v>2022</v>
      </c>
      <c r="H2754" s="474">
        <v>3</v>
      </c>
      <c r="I2754" s="485">
        <v>127619</v>
      </c>
      <c r="J2754" s="475">
        <v>44650</v>
      </c>
      <c r="K2754" s="474" t="s">
        <v>1626</v>
      </c>
      <c r="L2754" s="475" t="s">
        <v>1561</v>
      </c>
      <c r="M2754" s="475">
        <v>44468</v>
      </c>
      <c r="N2754" s="475" t="s">
        <v>1586</v>
      </c>
      <c r="O2754" s="475"/>
      <c r="P2754" s="475">
        <v>44636</v>
      </c>
      <c r="Q2754" s="475">
        <v>44649</v>
      </c>
      <c r="R2754" s="475">
        <v>44650</v>
      </c>
      <c r="S2754" s="474" t="s">
        <v>1563</v>
      </c>
      <c r="T2754" s="474">
        <v>60</v>
      </c>
      <c r="U2754" s="474" t="s">
        <v>1595</v>
      </c>
      <c r="V2754" s="474" t="s">
        <v>1574</v>
      </c>
      <c r="W2754" s="476">
        <v>400</v>
      </c>
      <c r="X2754" s="402">
        <v>624</v>
      </c>
      <c r="Y2754" s="491">
        <f t="shared" si="471"/>
        <v>249600</v>
      </c>
      <c r="Z2754" s="478">
        <v>0.44</v>
      </c>
      <c r="AA2754" s="479">
        <f t="shared" si="472"/>
        <v>109824</v>
      </c>
      <c r="AB2754" s="386"/>
      <c r="AC2754" s="481">
        <v>0</v>
      </c>
      <c r="AD2754" s="474"/>
      <c r="AE2754" s="482"/>
      <c r="AF2754" s="493">
        <f t="shared" ref="AF2754:AF2817" si="473">AA2754+AE2754</f>
        <v>109824</v>
      </c>
      <c r="AG2754" s="474" t="s">
        <v>47</v>
      </c>
      <c r="AH2754" s="447"/>
      <c r="AI2754" s="474">
        <v>75</v>
      </c>
      <c r="AJ2754" s="474" t="s">
        <v>1580</v>
      </c>
      <c r="AK2754" s="474" t="s">
        <v>1073</v>
      </c>
      <c r="AL2754" s="494">
        <v>21075</v>
      </c>
      <c r="AM2754" s="474" t="s">
        <v>52</v>
      </c>
      <c r="AN2754" s="474" t="s">
        <v>1085</v>
      </c>
      <c r="AO2754" s="474"/>
      <c r="AP2754" s="474" t="s">
        <v>92</v>
      </c>
      <c r="AQ2754" s="474" t="s">
        <v>37</v>
      </c>
      <c r="AR2754" s="474"/>
      <c r="AS2754" s="387"/>
      <c r="AT2754" s="387"/>
      <c r="AU2754" s="471"/>
      <c r="AV2754" s="262" t="str">
        <f>U2754</f>
        <v>30390256H</v>
      </c>
      <c r="AW2754" s="262" cm="1">
        <f t="array" ref="AW2754">SUM(MID(0&amp;AV2754,LARGE(INDEX(ISNUMBER(--MID(AV2754,ROW($1:$8),1))*ROW($1:$8),),ROW($1:$8))+1,1)*10^ROW($1:$8)/10)</f>
        <v>30390256</v>
      </c>
      <c r="AX2754" s="262" t="str">
        <f>VLOOKUP($AW2754,'Item Master Data'!$A:$F,3,FALSE)</f>
        <v>T400H</v>
      </c>
      <c r="AY2754" s="262">
        <f>VLOOKUP($AW2754,'Item Master Data'!$A:$F,6,FALSE)</f>
        <v>400</v>
      </c>
      <c r="AZ2754" s="262">
        <f>X2754/BA2754</f>
        <v>24</v>
      </c>
      <c r="BA2754" s="262">
        <f>VLOOKUP(AW2754,'Item Master Data'!$A:$G,7,FALSE)</f>
        <v>26</v>
      </c>
      <c r="BC2754" s="262">
        <f>W2754-AY2754</f>
        <v>0</v>
      </c>
    </row>
    <row r="2755" spans="1:55">
      <c r="A2755" s="410"/>
      <c r="B2755" s="407"/>
      <c r="C2755" s="407"/>
      <c r="D2755" s="474" t="s">
        <v>1066</v>
      </c>
      <c r="E2755" s="388"/>
      <c r="F2755" s="474" t="s">
        <v>1147</v>
      </c>
      <c r="G2755" s="474">
        <v>2022</v>
      </c>
      <c r="H2755" s="474">
        <v>3</v>
      </c>
      <c r="I2755" s="485">
        <v>127618</v>
      </c>
      <c r="J2755" s="475">
        <v>44650</v>
      </c>
      <c r="K2755" s="474" t="s">
        <v>1626</v>
      </c>
      <c r="L2755" s="475" t="s">
        <v>1561</v>
      </c>
      <c r="M2755" s="475">
        <v>44468</v>
      </c>
      <c r="N2755" s="475" t="s">
        <v>1586</v>
      </c>
      <c r="O2755" s="475"/>
      <c r="P2755" s="475">
        <v>44636</v>
      </c>
      <c r="Q2755" s="475">
        <v>44649</v>
      </c>
      <c r="R2755" s="475">
        <v>44650</v>
      </c>
      <c r="S2755" s="474" t="s">
        <v>1563</v>
      </c>
      <c r="T2755" s="474">
        <v>60</v>
      </c>
      <c r="U2755" s="474" t="s">
        <v>1595</v>
      </c>
      <c r="V2755" s="474" t="s">
        <v>1574</v>
      </c>
      <c r="W2755" s="476">
        <v>400</v>
      </c>
      <c r="X2755" s="402">
        <v>624</v>
      </c>
      <c r="Y2755" s="491">
        <f t="shared" si="471"/>
        <v>249600</v>
      </c>
      <c r="Z2755" s="478">
        <v>0.44</v>
      </c>
      <c r="AA2755" s="479">
        <f t="shared" si="472"/>
        <v>109824</v>
      </c>
      <c r="AB2755" s="386"/>
      <c r="AC2755" s="481">
        <v>0</v>
      </c>
      <c r="AD2755" s="474"/>
      <c r="AE2755" s="482"/>
      <c r="AF2755" s="493">
        <f t="shared" si="473"/>
        <v>109824</v>
      </c>
      <c r="AG2755" s="474" t="s">
        <v>47</v>
      </c>
      <c r="AH2755" s="447"/>
      <c r="AI2755" s="474">
        <v>75</v>
      </c>
      <c r="AJ2755" s="474" t="s">
        <v>1580</v>
      </c>
      <c r="AK2755" s="474" t="s">
        <v>1073</v>
      </c>
      <c r="AL2755" s="494">
        <v>21075</v>
      </c>
      <c r="AM2755" s="474" t="s">
        <v>52</v>
      </c>
      <c r="AN2755" s="474" t="s">
        <v>1085</v>
      </c>
      <c r="AO2755" s="474"/>
      <c r="AP2755" s="474" t="s">
        <v>92</v>
      </c>
      <c r="AQ2755" s="474" t="s">
        <v>37</v>
      </c>
      <c r="AR2755" s="474"/>
      <c r="AS2755" s="387"/>
      <c r="AT2755" s="387"/>
      <c r="AU2755" s="471"/>
      <c r="AV2755" s="262" t="str">
        <f>U2755</f>
        <v>30390256H</v>
      </c>
      <c r="AW2755" s="262" cm="1">
        <f t="array" ref="AW2755">SUM(MID(0&amp;AV2755,LARGE(INDEX(ISNUMBER(--MID(AV2755,ROW($1:$8),1))*ROW($1:$8),),ROW($1:$8))+1,1)*10^ROW($1:$8)/10)</f>
        <v>30390256</v>
      </c>
      <c r="AX2755" s="262" t="str">
        <f>VLOOKUP($AW2755,'Item Master Data'!$A:$F,3,FALSE)</f>
        <v>T400H</v>
      </c>
      <c r="AY2755" s="262">
        <f>VLOOKUP($AW2755,'Item Master Data'!$A:$F,6,FALSE)</f>
        <v>400</v>
      </c>
      <c r="AZ2755" s="262">
        <f>X2755/BA2755</f>
        <v>24</v>
      </c>
      <c r="BA2755" s="262">
        <f>VLOOKUP(AW2755,'Item Master Data'!$A:$G,7,FALSE)</f>
        <v>26</v>
      </c>
      <c r="BC2755" s="262">
        <f>W2755-AY2755</f>
        <v>0</v>
      </c>
    </row>
    <row r="2756" spans="1:55">
      <c r="A2756" s="410"/>
      <c r="B2756" s="407"/>
      <c r="C2756" s="407"/>
      <c r="D2756" s="474" t="s">
        <v>1066</v>
      </c>
      <c r="E2756" s="388"/>
      <c r="F2756" s="474" t="s">
        <v>1147</v>
      </c>
      <c r="G2756" s="474">
        <v>2022</v>
      </c>
      <c r="H2756" s="474">
        <v>3</v>
      </c>
      <c r="I2756" s="485">
        <v>127617</v>
      </c>
      <c r="J2756" s="475">
        <v>44650</v>
      </c>
      <c r="K2756" s="474" t="s">
        <v>1626</v>
      </c>
      <c r="L2756" s="475" t="s">
        <v>1561</v>
      </c>
      <c r="M2756" s="475">
        <v>44468</v>
      </c>
      <c r="N2756" s="475" t="s">
        <v>1586</v>
      </c>
      <c r="O2756" s="475"/>
      <c r="P2756" s="475">
        <v>44636</v>
      </c>
      <c r="Q2756" s="475">
        <v>44649</v>
      </c>
      <c r="R2756" s="475">
        <v>44650</v>
      </c>
      <c r="S2756" s="474" t="s">
        <v>1563</v>
      </c>
      <c r="T2756" s="474">
        <v>60</v>
      </c>
      <c r="U2756" s="474" t="s">
        <v>1595</v>
      </c>
      <c r="V2756" s="474" t="s">
        <v>1574</v>
      </c>
      <c r="W2756" s="476">
        <v>400</v>
      </c>
      <c r="X2756" s="402">
        <v>624</v>
      </c>
      <c r="Y2756" s="491">
        <f t="shared" si="471"/>
        <v>249600</v>
      </c>
      <c r="Z2756" s="478">
        <v>0.44</v>
      </c>
      <c r="AA2756" s="479">
        <f t="shared" si="472"/>
        <v>109824</v>
      </c>
      <c r="AB2756" s="386"/>
      <c r="AC2756" s="481">
        <v>0</v>
      </c>
      <c r="AD2756" s="474"/>
      <c r="AE2756" s="482"/>
      <c r="AF2756" s="493">
        <f t="shared" si="473"/>
        <v>109824</v>
      </c>
      <c r="AG2756" s="474" t="s">
        <v>47</v>
      </c>
      <c r="AH2756" s="447"/>
      <c r="AI2756" s="474">
        <v>75</v>
      </c>
      <c r="AJ2756" s="474" t="s">
        <v>1580</v>
      </c>
      <c r="AK2756" s="474" t="s">
        <v>1073</v>
      </c>
      <c r="AL2756" s="494">
        <v>21075</v>
      </c>
      <c r="AM2756" s="474" t="s">
        <v>52</v>
      </c>
      <c r="AN2756" s="474" t="s">
        <v>1085</v>
      </c>
      <c r="AO2756" s="474"/>
      <c r="AP2756" s="474" t="s">
        <v>92</v>
      </c>
      <c r="AQ2756" s="474" t="s">
        <v>37</v>
      </c>
      <c r="AR2756" s="474"/>
      <c r="AS2756" s="387"/>
      <c r="AT2756" s="387"/>
      <c r="AU2756" s="471"/>
      <c r="AV2756" s="262" t="str">
        <f>U2756</f>
        <v>30390256H</v>
      </c>
      <c r="AW2756" s="262" cm="1">
        <f t="array" ref="AW2756">SUM(MID(0&amp;AV2756,LARGE(INDEX(ISNUMBER(--MID(AV2756,ROW($1:$8),1))*ROW($1:$8),),ROW($1:$8))+1,1)*10^ROW($1:$8)/10)</f>
        <v>30390256</v>
      </c>
      <c r="AX2756" s="262" t="str">
        <f>VLOOKUP($AW2756,'Item Master Data'!$A:$F,3,FALSE)</f>
        <v>T400H</v>
      </c>
      <c r="AY2756" s="262">
        <f>VLOOKUP($AW2756,'Item Master Data'!$A:$F,6,FALSE)</f>
        <v>400</v>
      </c>
      <c r="AZ2756" s="262">
        <f>X2756/BA2756</f>
        <v>24</v>
      </c>
      <c r="BA2756" s="262">
        <f>VLOOKUP(AW2756,'Item Master Data'!$A:$G,7,FALSE)</f>
        <v>26</v>
      </c>
      <c r="BC2756" s="262">
        <f>W2756-AY2756</f>
        <v>0</v>
      </c>
    </row>
    <row r="2757" spans="1:55">
      <c r="A2757" s="410"/>
      <c r="B2757" s="407"/>
      <c r="C2757" s="407"/>
      <c r="D2757" s="474" t="s">
        <v>1066</v>
      </c>
      <c r="E2757" s="388" t="s">
        <v>1591</v>
      </c>
      <c r="F2757" s="474" t="s">
        <v>1147</v>
      </c>
      <c r="G2757" s="474">
        <v>2022</v>
      </c>
      <c r="H2757" s="474">
        <v>3</v>
      </c>
      <c r="I2757" s="485">
        <v>127470</v>
      </c>
      <c r="J2757" s="475">
        <v>44643</v>
      </c>
      <c r="K2757" s="474" t="s">
        <v>1581</v>
      </c>
      <c r="L2757" s="475" t="s">
        <v>1561</v>
      </c>
      <c r="M2757" s="475">
        <v>44468</v>
      </c>
      <c r="N2757" s="475" t="s">
        <v>1571</v>
      </c>
      <c r="O2757" s="475"/>
      <c r="P2757" s="475">
        <v>44596</v>
      </c>
      <c r="Q2757" s="475">
        <v>44638</v>
      </c>
      <c r="R2757" s="475">
        <v>44643</v>
      </c>
      <c r="S2757" s="474" t="s">
        <v>1563</v>
      </c>
      <c r="T2757" s="474">
        <v>60</v>
      </c>
      <c r="U2757" s="474" t="s">
        <v>1573</v>
      </c>
      <c r="V2757" s="474" t="s">
        <v>1574</v>
      </c>
      <c r="W2757" s="476">
        <v>400</v>
      </c>
      <c r="X2757" s="402">
        <v>624</v>
      </c>
      <c r="Y2757" s="491">
        <f t="shared" si="471"/>
        <v>249600</v>
      </c>
      <c r="Z2757" s="478">
        <v>0.44</v>
      </c>
      <c r="AA2757" s="479">
        <f t="shared" si="472"/>
        <v>109824</v>
      </c>
      <c r="AB2757" s="386"/>
      <c r="AC2757" s="481">
        <v>0</v>
      </c>
      <c r="AD2757" s="474"/>
      <c r="AE2757" s="482"/>
      <c r="AF2757" s="493">
        <f t="shared" si="473"/>
        <v>109824</v>
      </c>
      <c r="AG2757" s="474" t="s">
        <v>47</v>
      </c>
      <c r="AH2757" s="447"/>
      <c r="AI2757" s="474">
        <v>75</v>
      </c>
      <c r="AJ2757" s="474" t="s">
        <v>1580</v>
      </c>
      <c r="AK2757" s="474" t="s">
        <v>1073</v>
      </c>
      <c r="AL2757" s="494">
        <v>21075</v>
      </c>
      <c r="AM2757" s="474" t="s">
        <v>52</v>
      </c>
      <c r="AN2757" s="474" t="s">
        <v>1568</v>
      </c>
      <c r="AO2757" s="474"/>
      <c r="AP2757" s="474" t="s">
        <v>92</v>
      </c>
      <c r="AQ2757" s="474" t="s">
        <v>37</v>
      </c>
      <c r="AR2757" s="474"/>
      <c r="AS2757" s="387"/>
      <c r="AT2757" s="387"/>
      <c r="AU2757" s="471"/>
    </row>
    <row r="2758" spans="1:55">
      <c r="A2758" s="495"/>
      <c r="B2758" s="407"/>
      <c r="C2758" s="407"/>
      <c r="D2758" s="474" t="s">
        <v>1066</v>
      </c>
      <c r="E2758" s="388"/>
      <c r="F2758" s="474" t="s">
        <v>87</v>
      </c>
      <c r="G2758" s="474">
        <v>2022</v>
      </c>
      <c r="H2758" s="474">
        <v>3</v>
      </c>
      <c r="I2758" s="485">
        <v>127530</v>
      </c>
      <c r="J2758" s="475">
        <v>44648</v>
      </c>
      <c r="K2758" s="474" t="s">
        <v>1592</v>
      </c>
      <c r="L2758" s="475" t="s">
        <v>1561</v>
      </c>
      <c r="M2758" s="475">
        <v>44592</v>
      </c>
      <c r="N2758" s="475">
        <v>44596</v>
      </c>
      <c r="O2758" s="475"/>
      <c r="P2758" s="475">
        <v>44606</v>
      </c>
      <c r="Q2758" s="475">
        <v>44645</v>
      </c>
      <c r="R2758" s="475">
        <v>44648</v>
      </c>
      <c r="S2758" s="474" t="s">
        <v>1563</v>
      </c>
      <c r="T2758" s="474">
        <v>72</v>
      </c>
      <c r="U2758" s="474" t="s">
        <v>1542</v>
      </c>
      <c r="V2758" s="474" t="s">
        <v>1070</v>
      </c>
      <c r="W2758" s="476">
        <v>475</v>
      </c>
      <c r="X2758" s="402">
        <v>638</v>
      </c>
      <c r="Y2758" s="491">
        <f t="shared" si="471"/>
        <v>303050</v>
      </c>
      <c r="Z2758" s="478">
        <v>0.47</v>
      </c>
      <c r="AA2758" s="479">
        <f t="shared" si="472"/>
        <v>142433.5</v>
      </c>
      <c r="AB2758" s="386"/>
      <c r="AC2758" s="481">
        <v>0</v>
      </c>
      <c r="AD2758" s="474"/>
      <c r="AE2758" s="482"/>
      <c r="AF2758" s="493">
        <f t="shared" si="473"/>
        <v>142433.5</v>
      </c>
      <c r="AG2758" s="501" t="s">
        <v>47</v>
      </c>
      <c r="AH2758" s="409"/>
      <c r="AI2758" s="501">
        <v>60</v>
      </c>
      <c r="AJ2758" s="501" t="s">
        <v>1593</v>
      </c>
      <c r="AK2758" s="501" t="s">
        <v>1144</v>
      </c>
      <c r="AL2758" s="509">
        <v>78725</v>
      </c>
      <c r="AM2758" s="501" t="s">
        <v>52</v>
      </c>
      <c r="AN2758" s="501" t="s">
        <v>1085</v>
      </c>
      <c r="AO2758" s="474"/>
      <c r="AP2758" s="474" t="s">
        <v>92</v>
      </c>
      <c r="AQ2758" s="474" t="s">
        <v>37</v>
      </c>
      <c r="AR2758" s="474"/>
      <c r="AS2758" s="387"/>
      <c r="AT2758" s="387"/>
      <c r="AU2758" s="471"/>
      <c r="AV2758" s="262" t="str">
        <f>U2758</f>
        <v>30397571C</v>
      </c>
      <c r="AW2758" s="262" cm="1">
        <f t="array" ref="AW2758">SUM(MID(0&amp;AV2758,LARGE(INDEX(ISNUMBER(--MID(AV2758,ROW($1:$8),1))*ROW($1:$8),),ROW($1:$8))+1,1)*10^ROW($1:$8)/10)</f>
        <v>30397571</v>
      </c>
      <c r="AX2758" s="262" t="str">
        <f>VLOOKUP($AW2758,'Item Master Data'!$A:$F,3,FALSE)</f>
        <v>Q.PEAK DUO XL G10 BFG</v>
      </c>
      <c r="AY2758" s="262">
        <f>VLOOKUP($AW2758,'Item Master Data'!$A:$F,6,FALSE)</f>
        <v>475</v>
      </c>
      <c r="AZ2758" s="262">
        <f>X2758/BA2758</f>
        <v>22</v>
      </c>
      <c r="BA2758" s="262">
        <f>VLOOKUP(AW2758,'Item Master Data'!$A:$G,7,FALSE)</f>
        <v>29</v>
      </c>
      <c r="BC2758" s="262">
        <f>W2758-AY2758</f>
        <v>0</v>
      </c>
    </row>
    <row r="2759" spans="1:55">
      <c r="A2759" s="495"/>
      <c r="B2759" s="407"/>
      <c r="C2759" s="407"/>
      <c r="D2759" s="474" t="s">
        <v>1066</v>
      </c>
      <c r="E2759" s="388"/>
      <c r="F2759" s="474" t="s">
        <v>1147</v>
      </c>
      <c r="G2759" s="474">
        <v>2022</v>
      </c>
      <c r="H2759" s="474">
        <v>3</v>
      </c>
      <c r="I2759" s="485">
        <v>127289</v>
      </c>
      <c r="J2759" s="475">
        <v>44634</v>
      </c>
      <c r="K2759" s="474" t="s">
        <v>1600</v>
      </c>
      <c r="L2759" s="475" t="s">
        <v>1561</v>
      </c>
      <c r="M2759" s="475">
        <v>44468</v>
      </c>
      <c r="N2759" s="475" t="s">
        <v>1586</v>
      </c>
      <c r="O2759" s="475"/>
      <c r="P2759" s="475">
        <v>44623</v>
      </c>
      <c r="Q2759" s="475">
        <v>44634</v>
      </c>
      <c r="R2759" s="475">
        <v>44634</v>
      </c>
      <c r="S2759" s="474" t="s">
        <v>1563</v>
      </c>
      <c r="T2759" s="474">
        <v>60</v>
      </c>
      <c r="U2759" s="474" t="s">
        <v>1595</v>
      </c>
      <c r="V2759" s="474" t="s">
        <v>1574</v>
      </c>
      <c r="W2759" s="476">
        <v>400</v>
      </c>
      <c r="X2759" s="402">
        <v>624</v>
      </c>
      <c r="Y2759" s="491">
        <f t="shared" si="471"/>
        <v>249600</v>
      </c>
      <c r="Z2759" s="478">
        <v>0.44</v>
      </c>
      <c r="AA2759" s="479">
        <f t="shared" si="472"/>
        <v>109824</v>
      </c>
      <c r="AB2759" s="386"/>
      <c r="AC2759" s="481">
        <v>0</v>
      </c>
      <c r="AD2759" s="474"/>
      <c r="AE2759" s="482"/>
      <c r="AF2759" s="493">
        <f t="shared" si="473"/>
        <v>109824</v>
      </c>
      <c r="AG2759" s="501" t="s">
        <v>47</v>
      </c>
      <c r="AH2759" s="409"/>
      <c r="AI2759" s="501">
        <v>75</v>
      </c>
      <c r="AJ2759" s="501" t="s">
        <v>1577</v>
      </c>
      <c r="AK2759" s="501" t="s">
        <v>50</v>
      </c>
      <c r="AL2759" s="509">
        <v>92407</v>
      </c>
      <c r="AM2759" s="501" t="s">
        <v>52</v>
      </c>
      <c r="AN2759" s="501" t="s">
        <v>50</v>
      </c>
      <c r="AO2759" s="474"/>
      <c r="AP2759" s="474" t="s">
        <v>92</v>
      </c>
      <c r="AQ2759" s="474" t="s">
        <v>37</v>
      </c>
      <c r="AR2759" s="474"/>
      <c r="AS2759" s="387"/>
      <c r="AT2759" s="387"/>
      <c r="AU2759" s="471"/>
      <c r="AV2759" s="262" t="str">
        <f>U2759</f>
        <v>30390256H</v>
      </c>
      <c r="AW2759" s="262" cm="1">
        <f t="array" ref="AW2759">SUM(MID(0&amp;AV2759,LARGE(INDEX(ISNUMBER(--MID(AV2759,ROW($1:$8),1))*ROW($1:$8),),ROW($1:$8))+1,1)*10^ROW($1:$8)/10)</f>
        <v>30390256</v>
      </c>
      <c r="AX2759" s="262" t="str">
        <f>VLOOKUP($AW2759,'Item Master Data'!$A:$F,3,FALSE)</f>
        <v>T400H</v>
      </c>
      <c r="AY2759" s="262">
        <f>VLOOKUP($AW2759,'Item Master Data'!$A:$F,6,FALSE)</f>
        <v>400</v>
      </c>
      <c r="AZ2759" s="262">
        <f>X2759/BA2759</f>
        <v>24</v>
      </c>
      <c r="BA2759" s="262">
        <f>VLOOKUP(AW2759,'Item Master Data'!$A:$G,7,FALSE)</f>
        <v>26</v>
      </c>
      <c r="BC2759" s="262">
        <f>W2759-AY2759</f>
        <v>0</v>
      </c>
    </row>
    <row r="2760" spans="1:55">
      <c r="A2760" s="495"/>
      <c r="B2760" s="407"/>
      <c r="C2760" s="407"/>
      <c r="D2760" s="474" t="s">
        <v>1066</v>
      </c>
      <c r="E2760" s="388" t="s">
        <v>5188</v>
      </c>
      <c r="F2760" s="474" t="s">
        <v>87</v>
      </c>
      <c r="G2760" s="474">
        <v>2022</v>
      </c>
      <c r="H2760" s="474">
        <v>5</v>
      </c>
      <c r="I2760" s="485"/>
      <c r="J2760" s="475"/>
      <c r="K2760" s="474" t="s">
        <v>1624</v>
      </c>
      <c r="L2760" s="475" t="s">
        <v>1561</v>
      </c>
      <c r="M2760" s="475">
        <v>44592</v>
      </c>
      <c r="N2760" s="475">
        <v>44596</v>
      </c>
      <c r="O2760" s="475"/>
      <c r="P2760" s="475">
        <v>44623</v>
      </c>
      <c r="Q2760" s="475"/>
      <c r="R2760" s="475"/>
      <c r="S2760" s="474" t="s">
        <v>1563</v>
      </c>
      <c r="T2760" s="474">
        <v>72</v>
      </c>
      <c r="U2760" s="474" t="s">
        <v>1625</v>
      </c>
      <c r="V2760" s="474" t="s">
        <v>1070</v>
      </c>
      <c r="W2760" s="476">
        <v>475</v>
      </c>
      <c r="X2760" s="402">
        <v>1740</v>
      </c>
      <c r="Y2760" s="491">
        <f t="shared" si="471"/>
        <v>826500</v>
      </c>
      <c r="Z2760" s="478">
        <v>0.47</v>
      </c>
      <c r="AA2760" s="479">
        <f t="shared" si="472"/>
        <v>388455</v>
      </c>
      <c r="AB2760" s="386"/>
      <c r="AC2760" s="481">
        <v>0</v>
      </c>
      <c r="AD2760" s="474"/>
      <c r="AE2760" s="482"/>
      <c r="AF2760" s="493">
        <f t="shared" si="473"/>
        <v>388455</v>
      </c>
      <c r="AG2760" s="474" t="s">
        <v>47</v>
      </c>
      <c r="AH2760" s="447"/>
      <c r="AI2760" s="474">
        <v>60</v>
      </c>
      <c r="AJ2760" s="474" t="s">
        <v>1593</v>
      </c>
      <c r="AK2760" s="474" t="s">
        <v>1144</v>
      </c>
      <c r="AL2760" s="494">
        <v>78725</v>
      </c>
      <c r="AM2760" s="474" t="s">
        <v>52</v>
      </c>
      <c r="AN2760" s="474" t="s">
        <v>1151</v>
      </c>
      <c r="AO2760" s="474"/>
      <c r="AP2760" s="474" t="s">
        <v>92</v>
      </c>
      <c r="AQ2760" s="474" t="s">
        <v>37</v>
      </c>
      <c r="AR2760" s="474"/>
      <c r="AS2760" s="387"/>
      <c r="AT2760" s="387"/>
      <c r="AU2760" s="471"/>
    </row>
    <row r="2761" spans="1:55">
      <c r="A2761" s="495"/>
      <c r="B2761" s="407"/>
      <c r="C2761" s="407"/>
      <c r="D2761" s="474" t="s">
        <v>1066</v>
      </c>
      <c r="E2761" s="388"/>
      <c r="F2761" s="474" t="s">
        <v>1147</v>
      </c>
      <c r="G2761" s="474">
        <v>2022</v>
      </c>
      <c r="H2761" s="474">
        <v>3</v>
      </c>
      <c r="I2761" s="485">
        <v>127478</v>
      </c>
      <c r="J2761" s="475">
        <v>44642</v>
      </c>
      <c r="K2761" s="474" t="s">
        <v>1585</v>
      </c>
      <c r="L2761" s="475" t="s">
        <v>1561</v>
      </c>
      <c r="M2761" s="475">
        <v>44468</v>
      </c>
      <c r="N2761" s="475" t="s">
        <v>1586</v>
      </c>
      <c r="O2761" s="475"/>
      <c r="P2761" s="475">
        <v>44623</v>
      </c>
      <c r="Q2761" s="475">
        <v>44641</v>
      </c>
      <c r="R2761" s="475">
        <v>44642</v>
      </c>
      <c r="S2761" s="474" t="s">
        <v>1563</v>
      </c>
      <c r="T2761" s="474">
        <v>60</v>
      </c>
      <c r="U2761" s="474" t="s">
        <v>1583</v>
      </c>
      <c r="V2761" s="474" t="s">
        <v>1565</v>
      </c>
      <c r="W2761" s="476">
        <v>395</v>
      </c>
      <c r="X2761" s="402">
        <v>624</v>
      </c>
      <c r="Y2761" s="491">
        <f t="shared" si="471"/>
        <v>246480</v>
      </c>
      <c r="Z2761" s="478">
        <v>0.44</v>
      </c>
      <c r="AA2761" s="479">
        <f t="shared" si="472"/>
        <v>108451.2</v>
      </c>
      <c r="AB2761" s="386"/>
      <c r="AC2761" s="481">
        <v>0</v>
      </c>
      <c r="AD2761" s="474"/>
      <c r="AE2761" s="482"/>
      <c r="AF2761" s="493">
        <f t="shared" si="473"/>
        <v>108451.2</v>
      </c>
      <c r="AG2761" s="501" t="s">
        <v>47</v>
      </c>
      <c r="AH2761" s="409"/>
      <c r="AI2761" s="501">
        <v>75</v>
      </c>
      <c r="AJ2761" s="501" t="s">
        <v>1566</v>
      </c>
      <c r="AK2761" s="501" t="s">
        <v>50</v>
      </c>
      <c r="AL2761" s="509" t="s">
        <v>1567</v>
      </c>
      <c r="AM2761" s="501" t="s">
        <v>52</v>
      </c>
      <c r="AN2761" s="501" t="s">
        <v>50</v>
      </c>
      <c r="AO2761" s="474"/>
      <c r="AP2761" s="474" t="s">
        <v>92</v>
      </c>
      <c r="AQ2761" s="474" t="s">
        <v>37</v>
      </c>
      <c r="AR2761" s="474"/>
      <c r="AS2761" s="387"/>
      <c r="AT2761" s="387"/>
      <c r="AU2761" s="471"/>
    </row>
    <row r="2762" spans="1:55">
      <c r="A2762" s="495"/>
      <c r="B2762" s="407"/>
      <c r="C2762" s="407"/>
      <c r="D2762" s="474" t="s">
        <v>1066</v>
      </c>
      <c r="E2762" s="388"/>
      <c r="F2762" s="474" t="s">
        <v>1147</v>
      </c>
      <c r="G2762" s="474">
        <v>2022</v>
      </c>
      <c r="H2762" s="474">
        <v>3</v>
      </c>
      <c r="I2762" s="485">
        <v>127477</v>
      </c>
      <c r="J2762" s="475">
        <v>44642</v>
      </c>
      <c r="K2762" s="474" t="s">
        <v>1585</v>
      </c>
      <c r="L2762" s="475" t="s">
        <v>1561</v>
      </c>
      <c r="M2762" s="475">
        <v>44468</v>
      </c>
      <c r="N2762" s="475" t="s">
        <v>1586</v>
      </c>
      <c r="O2762" s="475"/>
      <c r="P2762" s="475">
        <v>44623</v>
      </c>
      <c r="Q2762" s="475">
        <v>44642</v>
      </c>
      <c r="R2762" s="475">
        <v>44642</v>
      </c>
      <c r="S2762" s="474" t="s">
        <v>1563</v>
      </c>
      <c r="T2762" s="474">
        <v>60</v>
      </c>
      <c r="U2762" s="474" t="s">
        <v>1583</v>
      </c>
      <c r="V2762" s="474" t="s">
        <v>1565</v>
      </c>
      <c r="W2762" s="476">
        <v>395</v>
      </c>
      <c r="X2762" s="402">
        <v>624</v>
      </c>
      <c r="Y2762" s="491">
        <f t="shared" si="471"/>
        <v>246480</v>
      </c>
      <c r="Z2762" s="478">
        <v>0.44</v>
      </c>
      <c r="AA2762" s="479">
        <f t="shared" si="472"/>
        <v>108451.2</v>
      </c>
      <c r="AB2762" s="386"/>
      <c r="AC2762" s="481">
        <v>0</v>
      </c>
      <c r="AD2762" s="474"/>
      <c r="AE2762" s="482"/>
      <c r="AF2762" s="493">
        <f t="shared" si="473"/>
        <v>108451.2</v>
      </c>
      <c r="AG2762" s="501" t="s">
        <v>47</v>
      </c>
      <c r="AH2762" s="409"/>
      <c r="AI2762" s="501">
        <v>75</v>
      </c>
      <c r="AJ2762" s="501" t="s">
        <v>1566</v>
      </c>
      <c r="AK2762" s="501" t="s">
        <v>50</v>
      </c>
      <c r="AL2762" s="509" t="s">
        <v>1567</v>
      </c>
      <c r="AM2762" s="501" t="s">
        <v>52</v>
      </c>
      <c r="AN2762" s="501" t="s">
        <v>50</v>
      </c>
      <c r="AO2762" s="474"/>
      <c r="AP2762" s="474" t="s">
        <v>92</v>
      </c>
      <c r="AQ2762" s="474" t="s">
        <v>37</v>
      </c>
      <c r="AR2762" s="474"/>
      <c r="AS2762" s="387"/>
      <c r="AT2762" s="387"/>
      <c r="AU2762" s="471"/>
      <c r="AV2762" s="262" t="str">
        <f>U2762</f>
        <v>30390255H</v>
      </c>
      <c r="AW2762" s="262" cm="1">
        <f t="array" ref="AW2762">SUM(MID(0&amp;AV2762,LARGE(INDEX(ISNUMBER(--MID(AV2762,ROW($1:$8),1))*ROW($1:$8),),ROW($1:$8))+1,1)*10^ROW($1:$8)/10)</f>
        <v>30390255</v>
      </c>
      <c r="AX2762" s="262" t="str">
        <f>VLOOKUP($AW2762,'Item Master Data'!$A:$F,3,FALSE)</f>
        <v>T395H</v>
      </c>
      <c r="AY2762" s="262">
        <f>VLOOKUP($AW2762,'Item Master Data'!$A:$F,6,FALSE)</f>
        <v>395</v>
      </c>
      <c r="AZ2762" s="262">
        <f>X2762/BA2762</f>
        <v>24</v>
      </c>
      <c r="BA2762" s="262">
        <f>VLOOKUP(AW2762,'Item Master Data'!$A:$G,7,FALSE)</f>
        <v>26</v>
      </c>
      <c r="BC2762" s="262">
        <f>W2762-AY2762</f>
        <v>0</v>
      </c>
    </row>
    <row r="2763" spans="1:55">
      <c r="A2763" s="410"/>
      <c r="B2763" s="407"/>
      <c r="C2763" s="407"/>
      <c r="D2763" s="474" t="s">
        <v>1066</v>
      </c>
      <c r="E2763" s="388"/>
      <c r="F2763" s="474" t="s">
        <v>1147</v>
      </c>
      <c r="G2763" s="474">
        <v>2022</v>
      </c>
      <c r="H2763" s="474">
        <v>3</v>
      </c>
      <c r="I2763" s="485">
        <v>127476</v>
      </c>
      <c r="J2763" s="475">
        <v>44642</v>
      </c>
      <c r="K2763" s="474" t="s">
        <v>1585</v>
      </c>
      <c r="L2763" s="475" t="s">
        <v>1561</v>
      </c>
      <c r="M2763" s="475">
        <v>44468</v>
      </c>
      <c r="N2763" s="475" t="s">
        <v>1586</v>
      </c>
      <c r="O2763" s="475"/>
      <c r="P2763" s="475">
        <v>44623</v>
      </c>
      <c r="Q2763" s="475">
        <v>44642</v>
      </c>
      <c r="R2763" s="475">
        <v>44642</v>
      </c>
      <c r="S2763" s="474" t="s">
        <v>1563</v>
      </c>
      <c r="T2763" s="474">
        <v>60</v>
      </c>
      <c r="U2763" s="474" t="s">
        <v>1583</v>
      </c>
      <c r="V2763" s="474" t="s">
        <v>1565</v>
      </c>
      <c r="W2763" s="476">
        <v>395</v>
      </c>
      <c r="X2763" s="402">
        <v>624</v>
      </c>
      <c r="Y2763" s="491">
        <f t="shared" si="471"/>
        <v>246480</v>
      </c>
      <c r="Z2763" s="478">
        <v>0.44</v>
      </c>
      <c r="AA2763" s="479">
        <f t="shared" si="472"/>
        <v>108451.2</v>
      </c>
      <c r="AB2763" s="386"/>
      <c r="AC2763" s="481">
        <v>0</v>
      </c>
      <c r="AD2763" s="474"/>
      <c r="AE2763" s="482"/>
      <c r="AF2763" s="493">
        <f t="shared" si="473"/>
        <v>108451.2</v>
      </c>
      <c r="AG2763" s="501" t="s">
        <v>47</v>
      </c>
      <c r="AH2763" s="409"/>
      <c r="AI2763" s="501">
        <v>75</v>
      </c>
      <c r="AJ2763" s="501" t="s">
        <v>1566</v>
      </c>
      <c r="AK2763" s="501" t="s">
        <v>50</v>
      </c>
      <c r="AL2763" s="509" t="s">
        <v>1567</v>
      </c>
      <c r="AM2763" s="501" t="s">
        <v>52</v>
      </c>
      <c r="AN2763" s="501" t="s">
        <v>50</v>
      </c>
      <c r="AO2763" s="474"/>
      <c r="AP2763" s="474" t="s">
        <v>92</v>
      </c>
      <c r="AQ2763" s="474" t="s">
        <v>37</v>
      </c>
      <c r="AR2763" s="474"/>
      <c r="AS2763" s="387"/>
      <c r="AT2763" s="387"/>
      <c r="AU2763" s="471"/>
    </row>
    <row r="2764" spans="1:55">
      <c r="A2764" s="410"/>
      <c r="B2764" s="407"/>
      <c r="C2764" s="407"/>
      <c r="D2764" s="474" t="s">
        <v>1066</v>
      </c>
      <c r="E2764" s="388"/>
      <c r="F2764" s="474" t="s">
        <v>1147</v>
      </c>
      <c r="G2764" s="474">
        <v>2022</v>
      </c>
      <c r="H2764" s="474">
        <v>3</v>
      </c>
      <c r="I2764" s="485">
        <v>127475</v>
      </c>
      <c r="J2764" s="475">
        <v>44642</v>
      </c>
      <c r="K2764" s="474" t="s">
        <v>1585</v>
      </c>
      <c r="L2764" s="475" t="s">
        <v>1561</v>
      </c>
      <c r="M2764" s="475">
        <v>44468</v>
      </c>
      <c r="N2764" s="475" t="s">
        <v>1586</v>
      </c>
      <c r="O2764" s="475"/>
      <c r="P2764" s="475">
        <v>44623</v>
      </c>
      <c r="Q2764" s="475">
        <v>44642</v>
      </c>
      <c r="R2764" s="475">
        <v>44642</v>
      </c>
      <c r="S2764" s="474" t="s">
        <v>1563</v>
      </c>
      <c r="T2764" s="474">
        <v>60</v>
      </c>
      <c r="U2764" s="474" t="s">
        <v>1583</v>
      </c>
      <c r="V2764" s="474" t="s">
        <v>1565</v>
      </c>
      <c r="W2764" s="476">
        <v>395</v>
      </c>
      <c r="X2764" s="402">
        <v>624</v>
      </c>
      <c r="Y2764" s="491">
        <f t="shared" si="471"/>
        <v>246480</v>
      </c>
      <c r="Z2764" s="478">
        <v>0.44</v>
      </c>
      <c r="AA2764" s="479">
        <f t="shared" si="472"/>
        <v>108451.2</v>
      </c>
      <c r="AB2764" s="386"/>
      <c r="AC2764" s="481">
        <v>0</v>
      </c>
      <c r="AD2764" s="474"/>
      <c r="AE2764" s="482"/>
      <c r="AF2764" s="493">
        <f t="shared" si="473"/>
        <v>108451.2</v>
      </c>
      <c r="AG2764" s="501" t="s">
        <v>47</v>
      </c>
      <c r="AH2764" s="409"/>
      <c r="AI2764" s="501">
        <v>75</v>
      </c>
      <c r="AJ2764" s="501" t="s">
        <v>1566</v>
      </c>
      <c r="AK2764" s="501" t="s">
        <v>50</v>
      </c>
      <c r="AL2764" s="509" t="s">
        <v>1567</v>
      </c>
      <c r="AM2764" s="501" t="s">
        <v>52</v>
      </c>
      <c r="AN2764" s="501" t="s">
        <v>50</v>
      </c>
      <c r="AO2764" s="474"/>
      <c r="AP2764" s="474" t="s">
        <v>92</v>
      </c>
      <c r="AQ2764" s="474" t="s">
        <v>37</v>
      </c>
      <c r="AR2764" s="474"/>
      <c r="AS2764" s="387"/>
      <c r="AT2764" s="387"/>
      <c r="AU2764" s="471"/>
      <c r="AV2764" s="262" t="str">
        <f>U2764</f>
        <v>30390255H</v>
      </c>
      <c r="AW2764" s="262" cm="1">
        <f t="array" ref="AW2764">SUM(MID(0&amp;AV2764,LARGE(INDEX(ISNUMBER(--MID(AV2764,ROW($1:$8),1))*ROW($1:$8),),ROW($1:$8))+1,1)*10^ROW($1:$8)/10)</f>
        <v>30390255</v>
      </c>
      <c r="AX2764" s="262" t="str">
        <f>VLOOKUP($AW2764,'Item Master Data'!$A:$F,3,FALSE)</f>
        <v>T395H</v>
      </c>
      <c r="AY2764" s="262">
        <f>VLOOKUP($AW2764,'Item Master Data'!$A:$F,6,FALSE)</f>
        <v>395</v>
      </c>
      <c r="AZ2764" s="262">
        <f>X2764/BA2764</f>
        <v>24</v>
      </c>
      <c r="BA2764" s="262">
        <f>VLOOKUP(AW2764,'Item Master Data'!$A:$G,7,FALSE)</f>
        <v>26</v>
      </c>
      <c r="BC2764" s="262">
        <f>W2764-AY2764</f>
        <v>0</v>
      </c>
    </row>
    <row r="2765" spans="1:55">
      <c r="A2765" s="410"/>
      <c r="B2765" s="407"/>
      <c r="C2765" s="407"/>
      <c r="D2765" s="474" t="s">
        <v>1066</v>
      </c>
      <c r="E2765" s="388"/>
      <c r="F2765" s="474" t="s">
        <v>1147</v>
      </c>
      <c r="G2765" s="474">
        <v>2022</v>
      </c>
      <c r="H2765" s="474">
        <v>3</v>
      </c>
      <c r="I2765" s="485">
        <v>127474</v>
      </c>
      <c r="J2765" s="475">
        <v>44642</v>
      </c>
      <c r="K2765" s="474" t="s">
        <v>1585</v>
      </c>
      <c r="L2765" s="475" t="s">
        <v>1561</v>
      </c>
      <c r="M2765" s="475">
        <v>44468</v>
      </c>
      <c r="N2765" s="475" t="s">
        <v>1586</v>
      </c>
      <c r="O2765" s="475"/>
      <c r="P2765" s="475">
        <v>44623</v>
      </c>
      <c r="Q2765" s="475">
        <v>44642</v>
      </c>
      <c r="R2765" s="475">
        <v>44642</v>
      </c>
      <c r="S2765" s="474" t="s">
        <v>1563</v>
      </c>
      <c r="T2765" s="474">
        <v>60</v>
      </c>
      <c r="U2765" s="474" t="s">
        <v>1583</v>
      </c>
      <c r="V2765" s="474" t="s">
        <v>1565</v>
      </c>
      <c r="W2765" s="476">
        <v>395</v>
      </c>
      <c r="X2765" s="402">
        <v>624</v>
      </c>
      <c r="Y2765" s="491">
        <f t="shared" si="471"/>
        <v>246480</v>
      </c>
      <c r="Z2765" s="478">
        <v>0.44</v>
      </c>
      <c r="AA2765" s="479">
        <f t="shared" si="472"/>
        <v>108451.2</v>
      </c>
      <c r="AB2765" s="386"/>
      <c r="AC2765" s="481">
        <v>0</v>
      </c>
      <c r="AD2765" s="474"/>
      <c r="AE2765" s="482"/>
      <c r="AF2765" s="493">
        <f t="shared" si="473"/>
        <v>108451.2</v>
      </c>
      <c r="AG2765" s="501" t="s">
        <v>47</v>
      </c>
      <c r="AH2765" s="409"/>
      <c r="AI2765" s="501">
        <v>75</v>
      </c>
      <c r="AJ2765" s="501" t="s">
        <v>1566</v>
      </c>
      <c r="AK2765" s="501" t="s">
        <v>50</v>
      </c>
      <c r="AL2765" s="509" t="s">
        <v>1567</v>
      </c>
      <c r="AM2765" s="501" t="s">
        <v>52</v>
      </c>
      <c r="AN2765" s="501" t="s">
        <v>50</v>
      </c>
      <c r="AO2765" s="474"/>
      <c r="AP2765" s="474" t="s">
        <v>92</v>
      </c>
      <c r="AQ2765" s="474" t="s">
        <v>37</v>
      </c>
      <c r="AR2765" s="474"/>
      <c r="AS2765" s="387"/>
      <c r="AT2765" s="387"/>
      <c r="AU2765" s="471"/>
      <c r="AV2765" s="262" t="str">
        <f>U2765</f>
        <v>30390255H</v>
      </c>
      <c r="AW2765" s="262" cm="1">
        <f t="array" ref="AW2765">SUM(MID(0&amp;AV2765,LARGE(INDEX(ISNUMBER(--MID(AV2765,ROW($1:$8),1))*ROW($1:$8),),ROW($1:$8))+1,1)*10^ROW($1:$8)/10)</f>
        <v>30390255</v>
      </c>
      <c r="AX2765" s="262" t="str">
        <f>VLOOKUP($AW2765,'Item Master Data'!$A:$F,3,FALSE)</f>
        <v>T395H</v>
      </c>
      <c r="AY2765" s="262">
        <f>VLOOKUP($AW2765,'Item Master Data'!$A:$F,6,FALSE)</f>
        <v>395</v>
      </c>
      <c r="AZ2765" s="262">
        <f>X2765/BA2765</f>
        <v>24</v>
      </c>
      <c r="BA2765" s="262">
        <f>VLOOKUP(AW2765,'Item Master Data'!$A:$G,7,FALSE)</f>
        <v>26</v>
      </c>
      <c r="BC2765" s="262">
        <f>W2765-AY2765</f>
        <v>0</v>
      </c>
    </row>
    <row r="2766" spans="1:55">
      <c r="A2766" s="410"/>
      <c r="B2766" s="407"/>
      <c r="C2766" s="407"/>
      <c r="D2766" s="474" t="s">
        <v>1066</v>
      </c>
      <c r="E2766" s="388"/>
      <c r="F2766" s="474" t="s">
        <v>1147</v>
      </c>
      <c r="G2766" s="474">
        <v>2022</v>
      </c>
      <c r="H2766" s="474">
        <v>3</v>
      </c>
      <c r="I2766" s="485">
        <v>127473</v>
      </c>
      <c r="J2766" s="475">
        <v>44642</v>
      </c>
      <c r="K2766" s="474" t="s">
        <v>1585</v>
      </c>
      <c r="L2766" s="475" t="s">
        <v>1561</v>
      </c>
      <c r="M2766" s="475">
        <v>44468</v>
      </c>
      <c r="N2766" s="475" t="s">
        <v>1586</v>
      </c>
      <c r="O2766" s="475"/>
      <c r="P2766" s="475">
        <v>44623</v>
      </c>
      <c r="Q2766" s="475">
        <v>44642</v>
      </c>
      <c r="R2766" s="475">
        <v>44642</v>
      </c>
      <c r="S2766" s="474" t="s">
        <v>1563</v>
      </c>
      <c r="T2766" s="474">
        <v>60</v>
      </c>
      <c r="U2766" s="474" t="s">
        <v>1583</v>
      </c>
      <c r="V2766" s="474" t="s">
        <v>1565</v>
      </c>
      <c r="W2766" s="476">
        <v>395</v>
      </c>
      <c r="X2766" s="402">
        <v>624</v>
      </c>
      <c r="Y2766" s="491">
        <f t="shared" si="471"/>
        <v>246480</v>
      </c>
      <c r="Z2766" s="478">
        <v>0.44</v>
      </c>
      <c r="AA2766" s="479">
        <f t="shared" si="472"/>
        <v>108451.2</v>
      </c>
      <c r="AB2766" s="386"/>
      <c r="AC2766" s="481">
        <v>0</v>
      </c>
      <c r="AD2766" s="474"/>
      <c r="AE2766" s="482"/>
      <c r="AF2766" s="493">
        <f t="shared" si="473"/>
        <v>108451.2</v>
      </c>
      <c r="AG2766" s="501" t="s">
        <v>47</v>
      </c>
      <c r="AH2766" s="409"/>
      <c r="AI2766" s="501">
        <v>75</v>
      </c>
      <c r="AJ2766" s="501" t="s">
        <v>1566</v>
      </c>
      <c r="AK2766" s="501" t="s">
        <v>50</v>
      </c>
      <c r="AL2766" s="509" t="s">
        <v>1567</v>
      </c>
      <c r="AM2766" s="501" t="s">
        <v>52</v>
      </c>
      <c r="AN2766" s="501" t="s">
        <v>50</v>
      </c>
      <c r="AO2766" s="474"/>
      <c r="AP2766" s="474" t="s">
        <v>92</v>
      </c>
      <c r="AQ2766" s="474" t="s">
        <v>37</v>
      </c>
      <c r="AR2766" s="474"/>
      <c r="AS2766" s="387"/>
      <c r="AT2766" s="387"/>
      <c r="AU2766" s="471"/>
    </row>
    <row r="2767" spans="1:55">
      <c r="A2767" s="410"/>
      <c r="B2767" s="407"/>
      <c r="C2767" s="407"/>
      <c r="D2767" s="474" t="s">
        <v>1066</v>
      </c>
      <c r="E2767" s="388"/>
      <c r="F2767" s="474" t="s">
        <v>1147</v>
      </c>
      <c r="G2767" s="474">
        <v>2022</v>
      </c>
      <c r="H2767" s="474">
        <v>3</v>
      </c>
      <c r="I2767" s="485">
        <v>127472</v>
      </c>
      <c r="J2767" s="475">
        <v>44643</v>
      </c>
      <c r="K2767" s="474" t="s">
        <v>1585</v>
      </c>
      <c r="L2767" s="475" t="s">
        <v>1561</v>
      </c>
      <c r="M2767" s="475">
        <v>44468</v>
      </c>
      <c r="N2767" s="475" t="s">
        <v>1586</v>
      </c>
      <c r="O2767" s="475"/>
      <c r="P2767" s="475">
        <v>44623</v>
      </c>
      <c r="Q2767" s="475">
        <v>44643</v>
      </c>
      <c r="R2767" s="475">
        <v>44643</v>
      </c>
      <c r="S2767" s="474" t="s">
        <v>1563</v>
      </c>
      <c r="T2767" s="474">
        <v>60</v>
      </c>
      <c r="U2767" s="474" t="s">
        <v>1583</v>
      </c>
      <c r="V2767" s="474" t="s">
        <v>1565</v>
      </c>
      <c r="W2767" s="476">
        <v>395</v>
      </c>
      <c r="X2767" s="402">
        <v>624</v>
      </c>
      <c r="Y2767" s="491">
        <f t="shared" si="471"/>
        <v>246480</v>
      </c>
      <c r="Z2767" s="478">
        <v>0.44</v>
      </c>
      <c r="AA2767" s="479">
        <f t="shared" si="472"/>
        <v>108451.2</v>
      </c>
      <c r="AB2767" s="386"/>
      <c r="AC2767" s="481">
        <v>0</v>
      </c>
      <c r="AD2767" s="474"/>
      <c r="AE2767" s="482"/>
      <c r="AF2767" s="493">
        <f t="shared" si="473"/>
        <v>108451.2</v>
      </c>
      <c r="AG2767" s="501" t="s">
        <v>47</v>
      </c>
      <c r="AH2767" s="409"/>
      <c r="AI2767" s="501">
        <v>75</v>
      </c>
      <c r="AJ2767" s="501" t="s">
        <v>1566</v>
      </c>
      <c r="AK2767" s="501" t="s">
        <v>50</v>
      </c>
      <c r="AL2767" s="509" t="s">
        <v>1567</v>
      </c>
      <c r="AM2767" s="501" t="s">
        <v>52</v>
      </c>
      <c r="AN2767" s="501" t="s">
        <v>50</v>
      </c>
      <c r="AO2767" s="474"/>
      <c r="AP2767" s="474" t="s">
        <v>92</v>
      </c>
      <c r="AQ2767" s="474" t="s">
        <v>37</v>
      </c>
      <c r="AR2767" s="474"/>
      <c r="AS2767" s="387"/>
      <c r="AT2767" s="387"/>
      <c r="AU2767" s="471"/>
    </row>
    <row r="2768" spans="1:55">
      <c r="A2768" s="410"/>
      <c r="B2768" s="407"/>
      <c r="C2768" s="407"/>
      <c r="D2768" s="474" t="s">
        <v>1066</v>
      </c>
      <c r="E2768" s="388"/>
      <c r="F2768" s="474" t="s">
        <v>1147</v>
      </c>
      <c r="G2768" s="474">
        <v>2022</v>
      </c>
      <c r="H2768" s="474">
        <v>3</v>
      </c>
      <c r="I2768" s="485">
        <v>127471</v>
      </c>
      <c r="J2768" s="475">
        <v>44643</v>
      </c>
      <c r="K2768" s="474" t="s">
        <v>1585</v>
      </c>
      <c r="L2768" s="475" t="s">
        <v>1561</v>
      </c>
      <c r="M2768" s="475">
        <v>44468</v>
      </c>
      <c r="N2768" s="475" t="s">
        <v>1586</v>
      </c>
      <c r="O2768" s="475"/>
      <c r="P2768" s="475">
        <v>44623</v>
      </c>
      <c r="Q2768" s="475">
        <v>44642</v>
      </c>
      <c r="R2768" s="475">
        <v>44643</v>
      </c>
      <c r="S2768" s="474" t="s">
        <v>1563</v>
      </c>
      <c r="T2768" s="474">
        <v>60</v>
      </c>
      <c r="U2768" s="474" t="s">
        <v>1583</v>
      </c>
      <c r="V2768" s="474" t="s">
        <v>1565</v>
      </c>
      <c r="W2768" s="476">
        <v>395</v>
      </c>
      <c r="X2768" s="402">
        <v>624</v>
      </c>
      <c r="Y2768" s="491">
        <f t="shared" si="471"/>
        <v>246480</v>
      </c>
      <c r="Z2768" s="478">
        <v>0.44</v>
      </c>
      <c r="AA2768" s="479">
        <f t="shared" si="472"/>
        <v>108451.2</v>
      </c>
      <c r="AB2768" s="386"/>
      <c r="AC2768" s="481">
        <v>0</v>
      </c>
      <c r="AD2768" s="474"/>
      <c r="AE2768" s="482"/>
      <c r="AF2768" s="493">
        <f t="shared" si="473"/>
        <v>108451.2</v>
      </c>
      <c r="AG2768" s="501" t="s">
        <v>47</v>
      </c>
      <c r="AH2768" s="409"/>
      <c r="AI2768" s="501">
        <v>75</v>
      </c>
      <c r="AJ2768" s="501" t="s">
        <v>1566</v>
      </c>
      <c r="AK2768" s="501" t="s">
        <v>50</v>
      </c>
      <c r="AL2768" s="509" t="s">
        <v>1567</v>
      </c>
      <c r="AM2768" s="501" t="s">
        <v>52</v>
      </c>
      <c r="AN2768" s="501" t="s">
        <v>50</v>
      </c>
      <c r="AO2768" s="474"/>
      <c r="AP2768" s="474" t="s">
        <v>92</v>
      </c>
      <c r="AQ2768" s="474" t="s">
        <v>37</v>
      </c>
      <c r="AR2768" s="474"/>
      <c r="AS2768" s="387"/>
      <c r="AT2768" s="387"/>
      <c r="AU2768" s="471"/>
    </row>
    <row r="2769" spans="1:47">
      <c r="A2769" s="410"/>
      <c r="B2769" s="407"/>
      <c r="C2769" s="407"/>
      <c r="D2769" s="474" t="s">
        <v>1066</v>
      </c>
      <c r="E2769" s="388" t="s">
        <v>1614</v>
      </c>
      <c r="F2769" s="474" t="s">
        <v>1147</v>
      </c>
      <c r="G2769" s="474">
        <v>2022</v>
      </c>
      <c r="H2769" s="474">
        <v>4</v>
      </c>
      <c r="I2769" s="485">
        <v>127912</v>
      </c>
      <c r="J2769" s="475">
        <v>44657</v>
      </c>
      <c r="K2769" s="474" t="s">
        <v>1612</v>
      </c>
      <c r="L2769" s="475" t="s">
        <v>1561</v>
      </c>
      <c r="M2769" s="475">
        <v>44468</v>
      </c>
      <c r="N2769" s="475" t="s">
        <v>1586</v>
      </c>
      <c r="O2769" s="475"/>
      <c r="P2769" s="475">
        <v>44652</v>
      </c>
      <c r="Q2769" s="475">
        <v>44656</v>
      </c>
      <c r="R2769" s="475">
        <v>44657</v>
      </c>
      <c r="S2769" s="474" t="s">
        <v>1563</v>
      </c>
      <c r="T2769" s="474">
        <v>60</v>
      </c>
      <c r="U2769" s="474" t="s">
        <v>1595</v>
      </c>
      <c r="V2769" s="474" t="s">
        <v>1574</v>
      </c>
      <c r="W2769" s="476">
        <v>400</v>
      </c>
      <c r="X2769" s="402">
        <v>624</v>
      </c>
      <c r="Y2769" s="491">
        <f t="shared" si="471"/>
        <v>249600</v>
      </c>
      <c r="Z2769" s="478">
        <v>0.48</v>
      </c>
      <c r="AA2769" s="492">
        <f t="shared" si="472"/>
        <v>119808</v>
      </c>
      <c r="AB2769" s="386"/>
      <c r="AC2769" s="481">
        <v>0</v>
      </c>
      <c r="AD2769" s="474"/>
      <c r="AE2769" s="482"/>
      <c r="AF2769" s="493">
        <f t="shared" si="473"/>
        <v>119808</v>
      </c>
      <c r="AG2769" s="474" t="s">
        <v>47</v>
      </c>
      <c r="AH2769" s="447"/>
      <c r="AI2769" s="474">
        <v>75</v>
      </c>
      <c r="AJ2769" s="474" t="s">
        <v>1575</v>
      </c>
      <c r="AK2769" s="474" t="s">
        <v>50</v>
      </c>
      <c r="AL2769" s="494">
        <v>94544</v>
      </c>
      <c r="AM2769" s="474" t="s">
        <v>52</v>
      </c>
      <c r="AN2769" s="474" t="s">
        <v>50</v>
      </c>
      <c r="AO2769" s="474"/>
      <c r="AP2769" s="474" t="s">
        <v>92</v>
      </c>
      <c r="AQ2769" s="474" t="s">
        <v>37</v>
      </c>
      <c r="AR2769" s="474"/>
      <c r="AS2769" s="387"/>
      <c r="AT2769" s="387"/>
      <c r="AU2769" s="471"/>
    </row>
    <row r="2770" spans="1:47">
      <c r="A2770" s="410"/>
      <c r="B2770" s="407"/>
      <c r="C2770" s="407"/>
      <c r="D2770" s="474" t="s">
        <v>1066</v>
      </c>
      <c r="E2770" s="475" t="s">
        <v>1122</v>
      </c>
      <c r="F2770" s="474" t="s">
        <v>1147</v>
      </c>
      <c r="G2770" s="474">
        <v>2022</v>
      </c>
      <c r="H2770" s="474">
        <v>3</v>
      </c>
      <c r="I2770" s="485">
        <v>127579</v>
      </c>
      <c r="J2770" s="475">
        <v>44644</v>
      </c>
      <c r="K2770" s="474" t="s">
        <v>1599</v>
      </c>
      <c r="L2770" s="475" t="s">
        <v>1561</v>
      </c>
      <c r="M2770" s="475">
        <v>44468</v>
      </c>
      <c r="N2770" s="475" t="s">
        <v>1586</v>
      </c>
      <c r="O2770" s="475"/>
      <c r="P2770" s="475">
        <v>44630</v>
      </c>
      <c r="Q2770" s="475">
        <v>44641</v>
      </c>
      <c r="R2770" s="475">
        <v>44644</v>
      </c>
      <c r="S2770" s="474" t="s">
        <v>1563</v>
      </c>
      <c r="T2770" s="474">
        <v>60</v>
      </c>
      <c r="U2770" s="474" t="s">
        <v>1595</v>
      </c>
      <c r="V2770" s="474" t="s">
        <v>1574</v>
      </c>
      <c r="W2770" s="476">
        <v>400</v>
      </c>
      <c r="X2770" s="402">
        <v>624</v>
      </c>
      <c r="Y2770" s="491">
        <f t="shared" si="471"/>
        <v>249600</v>
      </c>
      <c r="Z2770" s="478">
        <v>0.44</v>
      </c>
      <c r="AA2770" s="492">
        <f t="shared" si="472"/>
        <v>109824</v>
      </c>
      <c r="AB2770" s="386"/>
      <c r="AC2770" s="481">
        <v>0</v>
      </c>
      <c r="AD2770" s="474"/>
      <c r="AE2770" s="482"/>
      <c r="AF2770" s="493">
        <f t="shared" si="473"/>
        <v>109824</v>
      </c>
      <c r="AG2770" s="474" t="s">
        <v>47</v>
      </c>
      <c r="AH2770" s="447"/>
      <c r="AI2770" s="474">
        <v>75</v>
      </c>
      <c r="AJ2770" s="474" t="s">
        <v>1577</v>
      </c>
      <c r="AK2770" s="474" t="s">
        <v>50</v>
      </c>
      <c r="AL2770" s="494">
        <v>92407</v>
      </c>
      <c r="AM2770" s="474" t="s">
        <v>52</v>
      </c>
      <c r="AN2770" s="474" t="s">
        <v>1568</v>
      </c>
      <c r="AO2770" s="474"/>
      <c r="AP2770" s="474" t="s">
        <v>92</v>
      </c>
      <c r="AQ2770" s="474" t="s">
        <v>37</v>
      </c>
      <c r="AR2770" s="474"/>
      <c r="AS2770" s="387"/>
      <c r="AT2770" s="387"/>
      <c r="AU2770" s="471"/>
    </row>
    <row r="2771" spans="1:47">
      <c r="A2771" s="410"/>
      <c r="B2771" s="407"/>
      <c r="C2771" s="407"/>
      <c r="D2771" s="474" t="s">
        <v>1066</v>
      </c>
      <c r="E2771" s="475" t="s">
        <v>1122</v>
      </c>
      <c r="F2771" s="474" t="s">
        <v>1147</v>
      </c>
      <c r="G2771" s="474">
        <v>2022</v>
      </c>
      <c r="H2771" s="474">
        <v>3</v>
      </c>
      <c r="I2771" s="485">
        <v>127464</v>
      </c>
      <c r="J2771" s="475">
        <v>44643</v>
      </c>
      <c r="K2771" s="474" t="s">
        <v>1599</v>
      </c>
      <c r="L2771" s="475" t="s">
        <v>1561</v>
      </c>
      <c r="M2771" s="475">
        <v>44468</v>
      </c>
      <c r="N2771" s="475" t="s">
        <v>1586</v>
      </c>
      <c r="O2771" s="475"/>
      <c r="P2771" s="475">
        <v>44630</v>
      </c>
      <c r="Q2771" s="475">
        <v>44641</v>
      </c>
      <c r="R2771" s="475">
        <v>44643</v>
      </c>
      <c r="S2771" s="474" t="s">
        <v>1563</v>
      </c>
      <c r="T2771" s="474">
        <v>60</v>
      </c>
      <c r="U2771" s="474" t="s">
        <v>1573</v>
      </c>
      <c r="V2771" s="474" t="s">
        <v>1574</v>
      </c>
      <c r="W2771" s="476">
        <v>400</v>
      </c>
      <c r="X2771" s="402">
        <v>624</v>
      </c>
      <c r="Y2771" s="491">
        <f t="shared" si="471"/>
        <v>249600</v>
      </c>
      <c r="Z2771" s="478">
        <v>0.44</v>
      </c>
      <c r="AA2771" s="492">
        <f t="shared" si="472"/>
        <v>109824</v>
      </c>
      <c r="AB2771" s="386"/>
      <c r="AC2771" s="481">
        <v>0</v>
      </c>
      <c r="AD2771" s="474"/>
      <c r="AE2771" s="482"/>
      <c r="AF2771" s="493">
        <f t="shared" si="473"/>
        <v>109824</v>
      </c>
      <c r="AG2771" s="474" t="s">
        <v>47</v>
      </c>
      <c r="AH2771" s="447"/>
      <c r="AI2771" s="474">
        <v>75</v>
      </c>
      <c r="AJ2771" s="474" t="s">
        <v>1577</v>
      </c>
      <c r="AK2771" s="474" t="s">
        <v>50</v>
      </c>
      <c r="AL2771" s="494">
        <v>92407</v>
      </c>
      <c r="AM2771" s="474" t="s">
        <v>52</v>
      </c>
      <c r="AN2771" s="474" t="s">
        <v>1568</v>
      </c>
      <c r="AO2771" s="474"/>
      <c r="AP2771" s="474" t="s">
        <v>92</v>
      </c>
      <c r="AQ2771" s="474" t="s">
        <v>37</v>
      </c>
      <c r="AR2771" s="474"/>
      <c r="AS2771" s="387"/>
      <c r="AT2771" s="387"/>
      <c r="AU2771" s="471"/>
    </row>
    <row r="2772" spans="1:47">
      <c r="A2772" s="410"/>
      <c r="B2772" s="407"/>
      <c r="C2772" s="407"/>
      <c r="D2772" s="474" t="s">
        <v>1066</v>
      </c>
      <c r="E2772" s="475"/>
      <c r="F2772" s="474" t="s">
        <v>1147</v>
      </c>
      <c r="G2772" s="474">
        <v>2022</v>
      </c>
      <c r="H2772" s="474">
        <v>3</v>
      </c>
      <c r="I2772" s="485">
        <v>127613</v>
      </c>
      <c r="J2772" s="475">
        <v>44648</v>
      </c>
      <c r="K2772" s="474" t="s">
        <v>1599</v>
      </c>
      <c r="L2772" s="475" t="s">
        <v>1561</v>
      </c>
      <c r="M2772" s="475">
        <v>44468</v>
      </c>
      <c r="N2772" s="475" t="s">
        <v>1586</v>
      </c>
      <c r="O2772" s="475"/>
      <c r="P2772" s="475">
        <v>44630</v>
      </c>
      <c r="Q2772" s="475">
        <v>44648</v>
      </c>
      <c r="R2772" s="475">
        <v>44648</v>
      </c>
      <c r="S2772" s="474" t="s">
        <v>1563</v>
      </c>
      <c r="T2772" s="474">
        <v>60</v>
      </c>
      <c r="U2772" s="474" t="s">
        <v>1595</v>
      </c>
      <c r="V2772" s="474" t="s">
        <v>1574</v>
      </c>
      <c r="W2772" s="476">
        <v>400</v>
      </c>
      <c r="X2772" s="402">
        <v>624</v>
      </c>
      <c r="Y2772" s="491">
        <f t="shared" si="471"/>
        <v>249600</v>
      </c>
      <c r="Z2772" s="478">
        <v>0.44</v>
      </c>
      <c r="AA2772" s="492">
        <f t="shared" si="472"/>
        <v>109824</v>
      </c>
      <c r="AB2772" s="386"/>
      <c r="AC2772" s="481">
        <v>0</v>
      </c>
      <c r="AD2772" s="474"/>
      <c r="AE2772" s="482"/>
      <c r="AF2772" s="493">
        <f t="shared" si="473"/>
        <v>109824</v>
      </c>
      <c r="AG2772" s="474" t="s">
        <v>47</v>
      </c>
      <c r="AH2772" s="447"/>
      <c r="AI2772" s="474">
        <v>75</v>
      </c>
      <c r="AJ2772" s="474" t="s">
        <v>1577</v>
      </c>
      <c r="AK2772" s="474" t="s">
        <v>50</v>
      </c>
      <c r="AL2772" s="494">
        <v>92407</v>
      </c>
      <c r="AM2772" s="474" t="s">
        <v>52</v>
      </c>
      <c r="AN2772" s="474" t="s">
        <v>50</v>
      </c>
      <c r="AO2772" s="474"/>
      <c r="AP2772" s="474" t="s">
        <v>92</v>
      </c>
      <c r="AQ2772" s="474" t="s">
        <v>37</v>
      </c>
      <c r="AR2772" s="474"/>
      <c r="AS2772" s="387"/>
      <c r="AT2772" s="387"/>
      <c r="AU2772" s="471"/>
    </row>
    <row r="2773" spans="1:47">
      <c r="A2773" s="410"/>
      <c r="B2773" s="407"/>
      <c r="C2773" s="407"/>
      <c r="D2773" s="474" t="s">
        <v>1066</v>
      </c>
      <c r="E2773" s="475"/>
      <c r="F2773" s="474" t="s">
        <v>1147</v>
      </c>
      <c r="G2773" s="474">
        <v>2022</v>
      </c>
      <c r="H2773" s="474">
        <v>3</v>
      </c>
      <c r="I2773" s="485">
        <v>127614</v>
      </c>
      <c r="J2773" s="475">
        <v>44648</v>
      </c>
      <c r="K2773" s="474" t="s">
        <v>1599</v>
      </c>
      <c r="L2773" s="475" t="s">
        <v>1561</v>
      </c>
      <c r="M2773" s="475">
        <v>44468</v>
      </c>
      <c r="N2773" s="475" t="s">
        <v>1586</v>
      </c>
      <c r="O2773" s="475"/>
      <c r="P2773" s="475">
        <v>44630</v>
      </c>
      <c r="Q2773" s="475">
        <v>44648</v>
      </c>
      <c r="R2773" s="475">
        <v>44648</v>
      </c>
      <c r="S2773" s="474" t="s">
        <v>1563</v>
      </c>
      <c r="T2773" s="474">
        <v>60</v>
      </c>
      <c r="U2773" s="474" t="s">
        <v>1595</v>
      </c>
      <c r="V2773" s="474" t="s">
        <v>1574</v>
      </c>
      <c r="W2773" s="476">
        <v>400</v>
      </c>
      <c r="X2773" s="402">
        <v>624</v>
      </c>
      <c r="Y2773" s="491">
        <f t="shared" si="471"/>
        <v>249600</v>
      </c>
      <c r="Z2773" s="478">
        <v>0.44</v>
      </c>
      <c r="AA2773" s="492">
        <f t="shared" si="472"/>
        <v>109824</v>
      </c>
      <c r="AB2773" s="386"/>
      <c r="AC2773" s="481">
        <v>0</v>
      </c>
      <c r="AD2773" s="474"/>
      <c r="AE2773" s="482"/>
      <c r="AF2773" s="493">
        <f t="shared" si="473"/>
        <v>109824</v>
      </c>
      <c r="AG2773" s="474" t="s">
        <v>47</v>
      </c>
      <c r="AH2773" s="447"/>
      <c r="AI2773" s="474">
        <v>75</v>
      </c>
      <c r="AJ2773" s="474" t="s">
        <v>1577</v>
      </c>
      <c r="AK2773" s="474" t="s">
        <v>50</v>
      </c>
      <c r="AL2773" s="494">
        <v>92407</v>
      </c>
      <c r="AM2773" s="474" t="s">
        <v>52</v>
      </c>
      <c r="AN2773" s="474" t="s">
        <v>50</v>
      </c>
      <c r="AO2773" s="474"/>
      <c r="AP2773" s="474" t="s">
        <v>92</v>
      </c>
      <c r="AQ2773" s="474" t="s">
        <v>37</v>
      </c>
      <c r="AR2773" s="474"/>
      <c r="AS2773" s="387"/>
      <c r="AT2773" s="387"/>
      <c r="AU2773" s="471"/>
    </row>
    <row r="2774" spans="1:47">
      <c r="A2774" s="410"/>
      <c r="B2774" s="407"/>
      <c r="C2774" s="407"/>
      <c r="D2774" s="474" t="s">
        <v>1066</v>
      </c>
      <c r="E2774" s="475"/>
      <c r="F2774" s="474" t="s">
        <v>1147</v>
      </c>
      <c r="G2774" s="474">
        <v>2022</v>
      </c>
      <c r="H2774" s="474">
        <v>3</v>
      </c>
      <c r="I2774" s="485">
        <v>127658</v>
      </c>
      <c r="J2774" s="475">
        <v>44649</v>
      </c>
      <c r="K2774" s="474" t="s">
        <v>1599</v>
      </c>
      <c r="L2774" s="475" t="s">
        <v>1561</v>
      </c>
      <c r="M2774" s="475">
        <v>44468</v>
      </c>
      <c r="N2774" s="475" t="s">
        <v>1586</v>
      </c>
      <c r="O2774" s="475"/>
      <c r="P2774" s="475">
        <v>44630</v>
      </c>
      <c r="Q2774" s="475">
        <v>44648</v>
      </c>
      <c r="R2774" s="475">
        <v>44649</v>
      </c>
      <c r="S2774" s="474" t="s">
        <v>1563</v>
      </c>
      <c r="T2774" s="474">
        <v>60</v>
      </c>
      <c r="U2774" s="474" t="s">
        <v>1595</v>
      </c>
      <c r="V2774" s="474" t="s">
        <v>1574</v>
      </c>
      <c r="W2774" s="476">
        <v>400</v>
      </c>
      <c r="X2774" s="402">
        <v>624</v>
      </c>
      <c r="Y2774" s="491">
        <f t="shared" si="471"/>
        <v>249600</v>
      </c>
      <c r="Z2774" s="478">
        <v>0.44</v>
      </c>
      <c r="AA2774" s="492">
        <f t="shared" si="472"/>
        <v>109824</v>
      </c>
      <c r="AB2774" s="386"/>
      <c r="AC2774" s="481">
        <v>0</v>
      </c>
      <c r="AD2774" s="474"/>
      <c r="AE2774" s="482"/>
      <c r="AF2774" s="493">
        <f t="shared" si="473"/>
        <v>109824</v>
      </c>
      <c r="AG2774" s="474" t="s">
        <v>47</v>
      </c>
      <c r="AH2774" s="447"/>
      <c r="AI2774" s="474">
        <v>75</v>
      </c>
      <c r="AJ2774" s="474" t="s">
        <v>1577</v>
      </c>
      <c r="AK2774" s="474" t="s">
        <v>50</v>
      </c>
      <c r="AL2774" s="494">
        <v>92407</v>
      </c>
      <c r="AM2774" s="474" t="s">
        <v>52</v>
      </c>
      <c r="AN2774" s="474" t="s">
        <v>50</v>
      </c>
      <c r="AO2774" s="474"/>
      <c r="AP2774" s="474" t="s">
        <v>92</v>
      </c>
      <c r="AQ2774" s="474" t="s">
        <v>37</v>
      </c>
      <c r="AR2774" s="474"/>
      <c r="AS2774" s="387"/>
      <c r="AT2774" s="387"/>
      <c r="AU2774" s="471"/>
    </row>
    <row r="2775" spans="1:47">
      <c r="A2775" s="410"/>
      <c r="B2775" s="407"/>
      <c r="C2775" s="407"/>
      <c r="D2775" s="474" t="s">
        <v>1066</v>
      </c>
      <c r="E2775" s="475"/>
      <c r="F2775" s="474" t="s">
        <v>1147</v>
      </c>
      <c r="G2775" s="474">
        <v>2022</v>
      </c>
      <c r="H2775" s="474">
        <v>3</v>
      </c>
      <c r="I2775" s="485">
        <v>127657</v>
      </c>
      <c r="J2775" s="475">
        <v>44650</v>
      </c>
      <c r="K2775" s="474" t="s">
        <v>1599</v>
      </c>
      <c r="L2775" s="475" t="s">
        <v>1561</v>
      </c>
      <c r="M2775" s="475">
        <v>44468</v>
      </c>
      <c r="N2775" s="475" t="s">
        <v>1586</v>
      </c>
      <c r="O2775" s="475"/>
      <c r="P2775" s="475">
        <v>44630</v>
      </c>
      <c r="Q2775" s="475">
        <v>44648</v>
      </c>
      <c r="R2775" s="475">
        <v>44650</v>
      </c>
      <c r="S2775" s="474" t="s">
        <v>1563</v>
      </c>
      <c r="T2775" s="474">
        <v>60</v>
      </c>
      <c r="U2775" s="474" t="s">
        <v>1595</v>
      </c>
      <c r="V2775" s="474" t="s">
        <v>1574</v>
      </c>
      <c r="W2775" s="476">
        <v>400</v>
      </c>
      <c r="X2775" s="402">
        <v>624</v>
      </c>
      <c r="Y2775" s="491">
        <f t="shared" si="471"/>
        <v>249600</v>
      </c>
      <c r="Z2775" s="478">
        <v>0.44</v>
      </c>
      <c r="AA2775" s="492">
        <f t="shared" si="472"/>
        <v>109824</v>
      </c>
      <c r="AB2775" s="386"/>
      <c r="AC2775" s="481">
        <v>0</v>
      </c>
      <c r="AD2775" s="474"/>
      <c r="AE2775" s="482"/>
      <c r="AF2775" s="493">
        <f t="shared" si="473"/>
        <v>109824</v>
      </c>
      <c r="AG2775" s="474" t="s">
        <v>47</v>
      </c>
      <c r="AH2775" s="447"/>
      <c r="AI2775" s="474">
        <v>75</v>
      </c>
      <c r="AJ2775" s="474" t="s">
        <v>1577</v>
      </c>
      <c r="AK2775" s="474" t="s">
        <v>50</v>
      </c>
      <c r="AL2775" s="494">
        <v>92407</v>
      </c>
      <c r="AM2775" s="474" t="s">
        <v>52</v>
      </c>
      <c r="AN2775" s="474" t="s">
        <v>50</v>
      </c>
      <c r="AO2775" s="474"/>
      <c r="AP2775" s="474" t="s">
        <v>92</v>
      </c>
      <c r="AQ2775" s="474" t="s">
        <v>37</v>
      </c>
      <c r="AR2775" s="474"/>
      <c r="AS2775" s="387"/>
      <c r="AT2775" s="387"/>
      <c r="AU2775" s="471"/>
    </row>
    <row r="2776" spans="1:47">
      <c r="A2776" s="410"/>
      <c r="B2776" s="407"/>
      <c r="C2776" s="407"/>
      <c r="D2776" s="474" t="s">
        <v>1066</v>
      </c>
      <c r="E2776" s="388" t="s">
        <v>1615</v>
      </c>
      <c r="F2776" s="474" t="s">
        <v>1147</v>
      </c>
      <c r="G2776" s="474">
        <v>2022</v>
      </c>
      <c r="H2776" s="474">
        <v>4</v>
      </c>
      <c r="I2776" s="485">
        <v>127913</v>
      </c>
      <c r="J2776" s="475">
        <v>44657</v>
      </c>
      <c r="K2776" s="474" t="s">
        <v>1612</v>
      </c>
      <c r="L2776" s="475" t="s">
        <v>1561</v>
      </c>
      <c r="M2776" s="475">
        <v>44468</v>
      </c>
      <c r="N2776" s="475" t="s">
        <v>1586</v>
      </c>
      <c r="O2776" s="475"/>
      <c r="P2776" s="475">
        <v>44652</v>
      </c>
      <c r="Q2776" s="475">
        <v>44656</v>
      </c>
      <c r="R2776" s="475">
        <v>44657</v>
      </c>
      <c r="S2776" s="474" t="s">
        <v>1563</v>
      </c>
      <c r="T2776" s="474">
        <v>60</v>
      </c>
      <c r="U2776" s="474" t="s">
        <v>1595</v>
      </c>
      <c r="V2776" s="474" t="s">
        <v>1574</v>
      </c>
      <c r="W2776" s="476">
        <v>400</v>
      </c>
      <c r="X2776" s="402">
        <v>624</v>
      </c>
      <c r="Y2776" s="491">
        <f t="shared" si="471"/>
        <v>249600</v>
      </c>
      <c r="Z2776" s="478">
        <v>0.48</v>
      </c>
      <c r="AA2776" s="492">
        <f t="shared" si="472"/>
        <v>119808</v>
      </c>
      <c r="AB2776" s="386"/>
      <c r="AC2776" s="481">
        <v>0</v>
      </c>
      <c r="AD2776" s="474"/>
      <c r="AE2776" s="482"/>
      <c r="AF2776" s="493">
        <f t="shared" si="473"/>
        <v>119808</v>
      </c>
      <c r="AG2776" s="474" t="s">
        <v>47</v>
      </c>
      <c r="AH2776" s="447"/>
      <c r="AI2776" s="474">
        <v>75</v>
      </c>
      <c r="AJ2776" s="474" t="s">
        <v>1575</v>
      </c>
      <c r="AK2776" s="474" t="s">
        <v>50</v>
      </c>
      <c r="AL2776" s="494">
        <v>94544</v>
      </c>
      <c r="AM2776" s="474" t="s">
        <v>52</v>
      </c>
      <c r="AN2776" s="474" t="s">
        <v>50</v>
      </c>
      <c r="AO2776" s="474"/>
      <c r="AP2776" s="474" t="s">
        <v>92</v>
      </c>
      <c r="AQ2776" s="474" t="s">
        <v>37</v>
      </c>
      <c r="AR2776" s="474"/>
      <c r="AS2776" s="387"/>
      <c r="AT2776" s="387"/>
      <c r="AU2776" s="471"/>
    </row>
    <row r="2777" spans="1:47">
      <c r="A2777" s="410"/>
      <c r="B2777" s="407"/>
      <c r="C2777" s="407"/>
      <c r="D2777" s="474" t="s">
        <v>1066</v>
      </c>
      <c r="E2777" s="388" t="s">
        <v>5188</v>
      </c>
      <c r="F2777" s="474" t="s">
        <v>87</v>
      </c>
      <c r="G2777" s="474">
        <v>2022</v>
      </c>
      <c r="H2777" s="474">
        <v>5</v>
      </c>
      <c r="I2777" s="485"/>
      <c r="J2777" s="475"/>
      <c r="K2777" s="474" t="s">
        <v>1592</v>
      </c>
      <c r="L2777" s="475" t="s">
        <v>1561</v>
      </c>
      <c r="M2777" s="475">
        <v>44592</v>
      </c>
      <c r="N2777" s="475">
        <v>44596</v>
      </c>
      <c r="O2777" s="475"/>
      <c r="P2777" s="475">
        <v>44606</v>
      </c>
      <c r="Q2777" s="475"/>
      <c r="R2777" s="475"/>
      <c r="S2777" s="474" t="s">
        <v>1563</v>
      </c>
      <c r="T2777" s="474">
        <v>72</v>
      </c>
      <c r="U2777" s="474" t="s">
        <v>1542</v>
      </c>
      <c r="V2777" s="474" t="s">
        <v>1070</v>
      </c>
      <c r="W2777" s="476">
        <v>475</v>
      </c>
      <c r="X2777" s="402">
        <v>1276</v>
      </c>
      <c r="Y2777" s="491">
        <f t="shared" si="471"/>
        <v>606100</v>
      </c>
      <c r="Z2777" s="478">
        <v>0.47</v>
      </c>
      <c r="AA2777" s="479">
        <f t="shared" si="472"/>
        <v>284867</v>
      </c>
      <c r="AB2777" s="386"/>
      <c r="AC2777" s="481">
        <v>0</v>
      </c>
      <c r="AD2777" s="474"/>
      <c r="AE2777" s="482"/>
      <c r="AF2777" s="493">
        <f t="shared" si="473"/>
        <v>284867</v>
      </c>
      <c r="AG2777" s="474" t="s">
        <v>47</v>
      </c>
      <c r="AH2777" s="447"/>
      <c r="AI2777" s="474">
        <v>60</v>
      </c>
      <c r="AJ2777" s="474" t="s">
        <v>1593</v>
      </c>
      <c r="AK2777" s="474" t="s">
        <v>1144</v>
      </c>
      <c r="AL2777" s="494">
        <v>78725</v>
      </c>
      <c r="AM2777" s="474" t="s">
        <v>52</v>
      </c>
      <c r="AN2777" s="474" t="s">
        <v>1085</v>
      </c>
      <c r="AO2777" s="474"/>
      <c r="AP2777" s="474" t="s">
        <v>92</v>
      </c>
      <c r="AQ2777" s="474" t="s">
        <v>37</v>
      </c>
      <c r="AR2777" s="474"/>
      <c r="AS2777" s="387"/>
      <c r="AT2777" s="387"/>
      <c r="AU2777" s="471"/>
    </row>
    <row r="2778" spans="1:47">
      <c r="A2778" s="410"/>
      <c r="B2778" s="407"/>
      <c r="C2778" s="407"/>
      <c r="D2778" s="474" t="s">
        <v>1066</v>
      </c>
      <c r="E2778" s="388" t="s">
        <v>1616</v>
      </c>
      <c r="F2778" s="474" t="s">
        <v>1147</v>
      </c>
      <c r="G2778" s="474">
        <v>2022</v>
      </c>
      <c r="H2778" s="474">
        <v>4</v>
      </c>
      <c r="I2778" s="485">
        <v>127916</v>
      </c>
      <c r="J2778" s="475">
        <v>44658</v>
      </c>
      <c r="K2778" s="474" t="s">
        <v>1612</v>
      </c>
      <c r="L2778" s="475" t="s">
        <v>1561</v>
      </c>
      <c r="M2778" s="475">
        <v>44468</v>
      </c>
      <c r="N2778" s="475" t="s">
        <v>1586</v>
      </c>
      <c r="O2778" s="475"/>
      <c r="P2778" s="475">
        <v>44652</v>
      </c>
      <c r="Q2778" s="475">
        <v>44657</v>
      </c>
      <c r="R2778" s="475">
        <v>44658</v>
      </c>
      <c r="S2778" s="474" t="s">
        <v>1563</v>
      </c>
      <c r="T2778" s="474">
        <v>60</v>
      </c>
      <c r="U2778" s="474" t="s">
        <v>1595</v>
      </c>
      <c r="V2778" s="474" t="s">
        <v>1574</v>
      </c>
      <c r="W2778" s="476">
        <v>400</v>
      </c>
      <c r="X2778" s="402">
        <v>624</v>
      </c>
      <c r="Y2778" s="491">
        <f t="shared" si="471"/>
        <v>249600</v>
      </c>
      <c r="Z2778" s="478">
        <v>0.48</v>
      </c>
      <c r="AA2778" s="492">
        <f t="shared" si="472"/>
        <v>119808</v>
      </c>
      <c r="AB2778" s="386"/>
      <c r="AC2778" s="481">
        <v>0</v>
      </c>
      <c r="AD2778" s="474"/>
      <c r="AE2778" s="482"/>
      <c r="AF2778" s="493">
        <f t="shared" si="473"/>
        <v>119808</v>
      </c>
      <c r="AG2778" s="474" t="s">
        <v>47</v>
      </c>
      <c r="AH2778" s="447"/>
      <c r="AI2778" s="474">
        <v>75</v>
      </c>
      <c r="AJ2778" s="474" t="s">
        <v>1575</v>
      </c>
      <c r="AK2778" s="474" t="s">
        <v>50</v>
      </c>
      <c r="AL2778" s="494">
        <v>94544</v>
      </c>
      <c r="AM2778" s="474" t="s">
        <v>52</v>
      </c>
      <c r="AN2778" s="474" t="s">
        <v>50</v>
      </c>
      <c r="AO2778" s="474"/>
      <c r="AP2778" s="474" t="s">
        <v>92</v>
      </c>
      <c r="AQ2778" s="474" t="s">
        <v>37</v>
      </c>
      <c r="AR2778" s="474"/>
      <c r="AS2778" s="387"/>
      <c r="AT2778" s="387"/>
      <c r="AU2778" s="471"/>
    </row>
    <row r="2779" spans="1:47">
      <c r="A2779" s="410"/>
      <c r="B2779" s="407"/>
      <c r="C2779" s="407"/>
      <c r="D2779" s="474" t="s">
        <v>1066</v>
      </c>
      <c r="E2779" s="388" t="s">
        <v>1617</v>
      </c>
      <c r="F2779" s="474" t="s">
        <v>1147</v>
      </c>
      <c r="G2779" s="474">
        <v>2022</v>
      </c>
      <c r="H2779" s="474">
        <v>4</v>
      </c>
      <c r="I2779" s="485">
        <v>127915</v>
      </c>
      <c r="J2779" s="475">
        <v>44658</v>
      </c>
      <c r="K2779" s="474" t="s">
        <v>1612</v>
      </c>
      <c r="L2779" s="475" t="s">
        <v>1561</v>
      </c>
      <c r="M2779" s="475">
        <v>44468</v>
      </c>
      <c r="N2779" s="475" t="s">
        <v>1586</v>
      </c>
      <c r="O2779" s="475"/>
      <c r="P2779" s="475">
        <v>44652</v>
      </c>
      <c r="Q2779" s="475">
        <v>44657</v>
      </c>
      <c r="R2779" s="475">
        <v>44658</v>
      </c>
      <c r="S2779" s="474" t="s">
        <v>1563</v>
      </c>
      <c r="T2779" s="474">
        <v>60</v>
      </c>
      <c r="U2779" s="474" t="s">
        <v>1595</v>
      </c>
      <c r="V2779" s="474" t="s">
        <v>1574</v>
      </c>
      <c r="W2779" s="476">
        <v>400</v>
      </c>
      <c r="X2779" s="402">
        <v>624</v>
      </c>
      <c r="Y2779" s="491">
        <f t="shared" si="471"/>
        <v>249600</v>
      </c>
      <c r="Z2779" s="478">
        <v>0.48</v>
      </c>
      <c r="AA2779" s="492">
        <f t="shared" si="472"/>
        <v>119808</v>
      </c>
      <c r="AB2779" s="386"/>
      <c r="AC2779" s="481">
        <v>0</v>
      </c>
      <c r="AD2779" s="474"/>
      <c r="AE2779" s="482"/>
      <c r="AF2779" s="493">
        <f t="shared" si="473"/>
        <v>119808</v>
      </c>
      <c r="AG2779" s="474" t="s">
        <v>47</v>
      </c>
      <c r="AH2779" s="447"/>
      <c r="AI2779" s="474">
        <v>75</v>
      </c>
      <c r="AJ2779" s="474" t="s">
        <v>1575</v>
      </c>
      <c r="AK2779" s="474" t="s">
        <v>50</v>
      </c>
      <c r="AL2779" s="494">
        <v>94544</v>
      </c>
      <c r="AM2779" s="474" t="s">
        <v>52</v>
      </c>
      <c r="AN2779" s="474" t="s">
        <v>50</v>
      </c>
      <c r="AO2779" s="474"/>
      <c r="AP2779" s="474" t="s">
        <v>92</v>
      </c>
      <c r="AQ2779" s="474" t="s">
        <v>37</v>
      </c>
      <c r="AR2779" s="474"/>
      <c r="AS2779" s="387"/>
      <c r="AT2779" s="387"/>
      <c r="AU2779" s="471"/>
    </row>
    <row r="2780" spans="1:47">
      <c r="A2780" s="410"/>
      <c r="B2780" s="407"/>
      <c r="C2780" s="407"/>
      <c r="D2780" s="474" t="s">
        <v>1066</v>
      </c>
      <c r="E2780" s="388" t="s">
        <v>1618</v>
      </c>
      <c r="F2780" s="474" t="s">
        <v>1147</v>
      </c>
      <c r="G2780" s="474">
        <v>2022</v>
      </c>
      <c r="H2780" s="474">
        <v>4</v>
      </c>
      <c r="I2780" s="485">
        <v>127914</v>
      </c>
      <c r="J2780" s="475">
        <v>44658</v>
      </c>
      <c r="K2780" s="474" t="s">
        <v>1612</v>
      </c>
      <c r="L2780" s="475" t="s">
        <v>1561</v>
      </c>
      <c r="M2780" s="475">
        <v>44468</v>
      </c>
      <c r="N2780" s="475" t="s">
        <v>1586</v>
      </c>
      <c r="O2780" s="475"/>
      <c r="P2780" s="475">
        <v>44652</v>
      </c>
      <c r="Q2780" s="475">
        <v>44657</v>
      </c>
      <c r="R2780" s="475">
        <v>44658</v>
      </c>
      <c r="S2780" s="474" t="s">
        <v>1563</v>
      </c>
      <c r="T2780" s="474">
        <v>60</v>
      </c>
      <c r="U2780" s="474" t="s">
        <v>1595</v>
      </c>
      <c r="V2780" s="474" t="s">
        <v>1574</v>
      </c>
      <c r="W2780" s="476">
        <v>400</v>
      </c>
      <c r="X2780" s="402">
        <v>624</v>
      </c>
      <c r="Y2780" s="491">
        <f t="shared" si="471"/>
        <v>249600</v>
      </c>
      <c r="Z2780" s="478">
        <v>0.48</v>
      </c>
      <c r="AA2780" s="492">
        <f t="shared" si="472"/>
        <v>119808</v>
      </c>
      <c r="AB2780" s="386"/>
      <c r="AC2780" s="481">
        <v>0</v>
      </c>
      <c r="AD2780" s="474"/>
      <c r="AE2780" s="482"/>
      <c r="AF2780" s="493">
        <f t="shared" si="473"/>
        <v>119808</v>
      </c>
      <c r="AG2780" s="474" t="s">
        <v>47</v>
      </c>
      <c r="AH2780" s="447"/>
      <c r="AI2780" s="474">
        <v>75</v>
      </c>
      <c r="AJ2780" s="474" t="s">
        <v>1575</v>
      </c>
      <c r="AK2780" s="474" t="s">
        <v>50</v>
      </c>
      <c r="AL2780" s="494">
        <v>94544</v>
      </c>
      <c r="AM2780" s="474" t="s">
        <v>52</v>
      </c>
      <c r="AN2780" s="474" t="s">
        <v>50</v>
      </c>
      <c r="AO2780" s="474"/>
      <c r="AP2780" s="474" t="s">
        <v>92</v>
      </c>
      <c r="AQ2780" s="474" t="s">
        <v>37</v>
      </c>
      <c r="AR2780" s="474"/>
      <c r="AS2780" s="387"/>
      <c r="AT2780" s="387"/>
      <c r="AU2780" s="471"/>
    </row>
    <row r="2781" spans="1:47">
      <c r="A2781" s="410"/>
      <c r="B2781" s="407"/>
      <c r="C2781" s="407"/>
      <c r="D2781" s="474" t="s">
        <v>1066</v>
      </c>
      <c r="E2781" s="388"/>
      <c r="F2781" s="474" t="s">
        <v>1147</v>
      </c>
      <c r="G2781" s="474">
        <v>2022</v>
      </c>
      <c r="H2781" s="474">
        <v>4</v>
      </c>
      <c r="I2781" s="485">
        <v>127958</v>
      </c>
      <c r="J2781" s="475">
        <v>44659</v>
      </c>
      <c r="K2781" s="474" t="s">
        <v>1612</v>
      </c>
      <c r="L2781" s="475" t="s">
        <v>1561</v>
      </c>
      <c r="M2781" s="475">
        <v>44468</v>
      </c>
      <c r="N2781" s="475" t="s">
        <v>1586</v>
      </c>
      <c r="O2781" s="475"/>
      <c r="P2781" s="475">
        <v>44652</v>
      </c>
      <c r="Q2781" s="475">
        <v>44658</v>
      </c>
      <c r="R2781" s="475">
        <v>44659</v>
      </c>
      <c r="S2781" s="474" t="s">
        <v>1563</v>
      </c>
      <c r="T2781" s="474">
        <v>60</v>
      </c>
      <c r="U2781" s="474" t="s">
        <v>1595</v>
      </c>
      <c r="V2781" s="474" t="s">
        <v>1574</v>
      </c>
      <c r="W2781" s="476">
        <v>400</v>
      </c>
      <c r="X2781" s="402">
        <v>624</v>
      </c>
      <c r="Y2781" s="491">
        <f t="shared" si="471"/>
        <v>249600</v>
      </c>
      <c r="Z2781" s="478">
        <v>0.48</v>
      </c>
      <c r="AA2781" s="492">
        <f t="shared" si="472"/>
        <v>119808</v>
      </c>
      <c r="AB2781" s="386"/>
      <c r="AC2781" s="481">
        <v>0</v>
      </c>
      <c r="AD2781" s="474"/>
      <c r="AE2781" s="482"/>
      <c r="AF2781" s="493">
        <f t="shared" si="473"/>
        <v>119808</v>
      </c>
      <c r="AG2781" s="474" t="s">
        <v>47</v>
      </c>
      <c r="AH2781" s="447"/>
      <c r="AI2781" s="474">
        <v>75</v>
      </c>
      <c r="AJ2781" s="474" t="s">
        <v>1575</v>
      </c>
      <c r="AK2781" s="474" t="s">
        <v>50</v>
      </c>
      <c r="AL2781" s="494">
        <v>94544</v>
      </c>
      <c r="AM2781" s="474" t="s">
        <v>52</v>
      </c>
      <c r="AN2781" s="474" t="s">
        <v>50</v>
      </c>
      <c r="AO2781" s="474"/>
      <c r="AP2781" s="474" t="s">
        <v>92</v>
      </c>
      <c r="AQ2781" s="474" t="s">
        <v>37</v>
      </c>
      <c r="AR2781" s="474"/>
      <c r="AS2781" s="387"/>
      <c r="AT2781" s="387"/>
      <c r="AU2781" s="471"/>
    </row>
    <row r="2782" spans="1:47">
      <c r="A2782" s="410"/>
      <c r="B2782" s="407"/>
      <c r="C2782" s="407"/>
      <c r="D2782" s="474" t="s">
        <v>1066</v>
      </c>
      <c r="E2782" s="388"/>
      <c r="F2782" s="474" t="s">
        <v>1147</v>
      </c>
      <c r="G2782" s="474">
        <v>2022</v>
      </c>
      <c r="H2782" s="474">
        <v>4</v>
      </c>
      <c r="I2782" s="485">
        <v>127959</v>
      </c>
      <c r="J2782" s="475">
        <v>44659</v>
      </c>
      <c r="K2782" s="474" t="s">
        <v>1612</v>
      </c>
      <c r="L2782" s="475" t="s">
        <v>1561</v>
      </c>
      <c r="M2782" s="475">
        <v>44468</v>
      </c>
      <c r="N2782" s="475" t="s">
        <v>1586</v>
      </c>
      <c r="O2782" s="475"/>
      <c r="P2782" s="475">
        <v>44652</v>
      </c>
      <c r="Q2782" s="475">
        <v>44658</v>
      </c>
      <c r="R2782" s="475">
        <v>44659</v>
      </c>
      <c r="S2782" s="474" t="s">
        <v>1563</v>
      </c>
      <c r="T2782" s="474">
        <v>60</v>
      </c>
      <c r="U2782" s="474" t="s">
        <v>1595</v>
      </c>
      <c r="V2782" s="474" t="s">
        <v>1574</v>
      </c>
      <c r="W2782" s="476">
        <v>400</v>
      </c>
      <c r="X2782" s="402">
        <v>624</v>
      </c>
      <c r="Y2782" s="491">
        <f t="shared" si="471"/>
        <v>249600</v>
      </c>
      <c r="Z2782" s="478">
        <v>0.48</v>
      </c>
      <c r="AA2782" s="492">
        <f t="shared" si="472"/>
        <v>119808</v>
      </c>
      <c r="AB2782" s="386"/>
      <c r="AC2782" s="481">
        <v>0</v>
      </c>
      <c r="AD2782" s="474"/>
      <c r="AE2782" s="482"/>
      <c r="AF2782" s="493">
        <f t="shared" si="473"/>
        <v>119808</v>
      </c>
      <c r="AG2782" s="474" t="s">
        <v>47</v>
      </c>
      <c r="AH2782" s="447"/>
      <c r="AI2782" s="474">
        <v>75</v>
      </c>
      <c r="AJ2782" s="474" t="s">
        <v>1575</v>
      </c>
      <c r="AK2782" s="474" t="s">
        <v>50</v>
      </c>
      <c r="AL2782" s="494">
        <v>94544</v>
      </c>
      <c r="AM2782" s="474" t="s">
        <v>52</v>
      </c>
      <c r="AN2782" s="474" t="s">
        <v>50</v>
      </c>
      <c r="AO2782" s="474"/>
      <c r="AP2782" s="474" t="s">
        <v>92</v>
      </c>
      <c r="AQ2782" s="474" t="s">
        <v>37</v>
      </c>
      <c r="AR2782" s="474"/>
      <c r="AS2782" s="387"/>
      <c r="AT2782" s="387"/>
      <c r="AU2782" s="471"/>
    </row>
    <row r="2783" spans="1:47">
      <c r="A2783" s="410"/>
      <c r="B2783" s="407"/>
      <c r="C2783" s="407"/>
      <c r="D2783" s="474" t="s">
        <v>1066</v>
      </c>
      <c r="E2783" s="388"/>
      <c r="F2783" s="474" t="s">
        <v>1147</v>
      </c>
      <c r="G2783" s="474">
        <v>2022</v>
      </c>
      <c r="H2783" s="474">
        <v>4</v>
      </c>
      <c r="I2783" s="485"/>
      <c r="J2783" s="475" t="s">
        <v>5668</v>
      </c>
      <c r="K2783" s="474" t="s">
        <v>5670</v>
      </c>
      <c r="L2783" s="475" t="s">
        <v>1561</v>
      </c>
      <c r="M2783" s="475">
        <v>44468</v>
      </c>
      <c r="N2783" s="475" t="s">
        <v>1631</v>
      </c>
      <c r="O2783" s="475"/>
      <c r="P2783" s="475">
        <v>44678</v>
      </c>
      <c r="Q2783" s="475">
        <v>44680</v>
      </c>
      <c r="R2783" s="475">
        <v>44680</v>
      </c>
      <c r="S2783" s="474" t="s">
        <v>1563</v>
      </c>
      <c r="T2783" s="474">
        <v>60</v>
      </c>
      <c r="U2783" s="474" t="s">
        <v>1595</v>
      </c>
      <c r="V2783" s="474" t="s">
        <v>1574</v>
      </c>
      <c r="W2783" s="476">
        <v>400</v>
      </c>
      <c r="X2783" s="402">
        <v>624</v>
      </c>
      <c r="Y2783" s="491">
        <f t="shared" si="471"/>
        <v>249600</v>
      </c>
      <c r="Z2783" s="478">
        <v>0.48</v>
      </c>
      <c r="AA2783" s="492">
        <f t="shared" si="472"/>
        <v>119808</v>
      </c>
      <c r="AB2783" s="386"/>
      <c r="AC2783" s="481">
        <v>0</v>
      </c>
      <c r="AD2783" s="474"/>
      <c r="AE2783" s="482"/>
      <c r="AF2783" s="493">
        <f t="shared" si="473"/>
        <v>119808</v>
      </c>
      <c r="AG2783" s="474" t="s">
        <v>47</v>
      </c>
      <c r="AH2783" s="447"/>
      <c r="AI2783" s="474">
        <v>75</v>
      </c>
      <c r="AJ2783" s="474" t="s">
        <v>1580</v>
      </c>
      <c r="AK2783" s="474" t="s">
        <v>1073</v>
      </c>
      <c r="AL2783" s="494">
        <v>21075</v>
      </c>
      <c r="AM2783" s="474" t="s">
        <v>52</v>
      </c>
      <c r="AN2783" s="474" t="s">
        <v>50</v>
      </c>
      <c r="AO2783" s="474"/>
      <c r="AP2783" s="474" t="s">
        <v>92</v>
      </c>
      <c r="AQ2783" s="474" t="s">
        <v>37</v>
      </c>
      <c r="AR2783" s="474"/>
      <c r="AS2783" s="387"/>
      <c r="AT2783" s="387"/>
      <c r="AU2783" s="471"/>
    </row>
    <row r="2784" spans="1:47">
      <c r="A2784" s="410"/>
      <c r="B2784" s="407"/>
      <c r="C2784" s="407"/>
      <c r="D2784" s="474" t="s">
        <v>1066</v>
      </c>
      <c r="E2784" s="388"/>
      <c r="F2784" s="474" t="s">
        <v>1147</v>
      </c>
      <c r="G2784" s="474">
        <v>2022</v>
      </c>
      <c r="H2784" s="474">
        <v>4</v>
      </c>
      <c r="I2784" s="485"/>
      <c r="J2784" s="475" t="s">
        <v>5668</v>
      </c>
      <c r="K2784" s="474" t="s">
        <v>5670</v>
      </c>
      <c r="L2784" s="475" t="s">
        <v>1561</v>
      </c>
      <c r="M2784" s="475">
        <v>44468</v>
      </c>
      <c r="N2784" s="475" t="s">
        <v>1631</v>
      </c>
      <c r="O2784" s="475"/>
      <c r="P2784" s="475">
        <v>44678</v>
      </c>
      <c r="Q2784" s="475">
        <v>44680</v>
      </c>
      <c r="R2784" s="475">
        <v>44680</v>
      </c>
      <c r="S2784" s="474" t="s">
        <v>1563</v>
      </c>
      <c r="T2784" s="474">
        <v>60</v>
      </c>
      <c r="U2784" s="474" t="s">
        <v>1595</v>
      </c>
      <c r="V2784" s="474" t="s">
        <v>1574</v>
      </c>
      <c r="W2784" s="476">
        <v>400</v>
      </c>
      <c r="X2784" s="402">
        <v>624</v>
      </c>
      <c r="Y2784" s="491">
        <f t="shared" si="471"/>
        <v>249600</v>
      </c>
      <c r="Z2784" s="478">
        <v>0.48</v>
      </c>
      <c r="AA2784" s="492">
        <f t="shared" si="472"/>
        <v>119808</v>
      </c>
      <c r="AB2784" s="386"/>
      <c r="AC2784" s="481">
        <v>0</v>
      </c>
      <c r="AD2784" s="474"/>
      <c r="AE2784" s="482"/>
      <c r="AF2784" s="493">
        <f t="shared" si="473"/>
        <v>119808</v>
      </c>
      <c r="AG2784" s="474" t="s">
        <v>47</v>
      </c>
      <c r="AH2784" s="447"/>
      <c r="AI2784" s="474">
        <v>75</v>
      </c>
      <c r="AJ2784" s="474" t="s">
        <v>1580</v>
      </c>
      <c r="AK2784" s="474" t="s">
        <v>1073</v>
      </c>
      <c r="AL2784" s="494">
        <v>21075</v>
      </c>
      <c r="AM2784" s="474" t="s">
        <v>52</v>
      </c>
      <c r="AN2784" s="474" t="s">
        <v>50</v>
      </c>
      <c r="AO2784" s="474"/>
      <c r="AP2784" s="474" t="s">
        <v>92</v>
      </c>
      <c r="AQ2784" s="474" t="s">
        <v>37</v>
      </c>
      <c r="AR2784" s="474"/>
      <c r="AS2784" s="387"/>
      <c r="AT2784" s="387"/>
      <c r="AU2784" s="471"/>
    </row>
    <row r="2785" spans="1:47">
      <c r="A2785" s="410"/>
      <c r="B2785" s="407"/>
      <c r="C2785" s="407"/>
      <c r="D2785" s="474" t="s">
        <v>1066</v>
      </c>
      <c r="E2785" s="388"/>
      <c r="F2785" s="474" t="s">
        <v>1147</v>
      </c>
      <c r="G2785" s="474">
        <v>2022</v>
      </c>
      <c r="H2785" s="474">
        <v>4</v>
      </c>
      <c r="I2785" s="485"/>
      <c r="J2785" s="475" t="s">
        <v>5668</v>
      </c>
      <c r="K2785" s="474" t="s">
        <v>5670</v>
      </c>
      <c r="L2785" s="475" t="s">
        <v>1561</v>
      </c>
      <c r="M2785" s="475">
        <v>44468</v>
      </c>
      <c r="N2785" s="475" t="s">
        <v>1631</v>
      </c>
      <c r="O2785" s="475"/>
      <c r="P2785" s="475">
        <v>44678</v>
      </c>
      <c r="Q2785" s="475">
        <v>44680</v>
      </c>
      <c r="R2785" s="475">
        <v>44680</v>
      </c>
      <c r="S2785" s="474" t="s">
        <v>1563</v>
      </c>
      <c r="T2785" s="474">
        <v>60</v>
      </c>
      <c r="U2785" s="474" t="s">
        <v>1595</v>
      </c>
      <c r="V2785" s="474" t="s">
        <v>1574</v>
      </c>
      <c r="W2785" s="476">
        <v>400</v>
      </c>
      <c r="X2785" s="402">
        <v>624</v>
      </c>
      <c r="Y2785" s="491">
        <f t="shared" si="471"/>
        <v>249600</v>
      </c>
      <c r="Z2785" s="478">
        <v>0.48</v>
      </c>
      <c r="AA2785" s="492">
        <f t="shared" si="472"/>
        <v>119808</v>
      </c>
      <c r="AB2785" s="386"/>
      <c r="AC2785" s="481">
        <v>0</v>
      </c>
      <c r="AD2785" s="474"/>
      <c r="AE2785" s="482"/>
      <c r="AF2785" s="493">
        <f t="shared" si="473"/>
        <v>119808</v>
      </c>
      <c r="AG2785" s="474" t="s">
        <v>47</v>
      </c>
      <c r="AH2785" s="447"/>
      <c r="AI2785" s="474">
        <v>75</v>
      </c>
      <c r="AJ2785" s="474" t="s">
        <v>1580</v>
      </c>
      <c r="AK2785" s="474" t="s">
        <v>1073</v>
      </c>
      <c r="AL2785" s="494">
        <v>21075</v>
      </c>
      <c r="AM2785" s="474" t="s">
        <v>52</v>
      </c>
      <c r="AN2785" s="474" t="s">
        <v>50</v>
      </c>
      <c r="AO2785" s="474"/>
      <c r="AP2785" s="474" t="s">
        <v>92</v>
      </c>
      <c r="AQ2785" s="474" t="s">
        <v>37</v>
      </c>
      <c r="AR2785" s="474"/>
      <c r="AS2785" s="387"/>
      <c r="AT2785" s="387"/>
      <c r="AU2785" s="471"/>
    </row>
    <row r="2786" spans="1:47">
      <c r="A2786" s="410"/>
      <c r="B2786" s="407"/>
      <c r="C2786" s="407"/>
      <c r="D2786" s="474" t="s">
        <v>1066</v>
      </c>
      <c r="E2786" s="388"/>
      <c r="F2786" s="474" t="s">
        <v>1147</v>
      </c>
      <c r="G2786" s="474">
        <v>2022</v>
      </c>
      <c r="H2786" s="474">
        <v>4</v>
      </c>
      <c r="I2786" s="485"/>
      <c r="J2786" s="475" t="s">
        <v>5668</v>
      </c>
      <c r="K2786" s="474" t="s">
        <v>5670</v>
      </c>
      <c r="L2786" s="475" t="s">
        <v>1561</v>
      </c>
      <c r="M2786" s="475">
        <v>44468</v>
      </c>
      <c r="N2786" s="475" t="s">
        <v>1631</v>
      </c>
      <c r="O2786" s="475"/>
      <c r="P2786" s="475">
        <v>44678</v>
      </c>
      <c r="Q2786" s="475">
        <v>44680</v>
      </c>
      <c r="R2786" s="475">
        <v>44680</v>
      </c>
      <c r="S2786" s="474" t="s">
        <v>1563</v>
      </c>
      <c r="T2786" s="474">
        <v>60</v>
      </c>
      <c r="U2786" s="474" t="s">
        <v>1595</v>
      </c>
      <c r="V2786" s="474" t="s">
        <v>1574</v>
      </c>
      <c r="W2786" s="476">
        <v>400</v>
      </c>
      <c r="X2786" s="402">
        <v>624</v>
      </c>
      <c r="Y2786" s="491">
        <f t="shared" si="471"/>
        <v>249600</v>
      </c>
      <c r="Z2786" s="478">
        <v>0.48</v>
      </c>
      <c r="AA2786" s="492">
        <f t="shared" si="472"/>
        <v>119808</v>
      </c>
      <c r="AB2786" s="386"/>
      <c r="AC2786" s="481">
        <v>0</v>
      </c>
      <c r="AD2786" s="474"/>
      <c r="AE2786" s="482"/>
      <c r="AF2786" s="493">
        <f t="shared" si="473"/>
        <v>119808</v>
      </c>
      <c r="AG2786" s="474" t="s">
        <v>47</v>
      </c>
      <c r="AH2786" s="447"/>
      <c r="AI2786" s="474">
        <v>75</v>
      </c>
      <c r="AJ2786" s="474" t="s">
        <v>1580</v>
      </c>
      <c r="AK2786" s="474" t="s">
        <v>1073</v>
      </c>
      <c r="AL2786" s="494">
        <v>21075</v>
      </c>
      <c r="AM2786" s="474" t="s">
        <v>52</v>
      </c>
      <c r="AN2786" s="474" t="s">
        <v>50</v>
      </c>
      <c r="AO2786" s="474"/>
      <c r="AP2786" s="474" t="s">
        <v>92</v>
      </c>
      <c r="AQ2786" s="474" t="s">
        <v>37</v>
      </c>
      <c r="AR2786" s="474"/>
      <c r="AS2786" s="387"/>
      <c r="AT2786" s="387"/>
      <c r="AU2786" s="471"/>
    </row>
    <row r="2787" spans="1:47">
      <c r="A2787" s="410"/>
      <c r="B2787" s="407"/>
      <c r="C2787" s="407"/>
      <c r="D2787" s="474" t="s">
        <v>1066</v>
      </c>
      <c r="E2787" s="475"/>
      <c r="F2787" s="474" t="s">
        <v>1147</v>
      </c>
      <c r="G2787" s="474">
        <v>2022</v>
      </c>
      <c r="H2787" s="474">
        <v>4</v>
      </c>
      <c r="I2787" s="485">
        <v>127917</v>
      </c>
      <c r="J2787" s="475">
        <v>44655</v>
      </c>
      <c r="K2787" s="474" t="s">
        <v>1599</v>
      </c>
      <c r="L2787" s="475" t="s">
        <v>1561</v>
      </c>
      <c r="M2787" s="475">
        <v>44468</v>
      </c>
      <c r="N2787" s="475" t="s">
        <v>1586</v>
      </c>
      <c r="O2787" s="475"/>
      <c r="P2787" s="475">
        <v>44630</v>
      </c>
      <c r="Q2787" s="475">
        <v>44655</v>
      </c>
      <c r="R2787" s="475">
        <v>44655</v>
      </c>
      <c r="S2787" s="474" t="s">
        <v>1563</v>
      </c>
      <c r="T2787" s="474">
        <v>60</v>
      </c>
      <c r="U2787" s="474" t="s">
        <v>1595</v>
      </c>
      <c r="V2787" s="474" t="s">
        <v>1574</v>
      </c>
      <c r="W2787" s="476">
        <v>400</v>
      </c>
      <c r="X2787" s="402">
        <f>1872-624-624</f>
        <v>624</v>
      </c>
      <c r="Y2787" s="491">
        <f t="shared" si="471"/>
        <v>249600</v>
      </c>
      <c r="Z2787" s="478">
        <v>0.48</v>
      </c>
      <c r="AA2787" s="492">
        <f t="shared" si="472"/>
        <v>119808</v>
      </c>
      <c r="AB2787" s="386"/>
      <c r="AC2787" s="481">
        <v>0</v>
      </c>
      <c r="AD2787" s="474"/>
      <c r="AE2787" s="482"/>
      <c r="AF2787" s="493">
        <f t="shared" si="473"/>
        <v>119808</v>
      </c>
      <c r="AG2787" s="474" t="s">
        <v>47</v>
      </c>
      <c r="AH2787" s="447"/>
      <c r="AI2787" s="474">
        <v>75</v>
      </c>
      <c r="AJ2787" s="474" t="s">
        <v>1577</v>
      </c>
      <c r="AK2787" s="474" t="s">
        <v>50</v>
      </c>
      <c r="AL2787" s="494">
        <v>92407</v>
      </c>
      <c r="AM2787" s="474" t="s">
        <v>52</v>
      </c>
      <c r="AN2787" s="474" t="s">
        <v>50</v>
      </c>
      <c r="AO2787" s="474"/>
      <c r="AP2787" s="474" t="s">
        <v>92</v>
      </c>
      <c r="AQ2787" s="474" t="s">
        <v>37</v>
      </c>
      <c r="AR2787" s="474"/>
      <c r="AS2787" s="387"/>
      <c r="AT2787" s="387"/>
      <c r="AU2787" s="471"/>
    </row>
    <row r="2788" spans="1:47">
      <c r="A2788" s="410"/>
      <c r="B2788" s="407"/>
      <c r="C2788" s="407"/>
      <c r="D2788" s="474" t="s">
        <v>1066</v>
      </c>
      <c r="E2788" s="388" t="s">
        <v>1620</v>
      </c>
      <c r="F2788" s="474" t="s">
        <v>1147</v>
      </c>
      <c r="G2788" s="474">
        <v>2022</v>
      </c>
      <c r="H2788" s="474">
        <v>4</v>
      </c>
      <c r="I2788" s="485">
        <v>127923</v>
      </c>
      <c r="J2788" s="475">
        <v>44658</v>
      </c>
      <c r="K2788" s="474" t="s">
        <v>1621</v>
      </c>
      <c r="L2788" s="475" t="s">
        <v>1561</v>
      </c>
      <c r="M2788" s="475">
        <v>44468</v>
      </c>
      <c r="N2788" s="475" t="s">
        <v>1586</v>
      </c>
      <c r="O2788" s="475"/>
      <c r="P2788" s="475">
        <v>44652</v>
      </c>
      <c r="Q2788" s="475">
        <v>44656</v>
      </c>
      <c r="R2788" s="475">
        <v>44658</v>
      </c>
      <c r="S2788" s="474" t="s">
        <v>1563</v>
      </c>
      <c r="T2788" s="474">
        <v>60</v>
      </c>
      <c r="U2788" s="474" t="s">
        <v>1595</v>
      </c>
      <c r="V2788" s="474" t="s">
        <v>1574</v>
      </c>
      <c r="W2788" s="476">
        <v>400</v>
      </c>
      <c r="X2788" s="402">
        <v>624</v>
      </c>
      <c r="Y2788" s="491">
        <f t="shared" si="471"/>
        <v>249600</v>
      </c>
      <c r="Z2788" s="478">
        <v>0.48</v>
      </c>
      <c r="AA2788" s="492">
        <f t="shared" si="472"/>
        <v>119808</v>
      </c>
      <c r="AB2788" s="386"/>
      <c r="AC2788" s="481">
        <v>0</v>
      </c>
      <c r="AD2788" s="474"/>
      <c r="AE2788" s="482"/>
      <c r="AF2788" s="493">
        <f t="shared" si="473"/>
        <v>119808</v>
      </c>
      <c r="AG2788" s="474" t="s">
        <v>47</v>
      </c>
      <c r="AH2788" s="447"/>
      <c r="AI2788" s="474">
        <v>75</v>
      </c>
      <c r="AJ2788" s="474" t="s">
        <v>1577</v>
      </c>
      <c r="AK2788" s="474" t="s">
        <v>50</v>
      </c>
      <c r="AL2788" s="494">
        <v>92407</v>
      </c>
      <c r="AM2788" s="474" t="s">
        <v>52</v>
      </c>
      <c r="AN2788" s="474" t="s">
        <v>50</v>
      </c>
      <c r="AO2788" s="474"/>
      <c r="AP2788" s="474" t="s">
        <v>92</v>
      </c>
      <c r="AQ2788" s="474" t="s">
        <v>37</v>
      </c>
      <c r="AR2788" s="474"/>
      <c r="AS2788" s="387"/>
      <c r="AT2788" s="387"/>
      <c r="AU2788" s="471"/>
    </row>
    <row r="2789" spans="1:47">
      <c r="A2789" s="410"/>
      <c r="B2789" s="407"/>
      <c r="C2789" s="407"/>
      <c r="D2789" s="474" t="s">
        <v>1066</v>
      </c>
      <c r="E2789" s="388" t="s">
        <v>1622</v>
      </c>
      <c r="F2789" s="474" t="s">
        <v>1147</v>
      </c>
      <c r="G2789" s="474">
        <v>2022</v>
      </c>
      <c r="H2789" s="474">
        <v>4</v>
      </c>
      <c r="I2789" s="485">
        <v>127924</v>
      </c>
      <c r="J2789" s="475">
        <v>44658</v>
      </c>
      <c r="K2789" s="474" t="s">
        <v>1621</v>
      </c>
      <c r="L2789" s="475" t="s">
        <v>1561</v>
      </c>
      <c r="M2789" s="475">
        <v>44468</v>
      </c>
      <c r="N2789" s="475" t="s">
        <v>1586</v>
      </c>
      <c r="O2789" s="475"/>
      <c r="P2789" s="475">
        <v>44652</v>
      </c>
      <c r="Q2789" s="475">
        <v>44656</v>
      </c>
      <c r="R2789" s="475">
        <v>44658</v>
      </c>
      <c r="S2789" s="474" t="s">
        <v>1563</v>
      </c>
      <c r="T2789" s="474">
        <v>60</v>
      </c>
      <c r="U2789" s="474" t="s">
        <v>1595</v>
      </c>
      <c r="V2789" s="474" t="s">
        <v>1574</v>
      </c>
      <c r="W2789" s="476">
        <v>400</v>
      </c>
      <c r="X2789" s="402">
        <v>624</v>
      </c>
      <c r="Y2789" s="491">
        <f t="shared" si="471"/>
        <v>249600</v>
      </c>
      <c r="Z2789" s="478">
        <v>0.48</v>
      </c>
      <c r="AA2789" s="492">
        <f t="shared" si="472"/>
        <v>119808</v>
      </c>
      <c r="AB2789" s="386"/>
      <c r="AC2789" s="481">
        <v>0</v>
      </c>
      <c r="AD2789" s="474"/>
      <c r="AE2789" s="482"/>
      <c r="AF2789" s="493">
        <f t="shared" si="473"/>
        <v>119808</v>
      </c>
      <c r="AG2789" s="474" t="s">
        <v>47</v>
      </c>
      <c r="AH2789" s="447"/>
      <c r="AI2789" s="474">
        <v>75</v>
      </c>
      <c r="AJ2789" s="474" t="s">
        <v>1577</v>
      </c>
      <c r="AK2789" s="474" t="s">
        <v>50</v>
      </c>
      <c r="AL2789" s="494">
        <v>92407</v>
      </c>
      <c r="AM2789" s="474" t="s">
        <v>52</v>
      </c>
      <c r="AN2789" s="474" t="s">
        <v>50</v>
      </c>
      <c r="AO2789" s="474"/>
      <c r="AP2789" s="474" t="s">
        <v>92</v>
      </c>
      <c r="AQ2789" s="474" t="s">
        <v>37</v>
      </c>
      <c r="AR2789" s="474"/>
      <c r="AS2789" s="387"/>
      <c r="AT2789" s="387"/>
      <c r="AU2789" s="471"/>
    </row>
    <row r="2790" spans="1:47">
      <c r="A2790" s="410"/>
      <c r="B2790" s="407"/>
      <c r="C2790" s="407"/>
      <c r="D2790" s="474" t="s">
        <v>1066</v>
      </c>
      <c r="E2790" s="388"/>
      <c r="F2790" s="474" t="s">
        <v>1147</v>
      </c>
      <c r="G2790" s="474">
        <v>2022</v>
      </c>
      <c r="H2790" s="474">
        <v>4</v>
      </c>
      <c r="I2790" s="485">
        <v>127919</v>
      </c>
      <c r="J2790" s="475">
        <v>44658</v>
      </c>
      <c r="K2790" s="474" t="s">
        <v>1621</v>
      </c>
      <c r="L2790" s="475" t="s">
        <v>1561</v>
      </c>
      <c r="M2790" s="475">
        <v>44468</v>
      </c>
      <c r="N2790" s="475" t="s">
        <v>1586</v>
      </c>
      <c r="O2790" s="475"/>
      <c r="P2790" s="475">
        <v>44652</v>
      </c>
      <c r="Q2790" s="475">
        <v>44656</v>
      </c>
      <c r="R2790" s="475">
        <v>44658</v>
      </c>
      <c r="S2790" s="474" t="s">
        <v>1563</v>
      </c>
      <c r="T2790" s="474">
        <v>60</v>
      </c>
      <c r="U2790" s="474" t="s">
        <v>1595</v>
      </c>
      <c r="V2790" s="474" t="s">
        <v>1574</v>
      </c>
      <c r="W2790" s="476">
        <v>400</v>
      </c>
      <c r="X2790" s="402">
        <v>624</v>
      </c>
      <c r="Y2790" s="491">
        <f t="shared" si="471"/>
        <v>249600</v>
      </c>
      <c r="Z2790" s="478">
        <v>0.48</v>
      </c>
      <c r="AA2790" s="492">
        <f t="shared" si="472"/>
        <v>119808</v>
      </c>
      <c r="AB2790" s="386"/>
      <c r="AC2790" s="481">
        <v>0</v>
      </c>
      <c r="AD2790" s="474"/>
      <c r="AE2790" s="482"/>
      <c r="AF2790" s="493">
        <f t="shared" si="473"/>
        <v>119808</v>
      </c>
      <c r="AG2790" s="474" t="s">
        <v>47</v>
      </c>
      <c r="AH2790" s="447"/>
      <c r="AI2790" s="474">
        <v>75</v>
      </c>
      <c r="AJ2790" s="474" t="s">
        <v>1577</v>
      </c>
      <c r="AK2790" s="474" t="s">
        <v>50</v>
      </c>
      <c r="AL2790" s="494">
        <v>92407</v>
      </c>
      <c r="AM2790" s="474" t="s">
        <v>52</v>
      </c>
      <c r="AN2790" s="474" t="s">
        <v>50</v>
      </c>
      <c r="AO2790" s="474"/>
      <c r="AP2790" s="474" t="s">
        <v>92</v>
      </c>
      <c r="AQ2790" s="474" t="s">
        <v>37</v>
      </c>
      <c r="AR2790" s="474"/>
      <c r="AS2790" s="387"/>
      <c r="AT2790" s="387"/>
      <c r="AU2790" s="471"/>
    </row>
    <row r="2791" spans="1:47">
      <c r="A2791" s="410"/>
      <c r="B2791" s="407"/>
      <c r="C2791" s="407"/>
      <c r="D2791" s="474" t="s">
        <v>1066</v>
      </c>
      <c r="E2791" s="388"/>
      <c r="F2791" s="474" t="s">
        <v>1147</v>
      </c>
      <c r="G2791" s="474">
        <v>2022</v>
      </c>
      <c r="H2791" s="474">
        <v>4</v>
      </c>
      <c r="I2791" s="485">
        <v>127920</v>
      </c>
      <c r="J2791" s="475">
        <v>44658</v>
      </c>
      <c r="K2791" s="474" t="s">
        <v>1621</v>
      </c>
      <c r="L2791" s="475" t="s">
        <v>1561</v>
      </c>
      <c r="M2791" s="475">
        <v>44468</v>
      </c>
      <c r="N2791" s="475" t="s">
        <v>1586</v>
      </c>
      <c r="O2791" s="475"/>
      <c r="P2791" s="475">
        <v>44652</v>
      </c>
      <c r="Q2791" s="475">
        <v>44656</v>
      </c>
      <c r="R2791" s="475">
        <v>44658</v>
      </c>
      <c r="S2791" s="474" t="s">
        <v>1563</v>
      </c>
      <c r="T2791" s="474">
        <v>60</v>
      </c>
      <c r="U2791" s="474" t="s">
        <v>1595</v>
      </c>
      <c r="V2791" s="474" t="s">
        <v>1574</v>
      </c>
      <c r="W2791" s="476">
        <v>400</v>
      </c>
      <c r="X2791" s="402">
        <v>624</v>
      </c>
      <c r="Y2791" s="491">
        <f t="shared" si="471"/>
        <v>249600</v>
      </c>
      <c r="Z2791" s="478">
        <v>0.48</v>
      </c>
      <c r="AA2791" s="492">
        <f t="shared" si="472"/>
        <v>119808</v>
      </c>
      <c r="AB2791" s="386"/>
      <c r="AC2791" s="481">
        <v>0</v>
      </c>
      <c r="AD2791" s="474"/>
      <c r="AE2791" s="482"/>
      <c r="AF2791" s="493">
        <f t="shared" si="473"/>
        <v>119808</v>
      </c>
      <c r="AG2791" s="474" t="s">
        <v>47</v>
      </c>
      <c r="AH2791" s="447"/>
      <c r="AI2791" s="474">
        <v>75</v>
      </c>
      <c r="AJ2791" s="474" t="s">
        <v>1577</v>
      </c>
      <c r="AK2791" s="474" t="s">
        <v>50</v>
      </c>
      <c r="AL2791" s="494">
        <v>92407</v>
      </c>
      <c r="AM2791" s="474" t="s">
        <v>52</v>
      </c>
      <c r="AN2791" s="474" t="s">
        <v>50</v>
      </c>
      <c r="AO2791" s="474"/>
      <c r="AP2791" s="474" t="s">
        <v>92</v>
      </c>
      <c r="AQ2791" s="474" t="s">
        <v>37</v>
      </c>
      <c r="AR2791" s="474"/>
      <c r="AS2791" s="387"/>
      <c r="AT2791" s="387"/>
      <c r="AU2791" s="471"/>
    </row>
    <row r="2792" spans="1:47">
      <c r="A2792" s="410"/>
      <c r="B2792" s="407"/>
      <c r="C2792" s="407"/>
      <c r="D2792" s="474" t="s">
        <v>1066</v>
      </c>
      <c r="E2792" s="388"/>
      <c r="F2792" s="474" t="s">
        <v>1147</v>
      </c>
      <c r="G2792" s="474">
        <v>2022</v>
      </c>
      <c r="H2792" s="474">
        <v>4</v>
      </c>
      <c r="I2792" s="485">
        <v>127921</v>
      </c>
      <c r="J2792" s="475">
        <v>44658</v>
      </c>
      <c r="K2792" s="474" t="s">
        <v>1621</v>
      </c>
      <c r="L2792" s="475" t="s">
        <v>1561</v>
      </c>
      <c r="M2792" s="475">
        <v>44468</v>
      </c>
      <c r="N2792" s="475" t="s">
        <v>1586</v>
      </c>
      <c r="O2792" s="475"/>
      <c r="P2792" s="475">
        <v>44652</v>
      </c>
      <c r="Q2792" s="475">
        <v>44656</v>
      </c>
      <c r="R2792" s="475">
        <v>44658</v>
      </c>
      <c r="S2792" s="474" t="s">
        <v>1563</v>
      </c>
      <c r="T2792" s="474">
        <v>60</v>
      </c>
      <c r="U2792" s="474" t="s">
        <v>1595</v>
      </c>
      <c r="V2792" s="474" t="s">
        <v>1574</v>
      </c>
      <c r="W2792" s="476">
        <v>400</v>
      </c>
      <c r="X2792" s="402">
        <v>624</v>
      </c>
      <c r="Y2792" s="491">
        <f t="shared" si="471"/>
        <v>249600</v>
      </c>
      <c r="Z2792" s="478">
        <v>0.48</v>
      </c>
      <c r="AA2792" s="492">
        <f t="shared" si="472"/>
        <v>119808</v>
      </c>
      <c r="AB2792" s="386"/>
      <c r="AC2792" s="481">
        <v>0</v>
      </c>
      <c r="AD2792" s="474"/>
      <c r="AE2792" s="482"/>
      <c r="AF2792" s="493">
        <f t="shared" si="473"/>
        <v>119808</v>
      </c>
      <c r="AG2792" s="474" t="s">
        <v>47</v>
      </c>
      <c r="AH2792" s="447"/>
      <c r="AI2792" s="474">
        <v>75</v>
      </c>
      <c r="AJ2792" s="474" t="s">
        <v>1577</v>
      </c>
      <c r="AK2792" s="474" t="s">
        <v>50</v>
      </c>
      <c r="AL2792" s="494">
        <v>92407</v>
      </c>
      <c r="AM2792" s="474" t="s">
        <v>52</v>
      </c>
      <c r="AN2792" s="474" t="s">
        <v>50</v>
      </c>
      <c r="AO2792" s="474"/>
      <c r="AP2792" s="474" t="s">
        <v>92</v>
      </c>
      <c r="AQ2792" s="474" t="s">
        <v>37</v>
      </c>
      <c r="AR2792" s="474"/>
      <c r="AS2792" s="387"/>
      <c r="AT2792" s="387"/>
      <c r="AU2792" s="471"/>
    </row>
    <row r="2793" spans="1:47">
      <c r="A2793" s="410"/>
      <c r="B2793" s="407"/>
      <c r="C2793" s="407"/>
      <c r="D2793" s="474" t="s">
        <v>1066</v>
      </c>
      <c r="E2793" s="388"/>
      <c r="F2793" s="474" t="s">
        <v>1147</v>
      </c>
      <c r="G2793" s="474">
        <v>2022</v>
      </c>
      <c r="H2793" s="474">
        <v>4</v>
      </c>
      <c r="I2793" s="485">
        <v>127922</v>
      </c>
      <c r="J2793" s="475">
        <v>44658</v>
      </c>
      <c r="K2793" s="474" t="s">
        <v>1621</v>
      </c>
      <c r="L2793" s="475" t="s">
        <v>1561</v>
      </c>
      <c r="M2793" s="475">
        <v>44468</v>
      </c>
      <c r="N2793" s="475" t="s">
        <v>1586</v>
      </c>
      <c r="O2793" s="475"/>
      <c r="P2793" s="475">
        <v>44652</v>
      </c>
      <c r="Q2793" s="475">
        <v>44657</v>
      </c>
      <c r="R2793" s="475">
        <v>44658</v>
      </c>
      <c r="S2793" s="474" t="s">
        <v>1563</v>
      </c>
      <c r="T2793" s="474">
        <v>60</v>
      </c>
      <c r="U2793" s="474" t="s">
        <v>1595</v>
      </c>
      <c r="V2793" s="474" t="s">
        <v>1574</v>
      </c>
      <c r="W2793" s="476">
        <v>400</v>
      </c>
      <c r="X2793" s="402">
        <v>624</v>
      </c>
      <c r="Y2793" s="491">
        <f t="shared" si="471"/>
        <v>249600</v>
      </c>
      <c r="Z2793" s="478">
        <v>0.48</v>
      </c>
      <c r="AA2793" s="492">
        <f t="shared" si="472"/>
        <v>119808</v>
      </c>
      <c r="AB2793" s="386"/>
      <c r="AC2793" s="481">
        <v>0</v>
      </c>
      <c r="AD2793" s="474"/>
      <c r="AE2793" s="482"/>
      <c r="AF2793" s="493">
        <f t="shared" si="473"/>
        <v>119808</v>
      </c>
      <c r="AG2793" s="474" t="s">
        <v>47</v>
      </c>
      <c r="AH2793" s="447"/>
      <c r="AI2793" s="474">
        <v>75</v>
      </c>
      <c r="AJ2793" s="474" t="s">
        <v>1577</v>
      </c>
      <c r="AK2793" s="474" t="s">
        <v>50</v>
      </c>
      <c r="AL2793" s="494">
        <v>92407</v>
      </c>
      <c r="AM2793" s="474" t="s">
        <v>52</v>
      </c>
      <c r="AN2793" s="474" t="s">
        <v>50</v>
      </c>
      <c r="AO2793" s="474"/>
      <c r="AP2793" s="474" t="s">
        <v>92</v>
      </c>
      <c r="AQ2793" s="474" t="s">
        <v>37</v>
      </c>
      <c r="AR2793" s="474"/>
      <c r="AS2793" s="387"/>
      <c r="AT2793" s="387"/>
      <c r="AU2793" s="471"/>
    </row>
    <row r="2794" spans="1:47">
      <c r="A2794" s="410"/>
      <c r="B2794" s="407"/>
      <c r="C2794" s="407"/>
      <c r="D2794" s="474" t="s">
        <v>1066</v>
      </c>
      <c r="E2794" s="388"/>
      <c r="F2794" s="474" t="s">
        <v>1147</v>
      </c>
      <c r="G2794" s="474">
        <v>2022</v>
      </c>
      <c r="H2794" s="474">
        <v>4</v>
      </c>
      <c r="I2794" s="485">
        <v>128022</v>
      </c>
      <c r="J2794" s="475">
        <v>44658</v>
      </c>
      <c r="K2794" s="474" t="s">
        <v>1621</v>
      </c>
      <c r="L2794" s="475" t="s">
        <v>1561</v>
      </c>
      <c r="M2794" s="475">
        <v>44468</v>
      </c>
      <c r="N2794" s="475" t="s">
        <v>1586</v>
      </c>
      <c r="O2794" s="475"/>
      <c r="P2794" s="475">
        <v>44652</v>
      </c>
      <c r="Q2794" s="475">
        <v>44656</v>
      </c>
      <c r="R2794" s="475">
        <v>44658</v>
      </c>
      <c r="S2794" s="474" t="s">
        <v>1563</v>
      </c>
      <c r="T2794" s="474">
        <v>60</v>
      </c>
      <c r="U2794" s="474" t="s">
        <v>1573</v>
      </c>
      <c r="V2794" s="474" t="s">
        <v>1574</v>
      </c>
      <c r="W2794" s="476">
        <v>400</v>
      </c>
      <c r="X2794" s="402">
        <v>624</v>
      </c>
      <c r="Y2794" s="491">
        <f t="shared" si="471"/>
        <v>249600</v>
      </c>
      <c r="Z2794" s="478">
        <v>0.48</v>
      </c>
      <c r="AA2794" s="492">
        <f t="shared" si="472"/>
        <v>119808</v>
      </c>
      <c r="AB2794" s="386"/>
      <c r="AC2794" s="481">
        <v>0</v>
      </c>
      <c r="AD2794" s="474"/>
      <c r="AE2794" s="482"/>
      <c r="AF2794" s="493">
        <f t="shared" si="473"/>
        <v>119808</v>
      </c>
      <c r="AG2794" s="474" t="s">
        <v>47</v>
      </c>
      <c r="AH2794" s="447"/>
      <c r="AI2794" s="474">
        <v>75</v>
      </c>
      <c r="AJ2794" s="474" t="s">
        <v>1577</v>
      </c>
      <c r="AK2794" s="474" t="s">
        <v>50</v>
      </c>
      <c r="AL2794" s="494">
        <v>92407</v>
      </c>
      <c r="AM2794" s="474" t="s">
        <v>52</v>
      </c>
      <c r="AN2794" s="474" t="s">
        <v>50</v>
      </c>
      <c r="AO2794" s="474"/>
      <c r="AP2794" s="474" t="s">
        <v>92</v>
      </c>
      <c r="AQ2794" s="474" t="s">
        <v>37</v>
      </c>
      <c r="AR2794" s="474"/>
      <c r="AS2794" s="387"/>
      <c r="AT2794" s="387"/>
      <c r="AU2794" s="471"/>
    </row>
    <row r="2795" spans="1:47">
      <c r="A2795" s="410"/>
      <c r="B2795" s="407"/>
      <c r="C2795" s="407"/>
      <c r="D2795" s="474" t="s">
        <v>1066</v>
      </c>
      <c r="E2795" s="388"/>
      <c r="F2795" s="474" t="s">
        <v>1147</v>
      </c>
      <c r="G2795" s="474">
        <v>2022</v>
      </c>
      <c r="H2795" s="474">
        <v>4</v>
      </c>
      <c r="I2795" s="485">
        <v>128023</v>
      </c>
      <c r="J2795" s="475">
        <v>44658</v>
      </c>
      <c r="K2795" s="474" t="s">
        <v>1621</v>
      </c>
      <c r="L2795" s="475" t="s">
        <v>1561</v>
      </c>
      <c r="M2795" s="475">
        <v>44468</v>
      </c>
      <c r="N2795" s="475" t="s">
        <v>1586</v>
      </c>
      <c r="O2795" s="475"/>
      <c r="P2795" s="475">
        <v>44652</v>
      </c>
      <c r="Q2795" s="475">
        <v>44656</v>
      </c>
      <c r="R2795" s="475">
        <v>44658</v>
      </c>
      <c r="S2795" s="474" t="s">
        <v>1563</v>
      </c>
      <c r="T2795" s="474">
        <v>60</v>
      </c>
      <c r="U2795" s="474" t="s">
        <v>1573</v>
      </c>
      <c r="V2795" s="474" t="s">
        <v>1574</v>
      </c>
      <c r="W2795" s="476">
        <v>400</v>
      </c>
      <c r="X2795" s="402">
        <v>624</v>
      </c>
      <c r="Y2795" s="491">
        <f t="shared" si="471"/>
        <v>249600</v>
      </c>
      <c r="Z2795" s="478">
        <v>0.48</v>
      </c>
      <c r="AA2795" s="492">
        <f t="shared" si="472"/>
        <v>119808</v>
      </c>
      <c r="AB2795" s="386"/>
      <c r="AC2795" s="481">
        <v>0</v>
      </c>
      <c r="AD2795" s="474"/>
      <c r="AE2795" s="482"/>
      <c r="AF2795" s="493">
        <f t="shared" si="473"/>
        <v>119808</v>
      </c>
      <c r="AG2795" s="474" t="s">
        <v>47</v>
      </c>
      <c r="AH2795" s="447"/>
      <c r="AI2795" s="474">
        <v>75</v>
      </c>
      <c r="AJ2795" s="474" t="s">
        <v>1577</v>
      </c>
      <c r="AK2795" s="474" t="s">
        <v>50</v>
      </c>
      <c r="AL2795" s="494">
        <v>92407</v>
      </c>
      <c r="AM2795" s="474" t="s">
        <v>52</v>
      </c>
      <c r="AN2795" s="474" t="s">
        <v>50</v>
      </c>
      <c r="AO2795" s="474"/>
      <c r="AP2795" s="474" t="s">
        <v>92</v>
      </c>
      <c r="AQ2795" s="474" t="s">
        <v>37</v>
      </c>
      <c r="AR2795" s="474"/>
      <c r="AS2795" s="387"/>
      <c r="AT2795" s="387"/>
      <c r="AU2795" s="471"/>
    </row>
    <row r="2796" spans="1:47">
      <c r="A2796" s="410"/>
      <c r="B2796" s="407"/>
      <c r="C2796" s="407"/>
      <c r="D2796" s="474" t="s">
        <v>1066</v>
      </c>
      <c r="E2796" s="388"/>
      <c r="F2796" s="474" t="s">
        <v>1147</v>
      </c>
      <c r="G2796" s="474">
        <v>2022</v>
      </c>
      <c r="H2796" s="474">
        <v>4</v>
      </c>
      <c r="I2796" s="485">
        <v>127918</v>
      </c>
      <c r="J2796" s="475">
        <v>44658</v>
      </c>
      <c r="K2796" s="474" t="s">
        <v>1621</v>
      </c>
      <c r="L2796" s="475" t="s">
        <v>1561</v>
      </c>
      <c r="M2796" s="475">
        <v>44468</v>
      </c>
      <c r="N2796" s="475" t="s">
        <v>1586</v>
      </c>
      <c r="O2796" s="475"/>
      <c r="P2796" s="475">
        <v>44652</v>
      </c>
      <c r="Q2796" s="475">
        <v>44657</v>
      </c>
      <c r="R2796" s="475">
        <v>44658</v>
      </c>
      <c r="S2796" s="474" t="s">
        <v>1563</v>
      </c>
      <c r="T2796" s="474">
        <v>60</v>
      </c>
      <c r="U2796" s="474" t="s">
        <v>1595</v>
      </c>
      <c r="V2796" s="474" t="s">
        <v>1574</v>
      </c>
      <c r="W2796" s="476">
        <v>400</v>
      </c>
      <c r="X2796" s="402">
        <v>624</v>
      </c>
      <c r="Y2796" s="491">
        <f t="shared" si="471"/>
        <v>249600</v>
      </c>
      <c r="Z2796" s="478">
        <v>0.48</v>
      </c>
      <c r="AA2796" s="492">
        <f t="shared" si="472"/>
        <v>119808</v>
      </c>
      <c r="AB2796" s="386"/>
      <c r="AC2796" s="481">
        <v>0</v>
      </c>
      <c r="AD2796" s="474"/>
      <c r="AE2796" s="482"/>
      <c r="AF2796" s="493">
        <f t="shared" si="473"/>
        <v>119808</v>
      </c>
      <c r="AG2796" s="474" t="s">
        <v>47</v>
      </c>
      <c r="AH2796" s="447"/>
      <c r="AI2796" s="474">
        <v>75</v>
      </c>
      <c r="AJ2796" s="474" t="s">
        <v>1577</v>
      </c>
      <c r="AK2796" s="474" t="s">
        <v>50</v>
      </c>
      <c r="AL2796" s="494">
        <v>92407</v>
      </c>
      <c r="AM2796" s="474" t="s">
        <v>52</v>
      </c>
      <c r="AN2796" s="474" t="s">
        <v>50</v>
      </c>
      <c r="AO2796" s="474"/>
      <c r="AP2796" s="474" t="s">
        <v>92</v>
      </c>
      <c r="AQ2796" s="474" t="s">
        <v>37</v>
      </c>
      <c r="AR2796" s="474"/>
      <c r="AS2796" s="387"/>
      <c r="AT2796" s="387"/>
      <c r="AU2796" s="471"/>
    </row>
    <row r="2797" spans="1:47">
      <c r="A2797" s="410"/>
      <c r="B2797" s="407"/>
      <c r="C2797" s="407"/>
      <c r="D2797" s="474" t="s">
        <v>1066</v>
      </c>
      <c r="E2797" s="388"/>
      <c r="F2797" s="474" t="s">
        <v>1147</v>
      </c>
      <c r="G2797" s="474">
        <v>2022</v>
      </c>
      <c r="H2797" s="474">
        <v>4</v>
      </c>
      <c r="I2797" s="485">
        <v>127925</v>
      </c>
      <c r="J2797" s="475">
        <v>44659</v>
      </c>
      <c r="K2797" s="474" t="s">
        <v>1621</v>
      </c>
      <c r="L2797" s="475" t="s">
        <v>1561</v>
      </c>
      <c r="M2797" s="475">
        <v>44468</v>
      </c>
      <c r="N2797" s="475" t="s">
        <v>1586</v>
      </c>
      <c r="O2797" s="475"/>
      <c r="P2797" s="475">
        <v>44652</v>
      </c>
      <c r="Q2797" s="475">
        <v>44657</v>
      </c>
      <c r="R2797" s="475">
        <v>44659</v>
      </c>
      <c r="S2797" s="474" t="s">
        <v>1563</v>
      </c>
      <c r="T2797" s="474">
        <v>60</v>
      </c>
      <c r="U2797" s="474" t="s">
        <v>1595</v>
      </c>
      <c r="V2797" s="474" t="s">
        <v>1574</v>
      </c>
      <c r="W2797" s="476">
        <v>400</v>
      </c>
      <c r="X2797" s="402">
        <v>624</v>
      </c>
      <c r="Y2797" s="491">
        <f t="shared" si="471"/>
        <v>249600</v>
      </c>
      <c r="Z2797" s="478">
        <v>0.48</v>
      </c>
      <c r="AA2797" s="492">
        <f t="shared" si="472"/>
        <v>119808</v>
      </c>
      <c r="AB2797" s="386"/>
      <c r="AC2797" s="481">
        <v>0</v>
      </c>
      <c r="AD2797" s="474"/>
      <c r="AE2797" s="482"/>
      <c r="AF2797" s="493">
        <f t="shared" si="473"/>
        <v>119808</v>
      </c>
      <c r="AG2797" s="474" t="s">
        <v>47</v>
      </c>
      <c r="AH2797" s="447"/>
      <c r="AI2797" s="474">
        <v>75</v>
      </c>
      <c r="AJ2797" s="474" t="s">
        <v>1577</v>
      </c>
      <c r="AK2797" s="474" t="s">
        <v>50</v>
      </c>
      <c r="AL2797" s="494">
        <v>92407</v>
      </c>
      <c r="AM2797" s="474" t="s">
        <v>52</v>
      </c>
      <c r="AN2797" s="474" t="s">
        <v>50</v>
      </c>
      <c r="AO2797" s="474"/>
      <c r="AP2797" s="474" t="s">
        <v>92</v>
      </c>
      <c r="AQ2797" s="474" t="s">
        <v>37</v>
      </c>
      <c r="AR2797" s="474"/>
      <c r="AS2797" s="387"/>
      <c r="AT2797" s="387"/>
      <c r="AU2797" s="471"/>
    </row>
    <row r="2798" spans="1:47">
      <c r="A2798" s="410"/>
      <c r="B2798" s="407"/>
      <c r="C2798" s="407"/>
      <c r="D2798" s="474" t="s">
        <v>1066</v>
      </c>
      <c r="E2798" s="388"/>
      <c r="F2798" s="474" t="s">
        <v>1147</v>
      </c>
      <c r="G2798" s="474">
        <v>2022</v>
      </c>
      <c r="H2798" s="474">
        <v>4</v>
      </c>
      <c r="I2798" s="485">
        <v>127946</v>
      </c>
      <c r="J2798" s="475">
        <v>44659</v>
      </c>
      <c r="K2798" s="474" t="s">
        <v>1621</v>
      </c>
      <c r="L2798" s="475" t="s">
        <v>1561</v>
      </c>
      <c r="M2798" s="475">
        <v>44468</v>
      </c>
      <c r="N2798" s="475" t="s">
        <v>1586</v>
      </c>
      <c r="O2798" s="475"/>
      <c r="P2798" s="475">
        <v>44652</v>
      </c>
      <c r="Q2798" s="475">
        <v>44657</v>
      </c>
      <c r="R2798" s="475">
        <v>44659</v>
      </c>
      <c r="S2798" s="474" t="s">
        <v>1563</v>
      </c>
      <c r="T2798" s="474">
        <v>60</v>
      </c>
      <c r="U2798" s="474" t="s">
        <v>1595</v>
      </c>
      <c r="V2798" s="474" t="s">
        <v>1574</v>
      </c>
      <c r="W2798" s="476">
        <v>400</v>
      </c>
      <c r="X2798" s="402">
        <v>624</v>
      </c>
      <c r="Y2798" s="491">
        <f t="shared" si="471"/>
        <v>249600</v>
      </c>
      <c r="Z2798" s="478">
        <v>0.48</v>
      </c>
      <c r="AA2798" s="492">
        <f t="shared" si="472"/>
        <v>119808</v>
      </c>
      <c r="AB2798" s="386"/>
      <c r="AC2798" s="481">
        <v>0</v>
      </c>
      <c r="AD2798" s="474"/>
      <c r="AE2798" s="482"/>
      <c r="AF2798" s="493">
        <f t="shared" si="473"/>
        <v>119808</v>
      </c>
      <c r="AG2798" s="474" t="s">
        <v>47</v>
      </c>
      <c r="AH2798" s="447"/>
      <c r="AI2798" s="474">
        <v>75</v>
      </c>
      <c r="AJ2798" s="474" t="s">
        <v>1577</v>
      </c>
      <c r="AK2798" s="474" t="s">
        <v>50</v>
      </c>
      <c r="AL2798" s="494">
        <v>92407</v>
      </c>
      <c r="AM2798" s="474" t="s">
        <v>52</v>
      </c>
      <c r="AN2798" s="474" t="s">
        <v>50</v>
      </c>
      <c r="AO2798" s="474"/>
      <c r="AP2798" s="474" t="s">
        <v>92</v>
      </c>
      <c r="AQ2798" s="474" t="s">
        <v>37</v>
      </c>
      <c r="AR2798" s="474"/>
      <c r="AS2798" s="387"/>
      <c r="AT2798" s="387"/>
      <c r="AU2798" s="471"/>
    </row>
    <row r="2799" spans="1:47">
      <c r="A2799" s="410"/>
      <c r="B2799" s="407"/>
      <c r="C2799" s="407"/>
      <c r="D2799" s="474" t="s">
        <v>1066</v>
      </c>
      <c r="E2799" s="388"/>
      <c r="F2799" s="474" t="s">
        <v>1147</v>
      </c>
      <c r="G2799" s="474">
        <v>2022</v>
      </c>
      <c r="H2799" s="474">
        <v>4</v>
      </c>
      <c r="I2799" s="485">
        <v>128029</v>
      </c>
      <c r="J2799" s="475">
        <v>44662</v>
      </c>
      <c r="K2799" s="474" t="s">
        <v>1623</v>
      </c>
      <c r="L2799" s="475" t="s">
        <v>1561</v>
      </c>
      <c r="M2799" s="475">
        <v>44468</v>
      </c>
      <c r="N2799" s="475" t="s">
        <v>1586</v>
      </c>
      <c r="O2799" s="475"/>
      <c r="P2799" s="475">
        <v>44657</v>
      </c>
      <c r="Q2799" s="475">
        <v>44662</v>
      </c>
      <c r="R2799" s="475">
        <v>44662</v>
      </c>
      <c r="S2799" s="474" t="s">
        <v>1563</v>
      </c>
      <c r="T2799" s="474">
        <v>60</v>
      </c>
      <c r="U2799" s="474" t="s">
        <v>1595</v>
      </c>
      <c r="V2799" s="474" t="s">
        <v>1574</v>
      </c>
      <c r="W2799" s="476">
        <v>400</v>
      </c>
      <c r="X2799" s="402">
        <v>624</v>
      </c>
      <c r="Y2799" s="491">
        <f t="shared" si="471"/>
        <v>249600</v>
      </c>
      <c r="Z2799" s="478">
        <v>0.48</v>
      </c>
      <c r="AA2799" s="492">
        <f t="shared" si="472"/>
        <v>119808</v>
      </c>
      <c r="AB2799" s="386"/>
      <c r="AC2799" s="481">
        <v>0</v>
      </c>
      <c r="AD2799" s="474"/>
      <c r="AE2799" s="482"/>
      <c r="AF2799" s="493">
        <f t="shared" si="473"/>
        <v>119808</v>
      </c>
      <c r="AG2799" s="474" t="s">
        <v>47</v>
      </c>
      <c r="AH2799" s="447"/>
      <c r="AI2799" s="474">
        <v>75</v>
      </c>
      <c r="AJ2799" s="474" t="s">
        <v>1577</v>
      </c>
      <c r="AK2799" s="474" t="s">
        <v>50</v>
      </c>
      <c r="AL2799" s="494">
        <v>92407</v>
      </c>
      <c r="AM2799" s="474" t="s">
        <v>52</v>
      </c>
      <c r="AN2799" s="516" t="s">
        <v>50</v>
      </c>
      <c r="AO2799" s="474"/>
      <c r="AP2799" s="474" t="s">
        <v>92</v>
      </c>
      <c r="AQ2799" s="474" t="s">
        <v>37</v>
      </c>
      <c r="AR2799" s="474"/>
      <c r="AS2799" s="387"/>
      <c r="AT2799" s="387"/>
      <c r="AU2799" s="471"/>
    </row>
    <row r="2800" spans="1:47">
      <c r="A2800" s="410"/>
      <c r="B2800" s="407"/>
      <c r="C2800" s="407"/>
      <c r="D2800" s="474" t="s">
        <v>1066</v>
      </c>
      <c r="E2800" s="388"/>
      <c r="F2800" s="474" t="s">
        <v>1147</v>
      </c>
      <c r="G2800" s="474">
        <v>2022</v>
      </c>
      <c r="H2800" s="474">
        <v>4</v>
      </c>
      <c r="I2800" s="485">
        <v>128030</v>
      </c>
      <c r="J2800" s="475">
        <v>44662</v>
      </c>
      <c r="K2800" s="474" t="s">
        <v>1623</v>
      </c>
      <c r="L2800" s="475" t="s">
        <v>1561</v>
      </c>
      <c r="M2800" s="475">
        <v>44468</v>
      </c>
      <c r="N2800" s="475" t="s">
        <v>1586</v>
      </c>
      <c r="O2800" s="475"/>
      <c r="P2800" s="475">
        <v>44657</v>
      </c>
      <c r="Q2800" s="475">
        <v>44662</v>
      </c>
      <c r="R2800" s="475">
        <v>44662</v>
      </c>
      <c r="S2800" s="474" t="s">
        <v>1563</v>
      </c>
      <c r="T2800" s="474">
        <v>60</v>
      </c>
      <c r="U2800" s="474" t="s">
        <v>1595</v>
      </c>
      <c r="V2800" s="474" t="s">
        <v>1574</v>
      </c>
      <c r="W2800" s="476">
        <v>400</v>
      </c>
      <c r="X2800" s="402">
        <v>624</v>
      </c>
      <c r="Y2800" s="491">
        <f t="shared" si="471"/>
        <v>249600</v>
      </c>
      <c r="Z2800" s="478">
        <v>0.48</v>
      </c>
      <c r="AA2800" s="492">
        <f t="shared" si="472"/>
        <v>119808</v>
      </c>
      <c r="AB2800" s="386"/>
      <c r="AC2800" s="481">
        <v>0</v>
      </c>
      <c r="AD2800" s="474"/>
      <c r="AE2800" s="482"/>
      <c r="AF2800" s="493">
        <f t="shared" si="473"/>
        <v>119808</v>
      </c>
      <c r="AG2800" s="474" t="s">
        <v>47</v>
      </c>
      <c r="AH2800" s="447"/>
      <c r="AI2800" s="474">
        <v>75</v>
      </c>
      <c r="AJ2800" s="474" t="s">
        <v>1577</v>
      </c>
      <c r="AK2800" s="474" t="s">
        <v>50</v>
      </c>
      <c r="AL2800" s="494">
        <v>92407</v>
      </c>
      <c r="AM2800" s="474" t="s">
        <v>52</v>
      </c>
      <c r="AN2800" s="516" t="s">
        <v>50</v>
      </c>
      <c r="AO2800" s="474"/>
      <c r="AP2800" s="474" t="s">
        <v>92</v>
      </c>
      <c r="AQ2800" s="474" t="s">
        <v>37</v>
      </c>
      <c r="AR2800" s="474"/>
      <c r="AS2800" s="387"/>
      <c r="AT2800" s="387"/>
      <c r="AU2800" s="471"/>
    </row>
    <row r="2801" spans="1:55">
      <c r="A2801" s="410"/>
      <c r="B2801" s="407"/>
      <c r="C2801" s="407"/>
      <c r="D2801" s="474" t="s">
        <v>1066</v>
      </c>
      <c r="E2801" s="388"/>
      <c r="F2801" s="474" t="s">
        <v>1147</v>
      </c>
      <c r="G2801" s="474">
        <v>2022</v>
      </c>
      <c r="H2801" s="474">
        <v>4</v>
      </c>
      <c r="I2801" s="485">
        <v>128031</v>
      </c>
      <c r="J2801" s="475">
        <v>44662</v>
      </c>
      <c r="K2801" s="474" t="s">
        <v>1623</v>
      </c>
      <c r="L2801" s="475" t="s">
        <v>1561</v>
      </c>
      <c r="M2801" s="475">
        <v>44468</v>
      </c>
      <c r="N2801" s="475" t="s">
        <v>1586</v>
      </c>
      <c r="O2801" s="475"/>
      <c r="P2801" s="475">
        <v>44657</v>
      </c>
      <c r="Q2801" s="475">
        <v>44662</v>
      </c>
      <c r="R2801" s="475">
        <v>44662</v>
      </c>
      <c r="S2801" s="474" t="s">
        <v>1563</v>
      </c>
      <c r="T2801" s="474">
        <v>60</v>
      </c>
      <c r="U2801" s="474" t="s">
        <v>1595</v>
      </c>
      <c r="V2801" s="474" t="s">
        <v>1574</v>
      </c>
      <c r="W2801" s="476">
        <v>400</v>
      </c>
      <c r="X2801" s="402">
        <v>624</v>
      </c>
      <c r="Y2801" s="491">
        <f t="shared" si="471"/>
        <v>249600</v>
      </c>
      <c r="Z2801" s="478">
        <v>0.48</v>
      </c>
      <c r="AA2801" s="492">
        <f t="shared" si="472"/>
        <v>119808</v>
      </c>
      <c r="AB2801" s="386"/>
      <c r="AC2801" s="481">
        <v>0</v>
      </c>
      <c r="AD2801" s="474"/>
      <c r="AE2801" s="482"/>
      <c r="AF2801" s="493">
        <f t="shared" si="473"/>
        <v>119808</v>
      </c>
      <c r="AG2801" s="474" t="s">
        <v>47</v>
      </c>
      <c r="AH2801" s="447"/>
      <c r="AI2801" s="474">
        <v>75</v>
      </c>
      <c r="AJ2801" s="474" t="s">
        <v>1577</v>
      </c>
      <c r="AK2801" s="474" t="s">
        <v>50</v>
      </c>
      <c r="AL2801" s="494">
        <v>92407</v>
      </c>
      <c r="AM2801" s="474" t="s">
        <v>52</v>
      </c>
      <c r="AN2801" s="516" t="s">
        <v>50</v>
      </c>
      <c r="AO2801" s="474"/>
      <c r="AP2801" s="474" t="s">
        <v>92</v>
      </c>
      <c r="AQ2801" s="474" t="s">
        <v>37</v>
      </c>
      <c r="AR2801" s="474"/>
      <c r="AS2801" s="387"/>
      <c r="AT2801" s="387"/>
      <c r="AU2801" s="471"/>
      <c r="AV2801" s="262" t="str">
        <f t="shared" ref="AV2801:AV2828" si="474">U2801</f>
        <v>30390256H</v>
      </c>
      <c r="AW2801" s="262" cm="1">
        <f t="array" ref="AW2801">SUM(MID(0&amp;AV2801,LARGE(INDEX(ISNUMBER(--MID(AV2801,ROW($1:$8),1))*ROW($1:$8),),ROW($1:$8))+1,1)*10^ROW($1:$8)/10)</f>
        <v>30390256</v>
      </c>
      <c r="AX2801" s="262" t="str">
        <f>VLOOKUP($AW2801,'Item Master Data'!$A:$F,3,FALSE)</f>
        <v>T400H</v>
      </c>
      <c r="AY2801" s="262">
        <f>VLOOKUP($AW2801,'Item Master Data'!$A:$F,6,FALSE)</f>
        <v>400</v>
      </c>
      <c r="AZ2801" s="262">
        <f t="shared" ref="AZ2801:AZ2828" si="475">X2801/BA2801</f>
        <v>24</v>
      </c>
      <c r="BA2801" s="262">
        <f>VLOOKUP(AW2801,'Item Master Data'!$A:$G,7,FALSE)</f>
        <v>26</v>
      </c>
      <c r="BC2801" s="262">
        <f t="shared" ref="BC2801:BC2828" si="476">W2801-AY2801</f>
        <v>0</v>
      </c>
    </row>
    <row r="2802" spans="1:55">
      <c r="A2802" s="410"/>
      <c r="B2802" s="407"/>
      <c r="C2802" s="407"/>
      <c r="D2802" s="474" t="s">
        <v>1066</v>
      </c>
      <c r="E2802" s="388"/>
      <c r="F2802" s="474" t="s">
        <v>1147</v>
      </c>
      <c r="G2802" s="474">
        <v>2022</v>
      </c>
      <c r="H2802" s="474">
        <v>4</v>
      </c>
      <c r="I2802" s="485">
        <v>128033</v>
      </c>
      <c r="J2802" s="475">
        <v>44663</v>
      </c>
      <c r="K2802" s="474" t="s">
        <v>1623</v>
      </c>
      <c r="L2802" s="475" t="s">
        <v>1561</v>
      </c>
      <c r="M2802" s="475">
        <v>44468</v>
      </c>
      <c r="N2802" s="475" t="s">
        <v>1586</v>
      </c>
      <c r="O2802" s="475"/>
      <c r="P2802" s="475">
        <v>44657</v>
      </c>
      <c r="Q2802" s="475">
        <v>44663</v>
      </c>
      <c r="R2802" s="475">
        <v>44663</v>
      </c>
      <c r="S2802" s="474" t="s">
        <v>1563</v>
      </c>
      <c r="T2802" s="474">
        <v>60</v>
      </c>
      <c r="U2802" s="474" t="s">
        <v>1595</v>
      </c>
      <c r="V2802" s="474" t="s">
        <v>1574</v>
      </c>
      <c r="W2802" s="476">
        <v>400</v>
      </c>
      <c r="X2802" s="402">
        <v>624</v>
      </c>
      <c r="Y2802" s="491">
        <f t="shared" si="471"/>
        <v>249600</v>
      </c>
      <c r="Z2802" s="478">
        <v>0.48</v>
      </c>
      <c r="AA2802" s="492">
        <f t="shared" si="472"/>
        <v>119808</v>
      </c>
      <c r="AB2802" s="386"/>
      <c r="AC2802" s="481">
        <v>0</v>
      </c>
      <c r="AD2802" s="474"/>
      <c r="AE2802" s="482"/>
      <c r="AF2802" s="493">
        <f t="shared" si="473"/>
        <v>119808</v>
      </c>
      <c r="AG2802" s="474" t="s">
        <v>47</v>
      </c>
      <c r="AH2802" s="447"/>
      <c r="AI2802" s="474">
        <v>75</v>
      </c>
      <c r="AJ2802" s="474" t="s">
        <v>1577</v>
      </c>
      <c r="AK2802" s="474" t="s">
        <v>50</v>
      </c>
      <c r="AL2802" s="494">
        <v>92407</v>
      </c>
      <c r="AM2802" s="474" t="s">
        <v>52</v>
      </c>
      <c r="AN2802" s="516" t="s">
        <v>50</v>
      </c>
      <c r="AO2802" s="474"/>
      <c r="AP2802" s="474" t="s">
        <v>92</v>
      </c>
      <c r="AQ2802" s="474" t="s">
        <v>37</v>
      </c>
      <c r="AR2802" s="474"/>
      <c r="AS2802" s="387"/>
      <c r="AT2802" s="387"/>
      <c r="AU2802" s="471"/>
      <c r="AV2802" s="262" t="str">
        <f t="shared" si="474"/>
        <v>30390256H</v>
      </c>
      <c r="AW2802" s="262" cm="1">
        <f t="array" ref="AW2802">SUM(MID(0&amp;AV2802,LARGE(INDEX(ISNUMBER(--MID(AV2802,ROW($1:$8),1))*ROW($1:$8),),ROW($1:$8))+1,1)*10^ROW($1:$8)/10)</f>
        <v>30390256</v>
      </c>
      <c r="AX2802" s="262" t="str">
        <f>VLOOKUP($AW2802,'Item Master Data'!$A:$F,3,FALSE)</f>
        <v>T400H</v>
      </c>
      <c r="AY2802" s="262">
        <f>VLOOKUP($AW2802,'Item Master Data'!$A:$F,6,FALSE)</f>
        <v>400</v>
      </c>
      <c r="AZ2802" s="262">
        <f t="shared" si="475"/>
        <v>24</v>
      </c>
      <c r="BA2802" s="262">
        <f>VLOOKUP(AW2802,'Item Master Data'!$A:$G,7,FALSE)</f>
        <v>26</v>
      </c>
      <c r="BC2802" s="262">
        <f t="shared" si="476"/>
        <v>0</v>
      </c>
    </row>
    <row r="2803" spans="1:55">
      <c r="A2803" s="410"/>
      <c r="B2803" s="407"/>
      <c r="C2803" s="407"/>
      <c r="D2803" s="474" t="s">
        <v>1066</v>
      </c>
      <c r="E2803" s="388"/>
      <c r="F2803" s="474" t="s">
        <v>1147</v>
      </c>
      <c r="G2803" s="474">
        <v>2022</v>
      </c>
      <c r="H2803" s="474">
        <v>4</v>
      </c>
      <c r="I2803" s="485">
        <v>128032</v>
      </c>
      <c r="J2803" s="475">
        <v>44663</v>
      </c>
      <c r="K2803" s="474" t="s">
        <v>1623</v>
      </c>
      <c r="L2803" s="475" t="s">
        <v>1561</v>
      </c>
      <c r="M2803" s="475">
        <v>44468</v>
      </c>
      <c r="N2803" s="475" t="s">
        <v>1586</v>
      </c>
      <c r="O2803" s="475"/>
      <c r="P2803" s="475">
        <v>44657</v>
      </c>
      <c r="Q2803" s="475">
        <v>44663</v>
      </c>
      <c r="R2803" s="475">
        <v>44663</v>
      </c>
      <c r="S2803" s="474" t="s">
        <v>1563</v>
      </c>
      <c r="T2803" s="474">
        <v>60</v>
      </c>
      <c r="U2803" s="474" t="s">
        <v>1595</v>
      </c>
      <c r="V2803" s="474" t="s">
        <v>1574</v>
      </c>
      <c r="W2803" s="476">
        <v>400</v>
      </c>
      <c r="X2803" s="402">
        <v>624</v>
      </c>
      <c r="Y2803" s="491">
        <f t="shared" si="471"/>
        <v>249600</v>
      </c>
      <c r="Z2803" s="478">
        <v>0.48</v>
      </c>
      <c r="AA2803" s="492">
        <f t="shared" si="472"/>
        <v>119808</v>
      </c>
      <c r="AB2803" s="386"/>
      <c r="AC2803" s="481">
        <v>0</v>
      </c>
      <c r="AD2803" s="474"/>
      <c r="AE2803" s="482"/>
      <c r="AF2803" s="493">
        <f t="shared" si="473"/>
        <v>119808</v>
      </c>
      <c r="AG2803" s="474" t="s">
        <v>47</v>
      </c>
      <c r="AH2803" s="447"/>
      <c r="AI2803" s="474">
        <v>75</v>
      </c>
      <c r="AJ2803" s="474" t="s">
        <v>1577</v>
      </c>
      <c r="AK2803" s="474" t="s">
        <v>50</v>
      </c>
      <c r="AL2803" s="494">
        <v>92407</v>
      </c>
      <c r="AM2803" s="474" t="s">
        <v>52</v>
      </c>
      <c r="AN2803" s="516" t="s">
        <v>50</v>
      </c>
      <c r="AO2803" s="474"/>
      <c r="AP2803" s="474" t="s">
        <v>92</v>
      </c>
      <c r="AQ2803" s="474" t="s">
        <v>37</v>
      </c>
      <c r="AR2803" s="474"/>
      <c r="AS2803" s="387"/>
      <c r="AT2803" s="387"/>
      <c r="AU2803" s="471"/>
      <c r="AV2803" s="262" t="str">
        <f t="shared" si="474"/>
        <v>30390256H</v>
      </c>
      <c r="AW2803" s="262" cm="1">
        <f t="array" ref="AW2803">SUM(MID(0&amp;AV2803,LARGE(INDEX(ISNUMBER(--MID(AV2803,ROW($1:$8),1))*ROW($1:$8),),ROW($1:$8))+1,1)*10^ROW($1:$8)/10)</f>
        <v>30390256</v>
      </c>
      <c r="AX2803" s="262" t="str">
        <f>VLOOKUP($AW2803,'Item Master Data'!$A:$F,3,FALSE)</f>
        <v>T400H</v>
      </c>
      <c r="AY2803" s="262">
        <f>VLOOKUP($AW2803,'Item Master Data'!$A:$F,6,FALSE)</f>
        <v>400</v>
      </c>
      <c r="AZ2803" s="262">
        <f t="shared" si="475"/>
        <v>24</v>
      </c>
      <c r="BA2803" s="262">
        <f>VLOOKUP(AW2803,'Item Master Data'!$A:$G,7,FALSE)</f>
        <v>26</v>
      </c>
      <c r="BC2803" s="262">
        <f t="shared" si="476"/>
        <v>0</v>
      </c>
    </row>
    <row r="2804" spans="1:55">
      <c r="A2804" s="410"/>
      <c r="B2804" s="407"/>
      <c r="C2804" s="407"/>
      <c r="D2804" s="474" t="s">
        <v>1066</v>
      </c>
      <c r="E2804" s="388"/>
      <c r="F2804" s="474" t="s">
        <v>1147</v>
      </c>
      <c r="G2804" s="474">
        <v>2022</v>
      </c>
      <c r="H2804" s="474">
        <v>4</v>
      </c>
      <c r="I2804" s="485">
        <v>128034</v>
      </c>
      <c r="J2804" s="475">
        <v>44664</v>
      </c>
      <c r="K2804" s="474" t="s">
        <v>1623</v>
      </c>
      <c r="L2804" s="475" t="s">
        <v>1561</v>
      </c>
      <c r="M2804" s="475">
        <v>44468</v>
      </c>
      <c r="N2804" s="475" t="s">
        <v>1586</v>
      </c>
      <c r="O2804" s="475"/>
      <c r="P2804" s="475">
        <v>44657</v>
      </c>
      <c r="Q2804" s="475">
        <v>44663</v>
      </c>
      <c r="R2804" s="475">
        <v>44664</v>
      </c>
      <c r="S2804" s="474" t="s">
        <v>1563</v>
      </c>
      <c r="T2804" s="474">
        <v>60</v>
      </c>
      <c r="U2804" s="474" t="s">
        <v>1595</v>
      </c>
      <c r="V2804" s="474" t="s">
        <v>1574</v>
      </c>
      <c r="W2804" s="476">
        <v>400</v>
      </c>
      <c r="X2804" s="402">
        <v>624</v>
      </c>
      <c r="Y2804" s="491">
        <f t="shared" si="471"/>
        <v>249600</v>
      </c>
      <c r="Z2804" s="478">
        <v>0.48</v>
      </c>
      <c r="AA2804" s="492">
        <f t="shared" si="472"/>
        <v>119808</v>
      </c>
      <c r="AB2804" s="386"/>
      <c r="AC2804" s="481">
        <v>0</v>
      </c>
      <c r="AD2804" s="474"/>
      <c r="AE2804" s="482"/>
      <c r="AF2804" s="493">
        <f t="shared" si="473"/>
        <v>119808</v>
      </c>
      <c r="AG2804" s="474" t="s">
        <v>47</v>
      </c>
      <c r="AH2804" s="447"/>
      <c r="AI2804" s="474">
        <v>75</v>
      </c>
      <c r="AJ2804" s="474" t="s">
        <v>1577</v>
      </c>
      <c r="AK2804" s="474" t="s">
        <v>50</v>
      </c>
      <c r="AL2804" s="494">
        <v>92407</v>
      </c>
      <c r="AM2804" s="474" t="s">
        <v>52</v>
      </c>
      <c r="AN2804" s="516" t="s">
        <v>50</v>
      </c>
      <c r="AO2804" s="474"/>
      <c r="AP2804" s="474" t="s">
        <v>92</v>
      </c>
      <c r="AQ2804" s="474" t="s">
        <v>37</v>
      </c>
      <c r="AR2804" s="474"/>
      <c r="AS2804" s="387"/>
      <c r="AT2804" s="387"/>
      <c r="AU2804" s="471"/>
      <c r="AV2804" s="262" t="str">
        <f t="shared" si="474"/>
        <v>30390256H</v>
      </c>
      <c r="AW2804" s="262" cm="1">
        <f t="array" ref="AW2804">SUM(MID(0&amp;AV2804,LARGE(INDEX(ISNUMBER(--MID(AV2804,ROW($1:$8),1))*ROW($1:$8),),ROW($1:$8))+1,1)*10^ROW($1:$8)/10)</f>
        <v>30390256</v>
      </c>
      <c r="AX2804" s="262" t="str">
        <f>VLOOKUP($AW2804,'Item Master Data'!$A:$F,3,FALSE)</f>
        <v>T400H</v>
      </c>
      <c r="AY2804" s="262">
        <f>VLOOKUP($AW2804,'Item Master Data'!$A:$F,6,FALSE)</f>
        <v>400</v>
      </c>
      <c r="AZ2804" s="262">
        <f t="shared" si="475"/>
        <v>24</v>
      </c>
      <c r="BA2804" s="262">
        <f>VLOOKUP(AW2804,'Item Master Data'!$A:$G,7,FALSE)</f>
        <v>26</v>
      </c>
      <c r="BC2804" s="262">
        <f t="shared" si="476"/>
        <v>0</v>
      </c>
    </row>
    <row r="2805" spans="1:55">
      <c r="A2805" s="410"/>
      <c r="B2805" s="407"/>
      <c r="C2805" s="407"/>
      <c r="D2805" s="474" t="s">
        <v>1066</v>
      </c>
      <c r="E2805" s="475"/>
      <c r="F2805" s="474" t="s">
        <v>1147</v>
      </c>
      <c r="G2805" s="474">
        <v>2022</v>
      </c>
      <c r="H2805" s="474">
        <v>4</v>
      </c>
      <c r="I2805" s="485">
        <v>128039</v>
      </c>
      <c r="J2805" s="475">
        <v>44664</v>
      </c>
      <c r="K2805" s="474" t="s">
        <v>1627</v>
      </c>
      <c r="L2805" s="475" t="s">
        <v>1561</v>
      </c>
      <c r="M2805" s="475">
        <v>44468</v>
      </c>
      <c r="N2805" s="475" t="s">
        <v>1588</v>
      </c>
      <c r="O2805" s="475"/>
      <c r="P2805" s="475">
        <v>44658</v>
      </c>
      <c r="Q2805" s="475">
        <v>44664</v>
      </c>
      <c r="R2805" s="475">
        <v>44664</v>
      </c>
      <c r="S2805" s="474" t="s">
        <v>1563</v>
      </c>
      <c r="T2805" s="474">
        <v>60</v>
      </c>
      <c r="U2805" s="474" t="s">
        <v>1595</v>
      </c>
      <c r="V2805" s="474" t="s">
        <v>1574</v>
      </c>
      <c r="W2805" s="476">
        <v>400</v>
      </c>
      <c r="X2805" s="402">
        <v>624</v>
      </c>
      <c r="Y2805" s="491">
        <f t="shared" si="471"/>
        <v>249600</v>
      </c>
      <c r="Z2805" s="478">
        <v>0.48</v>
      </c>
      <c r="AA2805" s="492">
        <f t="shared" si="472"/>
        <v>119808</v>
      </c>
      <c r="AB2805" s="386"/>
      <c r="AC2805" s="481">
        <v>0</v>
      </c>
      <c r="AD2805" s="474"/>
      <c r="AE2805" s="482"/>
      <c r="AF2805" s="493">
        <f t="shared" si="473"/>
        <v>119808</v>
      </c>
      <c r="AG2805" s="474" t="s">
        <v>47</v>
      </c>
      <c r="AH2805" s="447"/>
      <c r="AI2805" s="474">
        <v>75</v>
      </c>
      <c r="AJ2805" s="474" t="s">
        <v>1577</v>
      </c>
      <c r="AK2805" s="474" t="s">
        <v>50</v>
      </c>
      <c r="AL2805" s="494">
        <v>92407</v>
      </c>
      <c r="AM2805" s="474" t="s">
        <v>52</v>
      </c>
      <c r="AN2805" s="474" t="s">
        <v>50</v>
      </c>
      <c r="AO2805" s="474"/>
      <c r="AP2805" s="474" t="s">
        <v>92</v>
      </c>
      <c r="AQ2805" s="474" t="s">
        <v>37</v>
      </c>
      <c r="AR2805" s="474"/>
      <c r="AS2805" s="387"/>
      <c r="AT2805" s="387"/>
      <c r="AU2805" s="471"/>
      <c r="AV2805" s="262" t="str">
        <f t="shared" si="474"/>
        <v>30390256H</v>
      </c>
      <c r="AW2805" s="262" cm="1">
        <f t="array" ref="AW2805">SUM(MID(0&amp;AV2805,LARGE(INDEX(ISNUMBER(--MID(AV2805,ROW($1:$8),1))*ROW($1:$8),),ROW($1:$8))+1,1)*10^ROW($1:$8)/10)</f>
        <v>30390256</v>
      </c>
      <c r="AX2805" s="262" t="str">
        <f>VLOOKUP($AW2805,'Item Master Data'!$A:$F,3,FALSE)</f>
        <v>T400H</v>
      </c>
      <c r="AY2805" s="262">
        <f>VLOOKUP($AW2805,'Item Master Data'!$A:$F,6,FALSE)</f>
        <v>400</v>
      </c>
      <c r="AZ2805" s="262">
        <f t="shared" si="475"/>
        <v>24</v>
      </c>
      <c r="BA2805" s="262">
        <f>VLOOKUP(AW2805,'Item Master Data'!$A:$G,7,FALSE)</f>
        <v>26</v>
      </c>
      <c r="BC2805" s="262">
        <f t="shared" si="476"/>
        <v>0</v>
      </c>
    </row>
    <row r="2806" spans="1:55">
      <c r="A2806" s="410"/>
      <c r="B2806" s="407"/>
      <c r="C2806" s="407"/>
      <c r="D2806" s="474" t="s">
        <v>1066</v>
      </c>
      <c r="E2806" s="475"/>
      <c r="F2806" s="474" t="s">
        <v>1147</v>
      </c>
      <c r="G2806" s="474">
        <v>2022</v>
      </c>
      <c r="H2806" s="474">
        <v>4</v>
      </c>
      <c r="I2806" s="485">
        <v>128038</v>
      </c>
      <c r="J2806" s="475">
        <v>44664</v>
      </c>
      <c r="K2806" s="474" t="s">
        <v>1627</v>
      </c>
      <c r="L2806" s="475" t="s">
        <v>1561</v>
      </c>
      <c r="M2806" s="475">
        <v>44468</v>
      </c>
      <c r="N2806" s="475" t="s">
        <v>1588</v>
      </c>
      <c r="O2806" s="475"/>
      <c r="P2806" s="475">
        <v>44658</v>
      </c>
      <c r="Q2806" s="475">
        <v>44664</v>
      </c>
      <c r="R2806" s="475">
        <v>44664</v>
      </c>
      <c r="S2806" s="474" t="s">
        <v>1563</v>
      </c>
      <c r="T2806" s="474">
        <v>60</v>
      </c>
      <c r="U2806" s="474" t="s">
        <v>1595</v>
      </c>
      <c r="V2806" s="474" t="s">
        <v>1574</v>
      </c>
      <c r="W2806" s="476">
        <v>400</v>
      </c>
      <c r="X2806" s="402">
        <v>624</v>
      </c>
      <c r="Y2806" s="491">
        <f t="shared" si="471"/>
        <v>249600</v>
      </c>
      <c r="Z2806" s="478">
        <v>0.48</v>
      </c>
      <c r="AA2806" s="492">
        <f t="shared" si="472"/>
        <v>119808</v>
      </c>
      <c r="AB2806" s="386"/>
      <c r="AC2806" s="481">
        <v>0</v>
      </c>
      <c r="AD2806" s="474"/>
      <c r="AE2806" s="482"/>
      <c r="AF2806" s="493">
        <f t="shared" si="473"/>
        <v>119808</v>
      </c>
      <c r="AG2806" s="474" t="s">
        <v>47</v>
      </c>
      <c r="AH2806" s="447"/>
      <c r="AI2806" s="474">
        <v>75</v>
      </c>
      <c r="AJ2806" s="474" t="s">
        <v>1577</v>
      </c>
      <c r="AK2806" s="474" t="s">
        <v>50</v>
      </c>
      <c r="AL2806" s="494">
        <v>92407</v>
      </c>
      <c r="AM2806" s="474" t="s">
        <v>52</v>
      </c>
      <c r="AN2806" s="474" t="s">
        <v>50</v>
      </c>
      <c r="AO2806" s="474"/>
      <c r="AP2806" s="474" t="s">
        <v>92</v>
      </c>
      <c r="AQ2806" s="474" t="s">
        <v>37</v>
      </c>
      <c r="AR2806" s="474"/>
      <c r="AS2806" s="387"/>
      <c r="AT2806" s="387"/>
      <c r="AU2806" s="471"/>
      <c r="AV2806" s="262" t="str">
        <f t="shared" si="474"/>
        <v>30390256H</v>
      </c>
      <c r="AW2806" s="262" cm="1">
        <f t="array" ref="AW2806">SUM(MID(0&amp;AV2806,LARGE(INDEX(ISNUMBER(--MID(AV2806,ROW($1:$8),1))*ROW($1:$8),),ROW($1:$8))+1,1)*10^ROW($1:$8)/10)</f>
        <v>30390256</v>
      </c>
      <c r="AX2806" s="262" t="str">
        <f>VLOOKUP($AW2806,'Item Master Data'!$A:$F,3,FALSE)</f>
        <v>T400H</v>
      </c>
      <c r="AY2806" s="262">
        <f>VLOOKUP($AW2806,'Item Master Data'!$A:$F,6,FALSE)</f>
        <v>400</v>
      </c>
      <c r="AZ2806" s="262">
        <f t="shared" si="475"/>
        <v>24</v>
      </c>
      <c r="BA2806" s="262">
        <f>VLOOKUP(AW2806,'Item Master Data'!$A:$G,7,FALSE)</f>
        <v>26</v>
      </c>
      <c r="BC2806" s="262">
        <f t="shared" si="476"/>
        <v>0</v>
      </c>
    </row>
    <row r="2807" spans="1:55">
      <c r="A2807" s="410"/>
      <c r="B2807" s="407"/>
      <c r="C2807" s="407"/>
      <c r="D2807" s="474" t="s">
        <v>1066</v>
      </c>
      <c r="E2807" s="475"/>
      <c r="F2807" s="474" t="s">
        <v>1147</v>
      </c>
      <c r="G2807" s="474">
        <v>2022</v>
      </c>
      <c r="H2807" s="474">
        <v>4</v>
      </c>
      <c r="I2807" s="485">
        <v>128037</v>
      </c>
      <c r="J2807" s="475">
        <v>44664</v>
      </c>
      <c r="K2807" s="474" t="s">
        <v>1627</v>
      </c>
      <c r="L2807" s="475" t="s">
        <v>1561</v>
      </c>
      <c r="M2807" s="475">
        <v>44468</v>
      </c>
      <c r="N2807" s="475" t="s">
        <v>1588</v>
      </c>
      <c r="O2807" s="475"/>
      <c r="P2807" s="475">
        <v>44658</v>
      </c>
      <c r="Q2807" s="475">
        <v>44664</v>
      </c>
      <c r="R2807" s="475">
        <v>44664</v>
      </c>
      <c r="S2807" s="474" t="s">
        <v>1563</v>
      </c>
      <c r="T2807" s="474">
        <v>60</v>
      </c>
      <c r="U2807" s="474" t="s">
        <v>1595</v>
      </c>
      <c r="V2807" s="474" t="s">
        <v>1574</v>
      </c>
      <c r="W2807" s="476">
        <v>400</v>
      </c>
      <c r="X2807" s="402">
        <v>624</v>
      </c>
      <c r="Y2807" s="491">
        <f t="shared" ref="Y2807:Y2870" si="477">W2807*X2807</f>
        <v>249600</v>
      </c>
      <c r="Z2807" s="478">
        <v>0.48</v>
      </c>
      <c r="AA2807" s="492">
        <f t="shared" si="472"/>
        <v>119808</v>
      </c>
      <c r="AB2807" s="386"/>
      <c r="AC2807" s="481">
        <v>0</v>
      </c>
      <c r="AD2807" s="474"/>
      <c r="AE2807" s="482"/>
      <c r="AF2807" s="493">
        <f t="shared" si="473"/>
        <v>119808</v>
      </c>
      <c r="AG2807" s="474" t="s">
        <v>47</v>
      </c>
      <c r="AH2807" s="447"/>
      <c r="AI2807" s="474">
        <v>75</v>
      </c>
      <c r="AJ2807" s="474" t="s">
        <v>1577</v>
      </c>
      <c r="AK2807" s="474" t="s">
        <v>50</v>
      </c>
      <c r="AL2807" s="494">
        <v>92407</v>
      </c>
      <c r="AM2807" s="474" t="s">
        <v>52</v>
      </c>
      <c r="AN2807" s="474" t="s">
        <v>50</v>
      </c>
      <c r="AO2807" s="474"/>
      <c r="AP2807" s="474" t="s">
        <v>92</v>
      </c>
      <c r="AQ2807" s="474" t="s">
        <v>37</v>
      </c>
      <c r="AR2807" s="474"/>
      <c r="AS2807" s="387"/>
      <c r="AT2807" s="387"/>
      <c r="AU2807" s="471"/>
      <c r="AV2807" s="262" t="str">
        <f t="shared" si="474"/>
        <v>30390256H</v>
      </c>
      <c r="AW2807" s="262" cm="1">
        <f t="array" ref="AW2807">SUM(MID(0&amp;AV2807,LARGE(INDEX(ISNUMBER(--MID(AV2807,ROW($1:$8),1))*ROW($1:$8),),ROW($1:$8))+1,1)*10^ROW($1:$8)/10)</f>
        <v>30390256</v>
      </c>
      <c r="AX2807" s="262" t="str">
        <f>VLOOKUP($AW2807,'Item Master Data'!$A:$F,3,FALSE)</f>
        <v>T400H</v>
      </c>
      <c r="AY2807" s="262">
        <f>VLOOKUP($AW2807,'Item Master Data'!$A:$F,6,FALSE)</f>
        <v>400</v>
      </c>
      <c r="AZ2807" s="262">
        <f t="shared" si="475"/>
        <v>24</v>
      </c>
      <c r="BA2807" s="262">
        <f>VLOOKUP(AW2807,'Item Master Data'!$A:$G,7,FALSE)</f>
        <v>26</v>
      </c>
      <c r="BC2807" s="262">
        <f t="shared" si="476"/>
        <v>0</v>
      </c>
    </row>
    <row r="2808" spans="1:55">
      <c r="A2808" s="410"/>
      <c r="B2808" s="407"/>
      <c r="C2808" s="407"/>
      <c r="D2808" s="474" t="s">
        <v>1066</v>
      </c>
      <c r="E2808" s="475"/>
      <c r="F2808" s="474" t="s">
        <v>1147</v>
      </c>
      <c r="G2808" s="474">
        <v>2022</v>
      </c>
      <c r="H2808" s="474">
        <v>4</v>
      </c>
      <c r="I2808" s="485">
        <v>128035</v>
      </c>
      <c r="J2808" s="475">
        <v>44665</v>
      </c>
      <c r="K2808" s="474" t="s">
        <v>1627</v>
      </c>
      <c r="L2808" s="475" t="s">
        <v>1561</v>
      </c>
      <c r="M2808" s="475">
        <v>44468</v>
      </c>
      <c r="N2808" s="475" t="s">
        <v>1588</v>
      </c>
      <c r="O2808" s="475"/>
      <c r="P2808" s="475">
        <v>44658</v>
      </c>
      <c r="Q2808" s="475">
        <v>44665</v>
      </c>
      <c r="R2808" s="475">
        <v>44665</v>
      </c>
      <c r="S2808" s="474" t="s">
        <v>1563</v>
      </c>
      <c r="T2808" s="474">
        <v>60</v>
      </c>
      <c r="U2808" s="474" t="s">
        <v>1595</v>
      </c>
      <c r="V2808" s="474" t="s">
        <v>1574</v>
      </c>
      <c r="W2808" s="476">
        <v>400</v>
      </c>
      <c r="X2808" s="402">
        <v>624</v>
      </c>
      <c r="Y2808" s="491">
        <f t="shared" si="477"/>
        <v>249600</v>
      </c>
      <c r="Z2808" s="478">
        <v>0.48</v>
      </c>
      <c r="AA2808" s="492">
        <f t="shared" si="472"/>
        <v>119808</v>
      </c>
      <c r="AB2808" s="386"/>
      <c r="AC2808" s="481">
        <v>0</v>
      </c>
      <c r="AD2808" s="474"/>
      <c r="AE2808" s="482"/>
      <c r="AF2808" s="493">
        <f t="shared" si="473"/>
        <v>119808</v>
      </c>
      <c r="AG2808" s="474" t="s">
        <v>47</v>
      </c>
      <c r="AH2808" s="447"/>
      <c r="AI2808" s="474">
        <v>75</v>
      </c>
      <c r="AJ2808" s="474" t="s">
        <v>1577</v>
      </c>
      <c r="AK2808" s="474" t="s">
        <v>50</v>
      </c>
      <c r="AL2808" s="494">
        <v>92407</v>
      </c>
      <c r="AM2808" s="474" t="s">
        <v>52</v>
      </c>
      <c r="AN2808" s="474" t="s">
        <v>50</v>
      </c>
      <c r="AO2808" s="474"/>
      <c r="AP2808" s="474" t="s">
        <v>92</v>
      </c>
      <c r="AQ2808" s="474" t="s">
        <v>37</v>
      </c>
      <c r="AR2808" s="474"/>
      <c r="AS2808" s="387"/>
      <c r="AT2808" s="387"/>
      <c r="AU2808" s="471"/>
      <c r="AV2808" s="262" t="str">
        <f t="shared" si="474"/>
        <v>30390256H</v>
      </c>
      <c r="AW2808" s="262" cm="1">
        <f t="array" ref="AW2808">SUM(MID(0&amp;AV2808,LARGE(INDEX(ISNUMBER(--MID(AV2808,ROW($1:$8),1))*ROW($1:$8),),ROW($1:$8))+1,1)*10^ROW($1:$8)/10)</f>
        <v>30390256</v>
      </c>
      <c r="AX2808" s="262" t="str">
        <f>VLOOKUP($AW2808,'Item Master Data'!$A:$F,3,FALSE)</f>
        <v>T400H</v>
      </c>
      <c r="AY2808" s="262">
        <f>VLOOKUP($AW2808,'Item Master Data'!$A:$F,6,FALSE)</f>
        <v>400</v>
      </c>
      <c r="AZ2808" s="262">
        <f t="shared" si="475"/>
        <v>24</v>
      </c>
      <c r="BA2808" s="262">
        <f>VLOOKUP(AW2808,'Item Master Data'!$A:$G,7,FALSE)</f>
        <v>26</v>
      </c>
      <c r="BC2808" s="262">
        <f t="shared" si="476"/>
        <v>0</v>
      </c>
    </row>
    <row r="2809" spans="1:55">
      <c r="A2809" s="410"/>
      <c r="B2809" s="407"/>
      <c r="C2809" s="407"/>
      <c r="D2809" s="474" t="s">
        <v>1066</v>
      </c>
      <c r="E2809" s="475"/>
      <c r="F2809" s="474" t="s">
        <v>1147</v>
      </c>
      <c r="G2809" s="474">
        <v>2022</v>
      </c>
      <c r="H2809" s="474">
        <v>4</v>
      </c>
      <c r="I2809" s="485">
        <v>128036</v>
      </c>
      <c r="J2809" s="475">
        <v>44665</v>
      </c>
      <c r="K2809" s="474" t="s">
        <v>1627</v>
      </c>
      <c r="L2809" s="475" t="s">
        <v>1561</v>
      </c>
      <c r="M2809" s="475">
        <v>44468</v>
      </c>
      <c r="N2809" s="475" t="s">
        <v>1588</v>
      </c>
      <c r="O2809" s="475"/>
      <c r="P2809" s="475">
        <v>44658</v>
      </c>
      <c r="Q2809" s="475">
        <v>44665</v>
      </c>
      <c r="R2809" s="475">
        <v>44665</v>
      </c>
      <c r="S2809" s="474" t="s">
        <v>1563</v>
      </c>
      <c r="T2809" s="474">
        <v>60</v>
      </c>
      <c r="U2809" s="474" t="s">
        <v>1595</v>
      </c>
      <c r="V2809" s="474" t="s">
        <v>1574</v>
      </c>
      <c r="W2809" s="476">
        <v>400</v>
      </c>
      <c r="X2809" s="402">
        <v>624</v>
      </c>
      <c r="Y2809" s="491">
        <f t="shared" si="477"/>
        <v>249600</v>
      </c>
      <c r="Z2809" s="478">
        <v>0.48</v>
      </c>
      <c r="AA2809" s="492">
        <f t="shared" si="472"/>
        <v>119808</v>
      </c>
      <c r="AB2809" s="386"/>
      <c r="AC2809" s="481">
        <v>0</v>
      </c>
      <c r="AD2809" s="474"/>
      <c r="AE2809" s="482"/>
      <c r="AF2809" s="493">
        <f t="shared" si="473"/>
        <v>119808</v>
      </c>
      <c r="AG2809" s="474" t="s">
        <v>47</v>
      </c>
      <c r="AH2809" s="447"/>
      <c r="AI2809" s="474">
        <v>75</v>
      </c>
      <c r="AJ2809" s="474" t="s">
        <v>1577</v>
      </c>
      <c r="AK2809" s="474" t="s">
        <v>50</v>
      </c>
      <c r="AL2809" s="494">
        <v>92407</v>
      </c>
      <c r="AM2809" s="474" t="s">
        <v>52</v>
      </c>
      <c r="AN2809" s="474" t="s">
        <v>50</v>
      </c>
      <c r="AO2809" s="474"/>
      <c r="AP2809" s="474" t="s">
        <v>92</v>
      </c>
      <c r="AQ2809" s="474" t="s">
        <v>37</v>
      </c>
      <c r="AR2809" s="474"/>
      <c r="AS2809" s="387"/>
      <c r="AT2809" s="387"/>
      <c r="AU2809" s="471"/>
      <c r="AV2809" s="262" t="str">
        <f t="shared" si="474"/>
        <v>30390256H</v>
      </c>
      <c r="AW2809" s="262" cm="1">
        <f t="array" ref="AW2809">SUM(MID(0&amp;AV2809,LARGE(INDEX(ISNUMBER(--MID(AV2809,ROW($1:$8),1))*ROW($1:$8),),ROW($1:$8))+1,1)*10^ROW($1:$8)/10)</f>
        <v>30390256</v>
      </c>
      <c r="AX2809" s="262" t="str">
        <f>VLOOKUP($AW2809,'Item Master Data'!$A:$F,3,FALSE)</f>
        <v>T400H</v>
      </c>
      <c r="AY2809" s="262">
        <f>VLOOKUP($AW2809,'Item Master Data'!$A:$F,6,FALSE)</f>
        <v>400</v>
      </c>
      <c r="AZ2809" s="262">
        <f t="shared" si="475"/>
        <v>24</v>
      </c>
      <c r="BA2809" s="262">
        <f>VLOOKUP(AW2809,'Item Master Data'!$A:$G,7,FALSE)</f>
        <v>26</v>
      </c>
      <c r="BC2809" s="262">
        <f t="shared" si="476"/>
        <v>0</v>
      </c>
    </row>
    <row r="2810" spans="1:55">
      <c r="A2810" s="410"/>
      <c r="B2810" s="407"/>
      <c r="C2810" s="407"/>
      <c r="D2810" s="474" t="s">
        <v>1066</v>
      </c>
      <c r="E2810" s="475"/>
      <c r="F2810" s="474" t="s">
        <v>1147</v>
      </c>
      <c r="G2810" s="474">
        <v>2022</v>
      </c>
      <c r="H2810" s="474">
        <v>4</v>
      </c>
      <c r="I2810" s="485">
        <v>127998</v>
      </c>
      <c r="J2810" s="475">
        <v>44665</v>
      </c>
      <c r="K2810" s="474" t="s">
        <v>1627</v>
      </c>
      <c r="L2810" s="475" t="s">
        <v>1561</v>
      </c>
      <c r="M2810" s="475">
        <v>44468</v>
      </c>
      <c r="N2810" s="475" t="s">
        <v>1588</v>
      </c>
      <c r="O2810" s="475"/>
      <c r="P2810" s="475">
        <v>44658</v>
      </c>
      <c r="Q2810" s="475">
        <v>44665</v>
      </c>
      <c r="R2810" s="475">
        <v>44665</v>
      </c>
      <c r="S2810" s="474" t="s">
        <v>1563</v>
      </c>
      <c r="T2810" s="474">
        <v>60</v>
      </c>
      <c r="U2810" s="474" t="s">
        <v>1595</v>
      </c>
      <c r="V2810" s="474" t="s">
        <v>1574</v>
      </c>
      <c r="W2810" s="476">
        <v>400</v>
      </c>
      <c r="X2810" s="402">
        <v>624</v>
      </c>
      <c r="Y2810" s="491">
        <f t="shared" si="477"/>
        <v>249600</v>
      </c>
      <c r="Z2810" s="478">
        <v>0.48</v>
      </c>
      <c r="AA2810" s="492">
        <f t="shared" si="472"/>
        <v>119808</v>
      </c>
      <c r="AB2810" s="386"/>
      <c r="AC2810" s="481">
        <v>0</v>
      </c>
      <c r="AD2810" s="474"/>
      <c r="AE2810" s="482"/>
      <c r="AF2810" s="493">
        <f t="shared" si="473"/>
        <v>119808</v>
      </c>
      <c r="AG2810" s="474" t="s">
        <v>47</v>
      </c>
      <c r="AH2810" s="447"/>
      <c r="AI2810" s="474">
        <v>75</v>
      </c>
      <c r="AJ2810" s="474" t="s">
        <v>1577</v>
      </c>
      <c r="AK2810" s="474" t="s">
        <v>50</v>
      </c>
      <c r="AL2810" s="494">
        <v>92407</v>
      </c>
      <c r="AM2810" s="474" t="s">
        <v>52</v>
      </c>
      <c r="AN2810" s="474" t="s">
        <v>50</v>
      </c>
      <c r="AO2810" s="474"/>
      <c r="AP2810" s="474" t="s">
        <v>92</v>
      </c>
      <c r="AQ2810" s="474" t="s">
        <v>37</v>
      </c>
      <c r="AR2810" s="474"/>
      <c r="AS2810" s="387"/>
      <c r="AT2810" s="387"/>
      <c r="AU2810" s="471"/>
      <c r="AV2810" s="262" t="str">
        <f t="shared" si="474"/>
        <v>30390256H</v>
      </c>
      <c r="AW2810" s="262" cm="1">
        <f t="array" ref="AW2810">SUM(MID(0&amp;AV2810,LARGE(INDEX(ISNUMBER(--MID(AV2810,ROW($1:$8),1))*ROW($1:$8),),ROW($1:$8))+1,1)*10^ROW($1:$8)/10)</f>
        <v>30390256</v>
      </c>
      <c r="AX2810" s="262" t="str">
        <f>VLOOKUP($AW2810,'Item Master Data'!$A:$F,3,FALSE)</f>
        <v>T400H</v>
      </c>
      <c r="AY2810" s="262">
        <f>VLOOKUP($AW2810,'Item Master Data'!$A:$F,6,FALSE)</f>
        <v>400</v>
      </c>
      <c r="AZ2810" s="262">
        <f t="shared" si="475"/>
        <v>24</v>
      </c>
      <c r="BA2810" s="262">
        <f>VLOOKUP(AW2810,'Item Master Data'!$A:$G,7,FALSE)</f>
        <v>26</v>
      </c>
      <c r="BC2810" s="262">
        <f t="shared" si="476"/>
        <v>0</v>
      </c>
    </row>
    <row r="2811" spans="1:55">
      <c r="A2811" s="410"/>
      <c r="B2811" s="407"/>
      <c r="C2811" s="407"/>
      <c r="D2811" s="474" t="s">
        <v>1066</v>
      </c>
      <c r="E2811" s="475"/>
      <c r="F2811" s="474" t="s">
        <v>1147</v>
      </c>
      <c r="G2811" s="474">
        <v>2022</v>
      </c>
      <c r="H2811" s="474">
        <v>4</v>
      </c>
      <c r="I2811" s="485">
        <v>127997</v>
      </c>
      <c r="J2811" s="475">
        <v>44666</v>
      </c>
      <c r="K2811" s="474" t="s">
        <v>1627</v>
      </c>
      <c r="L2811" s="475" t="s">
        <v>1561</v>
      </c>
      <c r="M2811" s="475">
        <v>44468</v>
      </c>
      <c r="N2811" s="475" t="s">
        <v>1588</v>
      </c>
      <c r="O2811" s="475"/>
      <c r="P2811" s="475">
        <v>44658</v>
      </c>
      <c r="Q2811" s="475">
        <v>44666</v>
      </c>
      <c r="R2811" s="475">
        <v>44666</v>
      </c>
      <c r="S2811" s="474" t="s">
        <v>1563</v>
      </c>
      <c r="T2811" s="474">
        <v>60</v>
      </c>
      <c r="U2811" s="474" t="s">
        <v>1595</v>
      </c>
      <c r="V2811" s="474" t="s">
        <v>1574</v>
      </c>
      <c r="W2811" s="476">
        <v>400</v>
      </c>
      <c r="X2811" s="402">
        <v>624</v>
      </c>
      <c r="Y2811" s="491">
        <f t="shared" si="477"/>
        <v>249600</v>
      </c>
      <c r="Z2811" s="478">
        <v>0.48</v>
      </c>
      <c r="AA2811" s="492">
        <f t="shared" si="472"/>
        <v>119808</v>
      </c>
      <c r="AB2811" s="386"/>
      <c r="AC2811" s="481">
        <v>0</v>
      </c>
      <c r="AD2811" s="474"/>
      <c r="AE2811" s="482"/>
      <c r="AF2811" s="493">
        <f t="shared" si="473"/>
        <v>119808</v>
      </c>
      <c r="AG2811" s="474" t="s">
        <v>47</v>
      </c>
      <c r="AH2811" s="447"/>
      <c r="AI2811" s="474">
        <v>75</v>
      </c>
      <c r="AJ2811" s="474" t="s">
        <v>1577</v>
      </c>
      <c r="AK2811" s="474" t="s">
        <v>50</v>
      </c>
      <c r="AL2811" s="494">
        <v>92407</v>
      </c>
      <c r="AM2811" s="474" t="s">
        <v>52</v>
      </c>
      <c r="AN2811" s="474" t="s">
        <v>50</v>
      </c>
      <c r="AO2811" s="474"/>
      <c r="AP2811" s="474" t="s">
        <v>92</v>
      </c>
      <c r="AQ2811" s="474" t="s">
        <v>37</v>
      </c>
      <c r="AR2811" s="474"/>
      <c r="AS2811" s="387"/>
      <c r="AT2811" s="387"/>
      <c r="AU2811" s="471"/>
      <c r="AV2811" s="262" t="str">
        <f t="shared" si="474"/>
        <v>30390256H</v>
      </c>
      <c r="AW2811" s="262" cm="1">
        <f t="array" ref="AW2811">SUM(MID(0&amp;AV2811,LARGE(INDEX(ISNUMBER(--MID(AV2811,ROW($1:$8),1))*ROW($1:$8),),ROW($1:$8))+1,1)*10^ROW($1:$8)/10)</f>
        <v>30390256</v>
      </c>
      <c r="AX2811" s="262" t="str">
        <f>VLOOKUP($AW2811,'Item Master Data'!$A:$F,3,FALSE)</f>
        <v>T400H</v>
      </c>
      <c r="AY2811" s="262">
        <f>VLOOKUP($AW2811,'Item Master Data'!$A:$F,6,FALSE)</f>
        <v>400</v>
      </c>
      <c r="AZ2811" s="262">
        <f t="shared" si="475"/>
        <v>24</v>
      </c>
      <c r="BA2811" s="262">
        <f>VLOOKUP(AW2811,'Item Master Data'!$A:$G,7,FALSE)</f>
        <v>26</v>
      </c>
      <c r="BC2811" s="262">
        <f t="shared" si="476"/>
        <v>0</v>
      </c>
    </row>
    <row r="2812" spans="1:55">
      <c r="A2812" s="410"/>
      <c r="B2812" s="407"/>
      <c r="C2812" s="407"/>
      <c r="D2812" s="474" t="s">
        <v>1066</v>
      </c>
      <c r="E2812" s="475"/>
      <c r="F2812" s="474" t="s">
        <v>1147</v>
      </c>
      <c r="G2812" s="474">
        <v>2022</v>
      </c>
      <c r="H2812" s="474">
        <v>4</v>
      </c>
      <c r="I2812" s="485">
        <v>127996</v>
      </c>
      <c r="J2812" s="475">
        <v>44666</v>
      </c>
      <c r="K2812" s="474" t="s">
        <v>1627</v>
      </c>
      <c r="L2812" s="475" t="s">
        <v>1561</v>
      </c>
      <c r="M2812" s="475">
        <v>44468</v>
      </c>
      <c r="N2812" s="475" t="s">
        <v>1588</v>
      </c>
      <c r="O2812" s="475"/>
      <c r="P2812" s="475">
        <v>44658</v>
      </c>
      <c r="Q2812" s="475">
        <v>44666</v>
      </c>
      <c r="R2812" s="475">
        <v>44666</v>
      </c>
      <c r="S2812" s="474" t="s">
        <v>1563</v>
      </c>
      <c r="T2812" s="474">
        <v>60</v>
      </c>
      <c r="U2812" s="474" t="s">
        <v>1595</v>
      </c>
      <c r="V2812" s="474" t="s">
        <v>1574</v>
      </c>
      <c r="W2812" s="476">
        <v>400</v>
      </c>
      <c r="X2812" s="402">
        <v>624</v>
      </c>
      <c r="Y2812" s="491">
        <f t="shared" si="477"/>
        <v>249600</v>
      </c>
      <c r="Z2812" s="478">
        <v>0.48</v>
      </c>
      <c r="AA2812" s="492">
        <f t="shared" si="472"/>
        <v>119808</v>
      </c>
      <c r="AB2812" s="386"/>
      <c r="AC2812" s="481">
        <v>0</v>
      </c>
      <c r="AD2812" s="474"/>
      <c r="AE2812" s="482"/>
      <c r="AF2812" s="493">
        <f t="shared" si="473"/>
        <v>119808</v>
      </c>
      <c r="AG2812" s="474" t="s">
        <v>47</v>
      </c>
      <c r="AH2812" s="447"/>
      <c r="AI2812" s="474">
        <v>75</v>
      </c>
      <c r="AJ2812" s="474" t="s">
        <v>1577</v>
      </c>
      <c r="AK2812" s="474" t="s">
        <v>50</v>
      </c>
      <c r="AL2812" s="494">
        <v>92407</v>
      </c>
      <c r="AM2812" s="474" t="s">
        <v>52</v>
      </c>
      <c r="AN2812" s="474" t="s">
        <v>50</v>
      </c>
      <c r="AO2812" s="474"/>
      <c r="AP2812" s="474" t="s">
        <v>92</v>
      </c>
      <c r="AQ2812" s="474" t="s">
        <v>37</v>
      </c>
      <c r="AR2812" s="474"/>
      <c r="AS2812" s="387"/>
      <c r="AT2812" s="387"/>
      <c r="AU2812" s="471"/>
      <c r="AV2812" s="262" t="str">
        <f t="shared" si="474"/>
        <v>30390256H</v>
      </c>
      <c r="AW2812" s="262" cm="1">
        <f t="array" ref="AW2812">SUM(MID(0&amp;AV2812,LARGE(INDEX(ISNUMBER(--MID(AV2812,ROW($1:$8),1))*ROW($1:$8),),ROW($1:$8))+1,1)*10^ROW($1:$8)/10)</f>
        <v>30390256</v>
      </c>
      <c r="AX2812" s="262" t="str">
        <f>VLOOKUP($AW2812,'Item Master Data'!$A:$F,3,FALSE)</f>
        <v>T400H</v>
      </c>
      <c r="AY2812" s="262">
        <f>VLOOKUP($AW2812,'Item Master Data'!$A:$F,6,FALSE)</f>
        <v>400</v>
      </c>
      <c r="AZ2812" s="262">
        <f t="shared" si="475"/>
        <v>24</v>
      </c>
      <c r="BA2812" s="262">
        <f>VLOOKUP(AW2812,'Item Master Data'!$A:$G,7,FALSE)</f>
        <v>26</v>
      </c>
      <c r="BC2812" s="262">
        <f t="shared" si="476"/>
        <v>0</v>
      </c>
    </row>
    <row r="2813" spans="1:55">
      <c r="A2813" s="410"/>
      <c r="B2813" s="407"/>
      <c r="C2813" s="407"/>
      <c r="D2813" s="474" t="s">
        <v>1066</v>
      </c>
      <c r="E2813" s="475" t="s">
        <v>5194</v>
      </c>
      <c r="F2813" s="474" t="s">
        <v>1147</v>
      </c>
      <c r="G2813" s="474">
        <v>2022</v>
      </c>
      <c r="H2813" s="474">
        <v>4</v>
      </c>
      <c r="I2813" s="485">
        <v>128124</v>
      </c>
      <c r="J2813" s="475">
        <v>44666</v>
      </c>
      <c r="K2813" s="474" t="s">
        <v>1627</v>
      </c>
      <c r="L2813" s="475" t="s">
        <v>1561</v>
      </c>
      <c r="M2813" s="475">
        <v>44468</v>
      </c>
      <c r="N2813" s="475" t="s">
        <v>1588</v>
      </c>
      <c r="O2813" s="475"/>
      <c r="P2813" s="475">
        <v>44658</v>
      </c>
      <c r="Q2813" s="475">
        <v>44666</v>
      </c>
      <c r="R2813" s="475">
        <v>44666</v>
      </c>
      <c r="S2813" s="474" t="s">
        <v>1563</v>
      </c>
      <c r="T2813" s="474">
        <v>60</v>
      </c>
      <c r="U2813" s="474" t="s">
        <v>1595</v>
      </c>
      <c r="V2813" s="474" t="s">
        <v>1574</v>
      </c>
      <c r="W2813" s="476">
        <v>400</v>
      </c>
      <c r="X2813" s="402">
        <v>624</v>
      </c>
      <c r="Y2813" s="491">
        <f t="shared" si="477"/>
        <v>249600</v>
      </c>
      <c r="Z2813" s="478">
        <v>0.48</v>
      </c>
      <c r="AA2813" s="492">
        <f t="shared" si="472"/>
        <v>119808</v>
      </c>
      <c r="AB2813" s="386"/>
      <c r="AC2813" s="481">
        <v>0</v>
      </c>
      <c r="AD2813" s="474"/>
      <c r="AE2813" s="482"/>
      <c r="AF2813" s="493">
        <f t="shared" si="473"/>
        <v>119808</v>
      </c>
      <c r="AG2813" s="474" t="s">
        <v>47</v>
      </c>
      <c r="AH2813" s="447"/>
      <c r="AI2813" s="474">
        <v>75</v>
      </c>
      <c r="AJ2813" s="474" t="s">
        <v>1577</v>
      </c>
      <c r="AK2813" s="474" t="s">
        <v>50</v>
      </c>
      <c r="AL2813" s="494">
        <v>92407</v>
      </c>
      <c r="AM2813" s="474" t="s">
        <v>52</v>
      </c>
      <c r="AN2813" s="474" t="s">
        <v>50</v>
      </c>
      <c r="AO2813" s="474"/>
      <c r="AP2813" s="474" t="s">
        <v>92</v>
      </c>
      <c r="AQ2813" s="474" t="s">
        <v>37</v>
      </c>
      <c r="AR2813" s="474"/>
      <c r="AS2813" s="387"/>
      <c r="AT2813" s="387"/>
      <c r="AU2813" s="471"/>
      <c r="AV2813" s="262" t="str">
        <f t="shared" si="474"/>
        <v>30390256H</v>
      </c>
      <c r="AW2813" s="262" cm="1">
        <f t="array" ref="AW2813">SUM(MID(0&amp;AV2813,LARGE(INDEX(ISNUMBER(--MID(AV2813,ROW($1:$8),1))*ROW($1:$8),),ROW($1:$8))+1,1)*10^ROW($1:$8)/10)</f>
        <v>30390256</v>
      </c>
      <c r="AX2813" s="262" t="str">
        <f>VLOOKUP($AW2813,'Item Master Data'!$A:$F,3,FALSE)</f>
        <v>T400H</v>
      </c>
      <c r="AY2813" s="262">
        <f>VLOOKUP($AW2813,'Item Master Data'!$A:$F,6,FALSE)</f>
        <v>400</v>
      </c>
      <c r="AZ2813" s="262">
        <f t="shared" si="475"/>
        <v>24</v>
      </c>
      <c r="BA2813" s="262">
        <f>VLOOKUP(AW2813,'Item Master Data'!$A:$G,7,FALSE)</f>
        <v>26</v>
      </c>
      <c r="BC2813" s="262">
        <f t="shared" si="476"/>
        <v>0</v>
      </c>
    </row>
    <row r="2814" spans="1:55">
      <c r="A2814" s="410"/>
      <c r="B2814" s="407"/>
      <c r="C2814" s="407"/>
      <c r="D2814" s="474" t="s">
        <v>1066</v>
      </c>
      <c r="E2814" s="475"/>
      <c r="F2814" s="474" t="s">
        <v>1147</v>
      </c>
      <c r="G2814" s="474">
        <v>2022</v>
      </c>
      <c r="H2814" s="474">
        <v>4</v>
      </c>
      <c r="I2814" s="485">
        <v>128122</v>
      </c>
      <c r="J2814" s="475">
        <v>44669</v>
      </c>
      <c r="K2814" s="474" t="s">
        <v>1627</v>
      </c>
      <c r="L2814" s="475" t="s">
        <v>1561</v>
      </c>
      <c r="M2814" s="475">
        <v>44468</v>
      </c>
      <c r="N2814" s="475" t="s">
        <v>1588</v>
      </c>
      <c r="O2814" s="475"/>
      <c r="P2814" s="475">
        <v>44658</v>
      </c>
      <c r="Q2814" s="475">
        <v>44669</v>
      </c>
      <c r="R2814" s="475">
        <v>44669</v>
      </c>
      <c r="S2814" s="474" t="s">
        <v>1563</v>
      </c>
      <c r="T2814" s="474">
        <v>60</v>
      </c>
      <c r="U2814" s="474" t="s">
        <v>1595</v>
      </c>
      <c r="V2814" s="474" t="s">
        <v>1574</v>
      </c>
      <c r="W2814" s="476">
        <v>400</v>
      </c>
      <c r="X2814" s="402">
        <v>624</v>
      </c>
      <c r="Y2814" s="491">
        <f t="shared" si="477"/>
        <v>249600</v>
      </c>
      <c r="Z2814" s="478">
        <v>0.48</v>
      </c>
      <c r="AA2814" s="492">
        <f t="shared" si="472"/>
        <v>119808</v>
      </c>
      <c r="AB2814" s="386"/>
      <c r="AC2814" s="481">
        <v>0</v>
      </c>
      <c r="AD2814" s="474"/>
      <c r="AE2814" s="482"/>
      <c r="AF2814" s="493">
        <f t="shared" si="473"/>
        <v>119808</v>
      </c>
      <c r="AG2814" s="474" t="s">
        <v>47</v>
      </c>
      <c r="AH2814" s="447"/>
      <c r="AI2814" s="474">
        <v>75</v>
      </c>
      <c r="AJ2814" s="474" t="s">
        <v>1577</v>
      </c>
      <c r="AK2814" s="474" t="s">
        <v>50</v>
      </c>
      <c r="AL2814" s="494">
        <v>92407</v>
      </c>
      <c r="AM2814" s="474" t="s">
        <v>52</v>
      </c>
      <c r="AN2814" s="474" t="s">
        <v>50</v>
      </c>
      <c r="AO2814" s="474"/>
      <c r="AP2814" s="474" t="s">
        <v>92</v>
      </c>
      <c r="AQ2814" s="474" t="s">
        <v>37</v>
      </c>
      <c r="AR2814" s="474"/>
      <c r="AS2814" s="387"/>
      <c r="AT2814" s="387"/>
      <c r="AU2814" s="471"/>
      <c r="AV2814" s="262" t="str">
        <f t="shared" si="474"/>
        <v>30390256H</v>
      </c>
      <c r="AW2814" s="262" cm="1">
        <f t="array" ref="AW2814">SUM(MID(0&amp;AV2814,LARGE(INDEX(ISNUMBER(--MID(AV2814,ROW($1:$8),1))*ROW($1:$8),),ROW($1:$8))+1,1)*10^ROW($1:$8)/10)</f>
        <v>30390256</v>
      </c>
      <c r="AX2814" s="262" t="str">
        <f>VLOOKUP($AW2814,'Item Master Data'!$A:$F,3,FALSE)</f>
        <v>T400H</v>
      </c>
      <c r="AY2814" s="262">
        <f>VLOOKUP($AW2814,'Item Master Data'!$A:$F,6,FALSE)</f>
        <v>400</v>
      </c>
      <c r="AZ2814" s="262">
        <f t="shared" si="475"/>
        <v>24</v>
      </c>
      <c r="BA2814" s="262">
        <f>VLOOKUP(AW2814,'Item Master Data'!$A:$G,7,FALSE)</f>
        <v>26</v>
      </c>
      <c r="BC2814" s="262">
        <f t="shared" si="476"/>
        <v>0</v>
      </c>
    </row>
    <row r="2815" spans="1:55">
      <c r="A2815" s="410"/>
      <c r="B2815" s="407"/>
      <c r="C2815" s="407"/>
      <c r="D2815" s="474" t="s">
        <v>1066</v>
      </c>
      <c r="E2815" s="475"/>
      <c r="F2815" s="474" t="s">
        <v>1147</v>
      </c>
      <c r="G2815" s="474">
        <v>2022</v>
      </c>
      <c r="H2815" s="474">
        <v>4</v>
      </c>
      <c r="I2815" s="485">
        <v>128121</v>
      </c>
      <c r="J2815" s="475">
        <v>44669</v>
      </c>
      <c r="K2815" s="474" t="s">
        <v>1627</v>
      </c>
      <c r="L2815" s="475" t="s">
        <v>1561</v>
      </c>
      <c r="M2815" s="475">
        <v>44468</v>
      </c>
      <c r="N2815" s="475" t="s">
        <v>1588</v>
      </c>
      <c r="O2815" s="475"/>
      <c r="P2815" s="475">
        <v>44658</v>
      </c>
      <c r="Q2815" s="475">
        <v>44669</v>
      </c>
      <c r="R2815" s="475">
        <v>44669</v>
      </c>
      <c r="S2815" s="474" t="s">
        <v>1563</v>
      </c>
      <c r="T2815" s="474">
        <v>60</v>
      </c>
      <c r="U2815" s="474" t="s">
        <v>1595</v>
      </c>
      <c r="V2815" s="474" t="s">
        <v>1574</v>
      </c>
      <c r="W2815" s="476">
        <v>400</v>
      </c>
      <c r="X2815" s="402">
        <v>624</v>
      </c>
      <c r="Y2815" s="491">
        <f t="shared" si="477"/>
        <v>249600</v>
      </c>
      <c r="Z2815" s="478">
        <v>0.48</v>
      </c>
      <c r="AA2815" s="492">
        <f t="shared" si="472"/>
        <v>119808</v>
      </c>
      <c r="AB2815" s="386"/>
      <c r="AC2815" s="481">
        <v>0</v>
      </c>
      <c r="AD2815" s="474"/>
      <c r="AE2815" s="482"/>
      <c r="AF2815" s="493">
        <f t="shared" si="473"/>
        <v>119808</v>
      </c>
      <c r="AG2815" s="474" t="s">
        <v>47</v>
      </c>
      <c r="AH2815" s="447"/>
      <c r="AI2815" s="474">
        <v>75</v>
      </c>
      <c r="AJ2815" s="474" t="s">
        <v>1577</v>
      </c>
      <c r="AK2815" s="474" t="s">
        <v>50</v>
      </c>
      <c r="AL2815" s="494">
        <v>92407</v>
      </c>
      <c r="AM2815" s="474" t="s">
        <v>52</v>
      </c>
      <c r="AN2815" s="474" t="s">
        <v>50</v>
      </c>
      <c r="AO2815" s="474"/>
      <c r="AP2815" s="474" t="s">
        <v>92</v>
      </c>
      <c r="AQ2815" s="474" t="s">
        <v>37</v>
      </c>
      <c r="AR2815" s="474"/>
      <c r="AS2815" s="387"/>
      <c r="AT2815" s="387"/>
      <c r="AU2815" s="471"/>
      <c r="AV2815" s="262" t="str">
        <f t="shared" si="474"/>
        <v>30390256H</v>
      </c>
      <c r="AW2815" s="262" cm="1">
        <f t="array" ref="AW2815">SUM(MID(0&amp;AV2815,LARGE(INDEX(ISNUMBER(--MID(AV2815,ROW($1:$8),1))*ROW($1:$8),),ROW($1:$8))+1,1)*10^ROW($1:$8)/10)</f>
        <v>30390256</v>
      </c>
      <c r="AX2815" s="262" t="str">
        <f>VLOOKUP($AW2815,'Item Master Data'!$A:$F,3,FALSE)</f>
        <v>T400H</v>
      </c>
      <c r="AY2815" s="262">
        <f>VLOOKUP($AW2815,'Item Master Data'!$A:$F,6,FALSE)</f>
        <v>400</v>
      </c>
      <c r="AZ2815" s="262">
        <f t="shared" si="475"/>
        <v>24</v>
      </c>
      <c r="BA2815" s="262">
        <f>VLOOKUP(AW2815,'Item Master Data'!$A:$G,7,FALSE)</f>
        <v>26</v>
      </c>
      <c r="BC2815" s="262">
        <f t="shared" si="476"/>
        <v>0</v>
      </c>
    </row>
    <row r="2816" spans="1:55">
      <c r="A2816" s="410"/>
      <c r="B2816" s="407"/>
      <c r="C2816" s="407"/>
      <c r="D2816" s="474" t="s">
        <v>1066</v>
      </c>
      <c r="E2816" s="475"/>
      <c r="F2816" s="474" t="s">
        <v>1147</v>
      </c>
      <c r="G2816" s="474">
        <v>2022</v>
      </c>
      <c r="H2816" s="474">
        <v>4</v>
      </c>
      <c r="I2816" s="485">
        <v>128120</v>
      </c>
      <c r="J2816" s="475">
        <v>44669</v>
      </c>
      <c r="K2816" s="474" t="s">
        <v>1627</v>
      </c>
      <c r="L2816" s="475" t="s">
        <v>1561</v>
      </c>
      <c r="M2816" s="475">
        <v>44468</v>
      </c>
      <c r="N2816" s="475" t="s">
        <v>1588</v>
      </c>
      <c r="O2816" s="475"/>
      <c r="P2816" s="475">
        <v>44658</v>
      </c>
      <c r="Q2816" s="475">
        <v>44669</v>
      </c>
      <c r="R2816" s="475">
        <v>44669</v>
      </c>
      <c r="S2816" s="474" t="s">
        <v>1563</v>
      </c>
      <c r="T2816" s="474">
        <v>60</v>
      </c>
      <c r="U2816" s="474" t="s">
        <v>1595</v>
      </c>
      <c r="V2816" s="474" t="s">
        <v>1574</v>
      </c>
      <c r="W2816" s="476">
        <v>400</v>
      </c>
      <c r="X2816" s="402">
        <v>624</v>
      </c>
      <c r="Y2816" s="491">
        <f t="shared" si="477"/>
        <v>249600</v>
      </c>
      <c r="Z2816" s="478">
        <v>0.48</v>
      </c>
      <c r="AA2816" s="492">
        <f t="shared" si="472"/>
        <v>119808</v>
      </c>
      <c r="AB2816" s="386"/>
      <c r="AC2816" s="481">
        <v>0</v>
      </c>
      <c r="AD2816" s="474"/>
      <c r="AE2816" s="482"/>
      <c r="AF2816" s="493">
        <f t="shared" si="473"/>
        <v>119808</v>
      </c>
      <c r="AG2816" s="474" t="s">
        <v>47</v>
      </c>
      <c r="AH2816" s="447"/>
      <c r="AI2816" s="474">
        <v>75</v>
      </c>
      <c r="AJ2816" s="474" t="s">
        <v>1577</v>
      </c>
      <c r="AK2816" s="474" t="s">
        <v>50</v>
      </c>
      <c r="AL2816" s="494">
        <v>92407</v>
      </c>
      <c r="AM2816" s="474" t="s">
        <v>52</v>
      </c>
      <c r="AN2816" s="474" t="s">
        <v>50</v>
      </c>
      <c r="AO2816" s="474"/>
      <c r="AP2816" s="474" t="s">
        <v>92</v>
      </c>
      <c r="AQ2816" s="474" t="s">
        <v>37</v>
      </c>
      <c r="AR2816" s="474"/>
      <c r="AS2816" s="387"/>
      <c r="AT2816" s="387"/>
      <c r="AU2816" s="471"/>
      <c r="AV2816" s="262" t="str">
        <f t="shared" si="474"/>
        <v>30390256H</v>
      </c>
      <c r="AW2816" s="262" cm="1">
        <f t="array" ref="AW2816">SUM(MID(0&amp;AV2816,LARGE(INDEX(ISNUMBER(--MID(AV2816,ROW($1:$8),1))*ROW($1:$8),),ROW($1:$8))+1,1)*10^ROW($1:$8)/10)</f>
        <v>30390256</v>
      </c>
      <c r="AX2816" s="262" t="str">
        <f>VLOOKUP($AW2816,'Item Master Data'!$A:$F,3,FALSE)</f>
        <v>T400H</v>
      </c>
      <c r="AY2816" s="262">
        <f>VLOOKUP($AW2816,'Item Master Data'!$A:$F,6,FALSE)</f>
        <v>400</v>
      </c>
      <c r="AZ2816" s="262">
        <f t="shared" si="475"/>
        <v>24</v>
      </c>
      <c r="BA2816" s="262">
        <f>VLOOKUP(AW2816,'Item Master Data'!$A:$G,7,FALSE)</f>
        <v>26</v>
      </c>
      <c r="BC2816" s="262">
        <f t="shared" si="476"/>
        <v>0</v>
      </c>
    </row>
    <row r="2817" spans="1:55">
      <c r="A2817" s="410"/>
      <c r="B2817" s="407"/>
      <c r="C2817" s="407"/>
      <c r="D2817" s="474" t="s">
        <v>1066</v>
      </c>
      <c r="E2817" s="475"/>
      <c r="F2817" s="474" t="s">
        <v>1147</v>
      </c>
      <c r="G2817" s="474">
        <v>2022</v>
      </c>
      <c r="H2817" s="474">
        <v>4</v>
      </c>
      <c r="I2817" s="485">
        <v>128123</v>
      </c>
      <c r="J2817" s="475">
        <v>44669</v>
      </c>
      <c r="K2817" s="474" t="s">
        <v>1627</v>
      </c>
      <c r="L2817" s="475" t="s">
        <v>1561</v>
      </c>
      <c r="M2817" s="475">
        <v>44468</v>
      </c>
      <c r="N2817" s="475" t="s">
        <v>1588</v>
      </c>
      <c r="O2817" s="475"/>
      <c r="P2817" s="475">
        <v>44658</v>
      </c>
      <c r="Q2817" s="475">
        <v>44669</v>
      </c>
      <c r="R2817" s="475">
        <v>44669</v>
      </c>
      <c r="S2817" s="474" t="s">
        <v>1563</v>
      </c>
      <c r="T2817" s="474">
        <v>60</v>
      </c>
      <c r="U2817" s="474" t="s">
        <v>1595</v>
      </c>
      <c r="V2817" s="474" t="s">
        <v>1574</v>
      </c>
      <c r="W2817" s="476">
        <v>400</v>
      </c>
      <c r="X2817" s="402">
        <v>624</v>
      </c>
      <c r="Y2817" s="491">
        <f t="shared" si="477"/>
        <v>249600</v>
      </c>
      <c r="Z2817" s="478">
        <v>0.48</v>
      </c>
      <c r="AA2817" s="492">
        <f t="shared" ref="AA2817:AA2842" si="478">Z2817*Y2817</f>
        <v>119808</v>
      </c>
      <c r="AB2817" s="386"/>
      <c r="AC2817" s="481">
        <v>0</v>
      </c>
      <c r="AD2817" s="474"/>
      <c r="AE2817" s="482"/>
      <c r="AF2817" s="493">
        <f t="shared" si="473"/>
        <v>119808</v>
      </c>
      <c r="AG2817" s="474" t="s">
        <v>47</v>
      </c>
      <c r="AH2817" s="447"/>
      <c r="AI2817" s="474">
        <v>75</v>
      </c>
      <c r="AJ2817" s="474" t="s">
        <v>1577</v>
      </c>
      <c r="AK2817" s="474" t="s">
        <v>50</v>
      </c>
      <c r="AL2817" s="494">
        <v>92407</v>
      </c>
      <c r="AM2817" s="474" t="s">
        <v>52</v>
      </c>
      <c r="AN2817" s="474" t="s">
        <v>50</v>
      </c>
      <c r="AO2817" s="474"/>
      <c r="AP2817" s="474" t="s">
        <v>92</v>
      </c>
      <c r="AQ2817" s="474" t="s">
        <v>37</v>
      </c>
      <c r="AR2817" s="474"/>
      <c r="AS2817" s="387"/>
      <c r="AT2817" s="387"/>
      <c r="AU2817" s="471"/>
      <c r="AV2817" s="262" t="str">
        <f t="shared" si="474"/>
        <v>30390256H</v>
      </c>
      <c r="AW2817" s="262" cm="1">
        <f t="array" ref="AW2817">SUM(MID(0&amp;AV2817,LARGE(INDEX(ISNUMBER(--MID(AV2817,ROW($1:$8),1))*ROW($1:$8),),ROW($1:$8))+1,1)*10^ROW($1:$8)/10)</f>
        <v>30390256</v>
      </c>
      <c r="AX2817" s="262" t="str">
        <f>VLOOKUP($AW2817,'Item Master Data'!$A:$F,3,FALSE)</f>
        <v>T400H</v>
      </c>
      <c r="AY2817" s="262">
        <f>VLOOKUP($AW2817,'Item Master Data'!$A:$F,6,FALSE)</f>
        <v>400</v>
      </c>
      <c r="AZ2817" s="262">
        <f t="shared" si="475"/>
        <v>24</v>
      </c>
      <c r="BA2817" s="262">
        <f>VLOOKUP(AW2817,'Item Master Data'!$A:$G,7,FALSE)</f>
        <v>26</v>
      </c>
      <c r="BC2817" s="262">
        <f t="shared" si="476"/>
        <v>0</v>
      </c>
    </row>
    <row r="2818" spans="1:55">
      <c r="A2818" s="410"/>
      <c r="B2818" s="407"/>
      <c r="C2818" s="407"/>
      <c r="D2818" s="474" t="s">
        <v>1066</v>
      </c>
      <c r="E2818" s="475"/>
      <c r="F2818" s="474" t="s">
        <v>1147</v>
      </c>
      <c r="G2818" s="474">
        <v>2022</v>
      </c>
      <c r="H2818" s="474">
        <v>4</v>
      </c>
      <c r="I2818" s="485">
        <v>128177</v>
      </c>
      <c r="J2818" s="475">
        <v>44672</v>
      </c>
      <c r="K2818" s="474" t="s">
        <v>1627</v>
      </c>
      <c r="L2818" s="475" t="s">
        <v>1561</v>
      </c>
      <c r="M2818" s="475">
        <v>44468</v>
      </c>
      <c r="N2818" s="475" t="s">
        <v>1588</v>
      </c>
      <c r="O2818" s="475"/>
      <c r="P2818" s="475">
        <v>44658</v>
      </c>
      <c r="Q2818" s="475">
        <v>44672</v>
      </c>
      <c r="R2818" s="475">
        <v>44672</v>
      </c>
      <c r="S2818" s="474" t="s">
        <v>1563</v>
      </c>
      <c r="T2818" s="474">
        <v>60</v>
      </c>
      <c r="U2818" s="474" t="s">
        <v>1595</v>
      </c>
      <c r="V2818" s="474" t="s">
        <v>1574</v>
      </c>
      <c r="W2818" s="476">
        <v>400</v>
      </c>
      <c r="X2818" s="402">
        <v>624</v>
      </c>
      <c r="Y2818" s="491">
        <f t="shared" si="477"/>
        <v>249600</v>
      </c>
      <c r="Z2818" s="478">
        <v>0.48</v>
      </c>
      <c r="AA2818" s="492">
        <f t="shared" si="478"/>
        <v>119808</v>
      </c>
      <c r="AB2818" s="386"/>
      <c r="AC2818" s="481">
        <v>0</v>
      </c>
      <c r="AD2818" s="474"/>
      <c r="AE2818" s="482"/>
      <c r="AF2818" s="493">
        <f t="shared" ref="AF2818:AF2842" si="479">AA2818+AE2818</f>
        <v>119808</v>
      </c>
      <c r="AG2818" s="474" t="s">
        <v>47</v>
      </c>
      <c r="AH2818" s="447"/>
      <c r="AI2818" s="474">
        <v>75</v>
      </c>
      <c r="AJ2818" s="474" t="s">
        <v>1577</v>
      </c>
      <c r="AK2818" s="474" t="s">
        <v>50</v>
      </c>
      <c r="AL2818" s="494">
        <v>92407</v>
      </c>
      <c r="AM2818" s="474" t="s">
        <v>52</v>
      </c>
      <c r="AN2818" s="474" t="s">
        <v>50</v>
      </c>
      <c r="AO2818" s="474"/>
      <c r="AP2818" s="474" t="s">
        <v>92</v>
      </c>
      <c r="AQ2818" s="474" t="s">
        <v>37</v>
      </c>
      <c r="AR2818" s="474"/>
      <c r="AS2818" s="387"/>
      <c r="AT2818" s="387"/>
      <c r="AU2818" s="471"/>
      <c r="AV2818" s="262" t="str">
        <f t="shared" si="474"/>
        <v>30390256H</v>
      </c>
      <c r="AW2818" s="262" cm="1">
        <f t="array" ref="AW2818">SUM(MID(0&amp;AV2818,LARGE(INDEX(ISNUMBER(--MID(AV2818,ROW($1:$8),1))*ROW($1:$8),),ROW($1:$8))+1,1)*10^ROW($1:$8)/10)</f>
        <v>30390256</v>
      </c>
      <c r="AX2818" s="262" t="str">
        <f>VLOOKUP($AW2818,'Item Master Data'!$A:$F,3,FALSE)</f>
        <v>T400H</v>
      </c>
      <c r="AY2818" s="262">
        <f>VLOOKUP($AW2818,'Item Master Data'!$A:$F,6,FALSE)</f>
        <v>400</v>
      </c>
      <c r="AZ2818" s="262">
        <f t="shared" si="475"/>
        <v>24</v>
      </c>
      <c r="BA2818" s="262">
        <f>VLOOKUP(AW2818,'Item Master Data'!$A:$G,7,FALSE)</f>
        <v>26</v>
      </c>
      <c r="BC2818" s="262">
        <f t="shared" si="476"/>
        <v>0</v>
      </c>
    </row>
    <row r="2819" spans="1:55">
      <c r="A2819" s="410"/>
      <c r="B2819" s="407"/>
      <c r="C2819" s="407"/>
      <c r="D2819" s="474" t="s">
        <v>1066</v>
      </c>
      <c r="E2819" s="475"/>
      <c r="F2819" s="474" t="s">
        <v>1147</v>
      </c>
      <c r="G2819" s="474">
        <v>2022</v>
      </c>
      <c r="H2819" s="474">
        <v>4</v>
      </c>
      <c r="I2819" s="485">
        <v>128178</v>
      </c>
      <c r="J2819" s="475">
        <v>44672</v>
      </c>
      <c r="K2819" s="474" t="s">
        <v>1627</v>
      </c>
      <c r="L2819" s="475" t="s">
        <v>1561</v>
      </c>
      <c r="M2819" s="475">
        <v>44468</v>
      </c>
      <c r="N2819" s="475" t="s">
        <v>1588</v>
      </c>
      <c r="O2819" s="475"/>
      <c r="P2819" s="475">
        <v>44658</v>
      </c>
      <c r="Q2819" s="475">
        <v>44672</v>
      </c>
      <c r="R2819" s="475">
        <v>44672</v>
      </c>
      <c r="S2819" s="474" t="s">
        <v>1563</v>
      </c>
      <c r="T2819" s="474">
        <v>60</v>
      </c>
      <c r="U2819" s="474" t="s">
        <v>1595</v>
      </c>
      <c r="V2819" s="474" t="s">
        <v>1574</v>
      </c>
      <c r="W2819" s="476">
        <v>400</v>
      </c>
      <c r="X2819" s="402">
        <v>624</v>
      </c>
      <c r="Y2819" s="491">
        <f t="shared" si="477"/>
        <v>249600</v>
      </c>
      <c r="Z2819" s="478">
        <v>0.48</v>
      </c>
      <c r="AA2819" s="492">
        <f t="shared" si="478"/>
        <v>119808</v>
      </c>
      <c r="AB2819" s="386"/>
      <c r="AC2819" s="481">
        <v>0</v>
      </c>
      <c r="AD2819" s="474"/>
      <c r="AE2819" s="482"/>
      <c r="AF2819" s="493">
        <f t="shared" si="479"/>
        <v>119808</v>
      </c>
      <c r="AG2819" s="474" t="s">
        <v>47</v>
      </c>
      <c r="AH2819" s="447"/>
      <c r="AI2819" s="474">
        <v>75</v>
      </c>
      <c r="AJ2819" s="474" t="s">
        <v>1577</v>
      </c>
      <c r="AK2819" s="474" t="s">
        <v>50</v>
      </c>
      <c r="AL2819" s="494">
        <v>92407</v>
      </c>
      <c r="AM2819" s="474" t="s">
        <v>52</v>
      </c>
      <c r="AN2819" s="474" t="s">
        <v>50</v>
      </c>
      <c r="AO2819" s="474"/>
      <c r="AP2819" s="474" t="s">
        <v>92</v>
      </c>
      <c r="AQ2819" s="474" t="s">
        <v>37</v>
      </c>
      <c r="AR2819" s="474"/>
      <c r="AS2819" s="387"/>
      <c r="AT2819" s="387"/>
      <c r="AU2819" s="471"/>
      <c r="AV2819" s="262" t="str">
        <f t="shared" si="474"/>
        <v>30390256H</v>
      </c>
      <c r="AW2819" s="262" cm="1">
        <f t="array" ref="AW2819">SUM(MID(0&amp;AV2819,LARGE(INDEX(ISNUMBER(--MID(AV2819,ROW($1:$8),1))*ROW($1:$8),),ROW($1:$8))+1,1)*10^ROW($1:$8)/10)</f>
        <v>30390256</v>
      </c>
      <c r="AX2819" s="262" t="str">
        <f>VLOOKUP($AW2819,'Item Master Data'!$A:$F,3,FALSE)</f>
        <v>T400H</v>
      </c>
      <c r="AY2819" s="262">
        <f>VLOOKUP($AW2819,'Item Master Data'!$A:$F,6,FALSE)</f>
        <v>400</v>
      </c>
      <c r="AZ2819" s="262">
        <f t="shared" si="475"/>
        <v>24</v>
      </c>
      <c r="BA2819" s="262">
        <f>VLOOKUP(AW2819,'Item Master Data'!$A:$G,7,FALSE)</f>
        <v>26</v>
      </c>
      <c r="BC2819" s="262">
        <f t="shared" si="476"/>
        <v>0</v>
      </c>
    </row>
    <row r="2820" spans="1:55">
      <c r="A2820" s="410"/>
      <c r="B2820" s="407"/>
      <c r="C2820" s="407"/>
      <c r="D2820" s="474" t="s">
        <v>1066</v>
      </c>
      <c r="E2820" s="475" t="s">
        <v>5599</v>
      </c>
      <c r="F2820" s="474" t="s">
        <v>1147</v>
      </c>
      <c r="G2820" s="474">
        <v>2022</v>
      </c>
      <c r="H2820" s="474">
        <v>4</v>
      </c>
      <c r="I2820" s="485"/>
      <c r="J2820" s="475">
        <v>44672</v>
      </c>
      <c r="K2820" s="474" t="s">
        <v>1627</v>
      </c>
      <c r="L2820" s="475" t="s">
        <v>1561</v>
      </c>
      <c r="M2820" s="475">
        <v>44468</v>
      </c>
      <c r="N2820" s="475" t="s">
        <v>1588</v>
      </c>
      <c r="O2820" s="475"/>
      <c r="P2820" s="475">
        <v>44658</v>
      </c>
      <c r="Q2820" s="475">
        <v>44672</v>
      </c>
      <c r="R2820" s="475">
        <v>44672</v>
      </c>
      <c r="S2820" s="474" t="s">
        <v>1563</v>
      </c>
      <c r="T2820" s="474">
        <v>60</v>
      </c>
      <c r="U2820" s="474" t="s">
        <v>1595</v>
      </c>
      <c r="V2820" s="474" t="s">
        <v>1574</v>
      </c>
      <c r="W2820" s="476">
        <v>400</v>
      </c>
      <c r="X2820" s="402">
        <v>624</v>
      </c>
      <c r="Y2820" s="491">
        <f t="shared" si="477"/>
        <v>249600</v>
      </c>
      <c r="Z2820" s="478">
        <v>0.48</v>
      </c>
      <c r="AA2820" s="492">
        <f t="shared" si="478"/>
        <v>119808</v>
      </c>
      <c r="AB2820" s="386"/>
      <c r="AC2820" s="481">
        <v>0</v>
      </c>
      <c r="AD2820" s="474"/>
      <c r="AE2820" s="482"/>
      <c r="AF2820" s="493">
        <f t="shared" si="479"/>
        <v>119808</v>
      </c>
      <c r="AG2820" s="474" t="s">
        <v>47</v>
      </c>
      <c r="AH2820" s="447"/>
      <c r="AI2820" s="474">
        <v>75</v>
      </c>
      <c r="AJ2820" s="474" t="s">
        <v>1577</v>
      </c>
      <c r="AK2820" s="474" t="s">
        <v>50</v>
      </c>
      <c r="AL2820" s="494">
        <v>92407</v>
      </c>
      <c r="AM2820" s="474" t="s">
        <v>52</v>
      </c>
      <c r="AN2820" s="474" t="s">
        <v>50</v>
      </c>
      <c r="AO2820" s="474"/>
      <c r="AP2820" s="474" t="s">
        <v>92</v>
      </c>
      <c r="AQ2820" s="474" t="s">
        <v>37</v>
      </c>
      <c r="AR2820" s="474"/>
      <c r="AS2820" s="387"/>
      <c r="AT2820" s="387"/>
      <c r="AU2820" s="471"/>
      <c r="AV2820" s="262" t="str">
        <f t="shared" si="474"/>
        <v>30390256H</v>
      </c>
      <c r="AW2820" s="262" cm="1">
        <f t="array" ref="AW2820">SUM(MID(0&amp;AV2820,LARGE(INDEX(ISNUMBER(--MID(AV2820,ROW($1:$8),1))*ROW($1:$8),),ROW($1:$8))+1,1)*10^ROW($1:$8)/10)</f>
        <v>30390256</v>
      </c>
      <c r="AX2820" s="262" t="str">
        <f>VLOOKUP($AW2820,'Item Master Data'!$A:$F,3,FALSE)</f>
        <v>T400H</v>
      </c>
      <c r="AY2820" s="262">
        <f>VLOOKUP($AW2820,'Item Master Data'!$A:$F,6,FALSE)</f>
        <v>400</v>
      </c>
      <c r="AZ2820" s="262">
        <f t="shared" si="475"/>
        <v>24</v>
      </c>
      <c r="BA2820" s="262">
        <f>VLOOKUP(AW2820,'Item Master Data'!$A:$G,7,FALSE)</f>
        <v>26</v>
      </c>
      <c r="BC2820" s="262">
        <f t="shared" si="476"/>
        <v>0</v>
      </c>
    </row>
    <row r="2821" spans="1:55">
      <c r="A2821" s="410"/>
      <c r="B2821" s="407"/>
      <c r="C2821" s="407"/>
      <c r="D2821" s="474" t="s">
        <v>1066</v>
      </c>
      <c r="E2821" s="475"/>
      <c r="F2821" s="474" t="s">
        <v>1147</v>
      </c>
      <c r="G2821" s="474">
        <v>2022</v>
      </c>
      <c r="H2821" s="474">
        <v>4</v>
      </c>
      <c r="I2821" s="485">
        <v>128176</v>
      </c>
      <c r="J2821" s="475">
        <v>44673</v>
      </c>
      <c r="K2821" s="474" t="s">
        <v>1627</v>
      </c>
      <c r="L2821" s="475" t="s">
        <v>1561</v>
      </c>
      <c r="M2821" s="475">
        <v>44468</v>
      </c>
      <c r="N2821" s="475" t="s">
        <v>1588</v>
      </c>
      <c r="O2821" s="475"/>
      <c r="P2821" s="475">
        <v>44658</v>
      </c>
      <c r="Q2821" s="475">
        <v>44673</v>
      </c>
      <c r="R2821" s="475">
        <v>44673</v>
      </c>
      <c r="S2821" s="474" t="s">
        <v>1563</v>
      </c>
      <c r="T2821" s="474">
        <v>60</v>
      </c>
      <c r="U2821" s="474" t="s">
        <v>1595</v>
      </c>
      <c r="V2821" s="474" t="s">
        <v>1574</v>
      </c>
      <c r="W2821" s="476">
        <v>400</v>
      </c>
      <c r="X2821" s="402">
        <v>624</v>
      </c>
      <c r="Y2821" s="491">
        <f t="shared" si="477"/>
        <v>249600</v>
      </c>
      <c r="Z2821" s="478">
        <v>0.48</v>
      </c>
      <c r="AA2821" s="492">
        <f t="shared" si="478"/>
        <v>119808</v>
      </c>
      <c r="AB2821" s="386"/>
      <c r="AC2821" s="481">
        <v>0</v>
      </c>
      <c r="AD2821" s="474"/>
      <c r="AE2821" s="482"/>
      <c r="AF2821" s="493">
        <f t="shared" si="479"/>
        <v>119808</v>
      </c>
      <c r="AG2821" s="474" t="s">
        <v>47</v>
      </c>
      <c r="AH2821" s="447"/>
      <c r="AI2821" s="474">
        <v>75</v>
      </c>
      <c r="AJ2821" s="474" t="s">
        <v>1577</v>
      </c>
      <c r="AK2821" s="474" t="s">
        <v>50</v>
      </c>
      <c r="AL2821" s="494">
        <v>92407</v>
      </c>
      <c r="AM2821" s="474" t="s">
        <v>52</v>
      </c>
      <c r="AN2821" s="474" t="s">
        <v>50</v>
      </c>
      <c r="AO2821" s="474"/>
      <c r="AP2821" s="474" t="s">
        <v>92</v>
      </c>
      <c r="AQ2821" s="474" t="s">
        <v>37</v>
      </c>
      <c r="AR2821" s="474"/>
      <c r="AS2821" s="387"/>
      <c r="AT2821" s="387"/>
      <c r="AU2821" s="471"/>
      <c r="AV2821" s="262" t="str">
        <f t="shared" si="474"/>
        <v>30390256H</v>
      </c>
      <c r="AW2821" s="262" cm="1">
        <f t="array" ref="AW2821">SUM(MID(0&amp;AV2821,LARGE(INDEX(ISNUMBER(--MID(AV2821,ROW($1:$8),1))*ROW($1:$8),),ROW($1:$8))+1,1)*10^ROW($1:$8)/10)</f>
        <v>30390256</v>
      </c>
      <c r="AX2821" s="262" t="str">
        <f>VLOOKUP($AW2821,'Item Master Data'!$A:$F,3,FALSE)</f>
        <v>T400H</v>
      </c>
      <c r="AY2821" s="262">
        <f>VLOOKUP($AW2821,'Item Master Data'!$A:$F,6,FALSE)</f>
        <v>400</v>
      </c>
      <c r="AZ2821" s="262">
        <f t="shared" si="475"/>
        <v>24</v>
      </c>
      <c r="BA2821" s="262">
        <f>VLOOKUP(AW2821,'Item Master Data'!$A:$G,7,FALSE)</f>
        <v>26</v>
      </c>
      <c r="BC2821" s="262">
        <f t="shared" si="476"/>
        <v>0</v>
      </c>
    </row>
    <row r="2822" spans="1:55">
      <c r="A2822" s="410"/>
      <c r="B2822" s="407"/>
      <c r="C2822" s="407"/>
      <c r="D2822" s="474" t="s">
        <v>1066</v>
      </c>
      <c r="E2822" s="475"/>
      <c r="F2822" s="474" t="s">
        <v>1147</v>
      </c>
      <c r="G2822" s="474">
        <v>2022</v>
      </c>
      <c r="H2822" s="474">
        <v>4</v>
      </c>
      <c r="I2822" s="485">
        <v>128175</v>
      </c>
      <c r="J2822" s="475">
        <v>44673</v>
      </c>
      <c r="K2822" s="474" t="s">
        <v>1627</v>
      </c>
      <c r="L2822" s="475" t="s">
        <v>1561</v>
      </c>
      <c r="M2822" s="475">
        <v>44468</v>
      </c>
      <c r="N2822" s="475" t="s">
        <v>1588</v>
      </c>
      <c r="O2822" s="475"/>
      <c r="P2822" s="475">
        <v>44658</v>
      </c>
      <c r="Q2822" s="475">
        <v>44673</v>
      </c>
      <c r="R2822" s="475">
        <v>44673</v>
      </c>
      <c r="S2822" s="474" t="s">
        <v>1563</v>
      </c>
      <c r="T2822" s="474">
        <v>60</v>
      </c>
      <c r="U2822" s="474" t="s">
        <v>1595</v>
      </c>
      <c r="V2822" s="474" t="s">
        <v>1574</v>
      </c>
      <c r="W2822" s="476">
        <v>400</v>
      </c>
      <c r="X2822" s="402">
        <v>624</v>
      </c>
      <c r="Y2822" s="491">
        <f t="shared" si="477"/>
        <v>249600</v>
      </c>
      <c r="Z2822" s="478">
        <v>0.48</v>
      </c>
      <c r="AA2822" s="492">
        <f t="shared" si="478"/>
        <v>119808</v>
      </c>
      <c r="AB2822" s="386"/>
      <c r="AC2822" s="481">
        <v>0</v>
      </c>
      <c r="AD2822" s="474"/>
      <c r="AE2822" s="482"/>
      <c r="AF2822" s="493">
        <f t="shared" si="479"/>
        <v>119808</v>
      </c>
      <c r="AG2822" s="474" t="s">
        <v>47</v>
      </c>
      <c r="AH2822" s="447"/>
      <c r="AI2822" s="474">
        <v>75</v>
      </c>
      <c r="AJ2822" s="474" t="s">
        <v>1577</v>
      </c>
      <c r="AK2822" s="474" t="s">
        <v>50</v>
      </c>
      <c r="AL2822" s="494">
        <v>92407</v>
      </c>
      <c r="AM2822" s="474" t="s">
        <v>52</v>
      </c>
      <c r="AN2822" s="474" t="s">
        <v>50</v>
      </c>
      <c r="AO2822" s="474"/>
      <c r="AP2822" s="474" t="s">
        <v>92</v>
      </c>
      <c r="AQ2822" s="474" t="s">
        <v>37</v>
      </c>
      <c r="AR2822" s="474"/>
      <c r="AS2822" s="387"/>
      <c r="AT2822" s="387"/>
      <c r="AU2822" s="471"/>
      <c r="AV2822" s="262" t="str">
        <f t="shared" si="474"/>
        <v>30390256H</v>
      </c>
      <c r="AW2822" s="262" cm="1">
        <f t="array" ref="AW2822">SUM(MID(0&amp;AV2822,LARGE(INDEX(ISNUMBER(--MID(AV2822,ROW($1:$8),1))*ROW($1:$8),),ROW($1:$8))+1,1)*10^ROW($1:$8)/10)</f>
        <v>30390256</v>
      </c>
      <c r="AX2822" s="262" t="str">
        <f>VLOOKUP($AW2822,'Item Master Data'!$A:$F,3,FALSE)</f>
        <v>T400H</v>
      </c>
      <c r="AY2822" s="262">
        <f>VLOOKUP($AW2822,'Item Master Data'!$A:$F,6,FALSE)</f>
        <v>400</v>
      </c>
      <c r="AZ2822" s="262">
        <f t="shared" si="475"/>
        <v>24</v>
      </c>
      <c r="BA2822" s="262">
        <f>VLOOKUP(AW2822,'Item Master Data'!$A:$G,7,FALSE)</f>
        <v>26</v>
      </c>
      <c r="BC2822" s="262">
        <f t="shared" si="476"/>
        <v>0</v>
      </c>
    </row>
    <row r="2823" spans="1:55">
      <c r="A2823" s="410"/>
      <c r="B2823" s="407"/>
      <c r="C2823" s="407"/>
      <c r="D2823" s="474" t="s">
        <v>1066</v>
      </c>
      <c r="E2823" s="388"/>
      <c r="F2823" s="474" t="s">
        <v>1147</v>
      </c>
      <c r="G2823" s="474">
        <v>2022</v>
      </c>
      <c r="H2823" s="474">
        <v>5</v>
      </c>
      <c r="I2823" s="485"/>
      <c r="J2823" s="475"/>
      <c r="K2823" s="474" t="s">
        <v>1629</v>
      </c>
      <c r="L2823" s="475" t="s">
        <v>1561</v>
      </c>
      <c r="M2823" s="475">
        <v>44468</v>
      </c>
      <c r="N2823" s="475" t="s">
        <v>1588</v>
      </c>
      <c r="O2823" s="475"/>
      <c r="P2823" s="475">
        <v>44658</v>
      </c>
      <c r="Q2823" s="475"/>
      <c r="R2823" s="475"/>
      <c r="S2823" s="474" t="s">
        <v>1563</v>
      </c>
      <c r="T2823" s="474">
        <v>60</v>
      </c>
      <c r="U2823" s="474" t="s">
        <v>1630</v>
      </c>
      <c r="V2823" s="474" t="s">
        <v>1574</v>
      </c>
      <c r="W2823" s="476">
        <v>400</v>
      </c>
      <c r="X2823" s="402">
        <f>4992-624-624-624</f>
        <v>3120</v>
      </c>
      <c r="Y2823" s="491">
        <f t="shared" si="477"/>
        <v>1248000</v>
      </c>
      <c r="Z2823" s="478">
        <v>0.48</v>
      </c>
      <c r="AA2823" s="492">
        <f t="shared" si="478"/>
        <v>599040</v>
      </c>
      <c r="AB2823" s="386"/>
      <c r="AC2823" s="481">
        <v>0</v>
      </c>
      <c r="AD2823" s="474"/>
      <c r="AE2823" s="482"/>
      <c r="AF2823" s="493">
        <f t="shared" si="479"/>
        <v>599040</v>
      </c>
      <c r="AG2823" s="474" t="s">
        <v>47</v>
      </c>
      <c r="AH2823" s="447"/>
      <c r="AI2823" s="474">
        <v>75</v>
      </c>
      <c r="AJ2823" s="474" t="s">
        <v>1580</v>
      </c>
      <c r="AK2823" s="474" t="s">
        <v>1073</v>
      </c>
      <c r="AL2823" s="494">
        <v>21075</v>
      </c>
      <c r="AM2823" s="474" t="s">
        <v>52</v>
      </c>
      <c r="AN2823" s="474" t="s">
        <v>50</v>
      </c>
      <c r="AO2823" s="474"/>
      <c r="AP2823" s="474" t="s">
        <v>92</v>
      </c>
      <c r="AQ2823" s="474" t="s">
        <v>37</v>
      </c>
      <c r="AR2823" s="474"/>
      <c r="AS2823" s="387"/>
      <c r="AT2823" s="387"/>
      <c r="AU2823" s="471"/>
      <c r="AV2823" s="262" t="str">
        <f t="shared" si="474"/>
        <v>30390256F</v>
      </c>
      <c r="AW2823" s="262" cm="1">
        <f t="array" ref="AW2823">SUM(MID(0&amp;AV2823,LARGE(INDEX(ISNUMBER(--MID(AV2823,ROW($1:$8),1))*ROW($1:$8),),ROW($1:$8))+1,1)*10^ROW($1:$8)/10)</f>
        <v>30390256</v>
      </c>
      <c r="AX2823" s="262" t="str">
        <f>VLOOKUP($AW2823,'Item Master Data'!$A:$F,3,FALSE)</f>
        <v>T400H</v>
      </c>
      <c r="AY2823" s="262">
        <f>VLOOKUP($AW2823,'Item Master Data'!$A:$F,6,FALSE)</f>
        <v>400</v>
      </c>
      <c r="AZ2823" s="262">
        <f t="shared" si="475"/>
        <v>120</v>
      </c>
      <c r="BA2823" s="262">
        <f>VLOOKUP(AW2823,'Item Master Data'!$A:$G,7,FALSE)</f>
        <v>26</v>
      </c>
      <c r="BC2823" s="262">
        <f t="shared" si="476"/>
        <v>0</v>
      </c>
    </row>
    <row r="2824" spans="1:55">
      <c r="A2824" s="410"/>
      <c r="B2824" s="407"/>
      <c r="C2824" s="407"/>
      <c r="D2824" s="474" t="s">
        <v>1066</v>
      </c>
      <c r="E2824" s="388"/>
      <c r="F2824" s="474" t="s">
        <v>1147</v>
      </c>
      <c r="G2824" s="474">
        <v>2022</v>
      </c>
      <c r="H2824" s="474">
        <v>5</v>
      </c>
      <c r="I2824" s="485"/>
      <c r="J2824" s="475" t="s">
        <v>5668</v>
      </c>
      <c r="K2824" s="474" t="s">
        <v>5669</v>
      </c>
      <c r="L2824" s="475" t="s">
        <v>1561</v>
      </c>
      <c r="M2824" s="475">
        <v>44468</v>
      </c>
      <c r="N2824" s="475" t="s">
        <v>1631</v>
      </c>
      <c r="O2824" s="475"/>
      <c r="P2824" s="475">
        <v>44678</v>
      </c>
      <c r="Q2824" s="475"/>
      <c r="R2824" s="475"/>
      <c r="S2824" s="474" t="s">
        <v>1563</v>
      </c>
      <c r="T2824" s="474">
        <v>60</v>
      </c>
      <c r="U2824" s="474" t="s">
        <v>1595</v>
      </c>
      <c r="V2824" s="474" t="s">
        <v>1574</v>
      </c>
      <c r="W2824" s="476">
        <v>400</v>
      </c>
      <c r="X2824" s="402">
        <f>33072-624-624-624-1248</f>
        <v>29952</v>
      </c>
      <c r="Y2824" s="491">
        <f t="shared" si="477"/>
        <v>11980800</v>
      </c>
      <c r="Z2824" s="478">
        <v>0.48</v>
      </c>
      <c r="AA2824" s="492">
        <f t="shared" si="478"/>
        <v>5750784</v>
      </c>
      <c r="AB2824" s="386"/>
      <c r="AC2824" s="481">
        <v>0</v>
      </c>
      <c r="AD2824" s="474"/>
      <c r="AE2824" s="482"/>
      <c r="AF2824" s="493">
        <f t="shared" si="479"/>
        <v>5750784</v>
      </c>
      <c r="AG2824" s="474" t="s">
        <v>47</v>
      </c>
      <c r="AH2824" s="447"/>
      <c r="AI2824" s="474">
        <v>75</v>
      </c>
      <c r="AJ2824" s="474" t="s">
        <v>1580</v>
      </c>
      <c r="AK2824" s="474" t="s">
        <v>1073</v>
      </c>
      <c r="AL2824" s="494">
        <v>21075</v>
      </c>
      <c r="AM2824" s="474" t="s">
        <v>52</v>
      </c>
      <c r="AN2824" s="474" t="s">
        <v>50</v>
      </c>
      <c r="AO2824" s="474"/>
      <c r="AP2824" s="474" t="s">
        <v>92</v>
      </c>
      <c r="AQ2824" s="474" t="s">
        <v>37</v>
      </c>
      <c r="AR2824" s="474"/>
      <c r="AS2824" s="387"/>
      <c r="AT2824" s="387"/>
      <c r="AU2824" s="471"/>
      <c r="AV2824" s="262" t="str">
        <f t="shared" si="474"/>
        <v>30390256H</v>
      </c>
      <c r="AW2824" s="262" cm="1">
        <f t="array" ref="AW2824">SUM(MID(0&amp;AV2824,LARGE(INDEX(ISNUMBER(--MID(AV2824,ROW($1:$8),1))*ROW($1:$8),),ROW($1:$8))+1,1)*10^ROW($1:$8)/10)</f>
        <v>30390256</v>
      </c>
      <c r="AX2824" s="262" t="str">
        <f>VLOOKUP($AW2824,'Item Master Data'!$A:$F,3,FALSE)</f>
        <v>T400H</v>
      </c>
      <c r="AY2824" s="262">
        <f>VLOOKUP($AW2824,'Item Master Data'!$A:$F,6,FALSE)</f>
        <v>400</v>
      </c>
      <c r="AZ2824" s="262">
        <f t="shared" si="475"/>
        <v>1152</v>
      </c>
      <c r="BA2824" s="262">
        <f>VLOOKUP(AW2824,'Item Master Data'!$A:$G,7,FALSE)</f>
        <v>26</v>
      </c>
      <c r="BC2824" s="262">
        <f t="shared" si="476"/>
        <v>0</v>
      </c>
    </row>
    <row r="2825" spans="1:55">
      <c r="A2825" s="410"/>
      <c r="B2825" s="407"/>
      <c r="C2825" s="407"/>
      <c r="D2825" s="474" t="s">
        <v>1066</v>
      </c>
      <c r="E2825" s="388"/>
      <c r="F2825" s="474" t="s">
        <v>1147</v>
      </c>
      <c r="G2825" s="474">
        <v>2022</v>
      </c>
      <c r="H2825" s="474">
        <v>5</v>
      </c>
      <c r="I2825" s="485"/>
      <c r="J2825" s="475" t="s">
        <v>5668</v>
      </c>
      <c r="K2825" s="474" t="s">
        <v>5669</v>
      </c>
      <c r="L2825" s="475" t="s">
        <v>1561</v>
      </c>
      <c r="M2825" s="475">
        <v>44468</v>
      </c>
      <c r="N2825" s="475" t="s">
        <v>1631</v>
      </c>
      <c r="O2825" s="475"/>
      <c r="P2825" s="475">
        <v>44678</v>
      </c>
      <c r="Q2825" s="475"/>
      <c r="R2825" s="475"/>
      <c r="S2825" s="474" t="s">
        <v>1563</v>
      </c>
      <c r="T2825" s="474">
        <v>60</v>
      </c>
      <c r="U2825" s="474" t="s">
        <v>1595</v>
      </c>
      <c r="V2825" s="474" t="s">
        <v>1574</v>
      </c>
      <c r="W2825" s="476">
        <v>400</v>
      </c>
      <c r="X2825" s="402">
        <v>1248</v>
      </c>
      <c r="Y2825" s="491">
        <f t="shared" si="477"/>
        <v>499200</v>
      </c>
      <c r="Z2825" s="478">
        <v>0.48</v>
      </c>
      <c r="AA2825" s="492">
        <f t="shared" si="478"/>
        <v>239616</v>
      </c>
      <c r="AB2825" s="386"/>
      <c r="AC2825" s="481">
        <v>0</v>
      </c>
      <c r="AD2825" s="474"/>
      <c r="AE2825" s="482"/>
      <c r="AF2825" s="493">
        <f t="shared" si="479"/>
        <v>239616</v>
      </c>
      <c r="AG2825" s="474" t="s">
        <v>47</v>
      </c>
      <c r="AH2825" s="447"/>
      <c r="AI2825" s="474">
        <v>75</v>
      </c>
      <c r="AJ2825" s="474" t="s">
        <v>1580</v>
      </c>
      <c r="AK2825" s="474" t="s">
        <v>1073</v>
      </c>
      <c r="AL2825" s="494">
        <v>21075</v>
      </c>
      <c r="AM2825" s="474" t="s">
        <v>52</v>
      </c>
      <c r="AN2825" s="474" t="s">
        <v>50</v>
      </c>
      <c r="AO2825" s="474"/>
      <c r="AP2825" s="474" t="s">
        <v>92</v>
      </c>
      <c r="AQ2825" s="474" t="s">
        <v>37</v>
      </c>
      <c r="AR2825" s="474"/>
      <c r="AS2825" s="387"/>
      <c r="AT2825" s="387"/>
      <c r="AU2825" s="471"/>
      <c r="AV2825" s="262" t="str">
        <f t="shared" si="474"/>
        <v>30390256H</v>
      </c>
      <c r="AW2825" s="262" cm="1">
        <f t="array" ref="AW2825">SUM(MID(0&amp;AV2825,LARGE(INDEX(ISNUMBER(--MID(AV2825,ROW($1:$8),1))*ROW($1:$8),),ROW($1:$8))+1,1)*10^ROW($1:$8)/10)</f>
        <v>30390256</v>
      </c>
      <c r="AX2825" s="262" t="str">
        <f>VLOOKUP($AW2825,'Item Master Data'!$A:$F,3,FALSE)</f>
        <v>T400H</v>
      </c>
      <c r="AY2825" s="262">
        <f>VLOOKUP($AW2825,'Item Master Data'!$A:$F,6,FALSE)</f>
        <v>400</v>
      </c>
      <c r="AZ2825" s="262">
        <f t="shared" si="475"/>
        <v>48</v>
      </c>
      <c r="BA2825" s="262">
        <f>VLOOKUP(AW2825,'Item Master Data'!$A:$G,7,FALSE)</f>
        <v>26</v>
      </c>
      <c r="BC2825" s="262">
        <f t="shared" si="476"/>
        <v>0</v>
      </c>
    </row>
    <row r="2826" spans="1:55">
      <c r="A2826" s="410"/>
      <c r="B2826" s="407"/>
      <c r="C2826" s="407"/>
      <c r="D2826" s="474" t="s">
        <v>1066</v>
      </c>
      <c r="E2826" s="475"/>
      <c r="F2826" s="474" t="s">
        <v>1147</v>
      </c>
      <c r="G2826" s="474">
        <v>2022</v>
      </c>
      <c r="H2826" s="474">
        <v>4</v>
      </c>
      <c r="I2826" s="485"/>
      <c r="J2826" s="475"/>
      <c r="K2826" s="474" t="s">
        <v>1627</v>
      </c>
      <c r="L2826" s="475" t="s">
        <v>1561</v>
      </c>
      <c r="M2826" s="475">
        <v>44468</v>
      </c>
      <c r="N2826" s="475" t="s">
        <v>1588</v>
      </c>
      <c r="O2826" s="475"/>
      <c r="P2826" s="475">
        <v>44658</v>
      </c>
      <c r="Q2826" s="475">
        <v>44680</v>
      </c>
      <c r="R2826" s="475">
        <v>44680</v>
      </c>
      <c r="S2826" s="474" t="s">
        <v>1563</v>
      </c>
      <c r="T2826" s="474">
        <v>60</v>
      </c>
      <c r="U2826" s="474" t="s">
        <v>1595</v>
      </c>
      <c r="V2826" s="474" t="s">
        <v>1574</v>
      </c>
      <c r="W2826" s="476">
        <v>400</v>
      </c>
      <c r="X2826" s="402">
        <v>624</v>
      </c>
      <c r="Y2826" s="491">
        <f t="shared" si="477"/>
        <v>249600</v>
      </c>
      <c r="Z2826" s="478">
        <v>0.48</v>
      </c>
      <c r="AA2826" s="492">
        <f t="shared" si="478"/>
        <v>119808</v>
      </c>
      <c r="AB2826" s="386"/>
      <c r="AC2826" s="481">
        <v>0</v>
      </c>
      <c r="AD2826" s="474"/>
      <c r="AE2826" s="482"/>
      <c r="AF2826" s="493">
        <f t="shared" si="479"/>
        <v>119808</v>
      </c>
      <c r="AG2826" s="474" t="s">
        <v>47</v>
      </c>
      <c r="AH2826" s="447"/>
      <c r="AI2826" s="474">
        <v>75</v>
      </c>
      <c r="AJ2826" s="474" t="s">
        <v>1577</v>
      </c>
      <c r="AK2826" s="474" t="s">
        <v>50</v>
      </c>
      <c r="AL2826" s="494">
        <v>92407</v>
      </c>
      <c r="AM2826" s="474" t="s">
        <v>52</v>
      </c>
      <c r="AN2826" s="474" t="s">
        <v>50</v>
      </c>
      <c r="AO2826" s="474"/>
      <c r="AP2826" s="474" t="s">
        <v>92</v>
      </c>
      <c r="AQ2826" s="474" t="s">
        <v>37</v>
      </c>
      <c r="AR2826" s="474"/>
      <c r="AS2826" s="387"/>
      <c r="AT2826" s="387"/>
      <c r="AU2826" s="471"/>
      <c r="AV2826" s="262" t="str">
        <f t="shared" si="474"/>
        <v>30390256H</v>
      </c>
      <c r="AW2826" s="262" cm="1">
        <f t="array" ref="AW2826">SUM(MID(0&amp;AV2826,LARGE(INDEX(ISNUMBER(--MID(AV2826,ROW($1:$8),1))*ROW($1:$8),),ROW($1:$8))+1,1)*10^ROW($1:$8)/10)</f>
        <v>30390256</v>
      </c>
      <c r="AX2826" s="262" t="str">
        <f>VLOOKUP($AW2826,'Item Master Data'!$A:$F,3,FALSE)</f>
        <v>T400H</v>
      </c>
      <c r="AY2826" s="262">
        <f>VLOOKUP($AW2826,'Item Master Data'!$A:$F,6,FALSE)</f>
        <v>400</v>
      </c>
      <c r="AZ2826" s="262">
        <f t="shared" si="475"/>
        <v>24</v>
      </c>
      <c r="BA2826" s="262">
        <f>VLOOKUP(AW2826,'Item Master Data'!$A:$G,7,FALSE)</f>
        <v>26</v>
      </c>
      <c r="BC2826" s="262">
        <f t="shared" si="476"/>
        <v>0</v>
      </c>
    </row>
    <row r="2827" spans="1:55">
      <c r="A2827" s="410"/>
      <c r="B2827" s="407"/>
      <c r="C2827" s="407"/>
      <c r="D2827" s="474" t="s">
        <v>1066</v>
      </c>
      <c r="E2827" s="475"/>
      <c r="F2827" s="474" t="s">
        <v>1147</v>
      </c>
      <c r="G2827" s="474">
        <v>2022</v>
      </c>
      <c r="H2827" s="474">
        <v>4</v>
      </c>
      <c r="I2827" s="485"/>
      <c r="J2827" s="475"/>
      <c r="K2827" s="474" t="s">
        <v>1627</v>
      </c>
      <c r="L2827" s="475" t="s">
        <v>1561</v>
      </c>
      <c r="M2827" s="475">
        <v>44468</v>
      </c>
      <c r="N2827" s="475" t="s">
        <v>1588</v>
      </c>
      <c r="O2827" s="475"/>
      <c r="P2827" s="475">
        <v>44658</v>
      </c>
      <c r="Q2827" s="475">
        <v>44680</v>
      </c>
      <c r="R2827" s="475">
        <v>44680</v>
      </c>
      <c r="S2827" s="474" t="s">
        <v>1563</v>
      </c>
      <c r="T2827" s="474">
        <v>60</v>
      </c>
      <c r="U2827" s="474" t="s">
        <v>1595</v>
      </c>
      <c r="V2827" s="474" t="s">
        <v>1574</v>
      </c>
      <c r="W2827" s="476">
        <v>400</v>
      </c>
      <c r="X2827" s="402">
        <v>624</v>
      </c>
      <c r="Y2827" s="491">
        <f t="shared" si="477"/>
        <v>249600</v>
      </c>
      <c r="Z2827" s="478">
        <v>0.48</v>
      </c>
      <c r="AA2827" s="492">
        <f t="shared" si="478"/>
        <v>119808</v>
      </c>
      <c r="AB2827" s="386"/>
      <c r="AC2827" s="481">
        <v>0</v>
      </c>
      <c r="AD2827" s="474"/>
      <c r="AE2827" s="482"/>
      <c r="AF2827" s="493">
        <f t="shared" si="479"/>
        <v>119808</v>
      </c>
      <c r="AG2827" s="474" t="s">
        <v>47</v>
      </c>
      <c r="AH2827" s="447"/>
      <c r="AI2827" s="474">
        <v>75</v>
      </c>
      <c r="AJ2827" s="474" t="s">
        <v>1577</v>
      </c>
      <c r="AK2827" s="474" t="s">
        <v>50</v>
      </c>
      <c r="AL2827" s="494">
        <v>92407</v>
      </c>
      <c r="AM2827" s="474" t="s">
        <v>52</v>
      </c>
      <c r="AN2827" s="474" t="s">
        <v>50</v>
      </c>
      <c r="AO2827" s="474"/>
      <c r="AP2827" s="474" t="s">
        <v>92</v>
      </c>
      <c r="AQ2827" s="474" t="s">
        <v>37</v>
      </c>
      <c r="AR2827" s="474"/>
      <c r="AS2827" s="387"/>
      <c r="AT2827" s="387"/>
      <c r="AU2827" s="471"/>
      <c r="AV2827" s="262" t="str">
        <f t="shared" si="474"/>
        <v>30390256H</v>
      </c>
      <c r="AW2827" s="262" cm="1">
        <f t="array" ref="AW2827">SUM(MID(0&amp;AV2827,LARGE(INDEX(ISNUMBER(--MID(AV2827,ROW($1:$8),1))*ROW($1:$8),),ROW($1:$8))+1,1)*10^ROW($1:$8)/10)</f>
        <v>30390256</v>
      </c>
      <c r="AX2827" s="262" t="str">
        <f>VLOOKUP($AW2827,'Item Master Data'!$A:$F,3,FALSE)</f>
        <v>T400H</v>
      </c>
      <c r="AY2827" s="262">
        <f>VLOOKUP($AW2827,'Item Master Data'!$A:$F,6,FALSE)</f>
        <v>400</v>
      </c>
      <c r="AZ2827" s="262">
        <f t="shared" si="475"/>
        <v>24</v>
      </c>
      <c r="BA2827" s="262">
        <f>VLOOKUP(AW2827,'Item Master Data'!$A:$G,7,FALSE)</f>
        <v>26</v>
      </c>
      <c r="BC2827" s="262">
        <f t="shared" si="476"/>
        <v>0</v>
      </c>
    </row>
    <row r="2828" spans="1:55">
      <c r="A2828" s="410"/>
      <c r="B2828" s="407"/>
      <c r="C2828" s="407"/>
      <c r="D2828" s="474" t="s">
        <v>1066</v>
      </c>
      <c r="E2828" s="475"/>
      <c r="F2828" s="474" t="s">
        <v>1147</v>
      </c>
      <c r="G2828" s="474">
        <v>2022</v>
      </c>
      <c r="H2828" s="474">
        <v>4</v>
      </c>
      <c r="I2828" s="485"/>
      <c r="J2828" s="475">
        <v>44678</v>
      </c>
      <c r="K2828" s="474" t="s">
        <v>1627</v>
      </c>
      <c r="L2828" s="475" t="s">
        <v>1561</v>
      </c>
      <c r="M2828" s="475">
        <v>44468</v>
      </c>
      <c r="N2828" s="475" t="s">
        <v>1588</v>
      </c>
      <c r="O2828" s="475"/>
      <c r="P2828" s="475">
        <v>44658</v>
      </c>
      <c r="Q2828" s="475">
        <v>44676</v>
      </c>
      <c r="R2828" s="475">
        <v>44678</v>
      </c>
      <c r="S2828" s="474" t="s">
        <v>1563</v>
      </c>
      <c r="T2828" s="474">
        <v>60</v>
      </c>
      <c r="U2828" s="474" t="s">
        <v>1595</v>
      </c>
      <c r="V2828" s="474" t="s">
        <v>1574</v>
      </c>
      <c r="W2828" s="476">
        <v>400</v>
      </c>
      <c r="X2828" s="402">
        <v>624</v>
      </c>
      <c r="Y2828" s="491">
        <f t="shared" si="477"/>
        <v>249600</v>
      </c>
      <c r="Z2828" s="478">
        <v>0.48</v>
      </c>
      <c r="AA2828" s="492">
        <f t="shared" si="478"/>
        <v>119808</v>
      </c>
      <c r="AB2828" s="386"/>
      <c r="AC2828" s="481">
        <v>0</v>
      </c>
      <c r="AD2828" s="474"/>
      <c r="AE2828" s="482"/>
      <c r="AF2828" s="493">
        <f t="shared" si="479"/>
        <v>119808</v>
      </c>
      <c r="AG2828" s="474" t="s">
        <v>47</v>
      </c>
      <c r="AH2828" s="447"/>
      <c r="AI2828" s="474">
        <v>75</v>
      </c>
      <c r="AJ2828" s="474" t="s">
        <v>1577</v>
      </c>
      <c r="AK2828" s="474" t="s">
        <v>50</v>
      </c>
      <c r="AL2828" s="494">
        <v>92407</v>
      </c>
      <c r="AM2828" s="474" t="s">
        <v>52</v>
      </c>
      <c r="AN2828" s="474" t="s">
        <v>1568</v>
      </c>
      <c r="AO2828" s="474"/>
      <c r="AP2828" s="474" t="s">
        <v>92</v>
      </c>
      <c r="AQ2828" s="474" t="s">
        <v>37</v>
      </c>
      <c r="AR2828" s="474"/>
      <c r="AS2828" s="387"/>
      <c r="AT2828" s="387"/>
      <c r="AU2828" s="471"/>
      <c r="AV2828" s="262" t="str">
        <f t="shared" si="474"/>
        <v>30390256H</v>
      </c>
      <c r="AW2828" s="262" cm="1">
        <f t="array" ref="AW2828">SUM(MID(0&amp;AV2828,LARGE(INDEX(ISNUMBER(--MID(AV2828,ROW($1:$8),1))*ROW($1:$8),),ROW($1:$8))+1,1)*10^ROW($1:$8)/10)</f>
        <v>30390256</v>
      </c>
      <c r="AX2828" s="262" t="str">
        <f>VLOOKUP($AW2828,'Item Master Data'!$A:$F,3,FALSE)</f>
        <v>T400H</v>
      </c>
      <c r="AY2828" s="262">
        <f>VLOOKUP($AW2828,'Item Master Data'!$A:$F,6,FALSE)</f>
        <v>400</v>
      </c>
      <c r="AZ2828" s="262">
        <f t="shared" si="475"/>
        <v>24</v>
      </c>
      <c r="BA2828" s="262">
        <f>VLOOKUP(AW2828,'Item Master Data'!$A:$G,7,FALSE)</f>
        <v>26</v>
      </c>
      <c r="BC2828" s="262">
        <f t="shared" si="476"/>
        <v>0</v>
      </c>
    </row>
    <row r="2829" spans="1:55">
      <c r="A2829" s="410"/>
      <c r="B2829" s="407"/>
      <c r="C2829" s="407"/>
      <c r="D2829" s="474" t="s">
        <v>1066</v>
      </c>
      <c r="E2829" s="388"/>
      <c r="F2829" s="474" t="s">
        <v>1147</v>
      </c>
      <c r="G2829" s="474">
        <v>2022</v>
      </c>
      <c r="H2829" s="474">
        <v>5</v>
      </c>
      <c r="I2829" s="485"/>
      <c r="J2829" s="475" t="s">
        <v>1085</v>
      </c>
      <c r="K2829" s="474" t="s">
        <v>5671</v>
      </c>
      <c r="L2829" s="475" t="s">
        <v>1561</v>
      </c>
      <c r="M2829" s="475">
        <v>44468</v>
      </c>
      <c r="N2829" s="475" t="s">
        <v>1631</v>
      </c>
      <c r="O2829" s="475"/>
      <c r="P2829" s="475">
        <v>44678</v>
      </c>
      <c r="Q2829" s="475"/>
      <c r="R2829" s="475"/>
      <c r="S2829" s="474" t="s">
        <v>1563</v>
      </c>
      <c r="T2829" s="474">
        <v>60</v>
      </c>
      <c r="U2829" s="474" t="s">
        <v>1595</v>
      </c>
      <c r="V2829" s="474" t="s">
        <v>1574</v>
      </c>
      <c r="W2829" s="476">
        <v>400</v>
      </c>
      <c r="X2829" s="402">
        <v>18720</v>
      </c>
      <c r="Y2829" s="491">
        <f t="shared" si="477"/>
        <v>7488000</v>
      </c>
      <c r="Z2829" s="478">
        <v>0.48</v>
      </c>
      <c r="AA2829" s="492">
        <f t="shared" si="478"/>
        <v>3594240</v>
      </c>
      <c r="AB2829" s="386"/>
      <c r="AC2829" s="481">
        <v>0</v>
      </c>
      <c r="AD2829" s="474"/>
      <c r="AE2829" s="482"/>
      <c r="AF2829" s="493">
        <f t="shared" si="479"/>
        <v>3594240</v>
      </c>
      <c r="AG2829" s="474" t="s">
        <v>47</v>
      </c>
      <c r="AH2829" s="447"/>
      <c r="AI2829" s="474">
        <v>75</v>
      </c>
      <c r="AJ2829" s="474" t="s">
        <v>1580</v>
      </c>
      <c r="AK2829" s="474" t="s">
        <v>1073</v>
      </c>
      <c r="AL2829" s="494">
        <v>21075</v>
      </c>
      <c r="AM2829" s="474" t="s">
        <v>52</v>
      </c>
      <c r="AN2829" s="474" t="s">
        <v>1085</v>
      </c>
      <c r="AO2829" s="474"/>
      <c r="AP2829" s="474" t="s">
        <v>92</v>
      </c>
      <c r="AQ2829" s="474" t="s">
        <v>37</v>
      </c>
      <c r="AR2829" s="474"/>
      <c r="AS2829" s="387"/>
      <c r="AT2829" s="387"/>
      <c r="AU2829" s="471"/>
    </row>
    <row r="2830" spans="1:55">
      <c r="A2830" s="410"/>
      <c r="B2830" s="407"/>
      <c r="C2830" s="407"/>
      <c r="D2830" s="474" t="s">
        <v>1066</v>
      </c>
      <c r="E2830" s="388"/>
      <c r="F2830" s="474" t="s">
        <v>1147</v>
      </c>
      <c r="G2830" s="474">
        <v>2022</v>
      </c>
      <c r="H2830" s="474">
        <v>5</v>
      </c>
      <c r="I2830" s="485"/>
      <c r="J2830" s="475" t="s">
        <v>1074</v>
      </c>
      <c r="K2830" s="474" t="s">
        <v>5672</v>
      </c>
      <c r="L2830" s="475" t="s">
        <v>1561</v>
      </c>
      <c r="M2830" s="475">
        <v>44468</v>
      </c>
      <c r="N2830" s="475" t="s">
        <v>1631</v>
      </c>
      <c r="O2830" s="475"/>
      <c r="P2830" s="475">
        <v>44678</v>
      </c>
      <c r="Q2830" s="475"/>
      <c r="R2830" s="475"/>
      <c r="S2830" s="474" t="s">
        <v>1563</v>
      </c>
      <c r="T2830" s="474">
        <v>60</v>
      </c>
      <c r="U2830" s="474">
        <v>49406140</v>
      </c>
      <c r="V2830" s="474" t="s">
        <v>1574</v>
      </c>
      <c r="W2830" s="476">
        <v>400</v>
      </c>
      <c r="X2830" s="402">
        <f>29328-18720</f>
        <v>10608</v>
      </c>
      <c r="Y2830" s="491">
        <f t="shared" si="477"/>
        <v>4243200</v>
      </c>
      <c r="Z2830" s="478">
        <v>0.48</v>
      </c>
      <c r="AA2830" s="492">
        <f t="shared" si="478"/>
        <v>2036736</v>
      </c>
      <c r="AB2830" s="386"/>
      <c r="AC2830" s="481">
        <v>0</v>
      </c>
      <c r="AD2830" s="474"/>
      <c r="AE2830" s="482"/>
      <c r="AF2830" s="493">
        <f t="shared" si="479"/>
        <v>2036736</v>
      </c>
      <c r="AG2830" s="474" t="s">
        <v>47</v>
      </c>
      <c r="AH2830" s="447"/>
      <c r="AI2830" s="474">
        <v>75</v>
      </c>
      <c r="AJ2830" s="474" t="s">
        <v>1580</v>
      </c>
      <c r="AK2830" s="474" t="s">
        <v>1073</v>
      </c>
      <c r="AL2830" s="494">
        <v>21075</v>
      </c>
      <c r="AM2830" s="474" t="s">
        <v>52</v>
      </c>
      <c r="AN2830" s="474" t="s">
        <v>1106</v>
      </c>
      <c r="AO2830" s="474"/>
      <c r="AP2830" s="474"/>
      <c r="AQ2830" s="474" t="s">
        <v>37</v>
      </c>
      <c r="AR2830" s="474"/>
      <c r="AS2830" s="387"/>
      <c r="AT2830" s="387"/>
      <c r="AU2830" s="471"/>
    </row>
    <row r="2831" spans="1:55">
      <c r="A2831" s="410"/>
      <c r="B2831" s="407"/>
      <c r="C2831" s="407"/>
      <c r="D2831" s="474" t="s">
        <v>1066</v>
      </c>
      <c r="E2831" s="388"/>
      <c r="F2831" s="474" t="s">
        <v>1147</v>
      </c>
      <c r="G2831" s="474">
        <v>2022</v>
      </c>
      <c r="H2831" s="474">
        <v>5</v>
      </c>
      <c r="I2831" s="485"/>
      <c r="J2831" s="475" t="s">
        <v>5668</v>
      </c>
      <c r="K2831" s="474" t="s">
        <v>5670</v>
      </c>
      <c r="L2831" s="475" t="s">
        <v>1561</v>
      </c>
      <c r="M2831" s="475">
        <v>44468</v>
      </c>
      <c r="N2831" s="475" t="s">
        <v>1631</v>
      </c>
      <c r="O2831" s="475"/>
      <c r="P2831" s="475">
        <v>44678</v>
      </c>
      <c r="Q2831" s="475"/>
      <c r="R2831" s="475"/>
      <c r="S2831" s="474" t="s">
        <v>1563</v>
      </c>
      <c r="T2831" s="474">
        <v>60</v>
      </c>
      <c r="U2831" s="474" t="s">
        <v>1595</v>
      </c>
      <c r="V2831" s="474" t="s">
        <v>1574</v>
      </c>
      <c r="W2831" s="476">
        <v>400</v>
      </c>
      <c r="X2831" s="402">
        <f>34320-624-624-624-624</f>
        <v>31824</v>
      </c>
      <c r="Y2831" s="491">
        <f t="shared" si="477"/>
        <v>12729600</v>
      </c>
      <c r="Z2831" s="478">
        <v>0.48</v>
      </c>
      <c r="AA2831" s="492">
        <f t="shared" si="478"/>
        <v>6110208</v>
      </c>
      <c r="AB2831" s="386"/>
      <c r="AC2831" s="481">
        <v>0</v>
      </c>
      <c r="AD2831" s="474"/>
      <c r="AE2831" s="482"/>
      <c r="AF2831" s="493">
        <f t="shared" si="479"/>
        <v>6110208</v>
      </c>
      <c r="AG2831" s="474" t="s">
        <v>47</v>
      </c>
      <c r="AH2831" s="447"/>
      <c r="AI2831" s="474">
        <v>75</v>
      </c>
      <c r="AJ2831" s="474" t="s">
        <v>1580</v>
      </c>
      <c r="AK2831" s="474" t="s">
        <v>1073</v>
      </c>
      <c r="AL2831" s="494">
        <v>21075</v>
      </c>
      <c r="AM2831" s="474" t="s">
        <v>52</v>
      </c>
      <c r="AN2831" s="474" t="s">
        <v>50</v>
      </c>
      <c r="AO2831" s="474"/>
      <c r="AP2831" s="474" t="s">
        <v>92</v>
      </c>
      <c r="AQ2831" s="474" t="s">
        <v>37</v>
      </c>
      <c r="AR2831" s="474"/>
      <c r="AS2831" s="387"/>
      <c r="AT2831" s="387"/>
      <c r="AU2831" s="471"/>
      <c r="AV2831" s="262" t="str">
        <f>U2831</f>
        <v>30390256H</v>
      </c>
      <c r="AW2831" s="262" cm="1">
        <f t="array" ref="AW2831">SUM(MID(0&amp;AV2831,LARGE(INDEX(ISNUMBER(--MID(AV2831,ROW($1:$8),1))*ROW($1:$8),),ROW($1:$8))+1,1)*10^ROW($1:$8)/10)</f>
        <v>30390256</v>
      </c>
      <c r="AX2831" s="262" t="str">
        <f>VLOOKUP($AW2831,'Item Master Data'!$A:$F,3,FALSE)</f>
        <v>T400H</v>
      </c>
      <c r="AY2831" s="262">
        <f>VLOOKUP($AW2831,'Item Master Data'!$A:$F,6,FALSE)</f>
        <v>400</v>
      </c>
      <c r="AZ2831" s="262">
        <f>X2831/BA2831</f>
        <v>1224</v>
      </c>
      <c r="BA2831" s="262">
        <f>VLOOKUP(AW2831,'Item Master Data'!$A:$G,7,FALSE)</f>
        <v>26</v>
      </c>
      <c r="BC2831" s="262">
        <f>W2831-AY2831</f>
        <v>0</v>
      </c>
    </row>
    <row r="2832" spans="1:55">
      <c r="A2832" s="410"/>
      <c r="B2832" s="407"/>
      <c r="C2832" s="407"/>
      <c r="D2832" s="474" t="s">
        <v>1066</v>
      </c>
      <c r="E2832" s="475"/>
      <c r="F2832" s="474" t="s">
        <v>1147</v>
      </c>
      <c r="G2832" s="474">
        <v>2022</v>
      </c>
      <c r="H2832" s="474">
        <v>4</v>
      </c>
      <c r="I2832" s="485"/>
      <c r="J2832" s="475">
        <v>44678</v>
      </c>
      <c r="K2832" s="474" t="s">
        <v>1627</v>
      </c>
      <c r="L2832" s="475" t="s">
        <v>1561</v>
      </c>
      <c r="M2832" s="475">
        <v>44468</v>
      </c>
      <c r="N2832" s="475" t="s">
        <v>1588</v>
      </c>
      <c r="O2832" s="475"/>
      <c r="P2832" s="475">
        <v>44658</v>
      </c>
      <c r="Q2832" s="475">
        <v>44676</v>
      </c>
      <c r="R2832" s="475">
        <v>44678</v>
      </c>
      <c r="S2832" s="474" t="s">
        <v>1563</v>
      </c>
      <c r="T2832" s="474">
        <v>60</v>
      </c>
      <c r="U2832" s="474" t="s">
        <v>1595</v>
      </c>
      <c r="V2832" s="474" t="s">
        <v>1574</v>
      </c>
      <c r="W2832" s="476">
        <v>400</v>
      </c>
      <c r="X2832" s="402">
        <v>624</v>
      </c>
      <c r="Y2832" s="491">
        <f t="shared" si="477"/>
        <v>249600</v>
      </c>
      <c r="Z2832" s="478">
        <v>0.48</v>
      </c>
      <c r="AA2832" s="492">
        <f t="shared" si="478"/>
        <v>119808</v>
      </c>
      <c r="AB2832" s="386"/>
      <c r="AC2832" s="481">
        <v>0</v>
      </c>
      <c r="AD2832" s="474"/>
      <c r="AE2832" s="482"/>
      <c r="AF2832" s="493">
        <f t="shared" si="479"/>
        <v>119808</v>
      </c>
      <c r="AG2832" s="474" t="s">
        <v>47</v>
      </c>
      <c r="AH2832" s="447"/>
      <c r="AI2832" s="474">
        <v>75</v>
      </c>
      <c r="AJ2832" s="474" t="s">
        <v>1577</v>
      </c>
      <c r="AK2832" s="474" t="s">
        <v>50</v>
      </c>
      <c r="AL2832" s="494">
        <v>92407</v>
      </c>
      <c r="AM2832" s="474" t="s">
        <v>52</v>
      </c>
      <c r="AN2832" s="474" t="s">
        <v>1568</v>
      </c>
      <c r="AO2832" s="474"/>
      <c r="AP2832" s="474" t="s">
        <v>92</v>
      </c>
      <c r="AQ2832" s="474" t="s">
        <v>37</v>
      </c>
      <c r="AR2832" s="474"/>
      <c r="AS2832" s="387"/>
      <c r="AT2832" s="387"/>
      <c r="AU2832" s="471"/>
      <c r="AV2832" s="262" t="str">
        <f>U2832</f>
        <v>30390256H</v>
      </c>
      <c r="AW2832" s="262" cm="1">
        <f t="array" ref="AW2832">SUM(MID(0&amp;AV2832,LARGE(INDEX(ISNUMBER(--MID(AV2832,ROW($1:$8),1))*ROW($1:$8),),ROW($1:$8))+1,1)*10^ROW($1:$8)/10)</f>
        <v>30390256</v>
      </c>
      <c r="AX2832" s="262" t="str">
        <f>VLOOKUP($AW2832,'Item Master Data'!$A:$F,3,FALSE)</f>
        <v>T400H</v>
      </c>
      <c r="AY2832" s="262">
        <f>VLOOKUP($AW2832,'Item Master Data'!$A:$F,6,FALSE)</f>
        <v>400</v>
      </c>
      <c r="AZ2832" s="262">
        <f>X2832/BA2832</f>
        <v>24</v>
      </c>
      <c r="BA2832" s="262">
        <f>VLOOKUP(AW2832,'Item Master Data'!$A:$G,7,FALSE)</f>
        <v>26</v>
      </c>
      <c r="BC2832" s="262">
        <f>W2832-AY2832</f>
        <v>0</v>
      </c>
    </row>
    <row r="2833" spans="1:55">
      <c r="A2833" s="410"/>
      <c r="B2833" s="407"/>
      <c r="C2833" s="407"/>
      <c r="D2833" s="474" t="s">
        <v>1066</v>
      </c>
      <c r="E2833" s="475"/>
      <c r="F2833" s="474" t="s">
        <v>1147</v>
      </c>
      <c r="G2833" s="474">
        <v>2022</v>
      </c>
      <c r="H2833" s="474">
        <v>4</v>
      </c>
      <c r="I2833" s="485"/>
      <c r="J2833" s="475">
        <v>44678</v>
      </c>
      <c r="K2833" s="474" t="s">
        <v>1627</v>
      </c>
      <c r="L2833" s="475" t="s">
        <v>1561</v>
      </c>
      <c r="M2833" s="475">
        <v>44468</v>
      </c>
      <c r="N2833" s="475" t="s">
        <v>1588</v>
      </c>
      <c r="O2833" s="475"/>
      <c r="P2833" s="475">
        <v>44658</v>
      </c>
      <c r="Q2833" s="475">
        <v>44676</v>
      </c>
      <c r="R2833" s="475">
        <v>44678</v>
      </c>
      <c r="S2833" s="474" t="s">
        <v>1563</v>
      </c>
      <c r="T2833" s="474">
        <v>60</v>
      </c>
      <c r="U2833" s="474" t="s">
        <v>1595</v>
      </c>
      <c r="V2833" s="474" t="s">
        <v>1574</v>
      </c>
      <c r="W2833" s="476">
        <v>400</v>
      </c>
      <c r="X2833" s="402">
        <v>624</v>
      </c>
      <c r="Y2833" s="491">
        <f t="shared" si="477"/>
        <v>249600</v>
      </c>
      <c r="Z2833" s="478">
        <v>0.48</v>
      </c>
      <c r="AA2833" s="492">
        <f t="shared" si="478"/>
        <v>119808</v>
      </c>
      <c r="AB2833" s="386"/>
      <c r="AC2833" s="481">
        <v>0</v>
      </c>
      <c r="AD2833" s="474"/>
      <c r="AE2833" s="482"/>
      <c r="AF2833" s="493">
        <f t="shared" si="479"/>
        <v>119808</v>
      </c>
      <c r="AG2833" s="474" t="s">
        <v>47</v>
      </c>
      <c r="AH2833" s="447"/>
      <c r="AI2833" s="474">
        <v>75</v>
      </c>
      <c r="AJ2833" s="474" t="s">
        <v>1577</v>
      </c>
      <c r="AK2833" s="474" t="s">
        <v>50</v>
      </c>
      <c r="AL2833" s="494">
        <v>92407</v>
      </c>
      <c r="AM2833" s="474" t="s">
        <v>52</v>
      </c>
      <c r="AN2833" s="474" t="s">
        <v>1568</v>
      </c>
      <c r="AO2833" s="474"/>
      <c r="AP2833" s="474" t="s">
        <v>92</v>
      </c>
      <c r="AQ2833" s="474" t="s">
        <v>37</v>
      </c>
      <c r="AR2833" s="474"/>
      <c r="AS2833" s="387"/>
      <c r="AT2833" s="387"/>
      <c r="AU2833" s="471"/>
      <c r="AV2833" s="262" t="str">
        <f>U2833</f>
        <v>30390256H</v>
      </c>
      <c r="AW2833" s="262" cm="1">
        <f t="array" ref="AW2833">SUM(MID(0&amp;AV2833,LARGE(INDEX(ISNUMBER(--MID(AV2833,ROW($1:$8),1))*ROW($1:$8),),ROW($1:$8))+1,1)*10^ROW($1:$8)/10)</f>
        <v>30390256</v>
      </c>
      <c r="AX2833" s="262" t="str">
        <f>VLOOKUP($AW2833,'Item Master Data'!$A:$F,3,FALSE)</f>
        <v>T400H</v>
      </c>
      <c r="AY2833" s="262">
        <f>VLOOKUP($AW2833,'Item Master Data'!$A:$F,6,FALSE)</f>
        <v>400</v>
      </c>
      <c r="AZ2833" s="262">
        <f>X2833/BA2833</f>
        <v>24</v>
      </c>
      <c r="BA2833" s="262">
        <f>VLOOKUP(AW2833,'Item Master Data'!$A:$G,7,FALSE)</f>
        <v>26</v>
      </c>
      <c r="BC2833" s="262">
        <f>W2833-AY2833</f>
        <v>0</v>
      </c>
    </row>
    <row r="2834" spans="1:55">
      <c r="A2834" s="410"/>
      <c r="B2834" s="407"/>
      <c r="C2834" s="407"/>
      <c r="D2834" s="474" t="s">
        <v>1066</v>
      </c>
      <c r="E2834" s="388"/>
      <c r="F2834" s="474" t="s">
        <v>1147</v>
      </c>
      <c r="G2834" s="474">
        <v>2022</v>
      </c>
      <c r="H2834" s="474">
        <v>5</v>
      </c>
      <c r="I2834" s="485"/>
      <c r="J2834" s="475"/>
      <c r="K2834" s="474" t="s">
        <v>5666</v>
      </c>
      <c r="L2834" s="475" t="s">
        <v>1561</v>
      </c>
      <c r="M2834" s="475">
        <v>44468</v>
      </c>
      <c r="N2834" s="475" t="s">
        <v>1631</v>
      </c>
      <c r="O2834" s="475"/>
      <c r="P2834" s="475">
        <v>44678</v>
      </c>
      <c r="Q2834" s="475"/>
      <c r="R2834" s="475"/>
      <c r="S2834" s="474" t="s">
        <v>1563</v>
      </c>
      <c r="T2834" s="474">
        <v>60</v>
      </c>
      <c r="U2834" s="474" t="s">
        <v>1564</v>
      </c>
      <c r="V2834" s="474" t="s">
        <v>1565</v>
      </c>
      <c r="W2834" s="476">
        <v>395</v>
      </c>
      <c r="X2834" s="402">
        <f>7488-624-624</f>
        <v>6240</v>
      </c>
      <c r="Y2834" s="491">
        <f t="shared" si="477"/>
        <v>2464800</v>
      </c>
      <c r="Z2834" s="478">
        <v>0.48</v>
      </c>
      <c r="AA2834" s="492">
        <f t="shared" si="478"/>
        <v>1183104</v>
      </c>
      <c r="AB2834" s="386"/>
      <c r="AC2834" s="481">
        <v>0</v>
      </c>
      <c r="AD2834" s="474"/>
      <c r="AE2834" s="482"/>
      <c r="AF2834" s="493">
        <f t="shared" si="479"/>
        <v>1183104</v>
      </c>
      <c r="AG2834" s="474" t="s">
        <v>47</v>
      </c>
      <c r="AH2834" s="447"/>
      <c r="AI2834" s="474">
        <v>75</v>
      </c>
      <c r="AJ2834" s="474" t="s">
        <v>1566</v>
      </c>
      <c r="AK2834" s="474" t="s">
        <v>50</v>
      </c>
      <c r="AL2834" s="494"/>
      <c r="AM2834" s="474" t="s">
        <v>52</v>
      </c>
      <c r="AN2834" s="474" t="s">
        <v>50</v>
      </c>
      <c r="AO2834" s="474"/>
      <c r="AP2834" s="474" t="s">
        <v>92</v>
      </c>
      <c r="AQ2834" s="474" t="s">
        <v>37</v>
      </c>
      <c r="AR2834" s="474"/>
      <c r="AS2834" s="387"/>
      <c r="AT2834" s="387"/>
      <c r="AU2834" s="471"/>
      <c r="AV2834" s="262" t="str">
        <f>U2834</f>
        <v>30390255C</v>
      </c>
      <c r="AW2834" s="262" cm="1">
        <f t="array" ref="AW2834">SUM(MID(0&amp;AV2834,LARGE(INDEX(ISNUMBER(--MID(AV2834,ROW($1:$8),1))*ROW($1:$8),),ROW($1:$8))+1,1)*10^ROW($1:$8)/10)</f>
        <v>30390255</v>
      </c>
      <c r="AX2834" s="262" t="str">
        <f>VLOOKUP($AW2834,'Item Master Data'!$A:$F,3,FALSE)</f>
        <v>T395H</v>
      </c>
      <c r="AY2834" s="262">
        <f>VLOOKUP($AW2834,'Item Master Data'!$A:$F,6,FALSE)</f>
        <v>395</v>
      </c>
      <c r="AZ2834" s="262">
        <f>X2834/BA2834</f>
        <v>240</v>
      </c>
      <c r="BA2834" s="262">
        <f>VLOOKUP(AW2834,'Item Master Data'!$A:$G,7,FALSE)</f>
        <v>26</v>
      </c>
      <c r="BC2834" s="262">
        <f>W2834-AY2834</f>
        <v>0</v>
      </c>
    </row>
    <row r="2835" spans="1:55">
      <c r="A2835" s="410"/>
      <c r="B2835" s="407"/>
      <c r="C2835" s="407"/>
      <c r="D2835" s="474" t="s">
        <v>1066</v>
      </c>
      <c r="E2835" s="475"/>
      <c r="F2835" s="474" t="s">
        <v>1147</v>
      </c>
      <c r="G2835" s="474">
        <v>2022</v>
      </c>
      <c r="H2835" s="474">
        <v>4</v>
      </c>
      <c r="I2835" s="485"/>
      <c r="J2835" s="475">
        <v>44678</v>
      </c>
      <c r="K2835" s="474" t="s">
        <v>1627</v>
      </c>
      <c r="L2835" s="475" t="s">
        <v>1561</v>
      </c>
      <c r="M2835" s="475">
        <v>44468</v>
      </c>
      <c r="N2835" s="475" t="s">
        <v>1588</v>
      </c>
      <c r="O2835" s="475"/>
      <c r="P2835" s="475">
        <v>44658</v>
      </c>
      <c r="Q2835" s="475">
        <v>44676</v>
      </c>
      <c r="R2835" s="475">
        <v>44678</v>
      </c>
      <c r="S2835" s="474" t="s">
        <v>1563</v>
      </c>
      <c r="T2835" s="474">
        <v>60</v>
      </c>
      <c r="U2835" s="474" t="s">
        <v>1595</v>
      </c>
      <c r="V2835" s="474" t="s">
        <v>1574</v>
      </c>
      <c r="W2835" s="476">
        <v>400</v>
      </c>
      <c r="X2835" s="402">
        <v>624</v>
      </c>
      <c r="Y2835" s="491">
        <f t="shared" si="477"/>
        <v>249600</v>
      </c>
      <c r="Z2835" s="478">
        <v>0.48</v>
      </c>
      <c r="AA2835" s="492">
        <f t="shared" si="478"/>
        <v>119808</v>
      </c>
      <c r="AB2835" s="386"/>
      <c r="AC2835" s="481">
        <v>0</v>
      </c>
      <c r="AD2835" s="474"/>
      <c r="AE2835" s="482"/>
      <c r="AF2835" s="493">
        <f t="shared" si="479"/>
        <v>119808</v>
      </c>
      <c r="AG2835" s="474" t="s">
        <v>47</v>
      </c>
      <c r="AH2835" s="447"/>
      <c r="AI2835" s="474">
        <v>75</v>
      </c>
      <c r="AJ2835" s="474" t="s">
        <v>1577</v>
      </c>
      <c r="AK2835" s="474" t="s">
        <v>50</v>
      </c>
      <c r="AL2835" s="494">
        <v>92407</v>
      </c>
      <c r="AM2835" s="474" t="s">
        <v>52</v>
      </c>
      <c r="AN2835" s="474" t="s">
        <v>1568</v>
      </c>
      <c r="AO2835" s="474"/>
      <c r="AP2835" s="474" t="s">
        <v>92</v>
      </c>
      <c r="AQ2835" s="474" t="s">
        <v>37</v>
      </c>
      <c r="AR2835" s="474"/>
      <c r="AS2835" s="387"/>
      <c r="AT2835" s="387"/>
      <c r="AU2835" s="471"/>
      <c r="AV2835" s="262" t="str">
        <f>U2835</f>
        <v>30390256H</v>
      </c>
      <c r="AW2835" s="262" cm="1">
        <f t="array" ref="AW2835">SUM(MID(0&amp;AV2835,LARGE(INDEX(ISNUMBER(--MID(AV2835,ROW($1:$8),1))*ROW($1:$8),),ROW($1:$8))+1,1)*10^ROW($1:$8)/10)</f>
        <v>30390256</v>
      </c>
      <c r="AX2835" s="262" t="str">
        <f>VLOOKUP($AW2835,'Item Master Data'!$A:$F,3,FALSE)</f>
        <v>T400H</v>
      </c>
      <c r="AY2835" s="262">
        <f>VLOOKUP($AW2835,'Item Master Data'!$A:$F,6,FALSE)</f>
        <v>400</v>
      </c>
      <c r="AZ2835" s="262">
        <f>X2835/BA2835</f>
        <v>24</v>
      </c>
      <c r="BA2835" s="262">
        <f>VLOOKUP(AW2835,'Item Master Data'!$A:$G,7,FALSE)</f>
        <v>26</v>
      </c>
      <c r="BC2835" s="262">
        <f>W2835-AY2835</f>
        <v>0</v>
      </c>
    </row>
    <row r="2836" spans="1:55">
      <c r="A2836" s="410"/>
      <c r="B2836" s="407"/>
      <c r="C2836" s="407"/>
      <c r="D2836" s="474" t="s">
        <v>1066</v>
      </c>
      <c r="E2836" s="475"/>
      <c r="F2836" s="474" t="s">
        <v>1147</v>
      </c>
      <c r="G2836" s="474">
        <v>2022</v>
      </c>
      <c r="H2836" s="474">
        <v>4</v>
      </c>
      <c r="I2836" s="485"/>
      <c r="J2836" s="475">
        <v>44679</v>
      </c>
      <c r="K2836" s="474" t="s">
        <v>1627</v>
      </c>
      <c r="L2836" s="475" t="s">
        <v>1561</v>
      </c>
      <c r="M2836" s="475">
        <v>44468</v>
      </c>
      <c r="N2836" s="475" t="s">
        <v>1588</v>
      </c>
      <c r="O2836" s="475"/>
      <c r="P2836" s="475">
        <v>44658</v>
      </c>
      <c r="Q2836" s="475">
        <v>44676</v>
      </c>
      <c r="R2836" s="475">
        <v>44679</v>
      </c>
      <c r="S2836" s="474" t="s">
        <v>1563</v>
      </c>
      <c r="T2836" s="474">
        <v>60</v>
      </c>
      <c r="U2836" s="474" t="s">
        <v>1595</v>
      </c>
      <c r="V2836" s="474" t="s">
        <v>1574</v>
      </c>
      <c r="W2836" s="476">
        <v>400</v>
      </c>
      <c r="X2836" s="402">
        <v>624</v>
      </c>
      <c r="Y2836" s="491">
        <f t="shared" si="477"/>
        <v>249600</v>
      </c>
      <c r="Z2836" s="478">
        <v>0.48</v>
      </c>
      <c r="AA2836" s="492">
        <f t="shared" si="478"/>
        <v>119808</v>
      </c>
      <c r="AB2836" s="386"/>
      <c r="AC2836" s="481">
        <v>0</v>
      </c>
      <c r="AD2836" s="474"/>
      <c r="AE2836" s="482"/>
      <c r="AF2836" s="493">
        <f t="shared" si="479"/>
        <v>119808</v>
      </c>
      <c r="AG2836" s="474" t="s">
        <v>47</v>
      </c>
      <c r="AH2836" s="447"/>
      <c r="AI2836" s="474">
        <v>75</v>
      </c>
      <c r="AJ2836" s="474" t="s">
        <v>1577</v>
      </c>
      <c r="AK2836" s="474" t="s">
        <v>50</v>
      </c>
      <c r="AL2836" s="494">
        <v>92407</v>
      </c>
      <c r="AM2836" s="474" t="s">
        <v>52</v>
      </c>
      <c r="AN2836" s="474" t="s">
        <v>50</v>
      </c>
      <c r="AO2836" s="474"/>
      <c r="AP2836" s="474" t="s">
        <v>92</v>
      </c>
      <c r="AQ2836" s="474" t="s">
        <v>37</v>
      </c>
      <c r="AR2836" s="474"/>
      <c r="AS2836" s="387"/>
      <c r="AT2836" s="387"/>
      <c r="AU2836" s="471"/>
    </row>
    <row r="2837" spans="1:55">
      <c r="A2837" s="410"/>
      <c r="B2837" s="407"/>
      <c r="C2837" s="407"/>
      <c r="D2837" s="474" t="s">
        <v>1066</v>
      </c>
      <c r="E2837" s="388"/>
      <c r="F2837" s="474" t="s">
        <v>1147</v>
      </c>
      <c r="G2837" s="474">
        <v>2022</v>
      </c>
      <c r="H2837" s="474">
        <v>6</v>
      </c>
      <c r="I2837" s="485"/>
      <c r="J2837" s="475"/>
      <c r="K2837" s="474">
        <v>7700010822</v>
      </c>
      <c r="L2837" s="475" t="s">
        <v>1561</v>
      </c>
      <c r="M2837" s="475">
        <v>44468</v>
      </c>
      <c r="N2837" s="475" t="s">
        <v>1632</v>
      </c>
      <c r="O2837" s="475"/>
      <c r="P2837" s="475"/>
      <c r="Q2837" s="475"/>
      <c r="R2837" s="475"/>
      <c r="S2837" s="474" t="s">
        <v>1563</v>
      </c>
      <c r="T2837" s="474">
        <v>60</v>
      </c>
      <c r="U2837" s="474" t="s">
        <v>1630</v>
      </c>
      <c r="V2837" s="474" t="s">
        <v>1574</v>
      </c>
      <c r="W2837" s="476">
        <v>400</v>
      </c>
      <c r="X2837" s="402">
        <v>100022</v>
      </c>
      <c r="Y2837" s="491">
        <f t="shared" si="477"/>
        <v>40008800</v>
      </c>
      <c r="Z2837" s="478">
        <v>0.48</v>
      </c>
      <c r="AA2837" s="492">
        <f t="shared" si="478"/>
        <v>19204224</v>
      </c>
      <c r="AB2837" s="386"/>
      <c r="AC2837" s="481">
        <v>0</v>
      </c>
      <c r="AD2837" s="474"/>
      <c r="AE2837" s="482"/>
      <c r="AF2837" s="493">
        <f t="shared" si="479"/>
        <v>19204224</v>
      </c>
      <c r="AG2837" s="474" t="s">
        <v>47</v>
      </c>
      <c r="AH2837" s="447"/>
      <c r="AI2837" s="474">
        <v>75</v>
      </c>
      <c r="AJ2837" s="474" t="s">
        <v>1580</v>
      </c>
      <c r="AK2837" s="474" t="s">
        <v>1073</v>
      </c>
      <c r="AL2837" s="494">
        <v>21075</v>
      </c>
      <c r="AM2837" s="474" t="s">
        <v>52</v>
      </c>
      <c r="AN2837" s="474" t="s">
        <v>50</v>
      </c>
      <c r="AO2837" s="474"/>
      <c r="AP2837" s="474" t="s">
        <v>92</v>
      </c>
      <c r="AQ2837" s="474" t="s">
        <v>37</v>
      </c>
      <c r="AR2837" s="474"/>
      <c r="AS2837" s="387"/>
      <c r="AT2837" s="387"/>
      <c r="AU2837" s="471"/>
    </row>
    <row r="2838" spans="1:55">
      <c r="A2838" s="410"/>
      <c r="B2838" s="407"/>
      <c r="C2838" s="407"/>
      <c r="D2838" s="474" t="s">
        <v>1066</v>
      </c>
      <c r="E2838" s="388"/>
      <c r="F2838" s="474" t="s">
        <v>1147</v>
      </c>
      <c r="G2838" s="474">
        <v>2022</v>
      </c>
      <c r="H2838" s="474">
        <v>7</v>
      </c>
      <c r="I2838" s="485"/>
      <c r="J2838" s="475"/>
      <c r="K2838" s="474">
        <v>7700010822</v>
      </c>
      <c r="L2838" s="475" t="s">
        <v>1561</v>
      </c>
      <c r="M2838" s="475">
        <v>44468</v>
      </c>
      <c r="N2838" s="475" t="s">
        <v>1633</v>
      </c>
      <c r="O2838" s="475"/>
      <c r="P2838" s="475"/>
      <c r="Q2838" s="475"/>
      <c r="R2838" s="475"/>
      <c r="S2838" s="474" t="s">
        <v>1563</v>
      </c>
      <c r="T2838" s="474">
        <v>60</v>
      </c>
      <c r="U2838" s="474" t="s">
        <v>1630</v>
      </c>
      <c r="V2838" s="474" t="s">
        <v>1574</v>
      </c>
      <c r="W2838" s="476">
        <v>400</v>
      </c>
      <c r="X2838" s="402">
        <v>75010</v>
      </c>
      <c r="Y2838" s="491">
        <f t="shared" si="477"/>
        <v>30004000</v>
      </c>
      <c r="Z2838" s="478">
        <v>0.55000000000000004</v>
      </c>
      <c r="AA2838" s="492">
        <f t="shared" si="478"/>
        <v>16502200.000000002</v>
      </c>
      <c r="AB2838" s="386"/>
      <c r="AC2838" s="481">
        <v>0</v>
      </c>
      <c r="AD2838" s="474"/>
      <c r="AE2838" s="482"/>
      <c r="AF2838" s="493">
        <f t="shared" si="479"/>
        <v>16502200.000000002</v>
      </c>
      <c r="AG2838" s="474" t="s">
        <v>47</v>
      </c>
      <c r="AH2838" s="447"/>
      <c r="AI2838" s="474">
        <v>75</v>
      </c>
      <c r="AJ2838" s="474" t="s">
        <v>1580</v>
      </c>
      <c r="AK2838" s="474" t="s">
        <v>1073</v>
      </c>
      <c r="AL2838" s="494">
        <v>21075</v>
      </c>
      <c r="AM2838" s="474" t="s">
        <v>52</v>
      </c>
      <c r="AN2838" s="474" t="s">
        <v>50</v>
      </c>
      <c r="AO2838" s="474"/>
      <c r="AP2838" s="474" t="s">
        <v>92</v>
      </c>
      <c r="AQ2838" s="474" t="s">
        <v>37</v>
      </c>
      <c r="AR2838" s="474"/>
      <c r="AS2838" s="387"/>
      <c r="AT2838" s="387"/>
      <c r="AU2838" s="471"/>
    </row>
    <row r="2839" spans="1:55">
      <c r="A2839" s="410"/>
      <c r="B2839" s="407"/>
      <c r="C2839" s="407"/>
      <c r="D2839" s="474" t="s">
        <v>1066</v>
      </c>
      <c r="E2839" s="388"/>
      <c r="F2839" s="474" t="s">
        <v>1147</v>
      </c>
      <c r="G2839" s="474">
        <v>2022</v>
      </c>
      <c r="H2839" s="474">
        <v>8</v>
      </c>
      <c r="I2839" s="485"/>
      <c r="J2839" s="475"/>
      <c r="K2839" s="474">
        <v>7700010822</v>
      </c>
      <c r="L2839" s="475" t="s">
        <v>1561</v>
      </c>
      <c r="M2839" s="475">
        <v>44468</v>
      </c>
      <c r="N2839" s="475" t="s">
        <v>1634</v>
      </c>
      <c r="O2839" s="475"/>
      <c r="P2839" s="475"/>
      <c r="Q2839" s="475"/>
      <c r="R2839" s="475"/>
      <c r="S2839" s="474" t="s">
        <v>1563</v>
      </c>
      <c r="T2839" s="474">
        <v>60</v>
      </c>
      <c r="U2839" s="474" t="s">
        <v>1630</v>
      </c>
      <c r="V2839" s="474" t="s">
        <v>1574</v>
      </c>
      <c r="W2839" s="476">
        <v>400</v>
      </c>
      <c r="X2839" s="402">
        <v>75010</v>
      </c>
      <c r="Y2839" s="491">
        <f t="shared" si="477"/>
        <v>30004000</v>
      </c>
      <c r="Z2839" s="478">
        <v>0.55000000000000004</v>
      </c>
      <c r="AA2839" s="492">
        <f t="shared" si="478"/>
        <v>16502200.000000002</v>
      </c>
      <c r="AB2839" s="386"/>
      <c r="AC2839" s="481">
        <v>0</v>
      </c>
      <c r="AD2839" s="474"/>
      <c r="AE2839" s="482"/>
      <c r="AF2839" s="493">
        <f t="shared" si="479"/>
        <v>16502200.000000002</v>
      </c>
      <c r="AG2839" s="474" t="s">
        <v>47</v>
      </c>
      <c r="AH2839" s="447"/>
      <c r="AI2839" s="474">
        <v>75</v>
      </c>
      <c r="AJ2839" s="474" t="s">
        <v>1580</v>
      </c>
      <c r="AK2839" s="474" t="s">
        <v>1073</v>
      </c>
      <c r="AL2839" s="494">
        <v>21075</v>
      </c>
      <c r="AM2839" s="474" t="s">
        <v>52</v>
      </c>
      <c r="AN2839" s="474" t="s">
        <v>50</v>
      </c>
      <c r="AO2839" s="474"/>
      <c r="AP2839" s="474" t="s">
        <v>92</v>
      </c>
      <c r="AQ2839" s="474" t="s">
        <v>37</v>
      </c>
      <c r="AR2839" s="474"/>
      <c r="AS2839" s="387"/>
      <c r="AT2839" s="387"/>
      <c r="AU2839" s="471"/>
    </row>
    <row r="2840" spans="1:55">
      <c r="A2840" s="410"/>
      <c r="B2840" s="407"/>
      <c r="C2840" s="407"/>
      <c r="D2840" s="474" t="s">
        <v>1066</v>
      </c>
      <c r="E2840" s="388"/>
      <c r="F2840" s="474" t="s">
        <v>1147</v>
      </c>
      <c r="G2840" s="474">
        <v>2022</v>
      </c>
      <c r="H2840" s="474">
        <v>9</v>
      </c>
      <c r="I2840" s="485"/>
      <c r="J2840" s="475"/>
      <c r="K2840" s="474">
        <v>7700010822</v>
      </c>
      <c r="L2840" s="475" t="s">
        <v>1561</v>
      </c>
      <c r="M2840" s="475">
        <v>44468</v>
      </c>
      <c r="N2840" s="475" t="s">
        <v>1635</v>
      </c>
      <c r="O2840" s="475"/>
      <c r="P2840" s="475"/>
      <c r="Q2840" s="475"/>
      <c r="R2840" s="475"/>
      <c r="S2840" s="474" t="s">
        <v>1563</v>
      </c>
      <c r="T2840" s="474">
        <v>60</v>
      </c>
      <c r="U2840" s="474" t="s">
        <v>1630</v>
      </c>
      <c r="V2840" s="474" t="s">
        <v>1574</v>
      </c>
      <c r="W2840" s="476">
        <v>400</v>
      </c>
      <c r="X2840" s="402">
        <v>100022</v>
      </c>
      <c r="Y2840" s="491">
        <f t="shared" si="477"/>
        <v>40008800</v>
      </c>
      <c r="Z2840" s="478">
        <v>0.55000000000000004</v>
      </c>
      <c r="AA2840" s="492">
        <f t="shared" si="478"/>
        <v>22004840</v>
      </c>
      <c r="AB2840" s="386"/>
      <c r="AC2840" s="481">
        <v>0</v>
      </c>
      <c r="AD2840" s="474"/>
      <c r="AE2840" s="482"/>
      <c r="AF2840" s="493">
        <f t="shared" si="479"/>
        <v>22004840</v>
      </c>
      <c r="AG2840" s="474" t="s">
        <v>47</v>
      </c>
      <c r="AH2840" s="447"/>
      <c r="AI2840" s="474">
        <v>75</v>
      </c>
      <c r="AJ2840" s="474" t="s">
        <v>1580</v>
      </c>
      <c r="AK2840" s="474" t="s">
        <v>1073</v>
      </c>
      <c r="AL2840" s="494">
        <v>21075</v>
      </c>
      <c r="AM2840" s="474" t="s">
        <v>52</v>
      </c>
      <c r="AN2840" s="474" t="s">
        <v>50</v>
      </c>
      <c r="AO2840" s="474"/>
      <c r="AP2840" s="474" t="s">
        <v>92</v>
      </c>
      <c r="AQ2840" s="474" t="s">
        <v>37</v>
      </c>
      <c r="AR2840" s="474"/>
      <c r="AS2840" s="387"/>
      <c r="AT2840" s="387"/>
      <c r="AU2840" s="471"/>
    </row>
    <row r="2841" spans="1:55">
      <c r="A2841" s="410"/>
      <c r="B2841" s="407"/>
      <c r="C2841" s="407"/>
      <c r="D2841" s="474" t="s">
        <v>1066</v>
      </c>
      <c r="E2841" s="388"/>
      <c r="F2841" s="474" t="s">
        <v>1147</v>
      </c>
      <c r="G2841" s="474">
        <v>2022</v>
      </c>
      <c r="H2841" s="474">
        <v>10</v>
      </c>
      <c r="I2841" s="485"/>
      <c r="J2841" s="475"/>
      <c r="K2841" s="474">
        <v>7700010822</v>
      </c>
      <c r="L2841" s="475" t="s">
        <v>1561</v>
      </c>
      <c r="M2841" s="475">
        <v>44468</v>
      </c>
      <c r="N2841" s="475" t="s">
        <v>1636</v>
      </c>
      <c r="O2841" s="475"/>
      <c r="P2841" s="475"/>
      <c r="Q2841" s="475"/>
      <c r="R2841" s="475"/>
      <c r="S2841" s="474" t="s">
        <v>1563</v>
      </c>
      <c r="T2841" s="474">
        <v>60</v>
      </c>
      <c r="U2841" s="474" t="s">
        <v>1630</v>
      </c>
      <c r="V2841" s="474" t="s">
        <v>1574</v>
      </c>
      <c r="W2841" s="476">
        <v>400</v>
      </c>
      <c r="X2841" s="402">
        <v>75010</v>
      </c>
      <c r="Y2841" s="491">
        <f t="shared" si="477"/>
        <v>30004000</v>
      </c>
      <c r="Z2841" s="478">
        <v>0.55000000000000004</v>
      </c>
      <c r="AA2841" s="492">
        <f t="shared" si="478"/>
        <v>16502200.000000002</v>
      </c>
      <c r="AB2841" s="386"/>
      <c r="AC2841" s="481">
        <v>0</v>
      </c>
      <c r="AD2841" s="474"/>
      <c r="AE2841" s="482"/>
      <c r="AF2841" s="493">
        <f t="shared" si="479"/>
        <v>16502200.000000002</v>
      </c>
      <c r="AG2841" s="474" t="s">
        <v>47</v>
      </c>
      <c r="AH2841" s="447"/>
      <c r="AI2841" s="474">
        <v>75</v>
      </c>
      <c r="AJ2841" s="474" t="s">
        <v>1580</v>
      </c>
      <c r="AK2841" s="474" t="s">
        <v>1073</v>
      </c>
      <c r="AL2841" s="494">
        <v>21075</v>
      </c>
      <c r="AM2841" s="474" t="s">
        <v>52</v>
      </c>
      <c r="AN2841" s="474" t="s">
        <v>50</v>
      </c>
      <c r="AO2841" s="474"/>
      <c r="AP2841" s="474" t="s">
        <v>92</v>
      </c>
      <c r="AQ2841" s="474" t="s">
        <v>37</v>
      </c>
      <c r="AR2841" s="474"/>
      <c r="AS2841" s="387"/>
      <c r="AT2841" s="387"/>
      <c r="AU2841" s="471"/>
    </row>
    <row r="2842" spans="1:55">
      <c r="A2842" s="410"/>
      <c r="B2842" s="407"/>
      <c r="C2842" s="407"/>
      <c r="D2842" s="474" t="s">
        <v>1066</v>
      </c>
      <c r="E2842" s="388"/>
      <c r="F2842" s="474" t="s">
        <v>1147</v>
      </c>
      <c r="G2842" s="474">
        <v>2022</v>
      </c>
      <c r="H2842" s="474">
        <v>11</v>
      </c>
      <c r="I2842" s="485"/>
      <c r="J2842" s="475"/>
      <c r="K2842" s="474">
        <v>7700010822</v>
      </c>
      <c r="L2842" s="475" t="s">
        <v>1561</v>
      </c>
      <c r="M2842" s="475">
        <v>44468</v>
      </c>
      <c r="N2842" s="475" t="s">
        <v>1637</v>
      </c>
      <c r="O2842" s="475"/>
      <c r="P2842" s="475"/>
      <c r="Q2842" s="475"/>
      <c r="R2842" s="475"/>
      <c r="S2842" s="474" t="s">
        <v>1563</v>
      </c>
      <c r="T2842" s="474">
        <v>60</v>
      </c>
      <c r="U2842" s="474" t="s">
        <v>1630</v>
      </c>
      <c r="V2842" s="474" t="s">
        <v>1574</v>
      </c>
      <c r="W2842" s="476">
        <v>400</v>
      </c>
      <c r="X2842" s="402">
        <v>75010</v>
      </c>
      <c r="Y2842" s="491">
        <f t="shared" si="477"/>
        <v>30004000</v>
      </c>
      <c r="Z2842" s="478">
        <v>0.55000000000000004</v>
      </c>
      <c r="AA2842" s="492">
        <f t="shared" si="478"/>
        <v>16502200.000000002</v>
      </c>
      <c r="AB2842" s="386"/>
      <c r="AC2842" s="481">
        <v>0</v>
      </c>
      <c r="AD2842" s="474"/>
      <c r="AE2842" s="482"/>
      <c r="AF2842" s="493">
        <f t="shared" si="479"/>
        <v>16502200.000000002</v>
      </c>
      <c r="AG2842" s="474" t="s">
        <v>47</v>
      </c>
      <c r="AH2842" s="447"/>
      <c r="AI2842" s="474">
        <v>75</v>
      </c>
      <c r="AJ2842" s="474" t="s">
        <v>1580</v>
      </c>
      <c r="AK2842" s="474" t="s">
        <v>1073</v>
      </c>
      <c r="AL2842" s="494">
        <v>21075</v>
      </c>
      <c r="AM2842" s="474" t="s">
        <v>52</v>
      </c>
      <c r="AN2842" s="474" t="s">
        <v>50</v>
      </c>
      <c r="AO2842" s="474"/>
      <c r="AP2842" s="474" t="s">
        <v>92</v>
      </c>
      <c r="AQ2842" s="474" t="s">
        <v>37</v>
      </c>
      <c r="AR2842" s="474"/>
      <c r="AS2842" s="387"/>
      <c r="AT2842" s="387"/>
      <c r="AU2842" s="471"/>
    </row>
    <row r="2843" spans="1:55">
      <c r="A2843" s="410"/>
      <c r="B2843" s="407"/>
      <c r="C2843" s="407"/>
      <c r="D2843" s="474" t="s">
        <v>1066</v>
      </c>
      <c r="E2843" s="388" t="s">
        <v>1118</v>
      </c>
      <c r="F2843" s="474" t="s">
        <v>1077</v>
      </c>
      <c r="G2843" s="474">
        <v>2022</v>
      </c>
      <c r="H2843" s="474">
        <v>3</v>
      </c>
      <c r="I2843" s="485">
        <v>127655</v>
      </c>
      <c r="J2843" s="475">
        <v>44650</v>
      </c>
      <c r="K2843" s="474" t="s">
        <v>1638</v>
      </c>
      <c r="L2843" s="475" t="s">
        <v>1639</v>
      </c>
      <c r="M2843" s="475">
        <v>44489</v>
      </c>
      <c r="N2843" s="475">
        <v>44489</v>
      </c>
      <c r="O2843" s="475"/>
      <c r="P2843" s="475">
        <v>44635</v>
      </c>
      <c r="Q2843" s="475">
        <v>44650</v>
      </c>
      <c r="R2843" s="475">
        <v>44651</v>
      </c>
      <c r="S2843" s="474" t="s">
        <v>1102</v>
      </c>
      <c r="T2843" s="474">
        <v>72</v>
      </c>
      <c r="U2843" s="474" t="s">
        <v>1640</v>
      </c>
      <c r="V2843" s="474" t="s">
        <v>1188</v>
      </c>
      <c r="W2843" s="476">
        <v>425</v>
      </c>
      <c r="X2843" s="402">
        <v>638</v>
      </c>
      <c r="Y2843" s="491">
        <f t="shared" si="477"/>
        <v>271150</v>
      </c>
      <c r="Z2843" s="478">
        <v>0.44</v>
      </c>
      <c r="AA2843" s="492">
        <f>Y2843*Z2843</f>
        <v>119306</v>
      </c>
      <c r="AB2843" s="386"/>
      <c r="AC2843" s="481">
        <v>0</v>
      </c>
      <c r="AD2843" s="474"/>
      <c r="AE2843" s="482"/>
      <c r="AF2843" s="493">
        <f>AE2843+AD2843+AA2843</f>
        <v>119306</v>
      </c>
      <c r="AG2843" s="474" t="s">
        <v>1071</v>
      </c>
      <c r="AH2843" s="447">
        <v>100</v>
      </c>
      <c r="AI2843" s="474">
        <v>0</v>
      </c>
      <c r="AJ2843" s="474" t="s">
        <v>1641</v>
      </c>
      <c r="AK2843" s="474" t="s">
        <v>1085</v>
      </c>
      <c r="AL2843" s="494">
        <v>8071</v>
      </c>
      <c r="AM2843" s="474" t="s">
        <v>52</v>
      </c>
      <c r="AN2843" s="474" t="s">
        <v>1085</v>
      </c>
      <c r="AO2843" s="474"/>
      <c r="AP2843" s="474" t="s">
        <v>38</v>
      </c>
      <c r="AQ2843" s="474" t="s">
        <v>37</v>
      </c>
      <c r="AR2843" s="474"/>
      <c r="AS2843" s="387" t="s">
        <v>1076</v>
      </c>
      <c r="AT2843" s="387" t="s">
        <v>1076</v>
      </c>
      <c r="AU2843" s="471"/>
    </row>
    <row r="2844" spans="1:55">
      <c r="A2844" s="410"/>
      <c r="B2844" s="407"/>
      <c r="C2844" s="407"/>
      <c r="D2844" s="474" t="s">
        <v>1066</v>
      </c>
      <c r="E2844" s="388"/>
      <c r="F2844" s="474" t="s">
        <v>1147</v>
      </c>
      <c r="G2844" s="474">
        <v>2022</v>
      </c>
      <c r="H2844" s="474">
        <v>12</v>
      </c>
      <c r="I2844" s="485"/>
      <c r="J2844" s="475"/>
      <c r="K2844" s="474">
        <v>7700010822</v>
      </c>
      <c r="L2844" s="475" t="s">
        <v>1561</v>
      </c>
      <c r="M2844" s="475">
        <v>44468</v>
      </c>
      <c r="N2844" s="475" t="s">
        <v>1409</v>
      </c>
      <c r="O2844" s="475"/>
      <c r="P2844" s="475"/>
      <c r="Q2844" s="475"/>
      <c r="R2844" s="475"/>
      <c r="S2844" s="474" t="s">
        <v>1563</v>
      </c>
      <c r="T2844" s="474">
        <v>60</v>
      </c>
      <c r="U2844" s="474" t="s">
        <v>1630</v>
      </c>
      <c r="V2844" s="474" t="s">
        <v>1574</v>
      </c>
      <c r="W2844" s="476">
        <v>400</v>
      </c>
      <c r="X2844" s="402">
        <v>100022</v>
      </c>
      <c r="Y2844" s="491">
        <f t="shared" si="477"/>
        <v>40008800</v>
      </c>
      <c r="Z2844" s="478">
        <v>0.55000000000000004</v>
      </c>
      <c r="AA2844" s="492">
        <f>Z2844*Y2844</f>
        <v>22004840</v>
      </c>
      <c r="AB2844" s="386"/>
      <c r="AC2844" s="481">
        <v>0</v>
      </c>
      <c r="AD2844" s="474"/>
      <c r="AE2844" s="482"/>
      <c r="AF2844" s="493">
        <f>AA2844+AE2844</f>
        <v>22004840</v>
      </c>
      <c r="AG2844" s="474" t="s">
        <v>47</v>
      </c>
      <c r="AH2844" s="447"/>
      <c r="AI2844" s="474">
        <v>75</v>
      </c>
      <c r="AJ2844" s="474" t="s">
        <v>1580</v>
      </c>
      <c r="AK2844" s="474" t="s">
        <v>1073</v>
      </c>
      <c r="AL2844" s="494">
        <v>21075</v>
      </c>
      <c r="AM2844" s="474" t="s">
        <v>52</v>
      </c>
      <c r="AN2844" s="474" t="s">
        <v>50</v>
      </c>
      <c r="AO2844" s="474"/>
      <c r="AP2844" s="474" t="s">
        <v>92</v>
      </c>
      <c r="AQ2844" s="474" t="s">
        <v>37</v>
      </c>
      <c r="AR2844" s="474"/>
      <c r="AS2844" s="387"/>
      <c r="AT2844" s="387"/>
      <c r="AU2844" s="471"/>
    </row>
    <row r="2845" spans="1:55">
      <c r="A2845" s="410"/>
      <c r="B2845" s="407"/>
      <c r="C2845" s="407"/>
      <c r="D2845" s="474" t="s">
        <v>1066</v>
      </c>
      <c r="E2845" s="388" t="s">
        <v>1642</v>
      </c>
      <c r="F2845" s="474" t="s">
        <v>1077</v>
      </c>
      <c r="G2845" s="474">
        <v>2022</v>
      </c>
      <c r="H2845" s="474">
        <v>5</v>
      </c>
      <c r="I2845" s="485"/>
      <c r="J2845" s="475"/>
      <c r="K2845" s="474" t="s">
        <v>1638</v>
      </c>
      <c r="L2845" s="475" t="s">
        <v>1639</v>
      </c>
      <c r="M2845" s="475">
        <v>44489</v>
      </c>
      <c r="N2845" s="475">
        <v>44489</v>
      </c>
      <c r="O2845" s="475"/>
      <c r="P2845" s="475" t="s">
        <v>1515</v>
      </c>
      <c r="Q2845" s="475"/>
      <c r="R2845" s="475"/>
      <c r="S2845" s="474" t="s">
        <v>1102</v>
      </c>
      <c r="T2845" s="474">
        <v>72</v>
      </c>
      <c r="U2845" s="474" t="s">
        <v>1202</v>
      </c>
      <c r="V2845" s="474" t="s">
        <v>1188</v>
      </c>
      <c r="W2845" s="476">
        <v>425</v>
      </c>
      <c r="X2845" s="402">
        <v>986</v>
      </c>
      <c r="Y2845" s="491">
        <f t="shared" si="477"/>
        <v>419050</v>
      </c>
      <c r="Z2845" s="478">
        <v>0.44</v>
      </c>
      <c r="AA2845" s="492">
        <f>Y2845*Z2845</f>
        <v>184382</v>
      </c>
      <c r="AB2845" s="386"/>
      <c r="AC2845" s="481">
        <v>0</v>
      </c>
      <c r="AD2845" s="474"/>
      <c r="AE2845" s="482"/>
      <c r="AF2845" s="493">
        <f t="shared" ref="AF2845:AF2884" si="480">AE2845+AD2845+AA2845</f>
        <v>184382</v>
      </c>
      <c r="AG2845" s="474" t="s">
        <v>1071</v>
      </c>
      <c r="AH2845" s="447">
        <v>100</v>
      </c>
      <c r="AI2845" s="474">
        <v>0</v>
      </c>
      <c r="AJ2845" s="474" t="s">
        <v>1641</v>
      </c>
      <c r="AK2845" s="474" t="s">
        <v>1085</v>
      </c>
      <c r="AL2845" s="494">
        <v>8071</v>
      </c>
      <c r="AM2845" s="474" t="s">
        <v>52</v>
      </c>
      <c r="AN2845" s="474" t="s">
        <v>1085</v>
      </c>
      <c r="AO2845" s="474"/>
      <c r="AP2845" s="474" t="s">
        <v>38</v>
      </c>
      <c r="AQ2845" s="474" t="s">
        <v>37</v>
      </c>
      <c r="AR2845" s="474"/>
      <c r="AS2845" s="387" t="s">
        <v>1076</v>
      </c>
      <c r="AT2845" s="387" t="s">
        <v>1076</v>
      </c>
      <c r="AU2845" s="471"/>
    </row>
    <row r="2846" spans="1:55">
      <c r="A2846" s="410"/>
      <c r="B2846" s="407"/>
      <c r="C2846" s="407"/>
      <c r="D2846" s="474" t="s">
        <v>1066</v>
      </c>
      <c r="E2846" s="388" t="s">
        <v>1642</v>
      </c>
      <c r="F2846" s="474" t="s">
        <v>1077</v>
      </c>
      <c r="G2846" s="474">
        <v>2022</v>
      </c>
      <c r="H2846" s="474">
        <v>5</v>
      </c>
      <c r="I2846" s="485"/>
      <c r="J2846" s="475"/>
      <c r="K2846" s="474" t="s">
        <v>1638</v>
      </c>
      <c r="L2846" s="475" t="s">
        <v>1639</v>
      </c>
      <c r="M2846" s="475">
        <v>44489</v>
      </c>
      <c r="N2846" s="475">
        <v>44489</v>
      </c>
      <c r="O2846" s="475"/>
      <c r="P2846" s="475" t="s">
        <v>1515</v>
      </c>
      <c r="Q2846" s="475"/>
      <c r="R2846" s="475"/>
      <c r="S2846" s="474" t="s">
        <v>1102</v>
      </c>
      <c r="T2846" s="474">
        <v>72</v>
      </c>
      <c r="U2846" s="474">
        <v>46108145</v>
      </c>
      <c r="V2846" s="474" t="s">
        <v>1188</v>
      </c>
      <c r="W2846" s="476">
        <v>425</v>
      </c>
      <c r="X2846" s="402">
        <f>464-116</f>
        <v>348</v>
      </c>
      <c r="Y2846" s="491">
        <f t="shared" si="477"/>
        <v>147900</v>
      </c>
      <c r="Z2846" s="478">
        <v>0.44</v>
      </c>
      <c r="AA2846" s="492">
        <f>Y2846*Z2846</f>
        <v>65076</v>
      </c>
      <c r="AB2846" s="386"/>
      <c r="AC2846" s="481">
        <v>0</v>
      </c>
      <c r="AD2846" s="474"/>
      <c r="AE2846" s="482"/>
      <c r="AF2846" s="493">
        <f t="shared" si="480"/>
        <v>65076</v>
      </c>
      <c r="AG2846" s="474" t="s">
        <v>1071</v>
      </c>
      <c r="AH2846" s="447">
        <v>100</v>
      </c>
      <c r="AI2846" s="474">
        <v>0</v>
      </c>
      <c r="AJ2846" s="474" t="s">
        <v>1641</v>
      </c>
      <c r="AK2846" s="474" t="s">
        <v>1085</v>
      </c>
      <c r="AL2846" s="494">
        <v>8071</v>
      </c>
      <c r="AM2846" s="474" t="s">
        <v>52</v>
      </c>
      <c r="AN2846" s="474" t="s">
        <v>1074</v>
      </c>
      <c r="AO2846" s="474"/>
      <c r="AP2846" s="474"/>
      <c r="AQ2846" s="474" t="s">
        <v>37</v>
      </c>
      <c r="AR2846" s="474"/>
      <c r="AS2846" s="387" t="s">
        <v>1076</v>
      </c>
      <c r="AT2846" s="387" t="s">
        <v>1076</v>
      </c>
      <c r="AU2846" s="471"/>
    </row>
    <row r="2847" spans="1:55">
      <c r="A2847" s="410"/>
      <c r="B2847" s="407"/>
      <c r="C2847" s="407"/>
      <c r="D2847" s="474" t="s">
        <v>1066</v>
      </c>
      <c r="E2847" s="388" t="s">
        <v>5403</v>
      </c>
      <c r="F2847" s="474" t="s">
        <v>1077</v>
      </c>
      <c r="G2847" s="474">
        <v>2022</v>
      </c>
      <c r="H2847" s="474">
        <v>5</v>
      </c>
      <c r="I2847" s="485"/>
      <c r="J2847" s="475"/>
      <c r="K2847" s="474" t="s">
        <v>1643</v>
      </c>
      <c r="L2847" s="475" t="s">
        <v>1644</v>
      </c>
      <c r="M2847" s="475">
        <v>44510</v>
      </c>
      <c r="N2847" s="475">
        <v>44566</v>
      </c>
      <c r="O2847" s="475">
        <v>44681</v>
      </c>
      <c r="P2847" s="475"/>
      <c r="Q2847" s="475"/>
      <c r="R2847" s="475"/>
      <c r="S2847" s="474" t="s">
        <v>1069</v>
      </c>
      <c r="T2847" s="474">
        <v>72</v>
      </c>
      <c r="U2847" s="474">
        <v>49303155</v>
      </c>
      <c r="V2847" s="474" t="s">
        <v>1070</v>
      </c>
      <c r="W2847" s="476">
        <v>475</v>
      </c>
      <c r="X2847" s="402">
        <v>638</v>
      </c>
      <c r="Y2847" s="491">
        <f t="shared" si="477"/>
        <v>303050</v>
      </c>
      <c r="Z2847" s="478">
        <v>0.45</v>
      </c>
      <c r="AA2847" s="492">
        <f>Z2847*Y2847</f>
        <v>136372.5</v>
      </c>
      <c r="AB2847" s="386"/>
      <c r="AC2847" s="481">
        <f>AB2847*Y2847</f>
        <v>0</v>
      </c>
      <c r="AD2847" s="474"/>
      <c r="AE2847" s="482"/>
      <c r="AF2847" s="493">
        <f t="shared" si="480"/>
        <v>136372.5</v>
      </c>
      <c r="AG2847" s="474" t="s">
        <v>1071</v>
      </c>
      <c r="AH2847" s="447">
        <v>10</v>
      </c>
      <c r="AI2847" s="474">
        <v>30</v>
      </c>
      <c r="AJ2847" s="474" t="s">
        <v>1645</v>
      </c>
      <c r="AK2847" s="474" t="s">
        <v>1096</v>
      </c>
      <c r="AL2847" s="494">
        <v>2072</v>
      </c>
      <c r="AM2847" s="474" t="s">
        <v>52</v>
      </c>
      <c r="AN2847" s="474" t="s">
        <v>1074</v>
      </c>
      <c r="AO2847" s="474"/>
      <c r="AP2847" s="474"/>
      <c r="AQ2847" s="474" t="s">
        <v>1086</v>
      </c>
      <c r="AR2847" s="474"/>
      <c r="AS2847" s="387" t="s">
        <v>1087</v>
      </c>
      <c r="AT2847" s="387" t="s">
        <v>1076</v>
      </c>
      <c r="AU2847" s="471"/>
    </row>
    <row r="2848" spans="1:55">
      <c r="A2848" s="410"/>
      <c r="B2848" s="407"/>
      <c r="C2848" s="407"/>
      <c r="D2848" s="474" t="s">
        <v>1066</v>
      </c>
      <c r="E2848" s="388" t="s">
        <v>5403</v>
      </c>
      <c r="F2848" s="474" t="s">
        <v>1077</v>
      </c>
      <c r="G2848" s="474">
        <v>2022</v>
      </c>
      <c r="H2848" s="474">
        <v>5</v>
      </c>
      <c r="I2848" s="485">
        <v>2005089</v>
      </c>
      <c r="J2848" s="475"/>
      <c r="K2848" s="474" t="s">
        <v>1646</v>
      </c>
      <c r="L2848" s="475" t="s">
        <v>1644</v>
      </c>
      <c r="M2848" s="475">
        <v>44510</v>
      </c>
      <c r="N2848" s="475">
        <v>44644</v>
      </c>
      <c r="O2848" s="475"/>
      <c r="P2848" s="475"/>
      <c r="Q2848" s="475"/>
      <c r="R2848" s="475"/>
      <c r="S2848" s="474" t="s">
        <v>1069</v>
      </c>
      <c r="T2848" s="474">
        <v>72</v>
      </c>
      <c r="U2848" s="474" t="s">
        <v>1103</v>
      </c>
      <c r="V2848" s="474" t="s">
        <v>995</v>
      </c>
      <c r="W2848" s="476">
        <v>475</v>
      </c>
      <c r="X2848" s="402">
        <v>638</v>
      </c>
      <c r="Y2848" s="491">
        <f t="shared" si="477"/>
        <v>303050</v>
      </c>
      <c r="Z2848" s="478">
        <v>0.46500000000000002</v>
      </c>
      <c r="AA2848" s="492">
        <f>Z2848*Y2848</f>
        <v>140918.25</v>
      </c>
      <c r="AB2848" s="386"/>
      <c r="AC2848" s="481">
        <f>AB2848*Y2848</f>
        <v>0</v>
      </c>
      <c r="AD2848" s="474"/>
      <c r="AE2848" s="482"/>
      <c r="AF2848" s="493">
        <f t="shared" si="480"/>
        <v>140918.25</v>
      </c>
      <c r="AG2848" s="474" t="s">
        <v>1071</v>
      </c>
      <c r="AH2848" s="447">
        <v>10</v>
      </c>
      <c r="AI2848" s="474">
        <v>30</v>
      </c>
      <c r="AJ2848" s="474" t="s">
        <v>1645</v>
      </c>
      <c r="AK2848" s="474" t="s">
        <v>1096</v>
      </c>
      <c r="AL2848" s="494">
        <v>2072</v>
      </c>
      <c r="AM2848" s="474" t="s">
        <v>52</v>
      </c>
      <c r="AN2848" s="474" t="s">
        <v>1085</v>
      </c>
      <c r="AO2848" s="474"/>
      <c r="AP2848" s="474" t="s">
        <v>92</v>
      </c>
      <c r="AQ2848" s="474" t="s">
        <v>1086</v>
      </c>
      <c r="AR2848" s="474"/>
      <c r="AS2848" s="387" t="s">
        <v>1087</v>
      </c>
      <c r="AT2848" s="387" t="s">
        <v>1076</v>
      </c>
      <c r="AU2848" s="471"/>
    </row>
    <row r="2849" spans="1:47">
      <c r="A2849" s="410"/>
      <c r="B2849" s="407"/>
      <c r="C2849" s="407"/>
      <c r="D2849" s="474" t="s">
        <v>1066</v>
      </c>
      <c r="E2849" s="388" t="s">
        <v>1097</v>
      </c>
      <c r="F2849" s="474"/>
      <c r="G2849" s="474">
        <v>2022</v>
      </c>
      <c r="H2849" s="474">
        <v>11</v>
      </c>
      <c r="I2849" s="485"/>
      <c r="J2849" s="475"/>
      <c r="K2849" s="474" t="s">
        <v>5592</v>
      </c>
      <c r="L2849" s="475" t="s">
        <v>1089</v>
      </c>
      <c r="M2849" s="475">
        <v>44676</v>
      </c>
      <c r="N2849" s="475">
        <v>44866</v>
      </c>
      <c r="O2849" s="475"/>
      <c r="P2849" s="475"/>
      <c r="Q2849" s="475"/>
      <c r="R2849" s="475"/>
      <c r="S2849" s="474" t="s">
        <v>1069</v>
      </c>
      <c r="T2849" s="474">
        <v>72</v>
      </c>
      <c r="U2849" s="474"/>
      <c r="V2849" s="474" t="s">
        <v>1070</v>
      </c>
      <c r="W2849" s="476">
        <v>480</v>
      </c>
      <c r="X2849" s="402">
        <v>638</v>
      </c>
      <c r="Y2849" s="491">
        <f t="shared" si="477"/>
        <v>306240</v>
      </c>
      <c r="Z2849" s="478">
        <v>0.59</v>
      </c>
      <c r="AA2849" s="479">
        <f>Y2849*Z2849</f>
        <v>180681.59999999998</v>
      </c>
      <c r="AB2849" s="386"/>
      <c r="AC2849" s="481">
        <v>0</v>
      </c>
      <c r="AD2849" s="474"/>
      <c r="AE2849" s="482"/>
      <c r="AF2849" s="493">
        <f t="shared" si="480"/>
        <v>180681.59999999998</v>
      </c>
      <c r="AG2849" s="474" t="s">
        <v>1071</v>
      </c>
      <c r="AH2849" s="447">
        <v>10</v>
      </c>
      <c r="AI2849" s="474">
        <v>30</v>
      </c>
      <c r="AJ2849" s="474" t="s">
        <v>1095</v>
      </c>
      <c r="AK2849" s="474" t="s">
        <v>1096</v>
      </c>
      <c r="AL2849" s="494">
        <v>1719</v>
      </c>
      <c r="AM2849" s="474" t="s">
        <v>52</v>
      </c>
      <c r="AN2849" s="474" t="s">
        <v>1085</v>
      </c>
      <c r="AO2849" s="474"/>
      <c r="AP2849" s="474" t="s">
        <v>92</v>
      </c>
      <c r="AQ2849" s="474" t="s">
        <v>37</v>
      </c>
      <c r="AR2849" s="474"/>
      <c r="AS2849" s="387"/>
      <c r="AT2849" s="387"/>
      <c r="AU2849" s="471"/>
    </row>
    <row r="2850" spans="1:47">
      <c r="A2850" s="410"/>
      <c r="B2850" s="407"/>
      <c r="C2850" s="407"/>
      <c r="D2850" s="474" t="s">
        <v>1066</v>
      </c>
      <c r="E2850" s="388"/>
      <c r="F2850" s="474" t="s">
        <v>1077</v>
      </c>
      <c r="G2850" s="474">
        <v>2022</v>
      </c>
      <c r="H2850" s="474">
        <v>3</v>
      </c>
      <c r="I2850" s="485">
        <v>127609</v>
      </c>
      <c r="J2850" s="475">
        <v>44648</v>
      </c>
      <c r="K2850" s="474" t="s">
        <v>1649</v>
      </c>
      <c r="L2850" s="475" t="s">
        <v>1644</v>
      </c>
      <c r="M2850" s="475">
        <v>44510</v>
      </c>
      <c r="N2850" s="475">
        <v>44602</v>
      </c>
      <c r="O2850" s="475"/>
      <c r="P2850" s="475">
        <v>44637</v>
      </c>
      <c r="Q2850" s="475">
        <v>44648</v>
      </c>
      <c r="R2850" s="475">
        <v>44649</v>
      </c>
      <c r="S2850" s="474" t="s">
        <v>1069</v>
      </c>
      <c r="T2850" s="474">
        <v>72</v>
      </c>
      <c r="U2850" s="474" t="s">
        <v>1082</v>
      </c>
      <c r="V2850" s="474" t="s">
        <v>995</v>
      </c>
      <c r="W2850" s="476">
        <v>475</v>
      </c>
      <c r="X2850" s="402">
        <v>638</v>
      </c>
      <c r="Y2850" s="491">
        <f t="shared" si="477"/>
        <v>303050</v>
      </c>
      <c r="Z2850" s="478">
        <v>0.46500000000000002</v>
      </c>
      <c r="AA2850" s="492">
        <f>Z2850*Y2850</f>
        <v>140918.25</v>
      </c>
      <c r="AB2850" s="386"/>
      <c r="AC2850" s="481">
        <f>AB2850*Y2850</f>
        <v>0</v>
      </c>
      <c r="AD2850" s="474"/>
      <c r="AE2850" s="482"/>
      <c r="AF2850" s="493">
        <f t="shared" si="480"/>
        <v>140918.25</v>
      </c>
      <c r="AG2850" s="474" t="s">
        <v>1071</v>
      </c>
      <c r="AH2850" s="447">
        <v>10</v>
      </c>
      <c r="AI2850" s="474">
        <v>30</v>
      </c>
      <c r="AJ2850" s="474" t="s">
        <v>1650</v>
      </c>
      <c r="AK2850" s="474" t="s">
        <v>1096</v>
      </c>
      <c r="AL2850" s="494">
        <v>1532</v>
      </c>
      <c r="AM2850" s="474" t="s">
        <v>52</v>
      </c>
      <c r="AN2850" s="474" t="s">
        <v>1085</v>
      </c>
      <c r="AO2850" s="474"/>
      <c r="AP2850" s="474" t="s">
        <v>92</v>
      </c>
      <c r="AQ2850" s="474" t="s">
        <v>1086</v>
      </c>
      <c r="AR2850" s="474"/>
      <c r="AS2850" s="387" t="s">
        <v>1087</v>
      </c>
      <c r="AT2850" s="387" t="s">
        <v>1076</v>
      </c>
      <c r="AU2850" s="471"/>
    </row>
    <row r="2851" spans="1:47">
      <c r="A2851" s="410"/>
      <c r="B2851" s="407"/>
      <c r="C2851" s="407"/>
      <c r="D2851" s="474" t="s">
        <v>1066</v>
      </c>
      <c r="E2851" s="388" t="s">
        <v>5459</v>
      </c>
      <c r="F2851" s="474"/>
      <c r="G2851" s="474">
        <v>2022</v>
      </c>
      <c r="H2851" s="474">
        <v>11</v>
      </c>
      <c r="I2851" s="485"/>
      <c r="J2851" s="475"/>
      <c r="K2851" s="474" t="s">
        <v>1184</v>
      </c>
      <c r="L2851" s="475" t="s">
        <v>1174</v>
      </c>
      <c r="M2851" s="475">
        <v>44656</v>
      </c>
      <c r="N2851" s="475">
        <v>44866</v>
      </c>
      <c r="O2851" s="475"/>
      <c r="P2851" s="475"/>
      <c r="Q2851" s="475"/>
      <c r="R2851" s="475"/>
      <c r="S2851" s="474" t="s">
        <v>1069</v>
      </c>
      <c r="T2851" s="474">
        <v>72</v>
      </c>
      <c r="U2851" s="474"/>
      <c r="V2851" s="474" t="s">
        <v>1070</v>
      </c>
      <c r="W2851" s="476">
        <v>480</v>
      </c>
      <c r="X2851" s="402">
        <v>1276</v>
      </c>
      <c r="Y2851" s="491">
        <f t="shared" si="477"/>
        <v>612480</v>
      </c>
      <c r="Z2851" s="478">
        <v>0.5</v>
      </c>
      <c r="AA2851" s="479">
        <f>Y2851*Z2851</f>
        <v>306240</v>
      </c>
      <c r="AB2851" s="386"/>
      <c r="AC2851" s="481">
        <v>0</v>
      </c>
      <c r="AD2851" s="474"/>
      <c r="AE2851" s="482"/>
      <c r="AF2851" s="493">
        <f t="shared" si="480"/>
        <v>306240</v>
      </c>
      <c r="AG2851" s="474" t="s">
        <v>1071</v>
      </c>
      <c r="AH2851" s="447"/>
      <c r="AI2851" s="474">
        <v>60</v>
      </c>
      <c r="AJ2851" s="474" t="s">
        <v>1175</v>
      </c>
      <c r="AK2851" s="474" t="s">
        <v>1138</v>
      </c>
      <c r="AL2851" s="494" t="s">
        <v>1176</v>
      </c>
      <c r="AM2851" s="474" t="s">
        <v>52</v>
      </c>
      <c r="AN2851" s="474" t="s">
        <v>1109</v>
      </c>
      <c r="AO2851" s="474"/>
      <c r="AP2851" s="474" t="s">
        <v>1109</v>
      </c>
      <c r="AQ2851" s="474" t="s">
        <v>37</v>
      </c>
      <c r="AR2851" s="474"/>
      <c r="AS2851" s="387"/>
      <c r="AT2851" s="387"/>
      <c r="AU2851" s="471"/>
    </row>
    <row r="2852" spans="1:47">
      <c r="A2852" s="410"/>
      <c r="B2852" s="407"/>
      <c r="C2852" s="407"/>
      <c r="D2852" s="474" t="s">
        <v>1066</v>
      </c>
      <c r="E2852" s="388" t="s">
        <v>1097</v>
      </c>
      <c r="F2852" s="474" t="s">
        <v>1077</v>
      </c>
      <c r="G2852" s="474">
        <v>2022</v>
      </c>
      <c r="H2852" s="474">
        <v>8</v>
      </c>
      <c r="I2852" s="485"/>
      <c r="J2852" s="475"/>
      <c r="K2852" s="474" t="s">
        <v>1652</v>
      </c>
      <c r="L2852" s="475" t="s">
        <v>1644</v>
      </c>
      <c r="M2852" s="475">
        <v>44656</v>
      </c>
      <c r="N2852" s="475">
        <v>44788</v>
      </c>
      <c r="O2852" s="475"/>
      <c r="P2852" s="475"/>
      <c r="Q2852" s="475"/>
      <c r="R2852" s="475"/>
      <c r="S2852" s="474" t="s">
        <v>1069</v>
      </c>
      <c r="T2852" s="474">
        <v>72</v>
      </c>
      <c r="U2852" s="474"/>
      <c r="V2852" s="474" t="s">
        <v>1070</v>
      </c>
      <c r="W2852" s="476">
        <v>475</v>
      </c>
      <c r="X2852" s="402">
        <v>1276</v>
      </c>
      <c r="Y2852" s="491">
        <f t="shared" si="477"/>
        <v>606100</v>
      </c>
      <c r="Z2852" s="478">
        <v>0.56999999999999995</v>
      </c>
      <c r="AA2852" s="492">
        <f>Z2852*Y2852</f>
        <v>345476.99999999994</v>
      </c>
      <c r="AB2852" s="386"/>
      <c r="AC2852" s="481">
        <f>AB2852*Y2852</f>
        <v>0</v>
      </c>
      <c r="AD2852" s="474"/>
      <c r="AE2852" s="482"/>
      <c r="AF2852" s="493">
        <f t="shared" si="480"/>
        <v>345476.99999999994</v>
      </c>
      <c r="AG2852" s="474" t="s">
        <v>1071</v>
      </c>
      <c r="AH2852" s="447">
        <v>10</v>
      </c>
      <c r="AI2852" s="474">
        <v>30</v>
      </c>
      <c r="AJ2852" s="474" t="s">
        <v>1487</v>
      </c>
      <c r="AK2852" s="474" t="s">
        <v>1190</v>
      </c>
      <c r="AL2852" s="494">
        <v>6457</v>
      </c>
      <c r="AM2852" s="474" t="s">
        <v>52</v>
      </c>
      <c r="AN2852" s="474" t="s">
        <v>1085</v>
      </c>
      <c r="AO2852" s="474"/>
      <c r="AP2852" s="474" t="s">
        <v>92</v>
      </c>
      <c r="AQ2852" s="474" t="s">
        <v>1086</v>
      </c>
      <c r="AR2852" s="474"/>
      <c r="AS2852" s="387" t="s">
        <v>1087</v>
      </c>
      <c r="AT2852" s="387" t="s">
        <v>1076</v>
      </c>
      <c r="AU2852" s="471"/>
    </row>
    <row r="2853" spans="1:47">
      <c r="A2853" s="410"/>
      <c r="B2853" s="407"/>
      <c r="C2853" s="407"/>
      <c r="D2853" s="474" t="s">
        <v>1066</v>
      </c>
      <c r="E2853" s="388" t="s">
        <v>5403</v>
      </c>
      <c r="F2853" s="474" t="s">
        <v>1077</v>
      </c>
      <c r="G2853" s="474">
        <v>2022</v>
      </c>
      <c r="H2853" s="474">
        <v>5</v>
      </c>
      <c r="I2853" s="485">
        <v>2005090</v>
      </c>
      <c r="J2853" s="475"/>
      <c r="K2853" s="474" t="s">
        <v>1647</v>
      </c>
      <c r="L2853" s="475" t="s">
        <v>1644</v>
      </c>
      <c r="M2853" s="475">
        <v>44510</v>
      </c>
      <c r="N2853" s="475">
        <v>44699</v>
      </c>
      <c r="O2853" s="475"/>
      <c r="P2853" s="475"/>
      <c r="Q2853" s="475"/>
      <c r="R2853" s="475"/>
      <c r="S2853" s="474" t="s">
        <v>1069</v>
      </c>
      <c r="T2853" s="474">
        <v>72</v>
      </c>
      <c r="U2853" s="474"/>
      <c r="V2853" s="474" t="s">
        <v>1070</v>
      </c>
      <c r="W2853" s="476">
        <v>475</v>
      </c>
      <c r="X2853" s="402">
        <v>5742</v>
      </c>
      <c r="Y2853" s="491">
        <f t="shared" si="477"/>
        <v>2727450</v>
      </c>
      <c r="Z2853" s="478">
        <v>0.46500000000000002</v>
      </c>
      <c r="AA2853" s="492">
        <f>Z2853*Y2853</f>
        <v>1268264.25</v>
      </c>
      <c r="AB2853" s="386"/>
      <c r="AC2853" s="481">
        <f>AB2853*Y2853</f>
        <v>0</v>
      </c>
      <c r="AD2853" s="474"/>
      <c r="AE2853" s="482"/>
      <c r="AF2853" s="493">
        <f t="shared" si="480"/>
        <v>1268264.25</v>
      </c>
      <c r="AG2853" s="474" t="s">
        <v>1071</v>
      </c>
      <c r="AH2853" s="447">
        <v>10</v>
      </c>
      <c r="AI2853" s="474">
        <v>30</v>
      </c>
      <c r="AJ2853" s="474" t="s">
        <v>1109</v>
      </c>
      <c r="AK2853" s="474" t="s">
        <v>1109</v>
      </c>
      <c r="AL2853" s="494" t="s">
        <v>1109</v>
      </c>
      <c r="AM2853" s="474" t="s">
        <v>52</v>
      </c>
      <c r="AN2853" s="474" t="s">
        <v>1085</v>
      </c>
      <c r="AO2853" s="474"/>
      <c r="AP2853" s="474" t="s">
        <v>92</v>
      </c>
      <c r="AQ2853" s="474" t="s">
        <v>1086</v>
      </c>
      <c r="AR2853" s="474"/>
      <c r="AS2853" s="387" t="s">
        <v>1087</v>
      </c>
      <c r="AT2853" s="387" t="s">
        <v>1076</v>
      </c>
      <c r="AU2853" s="471"/>
    </row>
    <row r="2854" spans="1:47">
      <c r="A2854" s="410"/>
      <c r="B2854" s="407"/>
      <c r="C2854" s="407"/>
      <c r="D2854" s="474" t="s">
        <v>1066</v>
      </c>
      <c r="E2854" s="388" t="s">
        <v>5403</v>
      </c>
      <c r="F2854" s="474" t="s">
        <v>1077</v>
      </c>
      <c r="G2854" s="474">
        <v>2022</v>
      </c>
      <c r="H2854" s="474">
        <v>5</v>
      </c>
      <c r="I2854" s="485"/>
      <c r="J2854" s="475"/>
      <c r="K2854" s="474" t="s">
        <v>1653</v>
      </c>
      <c r="L2854" s="475" t="s">
        <v>1644</v>
      </c>
      <c r="M2854" s="475">
        <v>44510</v>
      </c>
      <c r="N2854" s="475">
        <v>44616</v>
      </c>
      <c r="O2854" s="475"/>
      <c r="P2854" s="475"/>
      <c r="Q2854" s="475"/>
      <c r="R2854" s="475"/>
      <c r="S2854" s="474" t="s">
        <v>1069</v>
      </c>
      <c r="T2854" s="474">
        <v>72</v>
      </c>
      <c r="U2854" s="474">
        <v>49301156</v>
      </c>
      <c r="V2854" s="474" t="s">
        <v>995</v>
      </c>
      <c r="W2854" s="476">
        <v>475</v>
      </c>
      <c r="X2854" s="402">
        <v>638</v>
      </c>
      <c r="Y2854" s="491">
        <f t="shared" si="477"/>
        <v>303050</v>
      </c>
      <c r="Z2854" s="478">
        <v>0.46500000000000002</v>
      </c>
      <c r="AA2854" s="492">
        <f>Z2854*Y2854</f>
        <v>140918.25</v>
      </c>
      <c r="AB2854" s="386"/>
      <c r="AC2854" s="481">
        <f>AB2854*Y2854</f>
        <v>0</v>
      </c>
      <c r="AD2854" s="474"/>
      <c r="AE2854" s="482"/>
      <c r="AF2854" s="493">
        <f t="shared" si="480"/>
        <v>140918.25</v>
      </c>
      <c r="AG2854" s="474" t="s">
        <v>1071</v>
      </c>
      <c r="AH2854" s="447">
        <v>10</v>
      </c>
      <c r="AI2854" s="474">
        <v>30</v>
      </c>
      <c r="AJ2854" s="474" t="s">
        <v>1645</v>
      </c>
      <c r="AK2854" s="474" t="s">
        <v>1096</v>
      </c>
      <c r="AL2854" s="494">
        <v>2072</v>
      </c>
      <c r="AM2854" s="474" t="s">
        <v>52</v>
      </c>
      <c r="AN2854" s="474" t="s">
        <v>1074</v>
      </c>
      <c r="AO2854" s="474"/>
      <c r="AP2854" s="474" t="s">
        <v>92</v>
      </c>
      <c r="AQ2854" s="474" t="s">
        <v>1086</v>
      </c>
      <c r="AR2854" s="474"/>
      <c r="AS2854" s="387" t="s">
        <v>1087</v>
      </c>
      <c r="AT2854" s="387" t="s">
        <v>1076</v>
      </c>
      <c r="AU2854" s="471"/>
    </row>
    <row r="2855" spans="1:47">
      <c r="A2855" s="410"/>
      <c r="B2855" s="407" t="s">
        <v>1211</v>
      </c>
      <c r="C2855" s="407" t="s">
        <v>1211</v>
      </c>
      <c r="D2855" s="474" t="s">
        <v>1066</v>
      </c>
      <c r="E2855" s="388" t="s">
        <v>5279</v>
      </c>
      <c r="F2855" s="474" t="s">
        <v>87</v>
      </c>
      <c r="G2855" s="474">
        <v>2022</v>
      </c>
      <c r="H2855" s="474">
        <v>11</v>
      </c>
      <c r="I2855" s="485"/>
      <c r="J2855" s="475"/>
      <c r="K2855" s="474" t="s">
        <v>1305</v>
      </c>
      <c r="L2855" s="475" t="s">
        <v>1295</v>
      </c>
      <c r="M2855" s="475">
        <v>44656</v>
      </c>
      <c r="N2855" s="475">
        <v>44866</v>
      </c>
      <c r="O2855" s="475"/>
      <c r="P2855" s="475"/>
      <c r="Q2855" s="475"/>
      <c r="R2855" s="475"/>
      <c r="S2855" s="474" t="s">
        <v>1069</v>
      </c>
      <c r="T2855" s="474">
        <v>72</v>
      </c>
      <c r="U2855" s="474"/>
      <c r="V2855" s="474" t="s">
        <v>1070</v>
      </c>
      <c r="W2855" s="476">
        <v>480</v>
      </c>
      <c r="X2855" s="402">
        <v>638</v>
      </c>
      <c r="Y2855" s="491">
        <f t="shared" si="477"/>
        <v>306240</v>
      </c>
      <c r="Z2855" s="478">
        <v>0.49</v>
      </c>
      <c r="AA2855" s="479">
        <f>Y2855*Z2855</f>
        <v>150057.60000000001</v>
      </c>
      <c r="AB2855" s="386"/>
      <c r="AC2855" s="481">
        <v>0</v>
      </c>
      <c r="AD2855" s="474"/>
      <c r="AE2855" s="482"/>
      <c r="AF2855" s="493">
        <f t="shared" si="480"/>
        <v>150057.60000000001</v>
      </c>
      <c r="AG2855" s="474" t="s">
        <v>1071</v>
      </c>
      <c r="AH2855" s="447"/>
      <c r="AI2855" s="474">
        <v>60</v>
      </c>
      <c r="AJ2855" s="474" t="s">
        <v>1296</v>
      </c>
      <c r="AK2855" s="474" t="s">
        <v>1297</v>
      </c>
      <c r="AL2855" s="494" t="s">
        <v>1298</v>
      </c>
      <c r="AM2855" s="474" t="s">
        <v>52</v>
      </c>
      <c r="AN2855" s="474" t="s">
        <v>1074</v>
      </c>
      <c r="AO2855" s="474"/>
      <c r="AP2855" s="474"/>
      <c r="AQ2855" s="474" t="s">
        <v>37</v>
      </c>
      <c r="AR2855" s="474"/>
      <c r="AS2855" s="387"/>
      <c r="AT2855" s="387"/>
      <c r="AU2855" s="471"/>
    </row>
    <row r="2856" spans="1:47">
      <c r="A2856" s="410"/>
      <c r="B2856" s="407"/>
      <c r="C2856" s="407"/>
      <c r="D2856" s="474" t="s">
        <v>1066</v>
      </c>
      <c r="E2856" s="388"/>
      <c r="F2856" s="474" t="s">
        <v>1077</v>
      </c>
      <c r="G2856" s="474">
        <v>2022</v>
      </c>
      <c r="H2856" s="663">
        <v>3</v>
      </c>
      <c r="I2856" s="681">
        <v>127826</v>
      </c>
      <c r="J2856" s="680">
        <v>44651</v>
      </c>
      <c r="K2856" s="663" t="s">
        <v>5460</v>
      </c>
      <c r="L2856" s="680" t="s">
        <v>1656</v>
      </c>
      <c r="M2856" s="475">
        <v>44490</v>
      </c>
      <c r="N2856" s="475">
        <v>44287</v>
      </c>
      <c r="O2856" s="475"/>
      <c r="P2856" s="475">
        <v>44644</v>
      </c>
      <c r="Q2856" s="475">
        <v>44651</v>
      </c>
      <c r="R2856" s="475">
        <v>44653</v>
      </c>
      <c r="S2856" s="474" t="s">
        <v>1102</v>
      </c>
      <c r="T2856" s="474">
        <v>72</v>
      </c>
      <c r="U2856" s="474">
        <v>49303156</v>
      </c>
      <c r="V2856" s="474" t="s">
        <v>1070</v>
      </c>
      <c r="W2856" s="476">
        <v>480</v>
      </c>
      <c r="X2856" s="402">
        <v>4002</v>
      </c>
      <c r="Y2856" s="491">
        <f t="shared" si="477"/>
        <v>1920960</v>
      </c>
      <c r="Z2856" s="478">
        <v>0.42</v>
      </c>
      <c r="AA2856" s="492">
        <f t="shared" ref="AA2856:AA2863" si="481">Z2856*Y2856</f>
        <v>806803.2</v>
      </c>
      <c r="AB2856" s="386"/>
      <c r="AC2856" s="481">
        <f t="shared" ref="AC2856:AC2863" si="482">AB2856*Y2856</f>
        <v>0</v>
      </c>
      <c r="AD2856" s="474"/>
      <c r="AE2856" s="482"/>
      <c r="AF2856" s="493">
        <f t="shared" si="480"/>
        <v>806803.2</v>
      </c>
      <c r="AG2856" s="474" t="s">
        <v>1071</v>
      </c>
      <c r="AH2856" s="447">
        <v>3</v>
      </c>
      <c r="AI2856" s="474">
        <v>60</v>
      </c>
      <c r="AJ2856" s="474" t="s">
        <v>1659</v>
      </c>
      <c r="AK2856" s="474" t="s">
        <v>1138</v>
      </c>
      <c r="AL2856" s="494" t="s">
        <v>1660</v>
      </c>
      <c r="AM2856" s="474" t="s">
        <v>52</v>
      </c>
      <c r="AN2856" s="474" t="s">
        <v>1074</v>
      </c>
      <c r="AO2856" s="474"/>
      <c r="AP2856" s="474"/>
      <c r="AQ2856" s="474" t="s">
        <v>1086</v>
      </c>
      <c r="AR2856" s="474"/>
      <c r="AS2856" s="387" t="s">
        <v>1087</v>
      </c>
      <c r="AT2856" s="387" t="s">
        <v>1076</v>
      </c>
      <c r="AU2856" s="471"/>
    </row>
    <row r="2857" spans="1:47">
      <c r="A2857" s="410"/>
      <c r="B2857" s="407"/>
      <c r="C2857" s="407"/>
      <c r="D2857" s="474" t="s">
        <v>1066</v>
      </c>
      <c r="E2857" s="388" t="s">
        <v>1661</v>
      </c>
      <c r="F2857" s="474" t="s">
        <v>1077</v>
      </c>
      <c r="G2857" s="474">
        <v>2022</v>
      </c>
      <c r="H2857" s="524">
        <v>3</v>
      </c>
      <c r="I2857" s="415">
        <v>127885</v>
      </c>
      <c r="J2857" s="538">
        <v>44651</v>
      </c>
      <c r="K2857" s="524" t="s">
        <v>5460</v>
      </c>
      <c r="L2857" s="538" t="s">
        <v>1656</v>
      </c>
      <c r="M2857" s="475">
        <v>44490</v>
      </c>
      <c r="N2857" s="475">
        <v>44287</v>
      </c>
      <c r="O2857" s="475"/>
      <c r="P2857" s="475">
        <v>44644</v>
      </c>
      <c r="Q2857" s="475">
        <v>44651</v>
      </c>
      <c r="R2857" s="475">
        <v>44653</v>
      </c>
      <c r="S2857" s="474" t="s">
        <v>1102</v>
      </c>
      <c r="T2857" s="474">
        <v>72</v>
      </c>
      <c r="U2857" s="474">
        <v>49303156</v>
      </c>
      <c r="V2857" s="474" t="s">
        <v>1070</v>
      </c>
      <c r="W2857" s="476">
        <v>480</v>
      </c>
      <c r="X2857" s="402">
        <v>1044</v>
      </c>
      <c r="Y2857" s="491">
        <f t="shared" si="477"/>
        <v>501120</v>
      </c>
      <c r="Z2857" s="478">
        <v>0.42</v>
      </c>
      <c r="AA2857" s="492">
        <f t="shared" si="481"/>
        <v>210470.39999999999</v>
      </c>
      <c r="AB2857" s="386"/>
      <c r="AC2857" s="481">
        <f t="shared" si="482"/>
        <v>0</v>
      </c>
      <c r="AD2857" s="474"/>
      <c r="AE2857" s="482"/>
      <c r="AF2857" s="493">
        <f t="shared" si="480"/>
        <v>210470.39999999999</v>
      </c>
      <c r="AG2857" s="474" t="s">
        <v>1071</v>
      </c>
      <c r="AH2857" s="447">
        <v>3</v>
      </c>
      <c r="AI2857" s="474">
        <v>60</v>
      </c>
      <c r="AJ2857" s="474" t="s">
        <v>1659</v>
      </c>
      <c r="AK2857" s="474" t="s">
        <v>1138</v>
      </c>
      <c r="AL2857" s="494" t="s">
        <v>1660</v>
      </c>
      <c r="AM2857" s="474" t="s">
        <v>52</v>
      </c>
      <c r="AN2857" s="474" t="s">
        <v>1074</v>
      </c>
      <c r="AO2857" s="474"/>
      <c r="AP2857" s="474"/>
      <c r="AQ2857" s="474" t="s">
        <v>1086</v>
      </c>
      <c r="AR2857" s="474"/>
      <c r="AS2857" s="387" t="s">
        <v>1087</v>
      </c>
      <c r="AT2857" s="387" t="s">
        <v>1076</v>
      </c>
      <c r="AU2857" s="471"/>
    </row>
    <row r="2858" spans="1:47">
      <c r="A2858" s="410"/>
      <c r="B2858" s="407"/>
      <c r="C2858" s="407"/>
      <c r="D2858" s="474" t="s">
        <v>1066</v>
      </c>
      <c r="E2858" s="388"/>
      <c r="F2858" s="474" t="s">
        <v>1077</v>
      </c>
      <c r="G2858" s="474">
        <v>2022</v>
      </c>
      <c r="H2858" s="474">
        <v>4</v>
      </c>
      <c r="I2858" s="485" t="s">
        <v>3023</v>
      </c>
      <c r="J2858" s="475">
        <v>44669</v>
      </c>
      <c r="K2858" s="474" t="s">
        <v>5460</v>
      </c>
      <c r="L2858" s="475" t="s">
        <v>1656</v>
      </c>
      <c r="M2858" s="475">
        <v>44490</v>
      </c>
      <c r="N2858" s="475">
        <v>44287</v>
      </c>
      <c r="O2858" s="475"/>
      <c r="P2858" s="475">
        <v>44644</v>
      </c>
      <c r="Q2858" s="475">
        <v>44669</v>
      </c>
      <c r="R2858" s="475">
        <v>44671</v>
      </c>
      <c r="S2858" s="474" t="s">
        <v>1102</v>
      </c>
      <c r="T2858" s="474">
        <v>72</v>
      </c>
      <c r="U2858" s="474">
        <v>49303156</v>
      </c>
      <c r="V2858" s="474" t="s">
        <v>1070</v>
      </c>
      <c r="W2858" s="476">
        <v>480</v>
      </c>
      <c r="X2858" s="402">
        <v>5452</v>
      </c>
      <c r="Y2858" s="491">
        <f t="shared" si="477"/>
        <v>2616960</v>
      </c>
      <c r="Z2858" s="478">
        <v>0.42</v>
      </c>
      <c r="AA2858" s="492">
        <f t="shared" si="481"/>
        <v>1099123.2</v>
      </c>
      <c r="AB2858" s="386"/>
      <c r="AC2858" s="481">
        <f t="shared" si="482"/>
        <v>0</v>
      </c>
      <c r="AD2858" s="474"/>
      <c r="AE2858" s="482"/>
      <c r="AF2858" s="493">
        <f t="shared" si="480"/>
        <v>1099123.2</v>
      </c>
      <c r="AG2858" s="474" t="s">
        <v>1071</v>
      </c>
      <c r="AH2858" s="447">
        <v>3</v>
      </c>
      <c r="AI2858" s="474">
        <v>60</v>
      </c>
      <c r="AJ2858" s="474" t="s">
        <v>1659</v>
      </c>
      <c r="AK2858" s="474" t="s">
        <v>1138</v>
      </c>
      <c r="AL2858" s="494" t="s">
        <v>1660</v>
      </c>
      <c r="AM2858" s="474" t="s">
        <v>52</v>
      </c>
      <c r="AN2858" s="474" t="s">
        <v>1106</v>
      </c>
      <c r="AO2858" s="474"/>
      <c r="AP2858" s="474"/>
      <c r="AQ2858" s="474" t="s">
        <v>1086</v>
      </c>
      <c r="AR2858" s="474"/>
      <c r="AS2858" s="387" t="s">
        <v>1087</v>
      </c>
      <c r="AT2858" s="387" t="s">
        <v>1076</v>
      </c>
      <c r="AU2858" s="471"/>
    </row>
    <row r="2859" spans="1:47">
      <c r="A2859" s="410"/>
      <c r="B2859" s="407"/>
      <c r="C2859" s="407"/>
      <c r="D2859" s="474" t="s">
        <v>1066</v>
      </c>
      <c r="E2859" s="388"/>
      <c r="F2859" s="474" t="s">
        <v>1077</v>
      </c>
      <c r="G2859" s="474">
        <v>2022</v>
      </c>
      <c r="H2859" s="474">
        <v>3</v>
      </c>
      <c r="I2859" s="485">
        <v>127654</v>
      </c>
      <c r="J2859" s="475">
        <v>44650</v>
      </c>
      <c r="K2859" s="474" t="s">
        <v>1662</v>
      </c>
      <c r="L2859" s="475" t="s">
        <v>1656</v>
      </c>
      <c r="M2859" s="475">
        <v>44490</v>
      </c>
      <c r="N2859" s="475">
        <v>44287</v>
      </c>
      <c r="O2859" s="475"/>
      <c r="P2859" s="475">
        <v>44641</v>
      </c>
      <c r="Q2859" s="475">
        <v>44650</v>
      </c>
      <c r="R2859" s="475">
        <v>44651</v>
      </c>
      <c r="S2859" s="474" t="s">
        <v>1102</v>
      </c>
      <c r="T2859" s="474">
        <v>72</v>
      </c>
      <c r="U2859" s="474" t="s">
        <v>1389</v>
      </c>
      <c r="V2859" s="474" t="s">
        <v>1070</v>
      </c>
      <c r="W2859" s="476">
        <v>475</v>
      </c>
      <c r="X2859" s="402">
        <f>4988-608</f>
        <v>4380</v>
      </c>
      <c r="Y2859" s="491">
        <f t="shared" si="477"/>
        <v>2080500</v>
      </c>
      <c r="Z2859" s="478">
        <v>0.42</v>
      </c>
      <c r="AA2859" s="492">
        <f t="shared" si="481"/>
        <v>873810</v>
      </c>
      <c r="AB2859" s="386"/>
      <c r="AC2859" s="481">
        <f t="shared" si="482"/>
        <v>0</v>
      </c>
      <c r="AD2859" s="474"/>
      <c r="AE2859" s="482"/>
      <c r="AF2859" s="493">
        <f t="shared" si="480"/>
        <v>873810</v>
      </c>
      <c r="AG2859" s="474" t="s">
        <v>1071</v>
      </c>
      <c r="AH2859" s="447">
        <v>3</v>
      </c>
      <c r="AI2859" s="474">
        <v>60</v>
      </c>
      <c r="AJ2859" s="474" t="s">
        <v>1663</v>
      </c>
      <c r="AK2859" s="474" t="s">
        <v>1138</v>
      </c>
      <c r="AL2859" s="494">
        <v>12534</v>
      </c>
      <c r="AM2859" s="474" t="s">
        <v>52</v>
      </c>
      <c r="AN2859" s="474" t="s">
        <v>1085</v>
      </c>
      <c r="AO2859" s="474"/>
      <c r="AP2859" s="474" t="s">
        <v>38</v>
      </c>
      <c r="AQ2859" s="474" t="s">
        <v>1086</v>
      </c>
      <c r="AR2859" s="474"/>
      <c r="AS2859" s="387" t="s">
        <v>1087</v>
      </c>
      <c r="AT2859" s="387" t="s">
        <v>1076</v>
      </c>
      <c r="AU2859" s="471"/>
    </row>
    <row r="2860" spans="1:47">
      <c r="A2860" s="410"/>
      <c r="B2860" s="407"/>
      <c r="C2860" s="407"/>
      <c r="D2860" s="474" t="s">
        <v>1066</v>
      </c>
      <c r="E2860" s="388"/>
      <c r="F2860" s="474" t="s">
        <v>1077</v>
      </c>
      <c r="G2860" s="474">
        <v>2022</v>
      </c>
      <c r="H2860" s="474">
        <v>4</v>
      </c>
      <c r="I2860" s="485">
        <v>128147</v>
      </c>
      <c r="J2860" s="475">
        <v>44672</v>
      </c>
      <c r="K2860" s="474" t="s">
        <v>1662</v>
      </c>
      <c r="L2860" s="475" t="s">
        <v>1656</v>
      </c>
      <c r="M2860" s="475">
        <v>44490</v>
      </c>
      <c r="N2860" s="475">
        <v>44287</v>
      </c>
      <c r="O2860" s="475"/>
      <c r="P2860" s="475">
        <v>44641</v>
      </c>
      <c r="Q2860" s="475">
        <v>44672</v>
      </c>
      <c r="R2860" s="475">
        <v>44673</v>
      </c>
      <c r="S2860" s="474" t="s">
        <v>1102</v>
      </c>
      <c r="T2860" s="474">
        <v>72</v>
      </c>
      <c r="U2860" s="474" t="s">
        <v>1389</v>
      </c>
      <c r="V2860" s="474" t="s">
        <v>1070</v>
      </c>
      <c r="W2860" s="476">
        <v>475</v>
      </c>
      <c r="X2860" s="402">
        <v>608</v>
      </c>
      <c r="Y2860" s="491">
        <f t="shared" si="477"/>
        <v>288800</v>
      </c>
      <c r="Z2860" s="478">
        <v>0.42</v>
      </c>
      <c r="AA2860" s="492">
        <f t="shared" si="481"/>
        <v>121296</v>
      </c>
      <c r="AB2860" s="386"/>
      <c r="AC2860" s="481">
        <f t="shared" si="482"/>
        <v>0</v>
      </c>
      <c r="AD2860" s="474"/>
      <c r="AE2860" s="482"/>
      <c r="AF2860" s="493">
        <f t="shared" si="480"/>
        <v>121296</v>
      </c>
      <c r="AG2860" s="474" t="s">
        <v>1071</v>
      </c>
      <c r="AH2860" s="447">
        <v>3</v>
      </c>
      <c r="AI2860" s="474">
        <v>60</v>
      </c>
      <c r="AJ2860" s="474" t="s">
        <v>1663</v>
      </c>
      <c r="AK2860" s="474" t="s">
        <v>1138</v>
      </c>
      <c r="AL2860" s="494">
        <v>12534</v>
      </c>
      <c r="AM2860" s="474" t="s">
        <v>52</v>
      </c>
      <c r="AN2860" s="474" t="s">
        <v>1085</v>
      </c>
      <c r="AO2860" s="474"/>
      <c r="AP2860" s="474" t="s">
        <v>38</v>
      </c>
      <c r="AQ2860" s="474" t="s">
        <v>1086</v>
      </c>
      <c r="AR2860" s="474"/>
      <c r="AS2860" s="387" t="s">
        <v>1087</v>
      </c>
      <c r="AT2860" s="387" t="s">
        <v>1076</v>
      </c>
      <c r="AU2860" s="471"/>
    </row>
    <row r="2861" spans="1:47">
      <c r="A2861" s="410"/>
      <c r="B2861" s="407"/>
      <c r="C2861" s="407"/>
      <c r="D2861" s="474" t="s">
        <v>1066</v>
      </c>
      <c r="E2861" s="388" t="s">
        <v>5403</v>
      </c>
      <c r="F2861" s="474" t="s">
        <v>1077</v>
      </c>
      <c r="G2861" s="474">
        <v>2022</v>
      </c>
      <c r="H2861" s="474">
        <v>5</v>
      </c>
      <c r="I2861" s="485">
        <v>2005088</v>
      </c>
      <c r="J2861" s="475"/>
      <c r="K2861" s="474" t="s">
        <v>1654</v>
      </c>
      <c r="L2861" s="475" t="s">
        <v>1644</v>
      </c>
      <c r="M2861" s="475">
        <v>44510</v>
      </c>
      <c r="N2861" s="475">
        <v>44630</v>
      </c>
      <c r="O2861" s="475"/>
      <c r="P2861" s="475"/>
      <c r="Q2861" s="475"/>
      <c r="R2861" s="475"/>
      <c r="S2861" s="474" t="s">
        <v>1069</v>
      </c>
      <c r="T2861" s="474">
        <v>72</v>
      </c>
      <c r="U2861" s="474" t="s">
        <v>1082</v>
      </c>
      <c r="V2861" s="474" t="s">
        <v>995</v>
      </c>
      <c r="W2861" s="476">
        <v>475</v>
      </c>
      <c r="X2861" s="402">
        <v>638</v>
      </c>
      <c r="Y2861" s="491">
        <f t="shared" si="477"/>
        <v>303050</v>
      </c>
      <c r="Z2861" s="478">
        <v>0.46500000000000002</v>
      </c>
      <c r="AA2861" s="492">
        <f t="shared" si="481"/>
        <v>140918.25</v>
      </c>
      <c r="AB2861" s="386"/>
      <c r="AC2861" s="481">
        <f t="shared" si="482"/>
        <v>0</v>
      </c>
      <c r="AD2861" s="474"/>
      <c r="AE2861" s="482"/>
      <c r="AF2861" s="493">
        <f t="shared" si="480"/>
        <v>140918.25</v>
      </c>
      <c r="AG2861" s="474" t="s">
        <v>1071</v>
      </c>
      <c r="AH2861" s="447">
        <v>10</v>
      </c>
      <c r="AI2861" s="474">
        <v>30</v>
      </c>
      <c r="AJ2861" s="474" t="s">
        <v>1645</v>
      </c>
      <c r="AK2861" s="474" t="s">
        <v>1096</v>
      </c>
      <c r="AL2861" s="494">
        <v>2072</v>
      </c>
      <c r="AM2861" s="474" t="s">
        <v>52</v>
      </c>
      <c r="AN2861" s="474" t="s">
        <v>1085</v>
      </c>
      <c r="AO2861" s="474"/>
      <c r="AP2861" s="474" t="s">
        <v>92</v>
      </c>
      <c r="AQ2861" s="474" t="s">
        <v>1086</v>
      </c>
      <c r="AR2861" s="474"/>
      <c r="AS2861" s="387" t="s">
        <v>1087</v>
      </c>
      <c r="AT2861" s="387" t="s">
        <v>1076</v>
      </c>
      <c r="AU2861" s="471"/>
    </row>
    <row r="2862" spans="1:47">
      <c r="A2862" s="410"/>
      <c r="B2862" s="407"/>
      <c r="C2862" s="407"/>
      <c r="D2862" s="474" t="s">
        <v>1066</v>
      </c>
      <c r="E2862" s="388" t="s">
        <v>5403</v>
      </c>
      <c r="F2862" s="474" t="s">
        <v>1077</v>
      </c>
      <c r="G2862" s="474">
        <v>2022</v>
      </c>
      <c r="H2862" s="474">
        <v>5</v>
      </c>
      <c r="I2862" s="485"/>
      <c r="J2862" s="475"/>
      <c r="K2862" s="474">
        <v>2111420</v>
      </c>
      <c r="L2862" s="475" t="s">
        <v>1656</v>
      </c>
      <c r="M2862" s="475">
        <v>44490</v>
      </c>
      <c r="N2862" s="475">
        <v>44287</v>
      </c>
      <c r="O2862" s="475"/>
      <c r="P2862" s="475"/>
      <c r="Q2862" s="475"/>
      <c r="R2862" s="475"/>
      <c r="S2862" s="474" t="s">
        <v>1102</v>
      </c>
      <c r="T2862" s="474">
        <v>72</v>
      </c>
      <c r="U2862" s="474" t="s">
        <v>1082</v>
      </c>
      <c r="V2862" s="474" t="s">
        <v>1070</v>
      </c>
      <c r="W2862" s="476">
        <v>475</v>
      </c>
      <c r="X2862" s="402">
        <f>15689+58</f>
        <v>15747</v>
      </c>
      <c r="Y2862" s="491">
        <f t="shared" si="477"/>
        <v>7479825</v>
      </c>
      <c r="Z2862" s="478">
        <v>0.42</v>
      </c>
      <c r="AA2862" s="492">
        <f t="shared" si="481"/>
        <v>3141526.5</v>
      </c>
      <c r="AB2862" s="386"/>
      <c r="AC2862" s="481">
        <f t="shared" si="482"/>
        <v>0</v>
      </c>
      <c r="AD2862" s="474"/>
      <c r="AE2862" s="482"/>
      <c r="AF2862" s="493">
        <f t="shared" si="480"/>
        <v>3141526.5</v>
      </c>
      <c r="AG2862" s="474" t="s">
        <v>1071</v>
      </c>
      <c r="AH2862" s="447">
        <v>3</v>
      </c>
      <c r="AI2862" s="474">
        <v>60</v>
      </c>
      <c r="AJ2862" s="474" t="s">
        <v>1664</v>
      </c>
      <c r="AK2862" s="474" t="s">
        <v>1138</v>
      </c>
      <c r="AL2862" s="494" t="s">
        <v>1660</v>
      </c>
      <c r="AM2862" s="474" t="s">
        <v>52</v>
      </c>
      <c r="AN2862" s="474" t="s">
        <v>1085</v>
      </c>
      <c r="AO2862" s="474"/>
      <c r="AP2862" s="474" t="s">
        <v>38</v>
      </c>
      <c r="AQ2862" s="474" t="s">
        <v>1086</v>
      </c>
      <c r="AR2862" s="474"/>
      <c r="AS2862" s="387" t="s">
        <v>1087</v>
      </c>
      <c r="AT2862" s="387" t="s">
        <v>1076</v>
      </c>
      <c r="AU2862" s="471"/>
    </row>
    <row r="2863" spans="1:47">
      <c r="A2863" s="410"/>
      <c r="B2863" s="407"/>
      <c r="C2863" s="407"/>
      <c r="D2863" s="474" t="s">
        <v>1066</v>
      </c>
      <c r="E2863" s="388" t="s">
        <v>1666</v>
      </c>
      <c r="F2863" s="474" t="s">
        <v>1077</v>
      </c>
      <c r="G2863" s="474">
        <v>2022</v>
      </c>
      <c r="H2863" s="474">
        <v>5</v>
      </c>
      <c r="I2863" s="485"/>
      <c r="J2863" s="475"/>
      <c r="K2863" s="474" t="s">
        <v>1667</v>
      </c>
      <c r="L2863" s="475" t="s">
        <v>1656</v>
      </c>
      <c r="M2863" s="475">
        <v>44651</v>
      </c>
      <c r="N2863" s="475">
        <v>44659</v>
      </c>
      <c r="O2863" s="475"/>
      <c r="P2863" s="475" t="s">
        <v>1445</v>
      </c>
      <c r="Q2863" s="475"/>
      <c r="R2863" s="475"/>
      <c r="S2863" s="474" t="s">
        <v>1102</v>
      </c>
      <c r="T2863" s="474">
        <v>72</v>
      </c>
      <c r="U2863" s="474" t="s">
        <v>1668</v>
      </c>
      <c r="V2863" s="474" t="s">
        <v>1344</v>
      </c>
      <c r="W2863" s="476">
        <v>415</v>
      </c>
      <c r="X2863" s="402">
        <v>87</v>
      </c>
      <c r="Y2863" s="491">
        <f t="shared" si="477"/>
        <v>36105</v>
      </c>
      <c r="Z2863" s="478">
        <v>0.48</v>
      </c>
      <c r="AA2863" s="492">
        <f t="shared" si="481"/>
        <v>17330.399999999998</v>
      </c>
      <c r="AB2863" s="386"/>
      <c r="AC2863" s="481">
        <f t="shared" si="482"/>
        <v>0</v>
      </c>
      <c r="AD2863" s="474"/>
      <c r="AE2863" s="482"/>
      <c r="AF2863" s="493">
        <f t="shared" si="480"/>
        <v>17330.399999999998</v>
      </c>
      <c r="AG2863" s="474" t="s">
        <v>1071</v>
      </c>
      <c r="AH2863" s="447">
        <v>0</v>
      </c>
      <c r="AI2863" s="474">
        <v>45</v>
      </c>
      <c r="AJ2863" s="474" t="s">
        <v>1669</v>
      </c>
      <c r="AK2863" s="474" t="s">
        <v>1138</v>
      </c>
      <c r="AL2863" s="494">
        <v>13039</v>
      </c>
      <c r="AM2863" s="474" t="s">
        <v>52</v>
      </c>
      <c r="AN2863" s="474" t="s">
        <v>50</v>
      </c>
      <c r="AO2863" s="474"/>
      <c r="AP2863" s="474" t="s">
        <v>38</v>
      </c>
      <c r="AQ2863" s="474" t="s">
        <v>1086</v>
      </c>
      <c r="AR2863" s="474"/>
      <c r="AS2863" s="387" t="s">
        <v>1087</v>
      </c>
      <c r="AT2863" s="387" t="s">
        <v>1076</v>
      </c>
      <c r="AU2863" s="471"/>
    </row>
    <row r="2864" spans="1:47">
      <c r="A2864" s="410"/>
      <c r="B2864" s="407"/>
      <c r="C2864" s="407"/>
      <c r="D2864" s="474" t="s">
        <v>1066</v>
      </c>
      <c r="E2864" s="388" t="s">
        <v>1171</v>
      </c>
      <c r="F2864" s="474" t="s">
        <v>87</v>
      </c>
      <c r="G2864" s="474">
        <v>2022</v>
      </c>
      <c r="H2864" s="474">
        <v>11</v>
      </c>
      <c r="I2864" s="485"/>
      <c r="J2864" s="475"/>
      <c r="K2864" s="474" t="s">
        <v>1356</v>
      </c>
      <c r="L2864" s="475" t="s">
        <v>1353</v>
      </c>
      <c r="M2864" s="475">
        <v>44655</v>
      </c>
      <c r="N2864" s="475">
        <v>44866</v>
      </c>
      <c r="O2864" s="475"/>
      <c r="P2864" s="475"/>
      <c r="Q2864" s="475"/>
      <c r="R2864" s="475"/>
      <c r="S2864" s="474" t="s">
        <v>1069</v>
      </c>
      <c r="T2864" s="474">
        <v>72</v>
      </c>
      <c r="U2864" s="474">
        <v>49303155</v>
      </c>
      <c r="V2864" s="474" t="s">
        <v>1070</v>
      </c>
      <c r="W2864" s="476">
        <v>480</v>
      </c>
      <c r="X2864" s="402">
        <v>638</v>
      </c>
      <c r="Y2864" s="491">
        <f t="shared" si="477"/>
        <v>306240</v>
      </c>
      <c r="Z2864" s="478">
        <v>0.5</v>
      </c>
      <c r="AA2864" s="479">
        <f>Y2864*Z2864</f>
        <v>153120</v>
      </c>
      <c r="AB2864" s="386"/>
      <c r="AC2864" s="481">
        <v>0</v>
      </c>
      <c r="AD2864" s="474"/>
      <c r="AE2864" s="482"/>
      <c r="AF2864" s="493">
        <f t="shared" si="480"/>
        <v>153120</v>
      </c>
      <c r="AG2864" s="474" t="s">
        <v>1071</v>
      </c>
      <c r="AH2864" s="447"/>
      <c r="AI2864" s="474">
        <v>60</v>
      </c>
      <c r="AJ2864" s="474" t="s">
        <v>1205</v>
      </c>
      <c r="AK2864" s="474" t="s">
        <v>1138</v>
      </c>
      <c r="AL2864" s="494">
        <v>14624</v>
      </c>
      <c r="AM2864" s="474" t="s">
        <v>52</v>
      </c>
      <c r="AN2864" s="474" t="s">
        <v>1074</v>
      </c>
      <c r="AO2864" s="474"/>
      <c r="AP2864" s="474"/>
      <c r="AQ2864" s="474" t="s">
        <v>37</v>
      </c>
      <c r="AR2864" s="474"/>
      <c r="AS2864" s="387"/>
      <c r="AT2864" s="387"/>
      <c r="AU2864" s="471"/>
    </row>
    <row r="2865" spans="1:47">
      <c r="A2865" s="410"/>
      <c r="B2865" s="407"/>
      <c r="C2865" s="407"/>
      <c r="D2865" s="474" t="s">
        <v>1066</v>
      </c>
      <c r="E2865" s="388" t="s">
        <v>5195</v>
      </c>
      <c r="F2865" s="474" t="s">
        <v>1077</v>
      </c>
      <c r="G2865" s="474">
        <v>2022</v>
      </c>
      <c r="H2865" s="474">
        <v>11</v>
      </c>
      <c r="I2865" s="485"/>
      <c r="J2865" s="475"/>
      <c r="K2865" s="474" t="s">
        <v>1651</v>
      </c>
      <c r="L2865" s="475" t="s">
        <v>1644</v>
      </c>
      <c r="M2865" s="475">
        <v>44510</v>
      </c>
      <c r="N2865" s="475">
        <v>44881</v>
      </c>
      <c r="O2865" s="475"/>
      <c r="P2865" s="475"/>
      <c r="Q2865" s="475"/>
      <c r="R2865" s="475"/>
      <c r="S2865" s="474" t="s">
        <v>1069</v>
      </c>
      <c r="T2865" s="474">
        <v>72</v>
      </c>
      <c r="U2865" s="474"/>
      <c r="V2865" s="474" t="s">
        <v>1070</v>
      </c>
      <c r="W2865" s="476">
        <v>480</v>
      </c>
      <c r="X2865" s="402">
        <v>6380</v>
      </c>
      <c r="Y2865" s="491">
        <f t="shared" si="477"/>
        <v>3062400</v>
      </c>
      <c r="Z2865" s="478">
        <v>0.46500000000000002</v>
      </c>
      <c r="AA2865" s="492">
        <f t="shared" ref="AA2865:AA2870" si="483">Z2865*Y2865</f>
        <v>1424016</v>
      </c>
      <c r="AB2865" s="386"/>
      <c r="AC2865" s="481">
        <f t="shared" ref="AC2865:AC2870" si="484">AB2865*Y2865</f>
        <v>0</v>
      </c>
      <c r="AD2865" s="474"/>
      <c r="AE2865" s="482"/>
      <c r="AF2865" s="493">
        <f t="shared" si="480"/>
        <v>1424016</v>
      </c>
      <c r="AG2865" s="474" t="s">
        <v>1071</v>
      </c>
      <c r="AH2865" s="447">
        <v>10</v>
      </c>
      <c r="AI2865" s="474">
        <v>30</v>
      </c>
      <c r="AJ2865" s="474" t="s">
        <v>1109</v>
      </c>
      <c r="AK2865" s="474" t="s">
        <v>1109</v>
      </c>
      <c r="AL2865" s="494" t="s">
        <v>1109</v>
      </c>
      <c r="AM2865" s="474" t="s">
        <v>52</v>
      </c>
      <c r="AN2865" s="474" t="s">
        <v>1085</v>
      </c>
      <c r="AO2865" s="474"/>
      <c r="AP2865" s="474" t="s">
        <v>92</v>
      </c>
      <c r="AQ2865" s="474" t="s">
        <v>1086</v>
      </c>
      <c r="AR2865" s="474"/>
      <c r="AS2865" s="387" t="s">
        <v>1087</v>
      </c>
      <c r="AT2865" s="387" t="s">
        <v>1076</v>
      </c>
      <c r="AU2865" s="471"/>
    </row>
    <row r="2866" spans="1:47">
      <c r="A2866" s="410"/>
      <c r="B2866" s="407"/>
      <c r="C2866" s="407"/>
      <c r="D2866" s="474" t="s">
        <v>1066</v>
      </c>
      <c r="E2866" s="388" t="s">
        <v>1283</v>
      </c>
      <c r="F2866" s="474" t="s">
        <v>1077</v>
      </c>
      <c r="G2866" s="474">
        <v>2022</v>
      </c>
      <c r="H2866" s="474">
        <v>7</v>
      </c>
      <c r="I2866" s="485" t="s">
        <v>1091</v>
      </c>
      <c r="J2866" s="475"/>
      <c r="K2866" s="474" t="s">
        <v>1673</v>
      </c>
      <c r="L2866" s="475" t="s">
        <v>1671</v>
      </c>
      <c r="M2866" s="475">
        <v>44657</v>
      </c>
      <c r="N2866" s="475">
        <v>44743</v>
      </c>
      <c r="O2866" s="475"/>
      <c r="P2866" s="475"/>
      <c r="Q2866" s="475"/>
      <c r="R2866" s="475"/>
      <c r="S2866" s="474" t="s">
        <v>1388</v>
      </c>
      <c r="T2866" s="474">
        <v>72</v>
      </c>
      <c r="U2866" s="474"/>
      <c r="V2866" s="474" t="s">
        <v>1115</v>
      </c>
      <c r="W2866" s="476">
        <v>580</v>
      </c>
      <c r="X2866" s="402">
        <v>11745</v>
      </c>
      <c r="Y2866" s="491">
        <f t="shared" si="477"/>
        <v>6812100</v>
      </c>
      <c r="Z2866" s="478">
        <v>0.55000000000000004</v>
      </c>
      <c r="AA2866" s="492">
        <f t="shared" si="483"/>
        <v>3746655.0000000005</v>
      </c>
      <c r="AB2866" s="386"/>
      <c r="AC2866" s="481">
        <f t="shared" si="484"/>
        <v>0</v>
      </c>
      <c r="AD2866" s="474"/>
      <c r="AE2866" s="482"/>
      <c r="AF2866" s="493">
        <f t="shared" si="480"/>
        <v>3746655.0000000005</v>
      </c>
      <c r="AG2866" s="474" t="s">
        <v>47</v>
      </c>
      <c r="AH2866" s="447">
        <v>10</v>
      </c>
      <c r="AI2866" s="474">
        <v>30</v>
      </c>
      <c r="AJ2866" s="474" t="s">
        <v>1674</v>
      </c>
      <c r="AK2866" s="474" t="s">
        <v>1675</v>
      </c>
      <c r="AL2866" s="494" t="s">
        <v>1109</v>
      </c>
      <c r="AM2866" s="474" t="s">
        <v>52</v>
      </c>
      <c r="AN2866" s="474" t="s">
        <v>1074</v>
      </c>
      <c r="AO2866" s="474"/>
      <c r="AP2866" s="474"/>
      <c r="AQ2866" s="474" t="s">
        <v>1086</v>
      </c>
      <c r="AR2866" s="474"/>
      <c r="AS2866" s="387" t="s">
        <v>1087</v>
      </c>
      <c r="AT2866" s="387" t="s">
        <v>1076</v>
      </c>
      <c r="AU2866" s="471"/>
    </row>
    <row r="2867" spans="1:47">
      <c r="A2867" s="410"/>
      <c r="B2867" s="407"/>
      <c r="C2867" s="407"/>
      <c r="D2867" s="474" t="s">
        <v>1066</v>
      </c>
      <c r="E2867" s="388" t="s">
        <v>1283</v>
      </c>
      <c r="F2867" s="474" t="s">
        <v>1077</v>
      </c>
      <c r="G2867" s="474">
        <v>2022</v>
      </c>
      <c r="H2867" s="474">
        <v>7</v>
      </c>
      <c r="I2867" s="485" t="s">
        <v>1091</v>
      </c>
      <c r="J2867" s="475"/>
      <c r="K2867" s="474" t="s">
        <v>1673</v>
      </c>
      <c r="L2867" s="475" t="s">
        <v>1671</v>
      </c>
      <c r="M2867" s="475">
        <v>44657</v>
      </c>
      <c r="N2867" s="475">
        <v>44743</v>
      </c>
      <c r="O2867" s="475"/>
      <c r="P2867" s="475"/>
      <c r="Q2867" s="475"/>
      <c r="R2867" s="475"/>
      <c r="S2867" s="474" t="s">
        <v>1388</v>
      </c>
      <c r="T2867" s="474">
        <v>72</v>
      </c>
      <c r="U2867" s="474"/>
      <c r="V2867" s="474" t="s">
        <v>1115</v>
      </c>
      <c r="W2867" s="476">
        <v>580</v>
      </c>
      <c r="X2867" s="402">
        <v>2987</v>
      </c>
      <c r="Y2867" s="477">
        <f t="shared" si="477"/>
        <v>1732460</v>
      </c>
      <c r="Z2867" s="478">
        <v>0.55000000000000004</v>
      </c>
      <c r="AA2867" s="479">
        <f t="shared" si="483"/>
        <v>952853.00000000012</v>
      </c>
      <c r="AB2867" s="386"/>
      <c r="AC2867" s="481">
        <f t="shared" si="484"/>
        <v>0</v>
      </c>
      <c r="AD2867" s="474"/>
      <c r="AE2867" s="482"/>
      <c r="AF2867" s="493">
        <f t="shared" si="480"/>
        <v>952853.00000000012</v>
      </c>
      <c r="AG2867" s="474" t="s">
        <v>47</v>
      </c>
      <c r="AH2867" s="447">
        <v>10</v>
      </c>
      <c r="AI2867" s="474">
        <v>30</v>
      </c>
      <c r="AJ2867" s="474" t="s">
        <v>1672</v>
      </c>
      <c r="AK2867" s="474" t="s">
        <v>1096</v>
      </c>
      <c r="AL2867" s="494">
        <v>1915</v>
      </c>
      <c r="AM2867" s="474" t="s">
        <v>52</v>
      </c>
      <c r="AN2867" s="474" t="s">
        <v>1074</v>
      </c>
      <c r="AO2867" s="474"/>
      <c r="AP2867" s="474"/>
      <c r="AQ2867" s="474" t="s">
        <v>1086</v>
      </c>
      <c r="AR2867" s="474"/>
      <c r="AS2867" s="387" t="s">
        <v>1087</v>
      </c>
      <c r="AT2867" s="387" t="s">
        <v>1076</v>
      </c>
      <c r="AU2867" s="471"/>
    </row>
    <row r="2868" spans="1:47">
      <c r="A2868" s="410"/>
      <c r="B2868" s="407"/>
      <c r="C2868" s="407"/>
      <c r="D2868" s="474" t="s">
        <v>1066</v>
      </c>
      <c r="E2868" s="388" t="s">
        <v>1283</v>
      </c>
      <c r="F2868" s="474" t="s">
        <v>1077</v>
      </c>
      <c r="G2868" s="474">
        <v>2022</v>
      </c>
      <c r="H2868" s="474">
        <v>7</v>
      </c>
      <c r="I2868" s="485" t="s">
        <v>1091</v>
      </c>
      <c r="J2868" s="475"/>
      <c r="K2868" s="474" t="s">
        <v>1673</v>
      </c>
      <c r="L2868" s="475" t="s">
        <v>1671</v>
      </c>
      <c r="M2868" s="475">
        <v>44657</v>
      </c>
      <c r="N2868" s="475">
        <v>44743</v>
      </c>
      <c r="O2868" s="475"/>
      <c r="P2868" s="475"/>
      <c r="Q2868" s="475"/>
      <c r="R2868" s="475"/>
      <c r="S2868" s="474" t="s">
        <v>1388</v>
      </c>
      <c r="T2868" s="474">
        <v>72</v>
      </c>
      <c r="U2868" s="474"/>
      <c r="V2868" s="474" t="s">
        <v>1115</v>
      </c>
      <c r="W2868" s="476">
        <v>580</v>
      </c>
      <c r="X2868" s="402">
        <v>1160</v>
      </c>
      <c r="Y2868" s="491">
        <f t="shared" si="477"/>
        <v>672800</v>
      </c>
      <c r="Z2868" s="478">
        <v>0.55000000000000004</v>
      </c>
      <c r="AA2868" s="492">
        <f t="shared" si="483"/>
        <v>370040.00000000006</v>
      </c>
      <c r="AB2868" s="386"/>
      <c r="AC2868" s="481">
        <f t="shared" si="484"/>
        <v>0</v>
      </c>
      <c r="AD2868" s="474"/>
      <c r="AE2868" s="482"/>
      <c r="AF2868" s="493">
        <f t="shared" si="480"/>
        <v>370040.00000000006</v>
      </c>
      <c r="AG2868" s="474" t="s">
        <v>47</v>
      </c>
      <c r="AH2868" s="447">
        <v>10</v>
      </c>
      <c r="AI2868" s="474">
        <v>30</v>
      </c>
      <c r="AJ2868" s="474" t="s">
        <v>1672</v>
      </c>
      <c r="AK2868" s="474" t="s">
        <v>1096</v>
      </c>
      <c r="AL2868" s="494">
        <v>1915</v>
      </c>
      <c r="AM2868" s="474" t="s">
        <v>52</v>
      </c>
      <c r="AN2868" s="474" t="s">
        <v>1074</v>
      </c>
      <c r="AO2868" s="474"/>
      <c r="AP2868" s="474"/>
      <c r="AQ2868" s="474" t="s">
        <v>1086</v>
      </c>
      <c r="AR2868" s="474"/>
      <c r="AS2868" s="387" t="s">
        <v>1087</v>
      </c>
      <c r="AT2868" s="387" t="s">
        <v>1076</v>
      </c>
      <c r="AU2868" s="471"/>
    </row>
    <row r="2869" spans="1:47">
      <c r="A2869" s="410"/>
      <c r="B2869" s="407"/>
      <c r="C2869" s="407"/>
      <c r="D2869" s="474" t="s">
        <v>1066</v>
      </c>
      <c r="E2869" s="388" t="s">
        <v>1483</v>
      </c>
      <c r="F2869" s="474" t="s">
        <v>1077</v>
      </c>
      <c r="G2869" s="474">
        <v>2022</v>
      </c>
      <c r="H2869" s="474">
        <v>11</v>
      </c>
      <c r="I2869" s="485" t="s">
        <v>1091</v>
      </c>
      <c r="J2869" s="475"/>
      <c r="K2869" s="474" t="s">
        <v>1486</v>
      </c>
      <c r="L2869" s="475" t="s">
        <v>1478</v>
      </c>
      <c r="M2869" s="475">
        <v>44532</v>
      </c>
      <c r="N2869" s="475">
        <v>44805</v>
      </c>
      <c r="O2869" s="475"/>
      <c r="P2869" s="475"/>
      <c r="Q2869" s="475"/>
      <c r="R2869" s="475"/>
      <c r="S2869" s="474" t="s">
        <v>1114</v>
      </c>
      <c r="T2869" s="474">
        <v>72</v>
      </c>
      <c r="U2869" s="474" t="s">
        <v>1156</v>
      </c>
      <c r="V2869" s="474" t="s">
        <v>1226</v>
      </c>
      <c r="W2869" s="476">
        <v>480</v>
      </c>
      <c r="X2869" s="402">
        <v>3741</v>
      </c>
      <c r="Y2869" s="491">
        <f t="shared" si="477"/>
        <v>1795680</v>
      </c>
      <c r="Z2869" s="478">
        <v>0.44500000000000001</v>
      </c>
      <c r="AA2869" s="479">
        <f t="shared" si="483"/>
        <v>799077.6</v>
      </c>
      <c r="AB2869" s="386"/>
      <c r="AC2869" s="481">
        <f t="shared" si="484"/>
        <v>0</v>
      </c>
      <c r="AD2869" s="474"/>
      <c r="AE2869" s="482"/>
      <c r="AF2869" s="493">
        <f t="shared" si="480"/>
        <v>799077.6</v>
      </c>
      <c r="AG2869" s="474" t="s">
        <v>47</v>
      </c>
      <c r="AH2869" s="447">
        <v>10</v>
      </c>
      <c r="AI2869" s="474">
        <v>30</v>
      </c>
      <c r="AJ2869" s="474" t="s">
        <v>1487</v>
      </c>
      <c r="AK2869" s="474" t="s">
        <v>1244</v>
      </c>
      <c r="AL2869" s="494">
        <v>47356</v>
      </c>
      <c r="AM2869" s="474" t="s">
        <v>52</v>
      </c>
      <c r="AN2869" s="474" t="s">
        <v>1085</v>
      </c>
      <c r="AO2869" s="474"/>
      <c r="AP2869" s="474" t="s">
        <v>38</v>
      </c>
      <c r="AQ2869" s="474" t="s">
        <v>1086</v>
      </c>
      <c r="AR2869" s="474"/>
      <c r="AS2869" s="387" t="s">
        <v>1076</v>
      </c>
      <c r="AT2869" s="387" t="s">
        <v>1076</v>
      </c>
      <c r="AU2869" s="471"/>
    </row>
    <row r="2870" spans="1:47">
      <c r="A2870" s="495"/>
      <c r="B2870" s="407"/>
      <c r="C2870" s="407"/>
      <c r="D2870" s="474" t="s">
        <v>1066</v>
      </c>
      <c r="E2870" s="388" t="s">
        <v>5279</v>
      </c>
      <c r="F2870" s="474"/>
      <c r="G2870" s="474">
        <v>2022</v>
      </c>
      <c r="H2870" s="474">
        <v>11</v>
      </c>
      <c r="I2870" s="485"/>
      <c r="J2870" s="475"/>
      <c r="K2870" s="474" t="s">
        <v>1266</v>
      </c>
      <c r="L2870" s="475" t="s">
        <v>1242</v>
      </c>
      <c r="M2870" s="475">
        <v>44641</v>
      </c>
      <c r="N2870" s="475">
        <v>44866</v>
      </c>
      <c r="O2870" s="475"/>
      <c r="P2870" s="475"/>
      <c r="Q2870" s="475"/>
      <c r="R2870" s="475"/>
      <c r="S2870" s="474" t="s">
        <v>1114</v>
      </c>
      <c r="T2870" s="474">
        <v>72</v>
      </c>
      <c r="U2870" s="474"/>
      <c r="V2870" s="474" t="s">
        <v>1070</v>
      </c>
      <c r="W2870" s="476">
        <v>480</v>
      </c>
      <c r="X2870" s="402">
        <v>1740</v>
      </c>
      <c r="Y2870" s="491">
        <f t="shared" si="477"/>
        <v>835200</v>
      </c>
      <c r="Z2870" s="478">
        <v>0.505</v>
      </c>
      <c r="AA2870" s="479">
        <f t="shared" si="483"/>
        <v>421776</v>
      </c>
      <c r="AB2870" s="386"/>
      <c r="AC2870" s="481">
        <f t="shared" si="484"/>
        <v>0</v>
      </c>
      <c r="AD2870" s="474"/>
      <c r="AE2870" s="482"/>
      <c r="AF2870" s="493">
        <f t="shared" si="480"/>
        <v>421776</v>
      </c>
      <c r="AG2870" s="474" t="s">
        <v>1071</v>
      </c>
      <c r="AH2870" s="447">
        <v>0</v>
      </c>
      <c r="AI2870" s="474">
        <v>60</v>
      </c>
      <c r="AJ2870" s="474" t="s">
        <v>1243</v>
      </c>
      <c r="AK2870" s="474" t="s">
        <v>1244</v>
      </c>
      <c r="AL2870" s="494" t="s">
        <v>1245</v>
      </c>
      <c r="AM2870" s="474" t="s">
        <v>52</v>
      </c>
      <c r="AN2870" s="474" t="s">
        <v>1085</v>
      </c>
      <c r="AO2870" s="474"/>
      <c r="AP2870" s="474" t="s">
        <v>38</v>
      </c>
      <c r="AQ2870" s="474" t="s">
        <v>1086</v>
      </c>
      <c r="AR2870" s="474"/>
      <c r="AS2870" s="387" t="s">
        <v>1076</v>
      </c>
      <c r="AT2870" s="387" t="s">
        <v>1076</v>
      </c>
      <c r="AU2870" s="471"/>
    </row>
    <row r="2871" spans="1:47">
      <c r="A2871" s="495"/>
      <c r="B2871" s="407"/>
      <c r="C2871" s="407"/>
      <c r="D2871" s="474" t="s">
        <v>1066</v>
      </c>
      <c r="E2871" s="388" t="s">
        <v>1097</v>
      </c>
      <c r="F2871" s="474"/>
      <c r="G2871" s="474">
        <v>2022</v>
      </c>
      <c r="H2871" s="474">
        <v>12</v>
      </c>
      <c r="I2871" s="485"/>
      <c r="J2871" s="475"/>
      <c r="K2871" s="474" t="s">
        <v>5593</v>
      </c>
      <c r="L2871" s="475" t="s">
        <v>1089</v>
      </c>
      <c r="M2871" s="475">
        <v>44676</v>
      </c>
      <c r="N2871" s="475">
        <v>44896</v>
      </c>
      <c r="O2871" s="475"/>
      <c r="P2871" s="475"/>
      <c r="Q2871" s="475"/>
      <c r="R2871" s="475"/>
      <c r="S2871" s="474" t="s">
        <v>1069</v>
      </c>
      <c r="T2871" s="474">
        <v>72</v>
      </c>
      <c r="U2871" s="474"/>
      <c r="V2871" s="474" t="s">
        <v>1070</v>
      </c>
      <c r="W2871" s="476">
        <v>480</v>
      </c>
      <c r="X2871" s="402">
        <v>638</v>
      </c>
      <c r="Y2871" s="491">
        <f t="shared" ref="Y2871:Y2874" si="485">W2871*X2871</f>
        <v>306240</v>
      </c>
      <c r="Z2871" s="478">
        <v>0.59</v>
      </c>
      <c r="AA2871" s="479">
        <f>Y2871*Z2871</f>
        <v>180681.59999999998</v>
      </c>
      <c r="AB2871" s="386"/>
      <c r="AC2871" s="481">
        <v>0</v>
      </c>
      <c r="AD2871" s="474"/>
      <c r="AE2871" s="482"/>
      <c r="AF2871" s="493">
        <f t="shared" si="480"/>
        <v>180681.59999999998</v>
      </c>
      <c r="AG2871" s="474" t="s">
        <v>1071</v>
      </c>
      <c r="AH2871" s="447">
        <v>10</v>
      </c>
      <c r="AI2871" s="474">
        <v>30</v>
      </c>
      <c r="AJ2871" s="474" t="s">
        <v>1095</v>
      </c>
      <c r="AK2871" s="474" t="s">
        <v>1096</v>
      </c>
      <c r="AL2871" s="494">
        <v>1719</v>
      </c>
      <c r="AM2871" s="474" t="s">
        <v>52</v>
      </c>
      <c r="AN2871" s="474" t="s">
        <v>1085</v>
      </c>
      <c r="AO2871" s="474"/>
      <c r="AP2871" s="474" t="s">
        <v>92</v>
      </c>
      <c r="AQ2871" s="474" t="s">
        <v>37</v>
      </c>
      <c r="AR2871" s="474"/>
      <c r="AS2871" s="387"/>
      <c r="AT2871" s="387"/>
      <c r="AU2871" s="471"/>
    </row>
    <row r="2872" spans="1:47">
      <c r="A2872" s="495"/>
      <c r="B2872" s="407"/>
      <c r="C2872" s="407"/>
      <c r="D2872" s="474" t="s">
        <v>1066</v>
      </c>
      <c r="E2872" s="388" t="s">
        <v>1097</v>
      </c>
      <c r="F2872" s="474"/>
      <c r="G2872" s="474">
        <v>2022</v>
      </c>
      <c r="H2872" s="474">
        <v>12</v>
      </c>
      <c r="I2872" s="485"/>
      <c r="J2872" s="475"/>
      <c r="K2872" s="474" t="s">
        <v>5594</v>
      </c>
      <c r="L2872" s="475" t="s">
        <v>1089</v>
      </c>
      <c r="M2872" s="475">
        <v>44676</v>
      </c>
      <c r="N2872" s="475">
        <v>44896</v>
      </c>
      <c r="O2872" s="475"/>
      <c r="P2872" s="475"/>
      <c r="Q2872" s="475"/>
      <c r="R2872" s="475"/>
      <c r="S2872" s="474" t="s">
        <v>1069</v>
      </c>
      <c r="T2872" s="474">
        <v>72</v>
      </c>
      <c r="U2872" s="474"/>
      <c r="V2872" s="474" t="s">
        <v>1070</v>
      </c>
      <c r="W2872" s="476">
        <v>480</v>
      </c>
      <c r="X2872" s="402">
        <v>638</v>
      </c>
      <c r="Y2872" s="491">
        <f t="shared" si="485"/>
        <v>306240</v>
      </c>
      <c r="Z2872" s="478">
        <v>0.59</v>
      </c>
      <c r="AA2872" s="479">
        <f>Y2872*Z2872</f>
        <v>180681.59999999998</v>
      </c>
      <c r="AB2872" s="386"/>
      <c r="AC2872" s="481">
        <v>0</v>
      </c>
      <c r="AD2872" s="474"/>
      <c r="AE2872" s="482"/>
      <c r="AF2872" s="493">
        <f t="shared" si="480"/>
        <v>180681.59999999998</v>
      </c>
      <c r="AG2872" s="474" t="s">
        <v>1071</v>
      </c>
      <c r="AH2872" s="447">
        <v>10</v>
      </c>
      <c r="AI2872" s="474">
        <v>30</v>
      </c>
      <c r="AJ2872" s="474" t="s">
        <v>1090</v>
      </c>
      <c r="AK2872" s="474" t="s">
        <v>50</v>
      </c>
      <c r="AL2872" s="494">
        <v>95482</v>
      </c>
      <c r="AM2872" s="474" t="s">
        <v>52</v>
      </c>
      <c r="AN2872" s="474" t="s">
        <v>1085</v>
      </c>
      <c r="AO2872" s="474"/>
      <c r="AP2872" s="474" t="s">
        <v>92</v>
      </c>
      <c r="AQ2872" s="474" t="s">
        <v>37</v>
      </c>
      <c r="AR2872" s="474"/>
      <c r="AS2872" s="387"/>
      <c r="AT2872" s="387"/>
      <c r="AU2872" s="471"/>
    </row>
    <row r="2873" spans="1:47">
      <c r="A2873" s="495"/>
      <c r="B2873" s="407"/>
      <c r="C2873" s="407"/>
      <c r="D2873" s="474" t="s">
        <v>1066</v>
      </c>
      <c r="E2873" s="388" t="s">
        <v>5459</v>
      </c>
      <c r="F2873" s="474"/>
      <c r="G2873" s="474">
        <v>2022</v>
      </c>
      <c r="H2873" s="474">
        <v>12</v>
      </c>
      <c r="I2873" s="485"/>
      <c r="J2873" s="475"/>
      <c r="K2873" s="474" t="s">
        <v>1185</v>
      </c>
      <c r="L2873" s="475" t="s">
        <v>1174</v>
      </c>
      <c r="M2873" s="475">
        <v>44656</v>
      </c>
      <c r="N2873" s="475">
        <v>44896</v>
      </c>
      <c r="O2873" s="475"/>
      <c r="P2873" s="475"/>
      <c r="Q2873" s="475"/>
      <c r="R2873" s="475"/>
      <c r="S2873" s="474" t="s">
        <v>1069</v>
      </c>
      <c r="T2873" s="474">
        <v>72</v>
      </c>
      <c r="U2873" s="474"/>
      <c r="V2873" s="474" t="s">
        <v>1070</v>
      </c>
      <c r="W2873" s="476">
        <v>480</v>
      </c>
      <c r="X2873" s="402">
        <v>1276</v>
      </c>
      <c r="Y2873" s="491">
        <f t="shared" si="485"/>
        <v>612480</v>
      </c>
      <c r="Z2873" s="478">
        <v>0.5</v>
      </c>
      <c r="AA2873" s="479">
        <f>Y2873*Z2873</f>
        <v>306240</v>
      </c>
      <c r="AB2873" s="386"/>
      <c r="AC2873" s="481">
        <v>0</v>
      </c>
      <c r="AD2873" s="474"/>
      <c r="AE2873" s="482"/>
      <c r="AF2873" s="493">
        <f t="shared" si="480"/>
        <v>306240</v>
      </c>
      <c r="AG2873" s="474" t="s">
        <v>1071</v>
      </c>
      <c r="AH2873" s="447"/>
      <c r="AI2873" s="474">
        <v>60</v>
      </c>
      <c r="AJ2873" s="474" t="s">
        <v>1175</v>
      </c>
      <c r="AK2873" s="474" t="s">
        <v>1138</v>
      </c>
      <c r="AL2873" s="494" t="s">
        <v>1176</v>
      </c>
      <c r="AM2873" s="474" t="s">
        <v>52</v>
      </c>
      <c r="AN2873" s="474" t="s">
        <v>1109</v>
      </c>
      <c r="AO2873" s="474"/>
      <c r="AP2873" s="474" t="s">
        <v>1109</v>
      </c>
      <c r="AQ2873" s="474" t="s">
        <v>37</v>
      </c>
      <c r="AR2873" s="474"/>
      <c r="AS2873" s="387"/>
      <c r="AT2873" s="387"/>
      <c r="AU2873" s="471"/>
    </row>
    <row r="2874" spans="1:47">
      <c r="A2874" s="495"/>
      <c r="B2874" s="407" t="s">
        <v>1211</v>
      </c>
      <c r="C2874" s="407" t="s">
        <v>1211</v>
      </c>
      <c r="D2874" s="474" t="s">
        <v>1066</v>
      </c>
      <c r="E2874" s="388" t="s">
        <v>5279</v>
      </c>
      <c r="F2874" s="474" t="s">
        <v>87</v>
      </c>
      <c r="G2874" s="474">
        <v>2022</v>
      </c>
      <c r="H2874" s="474">
        <v>12</v>
      </c>
      <c r="I2874" s="485"/>
      <c r="J2874" s="475"/>
      <c r="K2874" s="474" t="s">
        <v>1306</v>
      </c>
      <c r="L2874" s="475" t="s">
        <v>1295</v>
      </c>
      <c r="M2874" s="475">
        <v>44656</v>
      </c>
      <c r="N2874" s="475">
        <v>44896</v>
      </c>
      <c r="O2874" s="475"/>
      <c r="P2874" s="475"/>
      <c r="Q2874" s="475"/>
      <c r="R2874" s="475"/>
      <c r="S2874" s="474" t="s">
        <v>1069</v>
      </c>
      <c r="T2874" s="474">
        <v>72</v>
      </c>
      <c r="U2874" s="474"/>
      <c r="V2874" s="474" t="s">
        <v>1070</v>
      </c>
      <c r="W2874" s="476">
        <v>480</v>
      </c>
      <c r="X2874" s="402">
        <v>638</v>
      </c>
      <c r="Y2874" s="491">
        <f t="shared" si="485"/>
        <v>306240</v>
      </c>
      <c r="Z2874" s="478">
        <v>0.49</v>
      </c>
      <c r="AA2874" s="479">
        <f>Y2874*Z2874</f>
        <v>150057.60000000001</v>
      </c>
      <c r="AB2874" s="386"/>
      <c r="AC2874" s="481">
        <v>0</v>
      </c>
      <c r="AD2874" s="474"/>
      <c r="AE2874" s="482"/>
      <c r="AF2874" s="493">
        <f t="shared" si="480"/>
        <v>150057.60000000001</v>
      </c>
      <c r="AG2874" s="474" t="s">
        <v>1071</v>
      </c>
      <c r="AH2874" s="447"/>
      <c r="AI2874" s="474">
        <v>60</v>
      </c>
      <c r="AJ2874" s="474" t="s">
        <v>1296</v>
      </c>
      <c r="AK2874" s="474" t="s">
        <v>1297</v>
      </c>
      <c r="AL2874" s="494" t="s">
        <v>1298</v>
      </c>
      <c r="AM2874" s="474" t="s">
        <v>52</v>
      </c>
      <c r="AN2874" s="474" t="s">
        <v>1074</v>
      </c>
      <c r="AO2874" s="474"/>
      <c r="AP2874" s="474"/>
      <c r="AQ2874" s="474" t="s">
        <v>37</v>
      </c>
      <c r="AR2874" s="474"/>
      <c r="AS2874" s="387"/>
      <c r="AT2874" s="387"/>
      <c r="AU2874" s="471"/>
    </row>
    <row r="2875" spans="1:47">
      <c r="A2875" s="495"/>
      <c r="B2875" s="495" t="s">
        <v>1211</v>
      </c>
      <c r="C2875" s="495" t="s">
        <v>1211</v>
      </c>
      <c r="D2875" s="394" t="s">
        <v>1066</v>
      </c>
      <c r="E2875" s="474" t="s">
        <v>1097</v>
      </c>
      <c r="F2875" s="474"/>
      <c r="G2875" s="474">
        <v>2022</v>
      </c>
      <c r="H2875" s="474">
        <v>7</v>
      </c>
      <c r="I2875" s="474"/>
      <c r="J2875" s="475"/>
      <c r="K2875" s="474" t="s">
        <v>5461</v>
      </c>
      <c r="L2875" s="475" t="s">
        <v>1219</v>
      </c>
      <c r="M2875" s="475">
        <v>44673</v>
      </c>
      <c r="N2875" s="475">
        <v>44743</v>
      </c>
      <c r="O2875" s="475"/>
      <c r="P2875" s="475"/>
      <c r="Q2875" s="475"/>
      <c r="R2875" s="475"/>
      <c r="S2875" s="474" t="s">
        <v>1114</v>
      </c>
      <c r="T2875" s="474">
        <v>60</v>
      </c>
      <c r="U2875" s="474"/>
      <c r="V2875" s="474" t="s">
        <v>973</v>
      </c>
      <c r="W2875" s="476">
        <v>400</v>
      </c>
      <c r="X2875" s="402">
        <v>768</v>
      </c>
      <c r="Y2875" s="477">
        <f t="shared" ref="Y2875:Y2883" si="486">X2875*W2875</f>
        <v>307200</v>
      </c>
      <c r="Z2875" s="478">
        <v>0.64</v>
      </c>
      <c r="AA2875" s="479">
        <f t="shared" ref="AA2875:AA2884" si="487">Z2875*Y2875</f>
        <v>196608</v>
      </c>
      <c r="AB2875" s="480"/>
      <c r="AC2875" s="481">
        <f t="shared" ref="AC2875:AC2884" si="488">AB2875*Y2875</f>
        <v>0</v>
      </c>
      <c r="AD2875" s="490"/>
      <c r="AE2875" s="482"/>
      <c r="AF2875" s="493">
        <f t="shared" si="480"/>
        <v>196608</v>
      </c>
      <c r="AG2875" s="474" t="s">
        <v>1071</v>
      </c>
      <c r="AH2875" s="474">
        <v>0</v>
      </c>
      <c r="AI2875" s="474">
        <v>60</v>
      </c>
      <c r="AJ2875" s="474" t="s">
        <v>1220</v>
      </c>
      <c r="AK2875" s="474" t="s">
        <v>1221</v>
      </c>
      <c r="AL2875" s="494">
        <v>43125</v>
      </c>
      <c r="AM2875" s="474" t="s">
        <v>52</v>
      </c>
      <c r="AN2875" s="474" t="s">
        <v>1074</v>
      </c>
      <c r="AO2875" s="474"/>
      <c r="AP2875" s="482"/>
      <c r="AQ2875" s="482"/>
      <c r="AR2875" s="474"/>
      <c r="AS2875" s="399"/>
      <c r="AT2875" s="436"/>
      <c r="AU2875" s="436"/>
    </row>
    <row r="2876" spans="1:47">
      <c r="A2876" s="495"/>
      <c r="B2876" s="495" t="s">
        <v>1211</v>
      </c>
      <c r="C2876" s="495" t="s">
        <v>1211</v>
      </c>
      <c r="D2876" s="394" t="s">
        <v>1066</v>
      </c>
      <c r="E2876" s="474" t="s">
        <v>1097</v>
      </c>
      <c r="F2876" s="474"/>
      <c r="G2876" s="474">
        <v>2022</v>
      </c>
      <c r="H2876" s="474">
        <v>8</v>
      </c>
      <c r="I2876" s="474"/>
      <c r="J2876" s="475"/>
      <c r="K2876" s="474" t="s">
        <v>5462</v>
      </c>
      <c r="L2876" s="475" t="s">
        <v>1219</v>
      </c>
      <c r="M2876" s="475">
        <v>44673</v>
      </c>
      <c r="N2876" s="475">
        <v>44774</v>
      </c>
      <c r="O2876" s="475"/>
      <c r="P2876" s="475"/>
      <c r="Q2876" s="475"/>
      <c r="R2876" s="475"/>
      <c r="S2876" s="474" t="s">
        <v>1114</v>
      </c>
      <c r="T2876" s="474">
        <v>60</v>
      </c>
      <c r="U2876" s="474"/>
      <c r="V2876" s="474" t="s">
        <v>973</v>
      </c>
      <c r="W2876" s="476">
        <v>400</v>
      </c>
      <c r="X2876" s="402">
        <v>768</v>
      </c>
      <c r="Y2876" s="477">
        <f t="shared" si="486"/>
        <v>307200</v>
      </c>
      <c r="Z2876" s="478">
        <v>0.64</v>
      </c>
      <c r="AA2876" s="479">
        <f t="shared" si="487"/>
        <v>196608</v>
      </c>
      <c r="AB2876" s="480"/>
      <c r="AC2876" s="481">
        <f t="shared" si="488"/>
        <v>0</v>
      </c>
      <c r="AD2876" s="490"/>
      <c r="AE2876" s="482"/>
      <c r="AF2876" s="493">
        <f t="shared" si="480"/>
        <v>196608</v>
      </c>
      <c r="AG2876" s="474" t="s">
        <v>1071</v>
      </c>
      <c r="AH2876" s="474">
        <v>0</v>
      </c>
      <c r="AI2876" s="474">
        <v>60</v>
      </c>
      <c r="AJ2876" s="474" t="s">
        <v>1220</v>
      </c>
      <c r="AK2876" s="474" t="s">
        <v>1221</v>
      </c>
      <c r="AL2876" s="494">
        <v>43125</v>
      </c>
      <c r="AM2876" s="474" t="s">
        <v>52</v>
      </c>
      <c r="AN2876" s="474" t="s">
        <v>1074</v>
      </c>
      <c r="AO2876" s="474"/>
      <c r="AP2876" s="482"/>
      <c r="AQ2876" s="482"/>
      <c r="AR2876" s="474"/>
      <c r="AS2876" s="399"/>
      <c r="AT2876" s="436"/>
      <c r="AU2876" s="436"/>
    </row>
    <row r="2877" spans="1:47">
      <c r="A2877" s="495"/>
      <c r="B2877" s="495" t="s">
        <v>1211</v>
      </c>
      <c r="C2877" s="495" t="s">
        <v>1211</v>
      </c>
      <c r="D2877" s="394" t="s">
        <v>1066</v>
      </c>
      <c r="E2877" s="474" t="s">
        <v>1097</v>
      </c>
      <c r="F2877" s="474"/>
      <c r="G2877" s="474">
        <v>2022</v>
      </c>
      <c r="H2877" s="474">
        <v>9</v>
      </c>
      <c r="I2877" s="474"/>
      <c r="J2877" s="475"/>
      <c r="K2877" s="474" t="s">
        <v>5463</v>
      </c>
      <c r="L2877" s="475" t="s">
        <v>1219</v>
      </c>
      <c r="M2877" s="475">
        <v>44673</v>
      </c>
      <c r="N2877" s="475">
        <v>44805</v>
      </c>
      <c r="O2877" s="475"/>
      <c r="P2877" s="475"/>
      <c r="Q2877" s="475"/>
      <c r="R2877" s="475"/>
      <c r="S2877" s="474" t="s">
        <v>1114</v>
      </c>
      <c r="T2877" s="474">
        <v>60</v>
      </c>
      <c r="U2877" s="474"/>
      <c r="V2877" s="474" t="s">
        <v>973</v>
      </c>
      <c r="W2877" s="476">
        <v>400</v>
      </c>
      <c r="X2877" s="402">
        <v>768</v>
      </c>
      <c r="Y2877" s="477">
        <f t="shared" si="486"/>
        <v>307200</v>
      </c>
      <c r="Z2877" s="478">
        <v>0.64</v>
      </c>
      <c r="AA2877" s="479">
        <f t="shared" si="487"/>
        <v>196608</v>
      </c>
      <c r="AB2877" s="480"/>
      <c r="AC2877" s="481">
        <f t="shared" si="488"/>
        <v>0</v>
      </c>
      <c r="AD2877" s="490"/>
      <c r="AE2877" s="482"/>
      <c r="AF2877" s="493">
        <f t="shared" si="480"/>
        <v>196608</v>
      </c>
      <c r="AG2877" s="474" t="s">
        <v>1071</v>
      </c>
      <c r="AH2877" s="474">
        <v>0</v>
      </c>
      <c r="AI2877" s="474">
        <v>60</v>
      </c>
      <c r="AJ2877" s="474" t="s">
        <v>1220</v>
      </c>
      <c r="AK2877" s="474" t="s">
        <v>1221</v>
      </c>
      <c r="AL2877" s="494">
        <v>43125</v>
      </c>
      <c r="AM2877" s="474" t="s">
        <v>52</v>
      </c>
      <c r="AN2877" s="474" t="s">
        <v>1074</v>
      </c>
      <c r="AO2877" s="474"/>
      <c r="AP2877" s="482"/>
      <c r="AQ2877" s="482"/>
      <c r="AR2877" s="474"/>
      <c r="AS2877" s="399"/>
      <c r="AT2877" s="436"/>
      <c r="AU2877" s="436"/>
    </row>
    <row r="2878" spans="1:47">
      <c r="A2878" s="495"/>
      <c r="B2878" s="495" t="s">
        <v>1211</v>
      </c>
      <c r="C2878" s="495" t="s">
        <v>1211</v>
      </c>
      <c r="D2878" s="394" t="s">
        <v>1066</v>
      </c>
      <c r="E2878" s="474" t="s">
        <v>1097</v>
      </c>
      <c r="F2878" s="474"/>
      <c r="G2878" s="474">
        <v>2022</v>
      </c>
      <c r="H2878" s="474">
        <v>10</v>
      </c>
      <c r="I2878" s="474"/>
      <c r="J2878" s="475"/>
      <c r="K2878" s="474" t="s">
        <v>5464</v>
      </c>
      <c r="L2878" s="475" t="s">
        <v>1219</v>
      </c>
      <c r="M2878" s="475">
        <v>44673</v>
      </c>
      <c r="N2878" s="475">
        <v>44835</v>
      </c>
      <c r="O2878" s="475"/>
      <c r="P2878" s="475"/>
      <c r="Q2878" s="475"/>
      <c r="R2878" s="475"/>
      <c r="S2878" s="474" t="s">
        <v>1114</v>
      </c>
      <c r="T2878" s="474">
        <v>60</v>
      </c>
      <c r="U2878" s="474"/>
      <c r="V2878" s="474" t="s">
        <v>973</v>
      </c>
      <c r="W2878" s="476">
        <v>400</v>
      </c>
      <c r="X2878" s="402">
        <v>768</v>
      </c>
      <c r="Y2878" s="477">
        <f t="shared" si="486"/>
        <v>307200</v>
      </c>
      <c r="Z2878" s="478">
        <v>0.64</v>
      </c>
      <c r="AA2878" s="479">
        <f t="shared" si="487"/>
        <v>196608</v>
      </c>
      <c r="AB2878" s="480"/>
      <c r="AC2878" s="481">
        <f t="shared" si="488"/>
        <v>0</v>
      </c>
      <c r="AD2878" s="490"/>
      <c r="AE2878" s="482"/>
      <c r="AF2878" s="493">
        <f t="shared" si="480"/>
        <v>196608</v>
      </c>
      <c r="AG2878" s="474" t="s">
        <v>1071</v>
      </c>
      <c r="AH2878" s="474">
        <v>0</v>
      </c>
      <c r="AI2878" s="474">
        <v>60</v>
      </c>
      <c r="AJ2878" s="474" t="s">
        <v>1220</v>
      </c>
      <c r="AK2878" s="474" t="s">
        <v>1221</v>
      </c>
      <c r="AL2878" s="494">
        <v>43125</v>
      </c>
      <c r="AM2878" s="474" t="s">
        <v>52</v>
      </c>
      <c r="AN2878" s="474" t="s">
        <v>1074</v>
      </c>
      <c r="AO2878" s="474"/>
      <c r="AP2878" s="482"/>
      <c r="AQ2878" s="482"/>
      <c r="AR2878" s="474"/>
      <c r="AS2878" s="399"/>
      <c r="AT2878" s="436"/>
      <c r="AU2878" s="436"/>
    </row>
    <row r="2879" spans="1:47">
      <c r="A2879" s="495"/>
      <c r="B2879" s="495" t="s">
        <v>1211</v>
      </c>
      <c r="C2879" s="495" t="s">
        <v>1211</v>
      </c>
      <c r="D2879" s="394" t="s">
        <v>1066</v>
      </c>
      <c r="E2879" s="474" t="s">
        <v>1097</v>
      </c>
      <c r="F2879" s="474"/>
      <c r="G2879" s="474">
        <v>2022</v>
      </c>
      <c r="H2879" s="474">
        <v>11</v>
      </c>
      <c r="I2879" s="474"/>
      <c r="J2879" s="475"/>
      <c r="K2879" s="474" t="s">
        <v>5465</v>
      </c>
      <c r="L2879" s="475" t="s">
        <v>1219</v>
      </c>
      <c r="M2879" s="475">
        <v>44673</v>
      </c>
      <c r="N2879" s="475">
        <v>44866</v>
      </c>
      <c r="O2879" s="475"/>
      <c r="P2879" s="475"/>
      <c r="Q2879" s="475"/>
      <c r="R2879" s="475"/>
      <c r="S2879" s="474" t="s">
        <v>1114</v>
      </c>
      <c r="T2879" s="474">
        <v>60</v>
      </c>
      <c r="U2879" s="474"/>
      <c r="V2879" s="474" t="s">
        <v>973</v>
      </c>
      <c r="W2879" s="476">
        <v>400</v>
      </c>
      <c r="X2879" s="402">
        <v>768</v>
      </c>
      <c r="Y2879" s="477">
        <f t="shared" si="486"/>
        <v>307200</v>
      </c>
      <c r="Z2879" s="478">
        <v>0.64</v>
      </c>
      <c r="AA2879" s="479">
        <f t="shared" si="487"/>
        <v>196608</v>
      </c>
      <c r="AB2879" s="480"/>
      <c r="AC2879" s="481">
        <f t="shared" si="488"/>
        <v>0</v>
      </c>
      <c r="AD2879" s="490"/>
      <c r="AE2879" s="482"/>
      <c r="AF2879" s="493">
        <f t="shared" si="480"/>
        <v>196608</v>
      </c>
      <c r="AG2879" s="474" t="s">
        <v>1071</v>
      </c>
      <c r="AH2879" s="474">
        <v>0</v>
      </c>
      <c r="AI2879" s="474">
        <v>60</v>
      </c>
      <c r="AJ2879" s="474" t="s">
        <v>1220</v>
      </c>
      <c r="AK2879" s="474" t="s">
        <v>1221</v>
      </c>
      <c r="AL2879" s="494">
        <v>43125</v>
      </c>
      <c r="AM2879" s="474" t="s">
        <v>52</v>
      </c>
      <c r="AN2879" s="474" t="s">
        <v>1074</v>
      </c>
      <c r="AO2879" s="474"/>
      <c r="AP2879" s="482"/>
      <c r="AQ2879" s="482"/>
      <c r="AR2879" s="474"/>
      <c r="AS2879" s="399"/>
      <c r="AT2879" s="436"/>
      <c r="AU2879" s="436"/>
    </row>
    <row r="2880" spans="1:47">
      <c r="A2880" s="495"/>
      <c r="B2880" s="495" t="s">
        <v>1211</v>
      </c>
      <c r="C2880" s="495" t="s">
        <v>1211</v>
      </c>
      <c r="D2880" s="394" t="s">
        <v>1066</v>
      </c>
      <c r="E2880" s="474" t="s">
        <v>1097</v>
      </c>
      <c r="F2880" s="474"/>
      <c r="G2880" s="474">
        <v>2022</v>
      </c>
      <c r="H2880" s="474">
        <v>12</v>
      </c>
      <c r="I2880" s="474"/>
      <c r="J2880" s="475"/>
      <c r="K2880" s="474" t="s">
        <v>5466</v>
      </c>
      <c r="L2880" s="475" t="s">
        <v>1219</v>
      </c>
      <c r="M2880" s="475">
        <v>44673</v>
      </c>
      <c r="N2880" s="475">
        <v>44896</v>
      </c>
      <c r="O2880" s="475"/>
      <c r="P2880" s="475"/>
      <c r="Q2880" s="475"/>
      <c r="R2880" s="475"/>
      <c r="S2880" s="474" t="s">
        <v>1114</v>
      </c>
      <c r="T2880" s="474">
        <v>60</v>
      </c>
      <c r="U2880" s="474"/>
      <c r="V2880" s="474" t="s">
        <v>973</v>
      </c>
      <c r="W2880" s="476">
        <v>400</v>
      </c>
      <c r="X2880" s="402">
        <v>768</v>
      </c>
      <c r="Y2880" s="477">
        <f t="shared" si="486"/>
        <v>307200</v>
      </c>
      <c r="Z2880" s="478">
        <v>0.64</v>
      </c>
      <c r="AA2880" s="479">
        <f t="shared" si="487"/>
        <v>196608</v>
      </c>
      <c r="AB2880" s="480"/>
      <c r="AC2880" s="481">
        <f t="shared" si="488"/>
        <v>0</v>
      </c>
      <c r="AD2880" s="490"/>
      <c r="AE2880" s="482"/>
      <c r="AF2880" s="493">
        <f t="shared" si="480"/>
        <v>196608</v>
      </c>
      <c r="AG2880" s="474" t="s">
        <v>1071</v>
      </c>
      <c r="AH2880" s="474">
        <v>0</v>
      </c>
      <c r="AI2880" s="474">
        <v>60</v>
      </c>
      <c r="AJ2880" s="474" t="s">
        <v>1220</v>
      </c>
      <c r="AK2880" s="474" t="s">
        <v>1221</v>
      </c>
      <c r="AL2880" s="494">
        <v>43125</v>
      </c>
      <c r="AM2880" s="474" t="s">
        <v>52</v>
      </c>
      <c r="AN2880" s="474" t="s">
        <v>1074</v>
      </c>
      <c r="AO2880" s="474"/>
      <c r="AP2880" s="482"/>
      <c r="AQ2880" s="482"/>
      <c r="AR2880" s="474"/>
      <c r="AS2880" s="399"/>
      <c r="AT2880" s="436"/>
      <c r="AU2880" s="436"/>
    </row>
    <row r="2881" spans="1:47">
      <c r="A2881" s="495"/>
      <c r="B2881" s="495"/>
      <c r="C2881" s="495"/>
      <c r="D2881" s="394" t="s">
        <v>1066</v>
      </c>
      <c r="E2881" s="474" t="s">
        <v>5600</v>
      </c>
      <c r="F2881" s="474"/>
      <c r="G2881" s="474">
        <v>2022</v>
      </c>
      <c r="H2881" s="474">
        <v>10</v>
      </c>
      <c r="I2881" s="474"/>
      <c r="J2881" s="475"/>
      <c r="K2881" s="474">
        <v>1003</v>
      </c>
      <c r="L2881" s="475" t="s">
        <v>5601</v>
      </c>
      <c r="M2881" s="475">
        <v>44677</v>
      </c>
      <c r="N2881" s="475">
        <v>44835</v>
      </c>
      <c r="O2881" s="475"/>
      <c r="P2881" s="475"/>
      <c r="Q2881" s="475"/>
      <c r="R2881" s="475"/>
      <c r="S2881" s="474" t="s">
        <v>1069</v>
      </c>
      <c r="T2881" s="474">
        <v>72</v>
      </c>
      <c r="U2881" s="474"/>
      <c r="V2881" s="474" t="s">
        <v>1115</v>
      </c>
      <c r="W2881" s="476">
        <v>575</v>
      </c>
      <c r="X2881" s="402">
        <v>6960</v>
      </c>
      <c r="Y2881" s="477">
        <f t="shared" si="486"/>
        <v>4002000</v>
      </c>
      <c r="Z2881" s="478">
        <v>0.57499999999999996</v>
      </c>
      <c r="AA2881" s="479">
        <f t="shared" si="487"/>
        <v>2301150</v>
      </c>
      <c r="AB2881" s="480"/>
      <c r="AC2881" s="481">
        <f t="shared" si="488"/>
        <v>0</v>
      </c>
      <c r="AD2881" s="490"/>
      <c r="AE2881" s="482"/>
      <c r="AF2881" s="493">
        <f t="shared" si="480"/>
        <v>2301150</v>
      </c>
      <c r="AG2881" s="474" t="s">
        <v>47</v>
      </c>
      <c r="AH2881" s="474">
        <v>100</v>
      </c>
      <c r="AI2881" s="474">
        <v>0</v>
      </c>
      <c r="AJ2881" s="474" t="s">
        <v>1109</v>
      </c>
      <c r="AK2881" s="474" t="s">
        <v>1109</v>
      </c>
      <c r="AL2881" s="494" t="s">
        <v>1109</v>
      </c>
      <c r="AM2881" s="474" t="s">
        <v>52</v>
      </c>
      <c r="AN2881" s="474" t="s">
        <v>1074</v>
      </c>
      <c r="AO2881" s="474"/>
      <c r="AP2881" s="482"/>
      <c r="AQ2881" s="482"/>
      <c r="AR2881" s="474"/>
      <c r="AS2881" s="399"/>
      <c r="AT2881" s="436"/>
      <c r="AU2881" s="436"/>
    </row>
    <row r="2882" spans="1:47">
      <c r="A2882" s="495"/>
      <c r="B2882" s="495"/>
      <c r="C2882" s="495"/>
      <c r="D2882" s="394" t="s">
        <v>1066</v>
      </c>
      <c r="E2882" s="474" t="s">
        <v>5600</v>
      </c>
      <c r="F2882" s="474"/>
      <c r="G2882" s="474">
        <v>2022</v>
      </c>
      <c r="H2882" s="474">
        <v>11</v>
      </c>
      <c r="I2882" s="474"/>
      <c r="J2882" s="475"/>
      <c r="K2882" s="474">
        <v>1003</v>
      </c>
      <c r="L2882" s="475" t="s">
        <v>5601</v>
      </c>
      <c r="M2882" s="475">
        <v>44677</v>
      </c>
      <c r="N2882" s="475">
        <v>44866</v>
      </c>
      <c r="O2882" s="475"/>
      <c r="P2882" s="475"/>
      <c r="Q2882" s="475"/>
      <c r="R2882" s="475"/>
      <c r="S2882" s="474" t="s">
        <v>1069</v>
      </c>
      <c r="T2882" s="474">
        <v>72</v>
      </c>
      <c r="U2882" s="474"/>
      <c r="V2882" s="474" t="s">
        <v>1115</v>
      </c>
      <c r="W2882" s="476">
        <v>575</v>
      </c>
      <c r="X2882" s="402">
        <v>6960</v>
      </c>
      <c r="Y2882" s="477">
        <f t="shared" si="486"/>
        <v>4002000</v>
      </c>
      <c r="Z2882" s="478">
        <v>0.57499999999999996</v>
      </c>
      <c r="AA2882" s="479">
        <f t="shared" si="487"/>
        <v>2301150</v>
      </c>
      <c r="AB2882" s="480"/>
      <c r="AC2882" s="481">
        <f t="shared" si="488"/>
        <v>0</v>
      </c>
      <c r="AD2882" s="490"/>
      <c r="AE2882" s="482"/>
      <c r="AF2882" s="493">
        <f t="shared" si="480"/>
        <v>2301150</v>
      </c>
      <c r="AG2882" s="474" t="s">
        <v>47</v>
      </c>
      <c r="AH2882" s="474">
        <v>100</v>
      </c>
      <c r="AI2882" s="474">
        <v>0</v>
      </c>
      <c r="AJ2882" s="474" t="s">
        <v>1109</v>
      </c>
      <c r="AK2882" s="474" t="s">
        <v>1109</v>
      </c>
      <c r="AL2882" s="494" t="s">
        <v>1109</v>
      </c>
      <c r="AM2882" s="474" t="s">
        <v>52</v>
      </c>
      <c r="AN2882" s="474" t="s">
        <v>1074</v>
      </c>
      <c r="AO2882" s="474"/>
      <c r="AP2882" s="482"/>
      <c r="AQ2882" s="482"/>
      <c r="AR2882" s="474"/>
      <c r="AS2882" s="399"/>
      <c r="AT2882" s="436"/>
      <c r="AU2882" s="436"/>
    </row>
    <row r="2883" spans="1:47">
      <c r="A2883" s="495"/>
      <c r="B2883" s="495"/>
      <c r="C2883" s="495"/>
      <c r="D2883" s="394" t="s">
        <v>1066</v>
      </c>
      <c r="E2883" s="474" t="s">
        <v>5600</v>
      </c>
      <c r="F2883" s="474"/>
      <c r="G2883" s="474">
        <v>2022</v>
      </c>
      <c r="H2883" s="474">
        <v>12</v>
      </c>
      <c r="I2883" s="474"/>
      <c r="J2883" s="475"/>
      <c r="K2883" s="474">
        <v>1003</v>
      </c>
      <c r="L2883" s="475" t="s">
        <v>5601</v>
      </c>
      <c r="M2883" s="475">
        <v>44677</v>
      </c>
      <c r="N2883" s="475">
        <v>44896</v>
      </c>
      <c r="O2883" s="475"/>
      <c r="P2883" s="475"/>
      <c r="Q2883" s="475"/>
      <c r="R2883" s="475"/>
      <c r="S2883" s="474" t="s">
        <v>1069</v>
      </c>
      <c r="T2883" s="474">
        <v>72</v>
      </c>
      <c r="U2883" s="474"/>
      <c r="V2883" s="474" t="s">
        <v>1115</v>
      </c>
      <c r="W2883" s="476">
        <v>575</v>
      </c>
      <c r="X2883" s="402">
        <v>6960</v>
      </c>
      <c r="Y2883" s="477">
        <f t="shared" si="486"/>
        <v>4002000</v>
      </c>
      <c r="Z2883" s="478">
        <v>0.57499999999999996</v>
      </c>
      <c r="AA2883" s="479">
        <f t="shared" si="487"/>
        <v>2301150</v>
      </c>
      <c r="AB2883" s="480"/>
      <c r="AC2883" s="481">
        <f t="shared" si="488"/>
        <v>0</v>
      </c>
      <c r="AD2883" s="490"/>
      <c r="AE2883" s="482"/>
      <c r="AF2883" s="493">
        <f t="shared" si="480"/>
        <v>2301150</v>
      </c>
      <c r="AG2883" s="474" t="s">
        <v>47</v>
      </c>
      <c r="AH2883" s="474">
        <v>100</v>
      </c>
      <c r="AI2883" s="474">
        <v>0</v>
      </c>
      <c r="AJ2883" s="474" t="s">
        <v>1109</v>
      </c>
      <c r="AK2883" s="474" t="s">
        <v>1109</v>
      </c>
      <c r="AL2883" s="494" t="s">
        <v>1109</v>
      </c>
      <c r="AM2883" s="474" t="s">
        <v>52</v>
      </c>
      <c r="AN2883" s="474" t="s">
        <v>1074</v>
      </c>
      <c r="AO2883" s="474"/>
      <c r="AP2883" s="482"/>
      <c r="AQ2883" s="482"/>
      <c r="AR2883" s="474"/>
      <c r="AS2883" s="399"/>
      <c r="AT2883" s="436"/>
      <c r="AU2883" s="436"/>
    </row>
    <row r="2884" spans="1:47">
      <c r="A2884" s="495"/>
      <c r="B2884" s="407"/>
      <c r="C2884" s="407"/>
      <c r="D2884" s="474" t="s">
        <v>1066</v>
      </c>
      <c r="E2884" s="388" t="s">
        <v>1283</v>
      </c>
      <c r="F2884" s="474" t="s">
        <v>1147</v>
      </c>
      <c r="G2884" s="474">
        <v>2022</v>
      </c>
      <c r="H2884" s="474">
        <v>12</v>
      </c>
      <c r="I2884" s="485">
        <v>2005236</v>
      </c>
      <c r="J2884" s="475"/>
      <c r="K2884" s="516" t="s">
        <v>1531</v>
      </c>
      <c r="L2884" s="475" t="s">
        <v>1520</v>
      </c>
      <c r="M2884" s="475">
        <v>44481</v>
      </c>
      <c r="N2884" s="475">
        <v>44897</v>
      </c>
      <c r="O2884" s="475"/>
      <c r="P2884" s="475"/>
      <c r="Q2884" s="475"/>
      <c r="R2884" s="475"/>
      <c r="S2884" s="474" t="s">
        <v>1388</v>
      </c>
      <c r="T2884" s="474">
        <v>72</v>
      </c>
      <c r="U2884" s="474">
        <v>49303156</v>
      </c>
      <c r="V2884" s="474" t="s">
        <v>1070</v>
      </c>
      <c r="W2884" s="476">
        <v>480</v>
      </c>
      <c r="X2884" s="402">
        <v>11400</v>
      </c>
      <c r="Y2884" s="491">
        <f>W2884*X2884</f>
        <v>5472000</v>
      </c>
      <c r="Z2884" s="478">
        <v>0.39500000000000002</v>
      </c>
      <c r="AA2884" s="479">
        <f t="shared" si="487"/>
        <v>2161440</v>
      </c>
      <c r="AB2884" s="386"/>
      <c r="AC2884" s="481">
        <f t="shared" si="488"/>
        <v>0</v>
      </c>
      <c r="AD2884" s="474"/>
      <c r="AE2884" s="482"/>
      <c r="AF2884" s="493">
        <f t="shared" si="480"/>
        <v>2161440</v>
      </c>
      <c r="AG2884" s="474" t="s">
        <v>47</v>
      </c>
      <c r="AH2884" s="447">
        <v>10</v>
      </c>
      <c r="AI2884" s="474">
        <v>45</v>
      </c>
      <c r="AJ2884" s="474" t="s">
        <v>1532</v>
      </c>
      <c r="AK2884" s="474" t="s">
        <v>1158</v>
      </c>
      <c r="AL2884" s="494">
        <v>28352</v>
      </c>
      <c r="AM2884" s="474" t="s">
        <v>52</v>
      </c>
      <c r="AN2884" s="474" t="s">
        <v>1109</v>
      </c>
      <c r="AO2884" s="474"/>
      <c r="AP2884" s="474" t="s">
        <v>1109</v>
      </c>
      <c r="AQ2884" s="474"/>
      <c r="AR2884" s="474"/>
      <c r="AS2884" s="400"/>
      <c r="AT2884" s="387"/>
      <c r="AU2884" s="472"/>
    </row>
    <row r="2885" spans="1:47">
      <c r="A2885" s="410"/>
      <c r="B2885" s="407">
        <v>44634</v>
      </c>
      <c r="C2885" s="407" t="s">
        <v>1211</v>
      </c>
      <c r="D2885" s="474" t="s">
        <v>1066</v>
      </c>
      <c r="E2885" s="394" t="s">
        <v>2984</v>
      </c>
      <c r="F2885" s="474"/>
      <c r="G2885" s="474">
        <v>2022</v>
      </c>
      <c r="H2885" s="474">
        <v>9</v>
      </c>
      <c r="I2885" s="485"/>
      <c r="J2885" s="475"/>
      <c r="K2885" s="474" t="s">
        <v>5825</v>
      </c>
      <c r="L2885" s="475" t="s">
        <v>1242</v>
      </c>
      <c r="M2885" s="475">
        <v>44680</v>
      </c>
      <c r="N2885" s="475">
        <v>44805</v>
      </c>
      <c r="O2885" s="475"/>
      <c r="P2885" s="475"/>
      <c r="Q2885" s="475"/>
      <c r="R2885" s="475"/>
      <c r="S2885" s="474" t="s">
        <v>1114</v>
      </c>
      <c r="T2885" s="474">
        <v>60</v>
      </c>
      <c r="U2885" s="474"/>
      <c r="V2885" s="474" t="s">
        <v>973</v>
      </c>
      <c r="W2885" s="476">
        <v>400</v>
      </c>
      <c r="X2885" s="402">
        <v>1536</v>
      </c>
      <c r="Y2885" s="477">
        <f>W2885*X2885</f>
        <v>614400</v>
      </c>
      <c r="Z2885" s="478">
        <v>0.64</v>
      </c>
      <c r="AA2885" s="479">
        <f>Z2885*Y2885</f>
        <v>393216</v>
      </c>
      <c r="AB2885" s="386"/>
      <c r="AC2885" s="481">
        <f>AB2885*Y2885</f>
        <v>0</v>
      </c>
      <c r="AD2885" s="474"/>
      <c r="AE2885" s="482"/>
      <c r="AF2885" s="493">
        <f>AE2885+AD2885+AA2885</f>
        <v>393216</v>
      </c>
      <c r="AG2885" s="474" t="s">
        <v>1071</v>
      </c>
      <c r="AH2885" s="447">
        <v>0</v>
      </c>
      <c r="AI2885" s="474">
        <v>60</v>
      </c>
      <c r="AJ2885" s="474" t="s">
        <v>1243</v>
      </c>
      <c r="AK2885" s="474" t="s">
        <v>1244</v>
      </c>
      <c r="AL2885" s="494" t="s">
        <v>1245</v>
      </c>
      <c r="AM2885" s="474" t="s">
        <v>52</v>
      </c>
      <c r="AN2885" s="474" t="s">
        <v>1074</v>
      </c>
      <c r="AO2885" s="474"/>
      <c r="AP2885" s="474"/>
      <c r="AQ2885" s="474" t="s">
        <v>1086</v>
      </c>
      <c r="AR2885" s="474"/>
      <c r="AS2885" s="400" t="s">
        <v>1152</v>
      </c>
      <c r="AT2885" s="387" t="s">
        <v>1076</v>
      </c>
      <c r="AU2885" s="387" t="s">
        <v>1076</v>
      </c>
    </row>
    <row r="2886" spans="1:47">
      <c r="A2886" s="410"/>
      <c r="B2886" s="407">
        <v>44634</v>
      </c>
      <c r="C2886" s="407" t="s">
        <v>1211</v>
      </c>
      <c r="D2886" s="474" t="s">
        <v>1066</v>
      </c>
      <c r="E2886" s="394" t="s">
        <v>2984</v>
      </c>
      <c r="F2886" s="474"/>
      <c r="G2886" s="474">
        <v>2022</v>
      </c>
      <c r="H2886" s="474">
        <v>10</v>
      </c>
      <c r="I2886" s="485"/>
      <c r="J2886" s="475"/>
      <c r="K2886" s="474" t="s">
        <v>5826</v>
      </c>
      <c r="L2886" s="475" t="s">
        <v>1242</v>
      </c>
      <c r="M2886" s="475">
        <v>44680</v>
      </c>
      <c r="N2886" s="475">
        <v>44835</v>
      </c>
      <c r="O2886" s="475"/>
      <c r="P2886" s="475"/>
      <c r="Q2886" s="475"/>
      <c r="R2886" s="475"/>
      <c r="S2886" s="474" t="s">
        <v>1114</v>
      </c>
      <c r="T2886" s="474">
        <v>60</v>
      </c>
      <c r="U2886" s="474"/>
      <c r="V2886" s="474" t="s">
        <v>973</v>
      </c>
      <c r="W2886" s="476">
        <v>400</v>
      </c>
      <c r="X2886" s="402">
        <v>2304</v>
      </c>
      <c r="Y2886" s="477">
        <f>W2886*X2886</f>
        <v>921600</v>
      </c>
      <c r="Z2886" s="478">
        <v>0.64</v>
      </c>
      <c r="AA2886" s="479">
        <f>Z2886*Y2886</f>
        <v>589824</v>
      </c>
      <c r="AB2886" s="386"/>
      <c r="AC2886" s="481">
        <f>AB2886*Y2886</f>
        <v>0</v>
      </c>
      <c r="AD2886" s="474"/>
      <c r="AE2886" s="482"/>
      <c r="AF2886" s="493">
        <f>AE2886+AD2886+AA2886</f>
        <v>589824</v>
      </c>
      <c r="AG2886" s="474" t="s">
        <v>1071</v>
      </c>
      <c r="AH2886" s="447">
        <v>0</v>
      </c>
      <c r="AI2886" s="474">
        <v>60</v>
      </c>
      <c r="AJ2886" s="474" t="s">
        <v>1243</v>
      </c>
      <c r="AK2886" s="474" t="s">
        <v>1244</v>
      </c>
      <c r="AL2886" s="494" t="s">
        <v>1245</v>
      </c>
      <c r="AM2886" s="474" t="s">
        <v>52</v>
      </c>
      <c r="AN2886" s="474" t="s">
        <v>1074</v>
      </c>
      <c r="AO2886" s="474"/>
      <c r="AP2886" s="474"/>
      <c r="AQ2886" s="474" t="s">
        <v>1086</v>
      </c>
      <c r="AR2886" s="474"/>
      <c r="AS2886" s="400" t="s">
        <v>1152</v>
      </c>
      <c r="AT2886" s="387" t="s">
        <v>1076</v>
      </c>
      <c r="AU2886" s="387" t="s">
        <v>1076</v>
      </c>
    </row>
    <row r="2887" spans="1:47">
      <c r="A2887" s="410"/>
      <c r="B2887" s="407">
        <v>44634</v>
      </c>
      <c r="C2887" s="407" t="s">
        <v>1211</v>
      </c>
      <c r="D2887" s="474" t="s">
        <v>1066</v>
      </c>
      <c r="E2887" s="394" t="s">
        <v>2984</v>
      </c>
      <c r="F2887" s="474"/>
      <c r="G2887" s="474">
        <v>2022</v>
      </c>
      <c r="H2887" s="474">
        <v>11</v>
      </c>
      <c r="I2887" s="485"/>
      <c r="J2887" s="475"/>
      <c r="K2887" s="474" t="s">
        <v>5827</v>
      </c>
      <c r="L2887" s="475" t="s">
        <v>1242</v>
      </c>
      <c r="M2887" s="475">
        <v>44680</v>
      </c>
      <c r="N2887" s="475">
        <v>44866</v>
      </c>
      <c r="O2887" s="475"/>
      <c r="P2887" s="475"/>
      <c r="Q2887" s="475"/>
      <c r="R2887" s="475"/>
      <c r="S2887" s="474" t="s">
        <v>1114</v>
      </c>
      <c r="T2887" s="474">
        <v>60</v>
      </c>
      <c r="U2887" s="474"/>
      <c r="V2887" s="474" t="s">
        <v>973</v>
      </c>
      <c r="W2887" s="476">
        <v>400</v>
      </c>
      <c r="X2887" s="402">
        <v>2304</v>
      </c>
      <c r="Y2887" s="477">
        <f>W2887*X2887</f>
        <v>921600</v>
      </c>
      <c r="Z2887" s="478">
        <v>0.64</v>
      </c>
      <c r="AA2887" s="479">
        <f>Z2887*Y2887</f>
        <v>589824</v>
      </c>
      <c r="AB2887" s="386"/>
      <c r="AC2887" s="481">
        <f>AB2887*Y2887</f>
        <v>0</v>
      </c>
      <c r="AD2887" s="474"/>
      <c r="AE2887" s="482"/>
      <c r="AF2887" s="493">
        <f>AE2887+AD2887+AA2887</f>
        <v>589824</v>
      </c>
      <c r="AG2887" s="474" t="s">
        <v>1071</v>
      </c>
      <c r="AH2887" s="447">
        <v>0</v>
      </c>
      <c r="AI2887" s="474">
        <v>60</v>
      </c>
      <c r="AJ2887" s="474" t="s">
        <v>1243</v>
      </c>
      <c r="AK2887" s="474" t="s">
        <v>1244</v>
      </c>
      <c r="AL2887" s="494" t="s">
        <v>1245</v>
      </c>
      <c r="AM2887" s="474" t="s">
        <v>52</v>
      </c>
      <c r="AN2887" s="474" t="s">
        <v>1074</v>
      </c>
      <c r="AO2887" s="474"/>
      <c r="AP2887" s="474"/>
      <c r="AQ2887" s="474" t="s">
        <v>1086</v>
      </c>
      <c r="AR2887" s="474"/>
      <c r="AS2887" s="400" t="s">
        <v>1152</v>
      </c>
      <c r="AT2887" s="387" t="s">
        <v>1076</v>
      </c>
      <c r="AU2887" s="387" t="s">
        <v>1076</v>
      </c>
    </row>
    <row r="2888" spans="1:47">
      <c r="A2888" s="410"/>
      <c r="B2888" s="407">
        <v>44634</v>
      </c>
      <c r="C2888" s="407" t="s">
        <v>1211</v>
      </c>
      <c r="D2888" s="474" t="s">
        <v>1066</v>
      </c>
      <c r="E2888" s="394" t="s">
        <v>2984</v>
      </c>
      <c r="F2888" s="474"/>
      <c r="G2888" s="474">
        <v>2022</v>
      </c>
      <c r="H2888" s="474">
        <v>12</v>
      </c>
      <c r="I2888" s="485"/>
      <c r="J2888" s="475"/>
      <c r="K2888" s="474" t="s">
        <v>5828</v>
      </c>
      <c r="L2888" s="475" t="s">
        <v>1242</v>
      </c>
      <c r="M2888" s="475">
        <v>44680</v>
      </c>
      <c r="N2888" s="475">
        <v>44896</v>
      </c>
      <c r="O2888" s="475"/>
      <c r="P2888" s="475"/>
      <c r="Q2888" s="475"/>
      <c r="R2888" s="475"/>
      <c r="S2888" s="474" t="s">
        <v>1114</v>
      </c>
      <c r="T2888" s="474">
        <v>60</v>
      </c>
      <c r="U2888" s="474"/>
      <c r="V2888" s="474" t="s">
        <v>973</v>
      </c>
      <c r="W2888" s="476">
        <v>400</v>
      </c>
      <c r="X2888" s="402">
        <v>1536</v>
      </c>
      <c r="Y2888" s="477">
        <f>W2888*X2888</f>
        <v>614400</v>
      </c>
      <c r="Z2888" s="478">
        <v>0.64</v>
      </c>
      <c r="AA2888" s="479">
        <f>Z2888*Y2888</f>
        <v>393216</v>
      </c>
      <c r="AB2888" s="386"/>
      <c r="AC2888" s="481">
        <f>AB2888*Y2888</f>
        <v>0</v>
      </c>
      <c r="AD2888" s="474"/>
      <c r="AE2888" s="482"/>
      <c r="AF2888" s="493">
        <f>AE2888+AD2888+AA2888</f>
        <v>393216</v>
      </c>
      <c r="AG2888" s="474" t="s">
        <v>1071</v>
      </c>
      <c r="AH2888" s="447">
        <v>0</v>
      </c>
      <c r="AI2888" s="474">
        <v>60</v>
      </c>
      <c r="AJ2888" s="474" t="s">
        <v>1243</v>
      </c>
      <c r="AK2888" s="474" t="s">
        <v>1244</v>
      </c>
      <c r="AL2888" s="494" t="s">
        <v>1245</v>
      </c>
      <c r="AM2888" s="474" t="s">
        <v>52</v>
      </c>
      <c r="AN2888" s="474" t="s">
        <v>1074</v>
      </c>
      <c r="AO2888" s="474"/>
      <c r="AP2888" s="474"/>
      <c r="AQ2888" s="474" t="s">
        <v>1086</v>
      </c>
      <c r="AR2888" s="474"/>
      <c r="AS2888" s="400" t="s">
        <v>1152</v>
      </c>
      <c r="AT2888" s="387" t="s">
        <v>1076</v>
      </c>
      <c r="AU2888" s="387" t="s">
        <v>1076</v>
      </c>
    </row>
  </sheetData>
  <autoFilter ref="A2:AVJ2842" xr:uid="{8E5948EA-0848-4CD4-8B6A-41ADD12B7A3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K1413"/>
  <sheetViews>
    <sheetView zoomScaleNormal="100" workbookViewId="0">
      <pane ySplit="2" topLeftCell="A1234" activePane="bottomLeft" state="frozen"/>
      <selection pane="bottomLeft" activeCell="D1269" sqref="D2:D1269"/>
    </sheetView>
  </sheetViews>
  <sheetFormatPr defaultRowHeight="15"/>
  <cols>
    <col min="1" max="1" width="5.5703125" style="295" customWidth="1"/>
    <col min="2" max="3" width="9.42578125" style="295" customWidth="1"/>
    <col min="4" max="4" width="3.28515625" style="262" customWidth="1"/>
    <col min="5" max="5" width="20.28515625" style="262" customWidth="1"/>
    <col min="6" max="6" width="3.5703125" style="262" customWidth="1"/>
    <col min="7" max="7" width="5" style="262" bestFit="1" customWidth="1"/>
    <col min="8" max="8" width="6.140625" style="262" customWidth="1"/>
    <col min="9" max="9" width="6.85546875" style="262" customWidth="1"/>
    <col min="10" max="10" width="11.140625" style="262" bestFit="1" customWidth="1"/>
    <col min="11" max="11" width="16.42578125" style="262" customWidth="1"/>
    <col min="12" max="12" width="20.85546875" style="262" customWidth="1"/>
    <col min="13" max="13" width="9.85546875" style="262" customWidth="1"/>
    <col min="14" max="14" width="9.5703125" style="262" customWidth="1"/>
    <col min="15" max="15" width="9.140625" style="262" customWidth="1"/>
    <col min="16" max="18" width="9.28515625" style="262" customWidth="1"/>
    <col min="19" max="19" width="6.140625" style="262" customWidth="1"/>
    <col min="20" max="20" width="3.28515625" style="262" customWidth="1"/>
    <col min="21" max="21" width="8.42578125" style="262" customWidth="1"/>
    <col min="22" max="22" width="20.42578125" style="262" customWidth="1"/>
    <col min="23" max="23" width="3.85546875" style="262" customWidth="1"/>
    <col min="24" max="24" width="8" style="276" customWidth="1"/>
    <col min="25" max="25" width="10.7109375" style="276" customWidth="1"/>
    <col min="26" max="26" width="7.28515625" style="262" customWidth="1"/>
    <col min="27" max="27" width="15.140625" style="262" customWidth="1"/>
    <col min="28" max="28" width="6" style="262" bestFit="1" customWidth="1"/>
    <col min="29" max="30" width="6.28515625" style="262" customWidth="1"/>
    <col min="31" max="31" width="13.42578125" style="262" customWidth="1"/>
    <col min="32" max="32" width="15.42578125" style="262" customWidth="1"/>
    <col min="33" max="33" width="3.85546875" style="262" customWidth="1"/>
    <col min="34" max="34" width="3.5703125" style="262" bestFit="1" customWidth="1"/>
    <col min="35" max="35" width="2.7109375" style="262" bestFit="1" customWidth="1"/>
    <col min="36" max="36" width="9.28515625" style="262" customWidth="1"/>
    <col min="37" max="37" width="4" style="262" bestFit="1" customWidth="1"/>
    <col min="38" max="38" width="6.140625" style="262" bestFit="1" customWidth="1"/>
    <col min="39" max="39" width="4" style="262" bestFit="1" customWidth="1"/>
    <col min="40" max="40" width="6" style="262" customWidth="1"/>
    <col min="41" max="41" width="5" style="262" customWidth="1"/>
    <col min="42" max="42" width="5.5703125" style="262" customWidth="1"/>
    <col min="43" max="43" width="6" style="262" bestFit="1" customWidth="1"/>
    <col min="44" max="44" width="25.5703125" style="262" bestFit="1" customWidth="1"/>
    <col min="45" max="45" width="23" style="262" bestFit="1" customWidth="1"/>
    <col min="46" max="46" width="23.42578125" style="262" bestFit="1" customWidth="1"/>
    <col min="47" max="47" width="3.140625" style="262" bestFit="1" customWidth="1"/>
    <col min="48" max="48" width="5.5703125" style="262" bestFit="1" customWidth="1"/>
    <col min="49" max="50" width="9.140625" style="262"/>
    <col min="51" max="51" width="5.5703125" style="262" bestFit="1" customWidth="1"/>
    <col min="52" max="52" width="11.28515625" style="262" bestFit="1" customWidth="1"/>
    <col min="53" max="53" width="32.7109375" style="262" bestFit="1" customWidth="1"/>
    <col min="54" max="16384" width="9.140625" style="262"/>
  </cols>
  <sheetData>
    <row r="1" spans="1:47" ht="15" customHeight="1">
      <c r="I1" s="274"/>
      <c r="J1" s="275"/>
      <c r="K1" s="274"/>
      <c r="Q1" s="275"/>
      <c r="R1" s="275"/>
      <c r="V1" s="257"/>
      <c r="X1" s="277">
        <f>SUBTOTAL(9,X2:X222)</f>
        <v>389080</v>
      </c>
      <c r="Y1" s="530">
        <f>SUBTOTAL(9,Y2:Y222)</f>
        <v>150441920</v>
      </c>
      <c r="Z1" s="296">
        <f>AA1/Y1</f>
        <v>0.55396726657038142</v>
      </c>
      <c r="AA1" s="379">
        <f>SUBTOTAL(9,AA2:AA222)</f>
        <v>83339899.199999988</v>
      </c>
      <c r="AE1" s="379">
        <f>SUBTOTAL(9,AE2:AE222)</f>
        <v>335174.39999999985</v>
      </c>
      <c r="AF1" s="379">
        <f>SUBTOTAL(9,AF2:AF222)</f>
        <v>83787662.399999931</v>
      </c>
      <c r="AG1" s="297"/>
      <c r="AH1" s="297"/>
      <c r="AL1" s="274"/>
    </row>
    <row r="2" spans="1:47" ht="15.75" customHeight="1">
      <c r="A2" s="263" t="s">
        <v>1051</v>
      </c>
      <c r="B2" s="263" t="s">
        <v>1052</v>
      </c>
      <c r="C2" s="263" t="s">
        <v>1053</v>
      </c>
      <c r="D2" s="263" t="s">
        <v>1</v>
      </c>
      <c r="E2" s="263" t="s">
        <v>2</v>
      </c>
      <c r="F2" s="263" t="s">
        <v>3</v>
      </c>
      <c r="G2" s="264" t="s">
        <v>4</v>
      </c>
      <c r="H2" s="264" t="s">
        <v>5</v>
      </c>
      <c r="I2" s="298" t="s">
        <v>6</v>
      </c>
      <c r="J2" s="265" t="s">
        <v>7</v>
      </c>
      <c r="K2" s="263" t="s">
        <v>8</v>
      </c>
      <c r="L2" s="263" t="s">
        <v>9</v>
      </c>
      <c r="M2" s="265" t="s">
        <v>10</v>
      </c>
      <c r="N2" s="265" t="s">
        <v>11</v>
      </c>
      <c r="O2" s="264" t="s">
        <v>12</v>
      </c>
      <c r="P2" s="265" t="s">
        <v>13</v>
      </c>
      <c r="Q2" s="265" t="s">
        <v>14</v>
      </c>
      <c r="R2" s="265" t="s">
        <v>15</v>
      </c>
      <c r="S2" s="263" t="s">
        <v>16</v>
      </c>
      <c r="T2" s="263" t="s">
        <v>17</v>
      </c>
      <c r="U2" s="263" t="s">
        <v>272</v>
      </c>
      <c r="V2" s="263" t="s">
        <v>20</v>
      </c>
      <c r="W2" s="263" t="s">
        <v>1054</v>
      </c>
      <c r="X2" s="266" t="s">
        <v>1055</v>
      </c>
      <c r="Y2" s="267" t="s">
        <v>1056</v>
      </c>
      <c r="Z2" s="268" t="s">
        <v>1057</v>
      </c>
      <c r="AA2" s="269" t="s">
        <v>26</v>
      </c>
      <c r="AB2" s="268" t="s">
        <v>1058</v>
      </c>
      <c r="AC2" s="268" t="s">
        <v>1059</v>
      </c>
      <c r="AD2" s="270" t="s">
        <v>1060</v>
      </c>
      <c r="AE2" s="269" t="s">
        <v>1061</v>
      </c>
      <c r="AF2" s="270" t="s">
        <v>29</v>
      </c>
      <c r="AG2" s="270" t="s">
        <v>30</v>
      </c>
      <c r="AH2" s="299" t="s">
        <v>31</v>
      </c>
      <c r="AI2" s="271" t="s">
        <v>32</v>
      </c>
      <c r="AJ2" s="269" t="s">
        <v>33</v>
      </c>
      <c r="AK2" s="269" t="s">
        <v>34</v>
      </c>
      <c r="AL2" s="273" t="s">
        <v>35</v>
      </c>
      <c r="AM2" s="269" t="s">
        <v>36</v>
      </c>
      <c r="AN2" s="263" t="s">
        <v>37</v>
      </c>
      <c r="AO2" s="263" t="s">
        <v>1680</v>
      </c>
      <c r="AP2" s="272" t="s">
        <v>1062</v>
      </c>
      <c r="AQ2" s="272" t="s">
        <v>1063</v>
      </c>
      <c r="AR2" s="272" t="s">
        <v>1064</v>
      </c>
      <c r="AS2" s="272" t="s">
        <v>1</v>
      </c>
      <c r="AT2" s="272" t="s">
        <v>1065</v>
      </c>
    </row>
    <row r="3" spans="1:47" s="471" customFormat="1">
      <c r="A3" s="495"/>
      <c r="B3" s="407">
        <v>44635</v>
      </c>
      <c r="C3" s="495"/>
      <c r="D3" s="512" t="s">
        <v>86</v>
      </c>
      <c r="E3" s="352"/>
      <c r="F3" s="501"/>
      <c r="G3" s="371">
        <v>2022</v>
      </c>
      <c r="H3" s="371" t="s">
        <v>4093</v>
      </c>
      <c r="I3" s="501" t="s">
        <v>1676</v>
      </c>
      <c r="J3" s="502"/>
      <c r="K3" s="501" t="s">
        <v>4094</v>
      </c>
      <c r="L3" s="501" t="s">
        <v>1693</v>
      </c>
      <c r="M3" s="502">
        <v>44631</v>
      </c>
      <c r="N3" s="502">
        <v>44837</v>
      </c>
      <c r="O3" s="502"/>
      <c r="P3" s="353"/>
      <c r="Q3" s="502"/>
      <c r="R3" s="502"/>
      <c r="S3" s="501" t="s">
        <v>88</v>
      </c>
      <c r="T3" s="501">
        <v>60</v>
      </c>
      <c r="U3" s="501" t="s">
        <v>1109</v>
      </c>
      <c r="V3" s="510" t="s">
        <v>986</v>
      </c>
      <c r="W3" s="501">
        <v>360</v>
      </c>
      <c r="X3" s="354">
        <v>832</v>
      </c>
      <c r="Y3" s="397">
        <f t="shared" ref="Y3:Y22" si="0">W3*X3</f>
        <v>299520</v>
      </c>
      <c r="Z3" s="478">
        <f>190.8/360</f>
        <v>0.53</v>
      </c>
      <c r="AA3" s="479">
        <f t="shared" ref="AA3:AA66" si="1">Z3*Y3</f>
        <v>158745.60000000001</v>
      </c>
      <c r="AB3" s="480"/>
      <c r="AC3" s="481">
        <f t="shared" ref="AC3:AC22" si="2">AB3*Y3</f>
        <v>0</v>
      </c>
      <c r="AD3" s="474"/>
      <c r="AE3" s="474"/>
      <c r="AF3" s="493">
        <f t="shared" ref="AF3:AF66" si="3">AE3+AD3+AA3</f>
        <v>158745.60000000001</v>
      </c>
      <c r="AG3" s="474" t="s">
        <v>1071</v>
      </c>
      <c r="AH3" s="474">
        <v>100</v>
      </c>
      <c r="AI3" s="474">
        <v>0</v>
      </c>
      <c r="AJ3" s="475" t="s">
        <v>4095</v>
      </c>
      <c r="AK3" s="475" t="s">
        <v>50</v>
      </c>
      <c r="AL3" s="483">
        <v>92806</v>
      </c>
      <c r="AM3" s="474" t="s">
        <v>52</v>
      </c>
      <c r="AN3" s="384"/>
      <c r="AO3" s="474" t="s">
        <v>1076</v>
      </c>
      <c r="AP3" s="474"/>
      <c r="AQ3" s="482" t="s">
        <v>37</v>
      </c>
      <c r="AR3" s="474" t="s">
        <v>1216</v>
      </c>
      <c r="AS3" s="473"/>
      <c r="AT3" s="346"/>
      <c r="AU3" s="478">
        <f t="shared" ref="AU3:AU14" si="4">212/400</f>
        <v>0.53</v>
      </c>
    </row>
    <row r="4" spans="1:47" s="471" customFormat="1">
      <c r="A4" s="495"/>
      <c r="B4" s="407">
        <v>44635</v>
      </c>
      <c r="C4" s="495"/>
      <c r="D4" s="512" t="s">
        <v>86</v>
      </c>
      <c r="E4" s="352"/>
      <c r="F4" s="501"/>
      <c r="G4" s="371">
        <v>2022</v>
      </c>
      <c r="H4" s="371" t="s">
        <v>4093</v>
      </c>
      <c r="I4" s="501" t="s">
        <v>1676</v>
      </c>
      <c r="J4" s="502"/>
      <c r="K4" s="501" t="s">
        <v>4094</v>
      </c>
      <c r="L4" s="501" t="s">
        <v>1693</v>
      </c>
      <c r="M4" s="502">
        <v>44631</v>
      </c>
      <c r="N4" s="502">
        <v>44837</v>
      </c>
      <c r="O4" s="502"/>
      <c r="P4" s="353"/>
      <c r="Q4" s="502"/>
      <c r="R4" s="502"/>
      <c r="S4" s="501" t="s">
        <v>88</v>
      </c>
      <c r="T4" s="501">
        <v>60</v>
      </c>
      <c r="U4" s="501" t="s">
        <v>1109</v>
      </c>
      <c r="V4" s="510" t="s">
        <v>973</v>
      </c>
      <c r="W4" s="501">
        <v>400</v>
      </c>
      <c r="X4" s="354">
        <v>1536</v>
      </c>
      <c r="Y4" s="397">
        <f t="shared" si="0"/>
        <v>614400</v>
      </c>
      <c r="Z4" s="478">
        <f>220/400</f>
        <v>0.55000000000000004</v>
      </c>
      <c r="AA4" s="479">
        <f t="shared" si="1"/>
        <v>337920</v>
      </c>
      <c r="AB4" s="480"/>
      <c r="AC4" s="481">
        <f t="shared" si="2"/>
        <v>0</v>
      </c>
      <c r="AD4" s="474"/>
      <c r="AE4" s="474"/>
      <c r="AF4" s="493">
        <f t="shared" si="3"/>
        <v>337920</v>
      </c>
      <c r="AG4" s="474" t="s">
        <v>1071</v>
      </c>
      <c r="AH4" s="474">
        <v>100</v>
      </c>
      <c r="AI4" s="474">
        <v>0</v>
      </c>
      <c r="AJ4" s="475" t="s">
        <v>4095</v>
      </c>
      <c r="AK4" s="475" t="s">
        <v>50</v>
      </c>
      <c r="AL4" s="483">
        <v>92806</v>
      </c>
      <c r="AM4" s="474" t="s">
        <v>52</v>
      </c>
      <c r="AN4" s="384"/>
      <c r="AO4" s="474" t="s">
        <v>1076</v>
      </c>
      <c r="AP4" s="474"/>
      <c r="AQ4" s="482" t="s">
        <v>37</v>
      </c>
      <c r="AR4" s="474" t="s">
        <v>1216</v>
      </c>
      <c r="AS4" s="473"/>
      <c r="AT4" s="346"/>
      <c r="AU4" s="478">
        <f t="shared" si="4"/>
        <v>0.53</v>
      </c>
    </row>
    <row r="5" spans="1:47" s="471" customFormat="1">
      <c r="A5" s="495"/>
      <c r="B5" s="407">
        <v>44635</v>
      </c>
      <c r="C5" s="495"/>
      <c r="D5" s="512" t="s">
        <v>86</v>
      </c>
      <c r="E5" s="352"/>
      <c r="F5" s="501"/>
      <c r="G5" s="371">
        <v>2022</v>
      </c>
      <c r="H5" s="371" t="s">
        <v>4093</v>
      </c>
      <c r="I5" s="501" t="s">
        <v>1676</v>
      </c>
      <c r="J5" s="502"/>
      <c r="K5" s="501" t="s">
        <v>4096</v>
      </c>
      <c r="L5" s="501" t="s">
        <v>1693</v>
      </c>
      <c r="M5" s="502">
        <v>44631</v>
      </c>
      <c r="N5" s="502">
        <v>44867</v>
      </c>
      <c r="O5" s="502"/>
      <c r="P5" s="353"/>
      <c r="Q5" s="502"/>
      <c r="R5" s="502"/>
      <c r="S5" s="501" t="s">
        <v>88</v>
      </c>
      <c r="T5" s="501">
        <v>60</v>
      </c>
      <c r="U5" s="501" t="s">
        <v>1109</v>
      </c>
      <c r="V5" s="510" t="s">
        <v>986</v>
      </c>
      <c r="W5" s="501">
        <v>360</v>
      </c>
      <c r="X5" s="354">
        <v>832</v>
      </c>
      <c r="Y5" s="397">
        <f t="shared" si="0"/>
        <v>299520</v>
      </c>
      <c r="Z5" s="478">
        <f>190.8/360</f>
        <v>0.53</v>
      </c>
      <c r="AA5" s="479">
        <f t="shared" si="1"/>
        <v>158745.60000000001</v>
      </c>
      <c r="AB5" s="480"/>
      <c r="AC5" s="481">
        <f t="shared" si="2"/>
        <v>0</v>
      </c>
      <c r="AD5" s="474"/>
      <c r="AE5" s="474"/>
      <c r="AF5" s="493">
        <f t="shared" si="3"/>
        <v>158745.60000000001</v>
      </c>
      <c r="AG5" s="474" t="s">
        <v>1071</v>
      </c>
      <c r="AH5" s="474">
        <v>100</v>
      </c>
      <c r="AI5" s="474">
        <v>0</v>
      </c>
      <c r="AJ5" s="475" t="s">
        <v>4095</v>
      </c>
      <c r="AK5" s="475" t="s">
        <v>50</v>
      </c>
      <c r="AL5" s="483">
        <v>92806</v>
      </c>
      <c r="AM5" s="474" t="s">
        <v>52</v>
      </c>
      <c r="AN5" s="384"/>
      <c r="AO5" s="474" t="s">
        <v>1076</v>
      </c>
      <c r="AP5" s="474"/>
      <c r="AQ5" s="482" t="s">
        <v>37</v>
      </c>
      <c r="AR5" s="474" t="s">
        <v>1216</v>
      </c>
      <c r="AS5" s="473"/>
      <c r="AT5" s="346"/>
      <c r="AU5" s="478">
        <f t="shared" si="4"/>
        <v>0.53</v>
      </c>
    </row>
    <row r="6" spans="1:47" s="471" customFormat="1">
      <c r="A6" s="495"/>
      <c r="B6" s="407">
        <v>44635</v>
      </c>
      <c r="C6" s="495"/>
      <c r="D6" s="512" t="s">
        <v>86</v>
      </c>
      <c r="E6" s="352"/>
      <c r="F6" s="501"/>
      <c r="G6" s="371">
        <v>2022</v>
      </c>
      <c r="H6" s="371" t="s">
        <v>4093</v>
      </c>
      <c r="I6" s="501" t="s">
        <v>1676</v>
      </c>
      <c r="J6" s="502"/>
      <c r="K6" s="501" t="s">
        <v>4096</v>
      </c>
      <c r="L6" s="501" t="s">
        <v>1693</v>
      </c>
      <c r="M6" s="502">
        <v>44631</v>
      </c>
      <c r="N6" s="502">
        <v>44867</v>
      </c>
      <c r="O6" s="502"/>
      <c r="P6" s="353"/>
      <c r="Q6" s="502"/>
      <c r="R6" s="502"/>
      <c r="S6" s="501" t="s">
        <v>88</v>
      </c>
      <c r="T6" s="501">
        <v>60</v>
      </c>
      <c r="U6" s="501" t="s">
        <v>1109</v>
      </c>
      <c r="V6" s="510" t="s">
        <v>973</v>
      </c>
      <c r="W6" s="501">
        <v>400</v>
      </c>
      <c r="X6" s="354">
        <v>1536</v>
      </c>
      <c r="Y6" s="397">
        <f t="shared" si="0"/>
        <v>614400</v>
      </c>
      <c r="Z6" s="478">
        <f>220/400</f>
        <v>0.55000000000000004</v>
      </c>
      <c r="AA6" s="479">
        <f t="shared" si="1"/>
        <v>337920</v>
      </c>
      <c r="AB6" s="480"/>
      <c r="AC6" s="481">
        <f t="shared" si="2"/>
        <v>0</v>
      </c>
      <c r="AD6" s="474"/>
      <c r="AE6" s="474"/>
      <c r="AF6" s="493">
        <f t="shared" si="3"/>
        <v>337920</v>
      </c>
      <c r="AG6" s="474" t="s">
        <v>1071</v>
      </c>
      <c r="AH6" s="474">
        <v>100</v>
      </c>
      <c r="AI6" s="474">
        <v>0</v>
      </c>
      <c r="AJ6" s="475" t="s">
        <v>4095</v>
      </c>
      <c r="AK6" s="475" t="s">
        <v>50</v>
      </c>
      <c r="AL6" s="483">
        <v>92806</v>
      </c>
      <c r="AM6" s="474" t="s">
        <v>52</v>
      </c>
      <c r="AN6" s="384"/>
      <c r="AO6" s="474" t="s">
        <v>1076</v>
      </c>
      <c r="AP6" s="474"/>
      <c r="AQ6" s="482" t="s">
        <v>37</v>
      </c>
      <c r="AR6" s="474" t="s">
        <v>1216</v>
      </c>
      <c r="AS6" s="473"/>
      <c r="AT6" s="346"/>
      <c r="AU6" s="478">
        <f t="shared" si="4"/>
        <v>0.53</v>
      </c>
    </row>
    <row r="7" spans="1:47" s="471" customFormat="1">
      <c r="A7" s="495"/>
      <c r="B7" s="407">
        <v>44635</v>
      </c>
      <c r="C7" s="495"/>
      <c r="D7" s="512" t="s">
        <v>86</v>
      </c>
      <c r="E7" s="352"/>
      <c r="F7" s="501"/>
      <c r="G7" s="371">
        <v>2022</v>
      </c>
      <c r="H7" s="371" t="s">
        <v>4093</v>
      </c>
      <c r="I7" s="501" t="s">
        <v>1676</v>
      </c>
      <c r="J7" s="502"/>
      <c r="K7" s="501" t="s">
        <v>4097</v>
      </c>
      <c r="L7" s="501" t="s">
        <v>1693</v>
      </c>
      <c r="M7" s="502">
        <v>44631</v>
      </c>
      <c r="N7" s="502">
        <v>44896</v>
      </c>
      <c r="O7" s="502"/>
      <c r="P7" s="353"/>
      <c r="Q7" s="502"/>
      <c r="R7" s="502"/>
      <c r="S7" s="501" t="s">
        <v>88</v>
      </c>
      <c r="T7" s="501">
        <v>60</v>
      </c>
      <c r="U7" s="501" t="s">
        <v>1109</v>
      </c>
      <c r="V7" s="510" t="s">
        <v>986</v>
      </c>
      <c r="W7" s="501">
        <v>360</v>
      </c>
      <c r="X7" s="354">
        <v>832</v>
      </c>
      <c r="Y7" s="397">
        <f t="shared" si="0"/>
        <v>299520</v>
      </c>
      <c r="Z7" s="478">
        <f>190.8/360</f>
        <v>0.53</v>
      </c>
      <c r="AA7" s="479">
        <f t="shared" si="1"/>
        <v>158745.60000000001</v>
      </c>
      <c r="AB7" s="480"/>
      <c r="AC7" s="481">
        <f t="shared" si="2"/>
        <v>0</v>
      </c>
      <c r="AD7" s="474"/>
      <c r="AE7" s="474"/>
      <c r="AF7" s="493">
        <f t="shared" si="3"/>
        <v>158745.60000000001</v>
      </c>
      <c r="AG7" s="474" t="s">
        <v>1071</v>
      </c>
      <c r="AH7" s="474">
        <v>100</v>
      </c>
      <c r="AI7" s="474">
        <v>0</v>
      </c>
      <c r="AJ7" s="475" t="s">
        <v>4095</v>
      </c>
      <c r="AK7" s="475" t="s">
        <v>50</v>
      </c>
      <c r="AL7" s="483">
        <v>92806</v>
      </c>
      <c r="AM7" s="474" t="s">
        <v>52</v>
      </c>
      <c r="AN7" s="384"/>
      <c r="AO7" s="474" t="s">
        <v>1076</v>
      </c>
      <c r="AP7" s="474"/>
      <c r="AQ7" s="482" t="s">
        <v>37</v>
      </c>
      <c r="AR7" s="474" t="s">
        <v>1216</v>
      </c>
      <c r="AS7" s="473"/>
      <c r="AT7" s="346"/>
      <c r="AU7" s="478">
        <f t="shared" si="4"/>
        <v>0.53</v>
      </c>
    </row>
    <row r="8" spans="1:47" s="471" customFormat="1">
      <c r="A8" s="495"/>
      <c r="B8" s="407">
        <v>44635</v>
      </c>
      <c r="C8" s="495"/>
      <c r="D8" s="512" t="s">
        <v>86</v>
      </c>
      <c r="E8" s="352"/>
      <c r="F8" s="501"/>
      <c r="G8" s="371">
        <v>2022</v>
      </c>
      <c r="H8" s="371" t="s">
        <v>4093</v>
      </c>
      <c r="I8" s="501" t="s">
        <v>1676</v>
      </c>
      <c r="J8" s="502"/>
      <c r="K8" s="501" t="s">
        <v>4097</v>
      </c>
      <c r="L8" s="501" t="s">
        <v>1693</v>
      </c>
      <c r="M8" s="502">
        <v>44631</v>
      </c>
      <c r="N8" s="502">
        <v>44896</v>
      </c>
      <c r="O8" s="502"/>
      <c r="P8" s="353"/>
      <c r="Q8" s="502"/>
      <c r="R8" s="502"/>
      <c r="S8" s="501" t="s">
        <v>88</v>
      </c>
      <c r="T8" s="501">
        <v>60</v>
      </c>
      <c r="U8" s="501" t="s">
        <v>1109</v>
      </c>
      <c r="V8" s="510" t="s">
        <v>973</v>
      </c>
      <c r="W8" s="501">
        <v>400</v>
      </c>
      <c r="X8" s="354">
        <v>1536</v>
      </c>
      <c r="Y8" s="397">
        <f t="shared" si="0"/>
        <v>614400</v>
      </c>
      <c r="Z8" s="478">
        <f>220/400</f>
        <v>0.55000000000000004</v>
      </c>
      <c r="AA8" s="479">
        <f t="shared" si="1"/>
        <v>337920</v>
      </c>
      <c r="AB8" s="480"/>
      <c r="AC8" s="481">
        <f t="shared" si="2"/>
        <v>0</v>
      </c>
      <c r="AD8" s="474"/>
      <c r="AE8" s="474"/>
      <c r="AF8" s="493">
        <f t="shared" si="3"/>
        <v>337920</v>
      </c>
      <c r="AG8" s="474" t="s">
        <v>1071</v>
      </c>
      <c r="AH8" s="474">
        <v>100</v>
      </c>
      <c r="AI8" s="474">
        <v>0</v>
      </c>
      <c r="AJ8" s="475" t="s">
        <v>4095</v>
      </c>
      <c r="AK8" s="475" t="s">
        <v>50</v>
      </c>
      <c r="AL8" s="483">
        <v>92806</v>
      </c>
      <c r="AM8" s="474" t="s">
        <v>52</v>
      </c>
      <c r="AN8" s="384"/>
      <c r="AO8" s="474" t="s">
        <v>1076</v>
      </c>
      <c r="AP8" s="474"/>
      <c r="AQ8" s="482" t="s">
        <v>37</v>
      </c>
      <c r="AR8" s="474" t="s">
        <v>1216</v>
      </c>
      <c r="AS8" s="473"/>
      <c r="AT8" s="346"/>
      <c r="AU8" s="478">
        <f t="shared" si="4"/>
        <v>0.53</v>
      </c>
    </row>
    <row r="9" spans="1:47" s="471" customFormat="1">
      <c r="A9" s="495"/>
      <c r="B9" s="407">
        <v>44635</v>
      </c>
      <c r="C9" s="495"/>
      <c r="D9" s="512" t="s">
        <v>86</v>
      </c>
      <c r="E9" s="352"/>
      <c r="F9" s="501"/>
      <c r="G9" s="371">
        <v>2022</v>
      </c>
      <c r="H9" s="371" t="s">
        <v>4093</v>
      </c>
      <c r="I9" s="501" t="s">
        <v>1676</v>
      </c>
      <c r="J9" s="502"/>
      <c r="K9" s="501" t="s">
        <v>4098</v>
      </c>
      <c r="L9" s="501" t="s">
        <v>1693</v>
      </c>
      <c r="M9" s="502">
        <v>44631</v>
      </c>
      <c r="N9" s="502">
        <v>44747</v>
      </c>
      <c r="O9" s="502"/>
      <c r="P9" s="353"/>
      <c r="Q9" s="502"/>
      <c r="R9" s="502"/>
      <c r="S9" s="501" t="s">
        <v>88</v>
      </c>
      <c r="T9" s="501">
        <v>60</v>
      </c>
      <c r="U9" s="501" t="s">
        <v>1109</v>
      </c>
      <c r="V9" s="510" t="s">
        <v>986</v>
      </c>
      <c r="W9" s="501">
        <v>360</v>
      </c>
      <c r="X9" s="354">
        <v>832</v>
      </c>
      <c r="Y9" s="397">
        <f t="shared" si="0"/>
        <v>299520</v>
      </c>
      <c r="Z9" s="478">
        <f>190.8/360</f>
        <v>0.53</v>
      </c>
      <c r="AA9" s="479">
        <f t="shared" si="1"/>
        <v>158745.60000000001</v>
      </c>
      <c r="AB9" s="480"/>
      <c r="AC9" s="481">
        <f t="shared" si="2"/>
        <v>0</v>
      </c>
      <c r="AD9" s="474"/>
      <c r="AE9" s="474"/>
      <c r="AF9" s="493">
        <f t="shared" si="3"/>
        <v>158745.60000000001</v>
      </c>
      <c r="AG9" s="474" t="s">
        <v>1071</v>
      </c>
      <c r="AH9" s="474">
        <v>100</v>
      </c>
      <c r="AI9" s="474">
        <v>0</v>
      </c>
      <c r="AJ9" s="475" t="s">
        <v>4095</v>
      </c>
      <c r="AK9" s="475" t="s">
        <v>50</v>
      </c>
      <c r="AL9" s="483">
        <v>92806</v>
      </c>
      <c r="AM9" s="474" t="s">
        <v>52</v>
      </c>
      <c r="AN9" s="384"/>
      <c r="AO9" s="474" t="s">
        <v>1076</v>
      </c>
      <c r="AP9" s="474"/>
      <c r="AQ9" s="482" t="s">
        <v>37</v>
      </c>
      <c r="AR9" s="474" t="s">
        <v>1216</v>
      </c>
      <c r="AS9" s="473"/>
      <c r="AT9" s="346"/>
      <c r="AU9" s="478">
        <f t="shared" si="4"/>
        <v>0.53</v>
      </c>
    </row>
    <row r="10" spans="1:47" s="471" customFormat="1">
      <c r="A10" s="495"/>
      <c r="B10" s="407">
        <v>44635</v>
      </c>
      <c r="C10" s="495"/>
      <c r="D10" s="512" t="s">
        <v>86</v>
      </c>
      <c r="E10" s="352"/>
      <c r="F10" s="501"/>
      <c r="G10" s="371">
        <v>2022</v>
      </c>
      <c r="H10" s="371" t="s">
        <v>4093</v>
      </c>
      <c r="I10" s="501" t="s">
        <v>1676</v>
      </c>
      <c r="J10" s="502"/>
      <c r="K10" s="501" t="s">
        <v>4098</v>
      </c>
      <c r="L10" s="501" t="s">
        <v>1693</v>
      </c>
      <c r="M10" s="502">
        <v>44631</v>
      </c>
      <c r="N10" s="502">
        <v>44747</v>
      </c>
      <c r="O10" s="502"/>
      <c r="P10" s="353"/>
      <c r="Q10" s="502"/>
      <c r="R10" s="502"/>
      <c r="S10" s="501" t="s">
        <v>88</v>
      </c>
      <c r="T10" s="501">
        <v>60</v>
      </c>
      <c r="U10" s="501" t="s">
        <v>1109</v>
      </c>
      <c r="V10" s="510" t="s">
        <v>973</v>
      </c>
      <c r="W10" s="501">
        <v>400</v>
      </c>
      <c r="X10" s="354">
        <v>1536</v>
      </c>
      <c r="Y10" s="397">
        <f t="shared" si="0"/>
        <v>614400</v>
      </c>
      <c r="Z10" s="478">
        <f>220/400</f>
        <v>0.55000000000000004</v>
      </c>
      <c r="AA10" s="479">
        <f t="shared" si="1"/>
        <v>337920</v>
      </c>
      <c r="AB10" s="480"/>
      <c r="AC10" s="481">
        <f t="shared" si="2"/>
        <v>0</v>
      </c>
      <c r="AD10" s="474"/>
      <c r="AE10" s="474"/>
      <c r="AF10" s="493">
        <f t="shared" si="3"/>
        <v>337920</v>
      </c>
      <c r="AG10" s="474" t="s">
        <v>1071</v>
      </c>
      <c r="AH10" s="474">
        <v>100</v>
      </c>
      <c r="AI10" s="474">
        <v>0</v>
      </c>
      <c r="AJ10" s="475" t="s">
        <v>4095</v>
      </c>
      <c r="AK10" s="475" t="s">
        <v>50</v>
      </c>
      <c r="AL10" s="483">
        <v>92806</v>
      </c>
      <c r="AM10" s="474" t="s">
        <v>52</v>
      </c>
      <c r="AN10" s="384"/>
      <c r="AO10" s="474" t="s">
        <v>1076</v>
      </c>
      <c r="AP10" s="474"/>
      <c r="AQ10" s="482" t="s">
        <v>37</v>
      </c>
      <c r="AR10" s="474" t="s">
        <v>1216</v>
      </c>
      <c r="AS10" s="473"/>
      <c r="AT10" s="346"/>
      <c r="AU10" s="478">
        <f t="shared" si="4"/>
        <v>0.53</v>
      </c>
    </row>
    <row r="11" spans="1:47" s="471" customFormat="1">
      <c r="A11" s="495"/>
      <c r="B11" s="407">
        <v>44635</v>
      </c>
      <c r="C11" s="495"/>
      <c r="D11" s="512" t="s">
        <v>86</v>
      </c>
      <c r="E11" s="352"/>
      <c r="F11" s="501"/>
      <c r="G11" s="371">
        <v>2022</v>
      </c>
      <c r="H11" s="371" t="s">
        <v>4093</v>
      </c>
      <c r="I11" s="501" t="s">
        <v>1676</v>
      </c>
      <c r="J11" s="502"/>
      <c r="K11" s="501" t="s">
        <v>4099</v>
      </c>
      <c r="L11" s="501" t="s">
        <v>1693</v>
      </c>
      <c r="M11" s="502">
        <v>44631</v>
      </c>
      <c r="N11" s="502">
        <v>44774</v>
      </c>
      <c r="O11" s="502"/>
      <c r="P11" s="353"/>
      <c r="Q11" s="502"/>
      <c r="R11" s="502"/>
      <c r="S11" s="501" t="s">
        <v>88</v>
      </c>
      <c r="T11" s="501">
        <v>60</v>
      </c>
      <c r="U11" s="501" t="s">
        <v>1109</v>
      </c>
      <c r="V11" s="510" t="s">
        <v>986</v>
      </c>
      <c r="W11" s="501">
        <v>360</v>
      </c>
      <c r="X11" s="354">
        <v>832</v>
      </c>
      <c r="Y11" s="397">
        <f t="shared" si="0"/>
        <v>299520</v>
      </c>
      <c r="Z11" s="478">
        <f>190.8/360</f>
        <v>0.53</v>
      </c>
      <c r="AA11" s="479">
        <f t="shared" si="1"/>
        <v>158745.60000000001</v>
      </c>
      <c r="AB11" s="480"/>
      <c r="AC11" s="481">
        <f t="shared" si="2"/>
        <v>0</v>
      </c>
      <c r="AD11" s="474"/>
      <c r="AE11" s="474"/>
      <c r="AF11" s="493">
        <f t="shared" si="3"/>
        <v>158745.60000000001</v>
      </c>
      <c r="AG11" s="474" t="s">
        <v>1071</v>
      </c>
      <c r="AH11" s="474">
        <v>100</v>
      </c>
      <c r="AI11" s="474">
        <v>0</v>
      </c>
      <c r="AJ11" s="475" t="s">
        <v>4095</v>
      </c>
      <c r="AK11" s="475" t="s">
        <v>50</v>
      </c>
      <c r="AL11" s="483">
        <v>92806</v>
      </c>
      <c r="AM11" s="474" t="s">
        <v>52</v>
      </c>
      <c r="AN11" s="384"/>
      <c r="AO11" s="474" t="s">
        <v>1076</v>
      </c>
      <c r="AP11" s="474"/>
      <c r="AQ11" s="482" t="s">
        <v>37</v>
      </c>
      <c r="AR11" s="474" t="s">
        <v>1216</v>
      </c>
      <c r="AS11" s="473"/>
      <c r="AT11" s="346"/>
      <c r="AU11" s="478">
        <f t="shared" si="4"/>
        <v>0.53</v>
      </c>
    </row>
    <row r="12" spans="1:47" s="471" customFormat="1">
      <c r="A12" s="495"/>
      <c r="B12" s="407">
        <v>44635</v>
      </c>
      <c r="C12" s="495"/>
      <c r="D12" s="512" t="s">
        <v>86</v>
      </c>
      <c r="E12" s="352"/>
      <c r="F12" s="501"/>
      <c r="G12" s="371">
        <v>2022</v>
      </c>
      <c r="H12" s="371" t="s">
        <v>4093</v>
      </c>
      <c r="I12" s="501" t="s">
        <v>1676</v>
      </c>
      <c r="J12" s="502"/>
      <c r="K12" s="501" t="s">
        <v>4099</v>
      </c>
      <c r="L12" s="501" t="s">
        <v>1693</v>
      </c>
      <c r="M12" s="502">
        <v>44631</v>
      </c>
      <c r="N12" s="502">
        <v>44774</v>
      </c>
      <c r="O12" s="502"/>
      <c r="P12" s="353"/>
      <c r="Q12" s="502"/>
      <c r="R12" s="502"/>
      <c r="S12" s="501" t="s">
        <v>88</v>
      </c>
      <c r="T12" s="501">
        <v>60</v>
      </c>
      <c r="U12" s="501" t="s">
        <v>1109</v>
      </c>
      <c r="V12" s="510" t="s">
        <v>973</v>
      </c>
      <c r="W12" s="501">
        <v>400</v>
      </c>
      <c r="X12" s="354">
        <v>1536</v>
      </c>
      <c r="Y12" s="397">
        <f t="shared" si="0"/>
        <v>614400</v>
      </c>
      <c r="Z12" s="478">
        <f>220/400</f>
        <v>0.55000000000000004</v>
      </c>
      <c r="AA12" s="479">
        <f t="shared" si="1"/>
        <v>337920</v>
      </c>
      <c r="AB12" s="480"/>
      <c r="AC12" s="481">
        <f t="shared" si="2"/>
        <v>0</v>
      </c>
      <c r="AD12" s="474"/>
      <c r="AE12" s="474"/>
      <c r="AF12" s="493">
        <f t="shared" si="3"/>
        <v>337920</v>
      </c>
      <c r="AG12" s="474" t="s">
        <v>1071</v>
      </c>
      <c r="AH12" s="474">
        <v>100</v>
      </c>
      <c r="AI12" s="474">
        <v>0</v>
      </c>
      <c r="AJ12" s="475" t="s">
        <v>4095</v>
      </c>
      <c r="AK12" s="475" t="s">
        <v>50</v>
      </c>
      <c r="AL12" s="483">
        <v>92806</v>
      </c>
      <c r="AM12" s="474" t="s">
        <v>52</v>
      </c>
      <c r="AN12" s="384"/>
      <c r="AO12" s="474" t="s">
        <v>1076</v>
      </c>
      <c r="AP12" s="474"/>
      <c r="AQ12" s="482" t="s">
        <v>37</v>
      </c>
      <c r="AR12" s="474" t="s">
        <v>1216</v>
      </c>
      <c r="AS12" s="473"/>
      <c r="AT12" s="346"/>
      <c r="AU12" s="478">
        <f t="shared" si="4"/>
        <v>0.53</v>
      </c>
    </row>
    <row r="13" spans="1:47" s="471" customFormat="1">
      <c r="A13" s="495"/>
      <c r="B13" s="407">
        <v>44635</v>
      </c>
      <c r="C13" s="495"/>
      <c r="D13" s="512" t="s">
        <v>86</v>
      </c>
      <c r="E13" s="352"/>
      <c r="F13" s="501"/>
      <c r="G13" s="371">
        <v>2022</v>
      </c>
      <c r="H13" s="371" t="s">
        <v>4093</v>
      </c>
      <c r="I13" s="501" t="s">
        <v>1676</v>
      </c>
      <c r="J13" s="502"/>
      <c r="K13" s="501" t="s">
        <v>4100</v>
      </c>
      <c r="L13" s="501" t="s">
        <v>1693</v>
      </c>
      <c r="M13" s="502">
        <v>44631</v>
      </c>
      <c r="N13" s="502">
        <v>44809</v>
      </c>
      <c r="O13" s="502"/>
      <c r="P13" s="353"/>
      <c r="Q13" s="502"/>
      <c r="R13" s="502"/>
      <c r="S13" s="501" t="s">
        <v>88</v>
      </c>
      <c r="T13" s="501">
        <v>60</v>
      </c>
      <c r="U13" s="501" t="s">
        <v>1109</v>
      </c>
      <c r="V13" s="510" t="s">
        <v>986</v>
      </c>
      <c r="W13" s="501">
        <v>360</v>
      </c>
      <c r="X13" s="354">
        <v>832</v>
      </c>
      <c r="Y13" s="397">
        <f t="shared" si="0"/>
        <v>299520</v>
      </c>
      <c r="Z13" s="478">
        <f>190.8/360</f>
        <v>0.53</v>
      </c>
      <c r="AA13" s="479">
        <f t="shared" si="1"/>
        <v>158745.60000000001</v>
      </c>
      <c r="AB13" s="480"/>
      <c r="AC13" s="481">
        <f t="shared" si="2"/>
        <v>0</v>
      </c>
      <c r="AD13" s="474"/>
      <c r="AE13" s="474"/>
      <c r="AF13" s="493">
        <f t="shared" si="3"/>
        <v>158745.60000000001</v>
      </c>
      <c r="AG13" s="474" t="s">
        <v>1071</v>
      </c>
      <c r="AH13" s="474">
        <v>100</v>
      </c>
      <c r="AI13" s="474">
        <v>0</v>
      </c>
      <c r="AJ13" s="475" t="s">
        <v>4095</v>
      </c>
      <c r="AK13" s="475" t="s">
        <v>50</v>
      </c>
      <c r="AL13" s="483">
        <v>92806</v>
      </c>
      <c r="AM13" s="474" t="s">
        <v>52</v>
      </c>
      <c r="AN13" s="384"/>
      <c r="AO13" s="474" t="s">
        <v>1076</v>
      </c>
      <c r="AP13" s="474"/>
      <c r="AQ13" s="482" t="s">
        <v>37</v>
      </c>
      <c r="AR13" s="474" t="s">
        <v>1216</v>
      </c>
      <c r="AS13" s="473"/>
      <c r="AT13" s="346"/>
      <c r="AU13" s="478">
        <f t="shared" si="4"/>
        <v>0.53</v>
      </c>
    </row>
    <row r="14" spans="1:47" s="471" customFormat="1">
      <c r="A14" s="495"/>
      <c r="B14" s="407">
        <v>44635</v>
      </c>
      <c r="C14" s="495"/>
      <c r="D14" s="512" t="s">
        <v>86</v>
      </c>
      <c r="E14" s="352"/>
      <c r="F14" s="501"/>
      <c r="G14" s="371">
        <v>2022</v>
      </c>
      <c r="H14" s="371" t="s">
        <v>4093</v>
      </c>
      <c r="I14" s="501" t="s">
        <v>1676</v>
      </c>
      <c r="J14" s="502"/>
      <c r="K14" s="501" t="s">
        <v>4100</v>
      </c>
      <c r="L14" s="501" t="s">
        <v>1693</v>
      </c>
      <c r="M14" s="502">
        <v>44631</v>
      </c>
      <c r="N14" s="502">
        <v>44809</v>
      </c>
      <c r="O14" s="502"/>
      <c r="P14" s="353"/>
      <c r="Q14" s="502"/>
      <c r="R14" s="502"/>
      <c r="S14" s="501" t="s">
        <v>88</v>
      </c>
      <c r="T14" s="501">
        <v>60</v>
      </c>
      <c r="U14" s="501" t="s">
        <v>1109</v>
      </c>
      <c r="V14" s="510" t="s">
        <v>973</v>
      </c>
      <c r="W14" s="501">
        <v>400</v>
      </c>
      <c r="X14" s="354">
        <v>1536</v>
      </c>
      <c r="Y14" s="397">
        <f t="shared" si="0"/>
        <v>614400</v>
      </c>
      <c r="Z14" s="478">
        <f>220/400</f>
        <v>0.55000000000000004</v>
      </c>
      <c r="AA14" s="479">
        <f t="shared" si="1"/>
        <v>337920</v>
      </c>
      <c r="AB14" s="480"/>
      <c r="AC14" s="481">
        <f t="shared" si="2"/>
        <v>0</v>
      </c>
      <c r="AD14" s="474"/>
      <c r="AE14" s="474"/>
      <c r="AF14" s="493">
        <f t="shared" si="3"/>
        <v>337920</v>
      </c>
      <c r="AG14" s="474" t="s">
        <v>1071</v>
      </c>
      <c r="AH14" s="474">
        <v>100</v>
      </c>
      <c r="AI14" s="474">
        <v>0</v>
      </c>
      <c r="AJ14" s="475" t="s">
        <v>4095</v>
      </c>
      <c r="AK14" s="475" t="s">
        <v>50</v>
      </c>
      <c r="AL14" s="483">
        <v>92806</v>
      </c>
      <c r="AM14" s="474" t="s">
        <v>52</v>
      </c>
      <c r="AN14" s="384"/>
      <c r="AO14" s="474" t="s">
        <v>1076</v>
      </c>
      <c r="AP14" s="474"/>
      <c r="AQ14" s="482" t="s">
        <v>37</v>
      </c>
      <c r="AR14" s="474" t="s">
        <v>1216</v>
      </c>
      <c r="AS14" s="473"/>
      <c r="AT14" s="346"/>
      <c r="AU14" s="478">
        <f t="shared" si="4"/>
        <v>0.53</v>
      </c>
    </row>
    <row r="15" spans="1:47" s="471" customFormat="1">
      <c r="A15" s="495"/>
      <c r="B15" s="407"/>
      <c r="C15" s="495"/>
      <c r="D15" s="512" t="s">
        <v>86</v>
      </c>
      <c r="E15" s="352"/>
      <c r="F15" s="501"/>
      <c r="G15" s="371">
        <v>2022</v>
      </c>
      <c r="H15" s="371" t="s">
        <v>3004</v>
      </c>
      <c r="I15" s="501" t="s">
        <v>1676</v>
      </c>
      <c r="J15" s="502"/>
      <c r="K15" s="501" t="s">
        <v>4101</v>
      </c>
      <c r="L15" s="501" t="s">
        <v>1776</v>
      </c>
      <c r="M15" s="502">
        <v>44571</v>
      </c>
      <c r="N15" s="502">
        <v>44713</v>
      </c>
      <c r="O15" s="502"/>
      <c r="P15" s="353"/>
      <c r="Q15" s="502"/>
      <c r="R15" s="502"/>
      <c r="S15" s="501" t="s">
        <v>88</v>
      </c>
      <c r="T15" s="501">
        <v>60</v>
      </c>
      <c r="U15" s="501"/>
      <c r="V15" s="510" t="s">
        <v>1755</v>
      </c>
      <c r="W15" s="501">
        <v>360</v>
      </c>
      <c r="X15" s="354">
        <v>832</v>
      </c>
      <c r="Y15" s="397">
        <f t="shared" si="0"/>
        <v>299520</v>
      </c>
      <c r="Z15" s="478">
        <f t="shared" ref="Z15:Z16" si="5">190.8/360</f>
        <v>0.53</v>
      </c>
      <c r="AA15" s="479">
        <f t="shared" si="1"/>
        <v>158745.60000000001</v>
      </c>
      <c r="AB15" s="480"/>
      <c r="AC15" s="481">
        <f t="shared" si="2"/>
        <v>0</v>
      </c>
      <c r="AD15" s="474"/>
      <c r="AE15" s="474"/>
      <c r="AF15" s="493">
        <f t="shared" si="3"/>
        <v>158745.60000000001</v>
      </c>
      <c r="AG15" s="474" t="s">
        <v>1071</v>
      </c>
      <c r="AH15" s="474"/>
      <c r="AI15" s="474">
        <v>60</v>
      </c>
      <c r="AJ15" s="475" t="s">
        <v>1777</v>
      </c>
      <c r="AK15" s="475" t="s">
        <v>50</v>
      </c>
      <c r="AL15" s="483" t="s">
        <v>1725</v>
      </c>
      <c r="AM15" s="474" t="s">
        <v>52</v>
      </c>
      <c r="AN15" s="384"/>
      <c r="AO15" s="474"/>
      <c r="AP15" s="474"/>
      <c r="AQ15" s="482"/>
      <c r="AR15" s="474"/>
      <c r="AS15" s="473" t="s">
        <v>1075</v>
      </c>
      <c r="AT15" s="346"/>
      <c r="AU15" s="478">
        <f>183.6/360</f>
        <v>0.51</v>
      </c>
    </row>
    <row r="16" spans="1:47" s="471" customFormat="1">
      <c r="A16" s="495"/>
      <c r="B16" s="407"/>
      <c r="C16" s="495"/>
      <c r="D16" s="512" t="s">
        <v>86</v>
      </c>
      <c r="E16" s="352"/>
      <c r="F16" s="501"/>
      <c r="G16" s="371">
        <v>2022</v>
      </c>
      <c r="H16" s="371" t="s">
        <v>3004</v>
      </c>
      <c r="I16" s="501" t="s">
        <v>1676</v>
      </c>
      <c r="J16" s="502"/>
      <c r="K16" s="501" t="s">
        <v>4102</v>
      </c>
      <c r="L16" s="501" t="s">
        <v>1776</v>
      </c>
      <c r="M16" s="502">
        <v>44571</v>
      </c>
      <c r="N16" s="502">
        <v>44734</v>
      </c>
      <c r="O16" s="502"/>
      <c r="P16" s="353"/>
      <c r="Q16" s="502"/>
      <c r="R16" s="502"/>
      <c r="S16" s="501" t="s">
        <v>88</v>
      </c>
      <c r="T16" s="501">
        <v>60</v>
      </c>
      <c r="U16" s="501"/>
      <c r="V16" s="510" t="s">
        <v>1755</v>
      </c>
      <c r="W16" s="501">
        <v>360</v>
      </c>
      <c r="X16" s="354">
        <v>832</v>
      </c>
      <c r="Y16" s="397">
        <f t="shared" si="0"/>
        <v>299520</v>
      </c>
      <c r="Z16" s="478">
        <f t="shared" si="5"/>
        <v>0.53</v>
      </c>
      <c r="AA16" s="479">
        <f t="shared" si="1"/>
        <v>158745.60000000001</v>
      </c>
      <c r="AB16" s="480"/>
      <c r="AC16" s="481">
        <f t="shared" si="2"/>
        <v>0</v>
      </c>
      <c r="AD16" s="474"/>
      <c r="AE16" s="474"/>
      <c r="AF16" s="493">
        <f t="shared" si="3"/>
        <v>158745.60000000001</v>
      </c>
      <c r="AG16" s="474" t="s">
        <v>1071</v>
      </c>
      <c r="AH16" s="474"/>
      <c r="AI16" s="474">
        <v>60</v>
      </c>
      <c r="AJ16" s="475" t="s">
        <v>1777</v>
      </c>
      <c r="AK16" s="475" t="s">
        <v>50</v>
      </c>
      <c r="AL16" s="483" t="s">
        <v>1725</v>
      </c>
      <c r="AM16" s="474" t="s">
        <v>52</v>
      </c>
      <c r="AN16" s="384"/>
      <c r="AO16" s="474"/>
      <c r="AP16" s="474"/>
      <c r="AQ16" s="482"/>
      <c r="AR16" s="474"/>
      <c r="AS16" s="473" t="s">
        <v>1075</v>
      </c>
      <c r="AT16" s="346"/>
      <c r="AU16" s="478">
        <f>183.6/360</f>
        <v>0.51</v>
      </c>
    </row>
    <row r="17" spans="1:47" s="471" customFormat="1">
      <c r="A17" s="495"/>
      <c r="B17" s="407"/>
      <c r="C17" s="495"/>
      <c r="D17" s="512" t="s">
        <v>86</v>
      </c>
      <c r="E17" s="352"/>
      <c r="F17" s="501"/>
      <c r="G17" s="371">
        <v>2022</v>
      </c>
      <c r="H17" s="371" t="s">
        <v>3004</v>
      </c>
      <c r="I17" s="501" t="s">
        <v>1676</v>
      </c>
      <c r="J17" s="502"/>
      <c r="K17" s="501" t="s">
        <v>4103</v>
      </c>
      <c r="L17" s="501" t="s">
        <v>1776</v>
      </c>
      <c r="M17" s="502">
        <v>44571</v>
      </c>
      <c r="N17" s="502">
        <v>44694</v>
      </c>
      <c r="O17" s="502"/>
      <c r="P17" s="353"/>
      <c r="Q17" s="502"/>
      <c r="R17" s="502"/>
      <c r="S17" s="501" t="s">
        <v>88</v>
      </c>
      <c r="T17" s="501">
        <v>60</v>
      </c>
      <c r="U17" s="501"/>
      <c r="V17" s="510" t="s">
        <v>1755</v>
      </c>
      <c r="W17" s="501">
        <v>360</v>
      </c>
      <c r="X17" s="354">
        <v>832</v>
      </c>
      <c r="Y17" s="397">
        <f t="shared" si="0"/>
        <v>299520</v>
      </c>
      <c r="Z17" s="478">
        <f>190.8/360</f>
        <v>0.53</v>
      </c>
      <c r="AA17" s="479">
        <f t="shared" si="1"/>
        <v>158745.60000000001</v>
      </c>
      <c r="AB17" s="480"/>
      <c r="AC17" s="481">
        <f t="shared" si="2"/>
        <v>0</v>
      </c>
      <c r="AD17" s="474"/>
      <c r="AE17" s="474"/>
      <c r="AF17" s="493">
        <f t="shared" si="3"/>
        <v>158745.60000000001</v>
      </c>
      <c r="AG17" s="474" t="s">
        <v>1071</v>
      </c>
      <c r="AH17" s="474"/>
      <c r="AI17" s="474">
        <v>60</v>
      </c>
      <c r="AJ17" s="475" t="s">
        <v>1777</v>
      </c>
      <c r="AK17" s="475" t="s">
        <v>50</v>
      </c>
      <c r="AL17" s="483" t="s">
        <v>1725</v>
      </c>
      <c r="AM17" s="474" t="s">
        <v>52</v>
      </c>
      <c r="AN17" s="384"/>
      <c r="AO17" s="474"/>
      <c r="AP17" s="474"/>
      <c r="AQ17" s="482"/>
      <c r="AR17" s="474"/>
      <c r="AS17" s="473" t="s">
        <v>1075</v>
      </c>
      <c r="AT17" s="346"/>
      <c r="AU17" s="478">
        <f>183.6/360</f>
        <v>0.51</v>
      </c>
    </row>
    <row r="18" spans="1:47" s="471" customFormat="1">
      <c r="A18" s="495"/>
      <c r="B18" s="407"/>
      <c r="C18" s="495"/>
      <c r="D18" s="512" t="s">
        <v>86</v>
      </c>
      <c r="E18" s="352"/>
      <c r="F18" s="501"/>
      <c r="G18" s="371">
        <v>2022</v>
      </c>
      <c r="H18" s="371" t="s">
        <v>3004</v>
      </c>
      <c r="I18" s="501" t="s">
        <v>1676</v>
      </c>
      <c r="J18" s="502"/>
      <c r="K18" s="501" t="s">
        <v>4104</v>
      </c>
      <c r="L18" s="501" t="s">
        <v>1776</v>
      </c>
      <c r="M18" s="502">
        <v>44571</v>
      </c>
      <c r="N18" s="502">
        <v>44680</v>
      </c>
      <c r="O18" s="502"/>
      <c r="P18" s="353"/>
      <c r="Q18" s="502"/>
      <c r="R18" s="502"/>
      <c r="S18" s="501" t="s">
        <v>88</v>
      </c>
      <c r="T18" s="501">
        <v>60</v>
      </c>
      <c r="U18" s="501"/>
      <c r="V18" s="510" t="s">
        <v>1755</v>
      </c>
      <c r="W18" s="501">
        <v>360</v>
      </c>
      <c r="X18" s="354">
        <v>832</v>
      </c>
      <c r="Y18" s="397">
        <f t="shared" si="0"/>
        <v>299520</v>
      </c>
      <c r="Z18" s="478">
        <f>190.8/360</f>
        <v>0.53</v>
      </c>
      <c r="AA18" s="479">
        <f t="shared" si="1"/>
        <v>158745.60000000001</v>
      </c>
      <c r="AB18" s="480"/>
      <c r="AC18" s="481">
        <f t="shared" si="2"/>
        <v>0</v>
      </c>
      <c r="AD18" s="474"/>
      <c r="AE18" s="474"/>
      <c r="AF18" s="493">
        <f t="shared" si="3"/>
        <v>158745.60000000001</v>
      </c>
      <c r="AG18" s="474" t="s">
        <v>1071</v>
      </c>
      <c r="AH18" s="474"/>
      <c r="AI18" s="474">
        <v>60</v>
      </c>
      <c r="AJ18" s="475" t="s">
        <v>1777</v>
      </c>
      <c r="AK18" s="475" t="s">
        <v>50</v>
      </c>
      <c r="AL18" s="483" t="s">
        <v>1725</v>
      </c>
      <c r="AM18" s="474" t="s">
        <v>52</v>
      </c>
      <c r="AN18" s="384"/>
      <c r="AO18" s="474"/>
      <c r="AP18" s="474"/>
      <c r="AQ18" s="482"/>
      <c r="AR18" s="474"/>
      <c r="AS18" s="473" t="s">
        <v>1075</v>
      </c>
      <c r="AT18" s="346"/>
      <c r="AU18" s="478">
        <f>183.6/360</f>
        <v>0.51</v>
      </c>
    </row>
    <row r="19" spans="1:47" s="471" customFormat="1">
      <c r="A19" s="495"/>
      <c r="B19" s="407"/>
      <c r="C19" s="495"/>
      <c r="D19" s="512" t="s">
        <v>86</v>
      </c>
      <c r="E19" s="352" t="s">
        <v>4106</v>
      </c>
      <c r="F19" s="501"/>
      <c r="G19" s="371">
        <v>2022</v>
      </c>
      <c r="H19" s="371" t="s">
        <v>3004</v>
      </c>
      <c r="I19" s="501" t="s">
        <v>1676</v>
      </c>
      <c r="J19" s="502"/>
      <c r="K19" s="501" t="s">
        <v>4107</v>
      </c>
      <c r="L19" s="501" t="s">
        <v>1768</v>
      </c>
      <c r="M19" s="502">
        <v>44536</v>
      </c>
      <c r="N19" s="502">
        <v>44599</v>
      </c>
      <c r="O19" s="502"/>
      <c r="P19" s="353"/>
      <c r="Q19" s="502"/>
      <c r="R19" s="502"/>
      <c r="S19" s="501" t="s">
        <v>1704</v>
      </c>
      <c r="T19" s="501">
        <v>60</v>
      </c>
      <c r="U19" s="501"/>
      <c r="V19" s="510" t="s">
        <v>986</v>
      </c>
      <c r="W19" s="501">
        <v>360</v>
      </c>
      <c r="X19" s="354">
        <v>832</v>
      </c>
      <c r="Y19" s="397">
        <f t="shared" si="0"/>
        <v>299520</v>
      </c>
      <c r="Z19" s="478">
        <f>180/360</f>
        <v>0.5</v>
      </c>
      <c r="AA19" s="479">
        <f t="shared" si="1"/>
        <v>149760</v>
      </c>
      <c r="AB19" s="480"/>
      <c r="AC19" s="481">
        <f t="shared" si="2"/>
        <v>0</v>
      </c>
      <c r="AD19" s="474"/>
      <c r="AE19" s="474"/>
      <c r="AF19" s="493">
        <f t="shared" si="3"/>
        <v>149760</v>
      </c>
      <c r="AG19" s="474" t="s">
        <v>1071</v>
      </c>
      <c r="AH19" s="474"/>
      <c r="AI19" s="474">
        <v>60</v>
      </c>
      <c r="AJ19" s="475" t="s">
        <v>1709</v>
      </c>
      <c r="AK19" s="475" t="s">
        <v>1706</v>
      </c>
      <c r="AL19" s="483" t="s">
        <v>1769</v>
      </c>
      <c r="AM19" s="474" t="s">
        <v>52</v>
      </c>
      <c r="AN19" s="384" t="s">
        <v>1074</v>
      </c>
      <c r="AO19" s="474" t="s">
        <v>1076</v>
      </c>
      <c r="AP19" s="474"/>
      <c r="AQ19" s="482" t="s">
        <v>37</v>
      </c>
      <c r="AR19" s="474"/>
      <c r="AS19" s="473"/>
      <c r="AT19" s="346"/>
      <c r="AU19" s="478">
        <f t="shared" ref="AU19:AU22" si="6">180/360</f>
        <v>0.5</v>
      </c>
    </row>
    <row r="20" spans="1:47" s="471" customFormat="1">
      <c r="A20" s="495"/>
      <c r="B20" s="407">
        <v>44595</v>
      </c>
      <c r="C20" s="495"/>
      <c r="D20" s="512" t="s">
        <v>86</v>
      </c>
      <c r="E20" s="352"/>
      <c r="F20" s="501"/>
      <c r="G20" s="371">
        <v>2022</v>
      </c>
      <c r="H20" s="371" t="s">
        <v>3004</v>
      </c>
      <c r="I20" s="501" t="s">
        <v>1676</v>
      </c>
      <c r="J20" s="502"/>
      <c r="K20" s="501" t="s">
        <v>4108</v>
      </c>
      <c r="L20" s="501" t="s">
        <v>1768</v>
      </c>
      <c r="M20" s="502">
        <v>44593</v>
      </c>
      <c r="N20" s="502">
        <v>44652</v>
      </c>
      <c r="O20" s="502"/>
      <c r="P20" s="353"/>
      <c r="Q20" s="502"/>
      <c r="R20" s="502"/>
      <c r="S20" s="501" t="s">
        <v>1704</v>
      </c>
      <c r="T20" s="501">
        <v>60</v>
      </c>
      <c r="U20" s="501"/>
      <c r="V20" s="510" t="s">
        <v>986</v>
      </c>
      <c r="W20" s="501">
        <v>360</v>
      </c>
      <c r="X20" s="354">
        <v>832</v>
      </c>
      <c r="Y20" s="397">
        <f t="shared" si="0"/>
        <v>299520</v>
      </c>
      <c r="Z20" s="478">
        <f>190.8/360</f>
        <v>0.53</v>
      </c>
      <c r="AA20" s="479">
        <f t="shared" si="1"/>
        <v>158745.60000000001</v>
      </c>
      <c r="AB20" s="480"/>
      <c r="AC20" s="481">
        <f t="shared" si="2"/>
        <v>0</v>
      </c>
      <c r="AD20" s="474"/>
      <c r="AE20" s="474"/>
      <c r="AF20" s="493">
        <f t="shared" si="3"/>
        <v>158745.60000000001</v>
      </c>
      <c r="AG20" s="474" t="s">
        <v>1071</v>
      </c>
      <c r="AH20" s="474"/>
      <c r="AI20" s="474">
        <v>60</v>
      </c>
      <c r="AJ20" s="475" t="s">
        <v>1709</v>
      </c>
      <c r="AK20" s="475" t="s">
        <v>1706</v>
      </c>
      <c r="AL20" s="483" t="s">
        <v>1769</v>
      </c>
      <c r="AM20" s="474" t="s">
        <v>52</v>
      </c>
      <c r="AN20" s="384" t="s">
        <v>1074</v>
      </c>
      <c r="AO20" s="474" t="s">
        <v>1076</v>
      </c>
      <c r="AP20" s="474"/>
      <c r="AQ20" s="482" t="s">
        <v>37</v>
      </c>
      <c r="AR20" s="474"/>
      <c r="AS20" s="473"/>
      <c r="AT20" s="346"/>
      <c r="AU20" s="478">
        <f t="shared" si="6"/>
        <v>0.5</v>
      </c>
    </row>
    <row r="21" spans="1:47" s="471" customFormat="1">
      <c r="A21" s="495"/>
      <c r="B21" s="407">
        <v>44615</v>
      </c>
      <c r="C21" s="495"/>
      <c r="D21" s="512" t="s">
        <v>86</v>
      </c>
      <c r="E21" s="352"/>
      <c r="F21" s="501"/>
      <c r="G21" s="371">
        <v>2022</v>
      </c>
      <c r="H21" s="371" t="s">
        <v>3004</v>
      </c>
      <c r="I21" s="501" t="s">
        <v>1676</v>
      </c>
      <c r="J21" s="502"/>
      <c r="K21" s="501" t="s">
        <v>4109</v>
      </c>
      <c r="L21" s="501" t="s">
        <v>1768</v>
      </c>
      <c r="M21" s="502">
        <v>44615</v>
      </c>
      <c r="N21" s="502">
        <v>44835</v>
      </c>
      <c r="O21" s="502"/>
      <c r="P21" s="353"/>
      <c r="Q21" s="502"/>
      <c r="R21" s="502"/>
      <c r="S21" s="501" t="s">
        <v>1704</v>
      </c>
      <c r="T21" s="501">
        <v>60</v>
      </c>
      <c r="U21" s="501"/>
      <c r="V21" s="510" t="s">
        <v>986</v>
      </c>
      <c r="W21" s="501">
        <v>360</v>
      </c>
      <c r="X21" s="354">
        <v>832</v>
      </c>
      <c r="Y21" s="397">
        <f t="shared" si="0"/>
        <v>299520</v>
      </c>
      <c r="Z21" s="478">
        <f>190.8/360</f>
        <v>0.53</v>
      </c>
      <c r="AA21" s="479">
        <f t="shared" si="1"/>
        <v>158745.60000000001</v>
      </c>
      <c r="AB21" s="480"/>
      <c r="AC21" s="481">
        <f t="shared" si="2"/>
        <v>0</v>
      </c>
      <c r="AD21" s="474"/>
      <c r="AE21" s="474"/>
      <c r="AF21" s="493">
        <f t="shared" si="3"/>
        <v>158745.60000000001</v>
      </c>
      <c r="AG21" s="474" t="s">
        <v>1071</v>
      </c>
      <c r="AH21" s="474"/>
      <c r="AI21" s="474">
        <v>60</v>
      </c>
      <c r="AJ21" s="475" t="s">
        <v>1709</v>
      </c>
      <c r="AK21" s="475" t="s">
        <v>1706</v>
      </c>
      <c r="AL21" s="483" t="s">
        <v>1769</v>
      </c>
      <c r="AM21" s="474" t="s">
        <v>52</v>
      </c>
      <c r="AN21" s="384" t="s">
        <v>1074</v>
      </c>
      <c r="AO21" s="474" t="s">
        <v>1076</v>
      </c>
      <c r="AP21" s="474"/>
      <c r="AQ21" s="482" t="s">
        <v>37</v>
      </c>
      <c r="AR21" s="474"/>
      <c r="AS21" s="473"/>
      <c r="AT21" s="346"/>
      <c r="AU21" s="478">
        <f t="shared" si="6"/>
        <v>0.5</v>
      </c>
    </row>
    <row r="22" spans="1:47" s="471" customFormat="1">
      <c r="A22" s="495"/>
      <c r="B22" s="407">
        <v>44615</v>
      </c>
      <c r="C22" s="495"/>
      <c r="D22" s="512" t="s">
        <v>86</v>
      </c>
      <c r="E22" s="352"/>
      <c r="F22" s="501"/>
      <c r="G22" s="371">
        <v>2022</v>
      </c>
      <c r="H22" s="371" t="s">
        <v>3004</v>
      </c>
      <c r="I22" s="501" t="s">
        <v>1676</v>
      </c>
      <c r="J22" s="502"/>
      <c r="K22" s="501" t="s">
        <v>4109</v>
      </c>
      <c r="L22" s="501" t="s">
        <v>1768</v>
      </c>
      <c r="M22" s="502">
        <v>44615</v>
      </c>
      <c r="N22" s="502">
        <v>44835</v>
      </c>
      <c r="O22" s="502"/>
      <c r="P22" s="353"/>
      <c r="Q22" s="502"/>
      <c r="R22" s="502"/>
      <c r="S22" s="501" t="s">
        <v>1704</v>
      </c>
      <c r="T22" s="501">
        <v>60</v>
      </c>
      <c r="U22" s="501"/>
      <c r="V22" s="510" t="s">
        <v>973</v>
      </c>
      <c r="W22" s="501">
        <v>400</v>
      </c>
      <c r="X22" s="354">
        <v>768</v>
      </c>
      <c r="Y22" s="397">
        <f t="shared" si="0"/>
        <v>307200</v>
      </c>
      <c r="Z22" s="478">
        <f t="shared" ref="Z22:Z31" si="7">220/400</f>
        <v>0.55000000000000004</v>
      </c>
      <c r="AA22" s="479">
        <f t="shared" si="1"/>
        <v>168960</v>
      </c>
      <c r="AB22" s="480"/>
      <c r="AC22" s="481">
        <f t="shared" si="2"/>
        <v>0</v>
      </c>
      <c r="AD22" s="474"/>
      <c r="AE22" s="474"/>
      <c r="AF22" s="493">
        <f t="shared" si="3"/>
        <v>168960</v>
      </c>
      <c r="AG22" s="474" t="s">
        <v>1071</v>
      </c>
      <c r="AH22" s="474"/>
      <c r="AI22" s="474">
        <v>60</v>
      </c>
      <c r="AJ22" s="475" t="s">
        <v>1709</v>
      </c>
      <c r="AK22" s="475" t="s">
        <v>1706</v>
      </c>
      <c r="AL22" s="483" t="s">
        <v>1769</v>
      </c>
      <c r="AM22" s="474" t="s">
        <v>52</v>
      </c>
      <c r="AN22" s="384" t="s">
        <v>1074</v>
      </c>
      <c r="AO22" s="474" t="s">
        <v>1076</v>
      </c>
      <c r="AP22" s="474"/>
      <c r="AQ22" s="482" t="s">
        <v>37</v>
      </c>
      <c r="AR22" s="474"/>
      <c r="AS22" s="473"/>
      <c r="AT22" s="346"/>
      <c r="AU22" s="478">
        <f t="shared" si="6"/>
        <v>0.5</v>
      </c>
    </row>
    <row r="23" spans="1:47" s="471" customFormat="1">
      <c r="A23" s="495"/>
      <c r="B23" s="407"/>
      <c r="C23" s="495"/>
      <c r="D23" s="512" t="s">
        <v>86</v>
      </c>
      <c r="E23" s="352"/>
      <c r="F23" s="501"/>
      <c r="G23" s="371">
        <v>2022</v>
      </c>
      <c r="H23" s="371" t="s">
        <v>3004</v>
      </c>
      <c r="I23" s="501" t="s">
        <v>1676</v>
      </c>
      <c r="J23" s="502"/>
      <c r="K23" s="501" t="s">
        <v>4110</v>
      </c>
      <c r="L23" s="501" t="s">
        <v>1780</v>
      </c>
      <c r="M23" s="502">
        <v>44546</v>
      </c>
      <c r="N23" s="502">
        <v>44648</v>
      </c>
      <c r="O23" s="502"/>
      <c r="P23" s="353"/>
      <c r="Q23" s="502"/>
      <c r="R23" s="502"/>
      <c r="S23" s="501" t="s">
        <v>1704</v>
      </c>
      <c r="T23" s="501">
        <v>60</v>
      </c>
      <c r="U23" s="501"/>
      <c r="V23" s="510" t="s">
        <v>973</v>
      </c>
      <c r="W23" s="501">
        <v>400</v>
      </c>
      <c r="X23" s="354">
        <v>768</v>
      </c>
      <c r="Y23" s="397">
        <f t="shared" ref="Y23:Y28" si="8">X23*W23</f>
        <v>307200</v>
      </c>
      <c r="Z23" s="478">
        <f t="shared" si="7"/>
        <v>0.55000000000000004</v>
      </c>
      <c r="AA23" s="479">
        <f t="shared" si="1"/>
        <v>168960</v>
      </c>
      <c r="AB23" s="480"/>
      <c r="AC23" s="481"/>
      <c r="AD23" s="474"/>
      <c r="AE23" s="474"/>
      <c r="AF23" s="493">
        <f t="shared" si="3"/>
        <v>168960</v>
      </c>
      <c r="AG23" s="474" t="s">
        <v>1071</v>
      </c>
      <c r="AH23" s="474"/>
      <c r="AI23" s="474">
        <v>60</v>
      </c>
      <c r="AJ23" s="475" t="s">
        <v>1781</v>
      </c>
      <c r="AK23" s="475" t="s">
        <v>1417</v>
      </c>
      <c r="AL23" s="483">
        <v>83642</v>
      </c>
      <c r="AM23" s="474" t="s">
        <v>52</v>
      </c>
      <c r="AN23" s="384" t="s">
        <v>1074</v>
      </c>
      <c r="AO23" s="474" t="s">
        <v>1076</v>
      </c>
      <c r="AP23" s="474"/>
      <c r="AQ23" s="482" t="s">
        <v>37</v>
      </c>
      <c r="AR23" s="474" t="s">
        <v>1288</v>
      </c>
      <c r="AS23" s="473"/>
      <c r="AT23" s="346"/>
      <c r="AU23" s="478">
        <f t="shared" ref="AU23:AU28" si="9">196/400</f>
        <v>0.49</v>
      </c>
    </row>
    <row r="24" spans="1:47" s="471" customFormat="1">
      <c r="A24" s="495"/>
      <c r="B24" s="407"/>
      <c r="C24" s="495"/>
      <c r="D24" s="512" t="s">
        <v>86</v>
      </c>
      <c r="E24" s="352"/>
      <c r="F24" s="501"/>
      <c r="G24" s="371">
        <v>2022</v>
      </c>
      <c r="H24" s="371" t="s">
        <v>3004</v>
      </c>
      <c r="I24" s="501" t="s">
        <v>1676</v>
      </c>
      <c r="J24" s="502"/>
      <c r="K24" s="501" t="s">
        <v>4111</v>
      </c>
      <c r="L24" s="501" t="s">
        <v>1780</v>
      </c>
      <c r="M24" s="502">
        <v>44546</v>
      </c>
      <c r="N24" s="502">
        <v>44655</v>
      </c>
      <c r="O24" s="502"/>
      <c r="P24" s="353"/>
      <c r="Q24" s="502"/>
      <c r="R24" s="502"/>
      <c r="S24" s="501" t="s">
        <v>1704</v>
      </c>
      <c r="T24" s="501">
        <v>60</v>
      </c>
      <c r="U24" s="501"/>
      <c r="V24" s="510" t="s">
        <v>973</v>
      </c>
      <c r="W24" s="501">
        <v>400</v>
      </c>
      <c r="X24" s="354">
        <v>768</v>
      </c>
      <c r="Y24" s="397">
        <f t="shared" si="8"/>
        <v>307200</v>
      </c>
      <c r="Z24" s="478">
        <f t="shared" si="7"/>
        <v>0.55000000000000004</v>
      </c>
      <c r="AA24" s="479">
        <f t="shared" si="1"/>
        <v>168960</v>
      </c>
      <c r="AB24" s="480"/>
      <c r="AC24" s="481"/>
      <c r="AD24" s="474"/>
      <c r="AE24" s="474"/>
      <c r="AF24" s="493">
        <f t="shared" si="3"/>
        <v>168960</v>
      </c>
      <c r="AG24" s="474" t="s">
        <v>1071</v>
      </c>
      <c r="AH24" s="474"/>
      <c r="AI24" s="474">
        <v>60</v>
      </c>
      <c r="AJ24" s="475" t="s">
        <v>1781</v>
      </c>
      <c r="AK24" s="475" t="s">
        <v>1417</v>
      </c>
      <c r="AL24" s="483">
        <v>83642</v>
      </c>
      <c r="AM24" s="474" t="s">
        <v>52</v>
      </c>
      <c r="AN24" s="384" t="s">
        <v>1074</v>
      </c>
      <c r="AO24" s="474" t="s">
        <v>1076</v>
      </c>
      <c r="AP24" s="474"/>
      <c r="AQ24" s="482" t="s">
        <v>37</v>
      </c>
      <c r="AR24" s="474" t="s">
        <v>1288</v>
      </c>
      <c r="AS24" s="473"/>
      <c r="AT24" s="346"/>
      <c r="AU24" s="478">
        <f t="shared" si="9"/>
        <v>0.49</v>
      </c>
    </row>
    <row r="25" spans="1:47" s="471" customFormat="1">
      <c r="A25" s="495"/>
      <c r="B25" s="407"/>
      <c r="C25" s="495"/>
      <c r="D25" s="512" t="s">
        <v>86</v>
      </c>
      <c r="E25" s="352"/>
      <c r="F25" s="501"/>
      <c r="G25" s="371">
        <v>2022</v>
      </c>
      <c r="H25" s="371" t="s">
        <v>3004</v>
      </c>
      <c r="I25" s="501" t="s">
        <v>1676</v>
      </c>
      <c r="J25" s="502"/>
      <c r="K25" s="501" t="s">
        <v>4112</v>
      </c>
      <c r="L25" s="501" t="s">
        <v>1780</v>
      </c>
      <c r="M25" s="502">
        <v>44546</v>
      </c>
      <c r="N25" s="502">
        <v>44669</v>
      </c>
      <c r="O25" s="502"/>
      <c r="P25" s="353"/>
      <c r="Q25" s="502"/>
      <c r="R25" s="502"/>
      <c r="S25" s="501" t="s">
        <v>1704</v>
      </c>
      <c r="T25" s="501">
        <v>60</v>
      </c>
      <c r="U25" s="501"/>
      <c r="V25" s="510" t="s">
        <v>973</v>
      </c>
      <c r="W25" s="501">
        <v>400</v>
      </c>
      <c r="X25" s="354">
        <v>768</v>
      </c>
      <c r="Y25" s="397">
        <f t="shared" si="8"/>
        <v>307200</v>
      </c>
      <c r="Z25" s="478">
        <f t="shared" si="7"/>
        <v>0.55000000000000004</v>
      </c>
      <c r="AA25" s="479">
        <f t="shared" si="1"/>
        <v>168960</v>
      </c>
      <c r="AB25" s="480"/>
      <c r="AC25" s="481"/>
      <c r="AD25" s="474"/>
      <c r="AE25" s="474"/>
      <c r="AF25" s="493">
        <f t="shared" si="3"/>
        <v>168960</v>
      </c>
      <c r="AG25" s="474" t="s">
        <v>1071</v>
      </c>
      <c r="AH25" s="474"/>
      <c r="AI25" s="474">
        <v>60</v>
      </c>
      <c r="AJ25" s="475" t="s">
        <v>1781</v>
      </c>
      <c r="AK25" s="475" t="s">
        <v>1417</v>
      </c>
      <c r="AL25" s="483">
        <v>83642</v>
      </c>
      <c r="AM25" s="474" t="s">
        <v>52</v>
      </c>
      <c r="AN25" s="384" t="s">
        <v>1074</v>
      </c>
      <c r="AO25" s="474" t="s">
        <v>1076</v>
      </c>
      <c r="AP25" s="474"/>
      <c r="AQ25" s="482" t="s">
        <v>37</v>
      </c>
      <c r="AR25" s="474" t="s">
        <v>1288</v>
      </c>
      <c r="AS25" s="473"/>
      <c r="AT25" s="346"/>
      <c r="AU25" s="478">
        <f t="shared" si="9"/>
        <v>0.49</v>
      </c>
    </row>
    <row r="26" spans="1:47" s="471" customFormat="1">
      <c r="A26" s="495"/>
      <c r="B26" s="407"/>
      <c r="C26" s="495"/>
      <c r="D26" s="512" t="s">
        <v>86</v>
      </c>
      <c r="E26" s="352"/>
      <c r="F26" s="501"/>
      <c r="G26" s="371">
        <v>2022</v>
      </c>
      <c r="H26" s="371" t="s">
        <v>3004</v>
      </c>
      <c r="I26" s="501" t="s">
        <v>1676</v>
      </c>
      <c r="J26" s="502"/>
      <c r="K26" s="501" t="s">
        <v>4113</v>
      </c>
      <c r="L26" s="501" t="s">
        <v>1780</v>
      </c>
      <c r="M26" s="502">
        <v>44546</v>
      </c>
      <c r="N26" s="502">
        <v>44680</v>
      </c>
      <c r="O26" s="502"/>
      <c r="P26" s="353"/>
      <c r="Q26" s="502"/>
      <c r="R26" s="502"/>
      <c r="S26" s="501" t="s">
        <v>1704</v>
      </c>
      <c r="T26" s="501">
        <v>60</v>
      </c>
      <c r="U26" s="501"/>
      <c r="V26" s="510" t="s">
        <v>973</v>
      </c>
      <c r="W26" s="501">
        <v>400</v>
      </c>
      <c r="X26" s="354">
        <v>768</v>
      </c>
      <c r="Y26" s="397">
        <f t="shared" si="8"/>
        <v>307200</v>
      </c>
      <c r="Z26" s="478">
        <f t="shared" si="7"/>
        <v>0.55000000000000004</v>
      </c>
      <c r="AA26" s="479">
        <f t="shared" si="1"/>
        <v>168960</v>
      </c>
      <c r="AB26" s="480"/>
      <c r="AC26" s="481"/>
      <c r="AD26" s="474"/>
      <c r="AE26" s="474"/>
      <c r="AF26" s="493">
        <f t="shared" si="3"/>
        <v>168960</v>
      </c>
      <c r="AG26" s="474" t="s">
        <v>1071</v>
      </c>
      <c r="AH26" s="474"/>
      <c r="AI26" s="474">
        <v>60</v>
      </c>
      <c r="AJ26" s="475" t="s">
        <v>1781</v>
      </c>
      <c r="AK26" s="475" t="s">
        <v>1417</v>
      </c>
      <c r="AL26" s="483">
        <v>83642</v>
      </c>
      <c r="AM26" s="474" t="s">
        <v>52</v>
      </c>
      <c r="AN26" s="384" t="s">
        <v>1074</v>
      </c>
      <c r="AO26" s="474" t="s">
        <v>1076</v>
      </c>
      <c r="AP26" s="474"/>
      <c r="AQ26" s="482" t="s">
        <v>37</v>
      </c>
      <c r="AR26" s="474" t="s">
        <v>1288</v>
      </c>
      <c r="AS26" s="473"/>
      <c r="AT26" s="346"/>
      <c r="AU26" s="478">
        <f t="shared" si="9"/>
        <v>0.49</v>
      </c>
    </row>
    <row r="27" spans="1:47" s="471" customFormat="1">
      <c r="A27" s="495"/>
      <c r="B27" s="407"/>
      <c r="C27" s="495"/>
      <c r="D27" s="512" t="s">
        <v>86</v>
      </c>
      <c r="E27" s="352"/>
      <c r="F27" s="501"/>
      <c r="G27" s="371">
        <v>2022</v>
      </c>
      <c r="H27" s="371" t="s">
        <v>3004</v>
      </c>
      <c r="I27" s="501" t="s">
        <v>1676</v>
      </c>
      <c r="J27" s="502"/>
      <c r="K27" s="501" t="s">
        <v>4114</v>
      </c>
      <c r="L27" s="501" t="s">
        <v>1780</v>
      </c>
      <c r="M27" s="502">
        <v>44546</v>
      </c>
      <c r="N27" s="502">
        <v>44690</v>
      </c>
      <c r="O27" s="502"/>
      <c r="P27" s="353"/>
      <c r="Q27" s="502"/>
      <c r="R27" s="502"/>
      <c r="S27" s="501" t="s">
        <v>1704</v>
      </c>
      <c r="T27" s="501">
        <v>60</v>
      </c>
      <c r="U27" s="501"/>
      <c r="V27" s="510" t="s">
        <v>973</v>
      </c>
      <c r="W27" s="501">
        <v>400</v>
      </c>
      <c r="X27" s="354">
        <v>768</v>
      </c>
      <c r="Y27" s="397">
        <f t="shared" si="8"/>
        <v>307200</v>
      </c>
      <c r="Z27" s="478">
        <f t="shared" si="7"/>
        <v>0.55000000000000004</v>
      </c>
      <c r="AA27" s="479">
        <f t="shared" si="1"/>
        <v>168960</v>
      </c>
      <c r="AB27" s="480"/>
      <c r="AC27" s="481"/>
      <c r="AD27" s="474"/>
      <c r="AE27" s="474"/>
      <c r="AF27" s="493">
        <f t="shared" si="3"/>
        <v>168960</v>
      </c>
      <c r="AG27" s="474" t="s">
        <v>1071</v>
      </c>
      <c r="AH27" s="474"/>
      <c r="AI27" s="474">
        <v>60</v>
      </c>
      <c r="AJ27" s="475" t="s">
        <v>1781</v>
      </c>
      <c r="AK27" s="475" t="s">
        <v>1417</v>
      </c>
      <c r="AL27" s="483">
        <v>83642</v>
      </c>
      <c r="AM27" s="474" t="s">
        <v>52</v>
      </c>
      <c r="AN27" s="384" t="s">
        <v>1074</v>
      </c>
      <c r="AO27" s="474" t="s">
        <v>1076</v>
      </c>
      <c r="AP27" s="474"/>
      <c r="AQ27" s="482" t="s">
        <v>37</v>
      </c>
      <c r="AR27" s="474" t="s">
        <v>1288</v>
      </c>
      <c r="AS27" s="473"/>
      <c r="AT27" s="346"/>
      <c r="AU27" s="478">
        <f t="shared" si="9"/>
        <v>0.49</v>
      </c>
    </row>
    <row r="28" spans="1:47" s="471" customFormat="1">
      <c r="A28" s="495"/>
      <c r="B28" s="407"/>
      <c r="C28" s="495"/>
      <c r="D28" s="512" t="s">
        <v>86</v>
      </c>
      <c r="E28" s="352"/>
      <c r="F28" s="501"/>
      <c r="G28" s="371">
        <v>2022</v>
      </c>
      <c r="H28" s="371" t="s">
        <v>3004</v>
      </c>
      <c r="I28" s="501" t="s">
        <v>1676</v>
      </c>
      <c r="J28" s="502"/>
      <c r="K28" s="501" t="s">
        <v>4115</v>
      </c>
      <c r="L28" s="501" t="s">
        <v>1780</v>
      </c>
      <c r="M28" s="502">
        <v>44546</v>
      </c>
      <c r="N28" s="502">
        <v>44690</v>
      </c>
      <c r="O28" s="502"/>
      <c r="P28" s="353"/>
      <c r="Q28" s="502"/>
      <c r="R28" s="502"/>
      <c r="S28" s="501" t="s">
        <v>1704</v>
      </c>
      <c r="T28" s="501">
        <v>60</v>
      </c>
      <c r="U28" s="501"/>
      <c r="V28" s="510" t="s">
        <v>973</v>
      </c>
      <c r="W28" s="501">
        <v>400</v>
      </c>
      <c r="X28" s="354">
        <v>768</v>
      </c>
      <c r="Y28" s="397">
        <f t="shared" si="8"/>
        <v>307200</v>
      </c>
      <c r="Z28" s="478">
        <f t="shared" si="7"/>
        <v>0.55000000000000004</v>
      </c>
      <c r="AA28" s="479">
        <f t="shared" si="1"/>
        <v>168960</v>
      </c>
      <c r="AB28" s="480"/>
      <c r="AC28" s="481"/>
      <c r="AD28" s="474"/>
      <c r="AE28" s="474"/>
      <c r="AF28" s="493">
        <f t="shared" si="3"/>
        <v>168960</v>
      </c>
      <c r="AG28" s="474" t="s">
        <v>1071</v>
      </c>
      <c r="AH28" s="474"/>
      <c r="AI28" s="474">
        <v>60</v>
      </c>
      <c r="AJ28" s="475" t="s">
        <v>1781</v>
      </c>
      <c r="AK28" s="475" t="s">
        <v>1417</v>
      </c>
      <c r="AL28" s="483">
        <v>83642</v>
      </c>
      <c r="AM28" s="474" t="s">
        <v>52</v>
      </c>
      <c r="AN28" s="384" t="s">
        <v>1074</v>
      </c>
      <c r="AO28" s="474" t="s">
        <v>1076</v>
      </c>
      <c r="AP28" s="474"/>
      <c r="AQ28" s="482" t="s">
        <v>37</v>
      </c>
      <c r="AR28" s="474" t="s">
        <v>1288</v>
      </c>
      <c r="AS28" s="473"/>
      <c r="AT28" s="346"/>
      <c r="AU28" s="478">
        <f t="shared" si="9"/>
        <v>0.49</v>
      </c>
    </row>
    <row r="29" spans="1:47" s="471" customFormat="1">
      <c r="A29" s="495"/>
      <c r="B29" s="407"/>
      <c r="C29" s="495"/>
      <c r="D29" s="512" t="s">
        <v>86</v>
      </c>
      <c r="E29" s="352"/>
      <c r="F29" s="501"/>
      <c r="G29" s="371">
        <v>2022</v>
      </c>
      <c r="H29" s="371" t="s">
        <v>4093</v>
      </c>
      <c r="I29" s="501" t="s">
        <v>1676</v>
      </c>
      <c r="J29" s="502"/>
      <c r="K29" s="501" t="s">
        <v>4116</v>
      </c>
      <c r="L29" s="501" t="s">
        <v>1785</v>
      </c>
      <c r="M29" s="502">
        <v>44647</v>
      </c>
      <c r="N29" s="502">
        <v>44866</v>
      </c>
      <c r="O29" s="502"/>
      <c r="P29" s="353"/>
      <c r="Q29" s="502"/>
      <c r="R29" s="502"/>
      <c r="S29" s="501" t="s">
        <v>1704</v>
      </c>
      <c r="T29" s="501">
        <v>60</v>
      </c>
      <c r="U29" s="501" t="s">
        <v>1109</v>
      </c>
      <c r="V29" s="510" t="s">
        <v>973</v>
      </c>
      <c r="W29" s="501">
        <v>400</v>
      </c>
      <c r="X29" s="354">
        <v>768</v>
      </c>
      <c r="Y29" s="397">
        <f t="shared" ref="Y29:Y35" si="10">W29*X29</f>
        <v>307200</v>
      </c>
      <c r="Z29" s="478">
        <f t="shared" si="7"/>
        <v>0.55000000000000004</v>
      </c>
      <c r="AA29" s="479">
        <f t="shared" si="1"/>
        <v>168960</v>
      </c>
      <c r="AB29" s="480"/>
      <c r="AC29" s="481">
        <f t="shared" ref="AC29:AC35" si="11">AB29*Y29</f>
        <v>0</v>
      </c>
      <c r="AD29" s="474"/>
      <c r="AE29" s="474"/>
      <c r="AF29" s="493">
        <f t="shared" si="3"/>
        <v>168960</v>
      </c>
      <c r="AG29" s="474" t="s">
        <v>1071</v>
      </c>
      <c r="AH29" s="474">
        <v>100</v>
      </c>
      <c r="AI29" s="474">
        <v>0</v>
      </c>
      <c r="AJ29" s="475" t="s">
        <v>1786</v>
      </c>
      <c r="AK29" s="475" t="s">
        <v>1787</v>
      </c>
      <c r="AL29" s="483">
        <v>59715</v>
      </c>
      <c r="AM29" s="474" t="s">
        <v>52</v>
      </c>
      <c r="AN29" s="384"/>
      <c r="AO29" s="474" t="s">
        <v>1076</v>
      </c>
      <c r="AP29" s="474"/>
      <c r="AQ29" s="482" t="s">
        <v>37</v>
      </c>
      <c r="AR29" s="474" t="s">
        <v>1216</v>
      </c>
      <c r="AS29" s="473"/>
      <c r="AT29" s="346"/>
      <c r="AU29" s="478">
        <f>212/400</f>
        <v>0.53</v>
      </c>
    </row>
    <row r="30" spans="1:47" s="471" customFormat="1">
      <c r="A30" s="495"/>
      <c r="B30" s="407"/>
      <c r="C30" s="495"/>
      <c r="D30" s="512" t="s">
        <v>86</v>
      </c>
      <c r="E30" s="352"/>
      <c r="F30" s="501"/>
      <c r="G30" s="371">
        <v>2022</v>
      </c>
      <c r="H30" s="371" t="s">
        <v>4093</v>
      </c>
      <c r="I30" s="501" t="s">
        <v>1676</v>
      </c>
      <c r="J30" s="502"/>
      <c r="K30" s="501" t="s">
        <v>4117</v>
      </c>
      <c r="L30" s="501" t="s">
        <v>1785</v>
      </c>
      <c r="M30" s="502">
        <v>44647</v>
      </c>
      <c r="N30" s="502">
        <v>44805</v>
      </c>
      <c r="O30" s="502"/>
      <c r="P30" s="353"/>
      <c r="Q30" s="502"/>
      <c r="R30" s="502"/>
      <c r="S30" s="501" t="s">
        <v>1704</v>
      </c>
      <c r="T30" s="501">
        <v>60</v>
      </c>
      <c r="U30" s="501" t="s">
        <v>1109</v>
      </c>
      <c r="V30" s="510" t="s">
        <v>973</v>
      </c>
      <c r="W30" s="501">
        <v>400</v>
      </c>
      <c r="X30" s="354">
        <v>768</v>
      </c>
      <c r="Y30" s="397">
        <f t="shared" si="10"/>
        <v>307200</v>
      </c>
      <c r="Z30" s="478">
        <f t="shared" si="7"/>
        <v>0.55000000000000004</v>
      </c>
      <c r="AA30" s="479">
        <f t="shared" si="1"/>
        <v>168960</v>
      </c>
      <c r="AB30" s="480"/>
      <c r="AC30" s="481">
        <f t="shared" si="11"/>
        <v>0</v>
      </c>
      <c r="AD30" s="474"/>
      <c r="AE30" s="474"/>
      <c r="AF30" s="493">
        <f t="shared" si="3"/>
        <v>168960</v>
      </c>
      <c r="AG30" s="474" t="s">
        <v>1071</v>
      </c>
      <c r="AH30" s="474">
        <v>100</v>
      </c>
      <c r="AI30" s="474">
        <v>0</v>
      </c>
      <c r="AJ30" s="475" t="s">
        <v>1786</v>
      </c>
      <c r="AK30" s="475" t="s">
        <v>1787</v>
      </c>
      <c r="AL30" s="483">
        <v>59715</v>
      </c>
      <c r="AM30" s="474" t="s">
        <v>52</v>
      </c>
      <c r="AN30" s="384"/>
      <c r="AO30" s="474" t="s">
        <v>1076</v>
      </c>
      <c r="AP30" s="474"/>
      <c r="AQ30" s="482" t="s">
        <v>37</v>
      </c>
      <c r="AR30" s="474" t="s">
        <v>1216</v>
      </c>
      <c r="AS30" s="473"/>
      <c r="AT30" s="346"/>
      <c r="AU30" s="478">
        <f>212/400</f>
        <v>0.53</v>
      </c>
    </row>
    <row r="31" spans="1:47" s="471" customFormat="1">
      <c r="A31" s="495"/>
      <c r="B31" s="407"/>
      <c r="C31" s="495"/>
      <c r="D31" s="512" t="s">
        <v>86</v>
      </c>
      <c r="E31" s="352"/>
      <c r="F31" s="501"/>
      <c r="G31" s="371">
        <v>2022</v>
      </c>
      <c r="H31" s="371" t="s">
        <v>4093</v>
      </c>
      <c r="I31" s="501" t="s">
        <v>1676</v>
      </c>
      <c r="J31" s="502"/>
      <c r="K31" s="501" t="s">
        <v>4118</v>
      </c>
      <c r="L31" s="501" t="s">
        <v>1842</v>
      </c>
      <c r="M31" s="502">
        <v>44595</v>
      </c>
      <c r="N31" s="502">
        <v>44684</v>
      </c>
      <c r="O31" s="502"/>
      <c r="P31" s="353"/>
      <c r="Q31" s="502"/>
      <c r="R31" s="502"/>
      <c r="S31" s="501" t="s">
        <v>1688</v>
      </c>
      <c r="T31" s="501">
        <v>60</v>
      </c>
      <c r="U31" s="501"/>
      <c r="V31" s="510" t="s">
        <v>973</v>
      </c>
      <c r="W31" s="501">
        <v>400</v>
      </c>
      <c r="X31" s="354">
        <v>832</v>
      </c>
      <c r="Y31" s="397">
        <f t="shared" si="10"/>
        <v>332800</v>
      </c>
      <c r="Z31" s="478">
        <f t="shared" si="7"/>
        <v>0.55000000000000004</v>
      </c>
      <c r="AA31" s="479">
        <f t="shared" si="1"/>
        <v>183040.00000000003</v>
      </c>
      <c r="AB31" s="480"/>
      <c r="AC31" s="481">
        <f t="shared" si="11"/>
        <v>0</v>
      </c>
      <c r="AD31" s="474"/>
      <c r="AE31" s="474"/>
      <c r="AF31" s="493">
        <f t="shared" si="3"/>
        <v>183040.00000000003</v>
      </c>
      <c r="AG31" s="474" t="s">
        <v>1071</v>
      </c>
      <c r="AH31" s="474"/>
      <c r="AI31" s="474">
        <v>60</v>
      </c>
      <c r="AJ31" s="475" t="s">
        <v>1860</v>
      </c>
      <c r="AK31" s="475" t="s">
        <v>50</v>
      </c>
      <c r="AL31" s="483" t="s">
        <v>1861</v>
      </c>
      <c r="AM31" s="474" t="s">
        <v>52</v>
      </c>
      <c r="AN31" s="384"/>
      <c r="AO31" s="474" t="s">
        <v>1076</v>
      </c>
      <c r="AP31" s="474"/>
      <c r="AQ31" s="482" t="s">
        <v>37</v>
      </c>
      <c r="AR31" s="474" t="s">
        <v>1216</v>
      </c>
      <c r="AS31" s="473" t="s">
        <v>1492</v>
      </c>
      <c r="AT31" s="346"/>
      <c r="AU31" s="478">
        <f>180/360</f>
        <v>0.5</v>
      </c>
    </row>
    <row r="32" spans="1:47" s="471" customFormat="1">
      <c r="A32" s="495"/>
      <c r="B32" s="407"/>
      <c r="C32" s="495"/>
      <c r="D32" s="512" t="s">
        <v>86</v>
      </c>
      <c r="E32" s="352"/>
      <c r="F32" s="501"/>
      <c r="G32" s="371">
        <v>2022</v>
      </c>
      <c r="H32" s="371" t="s">
        <v>3004</v>
      </c>
      <c r="I32" s="501" t="s">
        <v>1676</v>
      </c>
      <c r="J32" s="502"/>
      <c r="K32" s="501" t="s">
        <v>4119</v>
      </c>
      <c r="L32" s="501" t="s">
        <v>1842</v>
      </c>
      <c r="M32" s="502">
        <v>44558</v>
      </c>
      <c r="N32" s="502">
        <v>44709</v>
      </c>
      <c r="O32" s="502"/>
      <c r="P32" s="353"/>
      <c r="Q32" s="502"/>
      <c r="R32" s="502"/>
      <c r="S32" s="501" t="s">
        <v>1688</v>
      </c>
      <c r="T32" s="501">
        <v>60</v>
      </c>
      <c r="U32" s="501"/>
      <c r="V32" s="510" t="s">
        <v>1223</v>
      </c>
      <c r="W32" s="501">
        <v>360</v>
      </c>
      <c r="X32" s="354">
        <v>676</v>
      </c>
      <c r="Y32" s="397">
        <f t="shared" si="10"/>
        <v>243360</v>
      </c>
      <c r="Z32" s="478">
        <f>298.8/360</f>
        <v>0.83000000000000007</v>
      </c>
      <c r="AA32" s="479">
        <f t="shared" si="1"/>
        <v>201988.80000000002</v>
      </c>
      <c r="AB32" s="480"/>
      <c r="AC32" s="481">
        <f t="shared" si="11"/>
        <v>0</v>
      </c>
      <c r="AD32" s="474"/>
      <c r="AE32" s="474"/>
      <c r="AF32" s="493">
        <f t="shared" si="3"/>
        <v>201988.80000000002</v>
      </c>
      <c r="AG32" s="474" t="s">
        <v>1071</v>
      </c>
      <c r="AH32" s="474"/>
      <c r="AI32" s="474">
        <v>60</v>
      </c>
      <c r="AJ32" s="475" t="s">
        <v>1860</v>
      </c>
      <c r="AK32" s="475" t="s">
        <v>50</v>
      </c>
      <c r="AL32" s="483" t="s">
        <v>1870</v>
      </c>
      <c r="AM32" s="474" t="s">
        <v>52</v>
      </c>
      <c r="AN32" s="384"/>
      <c r="AO32" s="474" t="s">
        <v>1076</v>
      </c>
      <c r="AP32" s="474"/>
      <c r="AQ32" s="482" t="s">
        <v>37</v>
      </c>
      <c r="AR32" s="474" t="s">
        <v>1864</v>
      </c>
      <c r="AS32" s="473"/>
      <c r="AT32" s="346"/>
      <c r="AU32" s="478">
        <f>273.6/360</f>
        <v>0.76</v>
      </c>
    </row>
    <row r="33" spans="1:47" s="471" customFormat="1">
      <c r="A33" s="495"/>
      <c r="B33" s="407"/>
      <c r="C33" s="495"/>
      <c r="D33" s="512" t="s">
        <v>86</v>
      </c>
      <c r="E33" s="352"/>
      <c r="F33" s="501"/>
      <c r="G33" s="371">
        <v>2022</v>
      </c>
      <c r="H33" s="371" t="s">
        <v>3004</v>
      </c>
      <c r="I33" s="501" t="s">
        <v>1676</v>
      </c>
      <c r="J33" s="502"/>
      <c r="K33" s="501" t="s">
        <v>4120</v>
      </c>
      <c r="L33" s="501" t="s">
        <v>1842</v>
      </c>
      <c r="M33" s="502">
        <v>44558</v>
      </c>
      <c r="N33" s="502">
        <v>44740</v>
      </c>
      <c r="O33" s="502"/>
      <c r="P33" s="353"/>
      <c r="Q33" s="502"/>
      <c r="R33" s="502"/>
      <c r="S33" s="501" t="s">
        <v>1688</v>
      </c>
      <c r="T33" s="501">
        <v>60</v>
      </c>
      <c r="U33" s="501"/>
      <c r="V33" s="510" t="s">
        <v>1223</v>
      </c>
      <c r="W33" s="501">
        <v>360</v>
      </c>
      <c r="X33" s="354">
        <v>676</v>
      </c>
      <c r="Y33" s="397">
        <f t="shared" si="10"/>
        <v>243360</v>
      </c>
      <c r="Z33" s="478">
        <f>298.8/360</f>
        <v>0.83000000000000007</v>
      </c>
      <c r="AA33" s="479">
        <f t="shared" si="1"/>
        <v>201988.80000000002</v>
      </c>
      <c r="AB33" s="480"/>
      <c r="AC33" s="481">
        <f t="shared" si="11"/>
        <v>0</v>
      </c>
      <c r="AD33" s="474"/>
      <c r="AE33" s="474"/>
      <c r="AF33" s="493">
        <f t="shared" si="3"/>
        <v>201988.80000000002</v>
      </c>
      <c r="AG33" s="474" t="s">
        <v>1071</v>
      </c>
      <c r="AH33" s="474"/>
      <c r="AI33" s="474">
        <v>60</v>
      </c>
      <c r="AJ33" s="475" t="s">
        <v>1860</v>
      </c>
      <c r="AK33" s="475" t="s">
        <v>50</v>
      </c>
      <c r="AL33" s="483" t="s">
        <v>1870</v>
      </c>
      <c r="AM33" s="474" t="s">
        <v>52</v>
      </c>
      <c r="AN33" s="384"/>
      <c r="AO33" s="474" t="s">
        <v>1076</v>
      </c>
      <c r="AP33" s="474"/>
      <c r="AQ33" s="482" t="s">
        <v>37</v>
      </c>
      <c r="AR33" s="474" t="s">
        <v>1864</v>
      </c>
      <c r="AS33" s="473"/>
      <c r="AT33" s="346"/>
      <c r="AU33" s="478">
        <f>273.6/360</f>
        <v>0.76</v>
      </c>
    </row>
    <row r="34" spans="1:47" s="471" customFormat="1">
      <c r="A34" s="495"/>
      <c r="B34" s="407"/>
      <c r="C34" s="495"/>
      <c r="D34" s="512" t="s">
        <v>86</v>
      </c>
      <c r="E34" s="352"/>
      <c r="F34" s="501" t="s">
        <v>2303</v>
      </c>
      <c r="G34" s="371">
        <v>2022</v>
      </c>
      <c r="H34" s="371" t="s">
        <v>3004</v>
      </c>
      <c r="I34" s="501" t="s">
        <v>1676</v>
      </c>
      <c r="J34" s="502"/>
      <c r="K34" s="501" t="s">
        <v>4121</v>
      </c>
      <c r="L34" s="501" t="s">
        <v>4122</v>
      </c>
      <c r="M34" s="502">
        <v>44504</v>
      </c>
      <c r="N34" s="502">
        <v>44504</v>
      </c>
      <c r="O34" s="502"/>
      <c r="P34" s="353"/>
      <c r="Q34" s="502"/>
      <c r="R34" s="502"/>
      <c r="S34" s="501" t="s">
        <v>88</v>
      </c>
      <c r="T34" s="501">
        <v>60</v>
      </c>
      <c r="U34" s="501"/>
      <c r="V34" s="510" t="s">
        <v>986</v>
      </c>
      <c r="W34" s="501">
        <v>360</v>
      </c>
      <c r="X34" s="354">
        <v>832</v>
      </c>
      <c r="Y34" s="397">
        <f t="shared" si="10"/>
        <v>299520</v>
      </c>
      <c r="Z34" s="478">
        <f>198/360</f>
        <v>0.55000000000000004</v>
      </c>
      <c r="AA34" s="479">
        <f t="shared" si="1"/>
        <v>164736</v>
      </c>
      <c r="AB34" s="480"/>
      <c r="AC34" s="481">
        <f t="shared" si="11"/>
        <v>0</v>
      </c>
      <c r="AD34" s="474"/>
      <c r="AE34" s="474"/>
      <c r="AF34" s="493">
        <f t="shared" si="3"/>
        <v>164736</v>
      </c>
      <c r="AG34" s="474" t="s">
        <v>1071</v>
      </c>
      <c r="AH34" s="474"/>
      <c r="AI34" s="474">
        <v>60</v>
      </c>
      <c r="AJ34" s="475" t="s">
        <v>4123</v>
      </c>
      <c r="AK34" s="475" t="s">
        <v>1679</v>
      </c>
      <c r="AL34" s="483" t="s">
        <v>4124</v>
      </c>
      <c r="AM34" s="474" t="s">
        <v>52</v>
      </c>
      <c r="AN34" s="384" t="s">
        <v>1074</v>
      </c>
      <c r="AO34" s="474" t="s">
        <v>1076</v>
      </c>
      <c r="AP34" s="474"/>
      <c r="AQ34" s="482" t="s">
        <v>37</v>
      </c>
      <c r="AR34" s="474" t="s">
        <v>1216</v>
      </c>
      <c r="AS34" s="473"/>
      <c r="AT34" s="346"/>
      <c r="AU34" s="478">
        <f>187.2/360</f>
        <v>0.52</v>
      </c>
    </row>
    <row r="35" spans="1:47" s="471" customFormat="1">
      <c r="A35" s="495"/>
      <c r="B35" s="407"/>
      <c r="C35" s="495"/>
      <c r="D35" s="512" t="s">
        <v>86</v>
      </c>
      <c r="E35" s="352"/>
      <c r="F35" s="501" t="s">
        <v>2303</v>
      </c>
      <c r="G35" s="371">
        <v>2022</v>
      </c>
      <c r="H35" s="371" t="s">
        <v>3004</v>
      </c>
      <c r="I35" s="501" t="s">
        <v>1676</v>
      </c>
      <c r="J35" s="502"/>
      <c r="K35" s="501" t="s">
        <v>4125</v>
      </c>
      <c r="L35" s="501" t="s">
        <v>4122</v>
      </c>
      <c r="M35" s="502">
        <v>44586</v>
      </c>
      <c r="N35" s="502">
        <v>44586</v>
      </c>
      <c r="O35" s="502"/>
      <c r="P35" s="353"/>
      <c r="Q35" s="502"/>
      <c r="R35" s="502"/>
      <c r="S35" s="501" t="s">
        <v>88</v>
      </c>
      <c r="T35" s="501">
        <v>60</v>
      </c>
      <c r="U35" s="501"/>
      <c r="V35" s="510" t="s">
        <v>973</v>
      </c>
      <c r="W35" s="501">
        <v>400</v>
      </c>
      <c r="X35" s="354">
        <v>832</v>
      </c>
      <c r="Y35" s="397">
        <f t="shared" si="10"/>
        <v>332800</v>
      </c>
      <c r="Z35" s="478">
        <f>228/400</f>
        <v>0.56999999999999995</v>
      </c>
      <c r="AA35" s="479">
        <f t="shared" si="1"/>
        <v>189695.99999999997</v>
      </c>
      <c r="AB35" s="480"/>
      <c r="AC35" s="481">
        <f t="shared" si="11"/>
        <v>0</v>
      </c>
      <c r="AD35" s="474"/>
      <c r="AE35" s="474"/>
      <c r="AF35" s="493">
        <f t="shared" si="3"/>
        <v>189695.99999999997</v>
      </c>
      <c r="AG35" s="474" t="s">
        <v>1071</v>
      </c>
      <c r="AH35" s="474"/>
      <c r="AI35" s="474">
        <v>60</v>
      </c>
      <c r="AJ35" s="475" t="s">
        <v>4123</v>
      </c>
      <c r="AK35" s="475" t="s">
        <v>1679</v>
      </c>
      <c r="AL35" s="483" t="s">
        <v>4124</v>
      </c>
      <c r="AM35" s="474" t="s">
        <v>52</v>
      </c>
      <c r="AN35" s="384" t="s">
        <v>1074</v>
      </c>
      <c r="AO35" s="474" t="s">
        <v>1076</v>
      </c>
      <c r="AP35" s="474"/>
      <c r="AQ35" s="482" t="s">
        <v>37</v>
      </c>
      <c r="AR35" s="474" t="s">
        <v>1216</v>
      </c>
      <c r="AS35" s="473"/>
      <c r="AT35" s="346"/>
      <c r="AU35" s="478">
        <f>187.2/360</f>
        <v>0.52</v>
      </c>
    </row>
    <row r="36" spans="1:47" s="471" customFormat="1">
      <c r="A36" s="495"/>
      <c r="B36" s="407">
        <v>44635</v>
      </c>
      <c r="C36" s="495"/>
      <c r="D36" s="512" t="s">
        <v>86</v>
      </c>
      <c r="E36" s="352"/>
      <c r="F36" s="501"/>
      <c r="G36" s="371">
        <v>2022</v>
      </c>
      <c r="H36" s="371" t="s">
        <v>4093</v>
      </c>
      <c r="I36" s="501" t="s">
        <v>1676</v>
      </c>
      <c r="J36" s="502"/>
      <c r="K36" s="501" t="s">
        <v>4126</v>
      </c>
      <c r="L36" s="501" t="s">
        <v>1905</v>
      </c>
      <c r="M36" s="502">
        <v>44546</v>
      </c>
      <c r="N36" s="502">
        <v>44655</v>
      </c>
      <c r="O36" s="502"/>
      <c r="P36" s="353"/>
      <c r="Q36" s="502"/>
      <c r="R36" s="502"/>
      <c r="S36" s="501" t="s">
        <v>1704</v>
      </c>
      <c r="T36" s="501">
        <v>60</v>
      </c>
      <c r="U36" s="501"/>
      <c r="V36" s="510" t="s">
        <v>973</v>
      </c>
      <c r="W36" s="501">
        <v>400</v>
      </c>
      <c r="X36" s="354">
        <v>768</v>
      </c>
      <c r="Y36" s="397">
        <f>X36*W36</f>
        <v>307200</v>
      </c>
      <c r="Z36" s="478">
        <f>220/400</f>
        <v>0.55000000000000004</v>
      </c>
      <c r="AA36" s="479">
        <f t="shared" si="1"/>
        <v>168960</v>
      </c>
      <c r="AB36" s="480"/>
      <c r="AC36" s="481"/>
      <c r="AD36" s="474"/>
      <c r="AE36" s="474"/>
      <c r="AF36" s="493">
        <f t="shared" si="3"/>
        <v>168960</v>
      </c>
      <c r="AG36" s="474" t="s">
        <v>1071</v>
      </c>
      <c r="AH36" s="474"/>
      <c r="AI36" s="474">
        <v>60</v>
      </c>
      <c r="AJ36" s="475" t="s">
        <v>1906</v>
      </c>
      <c r="AK36" s="475" t="s">
        <v>1417</v>
      </c>
      <c r="AL36" s="483">
        <v>83202</v>
      </c>
      <c r="AM36" s="474" t="s">
        <v>52</v>
      </c>
      <c r="AN36" s="384" t="s">
        <v>1074</v>
      </c>
      <c r="AO36" s="474" t="s">
        <v>1076</v>
      </c>
      <c r="AP36" s="474"/>
      <c r="AQ36" s="482" t="s">
        <v>37</v>
      </c>
      <c r="AR36" s="474" t="s">
        <v>1288</v>
      </c>
      <c r="AS36" s="473"/>
      <c r="AT36" s="346"/>
      <c r="AU36" s="478">
        <f>196/400</f>
        <v>0.49</v>
      </c>
    </row>
    <row r="37" spans="1:47" s="471" customFormat="1">
      <c r="A37" s="495"/>
      <c r="B37" s="407">
        <v>44635</v>
      </c>
      <c r="C37" s="495"/>
      <c r="D37" s="512" t="s">
        <v>86</v>
      </c>
      <c r="E37" s="352"/>
      <c r="F37" s="501"/>
      <c r="G37" s="371">
        <v>2022</v>
      </c>
      <c r="H37" s="371" t="s">
        <v>4093</v>
      </c>
      <c r="I37" s="501" t="s">
        <v>1676</v>
      </c>
      <c r="J37" s="502"/>
      <c r="K37" s="501" t="s">
        <v>4127</v>
      </c>
      <c r="L37" s="501" t="s">
        <v>1905</v>
      </c>
      <c r="M37" s="502">
        <v>44546</v>
      </c>
      <c r="N37" s="502">
        <v>44666</v>
      </c>
      <c r="O37" s="502"/>
      <c r="P37" s="353"/>
      <c r="Q37" s="502"/>
      <c r="R37" s="502"/>
      <c r="S37" s="501" t="s">
        <v>1704</v>
      </c>
      <c r="T37" s="501">
        <v>60</v>
      </c>
      <c r="U37" s="501"/>
      <c r="V37" s="510" t="s">
        <v>973</v>
      </c>
      <c r="W37" s="501">
        <v>400</v>
      </c>
      <c r="X37" s="354">
        <v>768</v>
      </c>
      <c r="Y37" s="397">
        <f>X37*W37</f>
        <v>307200</v>
      </c>
      <c r="Z37" s="478">
        <f>220/400</f>
        <v>0.55000000000000004</v>
      </c>
      <c r="AA37" s="479">
        <f t="shared" si="1"/>
        <v>168960</v>
      </c>
      <c r="AB37" s="480"/>
      <c r="AC37" s="481"/>
      <c r="AD37" s="474"/>
      <c r="AE37" s="474"/>
      <c r="AF37" s="493">
        <f t="shared" si="3"/>
        <v>168960</v>
      </c>
      <c r="AG37" s="474" t="s">
        <v>1071</v>
      </c>
      <c r="AH37" s="474"/>
      <c r="AI37" s="474">
        <v>60</v>
      </c>
      <c r="AJ37" s="475" t="s">
        <v>1906</v>
      </c>
      <c r="AK37" s="475" t="s">
        <v>1417</v>
      </c>
      <c r="AL37" s="483">
        <v>83202</v>
      </c>
      <c r="AM37" s="474" t="s">
        <v>52</v>
      </c>
      <c r="AN37" s="384" t="s">
        <v>1074</v>
      </c>
      <c r="AO37" s="474" t="s">
        <v>1076</v>
      </c>
      <c r="AP37" s="474"/>
      <c r="AQ37" s="482" t="s">
        <v>37</v>
      </c>
      <c r="AR37" s="474" t="s">
        <v>1288</v>
      </c>
      <c r="AS37" s="473"/>
      <c r="AT37" s="346"/>
      <c r="AU37" s="478">
        <f>196/400</f>
        <v>0.49</v>
      </c>
    </row>
    <row r="38" spans="1:47" s="471" customFormat="1">
      <c r="A38" s="495"/>
      <c r="B38" s="407">
        <v>44635</v>
      </c>
      <c r="C38" s="495"/>
      <c r="D38" s="512" t="s">
        <v>86</v>
      </c>
      <c r="E38" s="352"/>
      <c r="F38" s="501"/>
      <c r="G38" s="371">
        <v>2022</v>
      </c>
      <c r="H38" s="371" t="s">
        <v>4093</v>
      </c>
      <c r="I38" s="501" t="s">
        <v>1676</v>
      </c>
      <c r="J38" s="502"/>
      <c r="K38" s="501" t="s">
        <v>4128</v>
      </c>
      <c r="L38" s="501" t="s">
        <v>1905</v>
      </c>
      <c r="M38" s="502">
        <v>44546</v>
      </c>
      <c r="N38" s="502">
        <v>44676</v>
      </c>
      <c r="O38" s="502"/>
      <c r="P38" s="353"/>
      <c r="Q38" s="502"/>
      <c r="R38" s="502"/>
      <c r="S38" s="501" t="s">
        <v>1704</v>
      </c>
      <c r="T38" s="501">
        <v>60</v>
      </c>
      <c r="U38" s="501"/>
      <c r="V38" s="510" t="s">
        <v>973</v>
      </c>
      <c r="W38" s="501">
        <v>400</v>
      </c>
      <c r="X38" s="354">
        <v>768</v>
      </c>
      <c r="Y38" s="397">
        <f>X38*W38</f>
        <v>307200</v>
      </c>
      <c r="Z38" s="478">
        <f>220/400</f>
        <v>0.55000000000000004</v>
      </c>
      <c r="AA38" s="479">
        <f t="shared" si="1"/>
        <v>168960</v>
      </c>
      <c r="AB38" s="480"/>
      <c r="AC38" s="481"/>
      <c r="AD38" s="474"/>
      <c r="AE38" s="474"/>
      <c r="AF38" s="493">
        <f t="shared" si="3"/>
        <v>168960</v>
      </c>
      <c r="AG38" s="474" t="s">
        <v>1071</v>
      </c>
      <c r="AH38" s="474"/>
      <c r="AI38" s="474">
        <v>60</v>
      </c>
      <c r="AJ38" s="475" t="s">
        <v>1906</v>
      </c>
      <c r="AK38" s="475" t="s">
        <v>1417</v>
      </c>
      <c r="AL38" s="483">
        <v>83202</v>
      </c>
      <c r="AM38" s="474" t="s">
        <v>52</v>
      </c>
      <c r="AN38" s="384" t="s">
        <v>1074</v>
      </c>
      <c r="AO38" s="474" t="s">
        <v>1076</v>
      </c>
      <c r="AP38" s="474"/>
      <c r="AQ38" s="482" t="s">
        <v>37</v>
      </c>
      <c r="AR38" s="474" t="s">
        <v>1288</v>
      </c>
      <c r="AS38" s="473"/>
      <c r="AT38" s="346"/>
      <c r="AU38" s="478">
        <f>196/400</f>
        <v>0.49</v>
      </c>
    </row>
    <row r="39" spans="1:47" s="471" customFormat="1">
      <c r="A39" s="495"/>
      <c r="B39" s="407">
        <v>44635</v>
      </c>
      <c r="C39" s="495"/>
      <c r="D39" s="512" t="s">
        <v>86</v>
      </c>
      <c r="E39" s="352"/>
      <c r="F39" s="501"/>
      <c r="G39" s="371">
        <v>2022</v>
      </c>
      <c r="H39" s="371" t="s">
        <v>4093</v>
      </c>
      <c r="I39" s="501" t="s">
        <v>1676</v>
      </c>
      <c r="J39" s="502"/>
      <c r="K39" s="501" t="s">
        <v>4129</v>
      </c>
      <c r="L39" s="501" t="s">
        <v>1905</v>
      </c>
      <c r="M39" s="502">
        <v>44546</v>
      </c>
      <c r="N39" s="502">
        <v>44690</v>
      </c>
      <c r="O39" s="502"/>
      <c r="P39" s="353"/>
      <c r="Q39" s="502"/>
      <c r="R39" s="502"/>
      <c r="S39" s="501" t="s">
        <v>1704</v>
      </c>
      <c r="T39" s="501">
        <v>60</v>
      </c>
      <c r="U39" s="501"/>
      <c r="V39" s="510" t="s">
        <v>973</v>
      </c>
      <c r="W39" s="501">
        <v>400</v>
      </c>
      <c r="X39" s="354">
        <v>768</v>
      </c>
      <c r="Y39" s="397">
        <f>X39*W39</f>
        <v>307200</v>
      </c>
      <c r="Z39" s="478">
        <f>220/400</f>
        <v>0.55000000000000004</v>
      </c>
      <c r="AA39" s="479">
        <f t="shared" si="1"/>
        <v>168960</v>
      </c>
      <c r="AB39" s="480"/>
      <c r="AC39" s="481"/>
      <c r="AD39" s="474"/>
      <c r="AE39" s="474"/>
      <c r="AF39" s="493">
        <f t="shared" si="3"/>
        <v>168960</v>
      </c>
      <c r="AG39" s="474" t="s">
        <v>1071</v>
      </c>
      <c r="AH39" s="474"/>
      <c r="AI39" s="474">
        <v>60</v>
      </c>
      <c r="AJ39" s="475" t="s">
        <v>1906</v>
      </c>
      <c r="AK39" s="475" t="s">
        <v>1417</v>
      </c>
      <c r="AL39" s="483">
        <v>83202</v>
      </c>
      <c r="AM39" s="474" t="s">
        <v>52</v>
      </c>
      <c r="AN39" s="384" t="s">
        <v>1074</v>
      </c>
      <c r="AO39" s="474" t="s">
        <v>1076</v>
      </c>
      <c r="AP39" s="474"/>
      <c r="AQ39" s="482" t="s">
        <v>37</v>
      </c>
      <c r="AR39" s="474" t="s">
        <v>1288</v>
      </c>
      <c r="AS39" s="473"/>
      <c r="AT39" s="346"/>
      <c r="AU39" s="478">
        <f>196/400</f>
        <v>0.49</v>
      </c>
    </row>
    <row r="40" spans="1:47" s="471" customFormat="1">
      <c r="A40" s="495"/>
      <c r="B40" s="407">
        <v>44628</v>
      </c>
      <c r="C40" s="495"/>
      <c r="D40" s="512" t="s">
        <v>86</v>
      </c>
      <c r="E40" s="352"/>
      <c r="F40" s="501"/>
      <c r="G40" s="371">
        <v>2022</v>
      </c>
      <c r="H40" s="371" t="s">
        <v>3004</v>
      </c>
      <c r="I40" s="501" t="s">
        <v>1676</v>
      </c>
      <c r="J40" s="502"/>
      <c r="K40" s="501" t="s">
        <v>1898</v>
      </c>
      <c r="L40" s="501" t="s">
        <v>1895</v>
      </c>
      <c r="M40" s="502">
        <v>44588</v>
      </c>
      <c r="N40" s="502">
        <v>44619</v>
      </c>
      <c r="O40" s="502"/>
      <c r="P40" s="353"/>
      <c r="Q40" s="502"/>
      <c r="R40" s="502"/>
      <c r="S40" s="501" t="s">
        <v>1704</v>
      </c>
      <c r="T40" s="501">
        <v>60</v>
      </c>
      <c r="U40" s="501"/>
      <c r="V40" s="510" t="s">
        <v>986</v>
      </c>
      <c r="W40" s="501">
        <v>360</v>
      </c>
      <c r="X40" s="354">
        <v>768</v>
      </c>
      <c r="Y40" s="397">
        <f t="shared" ref="Y40:Y103" si="12">W40*X40</f>
        <v>276480</v>
      </c>
      <c r="Z40" s="478">
        <f>190.8/360</f>
        <v>0.53</v>
      </c>
      <c r="AA40" s="479">
        <f t="shared" si="1"/>
        <v>146534.39999999999</v>
      </c>
      <c r="AB40" s="480"/>
      <c r="AC40" s="481">
        <f t="shared" ref="AC40:AC58" si="13">AB40*Y40</f>
        <v>0</v>
      </c>
      <c r="AD40" s="474"/>
      <c r="AE40" s="474"/>
      <c r="AF40" s="493">
        <f t="shared" si="3"/>
        <v>146534.39999999999</v>
      </c>
      <c r="AG40" s="474" t="s">
        <v>1071</v>
      </c>
      <c r="AH40" s="474"/>
      <c r="AI40" s="474">
        <v>60</v>
      </c>
      <c r="AJ40" s="475" t="s">
        <v>1899</v>
      </c>
      <c r="AK40" s="475" t="s">
        <v>1823</v>
      </c>
      <c r="AL40" s="483" t="s">
        <v>1900</v>
      </c>
      <c r="AM40" s="474" t="s">
        <v>52</v>
      </c>
      <c r="AN40" s="384" t="s">
        <v>1074</v>
      </c>
      <c r="AO40" s="474" t="s">
        <v>1076</v>
      </c>
      <c r="AP40" s="474"/>
      <c r="AQ40" s="482" t="s">
        <v>37</v>
      </c>
      <c r="AR40" s="474" t="s">
        <v>1216</v>
      </c>
      <c r="AS40" s="473" t="s">
        <v>1492</v>
      </c>
      <c r="AT40" s="346"/>
      <c r="AU40" s="478">
        <f t="shared" ref="AU40:AU58" si="14">208/400</f>
        <v>0.52</v>
      </c>
    </row>
    <row r="41" spans="1:47" s="471" customFormat="1">
      <c r="A41" s="495"/>
      <c r="B41" s="407">
        <v>44628</v>
      </c>
      <c r="C41" s="495"/>
      <c r="D41" s="512" t="s">
        <v>86</v>
      </c>
      <c r="E41" s="352"/>
      <c r="F41" s="501"/>
      <c r="G41" s="371">
        <v>2022</v>
      </c>
      <c r="H41" s="371" t="s">
        <v>3004</v>
      </c>
      <c r="I41" s="501" t="s">
        <v>1676</v>
      </c>
      <c r="J41" s="502"/>
      <c r="K41" s="501" t="s">
        <v>1909</v>
      </c>
      <c r="L41" s="501" t="s">
        <v>1895</v>
      </c>
      <c r="M41" s="502">
        <v>44588</v>
      </c>
      <c r="N41" s="502">
        <v>44647</v>
      </c>
      <c r="O41" s="502"/>
      <c r="P41" s="353"/>
      <c r="Q41" s="502"/>
      <c r="R41" s="502"/>
      <c r="S41" s="501" t="s">
        <v>1704</v>
      </c>
      <c r="T41" s="501">
        <v>60</v>
      </c>
      <c r="U41" s="501"/>
      <c r="V41" s="510" t="s">
        <v>986</v>
      </c>
      <c r="W41" s="501">
        <v>360</v>
      </c>
      <c r="X41" s="354">
        <v>1536</v>
      </c>
      <c r="Y41" s="397">
        <f t="shared" si="12"/>
        <v>552960</v>
      </c>
      <c r="Z41" s="478">
        <f>190.8/360</f>
        <v>0.53</v>
      </c>
      <c r="AA41" s="479">
        <f t="shared" si="1"/>
        <v>293068.79999999999</v>
      </c>
      <c r="AB41" s="480"/>
      <c r="AC41" s="481">
        <f t="shared" si="13"/>
        <v>0</v>
      </c>
      <c r="AD41" s="474"/>
      <c r="AE41" s="474"/>
      <c r="AF41" s="493">
        <f t="shared" si="3"/>
        <v>293068.79999999999</v>
      </c>
      <c r="AG41" s="474" t="s">
        <v>1071</v>
      </c>
      <c r="AH41" s="474"/>
      <c r="AI41" s="474">
        <v>60</v>
      </c>
      <c r="AJ41" s="475" t="s">
        <v>1899</v>
      </c>
      <c r="AK41" s="475" t="s">
        <v>1823</v>
      </c>
      <c r="AL41" s="483" t="s">
        <v>1900</v>
      </c>
      <c r="AM41" s="474" t="s">
        <v>52</v>
      </c>
      <c r="AN41" s="384" t="s">
        <v>1074</v>
      </c>
      <c r="AO41" s="474" t="s">
        <v>1076</v>
      </c>
      <c r="AP41" s="474"/>
      <c r="AQ41" s="482" t="s">
        <v>37</v>
      </c>
      <c r="AR41" s="474" t="s">
        <v>1216</v>
      </c>
      <c r="AS41" s="473" t="s">
        <v>1492</v>
      </c>
      <c r="AT41" s="346"/>
      <c r="AU41" s="478">
        <f t="shared" si="14"/>
        <v>0.52</v>
      </c>
    </row>
    <row r="42" spans="1:47" s="471" customFormat="1">
      <c r="A42" s="495"/>
      <c r="B42" s="407">
        <v>44628</v>
      </c>
      <c r="C42" s="495"/>
      <c r="D42" s="512" t="s">
        <v>86</v>
      </c>
      <c r="E42" s="352"/>
      <c r="F42" s="501"/>
      <c r="G42" s="371">
        <v>2022</v>
      </c>
      <c r="H42" s="371" t="s">
        <v>3004</v>
      </c>
      <c r="I42" s="501" t="s">
        <v>1676</v>
      </c>
      <c r="J42" s="502"/>
      <c r="K42" s="501" t="s">
        <v>2039</v>
      </c>
      <c r="L42" s="501" t="s">
        <v>1895</v>
      </c>
      <c r="M42" s="502">
        <v>44588</v>
      </c>
      <c r="N42" s="502">
        <v>44678</v>
      </c>
      <c r="O42" s="502"/>
      <c r="P42" s="353"/>
      <c r="Q42" s="502"/>
      <c r="R42" s="502"/>
      <c r="S42" s="501" t="s">
        <v>1704</v>
      </c>
      <c r="T42" s="501">
        <v>60</v>
      </c>
      <c r="U42" s="501"/>
      <c r="V42" s="510" t="s">
        <v>986</v>
      </c>
      <c r="W42" s="501">
        <v>360</v>
      </c>
      <c r="X42" s="354">
        <v>1536</v>
      </c>
      <c r="Y42" s="397">
        <f t="shared" si="12"/>
        <v>552960</v>
      </c>
      <c r="Z42" s="478">
        <f>190.8/360</f>
        <v>0.53</v>
      </c>
      <c r="AA42" s="479">
        <f t="shared" si="1"/>
        <v>293068.79999999999</v>
      </c>
      <c r="AB42" s="480"/>
      <c r="AC42" s="481">
        <f t="shared" si="13"/>
        <v>0</v>
      </c>
      <c r="AD42" s="474"/>
      <c r="AE42" s="474"/>
      <c r="AF42" s="493">
        <f t="shared" si="3"/>
        <v>293068.79999999999</v>
      </c>
      <c r="AG42" s="474" t="s">
        <v>1071</v>
      </c>
      <c r="AH42" s="474"/>
      <c r="AI42" s="474">
        <v>60</v>
      </c>
      <c r="AJ42" s="475" t="s">
        <v>1899</v>
      </c>
      <c r="AK42" s="475" t="s">
        <v>1823</v>
      </c>
      <c r="AL42" s="483" t="s">
        <v>1900</v>
      </c>
      <c r="AM42" s="474" t="s">
        <v>52</v>
      </c>
      <c r="AN42" s="384" t="s">
        <v>1074</v>
      </c>
      <c r="AO42" s="474" t="s">
        <v>1076</v>
      </c>
      <c r="AP42" s="474"/>
      <c r="AQ42" s="482" t="s">
        <v>37</v>
      </c>
      <c r="AR42" s="474" t="s">
        <v>1216</v>
      </c>
      <c r="AS42" s="473" t="s">
        <v>1492</v>
      </c>
      <c r="AT42" s="346"/>
      <c r="AU42" s="478">
        <f t="shared" si="14"/>
        <v>0.52</v>
      </c>
    </row>
    <row r="43" spans="1:47" s="471" customFormat="1">
      <c r="A43" s="495"/>
      <c r="B43" s="407">
        <v>44628</v>
      </c>
      <c r="C43" s="495"/>
      <c r="D43" s="512" t="s">
        <v>86</v>
      </c>
      <c r="E43" s="352"/>
      <c r="F43" s="501"/>
      <c r="G43" s="371">
        <v>2022</v>
      </c>
      <c r="H43" s="371" t="s">
        <v>3004</v>
      </c>
      <c r="I43" s="501" t="s">
        <v>1676</v>
      </c>
      <c r="J43" s="502"/>
      <c r="K43" s="501" t="s">
        <v>2040</v>
      </c>
      <c r="L43" s="501" t="s">
        <v>1895</v>
      </c>
      <c r="M43" s="502">
        <v>44588</v>
      </c>
      <c r="N43" s="502">
        <v>44708</v>
      </c>
      <c r="O43" s="502"/>
      <c r="P43" s="353"/>
      <c r="Q43" s="502"/>
      <c r="R43" s="502"/>
      <c r="S43" s="501" t="s">
        <v>1704</v>
      </c>
      <c r="T43" s="501">
        <v>60</v>
      </c>
      <c r="U43" s="501"/>
      <c r="V43" s="510" t="s">
        <v>986</v>
      </c>
      <c r="W43" s="501">
        <v>360</v>
      </c>
      <c r="X43" s="354">
        <v>1536</v>
      </c>
      <c r="Y43" s="397">
        <f t="shared" si="12"/>
        <v>552960</v>
      </c>
      <c r="Z43" s="478">
        <f>190.8/360</f>
        <v>0.53</v>
      </c>
      <c r="AA43" s="479">
        <f t="shared" si="1"/>
        <v>293068.79999999999</v>
      </c>
      <c r="AB43" s="480"/>
      <c r="AC43" s="481">
        <f t="shared" si="13"/>
        <v>0</v>
      </c>
      <c r="AD43" s="474"/>
      <c r="AE43" s="474"/>
      <c r="AF43" s="493">
        <f t="shared" si="3"/>
        <v>293068.79999999999</v>
      </c>
      <c r="AG43" s="474" t="s">
        <v>1071</v>
      </c>
      <c r="AH43" s="474"/>
      <c r="AI43" s="474">
        <v>60</v>
      </c>
      <c r="AJ43" s="475" t="s">
        <v>1899</v>
      </c>
      <c r="AK43" s="475" t="s">
        <v>1823</v>
      </c>
      <c r="AL43" s="483" t="s">
        <v>1900</v>
      </c>
      <c r="AM43" s="474" t="s">
        <v>52</v>
      </c>
      <c r="AN43" s="384" t="s">
        <v>1074</v>
      </c>
      <c r="AO43" s="474" t="s">
        <v>1076</v>
      </c>
      <c r="AP43" s="474"/>
      <c r="AQ43" s="482" t="s">
        <v>37</v>
      </c>
      <c r="AR43" s="474" t="s">
        <v>1216</v>
      </c>
      <c r="AS43" s="473" t="s">
        <v>1492</v>
      </c>
      <c r="AT43" s="346"/>
      <c r="AU43" s="478">
        <f t="shared" si="14"/>
        <v>0.52</v>
      </c>
    </row>
    <row r="44" spans="1:47" s="471" customFormat="1">
      <c r="A44" s="495"/>
      <c r="B44" s="407">
        <v>44628</v>
      </c>
      <c r="C44" s="495"/>
      <c r="D44" s="512" t="s">
        <v>86</v>
      </c>
      <c r="E44" s="352"/>
      <c r="F44" s="501"/>
      <c r="G44" s="371">
        <v>2022</v>
      </c>
      <c r="H44" s="371" t="s">
        <v>3004</v>
      </c>
      <c r="I44" s="501" t="s">
        <v>1676</v>
      </c>
      <c r="J44" s="502"/>
      <c r="K44" s="501" t="s">
        <v>4130</v>
      </c>
      <c r="L44" s="501" t="s">
        <v>1895</v>
      </c>
      <c r="M44" s="502">
        <v>44588</v>
      </c>
      <c r="N44" s="502">
        <v>44708</v>
      </c>
      <c r="O44" s="502"/>
      <c r="P44" s="353"/>
      <c r="Q44" s="502"/>
      <c r="R44" s="502"/>
      <c r="S44" s="501" t="s">
        <v>1704</v>
      </c>
      <c r="T44" s="501">
        <v>60</v>
      </c>
      <c r="U44" s="501"/>
      <c r="V44" s="510" t="s">
        <v>1223</v>
      </c>
      <c r="W44" s="501">
        <v>360</v>
      </c>
      <c r="X44" s="354">
        <v>676</v>
      </c>
      <c r="Y44" s="397">
        <f t="shared" si="12"/>
        <v>243360</v>
      </c>
      <c r="Z44" s="478">
        <f>298.8/360</f>
        <v>0.83000000000000007</v>
      </c>
      <c r="AA44" s="479">
        <f t="shared" si="1"/>
        <v>201988.80000000002</v>
      </c>
      <c r="AB44" s="480"/>
      <c r="AC44" s="481">
        <f t="shared" si="13"/>
        <v>0</v>
      </c>
      <c r="AD44" s="474"/>
      <c r="AE44" s="474"/>
      <c r="AF44" s="493">
        <f t="shared" si="3"/>
        <v>201988.80000000002</v>
      </c>
      <c r="AG44" s="474" t="s">
        <v>1071</v>
      </c>
      <c r="AH44" s="474"/>
      <c r="AI44" s="474">
        <v>60</v>
      </c>
      <c r="AJ44" s="475" t="s">
        <v>1899</v>
      </c>
      <c r="AK44" s="475" t="s">
        <v>1823</v>
      </c>
      <c r="AL44" s="483" t="s">
        <v>1900</v>
      </c>
      <c r="AM44" s="474" t="s">
        <v>52</v>
      </c>
      <c r="AN44" s="384" t="s">
        <v>1074</v>
      </c>
      <c r="AO44" s="474" t="s">
        <v>1076</v>
      </c>
      <c r="AP44" s="474"/>
      <c r="AQ44" s="482" t="s">
        <v>37</v>
      </c>
      <c r="AR44" s="474" t="s">
        <v>1216</v>
      </c>
      <c r="AS44" s="473" t="s">
        <v>1492</v>
      </c>
      <c r="AT44" s="346"/>
      <c r="AU44" s="478">
        <f t="shared" si="14"/>
        <v>0.52</v>
      </c>
    </row>
    <row r="45" spans="1:47" s="471" customFormat="1">
      <c r="A45" s="495"/>
      <c r="B45" s="407"/>
      <c r="C45" s="495"/>
      <c r="D45" s="512" t="s">
        <v>86</v>
      </c>
      <c r="E45" s="352"/>
      <c r="F45" s="501"/>
      <c r="G45" s="371">
        <v>2022</v>
      </c>
      <c r="H45" s="371" t="s">
        <v>3004</v>
      </c>
      <c r="I45" s="501" t="s">
        <v>1676</v>
      </c>
      <c r="J45" s="502"/>
      <c r="K45" s="501" t="s">
        <v>4131</v>
      </c>
      <c r="L45" s="501" t="s">
        <v>1895</v>
      </c>
      <c r="M45" s="502">
        <v>44636</v>
      </c>
      <c r="N45" s="502">
        <v>44713</v>
      </c>
      <c r="O45" s="502"/>
      <c r="P45" s="353"/>
      <c r="Q45" s="502"/>
      <c r="R45" s="502"/>
      <c r="S45" s="501" t="s">
        <v>1704</v>
      </c>
      <c r="T45" s="501">
        <v>60</v>
      </c>
      <c r="U45" s="501"/>
      <c r="V45" s="510" t="s">
        <v>973</v>
      </c>
      <c r="W45" s="501">
        <v>400</v>
      </c>
      <c r="X45" s="354">
        <v>3072</v>
      </c>
      <c r="Y45" s="397">
        <f t="shared" si="12"/>
        <v>1228800</v>
      </c>
      <c r="Z45" s="478">
        <f t="shared" ref="Z45:Z62" si="15">220/400</f>
        <v>0.55000000000000004</v>
      </c>
      <c r="AA45" s="479">
        <f t="shared" si="1"/>
        <v>675840</v>
      </c>
      <c r="AB45" s="480"/>
      <c r="AC45" s="481">
        <f t="shared" si="13"/>
        <v>0</v>
      </c>
      <c r="AD45" s="474"/>
      <c r="AE45" s="474"/>
      <c r="AF45" s="493">
        <f t="shared" si="3"/>
        <v>675840</v>
      </c>
      <c r="AG45" s="474" t="s">
        <v>1071</v>
      </c>
      <c r="AH45" s="474"/>
      <c r="AI45" s="474">
        <v>60</v>
      </c>
      <c r="AJ45" s="475" t="s">
        <v>4132</v>
      </c>
      <c r="AK45" s="475" t="s">
        <v>1823</v>
      </c>
      <c r="AL45" s="483" t="s">
        <v>1897</v>
      </c>
      <c r="AM45" s="474" t="s">
        <v>52</v>
      </c>
      <c r="AN45" s="384" t="s">
        <v>1074</v>
      </c>
      <c r="AO45" s="474" t="s">
        <v>1076</v>
      </c>
      <c r="AP45" s="474"/>
      <c r="AQ45" s="482" t="s">
        <v>37</v>
      </c>
      <c r="AR45" s="474" t="s">
        <v>1216</v>
      </c>
      <c r="AS45" s="473" t="s">
        <v>1492</v>
      </c>
      <c r="AT45" s="346"/>
      <c r="AU45" s="478">
        <f t="shared" si="14"/>
        <v>0.52</v>
      </c>
    </row>
    <row r="46" spans="1:47" s="471" customFormat="1">
      <c r="A46" s="495"/>
      <c r="B46" s="407"/>
      <c r="C46" s="495"/>
      <c r="D46" s="512" t="s">
        <v>86</v>
      </c>
      <c r="E46" s="352"/>
      <c r="F46" s="501"/>
      <c r="G46" s="371">
        <v>2022</v>
      </c>
      <c r="H46" s="371" t="s">
        <v>3004</v>
      </c>
      <c r="I46" s="501" t="s">
        <v>1676</v>
      </c>
      <c r="J46" s="502"/>
      <c r="K46" s="501" t="s">
        <v>4133</v>
      </c>
      <c r="L46" s="501" t="s">
        <v>1895</v>
      </c>
      <c r="M46" s="502">
        <v>44636</v>
      </c>
      <c r="N46" s="502">
        <v>44743</v>
      </c>
      <c r="O46" s="502"/>
      <c r="P46" s="353"/>
      <c r="Q46" s="502"/>
      <c r="R46" s="502"/>
      <c r="S46" s="501" t="s">
        <v>1704</v>
      </c>
      <c r="T46" s="501">
        <v>60</v>
      </c>
      <c r="U46" s="501"/>
      <c r="V46" s="510" t="s">
        <v>973</v>
      </c>
      <c r="W46" s="501">
        <v>400</v>
      </c>
      <c r="X46" s="354">
        <v>3072</v>
      </c>
      <c r="Y46" s="397">
        <f t="shared" si="12"/>
        <v>1228800</v>
      </c>
      <c r="Z46" s="478">
        <f t="shared" si="15"/>
        <v>0.55000000000000004</v>
      </c>
      <c r="AA46" s="479">
        <f t="shared" si="1"/>
        <v>675840</v>
      </c>
      <c r="AB46" s="480"/>
      <c r="AC46" s="481">
        <f t="shared" si="13"/>
        <v>0</v>
      </c>
      <c r="AD46" s="474"/>
      <c r="AE46" s="474"/>
      <c r="AF46" s="493">
        <f t="shared" si="3"/>
        <v>675840</v>
      </c>
      <c r="AG46" s="474" t="s">
        <v>1071</v>
      </c>
      <c r="AH46" s="474"/>
      <c r="AI46" s="474">
        <v>60</v>
      </c>
      <c r="AJ46" s="475" t="s">
        <v>4132</v>
      </c>
      <c r="AK46" s="475" t="s">
        <v>1823</v>
      </c>
      <c r="AL46" s="483" t="s">
        <v>1897</v>
      </c>
      <c r="AM46" s="474" t="s">
        <v>52</v>
      </c>
      <c r="AN46" s="384" t="s">
        <v>1074</v>
      </c>
      <c r="AO46" s="474" t="s">
        <v>1076</v>
      </c>
      <c r="AP46" s="474"/>
      <c r="AQ46" s="482" t="s">
        <v>37</v>
      </c>
      <c r="AR46" s="474" t="s">
        <v>1216</v>
      </c>
      <c r="AS46" s="473" t="s">
        <v>1492</v>
      </c>
      <c r="AT46" s="346"/>
      <c r="AU46" s="478">
        <f t="shared" si="14"/>
        <v>0.52</v>
      </c>
    </row>
    <row r="47" spans="1:47" s="471" customFormat="1">
      <c r="A47" s="495"/>
      <c r="B47" s="407"/>
      <c r="C47" s="495"/>
      <c r="D47" s="512" t="s">
        <v>86</v>
      </c>
      <c r="E47" s="352"/>
      <c r="F47" s="501"/>
      <c r="G47" s="371">
        <v>2022</v>
      </c>
      <c r="H47" s="371" t="s">
        <v>3004</v>
      </c>
      <c r="I47" s="501" t="s">
        <v>1676</v>
      </c>
      <c r="J47" s="502"/>
      <c r="K47" s="501" t="s">
        <v>4134</v>
      </c>
      <c r="L47" s="501" t="s">
        <v>1895</v>
      </c>
      <c r="M47" s="502">
        <v>44636</v>
      </c>
      <c r="N47" s="502">
        <v>44774</v>
      </c>
      <c r="O47" s="502"/>
      <c r="P47" s="353"/>
      <c r="Q47" s="502"/>
      <c r="R47" s="502"/>
      <c r="S47" s="501" t="s">
        <v>1704</v>
      </c>
      <c r="T47" s="501">
        <v>60</v>
      </c>
      <c r="U47" s="501"/>
      <c r="V47" s="510" t="s">
        <v>973</v>
      </c>
      <c r="W47" s="501">
        <v>400</v>
      </c>
      <c r="X47" s="354">
        <v>3072</v>
      </c>
      <c r="Y47" s="397">
        <f t="shared" si="12"/>
        <v>1228800</v>
      </c>
      <c r="Z47" s="478">
        <f t="shared" si="15"/>
        <v>0.55000000000000004</v>
      </c>
      <c r="AA47" s="479">
        <f t="shared" si="1"/>
        <v>675840</v>
      </c>
      <c r="AB47" s="480"/>
      <c r="AC47" s="481">
        <f t="shared" si="13"/>
        <v>0</v>
      </c>
      <c r="AD47" s="474"/>
      <c r="AE47" s="474"/>
      <c r="AF47" s="493">
        <f t="shared" si="3"/>
        <v>675840</v>
      </c>
      <c r="AG47" s="474" t="s">
        <v>1071</v>
      </c>
      <c r="AH47" s="474"/>
      <c r="AI47" s="474">
        <v>60</v>
      </c>
      <c r="AJ47" s="475" t="s">
        <v>4132</v>
      </c>
      <c r="AK47" s="475" t="s">
        <v>1823</v>
      </c>
      <c r="AL47" s="483" t="s">
        <v>1897</v>
      </c>
      <c r="AM47" s="474" t="s">
        <v>52</v>
      </c>
      <c r="AN47" s="384" t="s">
        <v>1074</v>
      </c>
      <c r="AO47" s="474" t="s">
        <v>1076</v>
      </c>
      <c r="AP47" s="474"/>
      <c r="AQ47" s="482" t="s">
        <v>37</v>
      </c>
      <c r="AR47" s="474" t="s">
        <v>1216</v>
      </c>
      <c r="AS47" s="473" t="s">
        <v>1492</v>
      </c>
      <c r="AT47" s="346"/>
      <c r="AU47" s="478">
        <f t="shared" si="14"/>
        <v>0.52</v>
      </c>
    </row>
    <row r="48" spans="1:47" s="471" customFormat="1">
      <c r="A48" s="495"/>
      <c r="B48" s="407"/>
      <c r="C48" s="495"/>
      <c r="D48" s="512" t="s">
        <v>86</v>
      </c>
      <c r="E48" s="352"/>
      <c r="F48" s="501"/>
      <c r="G48" s="371">
        <v>2022</v>
      </c>
      <c r="H48" s="371" t="s">
        <v>3004</v>
      </c>
      <c r="I48" s="501" t="s">
        <v>1676</v>
      </c>
      <c r="J48" s="502"/>
      <c r="K48" s="501" t="s">
        <v>4135</v>
      </c>
      <c r="L48" s="501" t="s">
        <v>1895</v>
      </c>
      <c r="M48" s="502">
        <v>44636</v>
      </c>
      <c r="N48" s="502">
        <v>44805</v>
      </c>
      <c r="O48" s="502"/>
      <c r="P48" s="353"/>
      <c r="Q48" s="502"/>
      <c r="R48" s="502"/>
      <c r="S48" s="501" t="s">
        <v>1704</v>
      </c>
      <c r="T48" s="501">
        <v>60</v>
      </c>
      <c r="U48" s="501"/>
      <c r="V48" s="510" t="s">
        <v>973</v>
      </c>
      <c r="W48" s="501">
        <v>400</v>
      </c>
      <c r="X48" s="354">
        <v>3072</v>
      </c>
      <c r="Y48" s="397">
        <f t="shared" si="12"/>
        <v>1228800</v>
      </c>
      <c r="Z48" s="478">
        <f t="shared" si="15"/>
        <v>0.55000000000000004</v>
      </c>
      <c r="AA48" s="479">
        <f t="shared" si="1"/>
        <v>675840</v>
      </c>
      <c r="AB48" s="480"/>
      <c r="AC48" s="481">
        <f t="shared" si="13"/>
        <v>0</v>
      </c>
      <c r="AD48" s="474"/>
      <c r="AE48" s="474"/>
      <c r="AF48" s="493">
        <f t="shared" si="3"/>
        <v>675840</v>
      </c>
      <c r="AG48" s="474" t="s">
        <v>1071</v>
      </c>
      <c r="AH48" s="474"/>
      <c r="AI48" s="474">
        <v>60</v>
      </c>
      <c r="AJ48" s="475" t="s">
        <v>4132</v>
      </c>
      <c r="AK48" s="475" t="s">
        <v>1823</v>
      </c>
      <c r="AL48" s="483" t="s">
        <v>1897</v>
      </c>
      <c r="AM48" s="474" t="s">
        <v>52</v>
      </c>
      <c r="AN48" s="384" t="s">
        <v>1074</v>
      </c>
      <c r="AO48" s="474" t="s">
        <v>1076</v>
      </c>
      <c r="AP48" s="474"/>
      <c r="AQ48" s="482" t="s">
        <v>37</v>
      </c>
      <c r="AR48" s="474" t="s">
        <v>1216</v>
      </c>
      <c r="AS48" s="473" t="s">
        <v>1492</v>
      </c>
      <c r="AT48" s="346"/>
      <c r="AU48" s="478">
        <f t="shared" si="14"/>
        <v>0.52</v>
      </c>
    </row>
    <row r="49" spans="1:47" s="471" customFormat="1">
      <c r="A49" s="495"/>
      <c r="B49" s="407"/>
      <c r="C49" s="495"/>
      <c r="D49" s="512" t="s">
        <v>86</v>
      </c>
      <c r="E49" s="352"/>
      <c r="F49" s="501"/>
      <c r="G49" s="371">
        <v>2022</v>
      </c>
      <c r="H49" s="371" t="s">
        <v>3004</v>
      </c>
      <c r="I49" s="501" t="s">
        <v>1676</v>
      </c>
      <c r="J49" s="502"/>
      <c r="K49" s="501" t="s">
        <v>4136</v>
      </c>
      <c r="L49" s="501" t="s">
        <v>1895</v>
      </c>
      <c r="M49" s="502">
        <v>44636</v>
      </c>
      <c r="N49" s="502">
        <v>44835</v>
      </c>
      <c r="O49" s="502"/>
      <c r="P49" s="353"/>
      <c r="Q49" s="502"/>
      <c r="R49" s="502"/>
      <c r="S49" s="501" t="s">
        <v>1704</v>
      </c>
      <c r="T49" s="501">
        <v>60</v>
      </c>
      <c r="U49" s="501"/>
      <c r="V49" s="510" t="s">
        <v>973</v>
      </c>
      <c r="W49" s="501">
        <v>400</v>
      </c>
      <c r="X49" s="354">
        <v>3072</v>
      </c>
      <c r="Y49" s="397">
        <f t="shared" si="12"/>
        <v>1228800</v>
      </c>
      <c r="Z49" s="478">
        <f t="shared" si="15"/>
        <v>0.55000000000000004</v>
      </c>
      <c r="AA49" s="479">
        <f t="shared" si="1"/>
        <v>675840</v>
      </c>
      <c r="AB49" s="480"/>
      <c r="AC49" s="481">
        <f t="shared" si="13"/>
        <v>0</v>
      </c>
      <c r="AD49" s="474"/>
      <c r="AE49" s="474"/>
      <c r="AF49" s="493">
        <f t="shared" si="3"/>
        <v>675840</v>
      </c>
      <c r="AG49" s="474" t="s">
        <v>1071</v>
      </c>
      <c r="AH49" s="474"/>
      <c r="AI49" s="474">
        <v>60</v>
      </c>
      <c r="AJ49" s="475" t="s">
        <v>4132</v>
      </c>
      <c r="AK49" s="475" t="s">
        <v>1823</v>
      </c>
      <c r="AL49" s="483" t="s">
        <v>1897</v>
      </c>
      <c r="AM49" s="474" t="s">
        <v>52</v>
      </c>
      <c r="AN49" s="384" t="s">
        <v>1074</v>
      </c>
      <c r="AO49" s="474" t="s">
        <v>1076</v>
      </c>
      <c r="AP49" s="474"/>
      <c r="AQ49" s="482" t="s">
        <v>37</v>
      </c>
      <c r="AR49" s="474" t="s">
        <v>1216</v>
      </c>
      <c r="AS49" s="473" t="s">
        <v>1492</v>
      </c>
      <c r="AT49" s="346"/>
      <c r="AU49" s="478">
        <f t="shared" si="14"/>
        <v>0.52</v>
      </c>
    </row>
    <row r="50" spans="1:47" s="471" customFormat="1">
      <c r="A50" s="495"/>
      <c r="B50" s="407"/>
      <c r="C50" s="495"/>
      <c r="D50" s="512" t="s">
        <v>86</v>
      </c>
      <c r="E50" s="352"/>
      <c r="F50" s="501"/>
      <c r="G50" s="371">
        <v>2022</v>
      </c>
      <c r="H50" s="371" t="s">
        <v>3004</v>
      </c>
      <c r="I50" s="501" t="s">
        <v>1676</v>
      </c>
      <c r="J50" s="502"/>
      <c r="K50" s="501" t="s">
        <v>4137</v>
      </c>
      <c r="L50" s="501" t="s">
        <v>1895</v>
      </c>
      <c r="M50" s="502">
        <v>44636</v>
      </c>
      <c r="N50" s="502">
        <v>44866</v>
      </c>
      <c r="O50" s="502"/>
      <c r="P50" s="353"/>
      <c r="Q50" s="502"/>
      <c r="R50" s="502"/>
      <c r="S50" s="501" t="s">
        <v>1704</v>
      </c>
      <c r="T50" s="501">
        <v>60</v>
      </c>
      <c r="U50" s="501"/>
      <c r="V50" s="510" t="s">
        <v>973</v>
      </c>
      <c r="W50" s="501">
        <v>400</v>
      </c>
      <c r="X50" s="354">
        <v>3072</v>
      </c>
      <c r="Y50" s="397">
        <f t="shared" si="12"/>
        <v>1228800</v>
      </c>
      <c r="Z50" s="478">
        <f t="shared" si="15"/>
        <v>0.55000000000000004</v>
      </c>
      <c r="AA50" s="479">
        <f t="shared" si="1"/>
        <v>675840</v>
      </c>
      <c r="AB50" s="480"/>
      <c r="AC50" s="481">
        <f t="shared" si="13"/>
        <v>0</v>
      </c>
      <c r="AD50" s="474"/>
      <c r="AE50" s="474"/>
      <c r="AF50" s="493">
        <f t="shared" si="3"/>
        <v>675840</v>
      </c>
      <c r="AG50" s="474" t="s">
        <v>1071</v>
      </c>
      <c r="AH50" s="474"/>
      <c r="AI50" s="474">
        <v>60</v>
      </c>
      <c r="AJ50" s="475" t="s">
        <v>4132</v>
      </c>
      <c r="AK50" s="475" t="s">
        <v>1823</v>
      </c>
      <c r="AL50" s="483" t="s">
        <v>1897</v>
      </c>
      <c r="AM50" s="474" t="s">
        <v>52</v>
      </c>
      <c r="AN50" s="384" t="s">
        <v>1074</v>
      </c>
      <c r="AO50" s="474" t="s">
        <v>1076</v>
      </c>
      <c r="AP50" s="474"/>
      <c r="AQ50" s="482" t="s">
        <v>37</v>
      </c>
      <c r="AR50" s="474" t="s">
        <v>1216</v>
      </c>
      <c r="AS50" s="473" t="s">
        <v>1492</v>
      </c>
      <c r="AT50" s="346"/>
      <c r="AU50" s="478">
        <f t="shared" si="14"/>
        <v>0.52</v>
      </c>
    </row>
    <row r="51" spans="1:47" s="471" customFormat="1">
      <c r="A51" s="495"/>
      <c r="B51" s="407"/>
      <c r="C51" s="495"/>
      <c r="D51" s="512" t="s">
        <v>86</v>
      </c>
      <c r="E51" s="352"/>
      <c r="F51" s="501"/>
      <c r="G51" s="371">
        <v>2022</v>
      </c>
      <c r="H51" s="371" t="s">
        <v>3004</v>
      </c>
      <c r="I51" s="501" t="s">
        <v>1676</v>
      </c>
      <c r="J51" s="502"/>
      <c r="K51" s="501" t="s">
        <v>4138</v>
      </c>
      <c r="L51" s="501" t="s">
        <v>1895</v>
      </c>
      <c r="M51" s="502">
        <v>44636</v>
      </c>
      <c r="N51" s="502">
        <v>44896</v>
      </c>
      <c r="O51" s="502"/>
      <c r="P51" s="353"/>
      <c r="Q51" s="502"/>
      <c r="R51" s="502"/>
      <c r="S51" s="501" t="s">
        <v>1704</v>
      </c>
      <c r="T51" s="501">
        <v>60</v>
      </c>
      <c r="U51" s="501"/>
      <c r="V51" s="510" t="s">
        <v>973</v>
      </c>
      <c r="W51" s="501">
        <v>400</v>
      </c>
      <c r="X51" s="354">
        <v>3072</v>
      </c>
      <c r="Y51" s="397">
        <f t="shared" si="12"/>
        <v>1228800</v>
      </c>
      <c r="Z51" s="478">
        <f t="shared" si="15"/>
        <v>0.55000000000000004</v>
      </c>
      <c r="AA51" s="479">
        <f t="shared" si="1"/>
        <v>675840</v>
      </c>
      <c r="AB51" s="480"/>
      <c r="AC51" s="481">
        <f t="shared" si="13"/>
        <v>0</v>
      </c>
      <c r="AD51" s="474"/>
      <c r="AE51" s="474"/>
      <c r="AF51" s="493">
        <f t="shared" si="3"/>
        <v>675840</v>
      </c>
      <c r="AG51" s="474" t="s">
        <v>1071</v>
      </c>
      <c r="AH51" s="474"/>
      <c r="AI51" s="474">
        <v>60</v>
      </c>
      <c r="AJ51" s="475" t="s">
        <v>4132</v>
      </c>
      <c r="AK51" s="475" t="s">
        <v>1823</v>
      </c>
      <c r="AL51" s="483" t="s">
        <v>1897</v>
      </c>
      <c r="AM51" s="474" t="s">
        <v>52</v>
      </c>
      <c r="AN51" s="384" t="s">
        <v>1074</v>
      </c>
      <c r="AO51" s="474" t="s">
        <v>1076</v>
      </c>
      <c r="AP51" s="474"/>
      <c r="AQ51" s="482" t="s">
        <v>37</v>
      </c>
      <c r="AR51" s="474" t="s">
        <v>1216</v>
      </c>
      <c r="AS51" s="473" t="s">
        <v>1492</v>
      </c>
      <c r="AT51" s="346"/>
      <c r="AU51" s="478">
        <f t="shared" si="14"/>
        <v>0.52</v>
      </c>
    </row>
    <row r="52" spans="1:47" s="471" customFormat="1">
      <c r="A52" s="495"/>
      <c r="B52" s="407"/>
      <c r="C52" s="495"/>
      <c r="D52" s="512" t="s">
        <v>86</v>
      </c>
      <c r="E52" s="352" t="s">
        <v>5722</v>
      </c>
      <c r="F52" s="501"/>
      <c r="G52" s="371">
        <v>2022</v>
      </c>
      <c r="H52" s="371" t="s">
        <v>3004</v>
      </c>
      <c r="I52" s="501" t="s">
        <v>1676</v>
      </c>
      <c r="J52" s="502"/>
      <c r="K52" s="501" t="s">
        <v>5723</v>
      </c>
      <c r="L52" s="501" t="s">
        <v>1895</v>
      </c>
      <c r="M52" s="502">
        <v>44676</v>
      </c>
      <c r="N52" s="502">
        <v>44740</v>
      </c>
      <c r="O52" s="502"/>
      <c r="P52" s="353"/>
      <c r="Q52" s="502"/>
      <c r="R52" s="502"/>
      <c r="S52" s="501" t="s">
        <v>1704</v>
      </c>
      <c r="T52" s="501">
        <v>60</v>
      </c>
      <c r="U52" s="501"/>
      <c r="V52" s="510" t="s">
        <v>973</v>
      </c>
      <c r="W52" s="501">
        <v>400</v>
      </c>
      <c r="X52" s="354">
        <v>3072</v>
      </c>
      <c r="Y52" s="397">
        <f t="shared" si="12"/>
        <v>1228800</v>
      </c>
      <c r="Z52" s="478">
        <f>256/400</f>
        <v>0.64</v>
      </c>
      <c r="AA52" s="479">
        <f t="shared" si="1"/>
        <v>786432</v>
      </c>
      <c r="AB52" s="480"/>
      <c r="AC52" s="481">
        <f t="shared" si="13"/>
        <v>0</v>
      </c>
      <c r="AD52" s="474"/>
      <c r="AE52" s="474"/>
      <c r="AF52" s="493">
        <f t="shared" si="3"/>
        <v>786432</v>
      </c>
      <c r="AG52" s="474" t="s">
        <v>1071</v>
      </c>
      <c r="AH52" s="474"/>
      <c r="AI52" s="474">
        <v>60</v>
      </c>
      <c r="AJ52" s="475" t="s">
        <v>4132</v>
      </c>
      <c r="AK52" s="475" t="s">
        <v>1823</v>
      </c>
      <c r="AL52" s="483" t="s">
        <v>1897</v>
      </c>
      <c r="AM52" s="474" t="s">
        <v>52</v>
      </c>
      <c r="AN52" s="384" t="s">
        <v>1074</v>
      </c>
      <c r="AO52" s="474" t="s">
        <v>1076</v>
      </c>
      <c r="AP52" s="474"/>
      <c r="AQ52" s="482" t="s">
        <v>37</v>
      </c>
      <c r="AR52" s="474" t="s">
        <v>1216</v>
      </c>
      <c r="AS52" s="473" t="s">
        <v>1492</v>
      </c>
      <c r="AT52" s="346"/>
      <c r="AU52" s="478">
        <f t="shared" si="14"/>
        <v>0.52</v>
      </c>
    </row>
    <row r="53" spans="1:47" s="471" customFormat="1">
      <c r="A53" s="495"/>
      <c r="B53" s="407"/>
      <c r="C53" s="495"/>
      <c r="D53" s="512" t="s">
        <v>86</v>
      </c>
      <c r="E53" s="352" t="s">
        <v>5722</v>
      </c>
      <c r="F53" s="501"/>
      <c r="G53" s="371">
        <v>2022</v>
      </c>
      <c r="H53" s="371" t="s">
        <v>3004</v>
      </c>
      <c r="I53" s="501" t="s">
        <v>1676</v>
      </c>
      <c r="J53" s="502"/>
      <c r="K53" s="501" t="s">
        <v>5724</v>
      </c>
      <c r="L53" s="501" t="s">
        <v>1895</v>
      </c>
      <c r="M53" s="502">
        <v>44676</v>
      </c>
      <c r="N53" s="502">
        <v>44770</v>
      </c>
      <c r="O53" s="502"/>
      <c r="P53" s="353"/>
      <c r="Q53" s="502"/>
      <c r="R53" s="502"/>
      <c r="S53" s="501" t="s">
        <v>1704</v>
      </c>
      <c r="T53" s="501">
        <v>60</v>
      </c>
      <c r="U53" s="501"/>
      <c r="V53" s="510" t="s">
        <v>973</v>
      </c>
      <c r="W53" s="501">
        <v>400</v>
      </c>
      <c r="X53" s="354">
        <v>3072</v>
      </c>
      <c r="Y53" s="397">
        <f t="shared" si="12"/>
        <v>1228800</v>
      </c>
      <c r="Z53" s="478">
        <f>256/400</f>
        <v>0.64</v>
      </c>
      <c r="AA53" s="479">
        <f t="shared" si="1"/>
        <v>786432</v>
      </c>
      <c r="AB53" s="480"/>
      <c r="AC53" s="481">
        <f t="shared" si="13"/>
        <v>0</v>
      </c>
      <c r="AD53" s="474"/>
      <c r="AE53" s="474"/>
      <c r="AF53" s="493">
        <f t="shared" si="3"/>
        <v>786432</v>
      </c>
      <c r="AG53" s="474" t="s">
        <v>1071</v>
      </c>
      <c r="AH53" s="474"/>
      <c r="AI53" s="474">
        <v>60</v>
      </c>
      <c r="AJ53" s="475" t="s">
        <v>4132</v>
      </c>
      <c r="AK53" s="475" t="s">
        <v>1823</v>
      </c>
      <c r="AL53" s="483" t="s">
        <v>1897</v>
      </c>
      <c r="AM53" s="474" t="s">
        <v>52</v>
      </c>
      <c r="AN53" s="384" t="s">
        <v>1074</v>
      </c>
      <c r="AO53" s="474" t="s">
        <v>1076</v>
      </c>
      <c r="AP53" s="474"/>
      <c r="AQ53" s="482" t="s">
        <v>37</v>
      </c>
      <c r="AR53" s="474" t="s">
        <v>1216</v>
      </c>
      <c r="AS53" s="473" t="s">
        <v>1492</v>
      </c>
      <c r="AT53" s="346"/>
      <c r="AU53" s="478">
        <f t="shared" si="14"/>
        <v>0.52</v>
      </c>
    </row>
    <row r="54" spans="1:47" s="471" customFormat="1">
      <c r="A54" s="495"/>
      <c r="B54" s="407"/>
      <c r="C54" s="495"/>
      <c r="D54" s="512" t="s">
        <v>86</v>
      </c>
      <c r="E54" s="352" t="s">
        <v>5722</v>
      </c>
      <c r="F54" s="501"/>
      <c r="G54" s="371">
        <v>2022</v>
      </c>
      <c r="H54" s="371" t="s">
        <v>3004</v>
      </c>
      <c r="I54" s="501" t="s">
        <v>1676</v>
      </c>
      <c r="J54" s="502"/>
      <c r="K54" s="501" t="s">
        <v>5725</v>
      </c>
      <c r="L54" s="501" t="s">
        <v>1895</v>
      </c>
      <c r="M54" s="502">
        <v>44676</v>
      </c>
      <c r="N54" s="502">
        <v>44801</v>
      </c>
      <c r="O54" s="502"/>
      <c r="P54" s="353"/>
      <c r="Q54" s="502"/>
      <c r="R54" s="502"/>
      <c r="S54" s="501" t="s">
        <v>1704</v>
      </c>
      <c r="T54" s="501">
        <v>60</v>
      </c>
      <c r="U54" s="501"/>
      <c r="V54" s="510" t="s">
        <v>973</v>
      </c>
      <c r="W54" s="501">
        <v>400</v>
      </c>
      <c r="X54" s="354">
        <v>3072</v>
      </c>
      <c r="Y54" s="397">
        <f t="shared" si="12"/>
        <v>1228800</v>
      </c>
      <c r="Z54" s="478">
        <f>256/400</f>
        <v>0.64</v>
      </c>
      <c r="AA54" s="479">
        <f t="shared" si="1"/>
        <v>786432</v>
      </c>
      <c r="AB54" s="480"/>
      <c r="AC54" s="481">
        <f t="shared" si="13"/>
        <v>0</v>
      </c>
      <c r="AD54" s="474"/>
      <c r="AE54" s="474"/>
      <c r="AF54" s="493">
        <f t="shared" si="3"/>
        <v>786432</v>
      </c>
      <c r="AG54" s="474" t="s">
        <v>1071</v>
      </c>
      <c r="AH54" s="474"/>
      <c r="AI54" s="474">
        <v>60</v>
      </c>
      <c r="AJ54" s="475" t="s">
        <v>4132</v>
      </c>
      <c r="AK54" s="475" t="s">
        <v>1823</v>
      </c>
      <c r="AL54" s="483" t="s">
        <v>1897</v>
      </c>
      <c r="AM54" s="474" t="s">
        <v>52</v>
      </c>
      <c r="AN54" s="384" t="s">
        <v>1074</v>
      </c>
      <c r="AO54" s="474" t="s">
        <v>1076</v>
      </c>
      <c r="AP54" s="474"/>
      <c r="AQ54" s="482" t="s">
        <v>37</v>
      </c>
      <c r="AR54" s="474" t="s">
        <v>1216</v>
      </c>
      <c r="AS54" s="473" t="s">
        <v>1492</v>
      </c>
      <c r="AT54" s="346"/>
      <c r="AU54" s="478">
        <f t="shared" si="14"/>
        <v>0.52</v>
      </c>
    </row>
    <row r="55" spans="1:47" s="471" customFormat="1">
      <c r="A55" s="495"/>
      <c r="B55" s="407"/>
      <c r="C55" s="495"/>
      <c r="D55" s="512" t="s">
        <v>86</v>
      </c>
      <c r="E55" s="352" t="s">
        <v>5722</v>
      </c>
      <c r="F55" s="501"/>
      <c r="G55" s="371">
        <v>2022</v>
      </c>
      <c r="H55" s="371" t="s">
        <v>3004</v>
      </c>
      <c r="I55" s="501" t="s">
        <v>1676</v>
      </c>
      <c r="J55" s="502"/>
      <c r="K55" s="501" t="s">
        <v>5726</v>
      </c>
      <c r="L55" s="501" t="s">
        <v>1895</v>
      </c>
      <c r="M55" s="502">
        <v>44676</v>
      </c>
      <c r="N55" s="502">
        <v>44832</v>
      </c>
      <c r="O55" s="502"/>
      <c r="P55" s="353"/>
      <c r="Q55" s="502"/>
      <c r="R55" s="502"/>
      <c r="S55" s="501" t="s">
        <v>1704</v>
      </c>
      <c r="T55" s="501">
        <v>60</v>
      </c>
      <c r="U55" s="501"/>
      <c r="V55" s="510" t="s">
        <v>973</v>
      </c>
      <c r="W55" s="501">
        <v>400</v>
      </c>
      <c r="X55" s="354">
        <v>3072</v>
      </c>
      <c r="Y55" s="397">
        <f t="shared" si="12"/>
        <v>1228800</v>
      </c>
      <c r="Z55" s="478">
        <f>256/400</f>
        <v>0.64</v>
      </c>
      <c r="AA55" s="479">
        <f t="shared" si="1"/>
        <v>786432</v>
      </c>
      <c r="AB55" s="480"/>
      <c r="AC55" s="481">
        <f t="shared" si="13"/>
        <v>0</v>
      </c>
      <c r="AD55" s="474"/>
      <c r="AE55" s="474"/>
      <c r="AF55" s="493">
        <f t="shared" si="3"/>
        <v>786432</v>
      </c>
      <c r="AG55" s="474" t="s">
        <v>1071</v>
      </c>
      <c r="AH55" s="474"/>
      <c r="AI55" s="474">
        <v>60</v>
      </c>
      <c r="AJ55" s="475" t="s">
        <v>4132</v>
      </c>
      <c r="AK55" s="475" t="s">
        <v>1823</v>
      </c>
      <c r="AL55" s="483" t="s">
        <v>1897</v>
      </c>
      <c r="AM55" s="474" t="s">
        <v>52</v>
      </c>
      <c r="AN55" s="384" t="s">
        <v>1074</v>
      </c>
      <c r="AO55" s="474" t="s">
        <v>1076</v>
      </c>
      <c r="AP55" s="474"/>
      <c r="AQ55" s="482" t="s">
        <v>37</v>
      </c>
      <c r="AR55" s="474" t="s">
        <v>1216</v>
      </c>
      <c r="AS55" s="473" t="s">
        <v>1492</v>
      </c>
      <c r="AT55" s="346"/>
      <c r="AU55" s="478">
        <f t="shared" si="14"/>
        <v>0.52</v>
      </c>
    </row>
    <row r="56" spans="1:47" s="471" customFormat="1">
      <c r="A56" s="495"/>
      <c r="B56" s="407"/>
      <c r="C56" s="495"/>
      <c r="D56" s="512" t="s">
        <v>86</v>
      </c>
      <c r="E56" s="352" t="s">
        <v>5722</v>
      </c>
      <c r="F56" s="501"/>
      <c r="G56" s="371">
        <v>2022</v>
      </c>
      <c r="H56" s="371" t="s">
        <v>3004</v>
      </c>
      <c r="I56" s="501" t="s">
        <v>1676</v>
      </c>
      <c r="J56" s="502"/>
      <c r="K56" s="501" t="s">
        <v>5727</v>
      </c>
      <c r="L56" s="501" t="s">
        <v>1895</v>
      </c>
      <c r="M56" s="502">
        <v>44676</v>
      </c>
      <c r="N56" s="502">
        <v>44862</v>
      </c>
      <c r="O56" s="502"/>
      <c r="P56" s="353"/>
      <c r="Q56" s="502"/>
      <c r="R56" s="502"/>
      <c r="S56" s="501" t="s">
        <v>1704</v>
      </c>
      <c r="T56" s="501">
        <v>60</v>
      </c>
      <c r="U56" s="501"/>
      <c r="V56" s="510" t="s">
        <v>973</v>
      </c>
      <c r="W56" s="501">
        <v>400</v>
      </c>
      <c r="X56" s="354">
        <v>3072</v>
      </c>
      <c r="Y56" s="397">
        <f t="shared" si="12"/>
        <v>1228800</v>
      </c>
      <c r="Z56" s="478">
        <f>256/400</f>
        <v>0.64</v>
      </c>
      <c r="AA56" s="479">
        <f t="shared" si="1"/>
        <v>786432</v>
      </c>
      <c r="AB56" s="480"/>
      <c r="AC56" s="481">
        <f t="shared" si="13"/>
        <v>0</v>
      </c>
      <c r="AD56" s="474"/>
      <c r="AE56" s="474"/>
      <c r="AF56" s="493">
        <f t="shared" si="3"/>
        <v>786432</v>
      </c>
      <c r="AG56" s="474" t="s">
        <v>1071</v>
      </c>
      <c r="AH56" s="474"/>
      <c r="AI56" s="474">
        <v>60</v>
      </c>
      <c r="AJ56" s="475" t="s">
        <v>4132</v>
      </c>
      <c r="AK56" s="475" t="s">
        <v>1823</v>
      </c>
      <c r="AL56" s="483" t="s">
        <v>1897</v>
      </c>
      <c r="AM56" s="474" t="s">
        <v>52</v>
      </c>
      <c r="AN56" s="384" t="s">
        <v>1074</v>
      </c>
      <c r="AO56" s="474" t="s">
        <v>1076</v>
      </c>
      <c r="AP56" s="474"/>
      <c r="AQ56" s="482" t="s">
        <v>37</v>
      </c>
      <c r="AR56" s="474" t="s">
        <v>1216</v>
      </c>
      <c r="AS56" s="473" t="s">
        <v>1492</v>
      </c>
      <c r="AT56" s="346"/>
      <c r="AU56" s="478">
        <f t="shared" si="14"/>
        <v>0.52</v>
      </c>
    </row>
    <row r="57" spans="1:47" s="471" customFormat="1">
      <c r="A57" s="495"/>
      <c r="B57" s="407"/>
      <c r="C57" s="495"/>
      <c r="D57" s="512" t="s">
        <v>86</v>
      </c>
      <c r="E57" s="352" t="s">
        <v>5722</v>
      </c>
      <c r="F57" s="501"/>
      <c r="G57" s="371">
        <v>2022</v>
      </c>
      <c r="H57" s="371" t="s">
        <v>3004</v>
      </c>
      <c r="I57" s="501" t="s">
        <v>1676</v>
      </c>
      <c r="J57" s="502"/>
      <c r="K57" s="501" t="s">
        <v>5728</v>
      </c>
      <c r="L57" s="501" t="s">
        <v>1895</v>
      </c>
      <c r="M57" s="502">
        <v>44676</v>
      </c>
      <c r="N57" s="502">
        <v>44893</v>
      </c>
      <c r="O57" s="502"/>
      <c r="P57" s="353"/>
      <c r="Q57" s="502"/>
      <c r="R57" s="502"/>
      <c r="S57" s="501" t="s">
        <v>1704</v>
      </c>
      <c r="T57" s="501">
        <v>60</v>
      </c>
      <c r="U57" s="501"/>
      <c r="V57" s="510" t="s">
        <v>973</v>
      </c>
      <c r="W57" s="501">
        <v>400</v>
      </c>
      <c r="X57" s="354">
        <v>3072</v>
      </c>
      <c r="Y57" s="397">
        <f t="shared" si="12"/>
        <v>1228800</v>
      </c>
      <c r="Z57" s="478">
        <f t="shared" ref="Z57:Z58" si="16">256/400</f>
        <v>0.64</v>
      </c>
      <c r="AA57" s="479">
        <f t="shared" si="1"/>
        <v>786432</v>
      </c>
      <c r="AB57" s="480"/>
      <c r="AC57" s="481">
        <f t="shared" si="13"/>
        <v>0</v>
      </c>
      <c r="AD57" s="474"/>
      <c r="AE57" s="474"/>
      <c r="AF57" s="493">
        <f t="shared" si="3"/>
        <v>786432</v>
      </c>
      <c r="AG57" s="474" t="s">
        <v>1071</v>
      </c>
      <c r="AH57" s="474"/>
      <c r="AI57" s="474">
        <v>60</v>
      </c>
      <c r="AJ57" s="475" t="s">
        <v>4132</v>
      </c>
      <c r="AK57" s="475" t="s">
        <v>1823</v>
      </c>
      <c r="AL57" s="483" t="s">
        <v>1897</v>
      </c>
      <c r="AM57" s="474" t="s">
        <v>52</v>
      </c>
      <c r="AN57" s="384" t="s">
        <v>1074</v>
      </c>
      <c r="AO57" s="474" t="s">
        <v>1076</v>
      </c>
      <c r="AP57" s="474"/>
      <c r="AQ57" s="482" t="s">
        <v>37</v>
      </c>
      <c r="AR57" s="474" t="s">
        <v>1216</v>
      </c>
      <c r="AS57" s="473" t="s">
        <v>1492</v>
      </c>
      <c r="AT57" s="346"/>
      <c r="AU57" s="478">
        <f t="shared" si="14"/>
        <v>0.52</v>
      </c>
    </row>
    <row r="58" spans="1:47" s="471" customFormat="1">
      <c r="A58" s="495"/>
      <c r="B58" s="407"/>
      <c r="C58" s="495"/>
      <c r="D58" s="512" t="s">
        <v>86</v>
      </c>
      <c r="E58" s="352" t="s">
        <v>5722</v>
      </c>
      <c r="F58" s="501"/>
      <c r="G58" s="371">
        <v>2022</v>
      </c>
      <c r="H58" s="371" t="s">
        <v>3004</v>
      </c>
      <c r="I58" s="501" t="s">
        <v>1676</v>
      </c>
      <c r="J58" s="502"/>
      <c r="K58" s="501" t="s">
        <v>5729</v>
      </c>
      <c r="L58" s="501" t="s">
        <v>1895</v>
      </c>
      <c r="M58" s="502">
        <v>44676</v>
      </c>
      <c r="N58" s="502">
        <v>44923</v>
      </c>
      <c r="O58" s="502"/>
      <c r="P58" s="353"/>
      <c r="Q58" s="502"/>
      <c r="R58" s="502"/>
      <c r="S58" s="501" t="s">
        <v>1704</v>
      </c>
      <c r="T58" s="501">
        <v>60</v>
      </c>
      <c r="U58" s="501"/>
      <c r="V58" s="510" t="s">
        <v>973</v>
      </c>
      <c r="W58" s="501">
        <v>400</v>
      </c>
      <c r="X58" s="354">
        <v>3072</v>
      </c>
      <c r="Y58" s="397">
        <f t="shared" si="12"/>
        <v>1228800</v>
      </c>
      <c r="Z58" s="478">
        <f t="shared" si="16"/>
        <v>0.64</v>
      </c>
      <c r="AA58" s="479">
        <f t="shared" si="1"/>
        <v>786432</v>
      </c>
      <c r="AB58" s="480"/>
      <c r="AC58" s="481">
        <f t="shared" si="13"/>
        <v>0</v>
      </c>
      <c r="AD58" s="474"/>
      <c r="AE58" s="474"/>
      <c r="AF58" s="493">
        <f t="shared" si="3"/>
        <v>786432</v>
      </c>
      <c r="AG58" s="474" t="s">
        <v>1071</v>
      </c>
      <c r="AH58" s="474"/>
      <c r="AI58" s="474">
        <v>60</v>
      </c>
      <c r="AJ58" s="475" t="s">
        <v>4132</v>
      </c>
      <c r="AK58" s="475" t="s">
        <v>1823</v>
      </c>
      <c r="AL58" s="483" t="s">
        <v>1897</v>
      </c>
      <c r="AM58" s="474" t="s">
        <v>52</v>
      </c>
      <c r="AN58" s="384" t="s">
        <v>1074</v>
      </c>
      <c r="AO58" s="474" t="s">
        <v>1076</v>
      </c>
      <c r="AP58" s="474"/>
      <c r="AQ58" s="482" t="s">
        <v>37</v>
      </c>
      <c r="AR58" s="474" t="s">
        <v>1216</v>
      </c>
      <c r="AS58" s="473" t="s">
        <v>1492</v>
      </c>
      <c r="AT58" s="346"/>
      <c r="AU58" s="478">
        <f t="shared" si="14"/>
        <v>0.52</v>
      </c>
    </row>
    <row r="59" spans="1:47" s="471" customFormat="1">
      <c r="A59" s="495"/>
      <c r="B59" s="407"/>
      <c r="C59" s="495"/>
      <c r="D59" s="512" t="s">
        <v>86</v>
      </c>
      <c r="E59" s="352"/>
      <c r="F59" s="501"/>
      <c r="G59" s="371">
        <v>2022</v>
      </c>
      <c r="H59" s="371" t="s">
        <v>3004</v>
      </c>
      <c r="I59" s="501" t="s">
        <v>1676</v>
      </c>
      <c r="J59" s="502"/>
      <c r="K59" s="501" t="s">
        <v>4139</v>
      </c>
      <c r="L59" s="501" t="s">
        <v>1912</v>
      </c>
      <c r="M59" s="502">
        <v>44516</v>
      </c>
      <c r="N59" s="502">
        <v>44683</v>
      </c>
      <c r="O59" s="502"/>
      <c r="P59" s="353"/>
      <c r="Q59" s="502"/>
      <c r="R59" s="502"/>
      <c r="S59" s="501" t="s">
        <v>1688</v>
      </c>
      <c r="T59" s="501">
        <v>60</v>
      </c>
      <c r="U59" s="501"/>
      <c r="V59" s="510" t="s">
        <v>973</v>
      </c>
      <c r="W59" s="501">
        <v>400</v>
      </c>
      <c r="X59" s="354">
        <v>3840</v>
      </c>
      <c r="Y59" s="397">
        <f t="shared" si="12"/>
        <v>1536000</v>
      </c>
      <c r="Z59" s="478">
        <f t="shared" si="15"/>
        <v>0.55000000000000004</v>
      </c>
      <c r="AA59" s="479">
        <f t="shared" si="1"/>
        <v>844800.00000000012</v>
      </c>
      <c r="AB59" s="480"/>
      <c r="AC59" s="481">
        <v>0</v>
      </c>
      <c r="AD59" s="474"/>
      <c r="AE59" s="474"/>
      <c r="AF59" s="493">
        <f t="shared" si="3"/>
        <v>844800.00000000012</v>
      </c>
      <c r="AG59" s="474" t="s">
        <v>1071</v>
      </c>
      <c r="AH59" s="474"/>
      <c r="AI59" s="474">
        <v>60</v>
      </c>
      <c r="AJ59" s="475" t="s">
        <v>1913</v>
      </c>
      <c r="AK59" s="475" t="s">
        <v>50</v>
      </c>
      <c r="AL59" s="483" t="s">
        <v>1914</v>
      </c>
      <c r="AM59" s="474" t="s">
        <v>52</v>
      </c>
      <c r="AN59" s="384" t="s">
        <v>50</v>
      </c>
      <c r="AO59" s="474" t="s">
        <v>1076</v>
      </c>
      <c r="AP59" s="474" t="s">
        <v>38</v>
      </c>
      <c r="AQ59" s="482" t="s">
        <v>37</v>
      </c>
      <c r="AR59" s="474" t="s">
        <v>1916</v>
      </c>
      <c r="AS59" s="473"/>
      <c r="AT59" s="346"/>
      <c r="AU59" s="478">
        <f>196/400</f>
        <v>0.49</v>
      </c>
    </row>
    <row r="60" spans="1:47" s="471" customFormat="1">
      <c r="A60" s="495"/>
      <c r="B60" s="407"/>
      <c r="C60" s="495"/>
      <c r="D60" s="512" t="s">
        <v>86</v>
      </c>
      <c r="E60" s="352"/>
      <c r="F60" s="501"/>
      <c r="G60" s="371">
        <v>2022</v>
      </c>
      <c r="H60" s="371" t="s">
        <v>3004</v>
      </c>
      <c r="I60" s="501" t="s">
        <v>1676</v>
      </c>
      <c r="J60" s="502"/>
      <c r="K60" s="501" t="s">
        <v>4140</v>
      </c>
      <c r="L60" s="501" t="s">
        <v>1912</v>
      </c>
      <c r="M60" s="502">
        <v>44516</v>
      </c>
      <c r="N60" s="502">
        <v>44621</v>
      </c>
      <c r="O60" s="502"/>
      <c r="P60" s="353"/>
      <c r="Q60" s="502"/>
      <c r="R60" s="502"/>
      <c r="S60" s="501" t="s">
        <v>1688</v>
      </c>
      <c r="T60" s="501">
        <v>60</v>
      </c>
      <c r="U60" s="501"/>
      <c r="V60" s="510" t="s">
        <v>973</v>
      </c>
      <c r="W60" s="501">
        <v>400</v>
      </c>
      <c r="X60" s="354">
        <v>3840</v>
      </c>
      <c r="Y60" s="397">
        <f t="shared" si="12"/>
        <v>1536000</v>
      </c>
      <c r="Z60" s="478">
        <f t="shared" si="15"/>
        <v>0.55000000000000004</v>
      </c>
      <c r="AA60" s="479">
        <f t="shared" si="1"/>
        <v>844800.00000000012</v>
      </c>
      <c r="AB60" s="480"/>
      <c r="AC60" s="481">
        <v>0</v>
      </c>
      <c r="AD60" s="474"/>
      <c r="AE60" s="474"/>
      <c r="AF60" s="493">
        <f t="shared" si="3"/>
        <v>844800.00000000012</v>
      </c>
      <c r="AG60" s="474" t="s">
        <v>1071</v>
      </c>
      <c r="AH60" s="474"/>
      <c r="AI60" s="474">
        <v>60</v>
      </c>
      <c r="AJ60" s="475" t="s">
        <v>1913</v>
      </c>
      <c r="AK60" s="475" t="s">
        <v>50</v>
      </c>
      <c r="AL60" s="483" t="s">
        <v>1914</v>
      </c>
      <c r="AM60" s="474" t="s">
        <v>52</v>
      </c>
      <c r="AN60" s="384" t="s">
        <v>50</v>
      </c>
      <c r="AO60" s="474" t="s">
        <v>1076</v>
      </c>
      <c r="AP60" s="474" t="s">
        <v>38</v>
      </c>
      <c r="AQ60" s="482" t="s">
        <v>37</v>
      </c>
      <c r="AR60" s="474" t="s">
        <v>1916</v>
      </c>
      <c r="AS60" s="473"/>
      <c r="AT60" s="346"/>
      <c r="AU60" s="478">
        <f>196/400</f>
        <v>0.49</v>
      </c>
    </row>
    <row r="61" spans="1:47" s="471" customFormat="1">
      <c r="A61" s="495"/>
      <c r="B61" s="407"/>
      <c r="C61" s="495"/>
      <c r="D61" s="512" t="s">
        <v>86</v>
      </c>
      <c r="E61" s="352"/>
      <c r="F61" s="501"/>
      <c r="G61" s="371">
        <v>2022</v>
      </c>
      <c r="H61" s="371" t="s">
        <v>3004</v>
      </c>
      <c r="I61" s="501" t="s">
        <v>1676</v>
      </c>
      <c r="J61" s="502"/>
      <c r="K61" s="501" t="s">
        <v>4141</v>
      </c>
      <c r="L61" s="501" t="s">
        <v>1912</v>
      </c>
      <c r="M61" s="502">
        <v>44516</v>
      </c>
      <c r="N61" s="502">
        <v>44593</v>
      </c>
      <c r="O61" s="502"/>
      <c r="P61" s="353"/>
      <c r="Q61" s="502"/>
      <c r="R61" s="502"/>
      <c r="S61" s="501" t="s">
        <v>1688</v>
      </c>
      <c r="T61" s="501">
        <v>60</v>
      </c>
      <c r="U61" s="501"/>
      <c r="V61" s="510" t="s">
        <v>973</v>
      </c>
      <c r="W61" s="501">
        <v>400</v>
      </c>
      <c r="X61" s="354">
        <v>3840</v>
      </c>
      <c r="Y61" s="397">
        <f t="shared" si="12"/>
        <v>1536000</v>
      </c>
      <c r="Z61" s="478">
        <f t="shared" si="15"/>
        <v>0.55000000000000004</v>
      </c>
      <c r="AA61" s="479">
        <f t="shared" si="1"/>
        <v>844800.00000000012</v>
      </c>
      <c r="AB61" s="480"/>
      <c r="AC61" s="481">
        <v>0</v>
      </c>
      <c r="AD61" s="474"/>
      <c r="AE61" s="474"/>
      <c r="AF61" s="493">
        <f t="shared" si="3"/>
        <v>844800.00000000012</v>
      </c>
      <c r="AG61" s="474" t="s">
        <v>1071</v>
      </c>
      <c r="AH61" s="474"/>
      <c r="AI61" s="474">
        <v>60</v>
      </c>
      <c r="AJ61" s="475" t="s">
        <v>1913</v>
      </c>
      <c r="AK61" s="475" t="s">
        <v>50</v>
      </c>
      <c r="AL61" s="483" t="s">
        <v>1914</v>
      </c>
      <c r="AM61" s="474" t="s">
        <v>52</v>
      </c>
      <c r="AN61" s="384" t="s">
        <v>50</v>
      </c>
      <c r="AO61" s="474" t="s">
        <v>1076</v>
      </c>
      <c r="AP61" s="474" t="s">
        <v>38</v>
      </c>
      <c r="AQ61" s="482" t="s">
        <v>37</v>
      </c>
      <c r="AR61" s="474" t="s">
        <v>1916</v>
      </c>
      <c r="AS61" s="473"/>
      <c r="AT61" s="346"/>
      <c r="AU61" s="478">
        <f>196/400</f>
        <v>0.49</v>
      </c>
    </row>
    <row r="62" spans="1:47" s="471" customFormat="1">
      <c r="A62" s="495"/>
      <c r="B62" s="407"/>
      <c r="C62" s="495"/>
      <c r="D62" s="512" t="s">
        <v>86</v>
      </c>
      <c r="E62" s="352"/>
      <c r="F62" s="501"/>
      <c r="G62" s="371">
        <v>2022</v>
      </c>
      <c r="H62" s="371" t="s">
        <v>3004</v>
      </c>
      <c r="I62" s="501" t="s">
        <v>1676</v>
      </c>
      <c r="J62" s="502"/>
      <c r="K62" s="501" t="s">
        <v>4142</v>
      </c>
      <c r="L62" s="501" t="s">
        <v>1912</v>
      </c>
      <c r="M62" s="502">
        <v>44516</v>
      </c>
      <c r="N62" s="502">
        <v>44718</v>
      </c>
      <c r="O62" s="502"/>
      <c r="P62" s="353"/>
      <c r="Q62" s="502"/>
      <c r="R62" s="502"/>
      <c r="S62" s="501" t="s">
        <v>1688</v>
      </c>
      <c r="T62" s="501">
        <v>60</v>
      </c>
      <c r="U62" s="501"/>
      <c r="V62" s="510" t="s">
        <v>973</v>
      </c>
      <c r="W62" s="501">
        <v>400</v>
      </c>
      <c r="X62" s="354">
        <v>3840</v>
      </c>
      <c r="Y62" s="397">
        <f t="shared" si="12"/>
        <v>1536000</v>
      </c>
      <c r="Z62" s="478">
        <f t="shared" si="15"/>
        <v>0.55000000000000004</v>
      </c>
      <c r="AA62" s="479">
        <f t="shared" si="1"/>
        <v>844800.00000000012</v>
      </c>
      <c r="AB62" s="480"/>
      <c r="AC62" s="481">
        <v>0</v>
      </c>
      <c r="AD62" s="474"/>
      <c r="AE62" s="474"/>
      <c r="AF62" s="493">
        <f t="shared" si="3"/>
        <v>844800.00000000012</v>
      </c>
      <c r="AG62" s="474" t="s">
        <v>1071</v>
      </c>
      <c r="AH62" s="474"/>
      <c r="AI62" s="474">
        <v>60</v>
      </c>
      <c r="AJ62" s="475" t="s">
        <v>1913</v>
      </c>
      <c r="AK62" s="475" t="s">
        <v>50</v>
      </c>
      <c r="AL62" s="483" t="s">
        <v>1914</v>
      </c>
      <c r="AM62" s="474" t="s">
        <v>52</v>
      </c>
      <c r="AN62" s="384" t="s">
        <v>50</v>
      </c>
      <c r="AO62" s="474" t="s">
        <v>1076</v>
      </c>
      <c r="AP62" s="474" t="s">
        <v>38</v>
      </c>
      <c r="AQ62" s="482" t="s">
        <v>37</v>
      </c>
      <c r="AR62" s="474" t="s">
        <v>1916</v>
      </c>
      <c r="AS62" s="473"/>
      <c r="AT62" s="346"/>
      <c r="AU62" s="478">
        <f>196/400</f>
        <v>0.49</v>
      </c>
    </row>
    <row r="63" spans="1:47" s="471" customFormat="1">
      <c r="A63" s="495"/>
      <c r="B63" s="407">
        <v>44581</v>
      </c>
      <c r="C63" s="495"/>
      <c r="D63" s="512" t="s">
        <v>86</v>
      </c>
      <c r="E63" s="352" t="s">
        <v>3848</v>
      </c>
      <c r="F63" s="501"/>
      <c r="G63" s="371">
        <v>2022</v>
      </c>
      <c r="H63" s="371" t="s">
        <v>3004</v>
      </c>
      <c r="I63" s="501" t="s">
        <v>1676</v>
      </c>
      <c r="J63" s="502"/>
      <c r="K63" s="501" t="s">
        <v>4143</v>
      </c>
      <c r="L63" s="501" t="s">
        <v>1912</v>
      </c>
      <c r="M63" s="502">
        <v>44510</v>
      </c>
      <c r="N63" s="502">
        <v>44718</v>
      </c>
      <c r="O63" s="502"/>
      <c r="P63" s="353"/>
      <c r="Q63" s="502"/>
      <c r="R63" s="502"/>
      <c r="S63" s="501" t="s">
        <v>1688</v>
      </c>
      <c r="T63" s="501">
        <v>60</v>
      </c>
      <c r="U63" s="501"/>
      <c r="V63" s="510" t="s">
        <v>986</v>
      </c>
      <c r="W63" s="501">
        <v>360</v>
      </c>
      <c r="X63" s="354">
        <v>3328</v>
      </c>
      <c r="Y63" s="397">
        <f t="shared" si="12"/>
        <v>1198080</v>
      </c>
      <c r="Z63" s="478">
        <f>190.8/360</f>
        <v>0.53</v>
      </c>
      <c r="AA63" s="479">
        <f t="shared" si="1"/>
        <v>634982.40000000002</v>
      </c>
      <c r="AB63" s="480"/>
      <c r="AC63" s="481">
        <v>0</v>
      </c>
      <c r="AD63" s="474"/>
      <c r="AE63" s="474"/>
      <c r="AF63" s="493">
        <f t="shared" si="3"/>
        <v>634982.40000000002</v>
      </c>
      <c r="AG63" s="474" t="s">
        <v>1071</v>
      </c>
      <c r="AH63" s="474"/>
      <c r="AI63" s="474">
        <v>60</v>
      </c>
      <c r="AJ63" s="475" t="s">
        <v>1913</v>
      </c>
      <c r="AK63" s="475" t="s">
        <v>50</v>
      </c>
      <c r="AL63" s="483" t="s">
        <v>1914</v>
      </c>
      <c r="AM63" s="474" t="s">
        <v>52</v>
      </c>
      <c r="AN63" s="384" t="s">
        <v>50</v>
      </c>
      <c r="AO63" s="474" t="s">
        <v>1076</v>
      </c>
      <c r="AP63" s="474" t="s">
        <v>38</v>
      </c>
      <c r="AQ63" s="482" t="s">
        <v>37</v>
      </c>
      <c r="AR63" s="474" t="s">
        <v>1216</v>
      </c>
      <c r="AS63" s="473"/>
      <c r="AT63" s="346"/>
      <c r="AU63" s="478">
        <f>180/360</f>
        <v>0.5</v>
      </c>
    </row>
    <row r="64" spans="1:47" s="471" customFormat="1">
      <c r="A64" s="495"/>
      <c r="B64" s="407">
        <v>44657</v>
      </c>
      <c r="C64" s="495"/>
      <c r="D64" s="512" t="s">
        <v>86</v>
      </c>
      <c r="E64" s="352"/>
      <c r="F64" s="501"/>
      <c r="G64" s="371">
        <v>2022</v>
      </c>
      <c r="H64" s="371" t="s">
        <v>3004</v>
      </c>
      <c r="I64" s="501" t="s">
        <v>1676</v>
      </c>
      <c r="J64" s="502"/>
      <c r="K64" s="501" t="s">
        <v>4144</v>
      </c>
      <c r="L64" s="501" t="s">
        <v>1912</v>
      </c>
      <c r="M64" s="502">
        <v>44510</v>
      </c>
      <c r="N64" s="502">
        <v>44683</v>
      </c>
      <c r="O64" s="502"/>
      <c r="P64" s="353"/>
      <c r="Q64" s="502"/>
      <c r="R64" s="502"/>
      <c r="S64" s="501" t="s">
        <v>1688</v>
      </c>
      <c r="T64" s="501">
        <v>60</v>
      </c>
      <c r="U64" s="501"/>
      <c r="V64" s="510" t="s">
        <v>986</v>
      </c>
      <c r="W64" s="501">
        <v>360</v>
      </c>
      <c r="X64" s="354">
        <v>3328</v>
      </c>
      <c r="Y64" s="397">
        <f t="shared" si="12"/>
        <v>1198080</v>
      </c>
      <c r="Z64" s="478">
        <f>190.8/360</f>
        <v>0.53</v>
      </c>
      <c r="AA64" s="479">
        <f t="shared" si="1"/>
        <v>634982.40000000002</v>
      </c>
      <c r="AB64" s="480"/>
      <c r="AC64" s="481">
        <v>0</v>
      </c>
      <c r="AD64" s="474"/>
      <c r="AE64" s="474"/>
      <c r="AF64" s="493">
        <f t="shared" si="3"/>
        <v>634982.40000000002</v>
      </c>
      <c r="AG64" s="474" t="s">
        <v>1071</v>
      </c>
      <c r="AH64" s="474"/>
      <c r="AI64" s="474">
        <v>60</v>
      </c>
      <c r="AJ64" s="475" t="s">
        <v>1913</v>
      </c>
      <c r="AK64" s="475" t="s">
        <v>50</v>
      </c>
      <c r="AL64" s="483" t="s">
        <v>1914</v>
      </c>
      <c r="AM64" s="474" t="s">
        <v>52</v>
      </c>
      <c r="AN64" s="384" t="s">
        <v>50</v>
      </c>
      <c r="AO64" s="474" t="s">
        <v>1076</v>
      </c>
      <c r="AP64" s="474" t="s">
        <v>38</v>
      </c>
      <c r="AQ64" s="482" t="s">
        <v>37</v>
      </c>
      <c r="AR64" s="474" t="s">
        <v>1216</v>
      </c>
      <c r="AS64" s="473"/>
      <c r="AT64" s="346"/>
      <c r="AU64" s="478">
        <f>180/360</f>
        <v>0.5</v>
      </c>
    </row>
    <row r="65" spans="1:47" s="471" customFormat="1">
      <c r="A65" s="495"/>
      <c r="B65" s="407">
        <v>44657</v>
      </c>
      <c r="C65" s="495"/>
      <c r="D65" s="512" t="s">
        <v>86</v>
      </c>
      <c r="E65" s="352"/>
      <c r="F65" s="501"/>
      <c r="G65" s="371">
        <v>2022</v>
      </c>
      <c r="H65" s="371" t="s">
        <v>3004</v>
      </c>
      <c r="I65" s="501" t="s">
        <v>1676</v>
      </c>
      <c r="J65" s="502"/>
      <c r="K65" s="501" t="s">
        <v>4145</v>
      </c>
      <c r="L65" s="501" t="s">
        <v>1912</v>
      </c>
      <c r="M65" s="502">
        <v>44510</v>
      </c>
      <c r="N65" s="502">
        <v>44655</v>
      </c>
      <c r="O65" s="502"/>
      <c r="P65" s="353"/>
      <c r="Q65" s="502"/>
      <c r="R65" s="502"/>
      <c r="S65" s="501" t="s">
        <v>1688</v>
      </c>
      <c r="T65" s="501">
        <v>60</v>
      </c>
      <c r="U65" s="501"/>
      <c r="V65" s="510" t="s">
        <v>986</v>
      </c>
      <c r="W65" s="501">
        <v>360</v>
      </c>
      <c r="X65" s="354">
        <v>3328</v>
      </c>
      <c r="Y65" s="397">
        <f t="shared" si="12"/>
        <v>1198080</v>
      </c>
      <c r="Z65" s="478">
        <f>190.8/360</f>
        <v>0.53</v>
      </c>
      <c r="AA65" s="479">
        <f t="shared" si="1"/>
        <v>634982.40000000002</v>
      </c>
      <c r="AB65" s="480"/>
      <c r="AC65" s="481">
        <v>0</v>
      </c>
      <c r="AD65" s="474"/>
      <c r="AE65" s="474"/>
      <c r="AF65" s="493">
        <f t="shared" si="3"/>
        <v>634982.40000000002</v>
      </c>
      <c r="AG65" s="474" t="s">
        <v>1071</v>
      </c>
      <c r="AH65" s="474"/>
      <c r="AI65" s="474">
        <v>60</v>
      </c>
      <c r="AJ65" s="475" t="s">
        <v>1913</v>
      </c>
      <c r="AK65" s="475" t="s">
        <v>50</v>
      </c>
      <c r="AL65" s="483" t="s">
        <v>1914</v>
      </c>
      <c r="AM65" s="474" t="s">
        <v>52</v>
      </c>
      <c r="AN65" s="384" t="s">
        <v>50</v>
      </c>
      <c r="AO65" s="474" t="s">
        <v>1076</v>
      </c>
      <c r="AP65" s="474" t="s">
        <v>38</v>
      </c>
      <c r="AQ65" s="482" t="s">
        <v>37</v>
      </c>
      <c r="AR65" s="474" t="s">
        <v>1216</v>
      </c>
      <c r="AS65" s="473"/>
      <c r="AT65" s="346"/>
      <c r="AU65" s="478">
        <f>180/360</f>
        <v>0.5</v>
      </c>
    </row>
    <row r="66" spans="1:47" s="471" customFormat="1">
      <c r="A66" s="495"/>
      <c r="B66" s="407">
        <v>44627</v>
      </c>
      <c r="C66" s="495"/>
      <c r="D66" s="512" t="s">
        <v>86</v>
      </c>
      <c r="E66" s="352"/>
      <c r="F66" s="501"/>
      <c r="G66" s="371">
        <v>2022</v>
      </c>
      <c r="H66" s="371" t="s">
        <v>4093</v>
      </c>
      <c r="I66" s="501" t="s">
        <v>1676</v>
      </c>
      <c r="J66" s="502"/>
      <c r="K66" s="501" t="s">
        <v>4146</v>
      </c>
      <c r="L66" s="501" t="s">
        <v>1956</v>
      </c>
      <c r="M66" s="502">
        <v>44617</v>
      </c>
      <c r="N66" s="502">
        <v>44728</v>
      </c>
      <c r="O66" s="502"/>
      <c r="P66" s="353"/>
      <c r="Q66" s="502"/>
      <c r="R66" s="502"/>
      <c r="S66" s="501" t="s">
        <v>1704</v>
      </c>
      <c r="T66" s="501">
        <v>60</v>
      </c>
      <c r="U66" s="501" t="s">
        <v>1109</v>
      </c>
      <c r="V66" s="510" t="s">
        <v>973</v>
      </c>
      <c r="W66" s="501">
        <v>400</v>
      </c>
      <c r="X66" s="354">
        <v>1536</v>
      </c>
      <c r="Y66" s="397">
        <f t="shared" si="12"/>
        <v>614400</v>
      </c>
      <c r="Z66" s="478">
        <f t="shared" ref="Z66:Z71" si="17">220/400</f>
        <v>0.55000000000000004</v>
      </c>
      <c r="AA66" s="479">
        <f t="shared" si="1"/>
        <v>337920</v>
      </c>
      <c r="AB66" s="480"/>
      <c r="AC66" s="481">
        <f t="shared" ref="AC66:AC71" si="18">AB66*Y66</f>
        <v>0</v>
      </c>
      <c r="AD66" s="474"/>
      <c r="AE66" s="474"/>
      <c r="AF66" s="493">
        <f t="shared" si="3"/>
        <v>337920</v>
      </c>
      <c r="AG66" s="474" t="s">
        <v>1071</v>
      </c>
      <c r="AH66" s="474">
        <v>100</v>
      </c>
      <c r="AI66" s="474">
        <v>0</v>
      </c>
      <c r="AJ66" s="475" t="s">
        <v>2075</v>
      </c>
      <c r="AK66" s="475" t="s">
        <v>50</v>
      </c>
      <c r="AL66" s="483">
        <v>92058</v>
      </c>
      <c r="AM66" s="474" t="s">
        <v>52</v>
      </c>
      <c r="AN66" s="384"/>
      <c r="AO66" s="474" t="s">
        <v>1076</v>
      </c>
      <c r="AP66" s="474"/>
      <c r="AQ66" s="482" t="s">
        <v>37</v>
      </c>
      <c r="AR66" s="474" t="s">
        <v>1216</v>
      </c>
      <c r="AS66" s="473"/>
      <c r="AT66" s="346"/>
      <c r="AU66" s="478">
        <f t="shared" ref="AU66:AU71" si="19">212/400</f>
        <v>0.53</v>
      </c>
    </row>
    <row r="67" spans="1:47" s="471" customFormat="1">
      <c r="A67" s="495"/>
      <c r="B67" s="407">
        <v>44627</v>
      </c>
      <c r="C67" s="495"/>
      <c r="D67" s="512" t="s">
        <v>86</v>
      </c>
      <c r="E67" s="352"/>
      <c r="F67" s="501"/>
      <c r="G67" s="371">
        <v>2022</v>
      </c>
      <c r="H67" s="371" t="s">
        <v>4093</v>
      </c>
      <c r="I67" s="501" t="s">
        <v>1676</v>
      </c>
      <c r="J67" s="502"/>
      <c r="K67" s="501" t="s">
        <v>4147</v>
      </c>
      <c r="L67" s="501" t="s">
        <v>1956</v>
      </c>
      <c r="M67" s="502">
        <v>44615</v>
      </c>
      <c r="N67" s="502">
        <v>44763</v>
      </c>
      <c r="O67" s="502"/>
      <c r="P67" s="353"/>
      <c r="Q67" s="502"/>
      <c r="R67" s="502"/>
      <c r="S67" s="501" t="s">
        <v>1704</v>
      </c>
      <c r="T67" s="501">
        <v>60</v>
      </c>
      <c r="U67" s="501" t="s">
        <v>1109</v>
      </c>
      <c r="V67" s="510" t="s">
        <v>973</v>
      </c>
      <c r="W67" s="501">
        <v>400</v>
      </c>
      <c r="X67" s="354">
        <v>1536</v>
      </c>
      <c r="Y67" s="397">
        <f t="shared" si="12"/>
        <v>614400</v>
      </c>
      <c r="Z67" s="478">
        <f t="shared" si="17"/>
        <v>0.55000000000000004</v>
      </c>
      <c r="AA67" s="479">
        <f t="shared" ref="AA67:AA138" si="20">Z67*Y67</f>
        <v>337920</v>
      </c>
      <c r="AB67" s="480"/>
      <c r="AC67" s="481">
        <f t="shared" si="18"/>
        <v>0</v>
      </c>
      <c r="AD67" s="474"/>
      <c r="AE67" s="474"/>
      <c r="AF67" s="493">
        <f t="shared" ref="AF67:AF119" si="21">AE67+AD67+AA67</f>
        <v>337920</v>
      </c>
      <c r="AG67" s="474" t="s">
        <v>1071</v>
      </c>
      <c r="AH67" s="474">
        <v>100</v>
      </c>
      <c r="AI67" s="474">
        <v>0</v>
      </c>
      <c r="AJ67" s="475" t="s">
        <v>2075</v>
      </c>
      <c r="AK67" s="475" t="s">
        <v>50</v>
      </c>
      <c r="AL67" s="483">
        <v>92058</v>
      </c>
      <c r="AM67" s="474" t="s">
        <v>52</v>
      </c>
      <c r="AN67" s="384"/>
      <c r="AO67" s="474" t="s">
        <v>1076</v>
      </c>
      <c r="AP67" s="474"/>
      <c r="AQ67" s="482" t="s">
        <v>37</v>
      </c>
      <c r="AR67" s="474" t="s">
        <v>1216</v>
      </c>
      <c r="AS67" s="473"/>
      <c r="AT67" s="346"/>
      <c r="AU67" s="478">
        <f t="shared" si="19"/>
        <v>0.53</v>
      </c>
    </row>
    <row r="68" spans="1:47" s="471" customFormat="1">
      <c r="A68" s="495"/>
      <c r="B68" s="407">
        <v>44627</v>
      </c>
      <c r="C68" s="495"/>
      <c r="D68" s="512" t="s">
        <v>86</v>
      </c>
      <c r="E68" s="352"/>
      <c r="F68" s="501"/>
      <c r="G68" s="371">
        <v>2022</v>
      </c>
      <c r="H68" s="371" t="s">
        <v>4093</v>
      </c>
      <c r="I68" s="501" t="s">
        <v>1676</v>
      </c>
      <c r="J68" s="502"/>
      <c r="K68" s="501" t="s">
        <v>4148</v>
      </c>
      <c r="L68" s="501" t="s">
        <v>1956</v>
      </c>
      <c r="M68" s="502">
        <v>44615</v>
      </c>
      <c r="N68" s="502">
        <v>44790</v>
      </c>
      <c r="O68" s="502"/>
      <c r="P68" s="353"/>
      <c r="Q68" s="502"/>
      <c r="R68" s="502"/>
      <c r="S68" s="501" t="s">
        <v>1704</v>
      </c>
      <c r="T68" s="501">
        <v>60</v>
      </c>
      <c r="U68" s="501" t="s">
        <v>1109</v>
      </c>
      <c r="V68" s="510" t="s">
        <v>973</v>
      </c>
      <c r="W68" s="501">
        <v>400</v>
      </c>
      <c r="X68" s="354">
        <v>1536</v>
      </c>
      <c r="Y68" s="397">
        <f t="shared" si="12"/>
        <v>614400</v>
      </c>
      <c r="Z68" s="478">
        <f t="shared" si="17"/>
        <v>0.55000000000000004</v>
      </c>
      <c r="AA68" s="479">
        <f t="shared" si="20"/>
        <v>337920</v>
      </c>
      <c r="AB68" s="480"/>
      <c r="AC68" s="481">
        <f t="shared" si="18"/>
        <v>0</v>
      </c>
      <c r="AD68" s="474"/>
      <c r="AE68" s="474"/>
      <c r="AF68" s="493">
        <f t="shared" si="21"/>
        <v>337920</v>
      </c>
      <c r="AG68" s="474" t="s">
        <v>1071</v>
      </c>
      <c r="AH68" s="474">
        <v>100</v>
      </c>
      <c r="AI68" s="474">
        <v>0</v>
      </c>
      <c r="AJ68" s="475" t="s">
        <v>2075</v>
      </c>
      <c r="AK68" s="475" t="s">
        <v>50</v>
      </c>
      <c r="AL68" s="483">
        <v>92058</v>
      </c>
      <c r="AM68" s="474" t="s">
        <v>52</v>
      </c>
      <c r="AN68" s="384"/>
      <c r="AO68" s="474" t="s">
        <v>1076</v>
      </c>
      <c r="AP68" s="474"/>
      <c r="AQ68" s="482" t="s">
        <v>37</v>
      </c>
      <c r="AR68" s="474" t="s">
        <v>1216</v>
      </c>
      <c r="AS68" s="473"/>
      <c r="AT68" s="346"/>
      <c r="AU68" s="478">
        <f t="shared" si="19"/>
        <v>0.53</v>
      </c>
    </row>
    <row r="69" spans="1:47" s="471" customFormat="1">
      <c r="A69" s="495"/>
      <c r="B69" s="407">
        <v>44627</v>
      </c>
      <c r="C69" s="495"/>
      <c r="D69" s="512" t="s">
        <v>86</v>
      </c>
      <c r="E69" s="352"/>
      <c r="F69" s="501"/>
      <c r="G69" s="371">
        <v>2022</v>
      </c>
      <c r="H69" s="371" t="s">
        <v>4093</v>
      </c>
      <c r="I69" s="501" t="s">
        <v>1676</v>
      </c>
      <c r="J69" s="502"/>
      <c r="K69" s="501" t="s">
        <v>4149</v>
      </c>
      <c r="L69" s="501" t="s">
        <v>1956</v>
      </c>
      <c r="M69" s="502">
        <v>44615</v>
      </c>
      <c r="N69" s="502">
        <v>44819</v>
      </c>
      <c r="O69" s="502"/>
      <c r="P69" s="353"/>
      <c r="Q69" s="502"/>
      <c r="R69" s="502"/>
      <c r="S69" s="501" t="s">
        <v>1704</v>
      </c>
      <c r="T69" s="501">
        <v>60</v>
      </c>
      <c r="U69" s="501" t="s">
        <v>1109</v>
      </c>
      <c r="V69" s="510" t="s">
        <v>973</v>
      </c>
      <c r="W69" s="501">
        <v>400</v>
      </c>
      <c r="X69" s="354">
        <v>1536</v>
      </c>
      <c r="Y69" s="397">
        <f t="shared" si="12"/>
        <v>614400</v>
      </c>
      <c r="Z69" s="478">
        <f t="shared" si="17"/>
        <v>0.55000000000000004</v>
      </c>
      <c r="AA69" s="479">
        <f t="shared" si="20"/>
        <v>337920</v>
      </c>
      <c r="AB69" s="480"/>
      <c r="AC69" s="481">
        <f t="shared" si="18"/>
        <v>0</v>
      </c>
      <c r="AD69" s="474"/>
      <c r="AE69" s="474"/>
      <c r="AF69" s="493">
        <f t="shared" si="21"/>
        <v>337920</v>
      </c>
      <c r="AG69" s="474" t="s">
        <v>1071</v>
      </c>
      <c r="AH69" s="474">
        <v>100</v>
      </c>
      <c r="AI69" s="474">
        <v>0</v>
      </c>
      <c r="AJ69" s="475" t="s">
        <v>2075</v>
      </c>
      <c r="AK69" s="475" t="s">
        <v>50</v>
      </c>
      <c r="AL69" s="483">
        <v>92058</v>
      </c>
      <c r="AM69" s="474" t="s">
        <v>52</v>
      </c>
      <c r="AN69" s="384"/>
      <c r="AO69" s="474" t="s">
        <v>1076</v>
      </c>
      <c r="AP69" s="474"/>
      <c r="AQ69" s="482" t="s">
        <v>37</v>
      </c>
      <c r="AR69" s="474" t="s">
        <v>1216</v>
      </c>
      <c r="AS69" s="473"/>
      <c r="AT69" s="346"/>
      <c r="AU69" s="478">
        <f t="shared" si="19"/>
        <v>0.53</v>
      </c>
    </row>
    <row r="70" spans="1:47" s="471" customFormat="1">
      <c r="A70" s="495"/>
      <c r="B70" s="407">
        <v>44627</v>
      </c>
      <c r="C70" s="495"/>
      <c r="D70" s="512" t="s">
        <v>86</v>
      </c>
      <c r="E70" s="352"/>
      <c r="F70" s="501"/>
      <c r="G70" s="371">
        <v>2022</v>
      </c>
      <c r="H70" s="371" t="s">
        <v>4093</v>
      </c>
      <c r="I70" s="501" t="s">
        <v>1676</v>
      </c>
      <c r="J70" s="502"/>
      <c r="K70" s="501" t="s">
        <v>4150</v>
      </c>
      <c r="L70" s="501" t="s">
        <v>1956</v>
      </c>
      <c r="M70" s="502">
        <v>44652</v>
      </c>
      <c r="N70" s="502">
        <v>44900</v>
      </c>
      <c r="O70" s="502"/>
      <c r="P70" s="353"/>
      <c r="Q70" s="502"/>
      <c r="R70" s="502"/>
      <c r="S70" s="501" t="s">
        <v>1704</v>
      </c>
      <c r="T70" s="501">
        <v>60</v>
      </c>
      <c r="U70" s="501" t="s">
        <v>1109</v>
      </c>
      <c r="V70" s="510" t="s">
        <v>973</v>
      </c>
      <c r="W70" s="501">
        <v>400</v>
      </c>
      <c r="X70" s="354">
        <v>9984</v>
      </c>
      <c r="Y70" s="397">
        <f t="shared" si="12"/>
        <v>3993600</v>
      </c>
      <c r="Z70" s="478">
        <f t="shared" si="17"/>
        <v>0.55000000000000004</v>
      </c>
      <c r="AA70" s="479">
        <f t="shared" si="20"/>
        <v>2196480</v>
      </c>
      <c r="AB70" s="480"/>
      <c r="AC70" s="481">
        <f t="shared" si="18"/>
        <v>0</v>
      </c>
      <c r="AD70" s="474"/>
      <c r="AE70" s="474"/>
      <c r="AF70" s="493">
        <f t="shared" si="21"/>
        <v>2196480</v>
      </c>
      <c r="AG70" s="474" t="s">
        <v>1071</v>
      </c>
      <c r="AH70" s="474">
        <v>100</v>
      </c>
      <c r="AI70" s="474">
        <v>0</v>
      </c>
      <c r="AJ70" s="475" t="s">
        <v>2075</v>
      </c>
      <c r="AK70" s="475" t="s">
        <v>50</v>
      </c>
      <c r="AL70" s="483">
        <v>92058</v>
      </c>
      <c r="AM70" s="474" t="s">
        <v>52</v>
      </c>
      <c r="AN70" s="384"/>
      <c r="AO70" s="474" t="s">
        <v>1076</v>
      </c>
      <c r="AP70" s="474"/>
      <c r="AQ70" s="482" t="s">
        <v>37</v>
      </c>
      <c r="AR70" s="474" t="s">
        <v>1216</v>
      </c>
      <c r="AS70" s="473"/>
      <c r="AT70" s="346"/>
      <c r="AU70" s="478">
        <f t="shared" si="19"/>
        <v>0.53</v>
      </c>
    </row>
    <row r="71" spans="1:47" s="471" customFormat="1">
      <c r="A71" s="495"/>
      <c r="B71" s="407">
        <v>44627</v>
      </c>
      <c r="C71" s="495"/>
      <c r="D71" s="512" t="s">
        <v>86</v>
      </c>
      <c r="E71" s="352"/>
      <c r="F71" s="501"/>
      <c r="G71" s="371">
        <v>2022</v>
      </c>
      <c r="H71" s="371" t="s">
        <v>4093</v>
      </c>
      <c r="I71" s="501" t="s">
        <v>1676</v>
      </c>
      <c r="J71" s="502"/>
      <c r="K71" s="501" t="s">
        <v>4151</v>
      </c>
      <c r="L71" s="501" t="s">
        <v>1956</v>
      </c>
      <c r="M71" s="502">
        <v>44652</v>
      </c>
      <c r="N71" s="502">
        <v>44868</v>
      </c>
      <c r="O71" s="502"/>
      <c r="P71" s="353"/>
      <c r="Q71" s="502"/>
      <c r="R71" s="502"/>
      <c r="S71" s="501" t="s">
        <v>1704</v>
      </c>
      <c r="T71" s="501">
        <v>60</v>
      </c>
      <c r="U71" s="501" t="s">
        <v>1109</v>
      </c>
      <c r="V71" s="510" t="s">
        <v>973</v>
      </c>
      <c r="W71" s="501">
        <v>400</v>
      </c>
      <c r="X71" s="354">
        <v>9984</v>
      </c>
      <c r="Y71" s="397">
        <f t="shared" si="12"/>
        <v>3993600</v>
      </c>
      <c r="Z71" s="478">
        <f t="shared" si="17"/>
        <v>0.55000000000000004</v>
      </c>
      <c r="AA71" s="479">
        <f t="shared" si="20"/>
        <v>2196480</v>
      </c>
      <c r="AB71" s="480"/>
      <c r="AC71" s="481">
        <f t="shared" si="18"/>
        <v>0</v>
      </c>
      <c r="AD71" s="474"/>
      <c r="AE71" s="474"/>
      <c r="AF71" s="493">
        <f t="shared" si="21"/>
        <v>2196480</v>
      </c>
      <c r="AG71" s="474" t="s">
        <v>1071</v>
      </c>
      <c r="AH71" s="474">
        <v>100</v>
      </c>
      <c r="AI71" s="474">
        <v>0</v>
      </c>
      <c r="AJ71" s="475" t="s">
        <v>2075</v>
      </c>
      <c r="AK71" s="475" t="s">
        <v>50</v>
      </c>
      <c r="AL71" s="483">
        <v>92058</v>
      </c>
      <c r="AM71" s="474" t="s">
        <v>52</v>
      </c>
      <c r="AN71" s="384"/>
      <c r="AO71" s="474" t="s">
        <v>1076</v>
      </c>
      <c r="AP71" s="474"/>
      <c r="AQ71" s="482" t="s">
        <v>37</v>
      </c>
      <c r="AR71" s="474" t="s">
        <v>1216</v>
      </c>
      <c r="AS71" s="473"/>
      <c r="AT71" s="346"/>
      <c r="AU71" s="478">
        <f t="shared" si="19"/>
        <v>0.53</v>
      </c>
    </row>
    <row r="72" spans="1:47" s="471" customFormat="1">
      <c r="A72" s="495"/>
      <c r="B72" s="407">
        <v>44642</v>
      </c>
      <c r="C72" s="495"/>
      <c r="D72" s="512" t="s">
        <v>86</v>
      </c>
      <c r="E72" s="352"/>
      <c r="F72" s="501"/>
      <c r="G72" s="371">
        <v>2022</v>
      </c>
      <c r="H72" s="371" t="s">
        <v>4093</v>
      </c>
      <c r="I72" s="501" t="s">
        <v>1676</v>
      </c>
      <c r="J72" s="502"/>
      <c r="K72" s="501" t="s">
        <v>4153</v>
      </c>
      <c r="L72" s="501" t="s">
        <v>1699</v>
      </c>
      <c r="M72" s="502">
        <v>44571</v>
      </c>
      <c r="N72" s="502">
        <v>44704</v>
      </c>
      <c r="O72" s="502"/>
      <c r="P72" s="353"/>
      <c r="Q72" s="502"/>
      <c r="R72" s="502"/>
      <c r="S72" s="501" t="s">
        <v>88</v>
      </c>
      <c r="T72" s="501">
        <v>60</v>
      </c>
      <c r="U72" s="501"/>
      <c r="V72" s="510" t="s">
        <v>986</v>
      </c>
      <c r="W72" s="501">
        <v>360</v>
      </c>
      <c r="X72" s="354">
        <v>5376</v>
      </c>
      <c r="Y72" s="397">
        <f t="shared" si="12"/>
        <v>1935360</v>
      </c>
      <c r="Z72" s="478">
        <f>190.8/360</f>
        <v>0.53</v>
      </c>
      <c r="AA72" s="479">
        <f t="shared" si="20"/>
        <v>1025740.8</v>
      </c>
      <c r="AB72" s="480"/>
      <c r="AC72" s="481">
        <v>0</v>
      </c>
      <c r="AD72" s="474"/>
      <c r="AE72" s="474"/>
      <c r="AF72" s="493">
        <f t="shared" si="21"/>
        <v>1025740.8</v>
      </c>
      <c r="AG72" s="474" t="s">
        <v>1071</v>
      </c>
      <c r="AH72" s="474"/>
      <c r="AI72" s="474">
        <v>60</v>
      </c>
      <c r="AJ72" s="475" t="s">
        <v>1700</v>
      </c>
      <c r="AK72" s="475" t="s">
        <v>50</v>
      </c>
      <c r="AL72" s="483">
        <v>92126</v>
      </c>
      <c r="AM72" s="474" t="s">
        <v>52</v>
      </c>
      <c r="AN72" s="384"/>
      <c r="AO72" s="474" t="s">
        <v>1076</v>
      </c>
      <c r="AP72" s="474" t="s">
        <v>92</v>
      </c>
      <c r="AQ72" s="482" t="s">
        <v>37</v>
      </c>
      <c r="AR72" s="474" t="s">
        <v>1216</v>
      </c>
      <c r="AS72" s="473" t="s">
        <v>1492</v>
      </c>
      <c r="AT72" s="346"/>
      <c r="AU72" s="478">
        <f>180/360</f>
        <v>0.5</v>
      </c>
    </row>
    <row r="73" spans="1:47" s="471" customFormat="1">
      <c r="A73" s="495"/>
      <c r="B73" s="407"/>
      <c r="C73" s="495"/>
      <c r="D73" s="512" t="s">
        <v>86</v>
      </c>
      <c r="E73" s="352"/>
      <c r="F73" s="501"/>
      <c r="G73" s="371">
        <v>2022</v>
      </c>
      <c r="H73" s="371" t="s">
        <v>3004</v>
      </c>
      <c r="I73" s="501" t="s">
        <v>1676</v>
      </c>
      <c r="J73" s="502"/>
      <c r="K73" s="501" t="s">
        <v>4154</v>
      </c>
      <c r="L73" s="501" t="s">
        <v>1699</v>
      </c>
      <c r="M73" s="502">
        <v>44606</v>
      </c>
      <c r="N73" s="502">
        <v>44752</v>
      </c>
      <c r="O73" s="502"/>
      <c r="P73" s="353"/>
      <c r="Q73" s="502"/>
      <c r="R73" s="502"/>
      <c r="S73" s="501" t="s">
        <v>88</v>
      </c>
      <c r="T73" s="501">
        <v>60</v>
      </c>
      <c r="U73" s="501"/>
      <c r="V73" s="510" t="s">
        <v>986</v>
      </c>
      <c r="W73" s="501">
        <v>360</v>
      </c>
      <c r="X73" s="354">
        <v>1536</v>
      </c>
      <c r="Y73" s="397">
        <f t="shared" si="12"/>
        <v>552960</v>
      </c>
      <c r="Z73" s="478">
        <f>190.8/360</f>
        <v>0.53</v>
      </c>
      <c r="AA73" s="479">
        <f t="shared" si="20"/>
        <v>293068.79999999999</v>
      </c>
      <c r="AB73" s="480"/>
      <c r="AC73" s="481">
        <v>0</v>
      </c>
      <c r="AD73" s="474"/>
      <c r="AE73" s="474"/>
      <c r="AF73" s="493">
        <f t="shared" si="21"/>
        <v>293068.79999999999</v>
      </c>
      <c r="AG73" s="474" t="s">
        <v>1071</v>
      </c>
      <c r="AH73" s="474"/>
      <c r="AI73" s="474">
        <v>60</v>
      </c>
      <c r="AJ73" s="475" t="s">
        <v>1700</v>
      </c>
      <c r="AK73" s="475" t="s">
        <v>50</v>
      </c>
      <c r="AL73" s="483">
        <v>92126</v>
      </c>
      <c r="AM73" s="474" t="s">
        <v>52</v>
      </c>
      <c r="AN73" s="384"/>
      <c r="AO73" s="474" t="s">
        <v>1076</v>
      </c>
      <c r="AP73" s="474"/>
      <c r="AQ73" s="482" t="s">
        <v>37</v>
      </c>
      <c r="AR73" s="474"/>
      <c r="AS73" s="473" t="s">
        <v>1492</v>
      </c>
      <c r="AT73" s="346"/>
      <c r="AU73" s="478">
        <f>208/400</f>
        <v>0.52</v>
      </c>
    </row>
    <row r="74" spans="1:47" s="471" customFormat="1">
      <c r="A74" s="495"/>
      <c r="B74" s="407"/>
      <c r="C74" s="495"/>
      <c r="D74" s="512" t="s">
        <v>86</v>
      </c>
      <c r="E74" s="352"/>
      <c r="F74" s="501"/>
      <c r="G74" s="371">
        <v>2022</v>
      </c>
      <c r="H74" s="371" t="s">
        <v>3004</v>
      </c>
      <c r="I74" s="501" t="s">
        <v>1676</v>
      </c>
      <c r="J74" s="502"/>
      <c r="K74" s="501" t="s">
        <v>4155</v>
      </c>
      <c r="L74" s="501" t="s">
        <v>1699</v>
      </c>
      <c r="M74" s="502">
        <v>44571</v>
      </c>
      <c r="N74" s="502">
        <v>44783</v>
      </c>
      <c r="O74" s="502"/>
      <c r="P74" s="353"/>
      <c r="Q74" s="502"/>
      <c r="R74" s="502"/>
      <c r="S74" s="501" t="s">
        <v>88</v>
      </c>
      <c r="T74" s="501">
        <v>60</v>
      </c>
      <c r="U74" s="501"/>
      <c r="V74" s="510" t="s">
        <v>986</v>
      </c>
      <c r="W74" s="501">
        <v>360</v>
      </c>
      <c r="X74" s="354">
        <v>3072</v>
      </c>
      <c r="Y74" s="397">
        <f t="shared" si="12"/>
        <v>1105920</v>
      </c>
      <c r="Z74" s="478">
        <f>190.8/360</f>
        <v>0.53</v>
      </c>
      <c r="AA74" s="479">
        <f t="shared" si="20"/>
        <v>586137.59999999998</v>
      </c>
      <c r="AB74" s="480"/>
      <c r="AC74" s="481">
        <v>0</v>
      </c>
      <c r="AD74" s="474"/>
      <c r="AE74" s="474"/>
      <c r="AF74" s="493">
        <f t="shared" si="21"/>
        <v>586137.59999999998</v>
      </c>
      <c r="AG74" s="474" t="s">
        <v>1071</v>
      </c>
      <c r="AH74" s="474"/>
      <c r="AI74" s="474">
        <v>60</v>
      </c>
      <c r="AJ74" s="475" t="s">
        <v>1700</v>
      </c>
      <c r="AK74" s="475" t="s">
        <v>50</v>
      </c>
      <c r="AL74" s="483">
        <v>92126</v>
      </c>
      <c r="AM74" s="474" t="s">
        <v>52</v>
      </c>
      <c r="AN74" s="384"/>
      <c r="AO74" s="474" t="s">
        <v>1076</v>
      </c>
      <c r="AP74" s="474"/>
      <c r="AQ74" s="482" t="s">
        <v>37</v>
      </c>
      <c r="AR74" s="474"/>
      <c r="AS74" s="473" t="s">
        <v>1492</v>
      </c>
      <c r="AT74" s="346"/>
      <c r="AU74" s="478">
        <f>208/400</f>
        <v>0.52</v>
      </c>
    </row>
    <row r="75" spans="1:47" s="471" customFormat="1">
      <c r="A75" s="495"/>
      <c r="B75" s="407"/>
      <c r="C75" s="495"/>
      <c r="D75" s="512" t="s">
        <v>86</v>
      </c>
      <c r="E75" s="352"/>
      <c r="F75" s="501"/>
      <c r="G75" s="371">
        <v>2022</v>
      </c>
      <c r="H75" s="371" t="s">
        <v>4093</v>
      </c>
      <c r="I75" s="501" t="s">
        <v>1676</v>
      </c>
      <c r="J75" s="502"/>
      <c r="K75" s="501" t="s">
        <v>4156</v>
      </c>
      <c r="L75" s="501" t="s">
        <v>1699</v>
      </c>
      <c r="M75" s="502">
        <v>44571</v>
      </c>
      <c r="N75" s="502">
        <v>44824</v>
      </c>
      <c r="O75" s="502"/>
      <c r="P75" s="353"/>
      <c r="Q75" s="502"/>
      <c r="R75" s="502"/>
      <c r="S75" s="501" t="s">
        <v>88</v>
      </c>
      <c r="T75" s="501">
        <v>60</v>
      </c>
      <c r="U75" s="501"/>
      <c r="V75" s="510" t="s">
        <v>986</v>
      </c>
      <c r="W75" s="501">
        <v>360</v>
      </c>
      <c r="X75" s="354">
        <v>3072</v>
      </c>
      <c r="Y75" s="397">
        <f t="shared" si="12"/>
        <v>1105920</v>
      </c>
      <c r="Z75" s="478">
        <f>190.8/360</f>
        <v>0.53</v>
      </c>
      <c r="AA75" s="479">
        <f t="shared" si="20"/>
        <v>586137.59999999998</v>
      </c>
      <c r="AB75" s="480"/>
      <c r="AC75" s="481">
        <v>0</v>
      </c>
      <c r="AD75" s="474"/>
      <c r="AE75" s="474"/>
      <c r="AF75" s="493">
        <f t="shared" si="21"/>
        <v>586137.59999999998</v>
      </c>
      <c r="AG75" s="474" t="s">
        <v>1071</v>
      </c>
      <c r="AH75" s="474"/>
      <c r="AI75" s="474">
        <v>60</v>
      </c>
      <c r="AJ75" s="475" t="s">
        <v>1700</v>
      </c>
      <c r="AK75" s="475" t="s">
        <v>50</v>
      </c>
      <c r="AL75" s="483">
        <v>92126</v>
      </c>
      <c r="AM75" s="474" t="s">
        <v>52</v>
      </c>
      <c r="AN75" s="384"/>
      <c r="AO75" s="474" t="s">
        <v>1076</v>
      </c>
      <c r="AP75" s="474" t="s">
        <v>92</v>
      </c>
      <c r="AQ75" s="482" t="s">
        <v>37</v>
      </c>
      <c r="AR75" s="474" t="s">
        <v>1216</v>
      </c>
      <c r="AS75" s="473" t="s">
        <v>1492</v>
      </c>
      <c r="AT75" s="346"/>
      <c r="AU75" s="478">
        <f>180/360</f>
        <v>0.5</v>
      </c>
    </row>
    <row r="76" spans="1:47" s="471" customFormat="1">
      <c r="A76" s="495"/>
      <c r="B76" s="407">
        <v>44642</v>
      </c>
      <c r="C76" s="495"/>
      <c r="D76" s="512" t="s">
        <v>86</v>
      </c>
      <c r="E76" s="352" t="s">
        <v>2004</v>
      </c>
      <c r="F76" s="501"/>
      <c r="G76" s="371">
        <v>2022</v>
      </c>
      <c r="H76" s="371" t="s">
        <v>3004</v>
      </c>
      <c r="I76" s="501" t="s">
        <v>1676</v>
      </c>
      <c r="J76" s="502"/>
      <c r="K76" s="501" t="s">
        <v>4157</v>
      </c>
      <c r="L76" s="501" t="s">
        <v>1699</v>
      </c>
      <c r="M76" s="502">
        <v>44587</v>
      </c>
      <c r="N76" s="502">
        <v>44677</v>
      </c>
      <c r="O76" s="502"/>
      <c r="P76" s="353"/>
      <c r="Q76" s="502"/>
      <c r="R76" s="502"/>
      <c r="S76" s="501" t="s">
        <v>88</v>
      </c>
      <c r="T76" s="501">
        <v>60</v>
      </c>
      <c r="U76" s="501"/>
      <c r="V76" s="510" t="s">
        <v>973</v>
      </c>
      <c r="W76" s="501">
        <v>400</v>
      </c>
      <c r="X76" s="354">
        <v>2304</v>
      </c>
      <c r="Y76" s="397">
        <f t="shared" si="12"/>
        <v>921600</v>
      </c>
      <c r="Z76" s="478">
        <f t="shared" ref="Z76:Z81" si="22">220/400</f>
        <v>0.55000000000000004</v>
      </c>
      <c r="AA76" s="479">
        <f t="shared" si="20"/>
        <v>506880.00000000006</v>
      </c>
      <c r="AB76" s="480"/>
      <c r="AC76" s="481">
        <v>0</v>
      </c>
      <c r="AD76" s="474"/>
      <c r="AE76" s="474"/>
      <c r="AF76" s="493">
        <f t="shared" si="21"/>
        <v>506880.00000000006</v>
      </c>
      <c r="AG76" s="474" t="s">
        <v>1071</v>
      </c>
      <c r="AH76" s="474"/>
      <c r="AI76" s="474">
        <v>60</v>
      </c>
      <c r="AJ76" s="475" t="s">
        <v>1700</v>
      </c>
      <c r="AK76" s="475" t="s">
        <v>50</v>
      </c>
      <c r="AL76" s="483">
        <v>92126</v>
      </c>
      <c r="AM76" s="474" t="s">
        <v>52</v>
      </c>
      <c r="AN76" s="384"/>
      <c r="AO76" s="474" t="s">
        <v>1076</v>
      </c>
      <c r="AP76" s="474"/>
      <c r="AQ76" s="482" t="s">
        <v>37</v>
      </c>
      <c r="AR76" s="474"/>
      <c r="AS76" s="473" t="s">
        <v>1492</v>
      </c>
      <c r="AT76" s="346"/>
      <c r="AU76" s="478">
        <f t="shared" ref="AU76:AU84" si="23">208/400</f>
        <v>0.52</v>
      </c>
    </row>
    <row r="77" spans="1:47" s="471" customFormat="1">
      <c r="A77" s="495"/>
      <c r="B77" s="407">
        <v>44642</v>
      </c>
      <c r="C77" s="495"/>
      <c r="D77" s="512" t="s">
        <v>86</v>
      </c>
      <c r="E77" s="352" t="s">
        <v>2004</v>
      </c>
      <c r="F77" s="501"/>
      <c r="G77" s="371">
        <v>2022</v>
      </c>
      <c r="H77" s="371" t="s">
        <v>3004</v>
      </c>
      <c r="I77" s="501" t="s">
        <v>1676</v>
      </c>
      <c r="J77" s="502"/>
      <c r="K77" s="501" t="s">
        <v>4158</v>
      </c>
      <c r="L77" s="501" t="s">
        <v>1699</v>
      </c>
      <c r="M77" s="502">
        <v>44587</v>
      </c>
      <c r="N77" s="502">
        <v>44707</v>
      </c>
      <c r="O77" s="502"/>
      <c r="P77" s="353"/>
      <c r="Q77" s="502"/>
      <c r="R77" s="502"/>
      <c r="S77" s="501" t="s">
        <v>88</v>
      </c>
      <c r="T77" s="501">
        <v>60</v>
      </c>
      <c r="U77" s="501"/>
      <c r="V77" s="510" t="s">
        <v>973</v>
      </c>
      <c r="W77" s="501">
        <v>400</v>
      </c>
      <c r="X77" s="354">
        <v>2304</v>
      </c>
      <c r="Y77" s="397">
        <f t="shared" si="12"/>
        <v>921600</v>
      </c>
      <c r="Z77" s="478">
        <f t="shared" si="22"/>
        <v>0.55000000000000004</v>
      </c>
      <c r="AA77" s="479">
        <f t="shared" si="20"/>
        <v>506880.00000000006</v>
      </c>
      <c r="AB77" s="480"/>
      <c r="AC77" s="481">
        <v>0</v>
      </c>
      <c r="AD77" s="474"/>
      <c r="AE77" s="474"/>
      <c r="AF77" s="493">
        <f t="shared" si="21"/>
        <v>506880.00000000006</v>
      </c>
      <c r="AG77" s="474" t="s">
        <v>1071</v>
      </c>
      <c r="AH77" s="474"/>
      <c r="AI77" s="474">
        <v>60</v>
      </c>
      <c r="AJ77" s="475" t="s">
        <v>1700</v>
      </c>
      <c r="AK77" s="475" t="s">
        <v>50</v>
      </c>
      <c r="AL77" s="483">
        <v>92126</v>
      </c>
      <c r="AM77" s="474" t="s">
        <v>52</v>
      </c>
      <c r="AN77" s="384"/>
      <c r="AO77" s="474" t="s">
        <v>1076</v>
      </c>
      <c r="AP77" s="474"/>
      <c r="AQ77" s="482" t="s">
        <v>37</v>
      </c>
      <c r="AR77" s="474"/>
      <c r="AS77" s="473" t="s">
        <v>1492</v>
      </c>
      <c r="AT77" s="346"/>
      <c r="AU77" s="478">
        <f t="shared" si="23"/>
        <v>0.52</v>
      </c>
    </row>
    <row r="78" spans="1:47" s="471" customFormat="1">
      <c r="A78" s="495"/>
      <c r="B78" s="407">
        <v>44642</v>
      </c>
      <c r="C78" s="495"/>
      <c r="D78" s="512" t="s">
        <v>86</v>
      </c>
      <c r="E78" s="352" t="s">
        <v>2004</v>
      </c>
      <c r="F78" s="501"/>
      <c r="G78" s="371">
        <v>2022</v>
      </c>
      <c r="H78" s="371" t="s">
        <v>3004</v>
      </c>
      <c r="I78" s="501" t="s">
        <v>1676</v>
      </c>
      <c r="J78" s="502"/>
      <c r="K78" s="501" t="s">
        <v>4159</v>
      </c>
      <c r="L78" s="501" t="s">
        <v>1699</v>
      </c>
      <c r="M78" s="502">
        <v>44587</v>
      </c>
      <c r="N78" s="502">
        <v>44707</v>
      </c>
      <c r="O78" s="502"/>
      <c r="P78" s="353"/>
      <c r="Q78" s="502"/>
      <c r="R78" s="502"/>
      <c r="S78" s="501" t="s">
        <v>88</v>
      </c>
      <c r="T78" s="501">
        <v>60</v>
      </c>
      <c r="U78" s="501"/>
      <c r="V78" s="510" t="s">
        <v>973</v>
      </c>
      <c r="W78" s="501">
        <v>400</v>
      </c>
      <c r="X78" s="354">
        <v>2304</v>
      </c>
      <c r="Y78" s="397">
        <f t="shared" si="12"/>
        <v>921600</v>
      </c>
      <c r="Z78" s="478">
        <f t="shared" si="22"/>
        <v>0.55000000000000004</v>
      </c>
      <c r="AA78" s="479">
        <f t="shared" si="20"/>
        <v>506880.00000000006</v>
      </c>
      <c r="AB78" s="480"/>
      <c r="AC78" s="481">
        <v>0</v>
      </c>
      <c r="AD78" s="474"/>
      <c r="AE78" s="474"/>
      <c r="AF78" s="493">
        <f t="shared" si="21"/>
        <v>506880.00000000006</v>
      </c>
      <c r="AG78" s="474" t="s">
        <v>1071</v>
      </c>
      <c r="AH78" s="474"/>
      <c r="AI78" s="474">
        <v>60</v>
      </c>
      <c r="AJ78" s="475" t="s">
        <v>1700</v>
      </c>
      <c r="AK78" s="475" t="s">
        <v>50</v>
      </c>
      <c r="AL78" s="483">
        <v>92126</v>
      </c>
      <c r="AM78" s="474" t="s">
        <v>52</v>
      </c>
      <c r="AN78" s="384"/>
      <c r="AO78" s="474" t="s">
        <v>1076</v>
      </c>
      <c r="AP78" s="474"/>
      <c r="AQ78" s="482" t="s">
        <v>37</v>
      </c>
      <c r="AR78" s="474"/>
      <c r="AS78" s="473" t="s">
        <v>1492</v>
      </c>
      <c r="AT78" s="346"/>
      <c r="AU78" s="478">
        <f t="shared" si="23"/>
        <v>0.52</v>
      </c>
    </row>
    <row r="79" spans="1:47" s="471" customFormat="1">
      <c r="A79" s="495"/>
      <c r="B79" s="407"/>
      <c r="C79" s="495"/>
      <c r="D79" s="512" t="s">
        <v>86</v>
      </c>
      <c r="E79" s="352" t="s">
        <v>4160</v>
      </c>
      <c r="F79" s="501"/>
      <c r="G79" s="371">
        <v>2022</v>
      </c>
      <c r="H79" s="371" t="s">
        <v>3004</v>
      </c>
      <c r="I79" s="501" t="s">
        <v>1676</v>
      </c>
      <c r="J79" s="502"/>
      <c r="K79" s="501" t="s">
        <v>4162</v>
      </c>
      <c r="L79" s="501" t="s">
        <v>1699</v>
      </c>
      <c r="M79" s="502">
        <v>44615</v>
      </c>
      <c r="N79" s="502">
        <v>44765</v>
      </c>
      <c r="O79" s="502"/>
      <c r="P79" s="353"/>
      <c r="Q79" s="502"/>
      <c r="R79" s="502"/>
      <c r="S79" s="501" t="s">
        <v>88</v>
      </c>
      <c r="T79" s="501">
        <v>60</v>
      </c>
      <c r="U79" s="501"/>
      <c r="V79" s="510" t="s">
        <v>973</v>
      </c>
      <c r="W79" s="501">
        <v>400</v>
      </c>
      <c r="X79" s="354">
        <v>5376</v>
      </c>
      <c r="Y79" s="397">
        <f t="shared" si="12"/>
        <v>2150400</v>
      </c>
      <c r="Z79" s="478">
        <f t="shared" si="22"/>
        <v>0.55000000000000004</v>
      </c>
      <c r="AA79" s="479">
        <f t="shared" si="20"/>
        <v>1182720</v>
      </c>
      <c r="AB79" s="480"/>
      <c r="AC79" s="481">
        <v>0</v>
      </c>
      <c r="AD79" s="474"/>
      <c r="AE79" s="474"/>
      <c r="AF79" s="493">
        <f t="shared" si="21"/>
        <v>1182720</v>
      </c>
      <c r="AG79" s="474" t="s">
        <v>1071</v>
      </c>
      <c r="AH79" s="474"/>
      <c r="AI79" s="474">
        <v>60</v>
      </c>
      <c r="AJ79" s="475" t="s">
        <v>1700</v>
      </c>
      <c r="AK79" s="475" t="s">
        <v>50</v>
      </c>
      <c r="AL79" s="483">
        <v>92126</v>
      </c>
      <c r="AM79" s="474" t="s">
        <v>52</v>
      </c>
      <c r="AN79" s="384"/>
      <c r="AO79" s="474" t="s">
        <v>1076</v>
      </c>
      <c r="AP79" s="474"/>
      <c r="AQ79" s="482" t="s">
        <v>37</v>
      </c>
      <c r="AR79" s="474"/>
      <c r="AS79" s="473" t="s">
        <v>1492</v>
      </c>
      <c r="AT79" s="346"/>
      <c r="AU79" s="478">
        <f t="shared" si="23"/>
        <v>0.52</v>
      </c>
    </row>
    <row r="80" spans="1:47" s="471" customFormat="1">
      <c r="A80" s="495"/>
      <c r="B80" s="407"/>
      <c r="C80" s="495"/>
      <c r="D80" s="512" t="s">
        <v>86</v>
      </c>
      <c r="E80" s="352" t="s">
        <v>4161</v>
      </c>
      <c r="F80" s="501"/>
      <c r="G80" s="371">
        <v>2022</v>
      </c>
      <c r="H80" s="371" t="s">
        <v>3004</v>
      </c>
      <c r="I80" s="501" t="s">
        <v>1676</v>
      </c>
      <c r="J80" s="502"/>
      <c r="K80" s="501" t="s">
        <v>5623</v>
      </c>
      <c r="L80" s="501" t="s">
        <v>1699</v>
      </c>
      <c r="M80" s="502">
        <v>44615</v>
      </c>
      <c r="N80" s="502">
        <v>44796</v>
      </c>
      <c r="O80" s="502"/>
      <c r="P80" s="353"/>
      <c r="Q80" s="502"/>
      <c r="R80" s="502"/>
      <c r="S80" s="501" t="s">
        <v>88</v>
      </c>
      <c r="T80" s="501">
        <v>60</v>
      </c>
      <c r="U80" s="501"/>
      <c r="V80" s="510" t="s">
        <v>973</v>
      </c>
      <c r="W80" s="501">
        <v>400</v>
      </c>
      <c r="X80" s="354">
        <v>5376</v>
      </c>
      <c r="Y80" s="397">
        <f t="shared" si="12"/>
        <v>2150400</v>
      </c>
      <c r="Z80" s="478">
        <f t="shared" si="22"/>
        <v>0.55000000000000004</v>
      </c>
      <c r="AA80" s="479">
        <f t="shared" si="20"/>
        <v>1182720</v>
      </c>
      <c r="AB80" s="480"/>
      <c r="AC80" s="481">
        <v>0</v>
      </c>
      <c r="AD80" s="474"/>
      <c r="AE80" s="474"/>
      <c r="AF80" s="493">
        <f t="shared" si="21"/>
        <v>1182720</v>
      </c>
      <c r="AG80" s="474" t="s">
        <v>1071</v>
      </c>
      <c r="AH80" s="474"/>
      <c r="AI80" s="474">
        <v>60</v>
      </c>
      <c r="AJ80" s="475" t="s">
        <v>1700</v>
      </c>
      <c r="AK80" s="475" t="s">
        <v>50</v>
      </c>
      <c r="AL80" s="483">
        <v>92126</v>
      </c>
      <c r="AM80" s="474" t="s">
        <v>52</v>
      </c>
      <c r="AN80" s="384"/>
      <c r="AO80" s="474" t="s">
        <v>1076</v>
      </c>
      <c r="AP80" s="474"/>
      <c r="AQ80" s="482" t="s">
        <v>37</v>
      </c>
      <c r="AR80" s="474"/>
      <c r="AS80" s="473" t="s">
        <v>1492</v>
      </c>
      <c r="AT80" s="346"/>
      <c r="AU80" s="478">
        <f t="shared" si="23"/>
        <v>0.52</v>
      </c>
    </row>
    <row r="81" spans="1:47" s="471" customFormat="1">
      <c r="A81" s="495"/>
      <c r="B81" s="407"/>
      <c r="C81" s="495"/>
      <c r="D81" s="512" t="s">
        <v>86</v>
      </c>
      <c r="E81" s="352" t="s">
        <v>5624</v>
      </c>
      <c r="F81" s="501"/>
      <c r="G81" s="371">
        <v>2022</v>
      </c>
      <c r="H81" s="371" t="s">
        <v>3004</v>
      </c>
      <c r="I81" s="501" t="s">
        <v>1676</v>
      </c>
      <c r="J81" s="502"/>
      <c r="K81" s="501" t="s">
        <v>5623</v>
      </c>
      <c r="L81" s="501" t="s">
        <v>1699</v>
      </c>
      <c r="M81" s="502">
        <v>44615</v>
      </c>
      <c r="N81" s="502">
        <v>44827</v>
      </c>
      <c r="O81" s="502"/>
      <c r="P81" s="353"/>
      <c r="Q81" s="502"/>
      <c r="R81" s="502"/>
      <c r="S81" s="501" t="s">
        <v>88</v>
      </c>
      <c r="T81" s="501">
        <v>60</v>
      </c>
      <c r="U81" s="501"/>
      <c r="V81" s="510" t="s">
        <v>973</v>
      </c>
      <c r="W81" s="501">
        <v>400</v>
      </c>
      <c r="X81" s="354">
        <v>6144</v>
      </c>
      <c r="Y81" s="397">
        <f t="shared" si="12"/>
        <v>2457600</v>
      </c>
      <c r="Z81" s="478">
        <f t="shared" si="22"/>
        <v>0.55000000000000004</v>
      </c>
      <c r="AA81" s="479">
        <f t="shared" si="20"/>
        <v>1351680</v>
      </c>
      <c r="AB81" s="480"/>
      <c r="AC81" s="481">
        <v>0</v>
      </c>
      <c r="AD81" s="474"/>
      <c r="AE81" s="474"/>
      <c r="AF81" s="493">
        <f t="shared" si="21"/>
        <v>1351680</v>
      </c>
      <c r="AG81" s="474" t="s">
        <v>1071</v>
      </c>
      <c r="AH81" s="474"/>
      <c r="AI81" s="474">
        <v>60</v>
      </c>
      <c r="AJ81" s="475" t="s">
        <v>1700</v>
      </c>
      <c r="AK81" s="475" t="s">
        <v>50</v>
      </c>
      <c r="AL81" s="483">
        <v>92126</v>
      </c>
      <c r="AM81" s="474" t="s">
        <v>52</v>
      </c>
      <c r="AN81" s="384"/>
      <c r="AO81" s="474" t="s">
        <v>1076</v>
      </c>
      <c r="AP81" s="474"/>
      <c r="AQ81" s="482" t="s">
        <v>37</v>
      </c>
      <c r="AR81" s="474"/>
      <c r="AS81" s="473" t="s">
        <v>1492</v>
      </c>
      <c r="AT81" s="346"/>
      <c r="AU81" s="478">
        <f t="shared" si="23"/>
        <v>0.52</v>
      </c>
    </row>
    <row r="82" spans="1:47" s="471" customFormat="1">
      <c r="A82" s="495"/>
      <c r="B82" s="407">
        <v>44678</v>
      </c>
      <c r="C82" s="495"/>
      <c r="D82" s="512" t="s">
        <v>86</v>
      </c>
      <c r="E82" s="352"/>
      <c r="F82" s="501"/>
      <c r="G82" s="371">
        <v>2022</v>
      </c>
      <c r="H82" s="371" t="s">
        <v>3004</v>
      </c>
      <c r="I82" s="501" t="s">
        <v>1676</v>
      </c>
      <c r="J82" s="502"/>
      <c r="K82" s="501" t="s">
        <v>4163</v>
      </c>
      <c r="L82" s="501" t="s">
        <v>2086</v>
      </c>
      <c r="M82" s="502">
        <v>44573</v>
      </c>
      <c r="N82" s="502">
        <v>44718</v>
      </c>
      <c r="O82" s="502"/>
      <c r="P82" s="353"/>
      <c r="Q82" s="502"/>
      <c r="R82" s="502"/>
      <c r="S82" s="501" t="s">
        <v>88</v>
      </c>
      <c r="T82" s="501">
        <v>60</v>
      </c>
      <c r="U82" s="501"/>
      <c r="V82" s="510" t="s">
        <v>973</v>
      </c>
      <c r="W82" s="501">
        <v>400</v>
      </c>
      <c r="X82" s="354">
        <v>832</v>
      </c>
      <c r="Y82" s="397">
        <f t="shared" si="12"/>
        <v>332800</v>
      </c>
      <c r="Z82" s="478">
        <f>256/400</f>
        <v>0.64</v>
      </c>
      <c r="AA82" s="479">
        <f t="shared" si="20"/>
        <v>212992</v>
      </c>
      <c r="AB82" s="480"/>
      <c r="AC82" s="481">
        <f t="shared" ref="AC82:AC119" si="24">AB82*Y82</f>
        <v>0</v>
      </c>
      <c r="AD82" s="474"/>
      <c r="AE82" s="474"/>
      <c r="AF82" s="493">
        <f t="shared" si="21"/>
        <v>212992</v>
      </c>
      <c r="AG82" s="474" t="s">
        <v>1071</v>
      </c>
      <c r="AH82" s="474"/>
      <c r="AI82" s="474">
        <v>60</v>
      </c>
      <c r="AJ82" s="475" t="s">
        <v>2098</v>
      </c>
      <c r="AK82" s="475" t="s">
        <v>50</v>
      </c>
      <c r="AL82" s="483" t="s">
        <v>2099</v>
      </c>
      <c r="AM82" s="474" t="s">
        <v>52</v>
      </c>
      <c r="AN82" s="384" t="s">
        <v>1074</v>
      </c>
      <c r="AO82" s="474" t="s">
        <v>1076</v>
      </c>
      <c r="AP82" s="474"/>
      <c r="AQ82" s="482" t="s">
        <v>37</v>
      </c>
      <c r="AR82" s="474" t="s">
        <v>1216</v>
      </c>
      <c r="AS82" s="473" t="s">
        <v>1492</v>
      </c>
      <c r="AT82" s="346"/>
      <c r="AU82" s="478">
        <f t="shared" si="23"/>
        <v>0.52</v>
      </c>
    </row>
    <row r="83" spans="1:47" s="471" customFormat="1">
      <c r="A83" s="495"/>
      <c r="B83" s="407"/>
      <c r="C83" s="495"/>
      <c r="D83" s="512" t="s">
        <v>86</v>
      </c>
      <c r="E83" s="352" t="s">
        <v>2196</v>
      </c>
      <c r="F83" s="501"/>
      <c r="G83" s="371">
        <v>2022</v>
      </c>
      <c r="H83" s="371" t="s">
        <v>3004</v>
      </c>
      <c r="I83" s="501" t="s">
        <v>1676</v>
      </c>
      <c r="J83" s="502"/>
      <c r="K83" s="501" t="s">
        <v>4164</v>
      </c>
      <c r="L83" s="501" t="s">
        <v>2086</v>
      </c>
      <c r="M83" s="502">
        <v>44573</v>
      </c>
      <c r="N83" s="502">
        <v>44788</v>
      </c>
      <c r="O83" s="502"/>
      <c r="P83" s="353"/>
      <c r="Q83" s="502"/>
      <c r="R83" s="502"/>
      <c r="S83" s="501" t="s">
        <v>88</v>
      </c>
      <c r="T83" s="501">
        <v>60</v>
      </c>
      <c r="U83" s="501"/>
      <c r="V83" s="510" t="s">
        <v>973</v>
      </c>
      <c r="W83" s="501">
        <v>400</v>
      </c>
      <c r="X83" s="354">
        <v>832</v>
      </c>
      <c r="Y83" s="397">
        <f t="shared" si="12"/>
        <v>332800</v>
      </c>
      <c r="Z83" s="478">
        <f>208/400</f>
        <v>0.52</v>
      </c>
      <c r="AA83" s="479">
        <f t="shared" si="20"/>
        <v>173056</v>
      </c>
      <c r="AB83" s="480"/>
      <c r="AC83" s="481">
        <f t="shared" si="24"/>
        <v>0</v>
      </c>
      <c r="AD83" s="474"/>
      <c r="AE83" s="474"/>
      <c r="AF83" s="493">
        <f t="shared" si="21"/>
        <v>173056</v>
      </c>
      <c r="AG83" s="474" t="s">
        <v>1071</v>
      </c>
      <c r="AH83" s="474"/>
      <c r="AI83" s="474">
        <v>60</v>
      </c>
      <c r="AJ83" s="475" t="s">
        <v>2098</v>
      </c>
      <c r="AK83" s="475" t="s">
        <v>50</v>
      </c>
      <c r="AL83" s="483" t="s">
        <v>2099</v>
      </c>
      <c r="AM83" s="474" t="s">
        <v>52</v>
      </c>
      <c r="AN83" s="384" t="s">
        <v>1074</v>
      </c>
      <c r="AO83" s="474" t="s">
        <v>1076</v>
      </c>
      <c r="AP83" s="474"/>
      <c r="AQ83" s="482" t="s">
        <v>37</v>
      </c>
      <c r="AR83" s="474" t="s">
        <v>1216</v>
      </c>
      <c r="AS83" s="473" t="s">
        <v>1492</v>
      </c>
      <c r="AT83" s="346"/>
      <c r="AU83" s="478">
        <f t="shared" si="23"/>
        <v>0.52</v>
      </c>
    </row>
    <row r="84" spans="1:47" s="471" customFormat="1">
      <c r="A84" s="495"/>
      <c r="B84" s="407"/>
      <c r="C84" s="495"/>
      <c r="D84" s="512" t="s">
        <v>86</v>
      </c>
      <c r="E84" s="352" t="s">
        <v>2196</v>
      </c>
      <c r="F84" s="501"/>
      <c r="G84" s="371">
        <v>2022</v>
      </c>
      <c r="H84" s="371" t="s">
        <v>3004</v>
      </c>
      <c r="I84" s="501" t="s">
        <v>1676</v>
      </c>
      <c r="J84" s="502"/>
      <c r="K84" s="501" t="s">
        <v>4165</v>
      </c>
      <c r="L84" s="501" t="s">
        <v>2086</v>
      </c>
      <c r="M84" s="502">
        <v>44573</v>
      </c>
      <c r="N84" s="502">
        <v>44823</v>
      </c>
      <c r="O84" s="502"/>
      <c r="P84" s="353"/>
      <c r="Q84" s="502"/>
      <c r="R84" s="502"/>
      <c r="S84" s="501" t="s">
        <v>88</v>
      </c>
      <c r="T84" s="501">
        <v>60</v>
      </c>
      <c r="U84" s="501"/>
      <c r="V84" s="510" t="s">
        <v>973</v>
      </c>
      <c r="W84" s="501">
        <v>400</v>
      </c>
      <c r="X84" s="354">
        <v>832</v>
      </c>
      <c r="Y84" s="397">
        <f t="shared" si="12"/>
        <v>332800</v>
      </c>
      <c r="Z84" s="478">
        <f>208/400</f>
        <v>0.52</v>
      </c>
      <c r="AA84" s="479">
        <f t="shared" si="20"/>
        <v>173056</v>
      </c>
      <c r="AB84" s="480"/>
      <c r="AC84" s="481">
        <f t="shared" si="24"/>
        <v>0</v>
      </c>
      <c r="AD84" s="474"/>
      <c r="AE84" s="474"/>
      <c r="AF84" s="493">
        <f t="shared" si="21"/>
        <v>173056</v>
      </c>
      <c r="AG84" s="474" t="s">
        <v>1071</v>
      </c>
      <c r="AH84" s="474"/>
      <c r="AI84" s="474">
        <v>60</v>
      </c>
      <c r="AJ84" s="475" t="s">
        <v>2098</v>
      </c>
      <c r="AK84" s="475" t="s">
        <v>50</v>
      </c>
      <c r="AL84" s="483" t="s">
        <v>2099</v>
      </c>
      <c r="AM84" s="474" t="s">
        <v>52</v>
      </c>
      <c r="AN84" s="384" t="s">
        <v>1074</v>
      </c>
      <c r="AO84" s="474" t="s">
        <v>1076</v>
      </c>
      <c r="AP84" s="474"/>
      <c r="AQ84" s="482" t="s">
        <v>37</v>
      </c>
      <c r="AR84" s="474" t="s">
        <v>1216</v>
      </c>
      <c r="AS84" s="473" t="s">
        <v>1492</v>
      </c>
      <c r="AT84" s="346"/>
      <c r="AU84" s="478">
        <f t="shared" si="23"/>
        <v>0.52</v>
      </c>
    </row>
    <row r="85" spans="1:47" s="471" customFormat="1">
      <c r="A85" s="495"/>
      <c r="B85" s="407"/>
      <c r="C85" s="495"/>
      <c r="D85" s="512" t="s">
        <v>86</v>
      </c>
      <c r="E85" s="352" t="s">
        <v>2196</v>
      </c>
      <c r="F85" s="501"/>
      <c r="G85" s="371">
        <v>2022</v>
      </c>
      <c r="H85" s="371" t="s">
        <v>3004</v>
      </c>
      <c r="I85" s="501" t="s">
        <v>1676</v>
      </c>
      <c r="J85" s="502"/>
      <c r="K85" s="501" t="s">
        <v>4166</v>
      </c>
      <c r="L85" s="501" t="s">
        <v>2086</v>
      </c>
      <c r="M85" s="502">
        <v>44573</v>
      </c>
      <c r="N85" s="502">
        <v>44613</v>
      </c>
      <c r="O85" s="502"/>
      <c r="P85" s="353"/>
      <c r="Q85" s="502"/>
      <c r="R85" s="502"/>
      <c r="S85" s="501" t="s">
        <v>88</v>
      </c>
      <c r="T85" s="501">
        <v>60</v>
      </c>
      <c r="U85" s="501"/>
      <c r="V85" s="510" t="s">
        <v>1223</v>
      </c>
      <c r="W85" s="501">
        <v>360</v>
      </c>
      <c r="X85" s="354">
        <v>676</v>
      </c>
      <c r="Y85" s="397">
        <f t="shared" si="12"/>
        <v>243360</v>
      </c>
      <c r="Z85" s="478">
        <f>273.6/360</f>
        <v>0.76</v>
      </c>
      <c r="AA85" s="479">
        <f t="shared" si="20"/>
        <v>184953.60000000001</v>
      </c>
      <c r="AB85" s="480"/>
      <c r="AC85" s="481">
        <f t="shared" si="24"/>
        <v>0</v>
      </c>
      <c r="AD85" s="474"/>
      <c r="AE85" s="474"/>
      <c r="AF85" s="493">
        <f t="shared" si="21"/>
        <v>184953.60000000001</v>
      </c>
      <c r="AG85" s="474" t="s">
        <v>1071</v>
      </c>
      <c r="AH85" s="474"/>
      <c r="AI85" s="474">
        <v>60</v>
      </c>
      <c r="AJ85" s="475" t="s">
        <v>2098</v>
      </c>
      <c r="AK85" s="475" t="s">
        <v>50</v>
      </c>
      <c r="AL85" s="483" t="s">
        <v>2099</v>
      </c>
      <c r="AM85" s="474" t="s">
        <v>52</v>
      </c>
      <c r="AN85" s="384" t="s">
        <v>1074</v>
      </c>
      <c r="AO85" s="474" t="s">
        <v>1076</v>
      </c>
      <c r="AP85" s="474"/>
      <c r="AQ85" s="482" t="s">
        <v>37</v>
      </c>
      <c r="AR85" s="474" t="s">
        <v>1216</v>
      </c>
      <c r="AS85" s="473" t="s">
        <v>1492</v>
      </c>
      <c r="AT85" s="346"/>
      <c r="AU85" s="478">
        <f>273.6/360</f>
        <v>0.76</v>
      </c>
    </row>
    <row r="86" spans="1:47" s="471" customFormat="1">
      <c r="A86" s="495"/>
      <c r="B86" s="407"/>
      <c r="C86" s="495"/>
      <c r="D86" s="512" t="s">
        <v>86</v>
      </c>
      <c r="E86" s="352" t="s">
        <v>2196</v>
      </c>
      <c r="F86" s="501"/>
      <c r="G86" s="371">
        <v>2022</v>
      </c>
      <c r="H86" s="371" t="s">
        <v>3004</v>
      </c>
      <c r="I86" s="501" t="s">
        <v>1676</v>
      </c>
      <c r="J86" s="502"/>
      <c r="K86" s="501" t="s">
        <v>4167</v>
      </c>
      <c r="L86" s="501" t="s">
        <v>2086</v>
      </c>
      <c r="M86" s="502">
        <v>44573</v>
      </c>
      <c r="N86" s="502">
        <v>44662</v>
      </c>
      <c r="O86" s="502"/>
      <c r="P86" s="353"/>
      <c r="Q86" s="502"/>
      <c r="R86" s="502"/>
      <c r="S86" s="501" t="s">
        <v>88</v>
      </c>
      <c r="T86" s="501">
        <v>60</v>
      </c>
      <c r="U86" s="501"/>
      <c r="V86" s="510" t="s">
        <v>1223</v>
      </c>
      <c r="W86" s="501">
        <v>360</v>
      </c>
      <c r="X86" s="354">
        <v>676</v>
      </c>
      <c r="Y86" s="397">
        <f t="shared" si="12"/>
        <v>243360</v>
      </c>
      <c r="Z86" s="478">
        <f>273.6/360</f>
        <v>0.76</v>
      </c>
      <c r="AA86" s="479">
        <f t="shared" si="20"/>
        <v>184953.60000000001</v>
      </c>
      <c r="AB86" s="480"/>
      <c r="AC86" s="481">
        <f t="shared" si="24"/>
        <v>0</v>
      </c>
      <c r="AD86" s="474"/>
      <c r="AE86" s="474"/>
      <c r="AF86" s="493">
        <f t="shared" si="21"/>
        <v>184953.60000000001</v>
      </c>
      <c r="AG86" s="474" t="s">
        <v>1071</v>
      </c>
      <c r="AH86" s="474"/>
      <c r="AI86" s="474">
        <v>60</v>
      </c>
      <c r="AJ86" s="475" t="s">
        <v>2098</v>
      </c>
      <c r="AK86" s="475" t="s">
        <v>50</v>
      </c>
      <c r="AL86" s="483" t="s">
        <v>2099</v>
      </c>
      <c r="AM86" s="474" t="s">
        <v>52</v>
      </c>
      <c r="AN86" s="384" t="s">
        <v>1074</v>
      </c>
      <c r="AO86" s="474" t="s">
        <v>1076</v>
      </c>
      <c r="AP86" s="474"/>
      <c r="AQ86" s="482" t="s">
        <v>37</v>
      </c>
      <c r="AR86" s="474" t="s">
        <v>1216</v>
      </c>
      <c r="AS86" s="473" t="s">
        <v>1492</v>
      </c>
      <c r="AT86" s="346"/>
      <c r="AU86" s="478">
        <f>273.6/360</f>
        <v>0.76</v>
      </c>
    </row>
    <row r="87" spans="1:47" s="471" customFormat="1">
      <c r="A87" s="495"/>
      <c r="B87" s="407"/>
      <c r="C87" s="495"/>
      <c r="D87" s="512" t="s">
        <v>86</v>
      </c>
      <c r="E87" s="352" t="s">
        <v>2196</v>
      </c>
      <c r="F87" s="501"/>
      <c r="G87" s="371">
        <v>2022</v>
      </c>
      <c r="H87" s="371" t="s">
        <v>3004</v>
      </c>
      <c r="I87" s="501" t="s">
        <v>1676</v>
      </c>
      <c r="J87" s="502"/>
      <c r="K87" s="501" t="s">
        <v>4168</v>
      </c>
      <c r="L87" s="501" t="s">
        <v>2086</v>
      </c>
      <c r="M87" s="502">
        <v>44573</v>
      </c>
      <c r="N87" s="502">
        <v>44697</v>
      </c>
      <c r="O87" s="502"/>
      <c r="P87" s="353"/>
      <c r="Q87" s="502"/>
      <c r="R87" s="502"/>
      <c r="S87" s="501" t="s">
        <v>88</v>
      </c>
      <c r="T87" s="501">
        <v>60</v>
      </c>
      <c r="U87" s="501"/>
      <c r="V87" s="510" t="s">
        <v>1223</v>
      </c>
      <c r="W87" s="501">
        <v>360</v>
      </c>
      <c r="X87" s="354">
        <v>676</v>
      </c>
      <c r="Y87" s="397">
        <f t="shared" si="12"/>
        <v>243360</v>
      </c>
      <c r="Z87" s="478">
        <f>273.6/360</f>
        <v>0.76</v>
      </c>
      <c r="AA87" s="479">
        <f t="shared" si="20"/>
        <v>184953.60000000001</v>
      </c>
      <c r="AB87" s="480"/>
      <c r="AC87" s="481">
        <f t="shared" si="24"/>
        <v>0</v>
      </c>
      <c r="AD87" s="474"/>
      <c r="AE87" s="474"/>
      <c r="AF87" s="493">
        <f t="shared" si="21"/>
        <v>184953.60000000001</v>
      </c>
      <c r="AG87" s="474" t="s">
        <v>1071</v>
      </c>
      <c r="AH87" s="474"/>
      <c r="AI87" s="474">
        <v>60</v>
      </c>
      <c r="AJ87" s="475" t="s">
        <v>2098</v>
      </c>
      <c r="AK87" s="475" t="s">
        <v>50</v>
      </c>
      <c r="AL87" s="483" t="s">
        <v>2099</v>
      </c>
      <c r="AM87" s="474" t="s">
        <v>52</v>
      </c>
      <c r="AN87" s="384" t="s">
        <v>1074</v>
      </c>
      <c r="AO87" s="474" t="s">
        <v>1076</v>
      </c>
      <c r="AP87" s="474"/>
      <c r="AQ87" s="482" t="s">
        <v>37</v>
      </c>
      <c r="AR87" s="474" t="s">
        <v>1216</v>
      </c>
      <c r="AS87" s="473" t="s">
        <v>1492</v>
      </c>
      <c r="AT87" s="346"/>
      <c r="AU87" s="478">
        <f>273.6/360</f>
        <v>0.76</v>
      </c>
    </row>
    <row r="88" spans="1:47" s="471" customFormat="1">
      <c r="A88" s="495"/>
      <c r="B88" s="407"/>
      <c r="C88" s="495"/>
      <c r="D88" s="512" t="s">
        <v>86</v>
      </c>
      <c r="E88" s="352" t="s">
        <v>4169</v>
      </c>
      <c r="F88" s="501"/>
      <c r="G88" s="371">
        <v>2022</v>
      </c>
      <c r="H88" s="371" t="s">
        <v>3004</v>
      </c>
      <c r="I88" s="501" t="s">
        <v>1676</v>
      </c>
      <c r="J88" s="502"/>
      <c r="K88" s="501" t="s">
        <v>4170</v>
      </c>
      <c r="L88" s="501" t="s">
        <v>2086</v>
      </c>
      <c r="M88" s="502">
        <v>44615</v>
      </c>
      <c r="N88" s="502">
        <v>44790</v>
      </c>
      <c r="O88" s="502"/>
      <c r="P88" s="353"/>
      <c r="Q88" s="502"/>
      <c r="R88" s="502"/>
      <c r="S88" s="501" t="s">
        <v>88</v>
      </c>
      <c r="T88" s="501">
        <v>60</v>
      </c>
      <c r="U88" s="501"/>
      <c r="V88" s="510" t="s">
        <v>973</v>
      </c>
      <c r="W88" s="501">
        <v>400</v>
      </c>
      <c r="X88" s="354">
        <v>832</v>
      </c>
      <c r="Y88" s="397">
        <f t="shared" si="12"/>
        <v>332800</v>
      </c>
      <c r="Z88" s="478">
        <f>208/400</f>
        <v>0.52</v>
      </c>
      <c r="AA88" s="479">
        <f t="shared" si="20"/>
        <v>173056</v>
      </c>
      <c r="AB88" s="480"/>
      <c r="AC88" s="481">
        <f t="shared" si="24"/>
        <v>0</v>
      </c>
      <c r="AD88" s="474"/>
      <c r="AE88" s="474"/>
      <c r="AF88" s="493">
        <f t="shared" si="21"/>
        <v>173056</v>
      </c>
      <c r="AG88" s="474" t="s">
        <v>1071</v>
      </c>
      <c r="AH88" s="474"/>
      <c r="AI88" s="474">
        <v>60</v>
      </c>
      <c r="AJ88" s="475" t="s">
        <v>2309</v>
      </c>
      <c r="AK88" s="475" t="s">
        <v>50</v>
      </c>
      <c r="AL88" s="483" t="s">
        <v>2310</v>
      </c>
      <c r="AM88" s="474" t="s">
        <v>52</v>
      </c>
      <c r="AN88" s="384" t="s">
        <v>1074</v>
      </c>
      <c r="AO88" s="474" t="s">
        <v>1076</v>
      </c>
      <c r="AP88" s="474"/>
      <c r="AQ88" s="482" t="s">
        <v>37</v>
      </c>
      <c r="AR88" s="474" t="s">
        <v>1216</v>
      </c>
      <c r="AS88" s="473" t="s">
        <v>1492</v>
      </c>
      <c r="AT88" s="346"/>
      <c r="AU88" s="478">
        <f>208/400</f>
        <v>0.52</v>
      </c>
    </row>
    <row r="89" spans="1:47" s="471" customFormat="1">
      <c r="A89" s="495"/>
      <c r="B89" s="407"/>
      <c r="C89" s="495"/>
      <c r="D89" s="512" t="s">
        <v>86</v>
      </c>
      <c r="E89" s="352" t="s">
        <v>4169</v>
      </c>
      <c r="F89" s="501"/>
      <c r="G89" s="371">
        <v>2022</v>
      </c>
      <c r="H89" s="371" t="s">
        <v>3004</v>
      </c>
      <c r="I89" s="501" t="s">
        <v>1676</v>
      </c>
      <c r="J89" s="502"/>
      <c r="K89" s="501" t="s">
        <v>4171</v>
      </c>
      <c r="L89" s="501" t="s">
        <v>2086</v>
      </c>
      <c r="M89" s="502">
        <v>44615</v>
      </c>
      <c r="N89" s="502">
        <v>44846</v>
      </c>
      <c r="O89" s="502"/>
      <c r="P89" s="353"/>
      <c r="Q89" s="502"/>
      <c r="R89" s="502"/>
      <c r="S89" s="501" t="s">
        <v>88</v>
      </c>
      <c r="T89" s="501">
        <v>60</v>
      </c>
      <c r="U89" s="501"/>
      <c r="V89" s="510" t="s">
        <v>973</v>
      </c>
      <c r="W89" s="501">
        <v>400</v>
      </c>
      <c r="X89" s="354">
        <v>832</v>
      </c>
      <c r="Y89" s="397">
        <f t="shared" si="12"/>
        <v>332800</v>
      </c>
      <c r="Z89" s="478">
        <f>208/400</f>
        <v>0.52</v>
      </c>
      <c r="AA89" s="479">
        <f t="shared" si="20"/>
        <v>173056</v>
      </c>
      <c r="AB89" s="480"/>
      <c r="AC89" s="481">
        <f t="shared" si="24"/>
        <v>0</v>
      </c>
      <c r="AD89" s="474"/>
      <c r="AE89" s="474"/>
      <c r="AF89" s="493">
        <f t="shared" si="21"/>
        <v>173056</v>
      </c>
      <c r="AG89" s="474" t="s">
        <v>1071</v>
      </c>
      <c r="AH89" s="474"/>
      <c r="AI89" s="474">
        <v>60</v>
      </c>
      <c r="AJ89" s="475" t="s">
        <v>2309</v>
      </c>
      <c r="AK89" s="475" t="s">
        <v>50</v>
      </c>
      <c r="AL89" s="483" t="s">
        <v>2310</v>
      </c>
      <c r="AM89" s="474" t="s">
        <v>52</v>
      </c>
      <c r="AN89" s="384" t="s">
        <v>1074</v>
      </c>
      <c r="AO89" s="474" t="s">
        <v>1076</v>
      </c>
      <c r="AP89" s="474"/>
      <c r="AQ89" s="482" t="s">
        <v>37</v>
      </c>
      <c r="AR89" s="474" t="s">
        <v>1216</v>
      </c>
      <c r="AS89" s="473" t="s">
        <v>1492</v>
      </c>
      <c r="AT89" s="346"/>
      <c r="AU89" s="478">
        <f>208/400</f>
        <v>0.52</v>
      </c>
    </row>
    <row r="90" spans="1:47" s="471" customFormat="1">
      <c r="A90" s="495"/>
      <c r="B90" s="407"/>
      <c r="C90" s="495"/>
      <c r="D90" s="512" t="s">
        <v>86</v>
      </c>
      <c r="E90" s="352" t="s">
        <v>4169</v>
      </c>
      <c r="F90" s="501"/>
      <c r="G90" s="371">
        <v>2022</v>
      </c>
      <c r="H90" s="371" t="s">
        <v>3004</v>
      </c>
      <c r="I90" s="501" t="s">
        <v>1676</v>
      </c>
      <c r="J90" s="502"/>
      <c r="K90" s="501" t="s">
        <v>5625</v>
      </c>
      <c r="L90" s="501" t="s">
        <v>2086</v>
      </c>
      <c r="M90" s="502">
        <v>44615</v>
      </c>
      <c r="N90" s="502">
        <v>44755</v>
      </c>
      <c r="O90" s="502"/>
      <c r="P90" s="353"/>
      <c r="Q90" s="502"/>
      <c r="R90" s="502"/>
      <c r="S90" s="501" t="s">
        <v>88</v>
      </c>
      <c r="T90" s="501">
        <v>60</v>
      </c>
      <c r="U90" s="501"/>
      <c r="V90" s="510" t="s">
        <v>973</v>
      </c>
      <c r="W90" s="501">
        <v>400</v>
      </c>
      <c r="X90" s="354">
        <v>832</v>
      </c>
      <c r="Y90" s="397">
        <f t="shared" si="12"/>
        <v>332800</v>
      </c>
      <c r="Z90" s="478">
        <f>256/400</f>
        <v>0.64</v>
      </c>
      <c r="AA90" s="479">
        <f t="shared" si="20"/>
        <v>212992</v>
      </c>
      <c r="AB90" s="480"/>
      <c r="AC90" s="481">
        <f t="shared" si="24"/>
        <v>0</v>
      </c>
      <c r="AD90" s="474"/>
      <c r="AE90" s="474"/>
      <c r="AF90" s="493">
        <f t="shared" si="21"/>
        <v>212992</v>
      </c>
      <c r="AG90" s="474" t="s">
        <v>1071</v>
      </c>
      <c r="AH90" s="474"/>
      <c r="AI90" s="474">
        <v>60</v>
      </c>
      <c r="AJ90" s="475" t="s">
        <v>2309</v>
      </c>
      <c r="AK90" s="475" t="s">
        <v>50</v>
      </c>
      <c r="AL90" s="483" t="s">
        <v>2310</v>
      </c>
      <c r="AM90" s="474" t="s">
        <v>52</v>
      </c>
      <c r="AN90" s="384" t="s">
        <v>1074</v>
      </c>
      <c r="AO90" s="474" t="s">
        <v>1076</v>
      </c>
      <c r="AP90" s="474"/>
      <c r="AQ90" s="482" t="s">
        <v>37</v>
      </c>
      <c r="AR90" s="474" t="s">
        <v>1216</v>
      </c>
      <c r="AS90" s="473" t="s">
        <v>1492</v>
      </c>
      <c r="AT90" s="346"/>
      <c r="AU90" s="478">
        <f>208/400</f>
        <v>0.52</v>
      </c>
    </row>
    <row r="91" spans="1:47" s="471" customFormat="1">
      <c r="A91" s="495"/>
      <c r="B91" s="407"/>
      <c r="C91" s="495"/>
      <c r="D91" s="512" t="s">
        <v>86</v>
      </c>
      <c r="E91" s="352" t="s">
        <v>4169</v>
      </c>
      <c r="F91" s="501"/>
      <c r="G91" s="371">
        <v>2022</v>
      </c>
      <c r="H91" s="371" t="s">
        <v>3004</v>
      </c>
      <c r="I91" s="501" t="s">
        <v>1676</v>
      </c>
      <c r="J91" s="502"/>
      <c r="K91" s="501" t="s">
        <v>4172</v>
      </c>
      <c r="L91" s="501" t="s">
        <v>2086</v>
      </c>
      <c r="M91" s="502">
        <v>44615</v>
      </c>
      <c r="N91" s="502">
        <v>44881</v>
      </c>
      <c r="O91" s="502"/>
      <c r="P91" s="353"/>
      <c r="Q91" s="502"/>
      <c r="R91" s="502"/>
      <c r="S91" s="501" t="s">
        <v>88</v>
      </c>
      <c r="T91" s="501">
        <v>60</v>
      </c>
      <c r="U91" s="501"/>
      <c r="V91" s="510" t="s">
        <v>973</v>
      </c>
      <c r="W91" s="501">
        <v>400</v>
      </c>
      <c r="X91" s="354">
        <v>832</v>
      </c>
      <c r="Y91" s="397">
        <f t="shared" si="12"/>
        <v>332800</v>
      </c>
      <c r="Z91" s="478">
        <f>208/400</f>
        <v>0.52</v>
      </c>
      <c r="AA91" s="479">
        <f t="shared" si="20"/>
        <v>173056</v>
      </c>
      <c r="AB91" s="480"/>
      <c r="AC91" s="481">
        <f t="shared" si="24"/>
        <v>0</v>
      </c>
      <c r="AD91" s="474"/>
      <c r="AE91" s="474"/>
      <c r="AF91" s="493">
        <f t="shared" si="21"/>
        <v>173056</v>
      </c>
      <c r="AG91" s="474" t="s">
        <v>1071</v>
      </c>
      <c r="AH91" s="474"/>
      <c r="AI91" s="474">
        <v>60</v>
      </c>
      <c r="AJ91" s="475" t="s">
        <v>2098</v>
      </c>
      <c r="AK91" s="475" t="s">
        <v>50</v>
      </c>
      <c r="AL91" s="483" t="s">
        <v>2099</v>
      </c>
      <c r="AM91" s="474" t="s">
        <v>52</v>
      </c>
      <c r="AN91" s="384" t="s">
        <v>1074</v>
      </c>
      <c r="AO91" s="474" t="s">
        <v>1076</v>
      </c>
      <c r="AP91" s="474"/>
      <c r="AQ91" s="482" t="s">
        <v>37</v>
      </c>
      <c r="AR91" s="474" t="s">
        <v>1216</v>
      </c>
      <c r="AS91" s="473" t="s">
        <v>1492</v>
      </c>
      <c r="AT91" s="346"/>
      <c r="AU91" s="478">
        <f>208/400</f>
        <v>0.52</v>
      </c>
    </row>
    <row r="92" spans="1:47" s="471" customFormat="1">
      <c r="A92" s="495"/>
      <c r="B92" s="407"/>
      <c r="C92" s="495"/>
      <c r="D92" s="512" t="s">
        <v>86</v>
      </c>
      <c r="E92" s="352"/>
      <c r="F92" s="501"/>
      <c r="G92" s="371">
        <v>2022</v>
      </c>
      <c r="H92" s="371" t="s">
        <v>3004</v>
      </c>
      <c r="I92" s="501" t="s">
        <v>1676</v>
      </c>
      <c r="J92" s="502"/>
      <c r="K92" s="501" t="s">
        <v>4173</v>
      </c>
      <c r="L92" s="501" t="s">
        <v>2011</v>
      </c>
      <c r="M92" s="502">
        <v>44557</v>
      </c>
      <c r="N92" s="502">
        <v>44606</v>
      </c>
      <c r="O92" s="502"/>
      <c r="P92" s="353"/>
      <c r="Q92" s="502"/>
      <c r="R92" s="502"/>
      <c r="S92" s="501" t="s">
        <v>1688</v>
      </c>
      <c r="T92" s="501">
        <v>60</v>
      </c>
      <c r="U92" s="501"/>
      <c r="V92" s="510" t="s">
        <v>986</v>
      </c>
      <c r="W92" s="501">
        <v>360</v>
      </c>
      <c r="X92" s="354">
        <v>1664</v>
      </c>
      <c r="Y92" s="397">
        <f t="shared" si="12"/>
        <v>599040</v>
      </c>
      <c r="Z92" s="478">
        <f>190.8/360</f>
        <v>0.53</v>
      </c>
      <c r="AA92" s="479">
        <f t="shared" si="20"/>
        <v>317491.20000000001</v>
      </c>
      <c r="AB92" s="480"/>
      <c r="AC92" s="481">
        <f t="shared" si="24"/>
        <v>0</v>
      </c>
      <c r="AD92" s="474"/>
      <c r="AE92" s="474"/>
      <c r="AF92" s="493">
        <f t="shared" si="21"/>
        <v>317491.20000000001</v>
      </c>
      <c r="AG92" s="474" t="s">
        <v>1071</v>
      </c>
      <c r="AH92" s="474"/>
      <c r="AI92" s="474">
        <v>60</v>
      </c>
      <c r="AJ92" s="475" t="s">
        <v>2012</v>
      </c>
      <c r="AK92" s="475" t="s">
        <v>50</v>
      </c>
      <c r="AL92" s="483" t="s">
        <v>2013</v>
      </c>
      <c r="AM92" s="474" t="s">
        <v>52</v>
      </c>
      <c r="AN92" s="384"/>
      <c r="AO92" s="474" t="s">
        <v>1076</v>
      </c>
      <c r="AP92" s="474"/>
      <c r="AQ92" s="482" t="s">
        <v>37</v>
      </c>
      <c r="AR92" s="474"/>
      <c r="AS92" s="473"/>
      <c r="AT92" s="346"/>
      <c r="AU92" s="478">
        <f t="shared" ref="AU92:AU97" si="25">180/360</f>
        <v>0.5</v>
      </c>
    </row>
    <row r="93" spans="1:47" s="471" customFormat="1">
      <c r="A93" s="495"/>
      <c r="B93" s="407">
        <v>44641</v>
      </c>
      <c r="C93" s="495"/>
      <c r="D93" s="512" t="s">
        <v>86</v>
      </c>
      <c r="E93" s="352"/>
      <c r="F93" s="501"/>
      <c r="G93" s="371">
        <v>2022</v>
      </c>
      <c r="H93" s="371" t="s">
        <v>3004</v>
      </c>
      <c r="I93" s="501" t="s">
        <v>1676</v>
      </c>
      <c r="J93" s="502"/>
      <c r="K93" s="501" t="s">
        <v>4174</v>
      </c>
      <c r="L93" s="501" t="s">
        <v>2011</v>
      </c>
      <c r="M93" s="502">
        <v>44557</v>
      </c>
      <c r="N93" s="502">
        <v>44634</v>
      </c>
      <c r="O93" s="502"/>
      <c r="P93" s="353"/>
      <c r="Q93" s="502"/>
      <c r="R93" s="502"/>
      <c r="S93" s="501" t="s">
        <v>1688</v>
      </c>
      <c r="T93" s="501">
        <v>60</v>
      </c>
      <c r="U93" s="501"/>
      <c r="V93" s="510" t="s">
        <v>986</v>
      </c>
      <c r="W93" s="501">
        <v>360</v>
      </c>
      <c r="X93" s="354">
        <v>1664</v>
      </c>
      <c r="Y93" s="397">
        <f t="shared" si="12"/>
        <v>599040</v>
      </c>
      <c r="Z93" s="478">
        <f>190.8/360</f>
        <v>0.53</v>
      </c>
      <c r="AA93" s="479">
        <f t="shared" si="20"/>
        <v>317491.20000000001</v>
      </c>
      <c r="AB93" s="480"/>
      <c r="AC93" s="481">
        <f t="shared" si="24"/>
        <v>0</v>
      </c>
      <c r="AD93" s="474"/>
      <c r="AE93" s="474"/>
      <c r="AF93" s="493">
        <f t="shared" si="21"/>
        <v>317491.20000000001</v>
      </c>
      <c r="AG93" s="474" t="s">
        <v>1071</v>
      </c>
      <c r="AH93" s="474"/>
      <c r="AI93" s="474">
        <v>60</v>
      </c>
      <c r="AJ93" s="475" t="s">
        <v>2012</v>
      </c>
      <c r="AK93" s="475" t="s">
        <v>50</v>
      </c>
      <c r="AL93" s="483" t="s">
        <v>2013</v>
      </c>
      <c r="AM93" s="474" t="s">
        <v>52</v>
      </c>
      <c r="AN93" s="384"/>
      <c r="AO93" s="474" t="s">
        <v>1076</v>
      </c>
      <c r="AP93" s="474"/>
      <c r="AQ93" s="482" t="s">
        <v>37</v>
      </c>
      <c r="AR93" s="474"/>
      <c r="AS93" s="473"/>
      <c r="AT93" s="346"/>
      <c r="AU93" s="478">
        <f t="shared" si="25"/>
        <v>0.5</v>
      </c>
    </row>
    <row r="94" spans="1:47" s="471" customFormat="1">
      <c r="A94" s="495"/>
      <c r="B94" s="407">
        <v>44642</v>
      </c>
      <c r="C94" s="495"/>
      <c r="D94" s="512" t="s">
        <v>86</v>
      </c>
      <c r="E94" s="352"/>
      <c r="F94" s="501"/>
      <c r="G94" s="371">
        <v>2022</v>
      </c>
      <c r="H94" s="371" t="s">
        <v>3004</v>
      </c>
      <c r="I94" s="501" t="s">
        <v>1676</v>
      </c>
      <c r="J94" s="502"/>
      <c r="K94" s="501" t="s">
        <v>4175</v>
      </c>
      <c r="L94" s="501" t="s">
        <v>2011</v>
      </c>
      <c r="M94" s="502">
        <v>44557</v>
      </c>
      <c r="N94" s="502">
        <v>44697</v>
      </c>
      <c r="O94" s="502"/>
      <c r="P94" s="353"/>
      <c r="Q94" s="502"/>
      <c r="R94" s="502"/>
      <c r="S94" s="501" t="s">
        <v>1688</v>
      </c>
      <c r="T94" s="501">
        <v>60</v>
      </c>
      <c r="U94" s="501"/>
      <c r="V94" s="510" t="s">
        <v>986</v>
      </c>
      <c r="W94" s="501">
        <v>360</v>
      </c>
      <c r="X94" s="354">
        <v>1664</v>
      </c>
      <c r="Y94" s="397">
        <f t="shared" si="12"/>
        <v>599040</v>
      </c>
      <c r="Z94" s="478">
        <f>190.8/360</f>
        <v>0.53</v>
      </c>
      <c r="AA94" s="479">
        <f t="shared" si="20"/>
        <v>317491.20000000001</v>
      </c>
      <c r="AB94" s="480"/>
      <c r="AC94" s="481">
        <f t="shared" si="24"/>
        <v>0</v>
      </c>
      <c r="AD94" s="474"/>
      <c r="AE94" s="474"/>
      <c r="AF94" s="493">
        <f t="shared" si="21"/>
        <v>317491.20000000001</v>
      </c>
      <c r="AG94" s="474" t="s">
        <v>1071</v>
      </c>
      <c r="AH94" s="474"/>
      <c r="AI94" s="474">
        <v>60</v>
      </c>
      <c r="AJ94" s="475" t="s">
        <v>2012</v>
      </c>
      <c r="AK94" s="475" t="s">
        <v>50</v>
      </c>
      <c r="AL94" s="483" t="s">
        <v>2013</v>
      </c>
      <c r="AM94" s="474" t="s">
        <v>52</v>
      </c>
      <c r="AN94" s="384"/>
      <c r="AO94" s="474" t="s">
        <v>1076</v>
      </c>
      <c r="AP94" s="474"/>
      <c r="AQ94" s="482" t="s">
        <v>37</v>
      </c>
      <c r="AR94" s="474"/>
      <c r="AS94" s="473"/>
      <c r="AT94" s="346"/>
      <c r="AU94" s="478">
        <f t="shared" si="25"/>
        <v>0.5</v>
      </c>
    </row>
    <row r="95" spans="1:47" s="471" customFormat="1">
      <c r="A95" s="495"/>
      <c r="B95" s="407">
        <v>44642</v>
      </c>
      <c r="C95" s="495"/>
      <c r="D95" s="512" t="s">
        <v>86</v>
      </c>
      <c r="E95" s="352"/>
      <c r="F95" s="501"/>
      <c r="G95" s="371">
        <v>2022</v>
      </c>
      <c r="H95" s="371" t="s">
        <v>3004</v>
      </c>
      <c r="I95" s="501" t="s">
        <v>1676</v>
      </c>
      <c r="J95" s="502"/>
      <c r="K95" s="501" t="s">
        <v>2214</v>
      </c>
      <c r="L95" s="501" t="s">
        <v>2011</v>
      </c>
      <c r="M95" s="502">
        <v>44557</v>
      </c>
      <c r="N95" s="502">
        <v>44676</v>
      </c>
      <c r="O95" s="502"/>
      <c r="P95" s="353"/>
      <c r="Q95" s="502"/>
      <c r="R95" s="502"/>
      <c r="S95" s="501" t="s">
        <v>1688</v>
      </c>
      <c r="T95" s="501">
        <v>60</v>
      </c>
      <c r="U95" s="501"/>
      <c r="V95" s="510" t="s">
        <v>986</v>
      </c>
      <c r="W95" s="501">
        <v>360</v>
      </c>
      <c r="X95" s="354">
        <v>1664</v>
      </c>
      <c r="Y95" s="397">
        <f t="shared" si="12"/>
        <v>599040</v>
      </c>
      <c r="Z95" s="478">
        <f>190.8/360</f>
        <v>0.53</v>
      </c>
      <c r="AA95" s="479">
        <f t="shared" si="20"/>
        <v>317491.20000000001</v>
      </c>
      <c r="AB95" s="480"/>
      <c r="AC95" s="481">
        <f t="shared" si="24"/>
        <v>0</v>
      </c>
      <c r="AD95" s="474"/>
      <c r="AE95" s="474"/>
      <c r="AF95" s="493">
        <f t="shared" si="21"/>
        <v>317491.20000000001</v>
      </c>
      <c r="AG95" s="474" t="s">
        <v>1071</v>
      </c>
      <c r="AH95" s="474"/>
      <c r="AI95" s="474">
        <v>60</v>
      </c>
      <c r="AJ95" s="475" t="s">
        <v>2012</v>
      </c>
      <c r="AK95" s="475" t="s">
        <v>50</v>
      </c>
      <c r="AL95" s="483" t="s">
        <v>2013</v>
      </c>
      <c r="AM95" s="474" t="s">
        <v>52</v>
      </c>
      <c r="AN95" s="384"/>
      <c r="AO95" s="474" t="s">
        <v>1076</v>
      </c>
      <c r="AP95" s="474"/>
      <c r="AQ95" s="482" t="s">
        <v>37</v>
      </c>
      <c r="AR95" s="474"/>
      <c r="AS95" s="473"/>
      <c r="AT95" s="346"/>
      <c r="AU95" s="478">
        <f t="shared" si="25"/>
        <v>0.5</v>
      </c>
    </row>
    <row r="96" spans="1:47" s="471" customFormat="1">
      <c r="A96" s="495"/>
      <c r="B96" s="407"/>
      <c r="C96" s="495"/>
      <c r="D96" s="512" t="s">
        <v>86</v>
      </c>
      <c r="E96" s="352" t="s">
        <v>4230</v>
      </c>
      <c r="F96" s="501"/>
      <c r="G96" s="371">
        <v>2022</v>
      </c>
      <c r="H96" s="371" t="s">
        <v>3004</v>
      </c>
      <c r="I96" s="501" t="s">
        <v>1676</v>
      </c>
      <c r="J96" s="502"/>
      <c r="K96" s="501" t="s">
        <v>5481</v>
      </c>
      <c r="L96" s="501" t="s">
        <v>2011</v>
      </c>
      <c r="M96" s="502">
        <v>44567</v>
      </c>
      <c r="N96" s="502">
        <v>44816</v>
      </c>
      <c r="O96" s="502"/>
      <c r="P96" s="353"/>
      <c r="Q96" s="502"/>
      <c r="R96" s="502"/>
      <c r="S96" s="501" t="s">
        <v>1688</v>
      </c>
      <c r="T96" s="501">
        <v>60</v>
      </c>
      <c r="U96" s="501"/>
      <c r="V96" s="510" t="s">
        <v>973</v>
      </c>
      <c r="W96" s="501">
        <v>400</v>
      </c>
      <c r="X96" s="354">
        <v>2496</v>
      </c>
      <c r="Y96" s="397">
        <f t="shared" si="12"/>
        <v>998400</v>
      </c>
      <c r="Z96" s="478">
        <f>208/400</f>
        <v>0.52</v>
      </c>
      <c r="AA96" s="479">
        <f t="shared" si="20"/>
        <v>519168</v>
      </c>
      <c r="AB96" s="480"/>
      <c r="AC96" s="481">
        <f t="shared" si="24"/>
        <v>0</v>
      </c>
      <c r="AD96" s="474"/>
      <c r="AE96" s="474"/>
      <c r="AF96" s="493">
        <f t="shared" si="21"/>
        <v>519168</v>
      </c>
      <c r="AG96" s="474" t="s">
        <v>1071</v>
      </c>
      <c r="AH96" s="474"/>
      <c r="AI96" s="474">
        <v>60</v>
      </c>
      <c r="AJ96" s="475" t="s">
        <v>2012</v>
      </c>
      <c r="AK96" s="475" t="s">
        <v>50</v>
      </c>
      <c r="AL96" s="483" t="s">
        <v>2013</v>
      </c>
      <c r="AM96" s="474" t="s">
        <v>52</v>
      </c>
      <c r="AN96" s="384"/>
      <c r="AO96" s="474" t="s">
        <v>1076</v>
      </c>
      <c r="AP96" s="474"/>
      <c r="AQ96" s="482" t="s">
        <v>37</v>
      </c>
      <c r="AR96" s="474"/>
      <c r="AS96" s="473"/>
      <c r="AT96" s="346"/>
      <c r="AU96" s="478">
        <f t="shared" si="25"/>
        <v>0.5</v>
      </c>
    </row>
    <row r="97" spans="1:47" s="471" customFormat="1">
      <c r="A97" s="495"/>
      <c r="B97" s="407">
        <v>44586</v>
      </c>
      <c r="C97" s="495"/>
      <c r="D97" s="512" t="s">
        <v>86</v>
      </c>
      <c r="E97" s="352" t="s">
        <v>4176</v>
      </c>
      <c r="F97" s="501"/>
      <c r="G97" s="371">
        <v>2022</v>
      </c>
      <c r="H97" s="371" t="s">
        <v>3004</v>
      </c>
      <c r="I97" s="501" t="s">
        <v>1676</v>
      </c>
      <c r="J97" s="502"/>
      <c r="K97" s="501" t="s">
        <v>4177</v>
      </c>
      <c r="L97" s="501" t="s">
        <v>2025</v>
      </c>
      <c r="M97" s="502">
        <v>44566</v>
      </c>
      <c r="N97" s="502">
        <v>44683</v>
      </c>
      <c r="O97" s="502"/>
      <c r="P97" s="353"/>
      <c r="Q97" s="502"/>
      <c r="R97" s="502"/>
      <c r="S97" s="501" t="s">
        <v>1704</v>
      </c>
      <c r="T97" s="501">
        <v>60</v>
      </c>
      <c r="U97" s="501"/>
      <c r="V97" s="510" t="s">
        <v>986</v>
      </c>
      <c r="W97" s="501">
        <v>360</v>
      </c>
      <c r="X97" s="354">
        <v>1536</v>
      </c>
      <c r="Y97" s="397">
        <f t="shared" si="12"/>
        <v>552960</v>
      </c>
      <c r="Z97" s="478">
        <f>190.8/360</f>
        <v>0.53</v>
      </c>
      <c r="AA97" s="479">
        <f t="shared" si="20"/>
        <v>293068.79999999999</v>
      </c>
      <c r="AB97" s="480"/>
      <c r="AC97" s="481">
        <f t="shared" si="24"/>
        <v>0</v>
      </c>
      <c r="AD97" s="474"/>
      <c r="AE97" s="474"/>
      <c r="AF97" s="493">
        <f t="shared" si="21"/>
        <v>293068.79999999999</v>
      </c>
      <c r="AG97" s="474" t="s">
        <v>1071</v>
      </c>
      <c r="AH97" s="474"/>
      <c r="AI97" s="474">
        <v>60</v>
      </c>
      <c r="AJ97" s="475" t="s">
        <v>2026</v>
      </c>
      <c r="AK97" s="475" t="s">
        <v>50</v>
      </c>
      <c r="AL97" s="483">
        <v>95403</v>
      </c>
      <c r="AM97" s="474" t="s">
        <v>52</v>
      </c>
      <c r="AN97" s="384" t="s">
        <v>50</v>
      </c>
      <c r="AO97" s="474" t="s">
        <v>1076</v>
      </c>
      <c r="AP97" s="474" t="s">
        <v>92</v>
      </c>
      <c r="AQ97" s="482" t="s">
        <v>37</v>
      </c>
      <c r="AR97" s="474" t="s">
        <v>1216</v>
      </c>
      <c r="AS97" s="473" t="s">
        <v>1492</v>
      </c>
      <c r="AT97" s="346"/>
      <c r="AU97" s="478">
        <f t="shared" si="25"/>
        <v>0.5</v>
      </c>
    </row>
    <row r="98" spans="1:47" s="471" customFormat="1">
      <c r="A98" s="495"/>
      <c r="B98" s="407">
        <v>44586</v>
      </c>
      <c r="C98" s="495"/>
      <c r="D98" s="512" t="s">
        <v>86</v>
      </c>
      <c r="E98" s="352" t="s">
        <v>2984</v>
      </c>
      <c r="F98" s="501"/>
      <c r="G98" s="371">
        <v>2022</v>
      </c>
      <c r="H98" s="371" t="s">
        <v>3004</v>
      </c>
      <c r="I98" s="501" t="s">
        <v>1676</v>
      </c>
      <c r="J98" s="502"/>
      <c r="K98" s="501" t="s">
        <v>4178</v>
      </c>
      <c r="L98" s="501" t="s">
        <v>2025</v>
      </c>
      <c r="M98" s="502">
        <v>44566</v>
      </c>
      <c r="N98" s="502">
        <v>44683</v>
      </c>
      <c r="O98" s="502"/>
      <c r="P98" s="353"/>
      <c r="Q98" s="502"/>
      <c r="R98" s="502"/>
      <c r="S98" s="501" t="s">
        <v>1704</v>
      </c>
      <c r="T98" s="501">
        <v>60</v>
      </c>
      <c r="U98" s="501"/>
      <c r="V98" s="510" t="s">
        <v>973</v>
      </c>
      <c r="W98" s="501">
        <v>400</v>
      </c>
      <c r="X98" s="354">
        <v>768</v>
      </c>
      <c r="Y98" s="397">
        <f t="shared" si="12"/>
        <v>307200</v>
      </c>
      <c r="Z98" s="478">
        <f>220/400</f>
        <v>0.55000000000000004</v>
      </c>
      <c r="AA98" s="479">
        <f t="shared" si="20"/>
        <v>168960</v>
      </c>
      <c r="AB98" s="480"/>
      <c r="AC98" s="481">
        <f t="shared" si="24"/>
        <v>0</v>
      </c>
      <c r="AD98" s="474"/>
      <c r="AE98" s="474"/>
      <c r="AF98" s="493">
        <f t="shared" si="21"/>
        <v>168960</v>
      </c>
      <c r="AG98" s="474" t="s">
        <v>1071</v>
      </c>
      <c r="AH98" s="474"/>
      <c r="AI98" s="474">
        <v>60</v>
      </c>
      <c r="AJ98" s="475" t="s">
        <v>2026</v>
      </c>
      <c r="AK98" s="475" t="s">
        <v>50</v>
      </c>
      <c r="AL98" s="483">
        <v>95403</v>
      </c>
      <c r="AM98" s="474" t="s">
        <v>52</v>
      </c>
      <c r="AN98" s="384" t="s">
        <v>50</v>
      </c>
      <c r="AO98" s="474" t="s">
        <v>1076</v>
      </c>
      <c r="AP98" s="474" t="s">
        <v>92</v>
      </c>
      <c r="AQ98" s="482" t="s">
        <v>37</v>
      </c>
      <c r="AR98" s="474" t="s">
        <v>1216</v>
      </c>
      <c r="AS98" s="473" t="s">
        <v>1492</v>
      </c>
      <c r="AT98" s="346"/>
      <c r="AU98" s="478">
        <f>208/400</f>
        <v>0.52</v>
      </c>
    </row>
    <row r="99" spans="1:47" s="471" customFormat="1">
      <c r="A99" s="495"/>
      <c r="B99" s="407">
        <v>44586</v>
      </c>
      <c r="C99" s="495"/>
      <c r="D99" s="512" t="s">
        <v>86</v>
      </c>
      <c r="E99" s="352" t="s">
        <v>4179</v>
      </c>
      <c r="F99" s="501"/>
      <c r="G99" s="371">
        <v>2022</v>
      </c>
      <c r="H99" s="371" t="s">
        <v>3004</v>
      </c>
      <c r="I99" s="501" t="s">
        <v>1676</v>
      </c>
      <c r="J99" s="502"/>
      <c r="K99" s="501" t="s">
        <v>4180</v>
      </c>
      <c r="L99" s="501" t="s">
        <v>2025</v>
      </c>
      <c r="M99" s="502">
        <v>44566</v>
      </c>
      <c r="N99" s="502">
        <v>44713</v>
      </c>
      <c r="O99" s="502"/>
      <c r="P99" s="353"/>
      <c r="Q99" s="502"/>
      <c r="R99" s="502"/>
      <c r="S99" s="501" t="s">
        <v>1704</v>
      </c>
      <c r="T99" s="501">
        <v>60</v>
      </c>
      <c r="U99" s="501"/>
      <c r="V99" s="510" t="s">
        <v>986</v>
      </c>
      <c r="W99" s="501">
        <v>360</v>
      </c>
      <c r="X99" s="354">
        <v>1536</v>
      </c>
      <c r="Y99" s="397">
        <f t="shared" si="12"/>
        <v>552960</v>
      </c>
      <c r="Z99" s="478">
        <f>190.8/360</f>
        <v>0.53</v>
      </c>
      <c r="AA99" s="479">
        <f t="shared" si="20"/>
        <v>293068.79999999999</v>
      </c>
      <c r="AB99" s="480"/>
      <c r="AC99" s="481">
        <f t="shared" si="24"/>
        <v>0</v>
      </c>
      <c r="AD99" s="474"/>
      <c r="AE99" s="474"/>
      <c r="AF99" s="493">
        <f t="shared" si="21"/>
        <v>293068.79999999999</v>
      </c>
      <c r="AG99" s="474" t="s">
        <v>1071</v>
      </c>
      <c r="AH99" s="474"/>
      <c r="AI99" s="474">
        <v>60</v>
      </c>
      <c r="AJ99" s="475" t="s">
        <v>2026</v>
      </c>
      <c r="AK99" s="475" t="s">
        <v>50</v>
      </c>
      <c r="AL99" s="483">
        <v>95403</v>
      </c>
      <c r="AM99" s="474" t="s">
        <v>52</v>
      </c>
      <c r="AN99" s="384" t="s">
        <v>50</v>
      </c>
      <c r="AO99" s="474" t="s">
        <v>1076</v>
      </c>
      <c r="AP99" s="474" t="s">
        <v>92</v>
      </c>
      <c r="AQ99" s="482" t="s">
        <v>37</v>
      </c>
      <c r="AR99" s="474" t="s">
        <v>1216</v>
      </c>
      <c r="AS99" s="473" t="s">
        <v>1492</v>
      </c>
      <c r="AT99" s="346"/>
      <c r="AU99" s="478">
        <f>180/360</f>
        <v>0.5</v>
      </c>
    </row>
    <row r="100" spans="1:47" s="471" customFormat="1">
      <c r="A100" s="495"/>
      <c r="B100" s="407">
        <v>44586</v>
      </c>
      <c r="C100" s="495"/>
      <c r="D100" s="512" t="s">
        <v>86</v>
      </c>
      <c r="E100" s="352" t="s">
        <v>4179</v>
      </c>
      <c r="F100" s="501"/>
      <c r="G100" s="371">
        <v>2022</v>
      </c>
      <c r="H100" s="371" t="s">
        <v>3004</v>
      </c>
      <c r="I100" s="501" t="s">
        <v>1676</v>
      </c>
      <c r="J100" s="502"/>
      <c r="K100" s="501" t="s">
        <v>4180</v>
      </c>
      <c r="L100" s="501" t="s">
        <v>2025</v>
      </c>
      <c r="M100" s="502">
        <v>44566</v>
      </c>
      <c r="N100" s="502">
        <v>44713</v>
      </c>
      <c r="O100" s="502"/>
      <c r="P100" s="353"/>
      <c r="Q100" s="502"/>
      <c r="R100" s="502"/>
      <c r="S100" s="501" t="s">
        <v>1704</v>
      </c>
      <c r="T100" s="501">
        <v>60</v>
      </c>
      <c r="U100" s="501"/>
      <c r="V100" s="510" t="s">
        <v>973</v>
      </c>
      <c r="W100" s="501">
        <v>400</v>
      </c>
      <c r="X100" s="354">
        <v>768</v>
      </c>
      <c r="Y100" s="397">
        <f t="shared" si="12"/>
        <v>307200</v>
      </c>
      <c r="Z100" s="478">
        <f>220/400</f>
        <v>0.55000000000000004</v>
      </c>
      <c r="AA100" s="479">
        <f t="shared" si="20"/>
        <v>168960</v>
      </c>
      <c r="AB100" s="480"/>
      <c r="AC100" s="481">
        <f t="shared" si="24"/>
        <v>0</v>
      </c>
      <c r="AD100" s="474"/>
      <c r="AE100" s="474"/>
      <c r="AF100" s="493">
        <f t="shared" si="21"/>
        <v>168960</v>
      </c>
      <c r="AG100" s="474" t="s">
        <v>1071</v>
      </c>
      <c r="AH100" s="474"/>
      <c r="AI100" s="474">
        <v>60</v>
      </c>
      <c r="AJ100" s="475" t="s">
        <v>2026</v>
      </c>
      <c r="AK100" s="475" t="s">
        <v>50</v>
      </c>
      <c r="AL100" s="483">
        <v>95403</v>
      </c>
      <c r="AM100" s="474" t="s">
        <v>52</v>
      </c>
      <c r="AN100" s="384" t="s">
        <v>50</v>
      </c>
      <c r="AO100" s="474" t="s">
        <v>1076</v>
      </c>
      <c r="AP100" s="474" t="s">
        <v>92</v>
      </c>
      <c r="AQ100" s="482" t="s">
        <v>37</v>
      </c>
      <c r="AR100" s="474" t="s">
        <v>1216</v>
      </c>
      <c r="AS100" s="473" t="s">
        <v>1492</v>
      </c>
      <c r="AT100" s="346"/>
      <c r="AU100" s="478">
        <f>180/360</f>
        <v>0.5</v>
      </c>
    </row>
    <row r="101" spans="1:47" s="471" customFormat="1">
      <c r="A101" s="495"/>
      <c r="B101" s="407"/>
      <c r="C101" s="495"/>
      <c r="D101" s="512" t="s">
        <v>86</v>
      </c>
      <c r="E101" s="352" t="s">
        <v>4181</v>
      </c>
      <c r="F101" s="501"/>
      <c r="G101" s="371">
        <v>2022</v>
      </c>
      <c r="H101" s="371" t="s">
        <v>4093</v>
      </c>
      <c r="I101" s="501" t="s">
        <v>3004</v>
      </c>
      <c r="J101" s="502"/>
      <c r="K101" s="501" t="s">
        <v>2224</v>
      </c>
      <c r="L101" s="501" t="s">
        <v>2025</v>
      </c>
      <c r="M101" s="502">
        <v>44586</v>
      </c>
      <c r="N101" s="502">
        <v>44747</v>
      </c>
      <c r="O101" s="502"/>
      <c r="P101" s="353"/>
      <c r="Q101" s="502"/>
      <c r="R101" s="502"/>
      <c r="S101" s="501" t="s">
        <v>1704</v>
      </c>
      <c r="T101" s="501">
        <v>60</v>
      </c>
      <c r="U101" s="501"/>
      <c r="V101" s="510" t="s">
        <v>986</v>
      </c>
      <c r="W101" s="501">
        <v>360</v>
      </c>
      <c r="X101" s="354">
        <v>1536</v>
      </c>
      <c r="Y101" s="397">
        <f t="shared" si="12"/>
        <v>552960</v>
      </c>
      <c r="Z101" s="478">
        <f>190.8/360</f>
        <v>0.53</v>
      </c>
      <c r="AA101" s="479">
        <f t="shared" si="20"/>
        <v>293068.79999999999</v>
      </c>
      <c r="AB101" s="480"/>
      <c r="AC101" s="481">
        <f t="shared" si="24"/>
        <v>0</v>
      </c>
      <c r="AD101" s="474"/>
      <c r="AE101" s="474"/>
      <c r="AF101" s="493">
        <f t="shared" si="21"/>
        <v>293068.79999999999</v>
      </c>
      <c r="AG101" s="474" t="s">
        <v>1071</v>
      </c>
      <c r="AH101" s="474"/>
      <c r="AI101" s="474">
        <v>60</v>
      </c>
      <c r="AJ101" s="475" t="s">
        <v>2026</v>
      </c>
      <c r="AK101" s="475" t="s">
        <v>50</v>
      </c>
      <c r="AL101" s="483">
        <v>95403</v>
      </c>
      <c r="AM101" s="474" t="s">
        <v>52</v>
      </c>
      <c r="AN101" s="384" t="s">
        <v>50</v>
      </c>
      <c r="AO101" s="474" t="s">
        <v>1076</v>
      </c>
      <c r="AP101" s="474" t="s">
        <v>92</v>
      </c>
      <c r="AQ101" s="482" t="s">
        <v>37</v>
      </c>
      <c r="AR101" s="474" t="s">
        <v>1216</v>
      </c>
      <c r="AS101" s="473" t="s">
        <v>1492</v>
      </c>
      <c r="AT101" s="346"/>
      <c r="AU101" s="478">
        <f>180/360</f>
        <v>0.5</v>
      </c>
    </row>
    <row r="102" spans="1:47" s="471" customFormat="1">
      <c r="A102" s="495"/>
      <c r="B102" s="407"/>
      <c r="C102" s="495"/>
      <c r="D102" s="512" t="s">
        <v>86</v>
      </c>
      <c r="E102" s="352" t="s">
        <v>4179</v>
      </c>
      <c r="F102" s="501"/>
      <c r="G102" s="371">
        <v>2022</v>
      </c>
      <c r="H102" s="371" t="s">
        <v>4093</v>
      </c>
      <c r="I102" s="501" t="s">
        <v>3004</v>
      </c>
      <c r="J102" s="502"/>
      <c r="K102" s="501" t="s">
        <v>2224</v>
      </c>
      <c r="L102" s="501" t="s">
        <v>2025</v>
      </c>
      <c r="M102" s="502">
        <v>44586</v>
      </c>
      <c r="N102" s="502">
        <v>44747</v>
      </c>
      <c r="O102" s="502"/>
      <c r="P102" s="353"/>
      <c r="Q102" s="502"/>
      <c r="R102" s="502"/>
      <c r="S102" s="501" t="s">
        <v>1704</v>
      </c>
      <c r="T102" s="501">
        <v>60</v>
      </c>
      <c r="U102" s="501"/>
      <c r="V102" s="510" t="s">
        <v>973</v>
      </c>
      <c r="W102" s="501">
        <v>400</v>
      </c>
      <c r="X102" s="354">
        <v>1536</v>
      </c>
      <c r="Y102" s="397">
        <f t="shared" si="12"/>
        <v>614400</v>
      </c>
      <c r="Z102" s="478">
        <f>220/400</f>
        <v>0.55000000000000004</v>
      </c>
      <c r="AA102" s="479">
        <f t="shared" si="20"/>
        <v>337920</v>
      </c>
      <c r="AB102" s="480"/>
      <c r="AC102" s="481">
        <f t="shared" si="24"/>
        <v>0</v>
      </c>
      <c r="AD102" s="474"/>
      <c r="AE102" s="474"/>
      <c r="AF102" s="493">
        <f t="shared" si="21"/>
        <v>337920</v>
      </c>
      <c r="AG102" s="474" t="s">
        <v>1071</v>
      </c>
      <c r="AH102" s="474"/>
      <c r="AI102" s="474">
        <v>60</v>
      </c>
      <c r="AJ102" s="475" t="s">
        <v>2026</v>
      </c>
      <c r="AK102" s="475" t="s">
        <v>50</v>
      </c>
      <c r="AL102" s="483">
        <v>95403</v>
      </c>
      <c r="AM102" s="474" t="s">
        <v>52</v>
      </c>
      <c r="AN102" s="384" t="s">
        <v>50</v>
      </c>
      <c r="AO102" s="474" t="s">
        <v>1076</v>
      </c>
      <c r="AP102" s="474" t="s">
        <v>92</v>
      </c>
      <c r="AQ102" s="482" t="s">
        <v>37</v>
      </c>
      <c r="AR102" s="474" t="s">
        <v>1216</v>
      </c>
      <c r="AS102" s="473" t="s">
        <v>1492</v>
      </c>
      <c r="AT102" s="346"/>
      <c r="AU102" s="478">
        <f>208/400</f>
        <v>0.52</v>
      </c>
    </row>
    <row r="103" spans="1:47" s="471" customFormat="1">
      <c r="A103" s="495"/>
      <c r="B103" s="407">
        <v>44586</v>
      </c>
      <c r="C103" s="495"/>
      <c r="D103" s="512" t="s">
        <v>86</v>
      </c>
      <c r="E103" s="352" t="s">
        <v>4179</v>
      </c>
      <c r="F103" s="501"/>
      <c r="G103" s="371">
        <v>2022</v>
      </c>
      <c r="H103" s="371" t="s">
        <v>4093</v>
      </c>
      <c r="I103" s="501" t="s">
        <v>3004</v>
      </c>
      <c r="J103" s="502"/>
      <c r="K103" s="501" t="s">
        <v>2225</v>
      </c>
      <c r="L103" s="501" t="s">
        <v>2025</v>
      </c>
      <c r="M103" s="502">
        <v>44586</v>
      </c>
      <c r="N103" s="502">
        <v>44774</v>
      </c>
      <c r="O103" s="502"/>
      <c r="P103" s="353"/>
      <c r="Q103" s="502"/>
      <c r="R103" s="502"/>
      <c r="S103" s="501" t="s">
        <v>1704</v>
      </c>
      <c r="T103" s="501">
        <v>60</v>
      </c>
      <c r="U103" s="501"/>
      <c r="V103" s="510" t="s">
        <v>986</v>
      </c>
      <c r="W103" s="501">
        <v>360</v>
      </c>
      <c r="X103" s="354">
        <v>1536</v>
      </c>
      <c r="Y103" s="397">
        <f t="shared" si="12"/>
        <v>552960</v>
      </c>
      <c r="Z103" s="478">
        <f>190.8/360</f>
        <v>0.53</v>
      </c>
      <c r="AA103" s="479">
        <f t="shared" si="20"/>
        <v>293068.79999999999</v>
      </c>
      <c r="AB103" s="480"/>
      <c r="AC103" s="481">
        <f t="shared" si="24"/>
        <v>0</v>
      </c>
      <c r="AD103" s="474"/>
      <c r="AE103" s="474"/>
      <c r="AF103" s="493">
        <f t="shared" si="21"/>
        <v>293068.79999999999</v>
      </c>
      <c r="AG103" s="474" t="s">
        <v>1071</v>
      </c>
      <c r="AH103" s="474"/>
      <c r="AI103" s="474">
        <v>60</v>
      </c>
      <c r="AJ103" s="475" t="s">
        <v>2026</v>
      </c>
      <c r="AK103" s="475" t="s">
        <v>50</v>
      </c>
      <c r="AL103" s="483">
        <v>95403</v>
      </c>
      <c r="AM103" s="474" t="s">
        <v>52</v>
      </c>
      <c r="AN103" s="384" t="s">
        <v>50</v>
      </c>
      <c r="AO103" s="474" t="s">
        <v>1076</v>
      </c>
      <c r="AP103" s="474" t="s">
        <v>92</v>
      </c>
      <c r="AQ103" s="482" t="s">
        <v>37</v>
      </c>
      <c r="AR103" s="474" t="s">
        <v>1216</v>
      </c>
      <c r="AS103" s="473" t="s">
        <v>1492</v>
      </c>
      <c r="AT103" s="346"/>
      <c r="AU103" s="478">
        <f>180/360</f>
        <v>0.5</v>
      </c>
    </row>
    <row r="104" spans="1:47" s="471" customFormat="1">
      <c r="A104" s="495"/>
      <c r="B104" s="407">
        <v>44586</v>
      </c>
      <c r="C104" s="495"/>
      <c r="D104" s="512" t="s">
        <v>86</v>
      </c>
      <c r="E104" s="352" t="s">
        <v>4179</v>
      </c>
      <c r="F104" s="501"/>
      <c r="G104" s="371">
        <v>2022</v>
      </c>
      <c r="H104" s="371" t="s">
        <v>4093</v>
      </c>
      <c r="I104" s="501" t="s">
        <v>3004</v>
      </c>
      <c r="J104" s="502"/>
      <c r="K104" s="501" t="s">
        <v>2225</v>
      </c>
      <c r="L104" s="501" t="s">
        <v>2025</v>
      </c>
      <c r="M104" s="502">
        <v>44586</v>
      </c>
      <c r="N104" s="502">
        <v>44774</v>
      </c>
      <c r="O104" s="502"/>
      <c r="P104" s="353"/>
      <c r="Q104" s="502"/>
      <c r="R104" s="502"/>
      <c r="S104" s="501" t="s">
        <v>1704</v>
      </c>
      <c r="T104" s="501">
        <v>60</v>
      </c>
      <c r="U104" s="501"/>
      <c r="V104" s="510" t="s">
        <v>973</v>
      </c>
      <c r="W104" s="501">
        <v>400</v>
      </c>
      <c r="X104" s="354">
        <v>1536</v>
      </c>
      <c r="Y104" s="397">
        <f t="shared" ref="Y104:Y138" si="26">W104*X104</f>
        <v>614400</v>
      </c>
      <c r="Z104" s="478">
        <f>220/400</f>
        <v>0.55000000000000004</v>
      </c>
      <c r="AA104" s="479">
        <f t="shared" si="20"/>
        <v>337920</v>
      </c>
      <c r="AB104" s="480"/>
      <c r="AC104" s="481">
        <f t="shared" si="24"/>
        <v>0</v>
      </c>
      <c r="AD104" s="474"/>
      <c r="AE104" s="474"/>
      <c r="AF104" s="493">
        <f t="shared" si="21"/>
        <v>337920</v>
      </c>
      <c r="AG104" s="474" t="s">
        <v>1071</v>
      </c>
      <c r="AH104" s="474"/>
      <c r="AI104" s="474">
        <v>60</v>
      </c>
      <c r="AJ104" s="475" t="s">
        <v>2026</v>
      </c>
      <c r="AK104" s="475" t="s">
        <v>50</v>
      </c>
      <c r="AL104" s="483">
        <v>95403</v>
      </c>
      <c r="AM104" s="474" t="s">
        <v>52</v>
      </c>
      <c r="AN104" s="384" t="s">
        <v>50</v>
      </c>
      <c r="AO104" s="474" t="s">
        <v>1076</v>
      </c>
      <c r="AP104" s="474" t="s">
        <v>92</v>
      </c>
      <c r="AQ104" s="482" t="s">
        <v>37</v>
      </c>
      <c r="AR104" s="474" t="s">
        <v>1216</v>
      </c>
      <c r="AS104" s="473" t="s">
        <v>1492</v>
      </c>
      <c r="AT104" s="346"/>
      <c r="AU104" s="478">
        <f>180/360</f>
        <v>0.5</v>
      </c>
    </row>
    <row r="105" spans="1:47" s="471" customFormat="1">
      <c r="A105" s="495"/>
      <c r="B105" s="407"/>
      <c r="C105" s="495"/>
      <c r="D105" s="512" t="s">
        <v>86</v>
      </c>
      <c r="E105" s="352" t="s">
        <v>4179</v>
      </c>
      <c r="F105" s="501"/>
      <c r="G105" s="371">
        <v>2022</v>
      </c>
      <c r="H105" s="371" t="s">
        <v>4093</v>
      </c>
      <c r="I105" s="501" t="s">
        <v>3004</v>
      </c>
      <c r="J105" s="502"/>
      <c r="K105" s="501" t="s">
        <v>2226</v>
      </c>
      <c r="L105" s="501" t="s">
        <v>2025</v>
      </c>
      <c r="M105" s="502">
        <v>44614</v>
      </c>
      <c r="N105" s="502">
        <v>44805</v>
      </c>
      <c r="O105" s="502"/>
      <c r="P105" s="353"/>
      <c r="Q105" s="502"/>
      <c r="R105" s="502"/>
      <c r="S105" s="501" t="s">
        <v>1704</v>
      </c>
      <c r="T105" s="501">
        <v>60</v>
      </c>
      <c r="U105" s="501"/>
      <c r="V105" s="510" t="s">
        <v>986</v>
      </c>
      <c r="W105" s="501">
        <v>360</v>
      </c>
      <c r="X105" s="354">
        <v>1536</v>
      </c>
      <c r="Y105" s="397">
        <f t="shared" si="26"/>
        <v>552960</v>
      </c>
      <c r="Z105" s="478">
        <f>190.8/360</f>
        <v>0.53</v>
      </c>
      <c r="AA105" s="479">
        <f t="shared" si="20"/>
        <v>293068.79999999999</v>
      </c>
      <c r="AB105" s="480"/>
      <c r="AC105" s="481">
        <f t="shared" si="24"/>
        <v>0</v>
      </c>
      <c r="AD105" s="474"/>
      <c r="AE105" s="474"/>
      <c r="AF105" s="493">
        <f t="shared" si="21"/>
        <v>293068.79999999999</v>
      </c>
      <c r="AG105" s="474" t="s">
        <v>1071</v>
      </c>
      <c r="AH105" s="474"/>
      <c r="AI105" s="474">
        <v>60</v>
      </c>
      <c r="AJ105" s="475" t="s">
        <v>2026</v>
      </c>
      <c r="AK105" s="475" t="s">
        <v>50</v>
      </c>
      <c r="AL105" s="483">
        <v>95403</v>
      </c>
      <c r="AM105" s="474" t="s">
        <v>52</v>
      </c>
      <c r="AN105" s="384" t="s">
        <v>50</v>
      </c>
      <c r="AO105" s="474" t="s">
        <v>1076</v>
      </c>
      <c r="AP105" s="474" t="s">
        <v>92</v>
      </c>
      <c r="AQ105" s="482" t="s">
        <v>37</v>
      </c>
      <c r="AR105" s="474" t="s">
        <v>1216</v>
      </c>
      <c r="AS105" s="473" t="s">
        <v>1492</v>
      </c>
      <c r="AT105" s="346"/>
      <c r="AU105" s="478">
        <f>208/400</f>
        <v>0.52</v>
      </c>
    </row>
    <row r="106" spans="1:47" s="471" customFormat="1">
      <c r="A106" s="495"/>
      <c r="B106" s="407"/>
      <c r="C106" s="495"/>
      <c r="D106" s="512" t="s">
        <v>86</v>
      </c>
      <c r="E106" s="352" t="s">
        <v>4179</v>
      </c>
      <c r="F106" s="501"/>
      <c r="G106" s="371">
        <v>2022</v>
      </c>
      <c r="H106" s="371" t="s">
        <v>4093</v>
      </c>
      <c r="I106" s="501" t="s">
        <v>3004</v>
      </c>
      <c r="J106" s="502"/>
      <c r="K106" s="501" t="s">
        <v>2226</v>
      </c>
      <c r="L106" s="501" t="s">
        <v>2025</v>
      </c>
      <c r="M106" s="502">
        <v>44614</v>
      </c>
      <c r="N106" s="502">
        <v>44805</v>
      </c>
      <c r="O106" s="502"/>
      <c r="P106" s="353"/>
      <c r="Q106" s="502"/>
      <c r="R106" s="502"/>
      <c r="S106" s="501" t="s">
        <v>1704</v>
      </c>
      <c r="T106" s="501">
        <v>60</v>
      </c>
      <c r="U106" s="501"/>
      <c r="V106" s="510" t="s">
        <v>973</v>
      </c>
      <c r="W106" s="501">
        <v>400</v>
      </c>
      <c r="X106" s="354">
        <v>1536</v>
      </c>
      <c r="Y106" s="397">
        <f t="shared" si="26"/>
        <v>614400</v>
      </c>
      <c r="Z106" s="478">
        <f>220/400</f>
        <v>0.55000000000000004</v>
      </c>
      <c r="AA106" s="479">
        <f t="shared" si="20"/>
        <v>337920</v>
      </c>
      <c r="AB106" s="480"/>
      <c r="AC106" s="481">
        <f t="shared" si="24"/>
        <v>0</v>
      </c>
      <c r="AD106" s="474"/>
      <c r="AE106" s="474"/>
      <c r="AF106" s="493">
        <f t="shared" si="21"/>
        <v>337920</v>
      </c>
      <c r="AG106" s="474" t="s">
        <v>1071</v>
      </c>
      <c r="AH106" s="474"/>
      <c r="AI106" s="474">
        <v>60</v>
      </c>
      <c r="AJ106" s="475" t="s">
        <v>2026</v>
      </c>
      <c r="AK106" s="475" t="s">
        <v>50</v>
      </c>
      <c r="AL106" s="483">
        <v>95403</v>
      </c>
      <c r="AM106" s="474" t="s">
        <v>52</v>
      </c>
      <c r="AN106" s="384" t="s">
        <v>50</v>
      </c>
      <c r="AO106" s="474" t="s">
        <v>1076</v>
      </c>
      <c r="AP106" s="474" t="s">
        <v>92</v>
      </c>
      <c r="AQ106" s="482" t="s">
        <v>37</v>
      </c>
      <c r="AR106" s="474" t="s">
        <v>1216</v>
      </c>
      <c r="AS106" s="473" t="s">
        <v>1492</v>
      </c>
      <c r="AT106" s="346"/>
      <c r="AU106" s="478">
        <f>208/400</f>
        <v>0.52</v>
      </c>
    </row>
    <row r="107" spans="1:47" s="471" customFormat="1">
      <c r="A107" s="495"/>
      <c r="B107" s="407"/>
      <c r="C107" s="495"/>
      <c r="D107" s="512" t="s">
        <v>86</v>
      </c>
      <c r="E107" s="352"/>
      <c r="F107" s="501"/>
      <c r="G107" s="371">
        <v>2022</v>
      </c>
      <c r="H107" s="371" t="s">
        <v>3004</v>
      </c>
      <c r="I107" s="501" t="s">
        <v>1676</v>
      </c>
      <c r="J107" s="502"/>
      <c r="K107" s="501" t="s">
        <v>4182</v>
      </c>
      <c r="L107" s="501" t="s">
        <v>1703</v>
      </c>
      <c r="M107" s="502">
        <v>44593</v>
      </c>
      <c r="N107" s="502">
        <v>44682</v>
      </c>
      <c r="O107" s="502"/>
      <c r="P107" s="353"/>
      <c r="Q107" s="502"/>
      <c r="R107" s="502"/>
      <c r="S107" s="501" t="s">
        <v>1704</v>
      </c>
      <c r="T107" s="501">
        <v>60</v>
      </c>
      <c r="U107" s="501"/>
      <c r="V107" s="510" t="s">
        <v>973</v>
      </c>
      <c r="W107" s="501">
        <v>400</v>
      </c>
      <c r="X107" s="354">
        <v>1536</v>
      </c>
      <c r="Y107" s="397">
        <f t="shared" si="26"/>
        <v>614400</v>
      </c>
      <c r="Z107" s="478">
        <f>220/400</f>
        <v>0.55000000000000004</v>
      </c>
      <c r="AA107" s="479">
        <f t="shared" si="20"/>
        <v>337920</v>
      </c>
      <c r="AB107" s="480"/>
      <c r="AC107" s="481">
        <f t="shared" si="24"/>
        <v>0</v>
      </c>
      <c r="AD107" s="474"/>
      <c r="AE107" s="474"/>
      <c r="AF107" s="493">
        <f t="shared" si="21"/>
        <v>337920</v>
      </c>
      <c r="AG107" s="474" t="s">
        <v>1071</v>
      </c>
      <c r="AH107" s="474"/>
      <c r="AI107" s="474">
        <v>60</v>
      </c>
      <c r="AJ107" s="475" t="s">
        <v>1705</v>
      </c>
      <c r="AK107" s="475" t="s">
        <v>1706</v>
      </c>
      <c r="AL107" s="483" t="s">
        <v>1707</v>
      </c>
      <c r="AM107" s="474" t="s">
        <v>52</v>
      </c>
      <c r="AN107" s="384"/>
      <c r="AO107" s="474" t="s">
        <v>1076</v>
      </c>
      <c r="AP107" s="474"/>
      <c r="AQ107" s="482" t="s">
        <v>37</v>
      </c>
      <c r="AR107" s="474"/>
      <c r="AS107" s="473"/>
      <c r="AT107" s="346"/>
      <c r="AU107" s="478"/>
    </row>
    <row r="108" spans="1:47" s="471" customFormat="1">
      <c r="A108" s="495"/>
      <c r="B108" s="407"/>
      <c r="C108" s="495"/>
      <c r="D108" s="512" t="s">
        <v>86</v>
      </c>
      <c r="E108" s="352"/>
      <c r="F108" s="501"/>
      <c r="G108" s="371">
        <v>2022</v>
      </c>
      <c r="H108" s="371" t="s">
        <v>3004</v>
      </c>
      <c r="I108" s="501" t="s">
        <v>1676</v>
      </c>
      <c r="J108" s="502"/>
      <c r="K108" s="501" t="s">
        <v>4183</v>
      </c>
      <c r="L108" s="501" t="s">
        <v>1703</v>
      </c>
      <c r="M108" s="502">
        <v>44593</v>
      </c>
      <c r="N108" s="502">
        <v>44718</v>
      </c>
      <c r="O108" s="502"/>
      <c r="P108" s="353"/>
      <c r="Q108" s="502"/>
      <c r="R108" s="502"/>
      <c r="S108" s="501" t="s">
        <v>1704</v>
      </c>
      <c r="T108" s="501">
        <v>60</v>
      </c>
      <c r="U108" s="501"/>
      <c r="V108" s="510" t="s">
        <v>973</v>
      </c>
      <c r="W108" s="501">
        <v>400</v>
      </c>
      <c r="X108" s="354">
        <v>2304</v>
      </c>
      <c r="Y108" s="397">
        <f t="shared" si="26"/>
        <v>921600</v>
      </c>
      <c r="Z108" s="478">
        <v>0.55000000000000004</v>
      </c>
      <c r="AA108" s="479">
        <f t="shared" si="20"/>
        <v>506880.00000000006</v>
      </c>
      <c r="AB108" s="480"/>
      <c r="AC108" s="481">
        <f t="shared" si="24"/>
        <v>0</v>
      </c>
      <c r="AD108" s="474"/>
      <c r="AE108" s="474"/>
      <c r="AF108" s="493">
        <f t="shared" si="21"/>
        <v>506880.00000000006</v>
      </c>
      <c r="AG108" s="474" t="s">
        <v>1071</v>
      </c>
      <c r="AH108" s="474"/>
      <c r="AI108" s="474">
        <v>60</v>
      </c>
      <c r="AJ108" s="475" t="s">
        <v>1705</v>
      </c>
      <c r="AK108" s="475" t="s">
        <v>1706</v>
      </c>
      <c r="AL108" s="483" t="s">
        <v>1707</v>
      </c>
      <c r="AM108" s="474" t="s">
        <v>52</v>
      </c>
      <c r="AN108" s="384"/>
      <c r="AO108" s="474" t="s">
        <v>1076</v>
      </c>
      <c r="AP108" s="474"/>
      <c r="AQ108" s="482" t="s">
        <v>37</v>
      </c>
      <c r="AR108" s="474"/>
      <c r="AS108" s="473"/>
      <c r="AT108" s="346"/>
      <c r="AU108" s="478"/>
    </row>
    <row r="109" spans="1:47" s="471" customFormat="1">
      <c r="A109" s="495"/>
      <c r="B109" s="407"/>
      <c r="C109" s="495"/>
      <c r="D109" s="512" t="s">
        <v>86</v>
      </c>
      <c r="E109" s="352"/>
      <c r="F109" s="501"/>
      <c r="G109" s="371">
        <v>2022</v>
      </c>
      <c r="H109" s="371" t="s">
        <v>3004</v>
      </c>
      <c r="I109" s="501" t="s">
        <v>1676</v>
      </c>
      <c r="J109" s="502"/>
      <c r="K109" s="501" t="s">
        <v>4184</v>
      </c>
      <c r="L109" s="501" t="s">
        <v>1703</v>
      </c>
      <c r="M109" s="502">
        <v>44594</v>
      </c>
      <c r="N109" s="502">
        <v>44655</v>
      </c>
      <c r="O109" s="502"/>
      <c r="P109" s="353"/>
      <c r="Q109" s="502"/>
      <c r="R109" s="502"/>
      <c r="S109" s="501" t="s">
        <v>1704</v>
      </c>
      <c r="T109" s="501">
        <v>60</v>
      </c>
      <c r="U109" s="501"/>
      <c r="V109" s="510" t="s">
        <v>986</v>
      </c>
      <c r="W109" s="501">
        <v>360</v>
      </c>
      <c r="X109" s="354">
        <v>832</v>
      </c>
      <c r="Y109" s="397">
        <f t="shared" si="26"/>
        <v>299520</v>
      </c>
      <c r="Z109" s="478">
        <f>190.8/360</f>
        <v>0.53</v>
      </c>
      <c r="AA109" s="479">
        <f t="shared" si="20"/>
        <v>158745.60000000001</v>
      </c>
      <c r="AB109" s="480"/>
      <c r="AC109" s="481">
        <f t="shared" si="24"/>
        <v>0</v>
      </c>
      <c r="AD109" s="474"/>
      <c r="AE109" s="474"/>
      <c r="AF109" s="493">
        <f t="shared" si="21"/>
        <v>158745.60000000001</v>
      </c>
      <c r="AG109" s="474" t="s">
        <v>1071</v>
      </c>
      <c r="AH109" s="474"/>
      <c r="AI109" s="474">
        <v>60</v>
      </c>
      <c r="AJ109" s="475" t="s">
        <v>1705</v>
      </c>
      <c r="AK109" s="475" t="s">
        <v>1706</v>
      </c>
      <c r="AL109" s="483" t="s">
        <v>1707</v>
      </c>
      <c r="AM109" s="474" t="s">
        <v>52</v>
      </c>
      <c r="AN109" s="384"/>
      <c r="AO109" s="474" t="s">
        <v>1076</v>
      </c>
      <c r="AP109" s="474"/>
      <c r="AQ109" s="482" t="s">
        <v>37</v>
      </c>
      <c r="AR109" s="474"/>
      <c r="AS109" s="473"/>
      <c r="AT109" s="346"/>
      <c r="AU109" s="478"/>
    </row>
    <row r="110" spans="1:47" s="471" customFormat="1">
      <c r="A110" s="495"/>
      <c r="B110" s="407"/>
      <c r="C110" s="495"/>
      <c r="D110" s="512" t="s">
        <v>86</v>
      </c>
      <c r="E110" s="352"/>
      <c r="F110" s="501"/>
      <c r="G110" s="371">
        <v>2022</v>
      </c>
      <c r="H110" s="371" t="s">
        <v>3004</v>
      </c>
      <c r="I110" s="501" t="s">
        <v>1676</v>
      </c>
      <c r="J110" s="502"/>
      <c r="K110" s="501" t="s">
        <v>4185</v>
      </c>
      <c r="L110" s="501" t="s">
        <v>1703</v>
      </c>
      <c r="M110" s="502">
        <v>44594</v>
      </c>
      <c r="N110" s="502">
        <v>44683</v>
      </c>
      <c r="O110" s="502"/>
      <c r="P110" s="353"/>
      <c r="Q110" s="502"/>
      <c r="R110" s="502"/>
      <c r="S110" s="501" t="s">
        <v>1704</v>
      </c>
      <c r="T110" s="501">
        <v>60</v>
      </c>
      <c r="U110" s="501"/>
      <c r="V110" s="510" t="s">
        <v>986</v>
      </c>
      <c r="W110" s="501">
        <v>360</v>
      </c>
      <c r="X110" s="354">
        <v>832</v>
      </c>
      <c r="Y110" s="397">
        <f t="shared" si="26"/>
        <v>299520</v>
      </c>
      <c r="Z110" s="478">
        <f>190.8/360</f>
        <v>0.53</v>
      </c>
      <c r="AA110" s="479">
        <f t="shared" si="20"/>
        <v>158745.60000000001</v>
      </c>
      <c r="AB110" s="480"/>
      <c r="AC110" s="481">
        <f t="shared" si="24"/>
        <v>0</v>
      </c>
      <c r="AD110" s="474"/>
      <c r="AE110" s="474"/>
      <c r="AF110" s="493">
        <f t="shared" si="21"/>
        <v>158745.60000000001</v>
      </c>
      <c r="AG110" s="474" t="s">
        <v>1071</v>
      </c>
      <c r="AH110" s="474"/>
      <c r="AI110" s="474">
        <v>60</v>
      </c>
      <c r="AJ110" s="475" t="s">
        <v>1705</v>
      </c>
      <c r="AK110" s="475" t="s">
        <v>1706</v>
      </c>
      <c r="AL110" s="483" t="s">
        <v>1707</v>
      </c>
      <c r="AM110" s="474" t="s">
        <v>52</v>
      </c>
      <c r="AN110" s="384"/>
      <c r="AO110" s="474" t="s">
        <v>1076</v>
      </c>
      <c r="AP110" s="474"/>
      <c r="AQ110" s="482" t="s">
        <v>37</v>
      </c>
      <c r="AR110" s="474"/>
      <c r="AS110" s="473"/>
      <c r="AT110" s="346"/>
      <c r="AU110" s="478"/>
    </row>
    <row r="111" spans="1:47" s="471" customFormat="1">
      <c r="A111" s="495"/>
      <c r="B111" s="407"/>
      <c r="C111" s="495"/>
      <c r="D111" s="512" t="s">
        <v>86</v>
      </c>
      <c r="E111" s="352"/>
      <c r="F111" s="501"/>
      <c r="G111" s="371">
        <v>2022</v>
      </c>
      <c r="H111" s="371" t="s">
        <v>3004</v>
      </c>
      <c r="I111" s="501" t="s">
        <v>1676</v>
      </c>
      <c r="J111" s="502"/>
      <c r="K111" s="501" t="s">
        <v>4186</v>
      </c>
      <c r="L111" s="501" t="s">
        <v>1703</v>
      </c>
      <c r="M111" s="502">
        <v>44594</v>
      </c>
      <c r="N111" s="502">
        <v>44718</v>
      </c>
      <c r="O111" s="502"/>
      <c r="P111" s="353"/>
      <c r="Q111" s="502"/>
      <c r="R111" s="502"/>
      <c r="S111" s="501" t="s">
        <v>1704</v>
      </c>
      <c r="T111" s="501">
        <v>60</v>
      </c>
      <c r="U111" s="501"/>
      <c r="V111" s="510" t="s">
        <v>986</v>
      </c>
      <c r="W111" s="501">
        <v>360</v>
      </c>
      <c r="X111" s="354">
        <v>832</v>
      </c>
      <c r="Y111" s="397">
        <f t="shared" si="26"/>
        <v>299520</v>
      </c>
      <c r="Z111" s="478">
        <f>190.8/360</f>
        <v>0.53</v>
      </c>
      <c r="AA111" s="479">
        <f t="shared" si="20"/>
        <v>158745.60000000001</v>
      </c>
      <c r="AB111" s="480"/>
      <c r="AC111" s="481">
        <f t="shared" si="24"/>
        <v>0</v>
      </c>
      <c r="AD111" s="474"/>
      <c r="AE111" s="474"/>
      <c r="AF111" s="493">
        <f t="shared" si="21"/>
        <v>158745.60000000001</v>
      </c>
      <c r="AG111" s="474" t="s">
        <v>1071</v>
      </c>
      <c r="AH111" s="474"/>
      <c r="AI111" s="474">
        <v>60</v>
      </c>
      <c r="AJ111" s="475" t="s">
        <v>1705</v>
      </c>
      <c r="AK111" s="475" t="s">
        <v>1706</v>
      </c>
      <c r="AL111" s="483" t="s">
        <v>1707</v>
      </c>
      <c r="AM111" s="474" t="s">
        <v>52</v>
      </c>
      <c r="AN111" s="384"/>
      <c r="AO111" s="474" t="s">
        <v>1076</v>
      </c>
      <c r="AP111" s="474"/>
      <c r="AQ111" s="482" t="s">
        <v>37</v>
      </c>
      <c r="AR111" s="474"/>
      <c r="AS111" s="473"/>
      <c r="AT111" s="346"/>
      <c r="AU111" s="478"/>
    </row>
    <row r="112" spans="1:47" s="471" customFormat="1">
      <c r="A112" s="495"/>
      <c r="B112" s="407"/>
      <c r="C112" s="495"/>
      <c r="D112" s="512" t="s">
        <v>86</v>
      </c>
      <c r="E112" s="352"/>
      <c r="F112" s="501"/>
      <c r="G112" s="371">
        <v>2022</v>
      </c>
      <c r="H112" s="371" t="s">
        <v>3004</v>
      </c>
      <c r="I112" s="501" t="s">
        <v>1676</v>
      </c>
      <c r="J112" s="502"/>
      <c r="K112" s="501" t="s">
        <v>4187</v>
      </c>
      <c r="L112" s="501" t="s">
        <v>1703</v>
      </c>
      <c r="M112" s="502">
        <v>44594</v>
      </c>
      <c r="N112" s="502">
        <v>44658</v>
      </c>
      <c r="O112" s="502"/>
      <c r="P112" s="353"/>
      <c r="Q112" s="502"/>
      <c r="R112" s="502"/>
      <c r="S112" s="501" t="s">
        <v>1704</v>
      </c>
      <c r="T112" s="501">
        <v>60</v>
      </c>
      <c r="U112" s="501"/>
      <c r="V112" s="510" t="s">
        <v>973</v>
      </c>
      <c r="W112" s="501">
        <v>400</v>
      </c>
      <c r="X112" s="354">
        <v>768</v>
      </c>
      <c r="Y112" s="397">
        <f t="shared" si="26"/>
        <v>307200</v>
      </c>
      <c r="Z112" s="478">
        <f t="shared" ref="Z112:Z121" si="27">220/400</f>
        <v>0.55000000000000004</v>
      </c>
      <c r="AA112" s="479">
        <f t="shared" si="20"/>
        <v>168960</v>
      </c>
      <c r="AB112" s="480"/>
      <c r="AC112" s="481">
        <f t="shared" si="24"/>
        <v>0</v>
      </c>
      <c r="AD112" s="474"/>
      <c r="AE112" s="474"/>
      <c r="AF112" s="493">
        <f t="shared" si="21"/>
        <v>168960</v>
      </c>
      <c r="AG112" s="474" t="s">
        <v>1071</v>
      </c>
      <c r="AH112" s="474"/>
      <c r="AI112" s="474">
        <v>60</v>
      </c>
      <c r="AJ112" s="475" t="s">
        <v>1705</v>
      </c>
      <c r="AK112" s="475" t="s">
        <v>1706</v>
      </c>
      <c r="AL112" s="483" t="s">
        <v>1707</v>
      </c>
      <c r="AM112" s="474" t="s">
        <v>52</v>
      </c>
      <c r="AN112" s="384"/>
      <c r="AO112" s="474" t="s">
        <v>1076</v>
      </c>
      <c r="AP112" s="474"/>
      <c r="AQ112" s="482" t="s">
        <v>37</v>
      </c>
      <c r="AR112" s="474"/>
      <c r="AS112" s="473"/>
      <c r="AT112" s="346"/>
      <c r="AU112" s="478"/>
    </row>
    <row r="113" spans="1:47" s="471" customFormat="1">
      <c r="A113" s="495"/>
      <c r="B113" s="407"/>
      <c r="C113" s="495"/>
      <c r="D113" s="512" t="s">
        <v>86</v>
      </c>
      <c r="E113" s="352"/>
      <c r="F113" s="501"/>
      <c r="G113" s="371">
        <v>2022</v>
      </c>
      <c r="H113" s="371" t="s">
        <v>3004</v>
      </c>
      <c r="I113" s="501" t="s">
        <v>1676</v>
      </c>
      <c r="J113" s="502"/>
      <c r="K113" s="501" t="s">
        <v>4188</v>
      </c>
      <c r="L113" s="501" t="s">
        <v>1703</v>
      </c>
      <c r="M113" s="502">
        <v>44594</v>
      </c>
      <c r="N113" s="502">
        <v>44686</v>
      </c>
      <c r="O113" s="502"/>
      <c r="P113" s="353"/>
      <c r="Q113" s="502"/>
      <c r="R113" s="502"/>
      <c r="S113" s="501" t="s">
        <v>1704</v>
      </c>
      <c r="T113" s="501">
        <v>60</v>
      </c>
      <c r="U113" s="501"/>
      <c r="V113" s="510" t="s">
        <v>973</v>
      </c>
      <c r="W113" s="501">
        <v>400</v>
      </c>
      <c r="X113" s="354">
        <v>768</v>
      </c>
      <c r="Y113" s="397">
        <f t="shared" si="26"/>
        <v>307200</v>
      </c>
      <c r="Z113" s="478">
        <f t="shared" si="27"/>
        <v>0.55000000000000004</v>
      </c>
      <c r="AA113" s="479">
        <f t="shared" si="20"/>
        <v>168960</v>
      </c>
      <c r="AB113" s="480"/>
      <c r="AC113" s="481">
        <f t="shared" si="24"/>
        <v>0</v>
      </c>
      <c r="AD113" s="474"/>
      <c r="AE113" s="474"/>
      <c r="AF113" s="493">
        <f t="shared" si="21"/>
        <v>168960</v>
      </c>
      <c r="AG113" s="474" t="s">
        <v>1071</v>
      </c>
      <c r="AH113" s="474"/>
      <c r="AI113" s="474">
        <v>60</v>
      </c>
      <c r="AJ113" s="475" t="s">
        <v>1705</v>
      </c>
      <c r="AK113" s="475" t="s">
        <v>1706</v>
      </c>
      <c r="AL113" s="483" t="s">
        <v>1707</v>
      </c>
      <c r="AM113" s="474" t="s">
        <v>52</v>
      </c>
      <c r="AN113" s="384"/>
      <c r="AO113" s="474" t="s">
        <v>1076</v>
      </c>
      <c r="AP113" s="474"/>
      <c r="AQ113" s="482" t="s">
        <v>37</v>
      </c>
      <c r="AR113" s="474"/>
      <c r="AS113" s="473"/>
      <c r="AT113" s="346"/>
      <c r="AU113" s="478"/>
    </row>
    <row r="114" spans="1:47" s="471" customFormat="1">
      <c r="A114" s="495"/>
      <c r="B114" s="407"/>
      <c r="C114" s="495"/>
      <c r="D114" s="512" t="s">
        <v>86</v>
      </c>
      <c r="E114" s="352"/>
      <c r="F114" s="501"/>
      <c r="G114" s="371">
        <v>2022</v>
      </c>
      <c r="H114" s="371" t="s">
        <v>3004</v>
      </c>
      <c r="I114" s="501" t="s">
        <v>1676</v>
      </c>
      <c r="J114" s="502"/>
      <c r="K114" s="501" t="s">
        <v>4189</v>
      </c>
      <c r="L114" s="501" t="s">
        <v>1703</v>
      </c>
      <c r="M114" s="502">
        <v>44594</v>
      </c>
      <c r="N114" s="502">
        <v>44721</v>
      </c>
      <c r="O114" s="502"/>
      <c r="P114" s="353"/>
      <c r="Q114" s="502"/>
      <c r="R114" s="502"/>
      <c r="S114" s="501" t="s">
        <v>1704</v>
      </c>
      <c r="T114" s="501">
        <v>60</v>
      </c>
      <c r="U114" s="501"/>
      <c r="V114" s="510" t="s">
        <v>973</v>
      </c>
      <c r="W114" s="501">
        <v>400</v>
      </c>
      <c r="X114" s="354">
        <v>768</v>
      </c>
      <c r="Y114" s="397">
        <f t="shared" si="26"/>
        <v>307200</v>
      </c>
      <c r="Z114" s="478">
        <f t="shared" si="27"/>
        <v>0.55000000000000004</v>
      </c>
      <c r="AA114" s="479">
        <f t="shared" si="20"/>
        <v>168960</v>
      </c>
      <c r="AB114" s="480"/>
      <c r="AC114" s="481">
        <f t="shared" si="24"/>
        <v>0</v>
      </c>
      <c r="AD114" s="474"/>
      <c r="AE114" s="474"/>
      <c r="AF114" s="493">
        <f t="shared" si="21"/>
        <v>168960</v>
      </c>
      <c r="AG114" s="474" t="s">
        <v>1071</v>
      </c>
      <c r="AH114" s="474"/>
      <c r="AI114" s="474">
        <v>60</v>
      </c>
      <c r="AJ114" s="475" t="s">
        <v>1705</v>
      </c>
      <c r="AK114" s="475" t="s">
        <v>1706</v>
      </c>
      <c r="AL114" s="483" t="s">
        <v>1707</v>
      </c>
      <c r="AM114" s="474" t="s">
        <v>52</v>
      </c>
      <c r="AN114" s="384"/>
      <c r="AO114" s="474" t="s">
        <v>1076</v>
      </c>
      <c r="AP114" s="474"/>
      <c r="AQ114" s="482" t="s">
        <v>37</v>
      </c>
      <c r="AR114" s="474"/>
      <c r="AS114" s="473"/>
      <c r="AT114" s="346"/>
      <c r="AU114" s="478"/>
    </row>
    <row r="115" spans="1:47" s="471" customFormat="1">
      <c r="A115" s="495"/>
      <c r="B115" s="407">
        <v>44608</v>
      </c>
      <c r="C115" s="495"/>
      <c r="D115" s="512" t="s">
        <v>86</v>
      </c>
      <c r="E115" s="352"/>
      <c r="F115" s="501"/>
      <c r="G115" s="371">
        <v>2022</v>
      </c>
      <c r="H115" s="371" t="s">
        <v>4093</v>
      </c>
      <c r="I115" s="501" t="s">
        <v>1676</v>
      </c>
      <c r="J115" s="502"/>
      <c r="K115" s="501" t="s">
        <v>4190</v>
      </c>
      <c r="L115" s="501" t="s">
        <v>4191</v>
      </c>
      <c r="M115" s="502">
        <v>44593</v>
      </c>
      <c r="N115" s="502">
        <v>44697</v>
      </c>
      <c r="O115" s="502"/>
      <c r="P115" s="353"/>
      <c r="Q115" s="502"/>
      <c r="R115" s="502"/>
      <c r="S115" s="501" t="s">
        <v>1704</v>
      </c>
      <c r="T115" s="501">
        <v>60</v>
      </c>
      <c r="U115" s="501" t="s">
        <v>1109</v>
      </c>
      <c r="V115" s="510" t="s">
        <v>973</v>
      </c>
      <c r="W115" s="501">
        <v>400</v>
      </c>
      <c r="X115" s="354">
        <v>768</v>
      </c>
      <c r="Y115" s="397">
        <f t="shared" si="26"/>
        <v>307200</v>
      </c>
      <c r="Z115" s="478">
        <f t="shared" si="27"/>
        <v>0.55000000000000004</v>
      </c>
      <c r="AA115" s="479">
        <f t="shared" si="20"/>
        <v>168960</v>
      </c>
      <c r="AB115" s="480"/>
      <c r="AC115" s="481">
        <f t="shared" si="24"/>
        <v>0</v>
      </c>
      <c r="AD115" s="474"/>
      <c r="AE115" s="474"/>
      <c r="AF115" s="493">
        <f t="shared" si="21"/>
        <v>168960</v>
      </c>
      <c r="AG115" s="474" t="s">
        <v>1071</v>
      </c>
      <c r="AH115" s="474">
        <v>100</v>
      </c>
      <c r="AI115" s="474">
        <v>0</v>
      </c>
      <c r="AJ115" s="475" t="s">
        <v>4192</v>
      </c>
      <c r="AK115" s="475" t="s">
        <v>1706</v>
      </c>
      <c r="AL115" s="483">
        <v>99217</v>
      </c>
      <c r="AM115" s="474" t="s">
        <v>52</v>
      </c>
      <c r="AN115" s="384"/>
      <c r="AO115" s="474" t="s">
        <v>1076</v>
      </c>
      <c r="AP115" s="474"/>
      <c r="AQ115" s="482" t="s">
        <v>37</v>
      </c>
      <c r="AR115" s="474" t="s">
        <v>1216</v>
      </c>
      <c r="AS115" s="473"/>
      <c r="AT115" s="346"/>
      <c r="AU115" s="478">
        <f>212/400</f>
        <v>0.53</v>
      </c>
    </row>
    <row r="116" spans="1:47" s="471" customFormat="1">
      <c r="A116" s="495"/>
      <c r="B116" s="407"/>
      <c r="C116" s="495"/>
      <c r="D116" s="512" t="s">
        <v>86</v>
      </c>
      <c r="E116" s="352"/>
      <c r="F116" s="501"/>
      <c r="G116" s="371">
        <v>2022</v>
      </c>
      <c r="H116" s="371" t="s">
        <v>4093</v>
      </c>
      <c r="I116" s="501" t="s">
        <v>1676</v>
      </c>
      <c r="J116" s="502"/>
      <c r="K116" s="501" t="s">
        <v>4193</v>
      </c>
      <c r="L116" s="501" t="s">
        <v>4191</v>
      </c>
      <c r="M116" s="502">
        <v>44624</v>
      </c>
      <c r="N116" s="502">
        <v>44682</v>
      </c>
      <c r="O116" s="502"/>
      <c r="P116" s="353"/>
      <c r="Q116" s="502"/>
      <c r="R116" s="502"/>
      <c r="S116" s="501" t="s">
        <v>1704</v>
      </c>
      <c r="T116" s="501">
        <v>60</v>
      </c>
      <c r="U116" s="501" t="s">
        <v>1109</v>
      </c>
      <c r="V116" s="510" t="s">
        <v>973</v>
      </c>
      <c r="W116" s="501">
        <v>400</v>
      </c>
      <c r="X116" s="354">
        <v>1536</v>
      </c>
      <c r="Y116" s="397">
        <f t="shared" si="26"/>
        <v>614400</v>
      </c>
      <c r="Z116" s="478">
        <f t="shared" si="27"/>
        <v>0.55000000000000004</v>
      </c>
      <c r="AA116" s="479">
        <f t="shared" si="20"/>
        <v>337920</v>
      </c>
      <c r="AB116" s="480"/>
      <c r="AC116" s="481">
        <f t="shared" si="24"/>
        <v>0</v>
      </c>
      <c r="AD116" s="474"/>
      <c r="AE116" s="474"/>
      <c r="AF116" s="493">
        <f t="shared" si="21"/>
        <v>337920</v>
      </c>
      <c r="AG116" s="474" t="s">
        <v>1071</v>
      </c>
      <c r="AH116" s="474"/>
      <c r="AI116" s="474">
        <v>60</v>
      </c>
      <c r="AJ116" s="475" t="s">
        <v>4192</v>
      </c>
      <c r="AK116" s="475" t="s">
        <v>1706</v>
      </c>
      <c r="AL116" s="483">
        <v>99217</v>
      </c>
      <c r="AM116" s="474" t="s">
        <v>52</v>
      </c>
      <c r="AN116" s="384"/>
      <c r="AO116" s="474" t="s">
        <v>1076</v>
      </c>
      <c r="AP116" s="474"/>
      <c r="AQ116" s="482" t="s">
        <v>37</v>
      </c>
      <c r="AR116" s="474" t="s">
        <v>1216</v>
      </c>
      <c r="AS116" s="473"/>
      <c r="AT116" s="346"/>
      <c r="AU116" s="478">
        <f>212/400</f>
        <v>0.53</v>
      </c>
    </row>
    <row r="117" spans="1:47" s="471" customFormat="1">
      <c r="A117" s="495"/>
      <c r="B117" s="407"/>
      <c r="C117" s="495"/>
      <c r="D117" s="512" t="s">
        <v>86</v>
      </c>
      <c r="E117" s="352"/>
      <c r="F117" s="501"/>
      <c r="G117" s="371">
        <v>2022</v>
      </c>
      <c r="H117" s="371" t="s">
        <v>4093</v>
      </c>
      <c r="I117" s="501" t="s">
        <v>1676</v>
      </c>
      <c r="J117" s="502"/>
      <c r="K117" s="501" t="s">
        <v>4194</v>
      </c>
      <c r="L117" s="501" t="s">
        <v>4191</v>
      </c>
      <c r="M117" s="502">
        <v>44624</v>
      </c>
      <c r="N117" s="502">
        <v>44713</v>
      </c>
      <c r="O117" s="502"/>
      <c r="P117" s="353"/>
      <c r="Q117" s="502"/>
      <c r="R117" s="502"/>
      <c r="S117" s="501" t="s">
        <v>1704</v>
      </c>
      <c r="T117" s="501">
        <v>60</v>
      </c>
      <c r="U117" s="501" t="s">
        <v>1109</v>
      </c>
      <c r="V117" s="510" t="s">
        <v>973</v>
      </c>
      <c r="W117" s="501">
        <v>400</v>
      </c>
      <c r="X117" s="354">
        <v>1536</v>
      </c>
      <c r="Y117" s="397">
        <f t="shared" si="26"/>
        <v>614400</v>
      </c>
      <c r="Z117" s="478">
        <f t="shared" si="27"/>
        <v>0.55000000000000004</v>
      </c>
      <c r="AA117" s="479">
        <f t="shared" si="20"/>
        <v>337920</v>
      </c>
      <c r="AB117" s="480"/>
      <c r="AC117" s="481">
        <f t="shared" si="24"/>
        <v>0</v>
      </c>
      <c r="AD117" s="474"/>
      <c r="AE117" s="474"/>
      <c r="AF117" s="493">
        <f t="shared" si="21"/>
        <v>337920</v>
      </c>
      <c r="AG117" s="474" t="s">
        <v>1071</v>
      </c>
      <c r="AH117" s="474"/>
      <c r="AI117" s="474">
        <v>60</v>
      </c>
      <c r="AJ117" s="475" t="s">
        <v>4192</v>
      </c>
      <c r="AK117" s="475" t="s">
        <v>1706</v>
      </c>
      <c r="AL117" s="483">
        <v>99217</v>
      </c>
      <c r="AM117" s="474" t="s">
        <v>52</v>
      </c>
      <c r="AN117" s="384"/>
      <c r="AO117" s="474" t="s">
        <v>1076</v>
      </c>
      <c r="AP117" s="474"/>
      <c r="AQ117" s="482" t="s">
        <v>37</v>
      </c>
      <c r="AR117" s="474" t="s">
        <v>1216</v>
      </c>
      <c r="AS117" s="473"/>
      <c r="AT117" s="346"/>
      <c r="AU117" s="478">
        <f>212/400</f>
        <v>0.53</v>
      </c>
    </row>
    <row r="118" spans="1:47" s="471" customFormat="1">
      <c r="A118" s="495"/>
      <c r="B118" s="407"/>
      <c r="C118" s="495"/>
      <c r="D118" s="512" t="s">
        <v>86</v>
      </c>
      <c r="E118" s="352"/>
      <c r="F118" s="501"/>
      <c r="G118" s="371">
        <v>2022</v>
      </c>
      <c r="H118" s="371" t="s">
        <v>4093</v>
      </c>
      <c r="I118" s="501" t="s">
        <v>1676</v>
      </c>
      <c r="J118" s="502"/>
      <c r="K118" s="501" t="s">
        <v>4195</v>
      </c>
      <c r="L118" s="501" t="s">
        <v>4191</v>
      </c>
      <c r="M118" s="502">
        <v>44624</v>
      </c>
      <c r="N118" s="502">
        <v>44743</v>
      </c>
      <c r="O118" s="502"/>
      <c r="P118" s="353"/>
      <c r="Q118" s="502"/>
      <c r="R118" s="502"/>
      <c r="S118" s="501" t="s">
        <v>1704</v>
      </c>
      <c r="T118" s="501">
        <v>60</v>
      </c>
      <c r="U118" s="501" t="s">
        <v>1109</v>
      </c>
      <c r="V118" s="510" t="s">
        <v>973</v>
      </c>
      <c r="W118" s="501">
        <v>400</v>
      </c>
      <c r="X118" s="354">
        <v>1536</v>
      </c>
      <c r="Y118" s="397">
        <f t="shared" si="26"/>
        <v>614400</v>
      </c>
      <c r="Z118" s="478">
        <f t="shared" si="27"/>
        <v>0.55000000000000004</v>
      </c>
      <c r="AA118" s="479">
        <f t="shared" si="20"/>
        <v>337920</v>
      </c>
      <c r="AB118" s="480"/>
      <c r="AC118" s="481">
        <f t="shared" si="24"/>
        <v>0</v>
      </c>
      <c r="AD118" s="474"/>
      <c r="AE118" s="474"/>
      <c r="AF118" s="493">
        <f t="shared" si="21"/>
        <v>337920</v>
      </c>
      <c r="AG118" s="474" t="s">
        <v>1071</v>
      </c>
      <c r="AH118" s="474"/>
      <c r="AI118" s="474">
        <v>60</v>
      </c>
      <c r="AJ118" s="475" t="s">
        <v>4192</v>
      </c>
      <c r="AK118" s="475" t="s">
        <v>1706</v>
      </c>
      <c r="AL118" s="483">
        <v>99217</v>
      </c>
      <c r="AM118" s="474" t="s">
        <v>52</v>
      </c>
      <c r="AN118" s="384"/>
      <c r="AO118" s="474" t="s">
        <v>1076</v>
      </c>
      <c r="AP118" s="474"/>
      <c r="AQ118" s="482" t="s">
        <v>37</v>
      </c>
      <c r="AR118" s="474" t="s">
        <v>1216</v>
      </c>
      <c r="AS118" s="473"/>
      <c r="AT118" s="346"/>
      <c r="AU118" s="478">
        <f>212/400</f>
        <v>0.53</v>
      </c>
    </row>
    <row r="119" spans="1:47" s="471" customFormat="1">
      <c r="A119" s="495"/>
      <c r="B119" s="407"/>
      <c r="C119" s="495"/>
      <c r="D119" s="512" t="s">
        <v>86</v>
      </c>
      <c r="E119" s="352"/>
      <c r="F119" s="501"/>
      <c r="G119" s="371">
        <v>2022</v>
      </c>
      <c r="H119" s="371" t="s">
        <v>4093</v>
      </c>
      <c r="I119" s="501" t="s">
        <v>1676</v>
      </c>
      <c r="J119" s="502"/>
      <c r="K119" s="501" t="s">
        <v>4196</v>
      </c>
      <c r="L119" s="501" t="s">
        <v>4191</v>
      </c>
      <c r="M119" s="502">
        <v>44624</v>
      </c>
      <c r="N119" s="502">
        <v>44774</v>
      </c>
      <c r="O119" s="502"/>
      <c r="P119" s="353"/>
      <c r="Q119" s="502"/>
      <c r="R119" s="502"/>
      <c r="S119" s="501" t="s">
        <v>1704</v>
      </c>
      <c r="T119" s="501">
        <v>60</v>
      </c>
      <c r="U119" s="501" t="s">
        <v>1109</v>
      </c>
      <c r="V119" s="510" t="s">
        <v>973</v>
      </c>
      <c r="W119" s="501">
        <v>400</v>
      </c>
      <c r="X119" s="354">
        <v>1536</v>
      </c>
      <c r="Y119" s="397">
        <f t="shared" si="26"/>
        <v>614400</v>
      </c>
      <c r="Z119" s="478">
        <f t="shared" si="27"/>
        <v>0.55000000000000004</v>
      </c>
      <c r="AA119" s="479">
        <f t="shared" si="20"/>
        <v>337920</v>
      </c>
      <c r="AB119" s="480"/>
      <c r="AC119" s="481">
        <f t="shared" si="24"/>
        <v>0</v>
      </c>
      <c r="AD119" s="474"/>
      <c r="AE119" s="474"/>
      <c r="AF119" s="493">
        <f t="shared" si="21"/>
        <v>337920</v>
      </c>
      <c r="AG119" s="474" t="s">
        <v>1071</v>
      </c>
      <c r="AH119" s="474"/>
      <c r="AI119" s="474">
        <v>60</v>
      </c>
      <c r="AJ119" s="475" t="s">
        <v>4192</v>
      </c>
      <c r="AK119" s="475" t="s">
        <v>1706</v>
      </c>
      <c r="AL119" s="483">
        <v>99217</v>
      </c>
      <c r="AM119" s="474" t="s">
        <v>52</v>
      </c>
      <c r="AN119" s="384"/>
      <c r="AO119" s="474" t="s">
        <v>1076</v>
      </c>
      <c r="AP119" s="474"/>
      <c r="AQ119" s="482" t="s">
        <v>37</v>
      </c>
      <c r="AR119" s="474" t="s">
        <v>1216</v>
      </c>
      <c r="AS119" s="473"/>
      <c r="AT119" s="346"/>
      <c r="AU119" s="478">
        <f>212/400</f>
        <v>0.53</v>
      </c>
    </row>
    <row r="120" spans="1:47" s="471" customFormat="1">
      <c r="A120" s="495"/>
      <c r="B120" s="407"/>
      <c r="C120" s="495"/>
      <c r="D120" s="512" t="s">
        <v>86</v>
      </c>
      <c r="E120" s="352"/>
      <c r="F120" s="501"/>
      <c r="G120" s="371">
        <v>2022</v>
      </c>
      <c r="H120" s="371" t="s">
        <v>3004</v>
      </c>
      <c r="I120" s="501" t="s">
        <v>1676</v>
      </c>
      <c r="J120" s="502"/>
      <c r="K120" s="501" t="s">
        <v>4197</v>
      </c>
      <c r="L120" s="501" t="s">
        <v>2049</v>
      </c>
      <c r="M120" s="502">
        <v>44573</v>
      </c>
      <c r="N120" s="502">
        <v>44743</v>
      </c>
      <c r="O120" s="502"/>
      <c r="P120" s="353"/>
      <c r="Q120" s="502"/>
      <c r="R120" s="502"/>
      <c r="S120" s="501" t="s">
        <v>88</v>
      </c>
      <c r="T120" s="501">
        <v>60</v>
      </c>
      <c r="U120" s="501"/>
      <c r="V120" s="510" t="s">
        <v>973</v>
      </c>
      <c r="W120" s="501">
        <v>400</v>
      </c>
      <c r="X120" s="354">
        <v>832</v>
      </c>
      <c r="Y120" s="397">
        <v>161280</v>
      </c>
      <c r="Z120" s="478">
        <f t="shared" si="27"/>
        <v>0.55000000000000004</v>
      </c>
      <c r="AA120" s="479">
        <f t="shared" si="20"/>
        <v>88704</v>
      </c>
      <c r="AB120" s="480"/>
      <c r="AC120" s="481">
        <v>0</v>
      </c>
      <c r="AD120" s="474"/>
      <c r="AE120" s="474"/>
      <c r="AF120" s="493">
        <v>127411.19999999998</v>
      </c>
      <c r="AG120" s="474" t="s">
        <v>1071</v>
      </c>
      <c r="AH120" s="474"/>
      <c r="AI120" s="474">
        <v>60</v>
      </c>
      <c r="AJ120" s="475" t="s">
        <v>2077</v>
      </c>
      <c r="AK120" s="475" t="s">
        <v>50</v>
      </c>
      <c r="AL120" s="483" t="s">
        <v>2051</v>
      </c>
      <c r="AM120" s="474" t="s">
        <v>52</v>
      </c>
      <c r="AN120" s="384" t="s">
        <v>1074</v>
      </c>
      <c r="AO120" s="474" t="s">
        <v>1076</v>
      </c>
      <c r="AP120" s="474"/>
      <c r="AQ120" s="482" t="s">
        <v>37</v>
      </c>
      <c r="AR120" s="474" t="s">
        <v>1216</v>
      </c>
      <c r="AS120" s="473" t="s">
        <v>1492</v>
      </c>
      <c r="AT120" s="346"/>
      <c r="AU120" s="478">
        <f>208/400</f>
        <v>0.52</v>
      </c>
    </row>
    <row r="121" spans="1:47" s="471" customFormat="1">
      <c r="A121" s="495"/>
      <c r="B121" s="407"/>
      <c r="C121" s="495"/>
      <c r="D121" s="512" t="s">
        <v>86</v>
      </c>
      <c r="E121" s="352"/>
      <c r="F121" s="501"/>
      <c r="G121" s="371">
        <v>2022</v>
      </c>
      <c r="H121" s="371" t="s">
        <v>3004</v>
      </c>
      <c r="I121" s="501" t="s">
        <v>1676</v>
      </c>
      <c r="J121" s="502"/>
      <c r="K121" s="501" t="s">
        <v>4198</v>
      </c>
      <c r="L121" s="501" t="s">
        <v>2049</v>
      </c>
      <c r="M121" s="502">
        <v>44582</v>
      </c>
      <c r="N121" s="502">
        <v>44760</v>
      </c>
      <c r="O121" s="502"/>
      <c r="P121" s="353"/>
      <c r="Q121" s="502"/>
      <c r="R121" s="502"/>
      <c r="S121" s="501" t="s">
        <v>88</v>
      </c>
      <c r="T121" s="501">
        <v>60</v>
      </c>
      <c r="U121" s="501"/>
      <c r="V121" s="510" t="s">
        <v>973</v>
      </c>
      <c r="W121" s="501">
        <v>400</v>
      </c>
      <c r="X121" s="354">
        <v>832</v>
      </c>
      <c r="Y121" s="397">
        <f>W121*X121</f>
        <v>332800</v>
      </c>
      <c r="Z121" s="478">
        <f t="shared" si="27"/>
        <v>0.55000000000000004</v>
      </c>
      <c r="AA121" s="479">
        <f t="shared" si="20"/>
        <v>183040.00000000003</v>
      </c>
      <c r="AB121" s="480"/>
      <c r="AC121" s="481">
        <f>AB121*Y121</f>
        <v>0</v>
      </c>
      <c r="AD121" s="474"/>
      <c r="AE121" s="474"/>
      <c r="AF121" s="493">
        <f>AE121+AD121+AA121</f>
        <v>183040.00000000003</v>
      </c>
      <c r="AG121" s="474" t="s">
        <v>1071</v>
      </c>
      <c r="AH121" s="474"/>
      <c r="AI121" s="474">
        <v>60</v>
      </c>
      <c r="AJ121" s="475" t="s">
        <v>2077</v>
      </c>
      <c r="AK121" s="475" t="s">
        <v>50</v>
      </c>
      <c r="AL121" s="483" t="s">
        <v>2051</v>
      </c>
      <c r="AM121" s="474" t="s">
        <v>52</v>
      </c>
      <c r="AN121" s="384" t="s">
        <v>1074</v>
      </c>
      <c r="AO121" s="474" t="s">
        <v>1076</v>
      </c>
      <c r="AP121" s="474"/>
      <c r="AQ121" s="482" t="s">
        <v>37</v>
      </c>
      <c r="AR121" s="474" t="s">
        <v>1216</v>
      </c>
      <c r="AS121" s="473" t="s">
        <v>1492</v>
      </c>
      <c r="AT121" s="346"/>
      <c r="AU121" s="478">
        <f>208/400</f>
        <v>0.52</v>
      </c>
    </row>
    <row r="122" spans="1:47" s="471" customFormat="1">
      <c r="A122" s="495"/>
      <c r="B122" s="407"/>
      <c r="C122" s="495"/>
      <c r="D122" s="512" t="s">
        <v>86</v>
      </c>
      <c r="E122" s="352"/>
      <c r="F122" s="501"/>
      <c r="G122" s="371">
        <v>2022</v>
      </c>
      <c r="H122" s="371" t="s">
        <v>3004</v>
      </c>
      <c r="I122" s="501" t="s">
        <v>1676</v>
      </c>
      <c r="J122" s="502"/>
      <c r="K122" s="501" t="s">
        <v>4199</v>
      </c>
      <c r="L122" s="501" t="s">
        <v>2049</v>
      </c>
      <c r="M122" s="502">
        <v>44573</v>
      </c>
      <c r="N122" s="502">
        <v>44774</v>
      </c>
      <c r="O122" s="502"/>
      <c r="P122" s="353"/>
      <c r="Q122" s="502"/>
      <c r="R122" s="502"/>
      <c r="S122" s="501" t="s">
        <v>88</v>
      </c>
      <c r="T122" s="501">
        <v>60</v>
      </c>
      <c r="U122" s="501"/>
      <c r="V122" s="510" t="s">
        <v>986</v>
      </c>
      <c r="W122" s="501">
        <v>360</v>
      </c>
      <c r="X122" s="354">
        <v>448</v>
      </c>
      <c r="Y122" s="397">
        <v>161280</v>
      </c>
      <c r="Z122" s="478">
        <f>190.8/360</f>
        <v>0.53</v>
      </c>
      <c r="AA122" s="479">
        <f t="shared" si="20"/>
        <v>85478.400000000009</v>
      </c>
      <c r="AB122" s="480"/>
      <c r="AC122" s="481">
        <v>0</v>
      </c>
      <c r="AD122" s="474"/>
      <c r="AE122" s="474"/>
      <c r="AF122" s="493">
        <v>127411.19999999998</v>
      </c>
      <c r="AG122" s="474" t="s">
        <v>1071</v>
      </c>
      <c r="AH122" s="474"/>
      <c r="AI122" s="474">
        <v>60</v>
      </c>
      <c r="AJ122" s="475" t="s">
        <v>2077</v>
      </c>
      <c r="AK122" s="475" t="s">
        <v>50</v>
      </c>
      <c r="AL122" s="483" t="s">
        <v>2051</v>
      </c>
      <c r="AM122" s="474" t="s">
        <v>52</v>
      </c>
      <c r="AN122" s="384" t="s">
        <v>1074</v>
      </c>
      <c r="AO122" s="474" t="s">
        <v>1076</v>
      </c>
      <c r="AP122" s="474"/>
      <c r="AQ122" s="482" t="s">
        <v>37</v>
      </c>
      <c r="AR122" s="474" t="s">
        <v>1216</v>
      </c>
      <c r="AS122" s="473" t="s">
        <v>1492</v>
      </c>
      <c r="AT122" s="346"/>
      <c r="AU122" s="478">
        <f>180/360</f>
        <v>0.5</v>
      </c>
    </row>
    <row r="123" spans="1:47" s="471" customFormat="1">
      <c r="A123" s="495"/>
      <c r="B123" s="407"/>
      <c r="C123" s="495"/>
      <c r="D123" s="512" t="s">
        <v>86</v>
      </c>
      <c r="E123" s="352"/>
      <c r="F123" s="501"/>
      <c r="G123" s="371">
        <v>2022</v>
      </c>
      <c r="H123" s="371" t="s">
        <v>3004</v>
      </c>
      <c r="I123" s="501" t="s">
        <v>1676</v>
      </c>
      <c r="J123" s="502"/>
      <c r="K123" s="501" t="s">
        <v>4200</v>
      </c>
      <c r="L123" s="501" t="s">
        <v>2049</v>
      </c>
      <c r="M123" s="502">
        <v>44582</v>
      </c>
      <c r="N123" s="502">
        <v>44774</v>
      </c>
      <c r="O123" s="502"/>
      <c r="P123" s="353"/>
      <c r="Q123" s="502"/>
      <c r="R123" s="502"/>
      <c r="S123" s="501" t="s">
        <v>88</v>
      </c>
      <c r="T123" s="501">
        <v>60</v>
      </c>
      <c r="U123" s="501"/>
      <c r="V123" s="510" t="s">
        <v>973</v>
      </c>
      <c r="W123" s="501">
        <v>400</v>
      </c>
      <c r="X123" s="354">
        <v>832</v>
      </c>
      <c r="Y123" s="397">
        <v>332800</v>
      </c>
      <c r="Z123" s="478">
        <f>220/400</f>
        <v>0.55000000000000004</v>
      </c>
      <c r="AA123" s="479">
        <f t="shared" si="20"/>
        <v>183040.00000000003</v>
      </c>
      <c r="AB123" s="480"/>
      <c r="AC123" s="481">
        <v>0</v>
      </c>
      <c r="AD123" s="474"/>
      <c r="AE123" s="474"/>
      <c r="AF123" s="493">
        <v>173056</v>
      </c>
      <c r="AG123" s="474" t="s">
        <v>1071</v>
      </c>
      <c r="AH123" s="474"/>
      <c r="AI123" s="474">
        <v>60</v>
      </c>
      <c r="AJ123" s="475" t="s">
        <v>2077</v>
      </c>
      <c r="AK123" s="475" t="s">
        <v>50</v>
      </c>
      <c r="AL123" s="483" t="s">
        <v>2051</v>
      </c>
      <c r="AM123" s="474" t="s">
        <v>52</v>
      </c>
      <c r="AN123" s="384" t="s">
        <v>1074</v>
      </c>
      <c r="AO123" s="474" t="s">
        <v>1076</v>
      </c>
      <c r="AP123" s="474"/>
      <c r="AQ123" s="482" t="s">
        <v>37</v>
      </c>
      <c r="AR123" s="474" t="s">
        <v>1216</v>
      </c>
      <c r="AS123" s="473" t="s">
        <v>1492</v>
      </c>
      <c r="AT123" s="346"/>
      <c r="AU123" s="478">
        <v>0.52</v>
      </c>
    </row>
    <row r="124" spans="1:47" s="471" customFormat="1">
      <c r="A124" s="495"/>
      <c r="B124" s="407"/>
      <c r="C124" s="495"/>
      <c r="D124" s="512" t="s">
        <v>86</v>
      </c>
      <c r="E124" s="352"/>
      <c r="F124" s="501"/>
      <c r="G124" s="371">
        <v>2022</v>
      </c>
      <c r="H124" s="371" t="s">
        <v>3004</v>
      </c>
      <c r="I124" s="501" t="s">
        <v>1676</v>
      </c>
      <c r="J124" s="502"/>
      <c r="K124" s="501" t="s">
        <v>4201</v>
      </c>
      <c r="L124" s="501" t="s">
        <v>2049</v>
      </c>
      <c r="M124" s="502">
        <v>44582</v>
      </c>
      <c r="N124" s="502">
        <v>44795</v>
      </c>
      <c r="O124" s="502"/>
      <c r="P124" s="353"/>
      <c r="Q124" s="502"/>
      <c r="R124" s="502"/>
      <c r="S124" s="501" t="s">
        <v>88</v>
      </c>
      <c r="T124" s="501">
        <v>60</v>
      </c>
      <c r="U124" s="501"/>
      <c r="V124" s="510" t="s">
        <v>973</v>
      </c>
      <c r="W124" s="501">
        <v>400</v>
      </c>
      <c r="X124" s="354">
        <v>832</v>
      </c>
      <c r="Y124" s="397">
        <f>W124*X124</f>
        <v>332800</v>
      </c>
      <c r="Z124" s="478">
        <f>220/400</f>
        <v>0.55000000000000004</v>
      </c>
      <c r="AA124" s="479">
        <f t="shared" si="20"/>
        <v>183040.00000000003</v>
      </c>
      <c r="AB124" s="480"/>
      <c r="AC124" s="481">
        <f>AB124*Y124</f>
        <v>0</v>
      </c>
      <c r="AD124" s="474"/>
      <c r="AE124" s="474"/>
      <c r="AF124" s="493">
        <f>AE124+AD124+AA124</f>
        <v>183040.00000000003</v>
      </c>
      <c r="AG124" s="474" t="s">
        <v>1071</v>
      </c>
      <c r="AH124" s="474"/>
      <c r="AI124" s="474">
        <v>60</v>
      </c>
      <c r="AJ124" s="475" t="s">
        <v>2077</v>
      </c>
      <c r="AK124" s="475" t="s">
        <v>50</v>
      </c>
      <c r="AL124" s="483" t="s">
        <v>2051</v>
      </c>
      <c r="AM124" s="474" t="s">
        <v>52</v>
      </c>
      <c r="AN124" s="384" t="s">
        <v>1074</v>
      </c>
      <c r="AO124" s="474" t="s">
        <v>1076</v>
      </c>
      <c r="AP124" s="474"/>
      <c r="AQ124" s="482" t="s">
        <v>37</v>
      </c>
      <c r="AR124" s="474" t="s">
        <v>1216</v>
      </c>
      <c r="AS124" s="473" t="s">
        <v>1492</v>
      </c>
      <c r="AT124" s="346"/>
      <c r="AU124" s="478">
        <f>208/400</f>
        <v>0.52</v>
      </c>
    </row>
    <row r="125" spans="1:47" s="471" customFormat="1">
      <c r="A125" s="495"/>
      <c r="B125" s="407"/>
      <c r="C125" s="495"/>
      <c r="D125" s="512" t="s">
        <v>86</v>
      </c>
      <c r="E125" s="352"/>
      <c r="F125" s="501"/>
      <c r="G125" s="371">
        <v>2022</v>
      </c>
      <c r="H125" s="371" t="s">
        <v>3004</v>
      </c>
      <c r="I125" s="501" t="s">
        <v>1676</v>
      </c>
      <c r="J125" s="502"/>
      <c r="K125" s="501" t="s">
        <v>4202</v>
      </c>
      <c r="L125" s="501" t="s">
        <v>2049</v>
      </c>
      <c r="M125" s="502">
        <v>44573</v>
      </c>
      <c r="N125" s="502">
        <v>44635</v>
      </c>
      <c r="O125" s="502"/>
      <c r="P125" s="353"/>
      <c r="Q125" s="502"/>
      <c r="R125" s="502"/>
      <c r="S125" s="501" t="s">
        <v>88</v>
      </c>
      <c r="T125" s="501">
        <v>60</v>
      </c>
      <c r="U125" s="501"/>
      <c r="V125" s="510" t="s">
        <v>986</v>
      </c>
      <c r="W125" s="501">
        <v>360</v>
      </c>
      <c r="X125" s="354">
        <v>448</v>
      </c>
      <c r="Y125" s="397">
        <f>W125*X125</f>
        <v>161280</v>
      </c>
      <c r="Z125" s="478">
        <f>190.8/360</f>
        <v>0.53</v>
      </c>
      <c r="AA125" s="479">
        <f t="shared" si="20"/>
        <v>85478.400000000009</v>
      </c>
      <c r="AB125" s="480"/>
      <c r="AC125" s="481">
        <f>AB125*Y125</f>
        <v>0</v>
      </c>
      <c r="AD125" s="474"/>
      <c r="AE125" s="474"/>
      <c r="AF125" s="493">
        <f>AE125+AD125+AA125</f>
        <v>85478.400000000009</v>
      </c>
      <c r="AG125" s="474" t="s">
        <v>1071</v>
      </c>
      <c r="AH125" s="474"/>
      <c r="AI125" s="474">
        <v>60</v>
      </c>
      <c r="AJ125" s="475" t="s">
        <v>2077</v>
      </c>
      <c r="AK125" s="475" t="s">
        <v>50</v>
      </c>
      <c r="AL125" s="483" t="s">
        <v>2051</v>
      </c>
      <c r="AM125" s="474" t="s">
        <v>52</v>
      </c>
      <c r="AN125" s="384" t="s">
        <v>1074</v>
      </c>
      <c r="AO125" s="474" t="s">
        <v>1076</v>
      </c>
      <c r="AP125" s="474"/>
      <c r="AQ125" s="482" t="s">
        <v>37</v>
      </c>
      <c r="AR125" s="474" t="s">
        <v>1216</v>
      </c>
      <c r="AS125" s="473" t="s">
        <v>1492</v>
      </c>
      <c r="AT125" s="346"/>
      <c r="AU125" s="478">
        <f>180/360</f>
        <v>0.5</v>
      </c>
    </row>
    <row r="126" spans="1:47" s="471" customFormat="1">
      <c r="A126" s="495"/>
      <c r="B126" s="407"/>
      <c r="C126" s="495"/>
      <c r="D126" s="512" t="s">
        <v>86</v>
      </c>
      <c r="E126" s="352"/>
      <c r="F126" s="501"/>
      <c r="G126" s="371">
        <v>2022</v>
      </c>
      <c r="H126" s="371" t="s">
        <v>3004</v>
      </c>
      <c r="I126" s="501" t="s">
        <v>1676</v>
      </c>
      <c r="J126" s="502"/>
      <c r="K126" s="501" t="s">
        <v>4203</v>
      </c>
      <c r="L126" s="501" t="s">
        <v>2049</v>
      </c>
      <c r="M126" s="502">
        <v>44573</v>
      </c>
      <c r="N126" s="502">
        <v>44666</v>
      </c>
      <c r="O126" s="502"/>
      <c r="P126" s="353"/>
      <c r="Q126" s="502"/>
      <c r="R126" s="502"/>
      <c r="S126" s="501" t="s">
        <v>88</v>
      </c>
      <c r="T126" s="501">
        <v>60</v>
      </c>
      <c r="U126" s="501"/>
      <c r="V126" s="510" t="s">
        <v>986</v>
      </c>
      <c r="W126" s="501">
        <v>360</v>
      </c>
      <c r="X126" s="354">
        <v>448</v>
      </c>
      <c r="Y126" s="397">
        <f>W126*X126</f>
        <v>161280</v>
      </c>
      <c r="Z126" s="478">
        <f>190.8/360</f>
        <v>0.53</v>
      </c>
      <c r="AA126" s="479">
        <f t="shared" si="20"/>
        <v>85478.400000000009</v>
      </c>
      <c r="AB126" s="480"/>
      <c r="AC126" s="481">
        <f>AB126*Y126</f>
        <v>0</v>
      </c>
      <c r="AD126" s="474"/>
      <c r="AE126" s="474"/>
      <c r="AF126" s="493">
        <f>AE126+AD126+AA126</f>
        <v>85478.400000000009</v>
      </c>
      <c r="AG126" s="474" t="s">
        <v>1071</v>
      </c>
      <c r="AH126" s="474"/>
      <c r="AI126" s="474">
        <v>60</v>
      </c>
      <c r="AJ126" s="475" t="s">
        <v>2077</v>
      </c>
      <c r="AK126" s="475" t="s">
        <v>50</v>
      </c>
      <c r="AL126" s="483" t="s">
        <v>2051</v>
      </c>
      <c r="AM126" s="474" t="s">
        <v>52</v>
      </c>
      <c r="AN126" s="384" t="s">
        <v>1074</v>
      </c>
      <c r="AO126" s="474" t="s">
        <v>1076</v>
      </c>
      <c r="AP126" s="474"/>
      <c r="AQ126" s="482" t="s">
        <v>37</v>
      </c>
      <c r="AR126" s="474" t="s">
        <v>1216</v>
      </c>
      <c r="AS126" s="473" t="s">
        <v>1492</v>
      </c>
      <c r="AT126" s="346"/>
      <c r="AU126" s="478">
        <f>180/360</f>
        <v>0.5</v>
      </c>
    </row>
    <row r="127" spans="1:47" s="471" customFormat="1">
      <c r="A127" s="495"/>
      <c r="B127" s="407">
        <v>44575</v>
      </c>
      <c r="C127" s="495"/>
      <c r="D127" s="512" t="s">
        <v>86</v>
      </c>
      <c r="E127" s="352"/>
      <c r="F127" s="501"/>
      <c r="G127" s="371">
        <v>2022</v>
      </c>
      <c r="H127" s="371" t="s">
        <v>3004</v>
      </c>
      <c r="I127" s="501" t="s">
        <v>1676</v>
      </c>
      <c r="J127" s="502"/>
      <c r="K127" s="501" t="s">
        <v>4204</v>
      </c>
      <c r="L127" s="501" t="s">
        <v>2049</v>
      </c>
      <c r="M127" s="502">
        <v>44573</v>
      </c>
      <c r="N127" s="502">
        <v>44683</v>
      </c>
      <c r="O127" s="502"/>
      <c r="P127" s="353"/>
      <c r="Q127" s="502"/>
      <c r="R127" s="502"/>
      <c r="S127" s="501" t="s">
        <v>88</v>
      </c>
      <c r="T127" s="501">
        <v>60</v>
      </c>
      <c r="U127" s="501"/>
      <c r="V127" s="510" t="s">
        <v>986</v>
      </c>
      <c r="W127" s="501">
        <v>360</v>
      </c>
      <c r="X127" s="354">
        <v>832</v>
      </c>
      <c r="Y127" s="397">
        <f>W127*X127</f>
        <v>299520</v>
      </c>
      <c r="Z127" s="478">
        <f>190.8/360</f>
        <v>0.53</v>
      </c>
      <c r="AA127" s="479">
        <f t="shared" si="20"/>
        <v>158745.60000000001</v>
      </c>
      <c r="AB127" s="480"/>
      <c r="AC127" s="481">
        <f>AB127*Y127</f>
        <v>0</v>
      </c>
      <c r="AD127" s="474"/>
      <c r="AE127" s="474"/>
      <c r="AF127" s="493">
        <f>AE127+AD127+AA127</f>
        <v>158745.60000000001</v>
      </c>
      <c r="AG127" s="474" t="s">
        <v>1071</v>
      </c>
      <c r="AH127" s="474"/>
      <c r="AI127" s="474">
        <v>60</v>
      </c>
      <c r="AJ127" s="475" t="s">
        <v>2077</v>
      </c>
      <c r="AK127" s="475" t="s">
        <v>50</v>
      </c>
      <c r="AL127" s="483" t="s">
        <v>2051</v>
      </c>
      <c r="AM127" s="474" t="s">
        <v>52</v>
      </c>
      <c r="AN127" s="384" t="s">
        <v>1074</v>
      </c>
      <c r="AO127" s="474" t="s">
        <v>1076</v>
      </c>
      <c r="AP127" s="474"/>
      <c r="AQ127" s="482" t="s">
        <v>37</v>
      </c>
      <c r="AR127" s="474" t="s">
        <v>1216</v>
      </c>
      <c r="AS127" s="473" t="s">
        <v>1492</v>
      </c>
      <c r="AT127" s="346"/>
      <c r="AU127" s="478">
        <f>180/360</f>
        <v>0.5</v>
      </c>
    </row>
    <row r="128" spans="1:47" s="471" customFormat="1">
      <c r="A128" s="495"/>
      <c r="B128" s="407"/>
      <c r="C128" s="495"/>
      <c r="D128" s="512" t="s">
        <v>86</v>
      </c>
      <c r="E128" s="352"/>
      <c r="F128" s="501"/>
      <c r="G128" s="371">
        <v>2022</v>
      </c>
      <c r="H128" s="371" t="s">
        <v>3004</v>
      </c>
      <c r="I128" s="501" t="s">
        <v>1676</v>
      </c>
      <c r="J128" s="502"/>
      <c r="K128" s="501" t="s">
        <v>4205</v>
      </c>
      <c r="L128" s="501" t="s">
        <v>2049</v>
      </c>
      <c r="M128" s="502">
        <v>44573</v>
      </c>
      <c r="N128" s="502">
        <v>44713</v>
      </c>
      <c r="O128" s="502"/>
      <c r="P128" s="353"/>
      <c r="Q128" s="502"/>
      <c r="R128" s="502"/>
      <c r="S128" s="501" t="s">
        <v>88</v>
      </c>
      <c r="T128" s="501">
        <v>60</v>
      </c>
      <c r="U128" s="501"/>
      <c r="V128" s="510" t="s">
        <v>986</v>
      </c>
      <c r="W128" s="501">
        <v>360</v>
      </c>
      <c r="X128" s="354">
        <v>448</v>
      </c>
      <c r="Y128" s="397">
        <f>W128*X128</f>
        <v>161280</v>
      </c>
      <c r="Z128" s="478">
        <f>190.8/360</f>
        <v>0.53</v>
      </c>
      <c r="AA128" s="479">
        <f t="shared" si="20"/>
        <v>85478.400000000009</v>
      </c>
      <c r="AB128" s="480"/>
      <c r="AC128" s="481">
        <f>AB128*Y128</f>
        <v>0</v>
      </c>
      <c r="AD128" s="474"/>
      <c r="AE128" s="474"/>
      <c r="AF128" s="493">
        <f>AE128+AD128+AA128</f>
        <v>85478.400000000009</v>
      </c>
      <c r="AG128" s="474" t="s">
        <v>1071</v>
      </c>
      <c r="AH128" s="474"/>
      <c r="AI128" s="474">
        <v>60</v>
      </c>
      <c r="AJ128" s="475" t="s">
        <v>2077</v>
      </c>
      <c r="AK128" s="475" t="s">
        <v>50</v>
      </c>
      <c r="AL128" s="483" t="s">
        <v>2051</v>
      </c>
      <c r="AM128" s="474" t="s">
        <v>52</v>
      </c>
      <c r="AN128" s="384" t="s">
        <v>1074</v>
      </c>
      <c r="AO128" s="474" t="s">
        <v>1076</v>
      </c>
      <c r="AP128" s="474"/>
      <c r="AQ128" s="482" t="s">
        <v>37</v>
      </c>
      <c r="AR128" s="474" t="s">
        <v>1216</v>
      </c>
      <c r="AS128" s="473" t="s">
        <v>1492</v>
      </c>
      <c r="AT128" s="346"/>
      <c r="AU128" s="478">
        <f>284.4/360</f>
        <v>0.78999999999999992</v>
      </c>
    </row>
    <row r="129" spans="1:47" s="471" customFormat="1">
      <c r="A129" s="495"/>
      <c r="B129" s="407"/>
      <c r="C129" s="495"/>
      <c r="D129" s="512" t="s">
        <v>86</v>
      </c>
      <c r="E129" s="352"/>
      <c r="F129" s="501"/>
      <c r="G129" s="371">
        <v>2022</v>
      </c>
      <c r="H129" s="371" t="s">
        <v>3004</v>
      </c>
      <c r="I129" s="501" t="s">
        <v>1676</v>
      </c>
      <c r="J129" s="502"/>
      <c r="K129" s="501" t="s">
        <v>4206</v>
      </c>
      <c r="L129" s="501" t="s">
        <v>2049</v>
      </c>
      <c r="M129" s="502">
        <v>44573</v>
      </c>
      <c r="N129" s="502">
        <v>44743</v>
      </c>
      <c r="O129" s="502"/>
      <c r="P129" s="353"/>
      <c r="Q129" s="502"/>
      <c r="R129" s="502"/>
      <c r="S129" s="501" t="s">
        <v>88</v>
      </c>
      <c r="T129" s="501">
        <v>60</v>
      </c>
      <c r="U129" s="501"/>
      <c r="V129" s="510" t="s">
        <v>986</v>
      </c>
      <c r="W129" s="501">
        <v>360</v>
      </c>
      <c r="X129" s="354">
        <v>832</v>
      </c>
      <c r="Y129" s="397">
        <v>161280</v>
      </c>
      <c r="Z129" s="478">
        <f>190.8/360</f>
        <v>0.53</v>
      </c>
      <c r="AA129" s="479">
        <f t="shared" si="20"/>
        <v>85478.400000000009</v>
      </c>
      <c r="AB129" s="480"/>
      <c r="AC129" s="481">
        <v>0</v>
      </c>
      <c r="AD129" s="474"/>
      <c r="AE129" s="474"/>
      <c r="AF129" s="493">
        <v>127411.19999999998</v>
      </c>
      <c r="AG129" s="474" t="s">
        <v>1071</v>
      </c>
      <c r="AH129" s="474"/>
      <c r="AI129" s="474">
        <v>60</v>
      </c>
      <c r="AJ129" s="475" t="s">
        <v>2077</v>
      </c>
      <c r="AK129" s="475" t="s">
        <v>50</v>
      </c>
      <c r="AL129" s="483" t="s">
        <v>2051</v>
      </c>
      <c r="AM129" s="474" t="s">
        <v>52</v>
      </c>
      <c r="AN129" s="384" t="s">
        <v>1074</v>
      </c>
      <c r="AO129" s="474" t="s">
        <v>1076</v>
      </c>
      <c r="AP129" s="474"/>
      <c r="AQ129" s="482" t="s">
        <v>37</v>
      </c>
      <c r="AR129" s="474" t="s">
        <v>1216</v>
      </c>
      <c r="AS129" s="473" t="s">
        <v>1492</v>
      </c>
      <c r="AT129" s="346"/>
      <c r="AU129" s="478">
        <f>180/360</f>
        <v>0.5</v>
      </c>
    </row>
    <row r="130" spans="1:47" s="471" customFormat="1">
      <c r="A130" s="495"/>
      <c r="B130" s="407"/>
      <c r="C130" s="495"/>
      <c r="D130" s="512" t="s">
        <v>86</v>
      </c>
      <c r="E130" s="352"/>
      <c r="F130" s="501"/>
      <c r="G130" s="371">
        <v>2022</v>
      </c>
      <c r="H130" s="371" t="s">
        <v>3004</v>
      </c>
      <c r="I130" s="501" t="s">
        <v>1676</v>
      </c>
      <c r="J130" s="502"/>
      <c r="K130" s="501" t="s">
        <v>4207</v>
      </c>
      <c r="L130" s="501" t="s">
        <v>2049</v>
      </c>
      <c r="M130" s="502">
        <v>44582</v>
      </c>
      <c r="N130" s="502">
        <v>44809</v>
      </c>
      <c r="O130" s="502"/>
      <c r="P130" s="353"/>
      <c r="Q130" s="502"/>
      <c r="R130" s="502"/>
      <c r="S130" s="501" t="s">
        <v>88</v>
      </c>
      <c r="T130" s="501">
        <v>60</v>
      </c>
      <c r="U130" s="501"/>
      <c r="V130" s="510" t="s">
        <v>973</v>
      </c>
      <c r="W130" s="501">
        <v>400</v>
      </c>
      <c r="X130" s="354">
        <v>832</v>
      </c>
      <c r="Y130" s="397">
        <f t="shared" ref="Y130:Y193" si="28">W130*X130</f>
        <v>332800</v>
      </c>
      <c r="Z130" s="478">
        <f>220/400</f>
        <v>0.55000000000000004</v>
      </c>
      <c r="AA130" s="479">
        <f t="shared" si="20"/>
        <v>183040.00000000003</v>
      </c>
      <c r="AB130" s="480"/>
      <c r="AC130" s="481">
        <f t="shared" ref="AC130:AC193" si="29">AB130*Y130</f>
        <v>0</v>
      </c>
      <c r="AD130" s="474"/>
      <c r="AE130" s="474"/>
      <c r="AF130" s="493">
        <f t="shared" ref="AF130:AF193" si="30">AE130+AD130+AA130</f>
        <v>183040.00000000003</v>
      </c>
      <c r="AG130" s="474" t="s">
        <v>1071</v>
      </c>
      <c r="AH130" s="474"/>
      <c r="AI130" s="474">
        <v>60</v>
      </c>
      <c r="AJ130" s="475" t="s">
        <v>2077</v>
      </c>
      <c r="AK130" s="475" t="s">
        <v>50</v>
      </c>
      <c r="AL130" s="483" t="s">
        <v>2051</v>
      </c>
      <c r="AM130" s="474" t="s">
        <v>52</v>
      </c>
      <c r="AN130" s="384" t="s">
        <v>1074</v>
      </c>
      <c r="AO130" s="474" t="s">
        <v>1076</v>
      </c>
      <c r="AP130" s="474"/>
      <c r="AQ130" s="482" t="s">
        <v>37</v>
      </c>
      <c r="AR130" s="474" t="s">
        <v>1216</v>
      </c>
      <c r="AS130" s="473" t="s">
        <v>1492</v>
      </c>
      <c r="AT130" s="346"/>
      <c r="AU130" s="478">
        <f>208/400</f>
        <v>0.52</v>
      </c>
    </row>
    <row r="131" spans="1:47" s="471" customFormat="1">
      <c r="A131" s="495"/>
      <c r="B131" s="407"/>
      <c r="C131" s="495"/>
      <c r="D131" s="512" t="s">
        <v>86</v>
      </c>
      <c r="E131" s="352"/>
      <c r="F131" s="501"/>
      <c r="G131" s="371">
        <v>2022</v>
      </c>
      <c r="H131" s="371" t="s">
        <v>3004</v>
      </c>
      <c r="I131" s="501" t="s">
        <v>1676</v>
      </c>
      <c r="J131" s="502"/>
      <c r="K131" s="501" t="s">
        <v>4208</v>
      </c>
      <c r="L131" s="501" t="s">
        <v>2049</v>
      </c>
      <c r="M131" s="502">
        <v>44582</v>
      </c>
      <c r="N131" s="502">
        <v>44823</v>
      </c>
      <c r="O131" s="502"/>
      <c r="P131" s="353"/>
      <c r="Q131" s="502"/>
      <c r="R131" s="502"/>
      <c r="S131" s="501" t="s">
        <v>88</v>
      </c>
      <c r="T131" s="501">
        <v>60</v>
      </c>
      <c r="U131" s="501"/>
      <c r="V131" s="510" t="s">
        <v>973</v>
      </c>
      <c r="W131" s="501">
        <v>400</v>
      </c>
      <c r="X131" s="354">
        <v>832</v>
      </c>
      <c r="Y131" s="397">
        <f t="shared" si="28"/>
        <v>332800</v>
      </c>
      <c r="Z131" s="478">
        <v>0.55000000000000004</v>
      </c>
      <c r="AA131" s="479">
        <f t="shared" si="20"/>
        <v>183040.00000000003</v>
      </c>
      <c r="AB131" s="480"/>
      <c r="AC131" s="481">
        <f t="shared" si="29"/>
        <v>0</v>
      </c>
      <c r="AD131" s="474"/>
      <c r="AE131" s="474"/>
      <c r="AF131" s="493">
        <f t="shared" si="30"/>
        <v>183040.00000000003</v>
      </c>
      <c r="AG131" s="474" t="s">
        <v>1071</v>
      </c>
      <c r="AH131" s="474"/>
      <c r="AI131" s="474">
        <v>60</v>
      </c>
      <c r="AJ131" s="475" t="s">
        <v>2077</v>
      </c>
      <c r="AK131" s="475" t="s">
        <v>50</v>
      </c>
      <c r="AL131" s="483" t="s">
        <v>2051</v>
      </c>
      <c r="AM131" s="474" t="s">
        <v>52</v>
      </c>
      <c r="AN131" s="384" t="s">
        <v>1074</v>
      </c>
      <c r="AO131" s="474" t="s">
        <v>1076</v>
      </c>
      <c r="AP131" s="474"/>
      <c r="AQ131" s="482" t="s">
        <v>37</v>
      </c>
      <c r="AR131" s="474" t="s">
        <v>1216</v>
      </c>
      <c r="AS131" s="473" t="s">
        <v>1492</v>
      </c>
      <c r="AT131" s="346"/>
      <c r="AU131" s="478">
        <f>208/400</f>
        <v>0.52</v>
      </c>
    </row>
    <row r="132" spans="1:47" s="471" customFormat="1">
      <c r="A132" s="495"/>
      <c r="B132" s="407"/>
      <c r="C132" s="495"/>
      <c r="D132" s="512" t="s">
        <v>86</v>
      </c>
      <c r="E132" s="352"/>
      <c r="F132" s="501"/>
      <c r="G132" s="371">
        <v>2022</v>
      </c>
      <c r="H132" s="371" t="s">
        <v>3004</v>
      </c>
      <c r="I132" s="501" t="s">
        <v>1676</v>
      </c>
      <c r="J132" s="502"/>
      <c r="K132" s="501" t="s">
        <v>4207</v>
      </c>
      <c r="L132" s="501" t="s">
        <v>2049</v>
      </c>
      <c r="M132" s="502">
        <v>44582</v>
      </c>
      <c r="N132" s="502">
        <v>44809</v>
      </c>
      <c r="O132" s="502"/>
      <c r="P132" s="353"/>
      <c r="Q132" s="502"/>
      <c r="R132" s="502"/>
      <c r="S132" s="501" t="s">
        <v>88</v>
      </c>
      <c r="T132" s="501">
        <v>60</v>
      </c>
      <c r="U132" s="501"/>
      <c r="V132" s="510" t="s">
        <v>986</v>
      </c>
      <c r="W132" s="501">
        <v>360</v>
      </c>
      <c r="X132" s="354">
        <v>832</v>
      </c>
      <c r="Y132" s="397">
        <f t="shared" si="28"/>
        <v>299520</v>
      </c>
      <c r="Z132" s="478">
        <f>190.8/360</f>
        <v>0.53</v>
      </c>
      <c r="AA132" s="479">
        <f t="shared" si="20"/>
        <v>158745.60000000001</v>
      </c>
      <c r="AB132" s="480"/>
      <c r="AC132" s="481">
        <f t="shared" si="29"/>
        <v>0</v>
      </c>
      <c r="AD132" s="474"/>
      <c r="AE132" s="474"/>
      <c r="AF132" s="493">
        <f t="shared" si="30"/>
        <v>158745.60000000001</v>
      </c>
      <c r="AG132" s="474" t="s">
        <v>1071</v>
      </c>
      <c r="AH132" s="474"/>
      <c r="AI132" s="474">
        <v>60</v>
      </c>
      <c r="AJ132" s="475" t="s">
        <v>2077</v>
      </c>
      <c r="AK132" s="475" t="s">
        <v>50</v>
      </c>
      <c r="AL132" s="483" t="s">
        <v>2051</v>
      </c>
      <c r="AM132" s="474" t="s">
        <v>52</v>
      </c>
      <c r="AN132" s="384" t="s">
        <v>1074</v>
      </c>
      <c r="AO132" s="474" t="s">
        <v>1076</v>
      </c>
      <c r="AP132" s="474"/>
      <c r="AQ132" s="482" t="s">
        <v>37</v>
      </c>
      <c r="AR132" s="474" t="s">
        <v>1216</v>
      </c>
      <c r="AS132" s="473" t="s">
        <v>1492</v>
      </c>
      <c r="AT132" s="346"/>
      <c r="AU132" s="478">
        <f>208/400</f>
        <v>0.52</v>
      </c>
    </row>
    <row r="133" spans="1:47" s="471" customFormat="1">
      <c r="A133" s="495"/>
      <c r="B133" s="407"/>
      <c r="C133" s="495"/>
      <c r="D133" s="512" t="s">
        <v>86</v>
      </c>
      <c r="E133" s="352"/>
      <c r="F133" s="501"/>
      <c r="G133" s="371">
        <v>2022</v>
      </c>
      <c r="H133" s="371" t="s">
        <v>3004</v>
      </c>
      <c r="I133" s="501" t="s">
        <v>1676</v>
      </c>
      <c r="J133" s="502"/>
      <c r="K133" s="501" t="s">
        <v>4209</v>
      </c>
      <c r="L133" s="501" t="s">
        <v>2049</v>
      </c>
      <c r="M133" s="502">
        <v>44586</v>
      </c>
      <c r="N133" s="502">
        <v>44704</v>
      </c>
      <c r="O133" s="502"/>
      <c r="P133" s="353"/>
      <c r="Q133" s="502"/>
      <c r="R133" s="502"/>
      <c r="S133" s="501" t="s">
        <v>88</v>
      </c>
      <c r="T133" s="501">
        <v>60</v>
      </c>
      <c r="U133" s="501"/>
      <c r="V133" s="510" t="s">
        <v>973</v>
      </c>
      <c r="W133" s="501">
        <v>400</v>
      </c>
      <c r="X133" s="354">
        <v>832</v>
      </c>
      <c r="Y133" s="397">
        <f t="shared" si="28"/>
        <v>332800</v>
      </c>
      <c r="Z133" s="478">
        <f>220/400</f>
        <v>0.55000000000000004</v>
      </c>
      <c r="AA133" s="479">
        <f t="shared" si="20"/>
        <v>183040.00000000003</v>
      </c>
      <c r="AB133" s="480"/>
      <c r="AC133" s="481">
        <f t="shared" si="29"/>
        <v>0</v>
      </c>
      <c r="AD133" s="474"/>
      <c r="AE133" s="474"/>
      <c r="AF133" s="493">
        <f t="shared" si="30"/>
        <v>183040.00000000003</v>
      </c>
      <c r="AG133" s="474" t="s">
        <v>1071</v>
      </c>
      <c r="AH133" s="474"/>
      <c r="AI133" s="474">
        <v>60</v>
      </c>
      <c r="AJ133" s="475" t="s">
        <v>2077</v>
      </c>
      <c r="AK133" s="475" t="s">
        <v>50</v>
      </c>
      <c r="AL133" s="483" t="s">
        <v>2051</v>
      </c>
      <c r="AM133" s="474" t="s">
        <v>52</v>
      </c>
      <c r="AN133" s="384" t="s">
        <v>1074</v>
      </c>
      <c r="AO133" s="474" t="s">
        <v>1076</v>
      </c>
      <c r="AP133" s="474"/>
      <c r="AQ133" s="482" t="s">
        <v>37</v>
      </c>
      <c r="AR133" s="474" t="s">
        <v>1216</v>
      </c>
      <c r="AS133" s="473" t="s">
        <v>1492</v>
      </c>
      <c r="AT133" s="346"/>
      <c r="AU133" s="478">
        <f>208/400</f>
        <v>0.52</v>
      </c>
    </row>
    <row r="134" spans="1:47" s="471" customFormat="1">
      <c r="A134" s="495"/>
      <c r="B134" s="407"/>
      <c r="C134" s="495"/>
      <c r="D134" s="512" t="s">
        <v>86</v>
      </c>
      <c r="E134" s="352" t="s">
        <v>4210</v>
      </c>
      <c r="F134" s="501"/>
      <c r="G134" s="371">
        <v>2022</v>
      </c>
      <c r="H134" s="371" t="s">
        <v>4093</v>
      </c>
      <c r="I134" s="501" t="s">
        <v>1676</v>
      </c>
      <c r="J134" s="502"/>
      <c r="K134" s="501" t="s">
        <v>4211</v>
      </c>
      <c r="L134" s="501" t="s">
        <v>1714</v>
      </c>
      <c r="M134" s="502">
        <v>44621</v>
      </c>
      <c r="N134" s="502">
        <v>44774</v>
      </c>
      <c r="O134" s="502"/>
      <c r="P134" s="353"/>
      <c r="Q134" s="502"/>
      <c r="R134" s="502"/>
      <c r="S134" s="501" t="s">
        <v>88</v>
      </c>
      <c r="T134" s="501">
        <v>60</v>
      </c>
      <c r="U134" s="501" t="s">
        <v>1109</v>
      </c>
      <c r="V134" s="510" t="s">
        <v>973</v>
      </c>
      <c r="W134" s="501">
        <v>400</v>
      </c>
      <c r="X134" s="354">
        <v>768</v>
      </c>
      <c r="Y134" s="397">
        <f t="shared" si="28"/>
        <v>307200</v>
      </c>
      <c r="Z134" s="478">
        <f>220/400</f>
        <v>0.55000000000000004</v>
      </c>
      <c r="AA134" s="479">
        <f t="shared" si="20"/>
        <v>168960</v>
      </c>
      <c r="AB134" s="480"/>
      <c r="AC134" s="481">
        <f t="shared" si="29"/>
        <v>0</v>
      </c>
      <c r="AD134" s="474"/>
      <c r="AE134" s="474"/>
      <c r="AF134" s="493">
        <f t="shared" si="30"/>
        <v>168960</v>
      </c>
      <c r="AG134" s="474" t="s">
        <v>1071</v>
      </c>
      <c r="AH134" s="474">
        <v>100</v>
      </c>
      <c r="AI134" s="474">
        <v>0</v>
      </c>
      <c r="AJ134" s="475" t="s">
        <v>1715</v>
      </c>
      <c r="AK134" s="475" t="s">
        <v>50</v>
      </c>
      <c r="AL134" s="483">
        <v>93003</v>
      </c>
      <c r="AM134" s="474" t="s">
        <v>52</v>
      </c>
      <c r="AN134" s="384"/>
      <c r="AO134" s="474" t="s">
        <v>1076</v>
      </c>
      <c r="AP134" s="474"/>
      <c r="AQ134" s="482" t="s">
        <v>37</v>
      </c>
      <c r="AR134" s="474" t="s">
        <v>1216</v>
      </c>
      <c r="AS134" s="473"/>
      <c r="AT134" s="346"/>
      <c r="AU134" s="478">
        <f t="shared" ref="AU134:AU143" si="31">212/400</f>
        <v>0.53</v>
      </c>
    </row>
    <row r="135" spans="1:47" s="471" customFormat="1">
      <c r="A135" s="495"/>
      <c r="B135" s="407"/>
      <c r="C135" s="495"/>
      <c r="D135" s="512" t="s">
        <v>86</v>
      </c>
      <c r="E135" s="352"/>
      <c r="F135" s="501"/>
      <c r="G135" s="371">
        <v>2022</v>
      </c>
      <c r="H135" s="371" t="s">
        <v>4093</v>
      </c>
      <c r="I135" s="501" t="s">
        <v>1676</v>
      </c>
      <c r="J135" s="502"/>
      <c r="K135" s="501" t="s">
        <v>4211</v>
      </c>
      <c r="L135" s="501" t="s">
        <v>1714</v>
      </c>
      <c r="M135" s="502">
        <v>44621</v>
      </c>
      <c r="N135" s="502">
        <v>44774</v>
      </c>
      <c r="O135" s="502"/>
      <c r="P135" s="353"/>
      <c r="Q135" s="502"/>
      <c r="R135" s="502"/>
      <c r="S135" s="501" t="s">
        <v>88</v>
      </c>
      <c r="T135" s="501">
        <v>60</v>
      </c>
      <c r="U135" s="501" t="s">
        <v>1109</v>
      </c>
      <c r="V135" s="510" t="s">
        <v>986</v>
      </c>
      <c r="W135" s="501">
        <v>360</v>
      </c>
      <c r="X135" s="354">
        <v>768</v>
      </c>
      <c r="Y135" s="397">
        <f t="shared" si="28"/>
        <v>276480</v>
      </c>
      <c r="Z135" s="478">
        <f>190.8/360</f>
        <v>0.53</v>
      </c>
      <c r="AA135" s="479">
        <f t="shared" si="20"/>
        <v>146534.39999999999</v>
      </c>
      <c r="AB135" s="480"/>
      <c r="AC135" s="481">
        <f t="shared" si="29"/>
        <v>0</v>
      </c>
      <c r="AD135" s="474"/>
      <c r="AE135" s="474"/>
      <c r="AF135" s="493">
        <f t="shared" si="30"/>
        <v>146534.39999999999</v>
      </c>
      <c r="AG135" s="474" t="s">
        <v>1071</v>
      </c>
      <c r="AH135" s="474">
        <v>100</v>
      </c>
      <c r="AI135" s="474">
        <v>0</v>
      </c>
      <c r="AJ135" s="475" t="s">
        <v>1715</v>
      </c>
      <c r="AK135" s="475" t="s">
        <v>50</v>
      </c>
      <c r="AL135" s="483">
        <v>93003</v>
      </c>
      <c r="AM135" s="474" t="s">
        <v>52</v>
      </c>
      <c r="AN135" s="384"/>
      <c r="AO135" s="474" t="s">
        <v>1076</v>
      </c>
      <c r="AP135" s="474"/>
      <c r="AQ135" s="482" t="s">
        <v>37</v>
      </c>
      <c r="AR135" s="474" t="s">
        <v>1216</v>
      </c>
      <c r="AS135" s="473"/>
      <c r="AT135" s="346"/>
      <c r="AU135" s="478">
        <f t="shared" si="31"/>
        <v>0.53</v>
      </c>
    </row>
    <row r="136" spans="1:47" s="471" customFormat="1">
      <c r="A136" s="495"/>
      <c r="B136" s="407"/>
      <c r="C136" s="495"/>
      <c r="D136" s="512" t="s">
        <v>86</v>
      </c>
      <c r="E136" s="352" t="s">
        <v>4210</v>
      </c>
      <c r="F136" s="501"/>
      <c r="G136" s="371">
        <v>2022</v>
      </c>
      <c r="H136" s="371" t="s">
        <v>4093</v>
      </c>
      <c r="I136" s="501" t="s">
        <v>1676</v>
      </c>
      <c r="J136" s="502"/>
      <c r="K136" s="501" t="s">
        <v>4212</v>
      </c>
      <c r="L136" s="501" t="s">
        <v>1714</v>
      </c>
      <c r="M136" s="502">
        <v>44621</v>
      </c>
      <c r="N136" s="502">
        <v>44809</v>
      </c>
      <c r="O136" s="502"/>
      <c r="P136" s="353"/>
      <c r="Q136" s="502"/>
      <c r="R136" s="502"/>
      <c r="S136" s="501" t="s">
        <v>88</v>
      </c>
      <c r="T136" s="501">
        <v>60</v>
      </c>
      <c r="U136" s="501" t="s">
        <v>1109</v>
      </c>
      <c r="V136" s="510" t="s">
        <v>973</v>
      </c>
      <c r="W136" s="501">
        <v>400</v>
      </c>
      <c r="X136" s="354">
        <v>768</v>
      </c>
      <c r="Y136" s="397">
        <f t="shared" si="28"/>
        <v>307200</v>
      </c>
      <c r="Z136" s="478">
        <f>220/400</f>
        <v>0.55000000000000004</v>
      </c>
      <c r="AA136" s="479">
        <f t="shared" si="20"/>
        <v>168960</v>
      </c>
      <c r="AB136" s="480"/>
      <c r="AC136" s="481">
        <f t="shared" si="29"/>
        <v>0</v>
      </c>
      <c r="AD136" s="474"/>
      <c r="AE136" s="474"/>
      <c r="AF136" s="493">
        <f t="shared" si="30"/>
        <v>168960</v>
      </c>
      <c r="AG136" s="474" t="s">
        <v>1071</v>
      </c>
      <c r="AH136" s="474">
        <v>100</v>
      </c>
      <c r="AI136" s="474">
        <v>0</v>
      </c>
      <c r="AJ136" s="475" t="s">
        <v>1715</v>
      </c>
      <c r="AK136" s="475" t="s">
        <v>50</v>
      </c>
      <c r="AL136" s="483">
        <v>93003</v>
      </c>
      <c r="AM136" s="474" t="s">
        <v>52</v>
      </c>
      <c r="AN136" s="384"/>
      <c r="AO136" s="474" t="s">
        <v>1076</v>
      </c>
      <c r="AP136" s="474"/>
      <c r="AQ136" s="482" t="s">
        <v>37</v>
      </c>
      <c r="AR136" s="474" t="s">
        <v>1216</v>
      </c>
      <c r="AS136" s="473"/>
      <c r="AT136" s="346"/>
      <c r="AU136" s="478">
        <f t="shared" si="31"/>
        <v>0.53</v>
      </c>
    </row>
    <row r="137" spans="1:47" s="471" customFormat="1">
      <c r="A137" s="495"/>
      <c r="B137" s="407"/>
      <c r="C137" s="495"/>
      <c r="D137" s="512" t="s">
        <v>86</v>
      </c>
      <c r="E137" s="352"/>
      <c r="F137" s="501"/>
      <c r="G137" s="371">
        <v>2022</v>
      </c>
      <c r="H137" s="371" t="s">
        <v>4093</v>
      </c>
      <c r="I137" s="501" t="s">
        <v>1676</v>
      </c>
      <c r="J137" s="502"/>
      <c r="K137" s="501" t="s">
        <v>4212</v>
      </c>
      <c r="L137" s="501" t="s">
        <v>1714</v>
      </c>
      <c r="M137" s="502">
        <v>44621</v>
      </c>
      <c r="N137" s="502">
        <v>44809</v>
      </c>
      <c r="O137" s="502"/>
      <c r="P137" s="353"/>
      <c r="Q137" s="502"/>
      <c r="R137" s="502"/>
      <c r="S137" s="501" t="s">
        <v>88</v>
      </c>
      <c r="T137" s="501">
        <v>60</v>
      </c>
      <c r="U137" s="501" t="s">
        <v>1109</v>
      </c>
      <c r="V137" s="510" t="s">
        <v>986</v>
      </c>
      <c r="W137" s="501">
        <v>360</v>
      </c>
      <c r="X137" s="354">
        <v>768</v>
      </c>
      <c r="Y137" s="397">
        <f t="shared" si="28"/>
        <v>276480</v>
      </c>
      <c r="Z137" s="478">
        <f>190.8/360</f>
        <v>0.53</v>
      </c>
      <c r="AA137" s="479">
        <f t="shared" si="20"/>
        <v>146534.39999999999</v>
      </c>
      <c r="AB137" s="480"/>
      <c r="AC137" s="481">
        <f t="shared" si="29"/>
        <v>0</v>
      </c>
      <c r="AD137" s="474"/>
      <c r="AE137" s="474"/>
      <c r="AF137" s="493">
        <f t="shared" si="30"/>
        <v>146534.39999999999</v>
      </c>
      <c r="AG137" s="474" t="s">
        <v>1071</v>
      </c>
      <c r="AH137" s="474">
        <v>100</v>
      </c>
      <c r="AI137" s="474">
        <v>0</v>
      </c>
      <c r="AJ137" s="475" t="s">
        <v>1715</v>
      </c>
      <c r="AK137" s="475" t="s">
        <v>50</v>
      </c>
      <c r="AL137" s="483">
        <v>93003</v>
      </c>
      <c r="AM137" s="474" t="s">
        <v>52</v>
      </c>
      <c r="AN137" s="384"/>
      <c r="AO137" s="474" t="s">
        <v>1076</v>
      </c>
      <c r="AP137" s="474"/>
      <c r="AQ137" s="482" t="s">
        <v>37</v>
      </c>
      <c r="AR137" s="474" t="s">
        <v>1216</v>
      </c>
      <c r="AS137" s="473"/>
      <c r="AT137" s="346"/>
      <c r="AU137" s="478">
        <f t="shared" si="31"/>
        <v>0.53</v>
      </c>
    </row>
    <row r="138" spans="1:47" s="471" customFormat="1">
      <c r="A138" s="495"/>
      <c r="B138" s="407"/>
      <c r="C138" s="495"/>
      <c r="D138" s="512" t="s">
        <v>86</v>
      </c>
      <c r="E138" s="352" t="s">
        <v>4210</v>
      </c>
      <c r="F138" s="501"/>
      <c r="G138" s="371">
        <v>2022</v>
      </c>
      <c r="H138" s="371" t="s">
        <v>4093</v>
      </c>
      <c r="I138" s="501" t="s">
        <v>1676</v>
      </c>
      <c r="J138" s="502"/>
      <c r="K138" s="501" t="s">
        <v>4213</v>
      </c>
      <c r="L138" s="501" t="s">
        <v>1714</v>
      </c>
      <c r="M138" s="502">
        <v>44621</v>
      </c>
      <c r="N138" s="502">
        <v>44837</v>
      </c>
      <c r="O138" s="502"/>
      <c r="P138" s="353"/>
      <c r="Q138" s="502"/>
      <c r="R138" s="502"/>
      <c r="S138" s="501" t="s">
        <v>88</v>
      </c>
      <c r="T138" s="501">
        <v>60</v>
      </c>
      <c r="U138" s="501" t="s">
        <v>1109</v>
      </c>
      <c r="V138" s="510" t="s">
        <v>973</v>
      </c>
      <c r="W138" s="501">
        <v>400</v>
      </c>
      <c r="X138" s="354">
        <v>768</v>
      </c>
      <c r="Y138" s="397">
        <f t="shared" si="28"/>
        <v>307200</v>
      </c>
      <c r="Z138" s="478">
        <f>220/400</f>
        <v>0.55000000000000004</v>
      </c>
      <c r="AA138" s="479">
        <f t="shared" si="20"/>
        <v>168960</v>
      </c>
      <c r="AB138" s="480"/>
      <c r="AC138" s="481">
        <f t="shared" si="29"/>
        <v>0</v>
      </c>
      <c r="AD138" s="474"/>
      <c r="AE138" s="474"/>
      <c r="AF138" s="493">
        <f t="shared" si="30"/>
        <v>168960</v>
      </c>
      <c r="AG138" s="474" t="s">
        <v>1071</v>
      </c>
      <c r="AH138" s="474">
        <v>100</v>
      </c>
      <c r="AI138" s="474">
        <v>0</v>
      </c>
      <c r="AJ138" s="475" t="s">
        <v>1715</v>
      </c>
      <c r="AK138" s="475" t="s">
        <v>50</v>
      </c>
      <c r="AL138" s="483">
        <v>93003</v>
      </c>
      <c r="AM138" s="474" t="s">
        <v>52</v>
      </c>
      <c r="AN138" s="384"/>
      <c r="AO138" s="474" t="s">
        <v>1076</v>
      </c>
      <c r="AP138" s="474"/>
      <c r="AQ138" s="482" t="s">
        <v>37</v>
      </c>
      <c r="AR138" s="474" t="s">
        <v>1216</v>
      </c>
      <c r="AS138" s="473"/>
      <c r="AT138" s="346"/>
      <c r="AU138" s="478">
        <f t="shared" si="31"/>
        <v>0.53</v>
      </c>
    </row>
    <row r="139" spans="1:47" s="471" customFormat="1">
      <c r="A139" s="495"/>
      <c r="B139" s="407"/>
      <c r="C139" s="495"/>
      <c r="D139" s="512" t="s">
        <v>86</v>
      </c>
      <c r="E139" s="352"/>
      <c r="F139" s="501"/>
      <c r="G139" s="371">
        <v>2022</v>
      </c>
      <c r="H139" s="371" t="s">
        <v>4093</v>
      </c>
      <c r="I139" s="501" t="s">
        <v>1676</v>
      </c>
      <c r="J139" s="502"/>
      <c r="K139" s="501" t="s">
        <v>4213</v>
      </c>
      <c r="L139" s="501" t="s">
        <v>1714</v>
      </c>
      <c r="M139" s="502">
        <v>44621</v>
      </c>
      <c r="N139" s="502">
        <v>44837</v>
      </c>
      <c r="O139" s="502"/>
      <c r="P139" s="353"/>
      <c r="Q139" s="502"/>
      <c r="R139" s="502"/>
      <c r="S139" s="501" t="s">
        <v>88</v>
      </c>
      <c r="T139" s="501">
        <v>60</v>
      </c>
      <c r="U139" s="501" t="s">
        <v>1109</v>
      </c>
      <c r="V139" s="510" t="s">
        <v>986</v>
      </c>
      <c r="W139" s="501">
        <v>360</v>
      </c>
      <c r="X139" s="354">
        <v>768</v>
      </c>
      <c r="Y139" s="397">
        <f t="shared" si="28"/>
        <v>276480</v>
      </c>
      <c r="Z139" s="478">
        <f>190.8/360</f>
        <v>0.53</v>
      </c>
      <c r="AA139" s="479">
        <f t="shared" ref="AA139:AA202" si="32">Z139*Y139</f>
        <v>146534.39999999999</v>
      </c>
      <c r="AB139" s="480"/>
      <c r="AC139" s="481">
        <f t="shared" si="29"/>
        <v>0</v>
      </c>
      <c r="AD139" s="474"/>
      <c r="AE139" s="474"/>
      <c r="AF139" s="493">
        <f t="shared" si="30"/>
        <v>146534.39999999999</v>
      </c>
      <c r="AG139" s="474" t="s">
        <v>1071</v>
      </c>
      <c r="AH139" s="474">
        <v>100</v>
      </c>
      <c r="AI139" s="474">
        <v>0</v>
      </c>
      <c r="AJ139" s="475" t="s">
        <v>1715</v>
      </c>
      <c r="AK139" s="475" t="s">
        <v>50</v>
      </c>
      <c r="AL139" s="483">
        <v>93003</v>
      </c>
      <c r="AM139" s="474" t="s">
        <v>52</v>
      </c>
      <c r="AN139" s="384"/>
      <c r="AO139" s="474" t="s">
        <v>1076</v>
      </c>
      <c r="AP139" s="474"/>
      <c r="AQ139" s="482" t="s">
        <v>37</v>
      </c>
      <c r="AR139" s="474" t="s">
        <v>1216</v>
      </c>
      <c r="AS139" s="473"/>
      <c r="AT139" s="346"/>
      <c r="AU139" s="478">
        <f t="shared" si="31"/>
        <v>0.53</v>
      </c>
    </row>
    <row r="140" spans="1:47" s="471" customFormat="1">
      <c r="A140" s="495"/>
      <c r="B140" s="407"/>
      <c r="C140" s="495"/>
      <c r="D140" s="512" t="s">
        <v>86</v>
      </c>
      <c r="E140" s="352" t="s">
        <v>4210</v>
      </c>
      <c r="F140" s="501"/>
      <c r="G140" s="371">
        <v>2022</v>
      </c>
      <c r="H140" s="371" t="s">
        <v>4093</v>
      </c>
      <c r="I140" s="501" t="s">
        <v>1676</v>
      </c>
      <c r="J140" s="502"/>
      <c r="K140" s="501" t="s">
        <v>4214</v>
      </c>
      <c r="L140" s="501" t="s">
        <v>1714</v>
      </c>
      <c r="M140" s="502">
        <v>44621</v>
      </c>
      <c r="N140" s="502">
        <v>44866</v>
      </c>
      <c r="O140" s="502"/>
      <c r="P140" s="353"/>
      <c r="Q140" s="502"/>
      <c r="R140" s="502"/>
      <c r="S140" s="501" t="s">
        <v>88</v>
      </c>
      <c r="T140" s="501">
        <v>60</v>
      </c>
      <c r="U140" s="501" t="s">
        <v>1109</v>
      </c>
      <c r="V140" s="510" t="s">
        <v>973</v>
      </c>
      <c r="W140" s="501">
        <v>400</v>
      </c>
      <c r="X140" s="354">
        <v>768</v>
      </c>
      <c r="Y140" s="397">
        <f t="shared" si="28"/>
        <v>307200</v>
      </c>
      <c r="Z140" s="478">
        <f>220/400</f>
        <v>0.55000000000000004</v>
      </c>
      <c r="AA140" s="479">
        <f t="shared" si="32"/>
        <v>168960</v>
      </c>
      <c r="AB140" s="480"/>
      <c r="AC140" s="481">
        <f t="shared" si="29"/>
        <v>0</v>
      </c>
      <c r="AD140" s="474"/>
      <c r="AE140" s="474"/>
      <c r="AF140" s="493">
        <f t="shared" si="30"/>
        <v>168960</v>
      </c>
      <c r="AG140" s="474" t="s">
        <v>1071</v>
      </c>
      <c r="AH140" s="474">
        <v>100</v>
      </c>
      <c r="AI140" s="474">
        <v>0</v>
      </c>
      <c r="AJ140" s="475" t="s">
        <v>1715</v>
      </c>
      <c r="AK140" s="475" t="s">
        <v>50</v>
      </c>
      <c r="AL140" s="483">
        <v>93003</v>
      </c>
      <c r="AM140" s="474" t="s">
        <v>52</v>
      </c>
      <c r="AN140" s="384"/>
      <c r="AO140" s="474" t="s">
        <v>1076</v>
      </c>
      <c r="AP140" s="474"/>
      <c r="AQ140" s="482" t="s">
        <v>37</v>
      </c>
      <c r="AR140" s="474" t="s">
        <v>1216</v>
      </c>
      <c r="AS140" s="473"/>
      <c r="AT140" s="346"/>
      <c r="AU140" s="478">
        <f t="shared" si="31"/>
        <v>0.53</v>
      </c>
    </row>
    <row r="141" spans="1:47" s="471" customFormat="1">
      <c r="A141" s="495"/>
      <c r="B141" s="407"/>
      <c r="C141" s="495"/>
      <c r="D141" s="512" t="s">
        <v>86</v>
      </c>
      <c r="E141" s="352"/>
      <c r="F141" s="501"/>
      <c r="G141" s="371">
        <v>2022</v>
      </c>
      <c r="H141" s="371" t="s">
        <v>4093</v>
      </c>
      <c r="I141" s="501" t="s">
        <v>1676</v>
      </c>
      <c r="J141" s="502"/>
      <c r="K141" s="501" t="s">
        <v>4214</v>
      </c>
      <c r="L141" s="501" t="s">
        <v>1714</v>
      </c>
      <c r="M141" s="502">
        <v>44621</v>
      </c>
      <c r="N141" s="502">
        <v>44866</v>
      </c>
      <c r="O141" s="502"/>
      <c r="P141" s="353"/>
      <c r="Q141" s="502"/>
      <c r="R141" s="502"/>
      <c r="S141" s="501" t="s">
        <v>88</v>
      </c>
      <c r="T141" s="501">
        <v>60</v>
      </c>
      <c r="U141" s="501" t="s">
        <v>1109</v>
      </c>
      <c r="V141" s="510" t="s">
        <v>986</v>
      </c>
      <c r="W141" s="501">
        <v>360</v>
      </c>
      <c r="X141" s="354">
        <v>768</v>
      </c>
      <c r="Y141" s="397">
        <f t="shared" si="28"/>
        <v>276480</v>
      </c>
      <c r="Z141" s="478">
        <f>190.8/360</f>
        <v>0.53</v>
      </c>
      <c r="AA141" s="479">
        <f t="shared" si="32"/>
        <v>146534.39999999999</v>
      </c>
      <c r="AB141" s="480"/>
      <c r="AC141" s="481">
        <f t="shared" si="29"/>
        <v>0</v>
      </c>
      <c r="AD141" s="474"/>
      <c r="AE141" s="474"/>
      <c r="AF141" s="493">
        <f t="shared" si="30"/>
        <v>146534.39999999999</v>
      </c>
      <c r="AG141" s="474" t="s">
        <v>1071</v>
      </c>
      <c r="AH141" s="474">
        <v>100</v>
      </c>
      <c r="AI141" s="474">
        <v>0</v>
      </c>
      <c r="AJ141" s="475" t="s">
        <v>1715</v>
      </c>
      <c r="AK141" s="475" t="s">
        <v>50</v>
      </c>
      <c r="AL141" s="483">
        <v>93003</v>
      </c>
      <c r="AM141" s="474" t="s">
        <v>52</v>
      </c>
      <c r="AN141" s="384"/>
      <c r="AO141" s="474" t="s">
        <v>1076</v>
      </c>
      <c r="AP141" s="474"/>
      <c r="AQ141" s="482" t="s">
        <v>37</v>
      </c>
      <c r="AR141" s="474" t="s">
        <v>1216</v>
      </c>
      <c r="AS141" s="473"/>
      <c r="AT141" s="346"/>
      <c r="AU141" s="478">
        <f t="shared" si="31"/>
        <v>0.53</v>
      </c>
    </row>
    <row r="142" spans="1:47" s="471" customFormat="1">
      <c r="A142" s="495"/>
      <c r="B142" s="407"/>
      <c r="C142" s="495"/>
      <c r="D142" s="512" t="s">
        <v>86</v>
      </c>
      <c r="E142" s="352" t="s">
        <v>4210</v>
      </c>
      <c r="F142" s="501"/>
      <c r="G142" s="371">
        <v>2022</v>
      </c>
      <c r="H142" s="371" t="s">
        <v>4093</v>
      </c>
      <c r="I142" s="501" t="s">
        <v>1676</v>
      </c>
      <c r="J142" s="502"/>
      <c r="K142" s="501" t="s">
        <v>4215</v>
      </c>
      <c r="L142" s="501" t="s">
        <v>1714</v>
      </c>
      <c r="M142" s="502">
        <v>44621</v>
      </c>
      <c r="N142" s="502">
        <v>44896</v>
      </c>
      <c r="O142" s="502"/>
      <c r="P142" s="353"/>
      <c r="Q142" s="502"/>
      <c r="R142" s="502"/>
      <c r="S142" s="501" t="s">
        <v>88</v>
      </c>
      <c r="T142" s="501">
        <v>60</v>
      </c>
      <c r="U142" s="501" t="s">
        <v>1109</v>
      </c>
      <c r="V142" s="510" t="s">
        <v>973</v>
      </c>
      <c r="W142" s="501">
        <v>400</v>
      </c>
      <c r="X142" s="354">
        <v>768</v>
      </c>
      <c r="Y142" s="397">
        <f t="shared" si="28"/>
        <v>307200</v>
      </c>
      <c r="Z142" s="478">
        <f>220/400</f>
        <v>0.55000000000000004</v>
      </c>
      <c r="AA142" s="479">
        <f t="shared" si="32"/>
        <v>168960</v>
      </c>
      <c r="AB142" s="480"/>
      <c r="AC142" s="481">
        <f t="shared" si="29"/>
        <v>0</v>
      </c>
      <c r="AD142" s="474"/>
      <c r="AE142" s="474"/>
      <c r="AF142" s="493">
        <f t="shared" si="30"/>
        <v>168960</v>
      </c>
      <c r="AG142" s="474" t="s">
        <v>1071</v>
      </c>
      <c r="AH142" s="474">
        <v>100</v>
      </c>
      <c r="AI142" s="474">
        <v>0</v>
      </c>
      <c r="AJ142" s="475" t="s">
        <v>1715</v>
      </c>
      <c r="AK142" s="475" t="s">
        <v>50</v>
      </c>
      <c r="AL142" s="483">
        <v>93003</v>
      </c>
      <c r="AM142" s="474" t="s">
        <v>52</v>
      </c>
      <c r="AN142" s="384"/>
      <c r="AO142" s="474" t="s">
        <v>1076</v>
      </c>
      <c r="AP142" s="474"/>
      <c r="AQ142" s="482" t="s">
        <v>37</v>
      </c>
      <c r="AR142" s="474" t="s">
        <v>1216</v>
      </c>
      <c r="AS142" s="473"/>
      <c r="AT142" s="346"/>
      <c r="AU142" s="478">
        <f t="shared" si="31"/>
        <v>0.53</v>
      </c>
    </row>
    <row r="143" spans="1:47" s="471" customFormat="1">
      <c r="A143" s="495"/>
      <c r="B143" s="407"/>
      <c r="C143" s="495"/>
      <c r="D143" s="512" t="s">
        <v>86</v>
      </c>
      <c r="E143" s="352"/>
      <c r="F143" s="501"/>
      <c r="G143" s="371">
        <v>2022</v>
      </c>
      <c r="H143" s="371" t="s">
        <v>4093</v>
      </c>
      <c r="I143" s="501" t="s">
        <v>1676</v>
      </c>
      <c r="J143" s="502"/>
      <c r="K143" s="501" t="s">
        <v>4215</v>
      </c>
      <c r="L143" s="501" t="s">
        <v>1714</v>
      </c>
      <c r="M143" s="502">
        <v>44621</v>
      </c>
      <c r="N143" s="502">
        <v>44896</v>
      </c>
      <c r="O143" s="502"/>
      <c r="P143" s="353"/>
      <c r="Q143" s="502"/>
      <c r="R143" s="502"/>
      <c r="S143" s="501" t="s">
        <v>88</v>
      </c>
      <c r="T143" s="501">
        <v>60</v>
      </c>
      <c r="U143" s="501" t="s">
        <v>1109</v>
      </c>
      <c r="V143" s="510" t="s">
        <v>986</v>
      </c>
      <c r="W143" s="501">
        <v>360</v>
      </c>
      <c r="X143" s="354">
        <v>768</v>
      </c>
      <c r="Y143" s="397">
        <f t="shared" si="28"/>
        <v>276480</v>
      </c>
      <c r="Z143" s="478">
        <f>190.8/360</f>
        <v>0.53</v>
      </c>
      <c r="AA143" s="479">
        <f t="shared" si="32"/>
        <v>146534.39999999999</v>
      </c>
      <c r="AB143" s="480"/>
      <c r="AC143" s="481">
        <f t="shared" si="29"/>
        <v>0</v>
      </c>
      <c r="AD143" s="474"/>
      <c r="AE143" s="474"/>
      <c r="AF143" s="493">
        <f t="shared" si="30"/>
        <v>146534.39999999999</v>
      </c>
      <c r="AG143" s="474" t="s">
        <v>1071</v>
      </c>
      <c r="AH143" s="474">
        <v>100</v>
      </c>
      <c r="AI143" s="474">
        <v>0</v>
      </c>
      <c r="AJ143" s="475" t="s">
        <v>1715</v>
      </c>
      <c r="AK143" s="475" t="s">
        <v>50</v>
      </c>
      <c r="AL143" s="483">
        <v>93003</v>
      </c>
      <c r="AM143" s="474" t="s">
        <v>52</v>
      </c>
      <c r="AN143" s="384"/>
      <c r="AO143" s="474" t="s">
        <v>1076</v>
      </c>
      <c r="AP143" s="474"/>
      <c r="AQ143" s="482" t="s">
        <v>37</v>
      </c>
      <c r="AR143" s="474" t="s">
        <v>1216</v>
      </c>
      <c r="AS143" s="473"/>
      <c r="AT143" s="346"/>
      <c r="AU143" s="478">
        <f t="shared" si="31"/>
        <v>0.53</v>
      </c>
    </row>
    <row r="144" spans="1:47" s="471" customFormat="1">
      <c r="A144" s="495"/>
      <c r="B144" s="407"/>
      <c r="C144" s="495"/>
      <c r="D144" s="512" t="s">
        <v>86</v>
      </c>
      <c r="E144" s="352" t="s">
        <v>4216</v>
      </c>
      <c r="F144" s="501"/>
      <c r="G144" s="371">
        <v>2022</v>
      </c>
      <c r="H144" s="371" t="s">
        <v>3004</v>
      </c>
      <c r="I144" s="501" t="s">
        <v>1676</v>
      </c>
      <c r="J144" s="502"/>
      <c r="K144" s="501">
        <v>20220207002</v>
      </c>
      <c r="L144" s="501" t="s">
        <v>4217</v>
      </c>
      <c r="M144" s="502">
        <v>44589</v>
      </c>
      <c r="N144" s="502">
        <v>44648</v>
      </c>
      <c r="O144" s="502"/>
      <c r="P144" s="353"/>
      <c r="Q144" s="502"/>
      <c r="R144" s="502"/>
      <c r="S144" s="501" t="s">
        <v>88</v>
      </c>
      <c r="T144" s="501">
        <v>60</v>
      </c>
      <c r="U144" s="501"/>
      <c r="V144" s="510" t="s">
        <v>985</v>
      </c>
      <c r="W144" s="501">
        <v>400</v>
      </c>
      <c r="X144" s="354">
        <v>2496</v>
      </c>
      <c r="Y144" s="397">
        <f t="shared" si="28"/>
        <v>998400</v>
      </c>
      <c r="Z144" s="478">
        <f>208/400</f>
        <v>0.52</v>
      </c>
      <c r="AA144" s="479">
        <f t="shared" si="32"/>
        <v>519168</v>
      </c>
      <c r="AB144" s="480"/>
      <c r="AC144" s="481">
        <f t="shared" si="29"/>
        <v>0</v>
      </c>
      <c r="AD144" s="474"/>
      <c r="AE144" s="474"/>
      <c r="AF144" s="493">
        <f t="shared" si="30"/>
        <v>519168</v>
      </c>
      <c r="AG144" s="474" t="s">
        <v>1071</v>
      </c>
      <c r="AH144" s="474"/>
      <c r="AI144" s="474">
        <v>60</v>
      </c>
      <c r="AJ144" s="475" t="s">
        <v>4218</v>
      </c>
      <c r="AK144" s="475" t="s">
        <v>50</v>
      </c>
      <c r="AL144" s="483" t="s">
        <v>4218</v>
      </c>
      <c r="AM144" s="474" t="s">
        <v>52</v>
      </c>
      <c r="AN144" s="384" t="s">
        <v>1074</v>
      </c>
      <c r="AO144" s="474" t="s">
        <v>1076</v>
      </c>
      <c r="AP144" s="474"/>
      <c r="AQ144" s="482" t="s">
        <v>37</v>
      </c>
      <c r="AR144" s="474" t="s">
        <v>1216</v>
      </c>
      <c r="AS144" s="473" t="s">
        <v>1492</v>
      </c>
      <c r="AT144" s="346"/>
      <c r="AU144" s="478">
        <f>208/400</f>
        <v>0.52</v>
      </c>
    </row>
    <row r="145" spans="1:47" s="471" customFormat="1">
      <c r="A145" s="495"/>
      <c r="B145" s="407"/>
      <c r="C145" s="495"/>
      <c r="D145" s="512" t="s">
        <v>86</v>
      </c>
      <c r="E145" s="352" t="s">
        <v>4216</v>
      </c>
      <c r="F145" s="501"/>
      <c r="G145" s="371">
        <v>2022</v>
      </c>
      <c r="H145" s="371" t="s">
        <v>3004</v>
      </c>
      <c r="I145" s="501" t="s">
        <v>1676</v>
      </c>
      <c r="J145" s="502"/>
      <c r="K145" s="501">
        <v>20220207002</v>
      </c>
      <c r="L145" s="501" t="s">
        <v>4217</v>
      </c>
      <c r="M145" s="502">
        <v>44589</v>
      </c>
      <c r="N145" s="502">
        <v>44679</v>
      </c>
      <c r="O145" s="502"/>
      <c r="P145" s="353"/>
      <c r="Q145" s="502"/>
      <c r="R145" s="502"/>
      <c r="S145" s="501" t="s">
        <v>88</v>
      </c>
      <c r="T145" s="501">
        <v>60</v>
      </c>
      <c r="U145" s="501"/>
      <c r="V145" s="510" t="s">
        <v>985</v>
      </c>
      <c r="W145" s="501">
        <v>400</v>
      </c>
      <c r="X145" s="354">
        <v>2496</v>
      </c>
      <c r="Y145" s="397">
        <f t="shared" si="28"/>
        <v>998400</v>
      </c>
      <c r="Z145" s="478">
        <f>208/400</f>
        <v>0.52</v>
      </c>
      <c r="AA145" s="479">
        <f t="shared" si="32"/>
        <v>519168</v>
      </c>
      <c r="AB145" s="480"/>
      <c r="AC145" s="481">
        <f t="shared" si="29"/>
        <v>0</v>
      </c>
      <c r="AD145" s="474"/>
      <c r="AE145" s="474"/>
      <c r="AF145" s="493">
        <f t="shared" si="30"/>
        <v>519168</v>
      </c>
      <c r="AG145" s="474" t="s">
        <v>1071</v>
      </c>
      <c r="AH145" s="474"/>
      <c r="AI145" s="474">
        <v>60</v>
      </c>
      <c r="AJ145" s="475" t="s">
        <v>4218</v>
      </c>
      <c r="AK145" s="475" t="s">
        <v>50</v>
      </c>
      <c r="AL145" s="483" t="s">
        <v>4218</v>
      </c>
      <c r="AM145" s="474" t="s">
        <v>52</v>
      </c>
      <c r="AN145" s="384" t="s">
        <v>1074</v>
      </c>
      <c r="AO145" s="474" t="s">
        <v>1076</v>
      </c>
      <c r="AP145" s="474"/>
      <c r="AQ145" s="482" t="s">
        <v>37</v>
      </c>
      <c r="AR145" s="474" t="s">
        <v>1216</v>
      </c>
      <c r="AS145" s="473" t="s">
        <v>1492</v>
      </c>
      <c r="AT145" s="346"/>
      <c r="AU145" s="478">
        <f>208/400</f>
        <v>0.52</v>
      </c>
    </row>
    <row r="146" spans="1:47" s="471" customFormat="1">
      <c r="A146" s="495"/>
      <c r="B146" s="407"/>
      <c r="C146" s="495"/>
      <c r="D146" s="512" t="s">
        <v>86</v>
      </c>
      <c r="E146" s="352" t="s">
        <v>4216</v>
      </c>
      <c r="F146" s="501"/>
      <c r="G146" s="371">
        <v>2022</v>
      </c>
      <c r="H146" s="371" t="s">
        <v>3004</v>
      </c>
      <c r="I146" s="501" t="s">
        <v>1676</v>
      </c>
      <c r="J146" s="502"/>
      <c r="K146" s="501">
        <v>20220207002</v>
      </c>
      <c r="L146" s="501" t="s">
        <v>4217</v>
      </c>
      <c r="M146" s="502">
        <v>44589</v>
      </c>
      <c r="N146" s="502">
        <v>44709</v>
      </c>
      <c r="O146" s="502"/>
      <c r="P146" s="353"/>
      <c r="Q146" s="502"/>
      <c r="R146" s="502"/>
      <c r="S146" s="501" t="s">
        <v>88</v>
      </c>
      <c r="T146" s="501">
        <v>60</v>
      </c>
      <c r="U146" s="501"/>
      <c r="V146" s="510" t="s">
        <v>985</v>
      </c>
      <c r="W146" s="501">
        <v>400</v>
      </c>
      <c r="X146" s="354">
        <v>2496</v>
      </c>
      <c r="Y146" s="397">
        <f t="shared" si="28"/>
        <v>998400</v>
      </c>
      <c r="Z146" s="478">
        <f>208/400</f>
        <v>0.52</v>
      </c>
      <c r="AA146" s="479">
        <f t="shared" si="32"/>
        <v>519168</v>
      </c>
      <c r="AB146" s="480"/>
      <c r="AC146" s="481">
        <f t="shared" si="29"/>
        <v>0</v>
      </c>
      <c r="AD146" s="474"/>
      <c r="AE146" s="474"/>
      <c r="AF146" s="493">
        <f t="shared" si="30"/>
        <v>519168</v>
      </c>
      <c r="AG146" s="474" t="s">
        <v>1071</v>
      </c>
      <c r="AH146" s="474"/>
      <c r="AI146" s="474">
        <v>60</v>
      </c>
      <c r="AJ146" s="475" t="s">
        <v>4218</v>
      </c>
      <c r="AK146" s="475" t="s">
        <v>50</v>
      </c>
      <c r="AL146" s="483" t="s">
        <v>4218</v>
      </c>
      <c r="AM146" s="474" t="s">
        <v>52</v>
      </c>
      <c r="AN146" s="384" t="s">
        <v>1074</v>
      </c>
      <c r="AO146" s="474" t="s">
        <v>1076</v>
      </c>
      <c r="AP146" s="474"/>
      <c r="AQ146" s="482" t="s">
        <v>37</v>
      </c>
      <c r="AR146" s="474" t="s">
        <v>1216</v>
      </c>
      <c r="AS146" s="473" t="s">
        <v>1492</v>
      </c>
      <c r="AT146" s="346"/>
      <c r="AU146" s="478">
        <f>208/400</f>
        <v>0.52</v>
      </c>
    </row>
    <row r="147" spans="1:47" s="471" customFormat="1">
      <c r="A147" s="495"/>
      <c r="B147" s="407"/>
      <c r="C147" s="495"/>
      <c r="D147" s="512" t="s">
        <v>86</v>
      </c>
      <c r="E147" s="352" t="s">
        <v>4216</v>
      </c>
      <c r="F147" s="501"/>
      <c r="G147" s="371">
        <v>2022</v>
      </c>
      <c r="H147" s="371" t="s">
        <v>3004</v>
      </c>
      <c r="I147" s="501" t="s">
        <v>1676</v>
      </c>
      <c r="J147" s="502"/>
      <c r="K147" s="501">
        <v>20220207002</v>
      </c>
      <c r="L147" s="501" t="s">
        <v>4217</v>
      </c>
      <c r="M147" s="502">
        <v>44589</v>
      </c>
      <c r="N147" s="502">
        <v>44740</v>
      </c>
      <c r="O147" s="502"/>
      <c r="P147" s="353"/>
      <c r="Q147" s="502"/>
      <c r="R147" s="502"/>
      <c r="S147" s="501" t="s">
        <v>88</v>
      </c>
      <c r="T147" s="501">
        <v>60</v>
      </c>
      <c r="U147" s="501"/>
      <c r="V147" s="510" t="s">
        <v>985</v>
      </c>
      <c r="W147" s="501">
        <v>400</v>
      </c>
      <c r="X147" s="354">
        <v>3264</v>
      </c>
      <c r="Y147" s="397">
        <f t="shared" si="28"/>
        <v>1305600</v>
      </c>
      <c r="Z147" s="478">
        <f>208/400</f>
        <v>0.52</v>
      </c>
      <c r="AA147" s="479">
        <f t="shared" si="32"/>
        <v>678912</v>
      </c>
      <c r="AB147" s="480"/>
      <c r="AC147" s="481">
        <f t="shared" si="29"/>
        <v>0</v>
      </c>
      <c r="AD147" s="474"/>
      <c r="AE147" s="474"/>
      <c r="AF147" s="493">
        <f t="shared" si="30"/>
        <v>678912</v>
      </c>
      <c r="AG147" s="474" t="s">
        <v>1071</v>
      </c>
      <c r="AH147" s="474"/>
      <c r="AI147" s="474">
        <v>60</v>
      </c>
      <c r="AJ147" s="475" t="s">
        <v>4218</v>
      </c>
      <c r="AK147" s="475" t="s">
        <v>50</v>
      </c>
      <c r="AL147" s="483" t="s">
        <v>4218</v>
      </c>
      <c r="AM147" s="474" t="s">
        <v>52</v>
      </c>
      <c r="AN147" s="384" t="s">
        <v>1074</v>
      </c>
      <c r="AO147" s="474" t="s">
        <v>1076</v>
      </c>
      <c r="AP147" s="474"/>
      <c r="AQ147" s="482" t="s">
        <v>37</v>
      </c>
      <c r="AR147" s="474" t="s">
        <v>1216</v>
      </c>
      <c r="AS147" s="473" t="s">
        <v>1492</v>
      </c>
      <c r="AT147" s="346"/>
      <c r="AU147" s="478">
        <f>208/400</f>
        <v>0.52</v>
      </c>
    </row>
    <row r="148" spans="1:47" s="471" customFormat="1">
      <c r="A148" s="495"/>
      <c r="B148" s="407">
        <v>44615</v>
      </c>
      <c r="C148" s="495"/>
      <c r="D148" s="512" t="s">
        <v>86</v>
      </c>
      <c r="E148" s="352"/>
      <c r="F148" s="501" t="s">
        <v>2303</v>
      </c>
      <c r="G148" s="371">
        <v>2022</v>
      </c>
      <c r="H148" s="371" t="s">
        <v>3004</v>
      </c>
      <c r="I148" s="501" t="s">
        <v>1676</v>
      </c>
      <c r="J148" s="502"/>
      <c r="K148" s="501" t="s">
        <v>4219</v>
      </c>
      <c r="L148" s="501" t="s">
        <v>1723</v>
      </c>
      <c r="M148" s="502">
        <v>44596</v>
      </c>
      <c r="N148" s="502">
        <v>44697</v>
      </c>
      <c r="O148" s="502"/>
      <c r="P148" s="353"/>
      <c r="Q148" s="502"/>
      <c r="R148" s="502"/>
      <c r="S148" s="501" t="s">
        <v>88</v>
      </c>
      <c r="T148" s="501">
        <v>60</v>
      </c>
      <c r="U148" s="501"/>
      <c r="V148" s="510" t="s">
        <v>973</v>
      </c>
      <c r="W148" s="501">
        <v>400</v>
      </c>
      <c r="X148" s="354">
        <v>768</v>
      </c>
      <c r="Y148" s="397">
        <f t="shared" si="28"/>
        <v>307200</v>
      </c>
      <c r="Z148" s="478">
        <f>222/400</f>
        <v>0.55500000000000005</v>
      </c>
      <c r="AA148" s="479">
        <f t="shared" si="32"/>
        <v>170496.00000000003</v>
      </c>
      <c r="AB148" s="480"/>
      <c r="AC148" s="481">
        <f t="shared" si="29"/>
        <v>0</v>
      </c>
      <c r="AD148" s="474"/>
      <c r="AE148" s="474"/>
      <c r="AF148" s="493">
        <f t="shared" si="30"/>
        <v>170496.00000000003</v>
      </c>
      <c r="AG148" s="474" t="s">
        <v>1071</v>
      </c>
      <c r="AH148" s="474"/>
      <c r="AI148" s="474">
        <v>60</v>
      </c>
      <c r="AJ148" s="475" t="s">
        <v>1342</v>
      </c>
      <c r="AK148" s="475" t="s">
        <v>1085</v>
      </c>
      <c r="AL148" s="483" t="s">
        <v>2305</v>
      </c>
      <c r="AM148" s="474" t="s">
        <v>52</v>
      </c>
      <c r="AN148" s="384" t="s">
        <v>1074</v>
      </c>
      <c r="AO148" s="474" t="s">
        <v>1076</v>
      </c>
      <c r="AP148" s="474"/>
      <c r="AQ148" s="482" t="s">
        <v>37</v>
      </c>
      <c r="AR148" s="474" t="s">
        <v>1216</v>
      </c>
      <c r="AS148" s="473"/>
      <c r="AT148" s="346"/>
      <c r="AU148" s="478">
        <f t="shared" ref="AU148:AU164" si="33">181.8/360</f>
        <v>0.505</v>
      </c>
    </row>
    <row r="149" spans="1:47" s="471" customFormat="1">
      <c r="A149" s="495"/>
      <c r="B149" s="407">
        <v>44615</v>
      </c>
      <c r="C149" s="495"/>
      <c r="D149" s="512" t="s">
        <v>86</v>
      </c>
      <c r="E149" s="352"/>
      <c r="F149" s="501" t="s">
        <v>2303</v>
      </c>
      <c r="G149" s="371">
        <v>2022</v>
      </c>
      <c r="H149" s="371" t="s">
        <v>3004</v>
      </c>
      <c r="I149" s="501" t="s">
        <v>1676</v>
      </c>
      <c r="J149" s="502"/>
      <c r="K149" s="501" t="s">
        <v>4220</v>
      </c>
      <c r="L149" s="501" t="s">
        <v>1723</v>
      </c>
      <c r="M149" s="502">
        <v>44596</v>
      </c>
      <c r="N149" s="502">
        <v>44667</v>
      </c>
      <c r="O149" s="502"/>
      <c r="P149" s="353"/>
      <c r="Q149" s="502"/>
      <c r="R149" s="502"/>
      <c r="S149" s="501" t="s">
        <v>88</v>
      </c>
      <c r="T149" s="501">
        <v>60</v>
      </c>
      <c r="U149" s="501"/>
      <c r="V149" s="510" t="s">
        <v>973</v>
      </c>
      <c r="W149" s="501">
        <v>400</v>
      </c>
      <c r="X149" s="354">
        <v>768</v>
      </c>
      <c r="Y149" s="397">
        <f t="shared" si="28"/>
        <v>307200</v>
      </c>
      <c r="Z149" s="478">
        <f>222/400</f>
        <v>0.55500000000000005</v>
      </c>
      <c r="AA149" s="479">
        <f t="shared" si="32"/>
        <v>170496.00000000003</v>
      </c>
      <c r="AB149" s="480"/>
      <c r="AC149" s="481">
        <f t="shared" si="29"/>
        <v>0</v>
      </c>
      <c r="AD149" s="474"/>
      <c r="AE149" s="474"/>
      <c r="AF149" s="493">
        <f t="shared" si="30"/>
        <v>170496.00000000003</v>
      </c>
      <c r="AG149" s="474" t="s">
        <v>1071</v>
      </c>
      <c r="AH149" s="474"/>
      <c r="AI149" s="474">
        <v>60</v>
      </c>
      <c r="AJ149" s="475" t="s">
        <v>1342</v>
      </c>
      <c r="AK149" s="475" t="s">
        <v>1085</v>
      </c>
      <c r="AL149" s="483" t="s">
        <v>2305</v>
      </c>
      <c r="AM149" s="474" t="s">
        <v>52</v>
      </c>
      <c r="AN149" s="384" t="s">
        <v>1074</v>
      </c>
      <c r="AO149" s="474" t="s">
        <v>1076</v>
      </c>
      <c r="AP149" s="474"/>
      <c r="AQ149" s="482" t="s">
        <v>37</v>
      </c>
      <c r="AR149" s="474" t="s">
        <v>1216</v>
      </c>
      <c r="AS149" s="473"/>
      <c r="AT149" s="346"/>
      <c r="AU149" s="478">
        <f t="shared" si="33"/>
        <v>0.505</v>
      </c>
    </row>
    <row r="150" spans="1:47" s="471" customFormat="1">
      <c r="A150" s="495"/>
      <c r="B150" s="407">
        <v>44614</v>
      </c>
      <c r="C150" s="495"/>
      <c r="D150" s="512" t="s">
        <v>86</v>
      </c>
      <c r="E150" s="352"/>
      <c r="F150" s="501" t="s">
        <v>2303</v>
      </c>
      <c r="G150" s="371">
        <v>2022</v>
      </c>
      <c r="H150" s="371" t="s">
        <v>3004</v>
      </c>
      <c r="I150" s="501" t="s">
        <v>1676</v>
      </c>
      <c r="J150" s="502"/>
      <c r="K150" s="501" t="s">
        <v>4221</v>
      </c>
      <c r="L150" s="501" t="s">
        <v>1723</v>
      </c>
      <c r="M150" s="502">
        <v>44596</v>
      </c>
      <c r="N150" s="502">
        <v>44727</v>
      </c>
      <c r="O150" s="502"/>
      <c r="P150" s="353"/>
      <c r="Q150" s="502"/>
      <c r="R150" s="502"/>
      <c r="S150" s="501" t="s">
        <v>88</v>
      </c>
      <c r="T150" s="501">
        <v>60</v>
      </c>
      <c r="U150" s="501"/>
      <c r="V150" s="510" t="s">
        <v>973</v>
      </c>
      <c r="W150" s="501">
        <v>400</v>
      </c>
      <c r="X150" s="354">
        <v>768</v>
      </c>
      <c r="Y150" s="397">
        <f t="shared" si="28"/>
        <v>307200</v>
      </c>
      <c r="Z150" s="478">
        <f>222/400</f>
        <v>0.55500000000000005</v>
      </c>
      <c r="AA150" s="479">
        <f t="shared" si="32"/>
        <v>170496.00000000003</v>
      </c>
      <c r="AB150" s="480"/>
      <c r="AC150" s="481">
        <f t="shared" si="29"/>
        <v>0</v>
      </c>
      <c r="AD150" s="474"/>
      <c r="AE150" s="474"/>
      <c r="AF150" s="493">
        <f t="shared" si="30"/>
        <v>170496.00000000003</v>
      </c>
      <c r="AG150" s="474" t="s">
        <v>1071</v>
      </c>
      <c r="AH150" s="474"/>
      <c r="AI150" s="474">
        <v>60</v>
      </c>
      <c r="AJ150" s="475" t="s">
        <v>1342</v>
      </c>
      <c r="AK150" s="475" t="s">
        <v>1085</v>
      </c>
      <c r="AL150" s="483" t="s">
        <v>2305</v>
      </c>
      <c r="AM150" s="474" t="s">
        <v>52</v>
      </c>
      <c r="AN150" s="384" t="s">
        <v>1074</v>
      </c>
      <c r="AO150" s="474" t="s">
        <v>1076</v>
      </c>
      <c r="AP150" s="474"/>
      <c r="AQ150" s="482" t="s">
        <v>37</v>
      </c>
      <c r="AR150" s="474" t="s">
        <v>1216</v>
      </c>
      <c r="AS150" s="473"/>
      <c r="AT150" s="346"/>
      <c r="AU150" s="478">
        <f t="shared" si="33"/>
        <v>0.505</v>
      </c>
    </row>
    <row r="151" spans="1:47" s="471" customFormat="1">
      <c r="A151" s="495"/>
      <c r="B151" s="407">
        <v>44615</v>
      </c>
      <c r="C151" s="495"/>
      <c r="D151" s="512" t="s">
        <v>86</v>
      </c>
      <c r="E151" s="352"/>
      <c r="F151" s="501" t="s">
        <v>2303</v>
      </c>
      <c r="G151" s="371">
        <v>2022</v>
      </c>
      <c r="H151" s="371" t="s">
        <v>3004</v>
      </c>
      <c r="I151" s="501" t="s">
        <v>1676</v>
      </c>
      <c r="J151" s="502"/>
      <c r="K151" s="501" t="s">
        <v>4222</v>
      </c>
      <c r="L151" s="501" t="s">
        <v>1723</v>
      </c>
      <c r="M151" s="502">
        <v>44596</v>
      </c>
      <c r="N151" s="502">
        <v>44806</v>
      </c>
      <c r="O151" s="502"/>
      <c r="P151" s="353"/>
      <c r="Q151" s="502"/>
      <c r="R151" s="502"/>
      <c r="S151" s="501" t="s">
        <v>88</v>
      </c>
      <c r="T151" s="501">
        <v>60</v>
      </c>
      <c r="U151" s="501"/>
      <c r="V151" s="510" t="s">
        <v>973</v>
      </c>
      <c r="W151" s="501">
        <v>400</v>
      </c>
      <c r="X151" s="354">
        <v>1536</v>
      </c>
      <c r="Y151" s="397">
        <f t="shared" si="28"/>
        <v>614400</v>
      </c>
      <c r="Z151" s="478">
        <v>0.55500000000000005</v>
      </c>
      <c r="AA151" s="479">
        <f t="shared" si="32"/>
        <v>340992.00000000006</v>
      </c>
      <c r="AB151" s="480"/>
      <c r="AC151" s="481">
        <f t="shared" si="29"/>
        <v>0</v>
      </c>
      <c r="AD151" s="474"/>
      <c r="AE151" s="474"/>
      <c r="AF151" s="493">
        <f t="shared" si="30"/>
        <v>340992.00000000006</v>
      </c>
      <c r="AG151" s="474" t="s">
        <v>1071</v>
      </c>
      <c r="AH151" s="474"/>
      <c r="AI151" s="474">
        <v>60</v>
      </c>
      <c r="AJ151" s="475" t="s">
        <v>1342</v>
      </c>
      <c r="AK151" s="475" t="s">
        <v>1085</v>
      </c>
      <c r="AL151" s="483" t="s">
        <v>2305</v>
      </c>
      <c r="AM151" s="474" t="s">
        <v>52</v>
      </c>
      <c r="AN151" s="384" t="s">
        <v>1074</v>
      </c>
      <c r="AO151" s="474" t="s">
        <v>1076</v>
      </c>
      <c r="AP151" s="474"/>
      <c r="AQ151" s="482" t="s">
        <v>37</v>
      </c>
      <c r="AR151" s="474" t="s">
        <v>1216</v>
      </c>
      <c r="AS151" s="473"/>
      <c r="AT151" s="346"/>
      <c r="AU151" s="478">
        <f t="shared" si="33"/>
        <v>0.505</v>
      </c>
    </row>
    <row r="152" spans="1:47" s="471" customFormat="1">
      <c r="A152" s="495"/>
      <c r="B152" s="407">
        <v>44615</v>
      </c>
      <c r="C152" s="495"/>
      <c r="D152" s="512" t="s">
        <v>86</v>
      </c>
      <c r="E152" s="352"/>
      <c r="F152" s="501" t="s">
        <v>2303</v>
      </c>
      <c r="G152" s="371">
        <v>2022</v>
      </c>
      <c r="H152" s="371" t="s">
        <v>3004</v>
      </c>
      <c r="I152" s="501" t="s">
        <v>1676</v>
      </c>
      <c r="J152" s="502"/>
      <c r="K152" s="501" t="s">
        <v>4223</v>
      </c>
      <c r="L152" s="501" t="s">
        <v>1723</v>
      </c>
      <c r="M152" s="502">
        <v>44596</v>
      </c>
      <c r="N152" s="502">
        <v>44778</v>
      </c>
      <c r="O152" s="502"/>
      <c r="P152" s="353"/>
      <c r="Q152" s="502"/>
      <c r="R152" s="502"/>
      <c r="S152" s="501" t="s">
        <v>88</v>
      </c>
      <c r="T152" s="501">
        <v>60</v>
      </c>
      <c r="U152" s="501"/>
      <c r="V152" s="510" t="s">
        <v>973</v>
      </c>
      <c r="W152" s="501">
        <v>400</v>
      </c>
      <c r="X152" s="354">
        <v>1536</v>
      </c>
      <c r="Y152" s="397">
        <f t="shared" si="28"/>
        <v>614400</v>
      </c>
      <c r="Z152" s="478">
        <f>222/400</f>
        <v>0.55500000000000005</v>
      </c>
      <c r="AA152" s="479">
        <f t="shared" si="32"/>
        <v>340992.00000000006</v>
      </c>
      <c r="AB152" s="480"/>
      <c r="AC152" s="481">
        <f t="shared" si="29"/>
        <v>0</v>
      </c>
      <c r="AD152" s="474"/>
      <c r="AE152" s="474"/>
      <c r="AF152" s="493">
        <f t="shared" si="30"/>
        <v>340992.00000000006</v>
      </c>
      <c r="AG152" s="474" t="s">
        <v>1071</v>
      </c>
      <c r="AH152" s="474"/>
      <c r="AI152" s="474">
        <v>60</v>
      </c>
      <c r="AJ152" s="475" t="s">
        <v>1342</v>
      </c>
      <c r="AK152" s="475" t="s">
        <v>1085</v>
      </c>
      <c r="AL152" s="483" t="s">
        <v>2305</v>
      </c>
      <c r="AM152" s="474" t="s">
        <v>52</v>
      </c>
      <c r="AN152" s="384" t="s">
        <v>1074</v>
      </c>
      <c r="AO152" s="474" t="s">
        <v>1076</v>
      </c>
      <c r="AP152" s="474"/>
      <c r="AQ152" s="482" t="s">
        <v>37</v>
      </c>
      <c r="AR152" s="474" t="s">
        <v>1216</v>
      </c>
      <c r="AS152" s="473"/>
      <c r="AT152" s="346"/>
      <c r="AU152" s="478">
        <f t="shared" si="33"/>
        <v>0.505</v>
      </c>
    </row>
    <row r="153" spans="1:47" s="471" customFormat="1">
      <c r="A153" s="495"/>
      <c r="B153" s="407"/>
      <c r="C153" s="495"/>
      <c r="D153" s="512" t="s">
        <v>86</v>
      </c>
      <c r="E153" s="352"/>
      <c r="F153" s="501" t="s">
        <v>2303</v>
      </c>
      <c r="G153" s="371">
        <v>2022</v>
      </c>
      <c r="H153" s="371" t="s">
        <v>3004</v>
      </c>
      <c r="I153" s="501" t="s">
        <v>1676</v>
      </c>
      <c r="J153" s="502"/>
      <c r="K153" s="501" t="s">
        <v>4224</v>
      </c>
      <c r="L153" s="501" t="s">
        <v>1723</v>
      </c>
      <c r="M153" s="502">
        <v>44622</v>
      </c>
      <c r="N153" s="502">
        <v>44623</v>
      </c>
      <c r="O153" s="502"/>
      <c r="P153" s="353"/>
      <c r="Q153" s="502"/>
      <c r="R153" s="502"/>
      <c r="S153" s="501" t="s">
        <v>88</v>
      </c>
      <c r="T153" s="501">
        <v>60</v>
      </c>
      <c r="U153" s="501"/>
      <c r="V153" s="510" t="s">
        <v>973</v>
      </c>
      <c r="W153" s="501">
        <v>400</v>
      </c>
      <c r="X153" s="354">
        <v>768</v>
      </c>
      <c r="Y153" s="397">
        <f t="shared" si="28"/>
        <v>307200</v>
      </c>
      <c r="Z153" s="478">
        <f>222/400</f>
        <v>0.55500000000000005</v>
      </c>
      <c r="AA153" s="479">
        <f t="shared" si="32"/>
        <v>170496.00000000003</v>
      </c>
      <c r="AB153" s="480"/>
      <c r="AC153" s="481">
        <f t="shared" si="29"/>
        <v>0</v>
      </c>
      <c r="AD153" s="474"/>
      <c r="AE153" s="474"/>
      <c r="AF153" s="493">
        <f t="shared" si="30"/>
        <v>170496.00000000003</v>
      </c>
      <c r="AG153" s="474" t="s">
        <v>1071</v>
      </c>
      <c r="AH153" s="474"/>
      <c r="AI153" s="474">
        <v>60</v>
      </c>
      <c r="AJ153" s="475" t="s">
        <v>1342</v>
      </c>
      <c r="AK153" s="475" t="s">
        <v>1085</v>
      </c>
      <c r="AL153" s="483" t="s">
        <v>2305</v>
      </c>
      <c r="AM153" s="474" t="s">
        <v>52</v>
      </c>
      <c r="AN153" s="384" t="s">
        <v>1074</v>
      </c>
      <c r="AO153" s="474" t="s">
        <v>1076</v>
      </c>
      <c r="AP153" s="474"/>
      <c r="AQ153" s="482" t="s">
        <v>37</v>
      </c>
      <c r="AR153" s="474" t="s">
        <v>1216</v>
      </c>
      <c r="AS153" s="473"/>
      <c r="AT153" s="346"/>
      <c r="AU153" s="478">
        <f t="shared" si="33"/>
        <v>0.505</v>
      </c>
    </row>
    <row r="154" spans="1:47" s="471" customFormat="1">
      <c r="A154" s="495"/>
      <c r="B154" s="407">
        <v>44614</v>
      </c>
      <c r="C154" s="495"/>
      <c r="D154" s="512" t="s">
        <v>86</v>
      </c>
      <c r="E154" s="352"/>
      <c r="F154" s="501" t="s">
        <v>2303</v>
      </c>
      <c r="G154" s="371">
        <v>2022</v>
      </c>
      <c r="H154" s="371" t="s">
        <v>3004</v>
      </c>
      <c r="I154" s="501" t="s">
        <v>1676</v>
      </c>
      <c r="J154" s="502"/>
      <c r="K154" s="501" t="s">
        <v>4225</v>
      </c>
      <c r="L154" s="501" t="s">
        <v>1723</v>
      </c>
      <c r="M154" s="502">
        <v>44585</v>
      </c>
      <c r="N154" s="502">
        <v>44727</v>
      </c>
      <c r="O154" s="502"/>
      <c r="P154" s="353"/>
      <c r="Q154" s="502"/>
      <c r="R154" s="502"/>
      <c r="S154" s="501" t="s">
        <v>88</v>
      </c>
      <c r="T154" s="501">
        <v>60</v>
      </c>
      <c r="U154" s="501"/>
      <c r="V154" s="510" t="s">
        <v>986</v>
      </c>
      <c r="W154" s="501">
        <v>360</v>
      </c>
      <c r="X154" s="354">
        <v>768</v>
      </c>
      <c r="Y154" s="397">
        <f t="shared" si="28"/>
        <v>276480</v>
      </c>
      <c r="Z154" s="478">
        <f>192.6/360</f>
        <v>0.53500000000000003</v>
      </c>
      <c r="AA154" s="479">
        <f t="shared" si="32"/>
        <v>147916.80000000002</v>
      </c>
      <c r="AB154" s="480"/>
      <c r="AC154" s="481">
        <f t="shared" si="29"/>
        <v>0</v>
      </c>
      <c r="AD154" s="474"/>
      <c r="AE154" s="474"/>
      <c r="AF154" s="493">
        <f t="shared" si="30"/>
        <v>147916.80000000002</v>
      </c>
      <c r="AG154" s="474" t="s">
        <v>1071</v>
      </c>
      <c r="AH154" s="474"/>
      <c r="AI154" s="474">
        <v>60</v>
      </c>
      <c r="AJ154" s="475" t="s">
        <v>2951</v>
      </c>
      <c r="AK154" s="475" t="s">
        <v>1084</v>
      </c>
      <c r="AL154" s="483" t="s">
        <v>2952</v>
      </c>
      <c r="AM154" s="474" t="s">
        <v>52</v>
      </c>
      <c r="AN154" s="384" t="s">
        <v>1074</v>
      </c>
      <c r="AO154" s="474" t="s">
        <v>1076</v>
      </c>
      <c r="AP154" s="474"/>
      <c r="AQ154" s="482" t="s">
        <v>37</v>
      </c>
      <c r="AR154" s="474" t="s">
        <v>1216</v>
      </c>
      <c r="AS154" s="473"/>
      <c r="AT154" s="346"/>
      <c r="AU154" s="478">
        <f t="shared" si="33"/>
        <v>0.505</v>
      </c>
    </row>
    <row r="155" spans="1:47" s="471" customFormat="1">
      <c r="A155" s="495"/>
      <c r="B155" s="407">
        <v>44614</v>
      </c>
      <c r="C155" s="495"/>
      <c r="D155" s="512" t="s">
        <v>86</v>
      </c>
      <c r="E155" s="352"/>
      <c r="F155" s="501" t="s">
        <v>2303</v>
      </c>
      <c r="G155" s="371">
        <v>2022</v>
      </c>
      <c r="H155" s="371" t="s">
        <v>3004</v>
      </c>
      <c r="I155" s="501" t="s">
        <v>1676</v>
      </c>
      <c r="J155" s="502"/>
      <c r="K155" s="501" t="s">
        <v>4226</v>
      </c>
      <c r="L155" s="501" t="s">
        <v>1723</v>
      </c>
      <c r="M155" s="502">
        <v>44585</v>
      </c>
      <c r="N155" s="502">
        <v>44755</v>
      </c>
      <c r="O155" s="502"/>
      <c r="P155" s="353"/>
      <c r="Q155" s="502"/>
      <c r="R155" s="502"/>
      <c r="S155" s="501" t="s">
        <v>88</v>
      </c>
      <c r="T155" s="501">
        <v>60</v>
      </c>
      <c r="U155" s="501"/>
      <c r="V155" s="510" t="s">
        <v>986</v>
      </c>
      <c r="W155" s="501">
        <v>360</v>
      </c>
      <c r="X155" s="354">
        <v>768</v>
      </c>
      <c r="Y155" s="397">
        <f t="shared" si="28"/>
        <v>276480</v>
      </c>
      <c r="Z155" s="478">
        <f>192.6/360</f>
        <v>0.53500000000000003</v>
      </c>
      <c r="AA155" s="479">
        <f t="shared" si="32"/>
        <v>147916.80000000002</v>
      </c>
      <c r="AB155" s="480"/>
      <c r="AC155" s="481">
        <f t="shared" si="29"/>
        <v>0</v>
      </c>
      <c r="AD155" s="474"/>
      <c r="AE155" s="474"/>
      <c r="AF155" s="493">
        <f t="shared" si="30"/>
        <v>147916.80000000002</v>
      </c>
      <c r="AG155" s="474" t="s">
        <v>1071</v>
      </c>
      <c r="AH155" s="474"/>
      <c r="AI155" s="474">
        <v>60</v>
      </c>
      <c r="AJ155" s="475" t="s">
        <v>2951</v>
      </c>
      <c r="AK155" s="475" t="s">
        <v>1084</v>
      </c>
      <c r="AL155" s="483" t="s">
        <v>2952</v>
      </c>
      <c r="AM155" s="474" t="s">
        <v>52</v>
      </c>
      <c r="AN155" s="384" t="s">
        <v>1074</v>
      </c>
      <c r="AO155" s="474" t="s">
        <v>1076</v>
      </c>
      <c r="AP155" s="474"/>
      <c r="AQ155" s="482" t="s">
        <v>37</v>
      </c>
      <c r="AR155" s="474" t="s">
        <v>1216</v>
      </c>
      <c r="AS155" s="473"/>
      <c r="AT155" s="346"/>
      <c r="AU155" s="478">
        <f t="shared" si="33"/>
        <v>0.505</v>
      </c>
    </row>
    <row r="156" spans="1:47" s="471" customFormat="1">
      <c r="A156" s="495"/>
      <c r="B156" s="407"/>
      <c r="C156" s="495"/>
      <c r="D156" s="512" t="s">
        <v>86</v>
      </c>
      <c r="E156" s="352"/>
      <c r="F156" s="501" t="s">
        <v>2303</v>
      </c>
      <c r="G156" s="371">
        <v>2022</v>
      </c>
      <c r="H156" s="371" t="s">
        <v>3004</v>
      </c>
      <c r="I156" s="501" t="s">
        <v>1676</v>
      </c>
      <c r="J156" s="502"/>
      <c r="K156" s="501" t="s">
        <v>4227</v>
      </c>
      <c r="L156" s="501" t="s">
        <v>1723</v>
      </c>
      <c r="M156" s="502">
        <v>44585</v>
      </c>
      <c r="N156" s="502">
        <v>44818</v>
      </c>
      <c r="O156" s="502"/>
      <c r="P156" s="353"/>
      <c r="Q156" s="502"/>
      <c r="R156" s="502"/>
      <c r="S156" s="501" t="s">
        <v>88</v>
      </c>
      <c r="T156" s="501">
        <v>60</v>
      </c>
      <c r="U156" s="501"/>
      <c r="V156" s="510" t="s">
        <v>986</v>
      </c>
      <c r="W156" s="501">
        <v>360</v>
      </c>
      <c r="X156" s="354">
        <v>768</v>
      </c>
      <c r="Y156" s="397">
        <f t="shared" si="28"/>
        <v>276480</v>
      </c>
      <c r="Z156" s="478">
        <f>192.6/360</f>
        <v>0.53500000000000003</v>
      </c>
      <c r="AA156" s="479">
        <f t="shared" si="32"/>
        <v>147916.80000000002</v>
      </c>
      <c r="AB156" s="480"/>
      <c r="AC156" s="481">
        <f t="shared" si="29"/>
        <v>0</v>
      </c>
      <c r="AD156" s="474"/>
      <c r="AE156" s="474"/>
      <c r="AF156" s="493">
        <f t="shared" si="30"/>
        <v>147916.80000000002</v>
      </c>
      <c r="AG156" s="474" t="s">
        <v>1071</v>
      </c>
      <c r="AH156" s="474"/>
      <c r="AI156" s="474">
        <v>60</v>
      </c>
      <c r="AJ156" s="475" t="s">
        <v>2951</v>
      </c>
      <c r="AK156" s="475" t="s">
        <v>1084</v>
      </c>
      <c r="AL156" s="483" t="s">
        <v>2952</v>
      </c>
      <c r="AM156" s="474" t="s">
        <v>52</v>
      </c>
      <c r="AN156" s="384" t="s">
        <v>1074</v>
      </c>
      <c r="AO156" s="474" t="s">
        <v>1076</v>
      </c>
      <c r="AP156" s="474"/>
      <c r="AQ156" s="482" t="s">
        <v>37</v>
      </c>
      <c r="AR156" s="474" t="s">
        <v>1216</v>
      </c>
      <c r="AS156" s="473"/>
      <c r="AT156" s="346"/>
      <c r="AU156" s="478">
        <f t="shared" si="33"/>
        <v>0.505</v>
      </c>
    </row>
    <row r="157" spans="1:47" s="471" customFormat="1">
      <c r="A157" s="495"/>
      <c r="B157" s="407">
        <v>44615</v>
      </c>
      <c r="C157" s="495"/>
      <c r="D157" s="512" t="s">
        <v>86</v>
      </c>
      <c r="E157" s="352"/>
      <c r="F157" s="501" t="s">
        <v>2303</v>
      </c>
      <c r="G157" s="371">
        <v>2022</v>
      </c>
      <c r="H157" s="371" t="s">
        <v>3004</v>
      </c>
      <c r="I157" s="501" t="s">
        <v>1676</v>
      </c>
      <c r="J157" s="502"/>
      <c r="K157" s="501" t="s">
        <v>4228</v>
      </c>
      <c r="L157" s="501" t="s">
        <v>1723</v>
      </c>
      <c r="M157" s="502">
        <v>44596</v>
      </c>
      <c r="N157" s="502">
        <v>44806</v>
      </c>
      <c r="O157" s="502"/>
      <c r="P157" s="353"/>
      <c r="Q157" s="502"/>
      <c r="R157" s="502"/>
      <c r="S157" s="501" t="s">
        <v>88</v>
      </c>
      <c r="T157" s="501">
        <v>60</v>
      </c>
      <c r="U157" s="501"/>
      <c r="V157" s="510" t="s">
        <v>986</v>
      </c>
      <c r="W157" s="501">
        <v>360</v>
      </c>
      <c r="X157" s="354">
        <v>1536</v>
      </c>
      <c r="Y157" s="397">
        <f t="shared" si="28"/>
        <v>552960</v>
      </c>
      <c r="Z157" s="478">
        <f>192.6/360</f>
        <v>0.53500000000000003</v>
      </c>
      <c r="AA157" s="479">
        <f t="shared" si="32"/>
        <v>295833.60000000003</v>
      </c>
      <c r="AB157" s="480"/>
      <c r="AC157" s="481">
        <f t="shared" si="29"/>
        <v>0</v>
      </c>
      <c r="AD157" s="474"/>
      <c r="AE157" s="474"/>
      <c r="AF157" s="493">
        <f t="shared" si="30"/>
        <v>295833.60000000003</v>
      </c>
      <c r="AG157" s="474" t="s">
        <v>1071</v>
      </c>
      <c r="AH157" s="474"/>
      <c r="AI157" s="474">
        <v>60</v>
      </c>
      <c r="AJ157" s="475" t="s">
        <v>1342</v>
      </c>
      <c r="AK157" s="475" t="s">
        <v>1085</v>
      </c>
      <c r="AL157" s="483" t="s">
        <v>2305</v>
      </c>
      <c r="AM157" s="474" t="s">
        <v>52</v>
      </c>
      <c r="AN157" s="384" t="s">
        <v>1074</v>
      </c>
      <c r="AO157" s="474" t="s">
        <v>1076</v>
      </c>
      <c r="AP157" s="474"/>
      <c r="AQ157" s="482" t="s">
        <v>37</v>
      </c>
      <c r="AR157" s="474" t="s">
        <v>1216</v>
      </c>
      <c r="AS157" s="473"/>
      <c r="AT157" s="346"/>
      <c r="AU157" s="478">
        <f t="shared" si="33"/>
        <v>0.505</v>
      </c>
    </row>
    <row r="158" spans="1:47" s="471" customFormat="1">
      <c r="A158" s="495"/>
      <c r="B158" s="407">
        <v>44615</v>
      </c>
      <c r="C158" s="495"/>
      <c r="D158" s="512" t="s">
        <v>86</v>
      </c>
      <c r="E158" s="352"/>
      <c r="F158" s="501" t="s">
        <v>2303</v>
      </c>
      <c r="G158" s="371">
        <v>2022</v>
      </c>
      <c r="H158" s="371" t="s">
        <v>3004</v>
      </c>
      <c r="I158" s="501" t="s">
        <v>1676</v>
      </c>
      <c r="J158" s="502"/>
      <c r="K158" s="501" t="s">
        <v>4229</v>
      </c>
      <c r="L158" s="501" t="s">
        <v>1723</v>
      </c>
      <c r="M158" s="502">
        <v>44596</v>
      </c>
      <c r="N158" s="502">
        <v>44778</v>
      </c>
      <c r="O158" s="502"/>
      <c r="P158" s="353"/>
      <c r="Q158" s="502"/>
      <c r="R158" s="502"/>
      <c r="S158" s="501" t="s">
        <v>88</v>
      </c>
      <c r="T158" s="501">
        <v>60</v>
      </c>
      <c r="U158" s="501"/>
      <c r="V158" s="510" t="s">
        <v>986</v>
      </c>
      <c r="W158" s="501">
        <v>360</v>
      </c>
      <c r="X158" s="354">
        <v>1536</v>
      </c>
      <c r="Y158" s="397">
        <f t="shared" si="28"/>
        <v>552960</v>
      </c>
      <c r="Z158" s="478">
        <f>192.6/360</f>
        <v>0.53500000000000003</v>
      </c>
      <c r="AA158" s="479">
        <f t="shared" si="32"/>
        <v>295833.60000000003</v>
      </c>
      <c r="AB158" s="480"/>
      <c r="AC158" s="481">
        <f t="shared" si="29"/>
        <v>0</v>
      </c>
      <c r="AD158" s="474"/>
      <c r="AE158" s="474"/>
      <c r="AF158" s="493">
        <f t="shared" si="30"/>
        <v>295833.60000000003</v>
      </c>
      <c r="AG158" s="474" t="s">
        <v>1071</v>
      </c>
      <c r="AH158" s="474"/>
      <c r="AI158" s="474">
        <v>60</v>
      </c>
      <c r="AJ158" s="475" t="s">
        <v>1342</v>
      </c>
      <c r="AK158" s="475" t="s">
        <v>1085</v>
      </c>
      <c r="AL158" s="483" t="s">
        <v>2305</v>
      </c>
      <c r="AM158" s="474" t="s">
        <v>52</v>
      </c>
      <c r="AN158" s="384" t="s">
        <v>1074</v>
      </c>
      <c r="AO158" s="474" t="s">
        <v>1076</v>
      </c>
      <c r="AP158" s="474"/>
      <c r="AQ158" s="482" t="s">
        <v>37</v>
      </c>
      <c r="AR158" s="474" t="s">
        <v>1216</v>
      </c>
      <c r="AS158" s="473"/>
      <c r="AT158" s="346"/>
      <c r="AU158" s="478">
        <f t="shared" si="33"/>
        <v>0.505</v>
      </c>
    </row>
    <row r="159" spans="1:47" s="471" customFormat="1">
      <c r="A159" s="495"/>
      <c r="B159" s="407">
        <v>44615</v>
      </c>
      <c r="C159" s="495"/>
      <c r="D159" s="512" t="s">
        <v>86</v>
      </c>
      <c r="E159" s="352" t="s">
        <v>4230</v>
      </c>
      <c r="F159" s="501" t="s">
        <v>2303</v>
      </c>
      <c r="G159" s="371">
        <v>2022</v>
      </c>
      <c r="H159" s="371" t="s">
        <v>3004</v>
      </c>
      <c r="I159" s="501" t="s">
        <v>1676</v>
      </c>
      <c r="J159" s="502"/>
      <c r="K159" s="501" t="s">
        <v>4231</v>
      </c>
      <c r="L159" s="501" t="s">
        <v>1723</v>
      </c>
      <c r="M159" s="502">
        <v>44636</v>
      </c>
      <c r="N159" s="502">
        <v>44778</v>
      </c>
      <c r="O159" s="502"/>
      <c r="P159" s="353"/>
      <c r="Q159" s="502"/>
      <c r="R159" s="502"/>
      <c r="S159" s="501" t="s">
        <v>88</v>
      </c>
      <c r="T159" s="501">
        <v>60</v>
      </c>
      <c r="U159" s="501"/>
      <c r="V159" s="510" t="s">
        <v>986</v>
      </c>
      <c r="W159" s="501">
        <v>360</v>
      </c>
      <c r="X159" s="354">
        <v>768</v>
      </c>
      <c r="Y159" s="397">
        <f t="shared" si="28"/>
        <v>276480</v>
      </c>
      <c r="Z159" s="478">
        <f>181.8/360</f>
        <v>0.505</v>
      </c>
      <c r="AA159" s="479">
        <f t="shared" si="32"/>
        <v>139622.39999999999</v>
      </c>
      <c r="AB159" s="480"/>
      <c r="AC159" s="481">
        <f t="shared" si="29"/>
        <v>0</v>
      </c>
      <c r="AD159" s="474"/>
      <c r="AE159" s="474"/>
      <c r="AF159" s="493">
        <f t="shared" si="30"/>
        <v>139622.39999999999</v>
      </c>
      <c r="AG159" s="474" t="s">
        <v>1071</v>
      </c>
      <c r="AH159" s="474"/>
      <c r="AI159" s="474">
        <v>60</v>
      </c>
      <c r="AJ159" s="475" t="s">
        <v>1342</v>
      </c>
      <c r="AK159" s="475" t="s">
        <v>1085</v>
      </c>
      <c r="AL159" s="483" t="s">
        <v>2305</v>
      </c>
      <c r="AM159" s="474" t="s">
        <v>52</v>
      </c>
      <c r="AN159" s="384" t="s">
        <v>1074</v>
      </c>
      <c r="AO159" s="474" t="s">
        <v>1076</v>
      </c>
      <c r="AP159" s="474"/>
      <c r="AQ159" s="482" t="s">
        <v>37</v>
      </c>
      <c r="AR159" s="474" t="s">
        <v>1216</v>
      </c>
      <c r="AS159" s="473"/>
      <c r="AT159" s="346"/>
      <c r="AU159" s="478">
        <f t="shared" si="33"/>
        <v>0.505</v>
      </c>
    </row>
    <row r="160" spans="1:47" s="471" customFormat="1">
      <c r="A160" s="495"/>
      <c r="B160" s="407">
        <v>44615</v>
      </c>
      <c r="C160" s="495"/>
      <c r="D160" s="512" t="s">
        <v>86</v>
      </c>
      <c r="E160" s="352" t="s">
        <v>4230</v>
      </c>
      <c r="F160" s="501" t="s">
        <v>2303</v>
      </c>
      <c r="G160" s="371">
        <v>2022</v>
      </c>
      <c r="H160" s="371" t="s">
        <v>3004</v>
      </c>
      <c r="I160" s="501" t="s">
        <v>1676</v>
      </c>
      <c r="J160" s="502"/>
      <c r="K160" s="501" t="s">
        <v>4231</v>
      </c>
      <c r="L160" s="501" t="s">
        <v>1723</v>
      </c>
      <c r="M160" s="502">
        <v>44636</v>
      </c>
      <c r="N160" s="502">
        <v>44778</v>
      </c>
      <c r="O160" s="502"/>
      <c r="P160" s="353"/>
      <c r="Q160" s="502"/>
      <c r="R160" s="502"/>
      <c r="S160" s="501" t="s">
        <v>88</v>
      </c>
      <c r="T160" s="501">
        <v>60</v>
      </c>
      <c r="U160" s="501"/>
      <c r="V160" s="510" t="s">
        <v>973</v>
      </c>
      <c r="W160" s="501">
        <v>400</v>
      </c>
      <c r="X160" s="354">
        <v>768</v>
      </c>
      <c r="Y160" s="397">
        <f t="shared" si="28"/>
        <v>307200</v>
      </c>
      <c r="Z160" s="478">
        <f>222/400</f>
        <v>0.55500000000000005</v>
      </c>
      <c r="AA160" s="479">
        <f t="shared" si="32"/>
        <v>170496.00000000003</v>
      </c>
      <c r="AB160" s="480"/>
      <c r="AC160" s="481">
        <f t="shared" si="29"/>
        <v>0</v>
      </c>
      <c r="AD160" s="474"/>
      <c r="AE160" s="474"/>
      <c r="AF160" s="493">
        <f t="shared" si="30"/>
        <v>170496.00000000003</v>
      </c>
      <c r="AG160" s="474" t="s">
        <v>1071</v>
      </c>
      <c r="AH160" s="474"/>
      <c r="AI160" s="474">
        <v>60</v>
      </c>
      <c r="AJ160" s="475" t="s">
        <v>1342</v>
      </c>
      <c r="AK160" s="475" t="s">
        <v>1085</v>
      </c>
      <c r="AL160" s="483" t="s">
        <v>2305</v>
      </c>
      <c r="AM160" s="474" t="s">
        <v>52</v>
      </c>
      <c r="AN160" s="384" t="s">
        <v>1074</v>
      </c>
      <c r="AO160" s="474" t="s">
        <v>1076</v>
      </c>
      <c r="AP160" s="474"/>
      <c r="AQ160" s="482" t="s">
        <v>37</v>
      </c>
      <c r="AR160" s="474" t="s">
        <v>1216</v>
      </c>
      <c r="AS160" s="473"/>
      <c r="AT160" s="346"/>
      <c r="AU160" s="478">
        <f t="shared" si="33"/>
        <v>0.505</v>
      </c>
    </row>
    <row r="161" spans="1:47" s="471" customFormat="1">
      <c r="A161" s="495"/>
      <c r="B161" s="407">
        <v>44615</v>
      </c>
      <c r="C161" s="495"/>
      <c r="D161" s="512" t="s">
        <v>86</v>
      </c>
      <c r="E161" s="352" t="s">
        <v>4230</v>
      </c>
      <c r="F161" s="501" t="s">
        <v>2303</v>
      </c>
      <c r="G161" s="371">
        <v>2022</v>
      </c>
      <c r="H161" s="371" t="s">
        <v>3004</v>
      </c>
      <c r="I161" s="501" t="s">
        <v>1676</v>
      </c>
      <c r="J161" s="502"/>
      <c r="K161" s="501" t="s">
        <v>4232</v>
      </c>
      <c r="L161" s="501" t="s">
        <v>1723</v>
      </c>
      <c r="M161" s="502">
        <v>44636</v>
      </c>
      <c r="N161" s="502">
        <v>44809</v>
      </c>
      <c r="O161" s="502"/>
      <c r="P161" s="353"/>
      <c r="Q161" s="502"/>
      <c r="R161" s="502"/>
      <c r="S161" s="501" t="s">
        <v>88</v>
      </c>
      <c r="T161" s="501">
        <v>60</v>
      </c>
      <c r="U161" s="501"/>
      <c r="V161" s="510" t="s">
        <v>986</v>
      </c>
      <c r="W161" s="501">
        <v>360</v>
      </c>
      <c r="X161" s="354">
        <v>768</v>
      </c>
      <c r="Y161" s="397">
        <f t="shared" si="28"/>
        <v>276480</v>
      </c>
      <c r="Z161" s="478">
        <f>181.8/360</f>
        <v>0.505</v>
      </c>
      <c r="AA161" s="479">
        <f t="shared" si="32"/>
        <v>139622.39999999999</v>
      </c>
      <c r="AB161" s="480"/>
      <c r="AC161" s="481">
        <f t="shared" si="29"/>
        <v>0</v>
      </c>
      <c r="AD161" s="474"/>
      <c r="AE161" s="474"/>
      <c r="AF161" s="493">
        <f t="shared" si="30"/>
        <v>139622.39999999999</v>
      </c>
      <c r="AG161" s="474" t="s">
        <v>1071</v>
      </c>
      <c r="AH161" s="474"/>
      <c r="AI161" s="474">
        <v>60</v>
      </c>
      <c r="AJ161" s="475" t="s">
        <v>1342</v>
      </c>
      <c r="AK161" s="475" t="s">
        <v>1085</v>
      </c>
      <c r="AL161" s="483" t="s">
        <v>2305</v>
      </c>
      <c r="AM161" s="474" t="s">
        <v>52</v>
      </c>
      <c r="AN161" s="384" t="s">
        <v>1074</v>
      </c>
      <c r="AO161" s="474" t="s">
        <v>1076</v>
      </c>
      <c r="AP161" s="474"/>
      <c r="AQ161" s="482" t="s">
        <v>37</v>
      </c>
      <c r="AR161" s="474" t="s">
        <v>1216</v>
      </c>
      <c r="AS161" s="473"/>
      <c r="AT161" s="346"/>
      <c r="AU161" s="478">
        <f t="shared" si="33"/>
        <v>0.505</v>
      </c>
    </row>
    <row r="162" spans="1:47" s="471" customFormat="1">
      <c r="A162" s="495"/>
      <c r="B162" s="407">
        <v>44615</v>
      </c>
      <c r="C162" s="495"/>
      <c r="D162" s="512" t="s">
        <v>86</v>
      </c>
      <c r="E162" s="352" t="s">
        <v>4230</v>
      </c>
      <c r="F162" s="501" t="s">
        <v>2303</v>
      </c>
      <c r="G162" s="371">
        <v>2022</v>
      </c>
      <c r="H162" s="371" t="s">
        <v>3004</v>
      </c>
      <c r="I162" s="501" t="s">
        <v>1676</v>
      </c>
      <c r="J162" s="502"/>
      <c r="K162" s="501" t="s">
        <v>4232</v>
      </c>
      <c r="L162" s="501" t="s">
        <v>1723</v>
      </c>
      <c r="M162" s="502">
        <v>44636</v>
      </c>
      <c r="N162" s="502">
        <v>44809</v>
      </c>
      <c r="O162" s="502"/>
      <c r="P162" s="353"/>
      <c r="Q162" s="502"/>
      <c r="R162" s="502"/>
      <c r="S162" s="501" t="s">
        <v>88</v>
      </c>
      <c r="T162" s="501">
        <v>60</v>
      </c>
      <c r="U162" s="501"/>
      <c r="V162" s="510" t="s">
        <v>973</v>
      </c>
      <c r="W162" s="501">
        <v>400</v>
      </c>
      <c r="X162" s="354">
        <v>768</v>
      </c>
      <c r="Y162" s="397">
        <f t="shared" si="28"/>
        <v>307200</v>
      </c>
      <c r="Z162" s="478">
        <f>222/400</f>
        <v>0.55500000000000005</v>
      </c>
      <c r="AA162" s="479">
        <f t="shared" si="32"/>
        <v>170496.00000000003</v>
      </c>
      <c r="AB162" s="480"/>
      <c r="AC162" s="481">
        <f t="shared" si="29"/>
        <v>0</v>
      </c>
      <c r="AD162" s="474"/>
      <c r="AE162" s="474"/>
      <c r="AF162" s="493">
        <f t="shared" si="30"/>
        <v>170496.00000000003</v>
      </c>
      <c r="AG162" s="474" t="s">
        <v>1071</v>
      </c>
      <c r="AH162" s="474"/>
      <c r="AI162" s="474">
        <v>60</v>
      </c>
      <c r="AJ162" s="475" t="s">
        <v>1342</v>
      </c>
      <c r="AK162" s="475" t="s">
        <v>1085</v>
      </c>
      <c r="AL162" s="483" t="s">
        <v>2305</v>
      </c>
      <c r="AM162" s="474" t="s">
        <v>52</v>
      </c>
      <c r="AN162" s="384" t="s">
        <v>1074</v>
      </c>
      <c r="AO162" s="474" t="s">
        <v>1076</v>
      </c>
      <c r="AP162" s="474"/>
      <c r="AQ162" s="482" t="s">
        <v>37</v>
      </c>
      <c r="AR162" s="474" t="s">
        <v>1216</v>
      </c>
      <c r="AS162" s="473"/>
      <c r="AT162" s="346"/>
      <c r="AU162" s="478">
        <f t="shared" si="33"/>
        <v>0.505</v>
      </c>
    </row>
    <row r="163" spans="1:47" s="471" customFormat="1">
      <c r="A163" s="495"/>
      <c r="B163" s="407"/>
      <c r="C163" s="495"/>
      <c r="D163" s="512" t="s">
        <v>86</v>
      </c>
      <c r="E163" s="352"/>
      <c r="F163" s="501"/>
      <c r="G163" s="371">
        <v>2022</v>
      </c>
      <c r="H163" s="371" t="s">
        <v>4093</v>
      </c>
      <c r="I163" s="501" t="s">
        <v>1676</v>
      </c>
      <c r="J163" s="502"/>
      <c r="K163" s="501">
        <v>1154</v>
      </c>
      <c r="L163" s="501" t="s">
        <v>1754</v>
      </c>
      <c r="M163" s="502">
        <v>44517</v>
      </c>
      <c r="N163" s="502">
        <v>44518</v>
      </c>
      <c r="O163" s="502"/>
      <c r="P163" s="353"/>
      <c r="Q163" s="502"/>
      <c r="R163" s="502"/>
      <c r="S163" s="501" t="s">
        <v>1688</v>
      </c>
      <c r="T163" s="501">
        <v>60</v>
      </c>
      <c r="U163" s="501" t="s">
        <v>1109</v>
      </c>
      <c r="V163" s="510" t="s">
        <v>1755</v>
      </c>
      <c r="W163" s="501">
        <v>360</v>
      </c>
      <c r="X163" s="354">
        <v>832</v>
      </c>
      <c r="Y163" s="397">
        <f t="shared" si="28"/>
        <v>299520</v>
      </c>
      <c r="Z163" s="478">
        <f>194.4/360</f>
        <v>0.54</v>
      </c>
      <c r="AA163" s="479">
        <f t="shared" si="32"/>
        <v>161740.80000000002</v>
      </c>
      <c r="AB163" s="480"/>
      <c r="AC163" s="481">
        <f t="shared" si="29"/>
        <v>0</v>
      </c>
      <c r="AD163" s="474"/>
      <c r="AE163" s="474"/>
      <c r="AF163" s="493">
        <f t="shared" si="30"/>
        <v>161740.80000000002</v>
      </c>
      <c r="AG163" s="474" t="s">
        <v>1071</v>
      </c>
      <c r="AH163" s="474">
        <v>100</v>
      </c>
      <c r="AI163" s="474">
        <v>0</v>
      </c>
      <c r="AJ163" s="475" t="s">
        <v>1756</v>
      </c>
      <c r="AK163" s="475" t="s">
        <v>50</v>
      </c>
      <c r="AL163" s="483">
        <v>92010</v>
      </c>
      <c r="AM163" s="474" t="s">
        <v>52</v>
      </c>
      <c r="AN163" s="384"/>
      <c r="AO163" s="474" t="s">
        <v>1076</v>
      </c>
      <c r="AP163" s="474"/>
      <c r="AQ163" s="482" t="s">
        <v>37</v>
      </c>
      <c r="AR163" s="474" t="s">
        <v>1216</v>
      </c>
      <c r="AS163" s="473"/>
      <c r="AT163" s="346"/>
      <c r="AU163" s="478">
        <f t="shared" si="33"/>
        <v>0.505</v>
      </c>
    </row>
    <row r="164" spans="1:47" s="471" customFormat="1">
      <c r="A164" s="495"/>
      <c r="B164" s="407"/>
      <c r="C164" s="495"/>
      <c r="D164" s="512" t="s">
        <v>86</v>
      </c>
      <c r="E164" s="352"/>
      <c r="F164" s="501"/>
      <c r="G164" s="371">
        <v>2022</v>
      </c>
      <c r="H164" s="371" t="s">
        <v>4093</v>
      </c>
      <c r="I164" s="501" t="s">
        <v>1676</v>
      </c>
      <c r="J164" s="502"/>
      <c r="K164" s="501">
        <v>1155</v>
      </c>
      <c r="L164" s="501" t="s">
        <v>1754</v>
      </c>
      <c r="M164" s="502">
        <v>44517</v>
      </c>
      <c r="N164" s="502">
        <v>44517</v>
      </c>
      <c r="O164" s="502"/>
      <c r="P164" s="353"/>
      <c r="Q164" s="502"/>
      <c r="R164" s="502"/>
      <c r="S164" s="501" t="s">
        <v>1688</v>
      </c>
      <c r="T164" s="501">
        <v>60</v>
      </c>
      <c r="U164" s="501" t="s">
        <v>1109</v>
      </c>
      <c r="V164" s="510" t="s">
        <v>1755</v>
      </c>
      <c r="W164" s="501">
        <v>360</v>
      </c>
      <c r="X164" s="354">
        <v>832</v>
      </c>
      <c r="Y164" s="397">
        <f t="shared" si="28"/>
        <v>299520</v>
      </c>
      <c r="Z164" s="478">
        <f>194.4/360</f>
        <v>0.54</v>
      </c>
      <c r="AA164" s="479">
        <f t="shared" si="32"/>
        <v>161740.80000000002</v>
      </c>
      <c r="AB164" s="480"/>
      <c r="AC164" s="481">
        <f t="shared" si="29"/>
        <v>0</v>
      </c>
      <c r="AD164" s="474"/>
      <c r="AE164" s="474"/>
      <c r="AF164" s="493">
        <f t="shared" si="30"/>
        <v>161740.80000000002</v>
      </c>
      <c r="AG164" s="474" t="s">
        <v>1071</v>
      </c>
      <c r="AH164" s="474">
        <v>100</v>
      </c>
      <c r="AI164" s="474">
        <v>0</v>
      </c>
      <c r="AJ164" s="475" t="s">
        <v>1756</v>
      </c>
      <c r="AK164" s="475" t="s">
        <v>50</v>
      </c>
      <c r="AL164" s="483">
        <v>92010</v>
      </c>
      <c r="AM164" s="474" t="s">
        <v>52</v>
      </c>
      <c r="AN164" s="384"/>
      <c r="AO164" s="474" t="s">
        <v>1076</v>
      </c>
      <c r="AP164" s="474"/>
      <c r="AQ164" s="482" t="s">
        <v>37</v>
      </c>
      <c r="AR164" s="474" t="s">
        <v>1216</v>
      </c>
      <c r="AS164" s="473"/>
      <c r="AT164" s="346"/>
      <c r="AU164" s="478">
        <f t="shared" si="33"/>
        <v>0.505</v>
      </c>
    </row>
    <row r="165" spans="1:47" s="471" customFormat="1">
      <c r="A165" s="495"/>
      <c r="B165" s="407">
        <v>44641</v>
      </c>
      <c r="C165" s="495"/>
      <c r="D165" s="512" t="s">
        <v>86</v>
      </c>
      <c r="E165" s="352"/>
      <c r="F165" s="501"/>
      <c r="G165" s="371">
        <v>2022</v>
      </c>
      <c r="H165" s="371" t="s">
        <v>4093</v>
      </c>
      <c r="I165" s="501" t="s">
        <v>1676</v>
      </c>
      <c r="J165" s="502"/>
      <c r="K165" s="501">
        <v>1158</v>
      </c>
      <c r="L165" s="501" t="s">
        <v>1754</v>
      </c>
      <c r="M165" s="502">
        <v>44488</v>
      </c>
      <c r="N165" s="502">
        <v>44621</v>
      </c>
      <c r="O165" s="502"/>
      <c r="P165" s="353"/>
      <c r="Q165" s="502"/>
      <c r="R165" s="502"/>
      <c r="S165" s="501" t="s">
        <v>1688</v>
      </c>
      <c r="T165" s="501">
        <v>60</v>
      </c>
      <c r="U165" s="501" t="s">
        <v>1109</v>
      </c>
      <c r="V165" s="510" t="s">
        <v>2482</v>
      </c>
      <c r="W165" s="501">
        <v>400</v>
      </c>
      <c r="X165" s="354">
        <v>832</v>
      </c>
      <c r="Y165" s="397">
        <f t="shared" si="28"/>
        <v>332800</v>
      </c>
      <c r="Z165" s="478">
        <f>224/400</f>
        <v>0.56000000000000005</v>
      </c>
      <c r="AA165" s="479">
        <f t="shared" si="32"/>
        <v>186368.00000000003</v>
      </c>
      <c r="AB165" s="480"/>
      <c r="AC165" s="481">
        <f t="shared" si="29"/>
        <v>0</v>
      </c>
      <c r="AD165" s="474"/>
      <c r="AE165" s="474"/>
      <c r="AF165" s="493">
        <f t="shared" si="30"/>
        <v>186368.00000000003</v>
      </c>
      <c r="AG165" s="474" t="s">
        <v>1071</v>
      </c>
      <c r="AH165" s="474">
        <v>100</v>
      </c>
      <c r="AI165" s="474">
        <v>0</v>
      </c>
      <c r="AJ165" s="475" t="s">
        <v>1756</v>
      </c>
      <c r="AK165" s="475" t="s">
        <v>50</v>
      </c>
      <c r="AL165" s="483">
        <v>92010</v>
      </c>
      <c r="AM165" s="474" t="s">
        <v>52</v>
      </c>
      <c r="AN165" s="384"/>
      <c r="AO165" s="474" t="s">
        <v>1076</v>
      </c>
      <c r="AP165" s="474"/>
      <c r="AQ165" s="482" t="s">
        <v>37</v>
      </c>
      <c r="AR165" s="474" t="s">
        <v>1216</v>
      </c>
      <c r="AS165" s="473"/>
      <c r="AT165" s="346"/>
      <c r="AU165" s="478">
        <f>212/400</f>
        <v>0.53</v>
      </c>
    </row>
    <row r="166" spans="1:47" s="471" customFormat="1">
      <c r="A166" s="495"/>
      <c r="B166" s="407"/>
      <c r="C166" s="495"/>
      <c r="D166" s="512" t="s">
        <v>86</v>
      </c>
      <c r="E166" s="352"/>
      <c r="F166" s="501"/>
      <c r="G166" s="371">
        <v>2022</v>
      </c>
      <c r="H166" s="371" t="s">
        <v>4093</v>
      </c>
      <c r="I166" s="501" t="s">
        <v>1676</v>
      </c>
      <c r="J166" s="502"/>
      <c r="K166" s="501">
        <v>1181</v>
      </c>
      <c r="L166" s="501" t="s">
        <v>1754</v>
      </c>
      <c r="M166" s="502">
        <v>44585</v>
      </c>
      <c r="N166" s="502">
        <v>44655</v>
      </c>
      <c r="O166" s="502"/>
      <c r="P166" s="353"/>
      <c r="Q166" s="502"/>
      <c r="R166" s="502"/>
      <c r="S166" s="501" t="s">
        <v>1688</v>
      </c>
      <c r="T166" s="501">
        <v>60</v>
      </c>
      <c r="U166" s="501" t="s">
        <v>1109</v>
      </c>
      <c r="V166" s="510" t="s">
        <v>986</v>
      </c>
      <c r="W166" s="501">
        <v>360</v>
      </c>
      <c r="X166" s="354">
        <v>2496</v>
      </c>
      <c r="Y166" s="397">
        <f t="shared" si="28"/>
        <v>898560</v>
      </c>
      <c r="Z166" s="478">
        <f t="shared" ref="Z166:Z174" si="34">194.4/360</f>
        <v>0.54</v>
      </c>
      <c r="AA166" s="479">
        <f t="shared" si="32"/>
        <v>485222.40000000002</v>
      </c>
      <c r="AB166" s="480"/>
      <c r="AC166" s="481">
        <f t="shared" si="29"/>
        <v>0</v>
      </c>
      <c r="AD166" s="474"/>
      <c r="AE166" s="474"/>
      <c r="AF166" s="493">
        <f t="shared" si="30"/>
        <v>485222.40000000002</v>
      </c>
      <c r="AG166" s="474" t="s">
        <v>1071</v>
      </c>
      <c r="AH166" s="474">
        <v>100</v>
      </c>
      <c r="AI166" s="474">
        <v>0</v>
      </c>
      <c r="AJ166" s="475" t="s">
        <v>1756</v>
      </c>
      <c r="AK166" s="475" t="s">
        <v>50</v>
      </c>
      <c r="AL166" s="483">
        <v>92010</v>
      </c>
      <c r="AM166" s="474" t="s">
        <v>52</v>
      </c>
      <c r="AN166" s="384"/>
      <c r="AO166" s="474" t="s">
        <v>1076</v>
      </c>
      <c r="AP166" s="474"/>
      <c r="AQ166" s="482" t="s">
        <v>37</v>
      </c>
      <c r="AR166" s="474" t="s">
        <v>1216</v>
      </c>
      <c r="AS166" s="473"/>
      <c r="AT166" s="346"/>
      <c r="AU166" s="478">
        <f t="shared" ref="AU166:AU174" si="35">181.8/360</f>
        <v>0.505</v>
      </c>
    </row>
    <row r="167" spans="1:47" s="471" customFormat="1">
      <c r="A167" s="495"/>
      <c r="B167" s="407"/>
      <c r="C167" s="495"/>
      <c r="D167" s="512" t="s">
        <v>86</v>
      </c>
      <c r="E167" s="352"/>
      <c r="F167" s="501"/>
      <c r="G167" s="371">
        <v>2022</v>
      </c>
      <c r="H167" s="371" t="s">
        <v>4093</v>
      </c>
      <c r="I167" s="501" t="s">
        <v>1676</v>
      </c>
      <c r="J167" s="502"/>
      <c r="K167" s="501">
        <v>1182</v>
      </c>
      <c r="L167" s="501" t="s">
        <v>1754</v>
      </c>
      <c r="M167" s="502">
        <v>44585</v>
      </c>
      <c r="N167" s="502">
        <v>44683</v>
      </c>
      <c r="O167" s="502"/>
      <c r="P167" s="353"/>
      <c r="Q167" s="502"/>
      <c r="R167" s="502"/>
      <c r="S167" s="501" t="s">
        <v>1688</v>
      </c>
      <c r="T167" s="501">
        <v>60</v>
      </c>
      <c r="U167" s="501" t="s">
        <v>1109</v>
      </c>
      <c r="V167" s="510" t="s">
        <v>986</v>
      </c>
      <c r="W167" s="501">
        <v>360</v>
      </c>
      <c r="X167" s="354">
        <v>3328</v>
      </c>
      <c r="Y167" s="397">
        <f t="shared" si="28"/>
        <v>1198080</v>
      </c>
      <c r="Z167" s="478">
        <f t="shared" si="34"/>
        <v>0.54</v>
      </c>
      <c r="AA167" s="479">
        <f t="shared" si="32"/>
        <v>646963.20000000007</v>
      </c>
      <c r="AB167" s="480"/>
      <c r="AC167" s="481">
        <f t="shared" si="29"/>
        <v>0</v>
      </c>
      <c r="AD167" s="474"/>
      <c r="AE167" s="474"/>
      <c r="AF167" s="493">
        <f t="shared" si="30"/>
        <v>646963.20000000007</v>
      </c>
      <c r="AG167" s="474" t="s">
        <v>1071</v>
      </c>
      <c r="AH167" s="474">
        <v>100</v>
      </c>
      <c r="AI167" s="474">
        <v>0</v>
      </c>
      <c r="AJ167" s="475" t="s">
        <v>1756</v>
      </c>
      <c r="AK167" s="475" t="s">
        <v>50</v>
      </c>
      <c r="AL167" s="483">
        <v>92010</v>
      </c>
      <c r="AM167" s="474" t="s">
        <v>52</v>
      </c>
      <c r="AN167" s="384"/>
      <c r="AO167" s="474" t="s">
        <v>1076</v>
      </c>
      <c r="AP167" s="474"/>
      <c r="AQ167" s="482" t="s">
        <v>37</v>
      </c>
      <c r="AR167" s="474" t="s">
        <v>1216</v>
      </c>
      <c r="AS167" s="473"/>
      <c r="AT167" s="346"/>
      <c r="AU167" s="478">
        <f t="shared" si="35"/>
        <v>0.505</v>
      </c>
    </row>
    <row r="168" spans="1:47" s="471" customFormat="1">
      <c r="A168" s="495"/>
      <c r="B168" s="407"/>
      <c r="C168" s="495"/>
      <c r="D168" s="512" t="s">
        <v>86</v>
      </c>
      <c r="E168" s="352"/>
      <c r="F168" s="501"/>
      <c r="G168" s="371">
        <v>2022</v>
      </c>
      <c r="H168" s="371" t="s">
        <v>4093</v>
      </c>
      <c r="I168" s="501" t="s">
        <v>1676</v>
      </c>
      <c r="J168" s="502"/>
      <c r="K168" s="501">
        <v>1183</v>
      </c>
      <c r="L168" s="501" t="s">
        <v>1754</v>
      </c>
      <c r="M168" s="502">
        <v>44585</v>
      </c>
      <c r="N168" s="502">
        <v>44713</v>
      </c>
      <c r="O168" s="502"/>
      <c r="P168" s="353"/>
      <c r="Q168" s="502"/>
      <c r="R168" s="502"/>
      <c r="S168" s="501" t="s">
        <v>1688</v>
      </c>
      <c r="T168" s="501">
        <v>60</v>
      </c>
      <c r="U168" s="501" t="s">
        <v>1109</v>
      </c>
      <c r="V168" s="510" t="s">
        <v>986</v>
      </c>
      <c r="W168" s="501">
        <v>360</v>
      </c>
      <c r="X168" s="354">
        <v>3328</v>
      </c>
      <c r="Y168" s="397">
        <f t="shared" si="28"/>
        <v>1198080</v>
      </c>
      <c r="Z168" s="478">
        <f t="shared" si="34"/>
        <v>0.54</v>
      </c>
      <c r="AA168" s="479">
        <f t="shared" si="32"/>
        <v>646963.20000000007</v>
      </c>
      <c r="AB168" s="480"/>
      <c r="AC168" s="481">
        <f t="shared" si="29"/>
        <v>0</v>
      </c>
      <c r="AD168" s="474"/>
      <c r="AE168" s="474"/>
      <c r="AF168" s="493">
        <f t="shared" si="30"/>
        <v>646963.20000000007</v>
      </c>
      <c r="AG168" s="474" t="s">
        <v>1071</v>
      </c>
      <c r="AH168" s="474">
        <v>100</v>
      </c>
      <c r="AI168" s="474">
        <v>0</v>
      </c>
      <c r="AJ168" s="475" t="s">
        <v>1756</v>
      </c>
      <c r="AK168" s="475" t="s">
        <v>50</v>
      </c>
      <c r="AL168" s="483">
        <v>92010</v>
      </c>
      <c r="AM168" s="474" t="s">
        <v>52</v>
      </c>
      <c r="AN168" s="384"/>
      <c r="AO168" s="474" t="s">
        <v>1076</v>
      </c>
      <c r="AP168" s="474"/>
      <c r="AQ168" s="482" t="s">
        <v>37</v>
      </c>
      <c r="AR168" s="474" t="s">
        <v>1216</v>
      </c>
      <c r="AS168" s="473"/>
      <c r="AT168" s="346"/>
      <c r="AU168" s="478">
        <f t="shared" si="35"/>
        <v>0.505</v>
      </c>
    </row>
    <row r="169" spans="1:47" s="471" customFormat="1">
      <c r="A169" s="495"/>
      <c r="B169" s="407"/>
      <c r="C169" s="495"/>
      <c r="D169" s="512" t="s">
        <v>86</v>
      </c>
      <c r="E169" s="352"/>
      <c r="F169" s="501"/>
      <c r="G169" s="371">
        <v>2022</v>
      </c>
      <c r="H169" s="371" t="s">
        <v>4093</v>
      </c>
      <c r="I169" s="501" t="s">
        <v>1676</v>
      </c>
      <c r="J169" s="502"/>
      <c r="K169" s="501">
        <v>1184</v>
      </c>
      <c r="L169" s="501" t="s">
        <v>1754</v>
      </c>
      <c r="M169" s="502">
        <v>44585</v>
      </c>
      <c r="N169" s="502">
        <v>44746</v>
      </c>
      <c r="O169" s="502"/>
      <c r="P169" s="353"/>
      <c r="Q169" s="502"/>
      <c r="R169" s="502"/>
      <c r="S169" s="501" t="s">
        <v>1688</v>
      </c>
      <c r="T169" s="501">
        <v>60</v>
      </c>
      <c r="U169" s="501" t="s">
        <v>1109</v>
      </c>
      <c r="V169" s="510" t="s">
        <v>986</v>
      </c>
      <c r="W169" s="501">
        <v>360</v>
      </c>
      <c r="X169" s="354">
        <v>4160</v>
      </c>
      <c r="Y169" s="397">
        <f t="shared" si="28"/>
        <v>1497600</v>
      </c>
      <c r="Z169" s="478">
        <f t="shared" si="34"/>
        <v>0.54</v>
      </c>
      <c r="AA169" s="479">
        <f t="shared" si="32"/>
        <v>808704</v>
      </c>
      <c r="AB169" s="480"/>
      <c r="AC169" s="481">
        <f t="shared" si="29"/>
        <v>0</v>
      </c>
      <c r="AD169" s="474"/>
      <c r="AE169" s="474"/>
      <c r="AF169" s="493">
        <f t="shared" si="30"/>
        <v>808704</v>
      </c>
      <c r="AG169" s="474" t="s">
        <v>1071</v>
      </c>
      <c r="AH169" s="474">
        <v>100</v>
      </c>
      <c r="AI169" s="474">
        <v>0</v>
      </c>
      <c r="AJ169" s="475" t="s">
        <v>1756</v>
      </c>
      <c r="AK169" s="475" t="s">
        <v>50</v>
      </c>
      <c r="AL169" s="483">
        <v>92010</v>
      </c>
      <c r="AM169" s="474" t="s">
        <v>52</v>
      </c>
      <c r="AN169" s="384"/>
      <c r="AO169" s="474" t="s">
        <v>1076</v>
      </c>
      <c r="AP169" s="474"/>
      <c r="AQ169" s="482" t="s">
        <v>37</v>
      </c>
      <c r="AR169" s="474" t="s">
        <v>1216</v>
      </c>
      <c r="AS169" s="473"/>
      <c r="AT169" s="346"/>
      <c r="AU169" s="478">
        <f t="shared" si="35"/>
        <v>0.505</v>
      </c>
    </row>
    <row r="170" spans="1:47" s="471" customFormat="1">
      <c r="A170" s="495"/>
      <c r="B170" s="407"/>
      <c r="C170" s="495"/>
      <c r="D170" s="512" t="s">
        <v>86</v>
      </c>
      <c r="E170" s="352"/>
      <c r="F170" s="501"/>
      <c r="G170" s="371">
        <v>2022</v>
      </c>
      <c r="H170" s="371" t="s">
        <v>4093</v>
      </c>
      <c r="I170" s="501" t="s">
        <v>1676</v>
      </c>
      <c r="J170" s="502"/>
      <c r="K170" s="501">
        <v>1185</v>
      </c>
      <c r="L170" s="501" t="s">
        <v>1754</v>
      </c>
      <c r="M170" s="502">
        <v>44585</v>
      </c>
      <c r="N170" s="502">
        <v>44774</v>
      </c>
      <c r="O170" s="502"/>
      <c r="P170" s="353"/>
      <c r="Q170" s="502"/>
      <c r="R170" s="502"/>
      <c r="S170" s="501" t="s">
        <v>1688</v>
      </c>
      <c r="T170" s="501">
        <v>60</v>
      </c>
      <c r="U170" s="501" t="s">
        <v>1109</v>
      </c>
      <c r="V170" s="510" t="s">
        <v>986</v>
      </c>
      <c r="W170" s="501">
        <v>360</v>
      </c>
      <c r="X170" s="354">
        <v>4160</v>
      </c>
      <c r="Y170" s="397">
        <f t="shared" si="28"/>
        <v>1497600</v>
      </c>
      <c r="Z170" s="478">
        <f t="shared" si="34"/>
        <v>0.54</v>
      </c>
      <c r="AA170" s="479">
        <f t="shared" si="32"/>
        <v>808704</v>
      </c>
      <c r="AB170" s="480"/>
      <c r="AC170" s="481">
        <f t="shared" si="29"/>
        <v>0</v>
      </c>
      <c r="AD170" s="474"/>
      <c r="AE170" s="474"/>
      <c r="AF170" s="493">
        <f t="shared" si="30"/>
        <v>808704</v>
      </c>
      <c r="AG170" s="474" t="s">
        <v>1071</v>
      </c>
      <c r="AH170" s="474">
        <v>100</v>
      </c>
      <c r="AI170" s="474">
        <v>0</v>
      </c>
      <c r="AJ170" s="475" t="s">
        <v>1756</v>
      </c>
      <c r="AK170" s="475" t="s">
        <v>50</v>
      </c>
      <c r="AL170" s="483">
        <v>92010</v>
      </c>
      <c r="AM170" s="474" t="s">
        <v>52</v>
      </c>
      <c r="AN170" s="384"/>
      <c r="AO170" s="474" t="s">
        <v>1076</v>
      </c>
      <c r="AP170" s="474"/>
      <c r="AQ170" s="482" t="s">
        <v>37</v>
      </c>
      <c r="AR170" s="474" t="s">
        <v>1216</v>
      </c>
      <c r="AS170" s="473"/>
      <c r="AT170" s="346"/>
      <c r="AU170" s="478">
        <f t="shared" si="35"/>
        <v>0.505</v>
      </c>
    </row>
    <row r="171" spans="1:47" s="471" customFormat="1">
      <c r="A171" s="495"/>
      <c r="B171" s="407"/>
      <c r="C171" s="495"/>
      <c r="D171" s="512" t="s">
        <v>86</v>
      </c>
      <c r="E171" s="352"/>
      <c r="F171" s="501"/>
      <c r="G171" s="371">
        <v>2022</v>
      </c>
      <c r="H171" s="371" t="s">
        <v>4093</v>
      </c>
      <c r="I171" s="501" t="s">
        <v>1676</v>
      </c>
      <c r="J171" s="502"/>
      <c r="K171" s="501">
        <v>1186</v>
      </c>
      <c r="L171" s="501" t="s">
        <v>1754</v>
      </c>
      <c r="M171" s="502">
        <v>44585</v>
      </c>
      <c r="N171" s="502">
        <v>44805</v>
      </c>
      <c r="O171" s="502"/>
      <c r="P171" s="353"/>
      <c r="Q171" s="502"/>
      <c r="R171" s="502"/>
      <c r="S171" s="501" t="s">
        <v>1688</v>
      </c>
      <c r="T171" s="501">
        <v>60</v>
      </c>
      <c r="U171" s="501" t="s">
        <v>1109</v>
      </c>
      <c r="V171" s="510" t="s">
        <v>986</v>
      </c>
      <c r="W171" s="501">
        <v>360</v>
      </c>
      <c r="X171" s="354">
        <v>4992</v>
      </c>
      <c r="Y171" s="397">
        <f t="shared" si="28"/>
        <v>1797120</v>
      </c>
      <c r="Z171" s="478">
        <f t="shared" si="34"/>
        <v>0.54</v>
      </c>
      <c r="AA171" s="479">
        <f t="shared" si="32"/>
        <v>970444.80000000005</v>
      </c>
      <c r="AB171" s="480"/>
      <c r="AC171" s="481">
        <f t="shared" si="29"/>
        <v>0</v>
      </c>
      <c r="AD171" s="474"/>
      <c r="AE171" s="474"/>
      <c r="AF171" s="493">
        <f t="shared" si="30"/>
        <v>970444.80000000005</v>
      </c>
      <c r="AG171" s="474" t="s">
        <v>1071</v>
      </c>
      <c r="AH171" s="474">
        <v>100</v>
      </c>
      <c r="AI171" s="474">
        <v>0</v>
      </c>
      <c r="AJ171" s="475" t="s">
        <v>1756</v>
      </c>
      <c r="AK171" s="475" t="s">
        <v>50</v>
      </c>
      <c r="AL171" s="483">
        <v>92010</v>
      </c>
      <c r="AM171" s="474" t="s">
        <v>52</v>
      </c>
      <c r="AN171" s="384"/>
      <c r="AO171" s="474" t="s">
        <v>1076</v>
      </c>
      <c r="AP171" s="474"/>
      <c r="AQ171" s="482" t="s">
        <v>37</v>
      </c>
      <c r="AR171" s="474" t="s">
        <v>1216</v>
      </c>
      <c r="AS171" s="473"/>
      <c r="AT171" s="346"/>
      <c r="AU171" s="478">
        <f t="shared" si="35"/>
        <v>0.505</v>
      </c>
    </row>
    <row r="172" spans="1:47" s="471" customFormat="1">
      <c r="A172" s="495"/>
      <c r="B172" s="407"/>
      <c r="C172" s="495"/>
      <c r="D172" s="512" t="s">
        <v>86</v>
      </c>
      <c r="E172" s="352"/>
      <c r="F172" s="501"/>
      <c r="G172" s="371">
        <v>2022</v>
      </c>
      <c r="H172" s="371" t="s">
        <v>4093</v>
      </c>
      <c r="I172" s="501" t="s">
        <v>1676</v>
      </c>
      <c r="J172" s="502"/>
      <c r="K172" s="501">
        <v>1187</v>
      </c>
      <c r="L172" s="501" t="s">
        <v>1754</v>
      </c>
      <c r="M172" s="502">
        <v>44585</v>
      </c>
      <c r="N172" s="502">
        <v>44837</v>
      </c>
      <c r="O172" s="502"/>
      <c r="P172" s="353"/>
      <c r="Q172" s="502"/>
      <c r="R172" s="502"/>
      <c r="S172" s="501" t="s">
        <v>1688</v>
      </c>
      <c r="T172" s="501">
        <v>60</v>
      </c>
      <c r="U172" s="501" t="s">
        <v>1109</v>
      </c>
      <c r="V172" s="510" t="s">
        <v>986</v>
      </c>
      <c r="W172" s="501">
        <v>360</v>
      </c>
      <c r="X172" s="354">
        <v>4992</v>
      </c>
      <c r="Y172" s="397">
        <f t="shared" si="28"/>
        <v>1797120</v>
      </c>
      <c r="Z172" s="478">
        <f t="shared" si="34"/>
        <v>0.54</v>
      </c>
      <c r="AA172" s="479">
        <f t="shared" si="32"/>
        <v>970444.80000000005</v>
      </c>
      <c r="AB172" s="480"/>
      <c r="AC172" s="481">
        <f t="shared" si="29"/>
        <v>0</v>
      </c>
      <c r="AD172" s="474"/>
      <c r="AE172" s="474"/>
      <c r="AF172" s="493">
        <f t="shared" si="30"/>
        <v>970444.80000000005</v>
      </c>
      <c r="AG172" s="474" t="s">
        <v>1071</v>
      </c>
      <c r="AH172" s="474">
        <v>100</v>
      </c>
      <c r="AI172" s="474">
        <v>0</v>
      </c>
      <c r="AJ172" s="475" t="s">
        <v>1756</v>
      </c>
      <c r="AK172" s="475" t="s">
        <v>50</v>
      </c>
      <c r="AL172" s="483">
        <v>92010</v>
      </c>
      <c r="AM172" s="474" t="s">
        <v>52</v>
      </c>
      <c r="AN172" s="384"/>
      <c r="AO172" s="474" t="s">
        <v>1076</v>
      </c>
      <c r="AP172" s="474"/>
      <c r="AQ172" s="482" t="s">
        <v>37</v>
      </c>
      <c r="AR172" s="474" t="s">
        <v>1216</v>
      </c>
      <c r="AS172" s="473"/>
      <c r="AT172" s="346"/>
      <c r="AU172" s="478">
        <f t="shared" si="35"/>
        <v>0.505</v>
      </c>
    </row>
    <row r="173" spans="1:47" s="471" customFormat="1">
      <c r="A173" s="495"/>
      <c r="B173" s="407"/>
      <c r="C173" s="495"/>
      <c r="D173" s="512" t="s">
        <v>86</v>
      </c>
      <c r="E173" s="352"/>
      <c r="F173" s="501"/>
      <c r="G173" s="371">
        <v>2022</v>
      </c>
      <c r="H173" s="371" t="s">
        <v>4093</v>
      </c>
      <c r="I173" s="501" t="s">
        <v>1676</v>
      </c>
      <c r="J173" s="502"/>
      <c r="K173" s="501">
        <v>1188</v>
      </c>
      <c r="L173" s="501" t="s">
        <v>1754</v>
      </c>
      <c r="M173" s="502">
        <v>44585</v>
      </c>
      <c r="N173" s="502">
        <v>44866</v>
      </c>
      <c r="O173" s="502"/>
      <c r="P173" s="353"/>
      <c r="Q173" s="502"/>
      <c r="R173" s="502"/>
      <c r="S173" s="501" t="s">
        <v>1688</v>
      </c>
      <c r="T173" s="501">
        <v>60</v>
      </c>
      <c r="U173" s="501" t="s">
        <v>1109</v>
      </c>
      <c r="V173" s="510" t="s">
        <v>986</v>
      </c>
      <c r="W173" s="501">
        <v>360</v>
      </c>
      <c r="X173" s="354">
        <v>4992</v>
      </c>
      <c r="Y173" s="397">
        <f t="shared" si="28"/>
        <v>1797120</v>
      </c>
      <c r="Z173" s="478">
        <f t="shared" si="34"/>
        <v>0.54</v>
      </c>
      <c r="AA173" s="479">
        <f t="shared" si="32"/>
        <v>970444.80000000005</v>
      </c>
      <c r="AB173" s="480"/>
      <c r="AC173" s="481">
        <f t="shared" si="29"/>
        <v>0</v>
      </c>
      <c r="AD173" s="474"/>
      <c r="AE173" s="474"/>
      <c r="AF173" s="493">
        <f t="shared" si="30"/>
        <v>970444.80000000005</v>
      </c>
      <c r="AG173" s="474" t="s">
        <v>1071</v>
      </c>
      <c r="AH173" s="474">
        <v>100</v>
      </c>
      <c r="AI173" s="474">
        <v>0</v>
      </c>
      <c r="AJ173" s="475" t="s">
        <v>1756</v>
      </c>
      <c r="AK173" s="475" t="s">
        <v>50</v>
      </c>
      <c r="AL173" s="483">
        <v>92010</v>
      </c>
      <c r="AM173" s="474" t="s">
        <v>52</v>
      </c>
      <c r="AN173" s="384"/>
      <c r="AO173" s="474" t="s">
        <v>1076</v>
      </c>
      <c r="AP173" s="474"/>
      <c r="AQ173" s="482" t="s">
        <v>37</v>
      </c>
      <c r="AR173" s="474" t="s">
        <v>1216</v>
      </c>
      <c r="AS173" s="473"/>
      <c r="AT173" s="346"/>
      <c r="AU173" s="478">
        <f t="shared" si="35"/>
        <v>0.505</v>
      </c>
    </row>
    <row r="174" spans="1:47" s="471" customFormat="1">
      <c r="A174" s="495"/>
      <c r="B174" s="407"/>
      <c r="C174" s="495"/>
      <c r="D174" s="512" t="s">
        <v>86</v>
      </c>
      <c r="E174" s="352"/>
      <c r="F174" s="501"/>
      <c r="G174" s="371">
        <v>2022</v>
      </c>
      <c r="H174" s="371" t="s">
        <v>4093</v>
      </c>
      <c r="I174" s="501" t="s">
        <v>1676</v>
      </c>
      <c r="J174" s="502"/>
      <c r="K174" s="501">
        <v>1189</v>
      </c>
      <c r="L174" s="501" t="s">
        <v>1754</v>
      </c>
      <c r="M174" s="502">
        <v>44585</v>
      </c>
      <c r="N174" s="502">
        <v>44886</v>
      </c>
      <c r="O174" s="502"/>
      <c r="P174" s="353"/>
      <c r="Q174" s="502"/>
      <c r="R174" s="502"/>
      <c r="S174" s="501" t="s">
        <v>1688</v>
      </c>
      <c r="T174" s="501">
        <v>60</v>
      </c>
      <c r="U174" s="501" t="s">
        <v>1109</v>
      </c>
      <c r="V174" s="510" t="s">
        <v>986</v>
      </c>
      <c r="W174" s="501">
        <v>360</v>
      </c>
      <c r="X174" s="354">
        <v>4992</v>
      </c>
      <c r="Y174" s="397">
        <f t="shared" si="28"/>
        <v>1797120</v>
      </c>
      <c r="Z174" s="478">
        <f t="shared" si="34"/>
        <v>0.54</v>
      </c>
      <c r="AA174" s="479">
        <f t="shared" si="32"/>
        <v>970444.80000000005</v>
      </c>
      <c r="AB174" s="480"/>
      <c r="AC174" s="481">
        <f t="shared" si="29"/>
        <v>0</v>
      </c>
      <c r="AD174" s="474"/>
      <c r="AE174" s="474"/>
      <c r="AF174" s="493">
        <f t="shared" si="30"/>
        <v>970444.80000000005</v>
      </c>
      <c r="AG174" s="474" t="s">
        <v>1071</v>
      </c>
      <c r="AH174" s="474">
        <v>100</v>
      </c>
      <c r="AI174" s="474">
        <v>0</v>
      </c>
      <c r="AJ174" s="475" t="s">
        <v>1756</v>
      </c>
      <c r="AK174" s="475" t="s">
        <v>50</v>
      </c>
      <c r="AL174" s="483">
        <v>92010</v>
      </c>
      <c r="AM174" s="474" t="s">
        <v>52</v>
      </c>
      <c r="AN174" s="384"/>
      <c r="AO174" s="474" t="s">
        <v>1076</v>
      </c>
      <c r="AP174" s="474"/>
      <c r="AQ174" s="482" t="s">
        <v>37</v>
      </c>
      <c r="AR174" s="474" t="s">
        <v>1216</v>
      </c>
      <c r="AS174" s="473"/>
      <c r="AT174" s="346"/>
      <c r="AU174" s="478">
        <f t="shared" si="35"/>
        <v>0.505</v>
      </c>
    </row>
    <row r="175" spans="1:47" s="471" customFormat="1">
      <c r="A175" s="495"/>
      <c r="B175" s="407"/>
      <c r="C175" s="495"/>
      <c r="D175" s="512" t="s">
        <v>86</v>
      </c>
      <c r="E175" s="352"/>
      <c r="F175" s="501"/>
      <c r="G175" s="371">
        <v>2022</v>
      </c>
      <c r="H175" s="371" t="s">
        <v>4093</v>
      </c>
      <c r="I175" s="501" t="s">
        <v>1676</v>
      </c>
      <c r="J175" s="502"/>
      <c r="K175" s="501">
        <v>1190</v>
      </c>
      <c r="L175" s="501" t="s">
        <v>1754</v>
      </c>
      <c r="M175" s="502">
        <v>44585</v>
      </c>
      <c r="N175" s="502">
        <v>44655</v>
      </c>
      <c r="O175" s="502"/>
      <c r="P175" s="353"/>
      <c r="Q175" s="502"/>
      <c r="R175" s="502"/>
      <c r="S175" s="501" t="s">
        <v>1688</v>
      </c>
      <c r="T175" s="501">
        <v>60</v>
      </c>
      <c r="U175" s="501" t="s">
        <v>1109</v>
      </c>
      <c r="V175" s="510" t="s">
        <v>973</v>
      </c>
      <c r="W175" s="501">
        <v>400</v>
      </c>
      <c r="X175" s="354">
        <v>832</v>
      </c>
      <c r="Y175" s="397">
        <f t="shared" si="28"/>
        <v>332800</v>
      </c>
      <c r="Z175" s="478">
        <f t="shared" ref="Z175:Z182" si="36">224/400</f>
        <v>0.56000000000000005</v>
      </c>
      <c r="AA175" s="479">
        <f t="shared" si="32"/>
        <v>186368.00000000003</v>
      </c>
      <c r="AB175" s="480"/>
      <c r="AC175" s="481">
        <f t="shared" si="29"/>
        <v>0</v>
      </c>
      <c r="AD175" s="474"/>
      <c r="AE175" s="474"/>
      <c r="AF175" s="493">
        <f t="shared" si="30"/>
        <v>186368.00000000003</v>
      </c>
      <c r="AG175" s="474" t="s">
        <v>1071</v>
      </c>
      <c r="AH175" s="474">
        <v>100</v>
      </c>
      <c r="AI175" s="474">
        <v>0</v>
      </c>
      <c r="AJ175" s="475" t="s">
        <v>1756</v>
      </c>
      <c r="AK175" s="475" t="s">
        <v>50</v>
      </c>
      <c r="AL175" s="483">
        <v>92010</v>
      </c>
      <c r="AM175" s="474" t="s">
        <v>52</v>
      </c>
      <c r="AN175" s="384"/>
      <c r="AO175" s="474" t="s">
        <v>1076</v>
      </c>
      <c r="AP175" s="474"/>
      <c r="AQ175" s="482" t="s">
        <v>37</v>
      </c>
      <c r="AR175" s="474" t="s">
        <v>1216</v>
      </c>
      <c r="AS175" s="473"/>
      <c r="AT175" s="346"/>
      <c r="AU175" s="478">
        <f t="shared" ref="AU175:AU213" si="37">212/400</f>
        <v>0.53</v>
      </c>
    </row>
    <row r="176" spans="1:47" s="471" customFormat="1">
      <c r="A176" s="495"/>
      <c r="B176" s="407"/>
      <c r="C176" s="495"/>
      <c r="D176" s="512" t="s">
        <v>86</v>
      </c>
      <c r="E176" s="352"/>
      <c r="F176" s="501"/>
      <c r="G176" s="371">
        <v>2022</v>
      </c>
      <c r="H176" s="371" t="s">
        <v>4093</v>
      </c>
      <c r="I176" s="501" t="s">
        <v>1676</v>
      </c>
      <c r="J176" s="502"/>
      <c r="K176" s="501">
        <v>1191</v>
      </c>
      <c r="L176" s="501" t="s">
        <v>1754</v>
      </c>
      <c r="M176" s="502">
        <v>44585</v>
      </c>
      <c r="N176" s="502">
        <v>44683</v>
      </c>
      <c r="O176" s="502"/>
      <c r="P176" s="353"/>
      <c r="Q176" s="502"/>
      <c r="R176" s="502"/>
      <c r="S176" s="501" t="s">
        <v>1688</v>
      </c>
      <c r="T176" s="501">
        <v>60</v>
      </c>
      <c r="U176" s="501" t="s">
        <v>1109</v>
      </c>
      <c r="V176" s="510" t="s">
        <v>973</v>
      </c>
      <c r="W176" s="501">
        <v>400</v>
      </c>
      <c r="X176" s="354">
        <v>832</v>
      </c>
      <c r="Y176" s="397">
        <f t="shared" si="28"/>
        <v>332800</v>
      </c>
      <c r="Z176" s="478">
        <f t="shared" si="36"/>
        <v>0.56000000000000005</v>
      </c>
      <c r="AA176" s="479">
        <f t="shared" si="32"/>
        <v>186368.00000000003</v>
      </c>
      <c r="AB176" s="480"/>
      <c r="AC176" s="481">
        <f t="shared" si="29"/>
        <v>0</v>
      </c>
      <c r="AD176" s="474"/>
      <c r="AE176" s="474"/>
      <c r="AF176" s="493">
        <f t="shared" si="30"/>
        <v>186368.00000000003</v>
      </c>
      <c r="AG176" s="474" t="s">
        <v>1071</v>
      </c>
      <c r="AH176" s="474">
        <v>100</v>
      </c>
      <c r="AI176" s="474">
        <v>0</v>
      </c>
      <c r="AJ176" s="475" t="s">
        <v>1756</v>
      </c>
      <c r="AK176" s="475" t="s">
        <v>50</v>
      </c>
      <c r="AL176" s="483">
        <v>92010</v>
      </c>
      <c r="AM176" s="474" t="s">
        <v>52</v>
      </c>
      <c r="AN176" s="384"/>
      <c r="AO176" s="474" t="s">
        <v>1076</v>
      </c>
      <c r="AP176" s="474"/>
      <c r="AQ176" s="482" t="s">
        <v>37</v>
      </c>
      <c r="AR176" s="474" t="s">
        <v>1216</v>
      </c>
      <c r="AS176" s="473"/>
      <c r="AT176" s="346"/>
      <c r="AU176" s="478">
        <f t="shared" si="37"/>
        <v>0.53</v>
      </c>
    </row>
    <row r="177" spans="1:47" s="471" customFormat="1">
      <c r="A177" s="495"/>
      <c r="B177" s="407"/>
      <c r="C177" s="495"/>
      <c r="D177" s="512" t="s">
        <v>86</v>
      </c>
      <c r="E177" s="352"/>
      <c r="F177" s="501"/>
      <c r="G177" s="371">
        <v>2022</v>
      </c>
      <c r="H177" s="371" t="s">
        <v>4093</v>
      </c>
      <c r="I177" s="501" t="s">
        <v>1676</v>
      </c>
      <c r="J177" s="502"/>
      <c r="K177" s="501">
        <v>1192</v>
      </c>
      <c r="L177" s="501" t="s">
        <v>1754</v>
      </c>
      <c r="M177" s="502">
        <v>44585</v>
      </c>
      <c r="N177" s="502">
        <v>44713</v>
      </c>
      <c r="O177" s="502"/>
      <c r="P177" s="353"/>
      <c r="Q177" s="502"/>
      <c r="R177" s="502"/>
      <c r="S177" s="501" t="s">
        <v>1688</v>
      </c>
      <c r="T177" s="501">
        <v>60</v>
      </c>
      <c r="U177" s="501" t="s">
        <v>1109</v>
      </c>
      <c r="V177" s="510" t="s">
        <v>973</v>
      </c>
      <c r="W177" s="501">
        <v>400</v>
      </c>
      <c r="X177" s="354">
        <v>832</v>
      </c>
      <c r="Y177" s="397">
        <f t="shared" si="28"/>
        <v>332800</v>
      </c>
      <c r="Z177" s="478">
        <f t="shared" si="36"/>
        <v>0.56000000000000005</v>
      </c>
      <c r="AA177" s="479">
        <f t="shared" si="32"/>
        <v>186368.00000000003</v>
      </c>
      <c r="AB177" s="480"/>
      <c r="AC177" s="481">
        <f t="shared" si="29"/>
        <v>0</v>
      </c>
      <c r="AD177" s="474"/>
      <c r="AE177" s="474"/>
      <c r="AF177" s="493">
        <f t="shared" si="30"/>
        <v>186368.00000000003</v>
      </c>
      <c r="AG177" s="474" t="s">
        <v>1071</v>
      </c>
      <c r="AH177" s="474">
        <v>100</v>
      </c>
      <c r="AI177" s="474">
        <v>0</v>
      </c>
      <c r="AJ177" s="475" t="s">
        <v>1756</v>
      </c>
      <c r="AK177" s="475" t="s">
        <v>50</v>
      </c>
      <c r="AL177" s="483">
        <v>92010</v>
      </c>
      <c r="AM177" s="474" t="s">
        <v>52</v>
      </c>
      <c r="AN177" s="384"/>
      <c r="AO177" s="474" t="s">
        <v>1076</v>
      </c>
      <c r="AP177" s="474"/>
      <c r="AQ177" s="482" t="s">
        <v>37</v>
      </c>
      <c r="AR177" s="474" t="s">
        <v>1216</v>
      </c>
      <c r="AS177" s="473"/>
      <c r="AT177" s="346"/>
      <c r="AU177" s="478">
        <f t="shared" si="37"/>
        <v>0.53</v>
      </c>
    </row>
    <row r="178" spans="1:47" s="471" customFormat="1">
      <c r="A178" s="495"/>
      <c r="B178" s="407"/>
      <c r="C178" s="495"/>
      <c r="D178" s="512" t="s">
        <v>86</v>
      </c>
      <c r="E178" s="352"/>
      <c r="F178" s="501"/>
      <c r="G178" s="371">
        <v>2022</v>
      </c>
      <c r="H178" s="371" t="s">
        <v>4093</v>
      </c>
      <c r="I178" s="501" t="s">
        <v>1676</v>
      </c>
      <c r="J178" s="502"/>
      <c r="K178" s="501">
        <v>1193</v>
      </c>
      <c r="L178" s="501" t="s">
        <v>1754</v>
      </c>
      <c r="M178" s="502">
        <v>44585</v>
      </c>
      <c r="N178" s="502">
        <v>44746</v>
      </c>
      <c r="O178" s="502"/>
      <c r="P178" s="353"/>
      <c r="Q178" s="502"/>
      <c r="R178" s="502"/>
      <c r="S178" s="501" t="s">
        <v>1688</v>
      </c>
      <c r="T178" s="501">
        <v>60</v>
      </c>
      <c r="U178" s="501" t="s">
        <v>1109</v>
      </c>
      <c r="V178" s="510" t="s">
        <v>973</v>
      </c>
      <c r="W178" s="501">
        <v>400</v>
      </c>
      <c r="X178" s="354">
        <v>1664</v>
      </c>
      <c r="Y178" s="397">
        <f t="shared" si="28"/>
        <v>665600</v>
      </c>
      <c r="Z178" s="478">
        <f t="shared" si="36"/>
        <v>0.56000000000000005</v>
      </c>
      <c r="AA178" s="479">
        <f t="shared" si="32"/>
        <v>372736.00000000006</v>
      </c>
      <c r="AB178" s="480"/>
      <c r="AC178" s="481">
        <f t="shared" si="29"/>
        <v>0</v>
      </c>
      <c r="AD178" s="474"/>
      <c r="AE178" s="474"/>
      <c r="AF178" s="493">
        <f t="shared" si="30"/>
        <v>372736.00000000006</v>
      </c>
      <c r="AG178" s="474" t="s">
        <v>1071</v>
      </c>
      <c r="AH178" s="474">
        <v>100</v>
      </c>
      <c r="AI178" s="474">
        <v>0</v>
      </c>
      <c r="AJ178" s="475" t="s">
        <v>1756</v>
      </c>
      <c r="AK178" s="475" t="s">
        <v>50</v>
      </c>
      <c r="AL178" s="483">
        <v>92010</v>
      </c>
      <c r="AM178" s="474" t="s">
        <v>52</v>
      </c>
      <c r="AN178" s="384"/>
      <c r="AO178" s="474" t="s">
        <v>1076</v>
      </c>
      <c r="AP178" s="474"/>
      <c r="AQ178" s="482" t="s">
        <v>37</v>
      </c>
      <c r="AR178" s="474" t="s">
        <v>1216</v>
      </c>
      <c r="AS178" s="473"/>
      <c r="AT178" s="346"/>
      <c r="AU178" s="478">
        <f t="shared" si="37"/>
        <v>0.53</v>
      </c>
    </row>
    <row r="179" spans="1:47" s="471" customFormat="1">
      <c r="A179" s="495"/>
      <c r="B179" s="407"/>
      <c r="C179" s="495"/>
      <c r="D179" s="512" t="s">
        <v>86</v>
      </c>
      <c r="E179" s="352"/>
      <c r="F179" s="501"/>
      <c r="G179" s="371">
        <v>2022</v>
      </c>
      <c r="H179" s="371" t="s">
        <v>4093</v>
      </c>
      <c r="I179" s="501" t="s">
        <v>1676</v>
      </c>
      <c r="J179" s="502"/>
      <c r="K179" s="501">
        <v>1194</v>
      </c>
      <c r="L179" s="501" t="s">
        <v>1754</v>
      </c>
      <c r="M179" s="502">
        <v>44585</v>
      </c>
      <c r="N179" s="502">
        <v>44775</v>
      </c>
      <c r="O179" s="502"/>
      <c r="P179" s="353"/>
      <c r="Q179" s="502"/>
      <c r="R179" s="502"/>
      <c r="S179" s="501" t="s">
        <v>1688</v>
      </c>
      <c r="T179" s="501">
        <v>60</v>
      </c>
      <c r="U179" s="501" t="s">
        <v>1109</v>
      </c>
      <c r="V179" s="510" t="s">
        <v>973</v>
      </c>
      <c r="W179" s="501">
        <v>400</v>
      </c>
      <c r="X179" s="354">
        <v>832</v>
      </c>
      <c r="Y179" s="397">
        <f t="shared" si="28"/>
        <v>332800</v>
      </c>
      <c r="Z179" s="478">
        <f t="shared" si="36"/>
        <v>0.56000000000000005</v>
      </c>
      <c r="AA179" s="479">
        <f t="shared" si="32"/>
        <v>186368.00000000003</v>
      </c>
      <c r="AB179" s="480"/>
      <c r="AC179" s="481">
        <f t="shared" si="29"/>
        <v>0</v>
      </c>
      <c r="AD179" s="474"/>
      <c r="AE179" s="474"/>
      <c r="AF179" s="493">
        <f t="shared" si="30"/>
        <v>186368.00000000003</v>
      </c>
      <c r="AG179" s="474" t="s">
        <v>1071</v>
      </c>
      <c r="AH179" s="474">
        <v>100</v>
      </c>
      <c r="AI179" s="474">
        <v>0</v>
      </c>
      <c r="AJ179" s="475" t="s">
        <v>1756</v>
      </c>
      <c r="AK179" s="475" t="s">
        <v>50</v>
      </c>
      <c r="AL179" s="483">
        <v>92010</v>
      </c>
      <c r="AM179" s="474" t="s">
        <v>52</v>
      </c>
      <c r="AN179" s="384"/>
      <c r="AO179" s="474" t="s">
        <v>1076</v>
      </c>
      <c r="AP179" s="474"/>
      <c r="AQ179" s="482" t="s">
        <v>37</v>
      </c>
      <c r="AR179" s="474" t="s">
        <v>1216</v>
      </c>
      <c r="AS179" s="473"/>
      <c r="AT179" s="346"/>
      <c r="AU179" s="478">
        <f t="shared" si="37"/>
        <v>0.53</v>
      </c>
    </row>
    <row r="180" spans="1:47" s="471" customFormat="1">
      <c r="A180" s="495"/>
      <c r="B180" s="407"/>
      <c r="C180" s="495"/>
      <c r="D180" s="512" t="s">
        <v>86</v>
      </c>
      <c r="E180" s="352"/>
      <c r="F180" s="501"/>
      <c r="G180" s="371">
        <v>2022</v>
      </c>
      <c r="H180" s="371" t="s">
        <v>4093</v>
      </c>
      <c r="I180" s="501" t="s">
        <v>1676</v>
      </c>
      <c r="J180" s="502"/>
      <c r="K180" s="501">
        <v>1195</v>
      </c>
      <c r="L180" s="501" t="s">
        <v>1754</v>
      </c>
      <c r="M180" s="502">
        <v>44585</v>
      </c>
      <c r="N180" s="502">
        <v>44805</v>
      </c>
      <c r="O180" s="502"/>
      <c r="P180" s="353"/>
      <c r="Q180" s="502"/>
      <c r="R180" s="502"/>
      <c r="S180" s="501" t="s">
        <v>1688</v>
      </c>
      <c r="T180" s="501">
        <v>60</v>
      </c>
      <c r="U180" s="501" t="s">
        <v>1109</v>
      </c>
      <c r="V180" s="510" t="s">
        <v>973</v>
      </c>
      <c r="W180" s="501">
        <v>400</v>
      </c>
      <c r="X180" s="354">
        <v>1664</v>
      </c>
      <c r="Y180" s="397">
        <f t="shared" si="28"/>
        <v>665600</v>
      </c>
      <c r="Z180" s="478">
        <f t="shared" si="36"/>
        <v>0.56000000000000005</v>
      </c>
      <c r="AA180" s="479">
        <f t="shared" si="32"/>
        <v>372736.00000000006</v>
      </c>
      <c r="AB180" s="480"/>
      <c r="AC180" s="481">
        <f t="shared" si="29"/>
        <v>0</v>
      </c>
      <c r="AD180" s="474"/>
      <c r="AE180" s="474"/>
      <c r="AF180" s="493">
        <f t="shared" si="30"/>
        <v>372736.00000000006</v>
      </c>
      <c r="AG180" s="474" t="s">
        <v>1071</v>
      </c>
      <c r="AH180" s="474">
        <v>100</v>
      </c>
      <c r="AI180" s="474">
        <v>0</v>
      </c>
      <c r="AJ180" s="475" t="s">
        <v>1756</v>
      </c>
      <c r="AK180" s="475" t="s">
        <v>50</v>
      </c>
      <c r="AL180" s="483">
        <v>92010</v>
      </c>
      <c r="AM180" s="474" t="s">
        <v>52</v>
      </c>
      <c r="AN180" s="384"/>
      <c r="AO180" s="474" t="s">
        <v>1076</v>
      </c>
      <c r="AP180" s="474"/>
      <c r="AQ180" s="482" t="s">
        <v>37</v>
      </c>
      <c r="AR180" s="474" t="s">
        <v>1216</v>
      </c>
      <c r="AS180" s="473"/>
      <c r="AT180" s="346"/>
      <c r="AU180" s="478">
        <f t="shared" si="37"/>
        <v>0.53</v>
      </c>
    </row>
    <row r="181" spans="1:47" s="471" customFormat="1">
      <c r="A181" s="495"/>
      <c r="B181" s="407"/>
      <c r="C181" s="495"/>
      <c r="D181" s="512" t="s">
        <v>86</v>
      </c>
      <c r="E181" s="352"/>
      <c r="F181" s="501"/>
      <c r="G181" s="371">
        <v>2022</v>
      </c>
      <c r="H181" s="371" t="s">
        <v>4093</v>
      </c>
      <c r="I181" s="501" t="s">
        <v>1676</v>
      </c>
      <c r="J181" s="502"/>
      <c r="K181" s="501">
        <v>1196</v>
      </c>
      <c r="L181" s="501" t="s">
        <v>1754</v>
      </c>
      <c r="M181" s="502">
        <v>44585</v>
      </c>
      <c r="N181" s="502">
        <v>44837</v>
      </c>
      <c r="O181" s="502"/>
      <c r="P181" s="353"/>
      <c r="Q181" s="502"/>
      <c r="R181" s="502"/>
      <c r="S181" s="501" t="s">
        <v>1688</v>
      </c>
      <c r="T181" s="501">
        <v>60</v>
      </c>
      <c r="U181" s="501" t="s">
        <v>1109</v>
      </c>
      <c r="V181" s="510" t="s">
        <v>973</v>
      </c>
      <c r="W181" s="501">
        <v>400</v>
      </c>
      <c r="X181" s="354">
        <v>1664</v>
      </c>
      <c r="Y181" s="397">
        <f t="shared" si="28"/>
        <v>665600</v>
      </c>
      <c r="Z181" s="478">
        <f t="shared" si="36"/>
        <v>0.56000000000000005</v>
      </c>
      <c r="AA181" s="479">
        <f t="shared" si="32"/>
        <v>372736.00000000006</v>
      </c>
      <c r="AB181" s="480"/>
      <c r="AC181" s="481">
        <f t="shared" si="29"/>
        <v>0</v>
      </c>
      <c r="AD181" s="474"/>
      <c r="AE181" s="474"/>
      <c r="AF181" s="493">
        <f t="shared" si="30"/>
        <v>372736.00000000006</v>
      </c>
      <c r="AG181" s="474" t="s">
        <v>1071</v>
      </c>
      <c r="AH181" s="474">
        <v>100</v>
      </c>
      <c r="AI181" s="474">
        <v>0</v>
      </c>
      <c r="AJ181" s="475" t="s">
        <v>1756</v>
      </c>
      <c r="AK181" s="475" t="s">
        <v>50</v>
      </c>
      <c r="AL181" s="483">
        <v>92010</v>
      </c>
      <c r="AM181" s="474" t="s">
        <v>52</v>
      </c>
      <c r="AN181" s="384"/>
      <c r="AO181" s="474" t="s">
        <v>1076</v>
      </c>
      <c r="AP181" s="474"/>
      <c r="AQ181" s="482" t="s">
        <v>37</v>
      </c>
      <c r="AR181" s="474" t="s">
        <v>1216</v>
      </c>
      <c r="AS181" s="473"/>
      <c r="AT181" s="346"/>
      <c r="AU181" s="478">
        <f t="shared" si="37"/>
        <v>0.53</v>
      </c>
    </row>
    <row r="182" spans="1:47" s="471" customFormat="1">
      <c r="A182" s="495"/>
      <c r="B182" s="407"/>
      <c r="C182" s="495"/>
      <c r="D182" s="512" t="s">
        <v>86</v>
      </c>
      <c r="E182" s="352"/>
      <c r="F182" s="501"/>
      <c r="G182" s="371">
        <v>2022</v>
      </c>
      <c r="H182" s="371" t="s">
        <v>4093</v>
      </c>
      <c r="I182" s="501" t="s">
        <v>1676</v>
      </c>
      <c r="J182" s="502"/>
      <c r="K182" s="501">
        <v>1197</v>
      </c>
      <c r="L182" s="501" t="s">
        <v>1754</v>
      </c>
      <c r="M182" s="502">
        <v>44585</v>
      </c>
      <c r="N182" s="502">
        <v>44866</v>
      </c>
      <c r="O182" s="502"/>
      <c r="P182" s="353"/>
      <c r="Q182" s="502"/>
      <c r="R182" s="502"/>
      <c r="S182" s="501" t="s">
        <v>1688</v>
      </c>
      <c r="T182" s="501">
        <v>60</v>
      </c>
      <c r="U182" s="501" t="s">
        <v>1109</v>
      </c>
      <c r="V182" s="510" t="s">
        <v>973</v>
      </c>
      <c r="W182" s="501">
        <v>400</v>
      </c>
      <c r="X182" s="354">
        <v>2496</v>
      </c>
      <c r="Y182" s="397">
        <f t="shared" si="28"/>
        <v>998400</v>
      </c>
      <c r="Z182" s="478">
        <f t="shared" si="36"/>
        <v>0.56000000000000005</v>
      </c>
      <c r="AA182" s="479">
        <f t="shared" si="32"/>
        <v>559104</v>
      </c>
      <c r="AB182" s="480"/>
      <c r="AC182" s="481">
        <f t="shared" si="29"/>
        <v>0</v>
      </c>
      <c r="AD182" s="474"/>
      <c r="AE182" s="474"/>
      <c r="AF182" s="493">
        <f t="shared" si="30"/>
        <v>559104</v>
      </c>
      <c r="AG182" s="474" t="s">
        <v>1071</v>
      </c>
      <c r="AH182" s="474">
        <v>100</v>
      </c>
      <c r="AI182" s="474">
        <v>0</v>
      </c>
      <c r="AJ182" s="475" t="s">
        <v>1756</v>
      </c>
      <c r="AK182" s="475" t="s">
        <v>50</v>
      </c>
      <c r="AL182" s="483">
        <v>92010</v>
      </c>
      <c r="AM182" s="474" t="s">
        <v>52</v>
      </c>
      <c r="AN182" s="384"/>
      <c r="AO182" s="474" t="s">
        <v>1076</v>
      </c>
      <c r="AP182" s="474"/>
      <c r="AQ182" s="482" t="s">
        <v>37</v>
      </c>
      <c r="AR182" s="474" t="s">
        <v>1216</v>
      </c>
      <c r="AS182" s="473"/>
      <c r="AT182" s="346"/>
      <c r="AU182" s="478">
        <f t="shared" si="37"/>
        <v>0.53</v>
      </c>
    </row>
    <row r="183" spans="1:47" s="471" customFormat="1">
      <c r="A183" s="495"/>
      <c r="B183" s="407">
        <v>44635</v>
      </c>
      <c r="C183" s="495"/>
      <c r="D183" s="512" t="s">
        <v>86</v>
      </c>
      <c r="E183" s="352"/>
      <c r="F183" s="501"/>
      <c r="G183" s="371">
        <v>2022</v>
      </c>
      <c r="H183" s="371" t="s">
        <v>4093</v>
      </c>
      <c r="I183" s="501" t="s">
        <v>1676</v>
      </c>
      <c r="J183" s="502"/>
      <c r="K183" s="501">
        <v>101747</v>
      </c>
      <c r="L183" s="501" t="s">
        <v>2293</v>
      </c>
      <c r="M183" s="502">
        <v>44615</v>
      </c>
      <c r="N183" s="502">
        <v>44682</v>
      </c>
      <c r="O183" s="502"/>
      <c r="P183" s="353"/>
      <c r="Q183" s="502"/>
      <c r="R183" s="502"/>
      <c r="S183" s="501" t="s">
        <v>1688</v>
      </c>
      <c r="T183" s="501">
        <v>60</v>
      </c>
      <c r="U183" s="501" t="s">
        <v>1109</v>
      </c>
      <c r="V183" s="510" t="s">
        <v>973</v>
      </c>
      <c r="W183" s="501">
        <v>400</v>
      </c>
      <c r="X183" s="354">
        <v>768</v>
      </c>
      <c r="Y183" s="397">
        <f t="shared" si="28"/>
        <v>307200</v>
      </c>
      <c r="Z183" s="478">
        <f t="shared" ref="Z183:Z205" si="38">230/400</f>
        <v>0.57499999999999996</v>
      </c>
      <c r="AA183" s="479">
        <f t="shared" si="32"/>
        <v>176640</v>
      </c>
      <c r="AB183" s="480"/>
      <c r="AC183" s="481">
        <f t="shared" si="29"/>
        <v>0</v>
      </c>
      <c r="AD183" s="474"/>
      <c r="AE183" s="474">
        <f t="shared" ref="AE183:AE205" si="39">AA183*0.0825</f>
        <v>14572.800000000001</v>
      </c>
      <c r="AF183" s="493">
        <f t="shared" si="30"/>
        <v>191212.79999999999</v>
      </c>
      <c r="AG183" s="474" t="s">
        <v>1071</v>
      </c>
      <c r="AH183" s="474">
        <v>100</v>
      </c>
      <c r="AI183" s="474">
        <v>0</v>
      </c>
      <c r="AJ183" s="475" t="s">
        <v>2075</v>
      </c>
      <c r="AK183" s="475" t="s">
        <v>50</v>
      </c>
      <c r="AL183" s="483">
        <v>92058</v>
      </c>
      <c r="AM183" s="474" t="s">
        <v>52</v>
      </c>
      <c r="AN183" s="384"/>
      <c r="AO183" s="474" t="s">
        <v>1076</v>
      </c>
      <c r="AP183" s="474"/>
      <c r="AQ183" s="482" t="s">
        <v>37</v>
      </c>
      <c r="AR183" s="474" t="s">
        <v>1216</v>
      </c>
      <c r="AS183" s="473"/>
      <c r="AT183" s="346"/>
      <c r="AU183" s="478">
        <f t="shared" si="37"/>
        <v>0.53</v>
      </c>
    </row>
    <row r="184" spans="1:47" s="471" customFormat="1">
      <c r="A184" s="495"/>
      <c r="B184" s="407"/>
      <c r="C184" s="495"/>
      <c r="D184" s="512" t="s">
        <v>86</v>
      </c>
      <c r="E184" s="352" t="s">
        <v>4233</v>
      </c>
      <c r="F184" s="501"/>
      <c r="G184" s="371">
        <v>2022</v>
      </c>
      <c r="H184" s="371" t="s">
        <v>4093</v>
      </c>
      <c r="I184" s="501" t="s">
        <v>1676</v>
      </c>
      <c r="J184" s="502"/>
      <c r="K184" s="501">
        <v>101746</v>
      </c>
      <c r="L184" s="501" t="s">
        <v>2293</v>
      </c>
      <c r="M184" s="502">
        <v>44615</v>
      </c>
      <c r="N184" s="502">
        <v>44682</v>
      </c>
      <c r="O184" s="502"/>
      <c r="P184" s="353"/>
      <c r="Q184" s="502"/>
      <c r="R184" s="502"/>
      <c r="S184" s="501" t="s">
        <v>1688</v>
      </c>
      <c r="T184" s="501">
        <v>60</v>
      </c>
      <c r="U184" s="501" t="s">
        <v>1109</v>
      </c>
      <c r="V184" s="510" t="s">
        <v>973</v>
      </c>
      <c r="W184" s="501">
        <v>400</v>
      </c>
      <c r="X184" s="354">
        <v>768</v>
      </c>
      <c r="Y184" s="397">
        <f t="shared" si="28"/>
        <v>307200</v>
      </c>
      <c r="Z184" s="478">
        <f t="shared" si="38"/>
        <v>0.57499999999999996</v>
      </c>
      <c r="AA184" s="479">
        <f t="shared" si="32"/>
        <v>176640</v>
      </c>
      <c r="AB184" s="480"/>
      <c r="AC184" s="481">
        <f t="shared" si="29"/>
        <v>0</v>
      </c>
      <c r="AD184" s="474"/>
      <c r="AE184" s="474">
        <f t="shared" si="39"/>
        <v>14572.800000000001</v>
      </c>
      <c r="AF184" s="493">
        <f t="shared" si="30"/>
        <v>191212.79999999999</v>
      </c>
      <c r="AG184" s="474" t="s">
        <v>1071</v>
      </c>
      <c r="AH184" s="474">
        <v>100</v>
      </c>
      <c r="AI184" s="474">
        <v>0</v>
      </c>
      <c r="AJ184" s="475" t="s">
        <v>2075</v>
      </c>
      <c r="AK184" s="475" t="s">
        <v>50</v>
      </c>
      <c r="AL184" s="483">
        <v>92058</v>
      </c>
      <c r="AM184" s="474" t="s">
        <v>52</v>
      </c>
      <c r="AN184" s="384"/>
      <c r="AO184" s="474" t="s">
        <v>1076</v>
      </c>
      <c r="AP184" s="474"/>
      <c r="AQ184" s="482" t="s">
        <v>37</v>
      </c>
      <c r="AR184" s="474" t="s">
        <v>1216</v>
      </c>
      <c r="AS184" s="473"/>
      <c r="AT184" s="346"/>
      <c r="AU184" s="478">
        <f t="shared" si="37"/>
        <v>0.53</v>
      </c>
    </row>
    <row r="185" spans="1:47" s="471" customFormat="1">
      <c r="A185" s="495"/>
      <c r="B185" s="407">
        <v>44635</v>
      </c>
      <c r="C185" s="495"/>
      <c r="D185" s="512" t="s">
        <v>86</v>
      </c>
      <c r="E185" s="352"/>
      <c r="F185" s="501"/>
      <c r="G185" s="371">
        <v>2022</v>
      </c>
      <c r="H185" s="371" t="s">
        <v>4093</v>
      </c>
      <c r="I185" s="501" t="s">
        <v>1676</v>
      </c>
      <c r="J185" s="502"/>
      <c r="K185" s="501">
        <v>101749</v>
      </c>
      <c r="L185" s="501" t="s">
        <v>2293</v>
      </c>
      <c r="M185" s="502">
        <v>44615</v>
      </c>
      <c r="N185" s="502">
        <v>44682</v>
      </c>
      <c r="O185" s="502"/>
      <c r="P185" s="353"/>
      <c r="Q185" s="502"/>
      <c r="R185" s="502"/>
      <c r="S185" s="501" t="s">
        <v>1688</v>
      </c>
      <c r="T185" s="501">
        <v>60</v>
      </c>
      <c r="U185" s="501" t="s">
        <v>1109</v>
      </c>
      <c r="V185" s="510" t="s">
        <v>973</v>
      </c>
      <c r="W185" s="501">
        <v>400</v>
      </c>
      <c r="X185" s="354">
        <v>768</v>
      </c>
      <c r="Y185" s="397">
        <f t="shared" si="28"/>
        <v>307200</v>
      </c>
      <c r="Z185" s="478">
        <f t="shared" si="38"/>
        <v>0.57499999999999996</v>
      </c>
      <c r="AA185" s="479">
        <f t="shared" si="32"/>
        <v>176640</v>
      </c>
      <c r="AB185" s="480"/>
      <c r="AC185" s="481">
        <f t="shared" si="29"/>
        <v>0</v>
      </c>
      <c r="AD185" s="474"/>
      <c r="AE185" s="474">
        <f t="shared" si="39"/>
        <v>14572.800000000001</v>
      </c>
      <c r="AF185" s="493">
        <f t="shared" si="30"/>
        <v>191212.79999999999</v>
      </c>
      <c r="AG185" s="474" t="s">
        <v>1071</v>
      </c>
      <c r="AH185" s="474">
        <v>100</v>
      </c>
      <c r="AI185" s="474">
        <v>0</v>
      </c>
      <c r="AJ185" s="475" t="s">
        <v>2075</v>
      </c>
      <c r="AK185" s="475" t="s">
        <v>50</v>
      </c>
      <c r="AL185" s="483">
        <v>92058</v>
      </c>
      <c r="AM185" s="474" t="s">
        <v>52</v>
      </c>
      <c r="AN185" s="384"/>
      <c r="AO185" s="474" t="s">
        <v>1076</v>
      </c>
      <c r="AP185" s="474"/>
      <c r="AQ185" s="482" t="s">
        <v>37</v>
      </c>
      <c r="AR185" s="474" t="s">
        <v>1216</v>
      </c>
      <c r="AS185" s="473"/>
      <c r="AT185" s="346"/>
      <c r="AU185" s="478">
        <f t="shared" si="37"/>
        <v>0.53</v>
      </c>
    </row>
    <row r="186" spans="1:47" s="471" customFormat="1">
      <c r="A186" s="495"/>
      <c r="B186" s="407">
        <v>44635</v>
      </c>
      <c r="C186" s="495"/>
      <c r="D186" s="512" t="s">
        <v>86</v>
      </c>
      <c r="E186" s="352"/>
      <c r="F186" s="501"/>
      <c r="G186" s="371">
        <v>2022</v>
      </c>
      <c r="H186" s="371" t="s">
        <v>4093</v>
      </c>
      <c r="I186" s="501" t="s">
        <v>1676</v>
      </c>
      <c r="J186" s="502"/>
      <c r="K186" s="501">
        <v>101751</v>
      </c>
      <c r="L186" s="501" t="s">
        <v>2293</v>
      </c>
      <c r="M186" s="502">
        <v>44615</v>
      </c>
      <c r="N186" s="502">
        <v>44713</v>
      </c>
      <c r="O186" s="502"/>
      <c r="P186" s="353"/>
      <c r="Q186" s="502"/>
      <c r="R186" s="502"/>
      <c r="S186" s="501" t="s">
        <v>1688</v>
      </c>
      <c r="T186" s="501">
        <v>60</v>
      </c>
      <c r="U186" s="501" t="s">
        <v>1109</v>
      </c>
      <c r="V186" s="510" t="s">
        <v>973</v>
      </c>
      <c r="W186" s="501">
        <v>400</v>
      </c>
      <c r="X186" s="354">
        <v>768</v>
      </c>
      <c r="Y186" s="397">
        <f t="shared" si="28"/>
        <v>307200</v>
      </c>
      <c r="Z186" s="478">
        <f t="shared" si="38"/>
        <v>0.57499999999999996</v>
      </c>
      <c r="AA186" s="479">
        <f t="shared" si="32"/>
        <v>176640</v>
      </c>
      <c r="AB186" s="480"/>
      <c r="AC186" s="481">
        <f t="shared" si="29"/>
        <v>0</v>
      </c>
      <c r="AD186" s="474"/>
      <c r="AE186" s="474">
        <f t="shared" si="39"/>
        <v>14572.800000000001</v>
      </c>
      <c r="AF186" s="493">
        <f t="shared" si="30"/>
        <v>191212.79999999999</v>
      </c>
      <c r="AG186" s="474" t="s">
        <v>1071</v>
      </c>
      <c r="AH186" s="474">
        <v>100</v>
      </c>
      <c r="AI186" s="474">
        <v>0</v>
      </c>
      <c r="AJ186" s="475" t="s">
        <v>2075</v>
      </c>
      <c r="AK186" s="475" t="s">
        <v>50</v>
      </c>
      <c r="AL186" s="483">
        <v>92058</v>
      </c>
      <c r="AM186" s="474" t="s">
        <v>52</v>
      </c>
      <c r="AN186" s="384"/>
      <c r="AO186" s="474" t="s">
        <v>1076</v>
      </c>
      <c r="AP186" s="474"/>
      <c r="AQ186" s="482" t="s">
        <v>37</v>
      </c>
      <c r="AR186" s="474" t="s">
        <v>1216</v>
      </c>
      <c r="AS186" s="473"/>
      <c r="AT186" s="346"/>
      <c r="AU186" s="478">
        <f t="shared" si="37"/>
        <v>0.53</v>
      </c>
    </row>
    <row r="187" spans="1:47" s="471" customFormat="1">
      <c r="A187" s="495"/>
      <c r="B187" s="407">
        <v>44635</v>
      </c>
      <c r="C187" s="495"/>
      <c r="D187" s="512" t="s">
        <v>86</v>
      </c>
      <c r="E187" s="352"/>
      <c r="F187" s="501"/>
      <c r="G187" s="371">
        <v>2022</v>
      </c>
      <c r="H187" s="371" t="s">
        <v>4093</v>
      </c>
      <c r="I187" s="501" t="s">
        <v>1676</v>
      </c>
      <c r="J187" s="502"/>
      <c r="K187" s="501">
        <v>101750</v>
      </c>
      <c r="L187" s="501" t="s">
        <v>2293</v>
      </c>
      <c r="M187" s="502">
        <v>44615</v>
      </c>
      <c r="N187" s="502">
        <v>44713</v>
      </c>
      <c r="O187" s="502"/>
      <c r="P187" s="353"/>
      <c r="Q187" s="502"/>
      <c r="R187" s="502"/>
      <c r="S187" s="501" t="s">
        <v>1688</v>
      </c>
      <c r="T187" s="501">
        <v>60</v>
      </c>
      <c r="U187" s="501" t="s">
        <v>1109</v>
      </c>
      <c r="V187" s="510" t="s">
        <v>973</v>
      </c>
      <c r="W187" s="501">
        <v>400</v>
      </c>
      <c r="X187" s="354">
        <v>768</v>
      </c>
      <c r="Y187" s="397">
        <f t="shared" si="28"/>
        <v>307200</v>
      </c>
      <c r="Z187" s="478">
        <f t="shared" si="38"/>
        <v>0.57499999999999996</v>
      </c>
      <c r="AA187" s="479">
        <f t="shared" si="32"/>
        <v>176640</v>
      </c>
      <c r="AB187" s="480"/>
      <c r="AC187" s="481">
        <f t="shared" si="29"/>
        <v>0</v>
      </c>
      <c r="AD187" s="474"/>
      <c r="AE187" s="474">
        <f t="shared" si="39"/>
        <v>14572.800000000001</v>
      </c>
      <c r="AF187" s="493">
        <f t="shared" si="30"/>
        <v>191212.79999999999</v>
      </c>
      <c r="AG187" s="474" t="s">
        <v>1071</v>
      </c>
      <c r="AH187" s="474">
        <v>100</v>
      </c>
      <c r="AI187" s="474">
        <v>0</v>
      </c>
      <c r="AJ187" s="475" t="s">
        <v>2075</v>
      </c>
      <c r="AK187" s="475" t="s">
        <v>50</v>
      </c>
      <c r="AL187" s="483">
        <v>92058</v>
      </c>
      <c r="AM187" s="474" t="s">
        <v>52</v>
      </c>
      <c r="AN187" s="384"/>
      <c r="AO187" s="474" t="s">
        <v>1076</v>
      </c>
      <c r="AP187" s="474"/>
      <c r="AQ187" s="482" t="s">
        <v>37</v>
      </c>
      <c r="AR187" s="474" t="s">
        <v>1216</v>
      </c>
      <c r="AS187" s="473"/>
      <c r="AT187" s="346"/>
      <c r="AU187" s="478">
        <f t="shared" si="37"/>
        <v>0.53</v>
      </c>
    </row>
    <row r="188" spans="1:47" s="471" customFormat="1">
      <c r="A188" s="495"/>
      <c r="B188" s="407">
        <v>44635</v>
      </c>
      <c r="C188" s="495"/>
      <c r="D188" s="512" t="s">
        <v>86</v>
      </c>
      <c r="E188" s="352"/>
      <c r="F188" s="501"/>
      <c r="G188" s="371">
        <v>2022</v>
      </c>
      <c r="H188" s="371" t="s">
        <v>4093</v>
      </c>
      <c r="I188" s="501" t="s">
        <v>1676</v>
      </c>
      <c r="J188" s="502"/>
      <c r="K188" s="501">
        <v>101796</v>
      </c>
      <c r="L188" s="501" t="s">
        <v>2293</v>
      </c>
      <c r="M188" s="502">
        <v>44627</v>
      </c>
      <c r="N188" s="502">
        <v>44896</v>
      </c>
      <c r="O188" s="502"/>
      <c r="P188" s="353"/>
      <c r="Q188" s="502"/>
      <c r="R188" s="502"/>
      <c r="S188" s="501" t="s">
        <v>1688</v>
      </c>
      <c r="T188" s="501">
        <v>60</v>
      </c>
      <c r="U188" s="501" t="s">
        <v>1109</v>
      </c>
      <c r="V188" s="510" t="s">
        <v>973</v>
      </c>
      <c r="W188" s="501">
        <v>400</v>
      </c>
      <c r="X188" s="354">
        <v>768</v>
      </c>
      <c r="Y188" s="397">
        <f t="shared" si="28"/>
        <v>307200</v>
      </c>
      <c r="Z188" s="478">
        <f t="shared" si="38"/>
        <v>0.57499999999999996</v>
      </c>
      <c r="AA188" s="479">
        <f t="shared" si="32"/>
        <v>176640</v>
      </c>
      <c r="AB188" s="480"/>
      <c r="AC188" s="481">
        <f t="shared" si="29"/>
        <v>0</v>
      </c>
      <c r="AD188" s="474"/>
      <c r="AE188" s="474">
        <f t="shared" si="39"/>
        <v>14572.800000000001</v>
      </c>
      <c r="AF188" s="493">
        <f t="shared" si="30"/>
        <v>191212.79999999999</v>
      </c>
      <c r="AG188" s="474" t="s">
        <v>1071</v>
      </c>
      <c r="AH188" s="474">
        <v>100</v>
      </c>
      <c r="AI188" s="474">
        <v>0</v>
      </c>
      <c r="AJ188" s="475" t="s">
        <v>2075</v>
      </c>
      <c r="AK188" s="475" t="s">
        <v>50</v>
      </c>
      <c r="AL188" s="483">
        <v>92058</v>
      </c>
      <c r="AM188" s="474" t="s">
        <v>52</v>
      </c>
      <c r="AN188" s="384"/>
      <c r="AO188" s="474" t="s">
        <v>1076</v>
      </c>
      <c r="AP188" s="474"/>
      <c r="AQ188" s="482" t="s">
        <v>37</v>
      </c>
      <c r="AR188" s="474" t="s">
        <v>1216</v>
      </c>
      <c r="AS188" s="473"/>
      <c r="AT188" s="346"/>
      <c r="AU188" s="478">
        <f t="shared" si="37"/>
        <v>0.53</v>
      </c>
    </row>
    <row r="189" spans="1:47" s="471" customFormat="1">
      <c r="A189" s="495"/>
      <c r="B189" s="407">
        <v>44635</v>
      </c>
      <c r="C189" s="495"/>
      <c r="D189" s="512" t="s">
        <v>86</v>
      </c>
      <c r="E189" s="352"/>
      <c r="F189" s="501"/>
      <c r="G189" s="371">
        <v>2022</v>
      </c>
      <c r="H189" s="371" t="s">
        <v>4093</v>
      </c>
      <c r="I189" s="501" t="s">
        <v>1676</v>
      </c>
      <c r="J189" s="502"/>
      <c r="K189" s="501">
        <v>101794</v>
      </c>
      <c r="L189" s="501" t="s">
        <v>2293</v>
      </c>
      <c r="M189" s="502">
        <v>44627</v>
      </c>
      <c r="N189" s="502">
        <v>44896</v>
      </c>
      <c r="O189" s="502"/>
      <c r="P189" s="353"/>
      <c r="Q189" s="502"/>
      <c r="R189" s="502"/>
      <c r="S189" s="501" t="s">
        <v>1688</v>
      </c>
      <c r="T189" s="501">
        <v>60</v>
      </c>
      <c r="U189" s="501" t="s">
        <v>1109</v>
      </c>
      <c r="V189" s="510" t="s">
        <v>973</v>
      </c>
      <c r="W189" s="501">
        <v>400</v>
      </c>
      <c r="X189" s="354">
        <v>768</v>
      </c>
      <c r="Y189" s="397">
        <f t="shared" si="28"/>
        <v>307200</v>
      </c>
      <c r="Z189" s="478">
        <f t="shared" si="38"/>
        <v>0.57499999999999996</v>
      </c>
      <c r="AA189" s="479">
        <f t="shared" si="32"/>
        <v>176640</v>
      </c>
      <c r="AB189" s="480"/>
      <c r="AC189" s="481">
        <f t="shared" si="29"/>
        <v>0</v>
      </c>
      <c r="AD189" s="474"/>
      <c r="AE189" s="474">
        <f t="shared" si="39"/>
        <v>14572.800000000001</v>
      </c>
      <c r="AF189" s="493">
        <f t="shared" si="30"/>
        <v>191212.79999999999</v>
      </c>
      <c r="AG189" s="474" t="s">
        <v>1071</v>
      </c>
      <c r="AH189" s="474">
        <v>100</v>
      </c>
      <c r="AI189" s="474">
        <v>0</v>
      </c>
      <c r="AJ189" s="475" t="s">
        <v>2075</v>
      </c>
      <c r="AK189" s="475" t="s">
        <v>50</v>
      </c>
      <c r="AL189" s="483">
        <v>92058</v>
      </c>
      <c r="AM189" s="474" t="s">
        <v>52</v>
      </c>
      <c r="AN189" s="384"/>
      <c r="AO189" s="474" t="s">
        <v>1076</v>
      </c>
      <c r="AP189" s="474"/>
      <c r="AQ189" s="482" t="s">
        <v>37</v>
      </c>
      <c r="AR189" s="474" t="s">
        <v>1216</v>
      </c>
      <c r="AS189" s="473"/>
      <c r="AT189" s="346"/>
      <c r="AU189" s="478">
        <f t="shared" si="37"/>
        <v>0.53</v>
      </c>
    </row>
    <row r="190" spans="1:47" s="471" customFormat="1">
      <c r="A190" s="495"/>
      <c r="B190" s="407">
        <v>44635</v>
      </c>
      <c r="C190" s="495"/>
      <c r="D190" s="512" t="s">
        <v>86</v>
      </c>
      <c r="E190" s="352"/>
      <c r="F190" s="501"/>
      <c r="G190" s="371">
        <v>2022</v>
      </c>
      <c r="H190" s="371" t="s">
        <v>4093</v>
      </c>
      <c r="I190" s="501" t="s">
        <v>1676</v>
      </c>
      <c r="J190" s="502"/>
      <c r="K190" s="501">
        <v>101793</v>
      </c>
      <c r="L190" s="501" t="s">
        <v>2293</v>
      </c>
      <c r="M190" s="502">
        <v>44627</v>
      </c>
      <c r="N190" s="502">
        <v>44866</v>
      </c>
      <c r="O190" s="502"/>
      <c r="P190" s="353"/>
      <c r="Q190" s="502"/>
      <c r="R190" s="502"/>
      <c r="S190" s="501" t="s">
        <v>1688</v>
      </c>
      <c r="T190" s="501">
        <v>60</v>
      </c>
      <c r="U190" s="501" t="s">
        <v>1109</v>
      </c>
      <c r="V190" s="510" t="s">
        <v>973</v>
      </c>
      <c r="W190" s="501">
        <v>400</v>
      </c>
      <c r="X190" s="354">
        <v>768</v>
      </c>
      <c r="Y190" s="397">
        <f t="shared" si="28"/>
        <v>307200</v>
      </c>
      <c r="Z190" s="478">
        <f t="shared" si="38"/>
        <v>0.57499999999999996</v>
      </c>
      <c r="AA190" s="479">
        <f t="shared" si="32"/>
        <v>176640</v>
      </c>
      <c r="AB190" s="480"/>
      <c r="AC190" s="481">
        <f t="shared" si="29"/>
        <v>0</v>
      </c>
      <c r="AD190" s="474"/>
      <c r="AE190" s="474">
        <f t="shared" si="39"/>
        <v>14572.800000000001</v>
      </c>
      <c r="AF190" s="493">
        <f t="shared" si="30"/>
        <v>191212.79999999999</v>
      </c>
      <c r="AG190" s="474" t="s">
        <v>1071</v>
      </c>
      <c r="AH190" s="474">
        <v>100</v>
      </c>
      <c r="AI190" s="474">
        <v>0</v>
      </c>
      <c r="AJ190" s="475" t="s">
        <v>2075</v>
      </c>
      <c r="AK190" s="475" t="s">
        <v>50</v>
      </c>
      <c r="AL190" s="483">
        <v>92058</v>
      </c>
      <c r="AM190" s="474" t="s">
        <v>52</v>
      </c>
      <c r="AN190" s="384"/>
      <c r="AO190" s="474" t="s">
        <v>1076</v>
      </c>
      <c r="AP190" s="474"/>
      <c r="AQ190" s="482" t="s">
        <v>37</v>
      </c>
      <c r="AR190" s="474" t="s">
        <v>1216</v>
      </c>
      <c r="AS190" s="473"/>
      <c r="AT190" s="346"/>
      <c r="AU190" s="478">
        <f t="shared" si="37"/>
        <v>0.53</v>
      </c>
    </row>
    <row r="191" spans="1:47" s="471" customFormat="1">
      <c r="A191" s="495"/>
      <c r="B191" s="407">
        <v>44635</v>
      </c>
      <c r="C191" s="495"/>
      <c r="D191" s="512" t="s">
        <v>86</v>
      </c>
      <c r="E191" s="352"/>
      <c r="F191" s="501"/>
      <c r="G191" s="371">
        <v>2022</v>
      </c>
      <c r="H191" s="371" t="s">
        <v>4093</v>
      </c>
      <c r="I191" s="501" t="s">
        <v>1676</v>
      </c>
      <c r="J191" s="502"/>
      <c r="K191" s="501">
        <v>101792</v>
      </c>
      <c r="L191" s="501" t="s">
        <v>2293</v>
      </c>
      <c r="M191" s="502">
        <v>44627</v>
      </c>
      <c r="N191" s="502">
        <v>44866</v>
      </c>
      <c r="O191" s="502"/>
      <c r="P191" s="353"/>
      <c r="Q191" s="502"/>
      <c r="R191" s="502"/>
      <c r="S191" s="501" t="s">
        <v>1688</v>
      </c>
      <c r="T191" s="501">
        <v>60</v>
      </c>
      <c r="U191" s="501" t="s">
        <v>1109</v>
      </c>
      <c r="V191" s="510" t="s">
        <v>973</v>
      </c>
      <c r="W191" s="501">
        <v>400</v>
      </c>
      <c r="X191" s="354">
        <v>768</v>
      </c>
      <c r="Y191" s="397">
        <f t="shared" si="28"/>
        <v>307200</v>
      </c>
      <c r="Z191" s="478">
        <f t="shared" si="38"/>
        <v>0.57499999999999996</v>
      </c>
      <c r="AA191" s="479">
        <f t="shared" si="32"/>
        <v>176640</v>
      </c>
      <c r="AB191" s="480"/>
      <c r="AC191" s="481">
        <f t="shared" si="29"/>
        <v>0</v>
      </c>
      <c r="AD191" s="474"/>
      <c r="AE191" s="474">
        <f t="shared" si="39"/>
        <v>14572.800000000001</v>
      </c>
      <c r="AF191" s="493">
        <f t="shared" si="30"/>
        <v>191212.79999999999</v>
      </c>
      <c r="AG191" s="474" t="s">
        <v>1071</v>
      </c>
      <c r="AH191" s="474">
        <v>100</v>
      </c>
      <c r="AI191" s="474">
        <v>0</v>
      </c>
      <c r="AJ191" s="475" t="s">
        <v>2075</v>
      </c>
      <c r="AK191" s="475" t="s">
        <v>50</v>
      </c>
      <c r="AL191" s="483">
        <v>92058</v>
      </c>
      <c r="AM191" s="474" t="s">
        <v>52</v>
      </c>
      <c r="AN191" s="384"/>
      <c r="AO191" s="474" t="s">
        <v>1076</v>
      </c>
      <c r="AP191" s="474"/>
      <c r="AQ191" s="482" t="s">
        <v>37</v>
      </c>
      <c r="AR191" s="474" t="s">
        <v>1216</v>
      </c>
      <c r="AS191" s="473"/>
      <c r="AT191" s="346"/>
      <c r="AU191" s="478">
        <f t="shared" si="37"/>
        <v>0.53</v>
      </c>
    </row>
    <row r="192" spans="1:47" s="471" customFormat="1">
      <c r="A192" s="495"/>
      <c r="B192" s="407">
        <v>44635</v>
      </c>
      <c r="C192" s="495"/>
      <c r="D192" s="512" t="s">
        <v>86</v>
      </c>
      <c r="E192" s="352"/>
      <c r="F192" s="501"/>
      <c r="G192" s="371">
        <v>2022</v>
      </c>
      <c r="H192" s="371" t="s">
        <v>4093</v>
      </c>
      <c r="I192" s="501" t="s">
        <v>1676</v>
      </c>
      <c r="J192" s="502"/>
      <c r="K192" s="501">
        <v>101795</v>
      </c>
      <c r="L192" s="501" t="s">
        <v>2293</v>
      </c>
      <c r="M192" s="502">
        <v>44627</v>
      </c>
      <c r="N192" s="502">
        <v>44896</v>
      </c>
      <c r="O192" s="502"/>
      <c r="P192" s="353"/>
      <c r="Q192" s="502"/>
      <c r="R192" s="502"/>
      <c r="S192" s="501" t="s">
        <v>1688</v>
      </c>
      <c r="T192" s="501">
        <v>60</v>
      </c>
      <c r="U192" s="501" t="s">
        <v>1109</v>
      </c>
      <c r="V192" s="510" t="s">
        <v>973</v>
      </c>
      <c r="W192" s="501">
        <v>400</v>
      </c>
      <c r="X192" s="354">
        <v>768</v>
      </c>
      <c r="Y192" s="397">
        <f t="shared" si="28"/>
        <v>307200</v>
      </c>
      <c r="Z192" s="478">
        <f t="shared" si="38"/>
        <v>0.57499999999999996</v>
      </c>
      <c r="AA192" s="479">
        <f t="shared" si="32"/>
        <v>176640</v>
      </c>
      <c r="AB192" s="480"/>
      <c r="AC192" s="481">
        <f t="shared" si="29"/>
        <v>0</v>
      </c>
      <c r="AD192" s="474"/>
      <c r="AE192" s="474">
        <f t="shared" si="39"/>
        <v>14572.800000000001</v>
      </c>
      <c r="AF192" s="493">
        <f t="shared" si="30"/>
        <v>191212.79999999999</v>
      </c>
      <c r="AG192" s="474" t="s">
        <v>1071</v>
      </c>
      <c r="AH192" s="474">
        <v>100</v>
      </c>
      <c r="AI192" s="474">
        <v>0</v>
      </c>
      <c r="AJ192" s="475" t="s">
        <v>2075</v>
      </c>
      <c r="AK192" s="475" t="s">
        <v>50</v>
      </c>
      <c r="AL192" s="483">
        <v>92058</v>
      </c>
      <c r="AM192" s="474" t="s">
        <v>52</v>
      </c>
      <c r="AN192" s="384"/>
      <c r="AO192" s="474" t="s">
        <v>1076</v>
      </c>
      <c r="AP192" s="474"/>
      <c r="AQ192" s="482" t="s">
        <v>37</v>
      </c>
      <c r="AR192" s="474" t="s">
        <v>1216</v>
      </c>
      <c r="AS192" s="473"/>
      <c r="AT192" s="346"/>
      <c r="AU192" s="478">
        <f t="shared" si="37"/>
        <v>0.53</v>
      </c>
    </row>
    <row r="193" spans="1:47" s="471" customFormat="1">
      <c r="A193" s="495"/>
      <c r="B193" s="407">
        <v>44635</v>
      </c>
      <c r="C193" s="495"/>
      <c r="D193" s="512" t="s">
        <v>86</v>
      </c>
      <c r="E193" s="352"/>
      <c r="F193" s="501"/>
      <c r="G193" s="371">
        <v>2022</v>
      </c>
      <c r="H193" s="371" t="s">
        <v>4093</v>
      </c>
      <c r="I193" s="501" t="s">
        <v>1676</v>
      </c>
      <c r="J193" s="502"/>
      <c r="K193" s="501">
        <v>101791</v>
      </c>
      <c r="L193" s="501" t="s">
        <v>2293</v>
      </c>
      <c r="M193" s="502">
        <v>44627</v>
      </c>
      <c r="N193" s="502">
        <v>44866</v>
      </c>
      <c r="O193" s="502"/>
      <c r="P193" s="353"/>
      <c r="Q193" s="502"/>
      <c r="R193" s="502"/>
      <c r="S193" s="501" t="s">
        <v>1688</v>
      </c>
      <c r="T193" s="501">
        <v>60</v>
      </c>
      <c r="U193" s="501" t="s">
        <v>1109</v>
      </c>
      <c r="V193" s="510" t="s">
        <v>973</v>
      </c>
      <c r="W193" s="501">
        <v>400</v>
      </c>
      <c r="X193" s="354">
        <v>768</v>
      </c>
      <c r="Y193" s="397">
        <f t="shared" si="28"/>
        <v>307200</v>
      </c>
      <c r="Z193" s="478">
        <f t="shared" si="38"/>
        <v>0.57499999999999996</v>
      </c>
      <c r="AA193" s="479">
        <f t="shared" si="32"/>
        <v>176640</v>
      </c>
      <c r="AB193" s="480"/>
      <c r="AC193" s="481">
        <f t="shared" si="29"/>
        <v>0</v>
      </c>
      <c r="AD193" s="474"/>
      <c r="AE193" s="474">
        <f t="shared" si="39"/>
        <v>14572.800000000001</v>
      </c>
      <c r="AF193" s="493">
        <f t="shared" si="30"/>
        <v>191212.79999999999</v>
      </c>
      <c r="AG193" s="474" t="s">
        <v>1071</v>
      </c>
      <c r="AH193" s="474">
        <v>100</v>
      </c>
      <c r="AI193" s="474">
        <v>0</v>
      </c>
      <c r="AJ193" s="475" t="s">
        <v>2075</v>
      </c>
      <c r="AK193" s="475" t="s">
        <v>50</v>
      </c>
      <c r="AL193" s="483">
        <v>92058</v>
      </c>
      <c r="AM193" s="474" t="s">
        <v>52</v>
      </c>
      <c r="AN193" s="384"/>
      <c r="AO193" s="474" t="s">
        <v>1076</v>
      </c>
      <c r="AP193" s="474"/>
      <c r="AQ193" s="482" t="s">
        <v>37</v>
      </c>
      <c r="AR193" s="474" t="s">
        <v>1216</v>
      </c>
      <c r="AS193" s="473"/>
      <c r="AT193" s="346"/>
      <c r="AU193" s="478">
        <f t="shared" si="37"/>
        <v>0.53</v>
      </c>
    </row>
    <row r="194" spans="1:47" s="471" customFormat="1">
      <c r="A194" s="495"/>
      <c r="B194" s="407">
        <v>44635</v>
      </c>
      <c r="C194" s="495"/>
      <c r="D194" s="512" t="s">
        <v>86</v>
      </c>
      <c r="E194" s="352"/>
      <c r="F194" s="501"/>
      <c r="G194" s="371">
        <v>2022</v>
      </c>
      <c r="H194" s="371" t="s">
        <v>4093</v>
      </c>
      <c r="I194" s="501" t="s">
        <v>1676</v>
      </c>
      <c r="J194" s="502"/>
      <c r="K194" s="501">
        <v>101789</v>
      </c>
      <c r="L194" s="501" t="s">
        <v>2293</v>
      </c>
      <c r="M194" s="502">
        <v>44627</v>
      </c>
      <c r="N194" s="502">
        <v>44805</v>
      </c>
      <c r="O194" s="502"/>
      <c r="P194" s="353"/>
      <c r="Q194" s="502"/>
      <c r="R194" s="502"/>
      <c r="S194" s="501" t="s">
        <v>1688</v>
      </c>
      <c r="T194" s="501">
        <v>60</v>
      </c>
      <c r="U194" s="501" t="s">
        <v>1109</v>
      </c>
      <c r="V194" s="510" t="s">
        <v>973</v>
      </c>
      <c r="W194" s="501">
        <v>400</v>
      </c>
      <c r="X194" s="354">
        <v>768</v>
      </c>
      <c r="Y194" s="397">
        <f t="shared" ref="Y194:Y254" si="40">W194*X194</f>
        <v>307200</v>
      </c>
      <c r="Z194" s="478">
        <f t="shared" si="38"/>
        <v>0.57499999999999996</v>
      </c>
      <c r="AA194" s="479">
        <f t="shared" si="32"/>
        <v>176640</v>
      </c>
      <c r="AB194" s="480"/>
      <c r="AC194" s="481">
        <f t="shared" ref="AC194:AC215" si="41">AB194*Y194</f>
        <v>0</v>
      </c>
      <c r="AD194" s="474"/>
      <c r="AE194" s="474">
        <f t="shared" si="39"/>
        <v>14572.800000000001</v>
      </c>
      <c r="AF194" s="493">
        <f t="shared" ref="AF194:AF257" si="42">AE194+AD194+AA194</f>
        <v>191212.79999999999</v>
      </c>
      <c r="AG194" s="474" t="s">
        <v>1071</v>
      </c>
      <c r="AH194" s="474">
        <v>100</v>
      </c>
      <c r="AI194" s="474">
        <v>0</v>
      </c>
      <c r="AJ194" s="475" t="s">
        <v>2075</v>
      </c>
      <c r="AK194" s="475" t="s">
        <v>50</v>
      </c>
      <c r="AL194" s="483">
        <v>92058</v>
      </c>
      <c r="AM194" s="474" t="s">
        <v>52</v>
      </c>
      <c r="AN194" s="384"/>
      <c r="AO194" s="474" t="s">
        <v>1076</v>
      </c>
      <c r="AP194" s="474"/>
      <c r="AQ194" s="482" t="s">
        <v>37</v>
      </c>
      <c r="AR194" s="474" t="s">
        <v>1216</v>
      </c>
      <c r="AS194" s="473"/>
      <c r="AT194" s="346"/>
      <c r="AU194" s="478">
        <f t="shared" si="37"/>
        <v>0.53</v>
      </c>
    </row>
    <row r="195" spans="1:47" s="471" customFormat="1">
      <c r="A195" s="495"/>
      <c r="B195" s="407">
        <v>44635</v>
      </c>
      <c r="C195" s="495"/>
      <c r="D195" s="512" t="s">
        <v>86</v>
      </c>
      <c r="E195" s="352"/>
      <c r="F195" s="501"/>
      <c r="G195" s="371">
        <v>2022</v>
      </c>
      <c r="H195" s="371" t="s">
        <v>4093</v>
      </c>
      <c r="I195" s="501" t="s">
        <v>1676</v>
      </c>
      <c r="J195" s="502"/>
      <c r="K195" s="501">
        <v>101790</v>
      </c>
      <c r="L195" s="501" t="s">
        <v>2293</v>
      </c>
      <c r="M195" s="502">
        <v>44627</v>
      </c>
      <c r="N195" s="502">
        <v>44835</v>
      </c>
      <c r="O195" s="502"/>
      <c r="P195" s="353"/>
      <c r="Q195" s="502"/>
      <c r="R195" s="502"/>
      <c r="S195" s="501" t="s">
        <v>1688</v>
      </c>
      <c r="T195" s="501">
        <v>60</v>
      </c>
      <c r="U195" s="501" t="s">
        <v>1109</v>
      </c>
      <c r="V195" s="510" t="s">
        <v>973</v>
      </c>
      <c r="W195" s="501">
        <v>400</v>
      </c>
      <c r="X195" s="354">
        <v>768</v>
      </c>
      <c r="Y195" s="397">
        <f t="shared" si="40"/>
        <v>307200</v>
      </c>
      <c r="Z195" s="478">
        <f t="shared" si="38"/>
        <v>0.57499999999999996</v>
      </c>
      <c r="AA195" s="479">
        <f t="shared" si="32"/>
        <v>176640</v>
      </c>
      <c r="AB195" s="480"/>
      <c r="AC195" s="481">
        <f t="shared" si="41"/>
        <v>0</v>
      </c>
      <c r="AD195" s="474"/>
      <c r="AE195" s="474">
        <f t="shared" si="39"/>
        <v>14572.800000000001</v>
      </c>
      <c r="AF195" s="493">
        <f t="shared" si="42"/>
        <v>191212.79999999999</v>
      </c>
      <c r="AG195" s="474" t="s">
        <v>1071</v>
      </c>
      <c r="AH195" s="474">
        <v>100</v>
      </c>
      <c r="AI195" s="474">
        <v>0</v>
      </c>
      <c r="AJ195" s="475" t="s">
        <v>2075</v>
      </c>
      <c r="AK195" s="475" t="s">
        <v>50</v>
      </c>
      <c r="AL195" s="483">
        <v>92058</v>
      </c>
      <c r="AM195" s="474" t="s">
        <v>52</v>
      </c>
      <c r="AN195" s="384"/>
      <c r="AO195" s="474" t="s">
        <v>1076</v>
      </c>
      <c r="AP195" s="474"/>
      <c r="AQ195" s="482" t="s">
        <v>37</v>
      </c>
      <c r="AR195" s="474" t="s">
        <v>1216</v>
      </c>
      <c r="AS195" s="473"/>
      <c r="AT195" s="346"/>
      <c r="AU195" s="478">
        <f t="shared" si="37"/>
        <v>0.53</v>
      </c>
    </row>
    <row r="196" spans="1:47" s="471" customFormat="1">
      <c r="A196" s="495"/>
      <c r="B196" s="407">
        <v>44635</v>
      </c>
      <c r="C196" s="495"/>
      <c r="D196" s="512" t="s">
        <v>86</v>
      </c>
      <c r="E196" s="352"/>
      <c r="F196" s="501"/>
      <c r="G196" s="371">
        <v>2022</v>
      </c>
      <c r="H196" s="371" t="s">
        <v>4093</v>
      </c>
      <c r="I196" s="501" t="s">
        <v>1676</v>
      </c>
      <c r="J196" s="502"/>
      <c r="K196" s="501">
        <v>101788</v>
      </c>
      <c r="L196" s="501" t="s">
        <v>2293</v>
      </c>
      <c r="M196" s="502">
        <v>44627</v>
      </c>
      <c r="N196" s="502">
        <v>44835</v>
      </c>
      <c r="O196" s="502"/>
      <c r="P196" s="353"/>
      <c r="Q196" s="502"/>
      <c r="R196" s="502"/>
      <c r="S196" s="501" t="s">
        <v>1688</v>
      </c>
      <c r="T196" s="501">
        <v>60</v>
      </c>
      <c r="U196" s="501" t="s">
        <v>1109</v>
      </c>
      <c r="V196" s="510" t="s">
        <v>973</v>
      </c>
      <c r="W196" s="501">
        <v>400</v>
      </c>
      <c r="X196" s="354">
        <v>768</v>
      </c>
      <c r="Y196" s="397">
        <f t="shared" si="40"/>
        <v>307200</v>
      </c>
      <c r="Z196" s="478">
        <f t="shared" si="38"/>
        <v>0.57499999999999996</v>
      </c>
      <c r="AA196" s="479">
        <f t="shared" si="32"/>
        <v>176640</v>
      </c>
      <c r="AB196" s="480"/>
      <c r="AC196" s="481">
        <f t="shared" si="41"/>
        <v>0</v>
      </c>
      <c r="AD196" s="474"/>
      <c r="AE196" s="474">
        <f t="shared" si="39"/>
        <v>14572.800000000001</v>
      </c>
      <c r="AF196" s="493">
        <f t="shared" si="42"/>
        <v>191212.79999999999</v>
      </c>
      <c r="AG196" s="474" t="s">
        <v>1071</v>
      </c>
      <c r="AH196" s="474">
        <v>100</v>
      </c>
      <c r="AI196" s="474">
        <v>0</v>
      </c>
      <c r="AJ196" s="475" t="s">
        <v>2075</v>
      </c>
      <c r="AK196" s="475" t="s">
        <v>50</v>
      </c>
      <c r="AL196" s="483">
        <v>92058</v>
      </c>
      <c r="AM196" s="474" t="s">
        <v>52</v>
      </c>
      <c r="AN196" s="384"/>
      <c r="AO196" s="474" t="s">
        <v>1076</v>
      </c>
      <c r="AP196" s="474"/>
      <c r="AQ196" s="482" t="s">
        <v>37</v>
      </c>
      <c r="AR196" s="474" t="s">
        <v>1216</v>
      </c>
      <c r="AS196" s="473"/>
      <c r="AT196" s="346"/>
      <c r="AU196" s="478">
        <f t="shared" si="37"/>
        <v>0.53</v>
      </c>
    </row>
    <row r="197" spans="1:47" s="471" customFormat="1">
      <c r="A197" s="495"/>
      <c r="B197" s="407">
        <v>44635</v>
      </c>
      <c r="C197" s="495"/>
      <c r="D197" s="512" t="s">
        <v>86</v>
      </c>
      <c r="E197" s="352"/>
      <c r="F197" s="501"/>
      <c r="G197" s="371">
        <v>2022</v>
      </c>
      <c r="H197" s="371" t="s">
        <v>4093</v>
      </c>
      <c r="I197" s="501" t="s">
        <v>1676</v>
      </c>
      <c r="J197" s="502"/>
      <c r="K197" s="501">
        <v>101787</v>
      </c>
      <c r="L197" s="501" t="s">
        <v>2293</v>
      </c>
      <c r="M197" s="502">
        <v>44627</v>
      </c>
      <c r="N197" s="502">
        <v>44835</v>
      </c>
      <c r="O197" s="502"/>
      <c r="P197" s="353"/>
      <c r="Q197" s="502"/>
      <c r="R197" s="502"/>
      <c r="S197" s="501" t="s">
        <v>1688</v>
      </c>
      <c r="T197" s="501">
        <v>60</v>
      </c>
      <c r="U197" s="501" t="s">
        <v>1109</v>
      </c>
      <c r="V197" s="510" t="s">
        <v>973</v>
      </c>
      <c r="W197" s="501">
        <v>400</v>
      </c>
      <c r="X197" s="354">
        <v>768</v>
      </c>
      <c r="Y197" s="397">
        <f t="shared" si="40"/>
        <v>307200</v>
      </c>
      <c r="Z197" s="478">
        <f t="shared" si="38"/>
        <v>0.57499999999999996</v>
      </c>
      <c r="AA197" s="479">
        <f t="shared" si="32"/>
        <v>176640</v>
      </c>
      <c r="AB197" s="480"/>
      <c r="AC197" s="481">
        <f t="shared" si="41"/>
        <v>0</v>
      </c>
      <c r="AD197" s="474"/>
      <c r="AE197" s="474">
        <f t="shared" si="39"/>
        <v>14572.800000000001</v>
      </c>
      <c r="AF197" s="493">
        <f t="shared" si="42"/>
        <v>191212.79999999999</v>
      </c>
      <c r="AG197" s="474" t="s">
        <v>1071</v>
      </c>
      <c r="AH197" s="474">
        <v>100</v>
      </c>
      <c r="AI197" s="474">
        <v>0</v>
      </c>
      <c r="AJ197" s="475" t="s">
        <v>2075</v>
      </c>
      <c r="AK197" s="475" t="s">
        <v>50</v>
      </c>
      <c r="AL197" s="483">
        <v>92058</v>
      </c>
      <c r="AM197" s="474" t="s">
        <v>52</v>
      </c>
      <c r="AN197" s="384"/>
      <c r="AO197" s="474" t="s">
        <v>1076</v>
      </c>
      <c r="AP197" s="474"/>
      <c r="AQ197" s="482" t="s">
        <v>37</v>
      </c>
      <c r="AR197" s="474" t="s">
        <v>1216</v>
      </c>
      <c r="AS197" s="473"/>
      <c r="AT197" s="346"/>
      <c r="AU197" s="478">
        <f t="shared" si="37"/>
        <v>0.53</v>
      </c>
    </row>
    <row r="198" spans="1:47" s="471" customFormat="1">
      <c r="A198" s="495"/>
      <c r="B198" s="407">
        <v>44635</v>
      </c>
      <c r="C198" s="495"/>
      <c r="D198" s="512" t="s">
        <v>86</v>
      </c>
      <c r="E198" s="352"/>
      <c r="F198" s="501"/>
      <c r="G198" s="371">
        <v>2022</v>
      </c>
      <c r="H198" s="371" t="s">
        <v>4093</v>
      </c>
      <c r="I198" s="501" t="s">
        <v>1676</v>
      </c>
      <c r="J198" s="502"/>
      <c r="K198" s="501">
        <v>101786</v>
      </c>
      <c r="L198" s="501" t="s">
        <v>2293</v>
      </c>
      <c r="M198" s="502">
        <v>44627</v>
      </c>
      <c r="N198" s="502">
        <v>44805</v>
      </c>
      <c r="O198" s="502"/>
      <c r="P198" s="353"/>
      <c r="Q198" s="502"/>
      <c r="R198" s="502"/>
      <c r="S198" s="501" t="s">
        <v>1688</v>
      </c>
      <c r="T198" s="501">
        <v>60</v>
      </c>
      <c r="U198" s="501" t="s">
        <v>1109</v>
      </c>
      <c r="V198" s="510" t="s">
        <v>973</v>
      </c>
      <c r="W198" s="501">
        <v>400</v>
      </c>
      <c r="X198" s="354">
        <v>768</v>
      </c>
      <c r="Y198" s="397">
        <f t="shared" si="40"/>
        <v>307200</v>
      </c>
      <c r="Z198" s="478">
        <f t="shared" si="38"/>
        <v>0.57499999999999996</v>
      </c>
      <c r="AA198" s="479">
        <f t="shared" si="32"/>
        <v>176640</v>
      </c>
      <c r="AB198" s="480"/>
      <c r="AC198" s="481">
        <f t="shared" si="41"/>
        <v>0</v>
      </c>
      <c r="AD198" s="474"/>
      <c r="AE198" s="474">
        <f t="shared" si="39"/>
        <v>14572.800000000001</v>
      </c>
      <c r="AF198" s="493">
        <f t="shared" si="42"/>
        <v>191212.79999999999</v>
      </c>
      <c r="AG198" s="474" t="s">
        <v>1071</v>
      </c>
      <c r="AH198" s="474">
        <v>100</v>
      </c>
      <c r="AI198" s="474">
        <v>0</v>
      </c>
      <c r="AJ198" s="475" t="s">
        <v>2075</v>
      </c>
      <c r="AK198" s="475" t="s">
        <v>50</v>
      </c>
      <c r="AL198" s="483">
        <v>92058</v>
      </c>
      <c r="AM198" s="474" t="s">
        <v>52</v>
      </c>
      <c r="AN198" s="384"/>
      <c r="AO198" s="474" t="s">
        <v>1076</v>
      </c>
      <c r="AP198" s="474"/>
      <c r="AQ198" s="482" t="s">
        <v>37</v>
      </c>
      <c r="AR198" s="474" t="s">
        <v>1216</v>
      </c>
      <c r="AS198" s="473"/>
      <c r="AT198" s="346"/>
      <c r="AU198" s="478">
        <f t="shared" si="37"/>
        <v>0.53</v>
      </c>
    </row>
    <row r="199" spans="1:47" s="471" customFormat="1">
      <c r="A199" s="495"/>
      <c r="B199" s="407">
        <v>44635</v>
      </c>
      <c r="C199" s="495"/>
      <c r="D199" s="512" t="s">
        <v>86</v>
      </c>
      <c r="E199" s="352"/>
      <c r="F199" s="501"/>
      <c r="G199" s="371">
        <v>2022</v>
      </c>
      <c r="H199" s="371" t="s">
        <v>4093</v>
      </c>
      <c r="I199" s="501" t="s">
        <v>1676</v>
      </c>
      <c r="J199" s="502"/>
      <c r="K199" s="501">
        <v>101785</v>
      </c>
      <c r="L199" s="501" t="s">
        <v>2293</v>
      </c>
      <c r="M199" s="502">
        <v>44627</v>
      </c>
      <c r="N199" s="502">
        <v>44805</v>
      </c>
      <c r="O199" s="502"/>
      <c r="P199" s="353"/>
      <c r="Q199" s="502"/>
      <c r="R199" s="502"/>
      <c r="S199" s="501" t="s">
        <v>1688</v>
      </c>
      <c r="T199" s="501">
        <v>60</v>
      </c>
      <c r="U199" s="501" t="s">
        <v>1109</v>
      </c>
      <c r="V199" s="510" t="s">
        <v>973</v>
      </c>
      <c r="W199" s="501">
        <v>400</v>
      </c>
      <c r="X199" s="354">
        <v>768</v>
      </c>
      <c r="Y199" s="397">
        <f t="shared" si="40"/>
        <v>307200</v>
      </c>
      <c r="Z199" s="478">
        <f t="shared" si="38"/>
        <v>0.57499999999999996</v>
      </c>
      <c r="AA199" s="479">
        <f t="shared" si="32"/>
        <v>176640</v>
      </c>
      <c r="AB199" s="480"/>
      <c r="AC199" s="481">
        <f t="shared" si="41"/>
        <v>0</v>
      </c>
      <c r="AD199" s="474"/>
      <c r="AE199" s="474">
        <f t="shared" si="39"/>
        <v>14572.800000000001</v>
      </c>
      <c r="AF199" s="493">
        <f t="shared" si="42"/>
        <v>191212.79999999999</v>
      </c>
      <c r="AG199" s="474" t="s">
        <v>1071</v>
      </c>
      <c r="AH199" s="474">
        <v>100</v>
      </c>
      <c r="AI199" s="474">
        <v>0</v>
      </c>
      <c r="AJ199" s="475" t="s">
        <v>2075</v>
      </c>
      <c r="AK199" s="475" t="s">
        <v>50</v>
      </c>
      <c r="AL199" s="483">
        <v>92058</v>
      </c>
      <c r="AM199" s="474" t="s">
        <v>52</v>
      </c>
      <c r="AN199" s="384"/>
      <c r="AO199" s="474" t="s">
        <v>1076</v>
      </c>
      <c r="AP199" s="474"/>
      <c r="AQ199" s="482" t="s">
        <v>37</v>
      </c>
      <c r="AR199" s="474" t="s">
        <v>1216</v>
      </c>
      <c r="AS199" s="473"/>
      <c r="AT199" s="346"/>
      <c r="AU199" s="478">
        <f t="shared" si="37"/>
        <v>0.53</v>
      </c>
    </row>
    <row r="200" spans="1:47" s="471" customFormat="1">
      <c r="A200" s="495"/>
      <c r="B200" s="407">
        <v>44635</v>
      </c>
      <c r="C200" s="495"/>
      <c r="D200" s="512" t="s">
        <v>86</v>
      </c>
      <c r="E200" s="352"/>
      <c r="F200" s="501"/>
      <c r="G200" s="371">
        <v>2022</v>
      </c>
      <c r="H200" s="371" t="s">
        <v>4093</v>
      </c>
      <c r="I200" s="501" t="s">
        <v>1676</v>
      </c>
      <c r="J200" s="502"/>
      <c r="K200" s="501">
        <v>101784</v>
      </c>
      <c r="L200" s="501" t="s">
        <v>2293</v>
      </c>
      <c r="M200" s="502">
        <v>44627</v>
      </c>
      <c r="N200" s="502">
        <v>44805</v>
      </c>
      <c r="O200" s="502"/>
      <c r="P200" s="353"/>
      <c r="Q200" s="502"/>
      <c r="R200" s="502"/>
      <c r="S200" s="501" t="s">
        <v>1688</v>
      </c>
      <c r="T200" s="501">
        <v>60</v>
      </c>
      <c r="U200" s="501" t="s">
        <v>1109</v>
      </c>
      <c r="V200" s="510" t="s">
        <v>973</v>
      </c>
      <c r="W200" s="501">
        <v>400</v>
      </c>
      <c r="X200" s="354">
        <v>768</v>
      </c>
      <c r="Y200" s="397">
        <f t="shared" si="40"/>
        <v>307200</v>
      </c>
      <c r="Z200" s="478">
        <f t="shared" si="38"/>
        <v>0.57499999999999996</v>
      </c>
      <c r="AA200" s="479">
        <f t="shared" si="32"/>
        <v>176640</v>
      </c>
      <c r="AB200" s="480"/>
      <c r="AC200" s="481">
        <f t="shared" si="41"/>
        <v>0</v>
      </c>
      <c r="AD200" s="474"/>
      <c r="AE200" s="474">
        <f t="shared" si="39"/>
        <v>14572.800000000001</v>
      </c>
      <c r="AF200" s="493">
        <f t="shared" si="42"/>
        <v>191212.79999999999</v>
      </c>
      <c r="AG200" s="474" t="s">
        <v>1071</v>
      </c>
      <c r="AH200" s="474">
        <v>100</v>
      </c>
      <c r="AI200" s="474">
        <v>0</v>
      </c>
      <c r="AJ200" s="475" t="s">
        <v>2075</v>
      </c>
      <c r="AK200" s="475" t="s">
        <v>50</v>
      </c>
      <c r="AL200" s="483">
        <v>92058</v>
      </c>
      <c r="AM200" s="474" t="s">
        <v>52</v>
      </c>
      <c r="AN200" s="384"/>
      <c r="AO200" s="474" t="s">
        <v>1076</v>
      </c>
      <c r="AP200" s="474"/>
      <c r="AQ200" s="482" t="s">
        <v>37</v>
      </c>
      <c r="AR200" s="474" t="s">
        <v>1216</v>
      </c>
      <c r="AS200" s="473"/>
      <c r="AT200" s="346"/>
      <c r="AU200" s="478">
        <f t="shared" si="37"/>
        <v>0.53</v>
      </c>
    </row>
    <row r="201" spans="1:47" s="471" customFormat="1">
      <c r="A201" s="495"/>
      <c r="B201" s="407">
        <v>44635</v>
      </c>
      <c r="C201" s="495"/>
      <c r="D201" s="512" t="s">
        <v>86</v>
      </c>
      <c r="E201" s="352"/>
      <c r="F201" s="501"/>
      <c r="G201" s="371">
        <v>2022</v>
      </c>
      <c r="H201" s="371" t="s">
        <v>4093</v>
      </c>
      <c r="I201" s="501" t="s">
        <v>1676</v>
      </c>
      <c r="J201" s="502"/>
      <c r="K201" s="501">
        <v>101783</v>
      </c>
      <c r="L201" s="501" t="s">
        <v>2293</v>
      </c>
      <c r="M201" s="502">
        <v>44627</v>
      </c>
      <c r="N201" s="502">
        <v>44774</v>
      </c>
      <c r="O201" s="502"/>
      <c r="P201" s="353"/>
      <c r="Q201" s="502"/>
      <c r="R201" s="502"/>
      <c r="S201" s="501" t="s">
        <v>1688</v>
      </c>
      <c r="T201" s="501">
        <v>60</v>
      </c>
      <c r="U201" s="501" t="s">
        <v>1109</v>
      </c>
      <c r="V201" s="510" t="s">
        <v>973</v>
      </c>
      <c r="W201" s="501">
        <v>400</v>
      </c>
      <c r="X201" s="354">
        <v>768</v>
      </c>
      <c r="Y201" s="397">
        <f t="shared" si="40"/>
        <v>307200</v>
      </c>
      <c r="Z201" s="478">
        <f t="shared" si="38"/>
        <v>0.57499999999999996</v>
      </c>
      <c r="AA201" s="479">
        <f t="shared" si="32"/>
        <v>176640</v>
      </c>
      <c r="AB201" s="480"/>
      <c r="AC201" s="481">
        <f t="shared" si="41"/>
        <v>0</v>
      </c>
      <c r="AD201" s="474"/>
      <c r="AE201" s="474">
        <f t="shared" si="39"/>
        <v>14572.800000000001</v>
      </c>
      <c r="AF201" s="493">
        <f t="shared" si="42"/>
        <v>191212.79999999999</v>
      </c>
      <c r="AG201" s="474" t="s">
        <v>1071</v>
      </c>
      <c r="AH201" s="474">
        <v>100</v>
      </c>
      <c r="AI201" s="474">
        <v>0</v>
      </c>
      <c r="AJ201" s="475" t="s">
        <v>2075</v>
      </c>
      <c r="AK201" s="475" t="s">
        <v>50</v>
      </c>
      <c r="AL201" s="483">
        <v>92058</v>
      </c>
      <c r="AM201" s="474" t="s">
        <v>52</v>
      </c>
      <c r="AN201" s="384"/>
      <c r="AO201" s="474" t="s">
        <v>1076</v>
      </c>
      <c r="AP201" s="474"/>
      <c r="AQ201" s="482" t="s">
        <v>37</v>
      </c>
      <c r="AR201" s="474" t="s">
        <v>1216</v>
      </c>
      <c r="AS201" s="473"/>
      <c r="AT201" s="346"/>
      <c r="AU201" s="478">
        <f t="shared" si="37"/>
        <v>0.53</v>
      </c>
    </row>
    <row r="202" spans="1:47" s="471" customFormat="1">
      <c r="A202" s="495"/>
      <c r="B202" s="407">
        <v>44635</v>
      </c>
      <c r="C202" s="495"/>
      <c r="D202" s="512" t="s">
        <v>86</v>
      </c>
      <c r="E202" s="352"/>
      <c r="F202" s="501"/>
      <c r="G202" s="371">
        <v>2022</v>
      </c>
      <c r="H202" s="371" t="s">
        <v>4093</v>
      </c>
      <c r="I202" s="501" t="s">
        <v>1676</v>
      </c>
      <c r="J202" s="502"/>
      <c r="K202" s="501">
        <v>101782</v>
      </c>
      <c r="L202" s="501" t="s">
        <v>2293</v>
      </c>
      <c r="M202" s="502">
        <v>44627</v>
      </c>
      <c r="N202" s="502">
        <v>44743</v>
      </c>
      <c r="O202" s="502"/>
      <c r="P202" s="353"/>
      <c r="Q202" s="502"/>
      <c r="R202" s="502"/>
      <c r="S202" s="501" t="s">
        <v>1688</v>
      </c>
      <c r="T202" s="501">
        <v>60</v>
      </c>
      <c r="U202" s="501" t="s">
        <v>1109</v>
      </c>
      <c r="V202" s="510" t="s">
        <v>973</v>
      </c>
      <c r="W202" s="501">
        <v>400</v>
      </c>
      <c r="X202" s="354">
        <v>768</v>
      </c>
      <c r="Y202" s="397">
        <f t="shared" si="40"/>
        <v>307200</v>
      </c>
      <c r="Z202" s="478">
        <f t="shared" si="38"/>
        <v>0.57499999999999996</v>
      </c>
      <c r="AA202" s="479">
        <f t="shared" si="32"/>
        <v>176640</v>
      </c>
      <c r="AB202" s="480"/>
      <c r="AC202" s="481">
        <f t="shared" si="41"/>
        <v>0</v>
      </c>
      <c r="AD202" s="474"/>
      <c r="AE202" s="474">
        <f t="shared" si="39"/>
        <v>14572.800000000001</v>
      </c>
      <c r="AF202" s="493">
        <f t="shared" si="42"/>
        <v>191212.79999999999</v>
      </c>
      <c r="AG202" s="474" t="s">
        <v>1071</v>
      </c>
      <c r="AH202" s="474">
        <v>100</v>
      </c>
      <c r="AI202" s="474">
        <v>0</v>
      </c>
      <c r="AJ202" s="475" t="s">
        <v>2075</v>
      </c>
      <c r="AK202" s="475" t="s">
        <v>50</v>
      </c>
      <c r="AL202" s="483">
        <v>92058</v>
      </c>
      <c r="AM202" s="474" t="s">
        <v>52</v>
      </c>
      <c r="AN202" s="384"/>
      <c r="AO202" s="474" t="s">
        <v>1076</v>
      </c>
      <c r="AP202" s="474"/>
      <c r="AQ202" s="482" t="s">
        <v>37</v>
      </c>
      <c r="AR202" s="474" t="s">
        <v>1216</v>
      </c>
      <c r="AS202" s="473"/>
      <c r="AT202" s="346"/>
      <c r="AU202" s="478">
        <f t="shared" si="37"/>
        <v>0.53</v>
      </c>
    </row>
    <row r="203" spans="1:47" s="471" customFormat="1">
      <c r="A203" s="495"/>
      <c r="B203" s="407">
        <v>44635</v>
      </c>
      <c r="C203" s="495"/>
      <c r="D203" s="512" t="s">
        <v>86</v>
      </c>
      <c r="E203" s="352"/>
      <c r="F203" s="501"/>
      <c r="G203" s="371">
        <v>2022</v>
      </c>
      <c r="H203" s="371" t="s">
        <v>4093</v>
      </c>
      <c r="I203" s="501" t="s">
        <v>1676</v>
      </c>
      <c r="J203" s="502"/>
      <c r="K203" s="501">
        <v>101781</v>
      </c>
      <c r="L203" s="501" t="s">
        <v>2293</v>
      </c>
      <c r="M203" s="502">
        <v>44627</v>
      </c>
      <c r="N203" s="502">
        <v>44743</v>
      </c>
      <c r="O203" s="502"/>
      <c r="P203" s="353"/>
      <c r="Q203" s="502"/>
      <c r="R203" s="502"/>
      <c r="S203" s="501" t="s">
        <v>1688</v>
      </c>
      <c r="T203" s="501">
        <v>60</v>
      </c>
      <c r="U203" s="501" t="s">
        <v>1109</v>
      </c>
      <c r="V203" s="510" t="s">
        <v>973</v>
      </c>
      <c r="W203" s="501">
        <v>400</v>
      </c>
      <c r="X203" s="354">
        <v>768</v>
      </c>
      <c r="Y203" s="397">
        <f t="shared" si="40"/>
        <v>307200</v>
      </c>
      <c r="Z203" s="478">
        <f t="shared" si="38"/>
        <v>0.57499999999999996</v>
      </c>
      <c r="AA203" s="479">
        <f t="shared" ref="AA203:AA266" si="43">Z203*Y203</f>
        <v>176640</v>
      </c>
      <c r="AB203" s="480"/>
      <c r="AC203" s="481">
        <f t="shared" si="41"/>
        <v>0</v>
      </c>
      <c r="AD203" s="474"/>
      <c r="AE203" s="474">
        <f t="shared" si="39"/>
        <v>14572.800000000001</v>
      </c>
      <c r="AF203" s="493">
        <f t="shared" si="42"/>
        <v>191212.79999999999</v>
      </c>
      <c r="AG203" s="474" t="s">
        <v>1071</v>
      </c>
      <c r="AH203" s="474">
        <v>100</v>
      </c>
      <c r="AI203" s="474">
        <v>0</v>
      </c>
      <c r="AJ203" s="475" t="s">
        <v>2075</v>
      </c>
      <c r="AK203" s="475" t="s">
        <v>50</v>
      </c>
      <c r="AL203" s="483">
        <v>92058</v>
      </c>
      <c r="AM203" s="474" t="s">
        <v>52</v>
      </c>
      <c r="AN203" s="384"/>
      <c r="AO203" s="474" t="s">
        <v>1076</v>
      </c>
      <c r="AP203" s="474"/>
      <c r="AQ203" s="482" t="s">
        <v>37</v>
      </c>
      <c r="AR203" s="474" t="s">
        <v>1216</v>
      </c>
      <c r="AS203" s="473"/>
      <c r="AT203" s="346"/>
      <c r="AU203" s="478">
        <f t="shared" si="37"/>
        <v>0.53</v>
      </c>
    </row>
    <row r="204" spans="1:47" s="471" customFormat="1">
      <c r="A204" s="495"/>
      <c r="B204" s="407"/>
      <c r="C204" s="495"/>
      <c r="D204" s="512" t="s">
        <v>86</v>
      </c>
      <c r="E204" s="352"/>
      <c r="F204" s="501"/>
      <c r="G204" s="371">
        <v>2022</v>
      </c>
      <c r="H204" s="371" t="s">
        <v>4093</v>
      </c>
      <c r="I204" s="501" t="s">
        <v>1676</v>
      </c>
      <c r="J204" s="502"/>
      <c r="K204" s="501">
        <v>101851</v>
      </c>
      <c r="L204" s="501" t="s">
        <v>2293</v>
      </c>
      <c r="M204" s="502">
        <v>44652</v>
      </c>
      <c r="N204" s="502">
        <v>44652</v>
      </c>
      <c r="O204" s="502"/>
      <c r="P204" s="353"/>
      <c r="Q204" s="502"/>
      <c r="R204" s="502"/>
      <c r="S204" s="501" t="s">
        <v>1688</v>
      </c>
      <c r="T204" s="501">
        <v>60</v>
      </c>
      <c r="U204" s="501" t="s">
        <v>1109</v>
      </c>
      <c r="V204" s="510" t="s">
        <v>973</v>
      </c>
      <c r="W204" s="501">
        <v>400</v>
      </c>
      <c r="X204" s="354">
        <v>768</v>
      </c>
      <c r="Y204" s="397">
        <f t="shared" si="40"/>
        <v>307200</v>
      </c>
      <c r="Z204" s="478">
        <f t="shared" si="38"/>
        <v>0.57499999999999996</v>
      </c>
      <c r="AA204" s="479">
        <f t="shared" si="43"/>
        <v>176640</v>
      </c>
      <c r="AB204" s="480"/>
      <c r="AC204" s="481">
        <f t="shared" si="41"/>
        <v>0</v>
      </c>
      <c r="AD204" s="474"/>
      <c r="AE204" s="474">
        <f t="shared" si="39"/>
        <v>14572.800000000001</v>
      </c>
      <c r="AF204" s="493">
        <f t="shared" si="42"/>
        <v>191212.79999999999</v>
      </c>
      <c r="AG204" s="474" t="s">
        <v>1071</v>
      </c>
      <c r="AH204" s="474">
        <v>100</v>
      </c>
      <c r="AI204" s="474">
        <v>0</v>
      </c>
      <c r="AJ204" s="475" t="s">
        <v>2075</v>
      </c>
      <c r="AK204" s="475" t="s">
        <v>50</v>
      </c>
      <c r="AL204" s="483">
        <v>92058</v>
      </c>
      <c r="AM204" s="474" t="s">
        <v>52</v>
      </c>
      <c r="AN204" s="384"/>
      <c r="AO204" s="474" t="s">
        <v>1076</v>
      </c>
      <c r="AP204" s="474"/>
      <c r="AQ204" s="482" t="s">
        <v>37</v>
      </c>
      <c r="AR204" s="474" t="s">
        <v>1216</v>
      </c>
      <c r="AS204" s="473"/>
      <c r="AT204" s="346"/>
      <c r="AU204" s="478">
        <f t="shared" si="37"/>
        <v>0.53</v>
      </c>
    </row>
    <row r="205" spans="1:47" s="471" customFormat="1">
      <c r="A205" s="495"/>
      <c r="B205" s="407"/>
      <c r="C205" s="495"/>
      <c r="D205" s="512" t="s">
        <v>86</v>
      </c>
      <c r="E205" s="352"/>
      <c r="F205" s="501"/>
      <c r="G205" s="371">
        <v>2022</v>
      </c>
      <c r="H205" s="371" t="s">
        <v>4093</v>
      </c>
      <c r="I205" s="501" t="s">
        <v>1676</v>
      </c>
      <c r="J205" s="502"/>
      <c r="K205" s="501">
        <v>101852</v>
      </c>
      <c r="L205" s="501" t="s">
        <v>2293</v>
      </c>
      <c r="M205" s="502">
        <v>44652</v>
      </c>
      <c r="N205" s="502">
        <v>44682</v>
      </c>
      <c r="O205" s="502"/>
      <c r="P205" s="353"/>
      <c r="Q205" s="502"/>
      <c r="R205" s="502"/>
      <c r="S205" s="501" t="s">
        <v>1688</v>
      </c>
      <c r="T205" s="501">
        <v>60</v>
      </c>
      <c r="U205" s="501" t="s">
        <v>1109</v>
      </c>
      <c r="V205" s="510" t="s">
        <v>973</v>
      </c>
      <c r="W205" s="501">
        <v>400</v>
      </c>
      <c r="X205" s="354">
        <v>768</v>
      </c>
      <c r="Y205" s="397">
        <f t="shared" si="40"/>
        <v>307200</v>
      </c>
      <c r="Z205" s="478">
        <f t="shared" si="38"/>
        <v>0.57499999999999996</v>
      </c>
      <c r="AA205" s="479">
        <f t="shared" si="43"/>
        <v>176640</v>
      </c>
      <c r="AB205" s="480"/>
      <c r="AC205" s="481">
        <f t="shared" si="41"/>
        <v>0</v>
      </c>
      <c r="AD205" s="474"/>
      <c r="AE205" s="474">
        <f t="shared" si="39"/>
        <v>14572.800000000001</v>
      </c>
      <c r="AF205" s="493">
        <f t="shared" si="42"/>
        <v>191212.79999999999</v>
      </c>
      <c r="AG205" s="474" t="s">
        <v>1071</v>
      </c>
      <c r="AH205" s="474">
        <v>100</v>
      </c>
      <c r="AI205" s="474">
        <v>0</v>
      </c>
      <c r="AJ205" s="475" t="s">
        <v>2075</v>
      </c>
      <c r="AK205" s="475" t="s">
        <v>50</v>
      </c>
      <c r="AL205" s="483">
        <v>92058</v>
      </c>
      <c r="AM205" s="474" t="s">
        <v>52</v>
      </c>
      <c r="AN205" s="384"/>
      <c r="AO205" s="474" t="s">
        <v>1076</v>
      </c>
      <c r="AP205" s="474"/>
      <c r="AQ205" s="482" t="s">
        <v>37</v>
      </c>
      <c r="AR205" s="474" t="s">
        <v>1216</v>
      </c>
      <c r="AS205" s="473"/>
      <c r="AT205" s="346"/>
      <c r="AU205" s="478">
        <f t="shared" si="37"/>
        <v>0.53</v>
      </c>
    </row>
    <row r="206" spans="1:47" s="471" customFormat="1">
      <c r="A206" s="495"/>
      <c r="B206" s="407">
        <v>44642</v>
      </c>
      <c r="C206" s="495"/>
      <c r="D206" s="512" t="s">
        <v>86</v>
      </c>
      <c r="E206" s="352"/>
      <c r="F206" s="501"/>
      <c r="G206" s="371">
        <v>2022</v>
      </c>
      <c r="H206" s="371" t="s">
        <v>4093</v>
      </c>
      <c r="I206" s="501" t="s">
        <v>1676</v>
      </c>
      <c r="J206" s="502"/>
      <c r="K206" s="501" t="s">
        <v>4234</v>
      </c>
      <c r="L206" s="501" t="s">
        <v>4191</v>
      </c>
      <c r="M206" s="502">
        <v>44640</v>
      </c>
      <c r="N206" s="502">
        <v>44774</v>
      </c>
      <c r="O206" s="502"/>
      <c r="P206" s="353"/>
      <c r="Q206" s="502"/>
      <c r="R206" s="502"/>
      <c r="S206" s="501" t="s">
        <v>1704</v>
      </c>
      <c r="T206" s="501">
        <v>60</v>
      </c>
      <c r="U206" s="501" t="s">
        <v>1109</v>
      </c>
      <c r="V206" s="510" t="s">
        <v>973</v>
      </c>
      <c r="W206" s="501">
        <v>400</v>
      </c>
      <c r="X206" s="354">
        <v>768</v>
      </c>
      <c r="Y206" s="397">
        <f t="shared" si="40"/>
        <v>307200</v>
      </c>
      <c r="Z206" s="478">
        <f>220/400</f>
        <v>0.55000000000000004</v>
      </c>
      <c r="AA206" s="479">
        <f t="shared" si="43"/>
        <v>168960</v>
      </c>
      <c r="AB206" s="480"/>
      <c r="AC206" s="481">
        <f t="shared" si="41"/>
        <v>0</v>
      </c>
      <c r="AD206" s="474"/>
      <c r="AE206" s="474"/>
      <c r="AF206" s="493">
        <f t="shared" si="42"/>
        <v>168960</v>
      </c>
      <c r="AG206" s="474" t="s">
        <v>1071</v>
      </c>
      <c r="AH206" s="474"/>
      <c r="AI206" s="474">
        <v>60</v>
      </c>
      <c r="AJ206" s="475" t="s">
        <v>4192</v>
      </c>
      <c r="AK206" s="475" t="s">
        <v>1706</v>
      </c>
      <c r="AL206" s="483">
        <v>99217</v>
      </c>
      <c r="AM206" s="474" t="s">
        <v>52</v>
      </c>
      <c r="AN206" s="384"/>
      <c r="AO206" s="474" t="s">
        <v>1076</v>
      </c>
      <c r="AP206" s="474"/>
      <c r="AQ206" s="482" t="s">
        <v>37</v>
      </c>
      <c r="AR206" s="474" t="s">
        <v>1216</v>
      </c>
      <c r="AS206" s="473"/>
      <c r="AT206" s="346"/>
      <c r="AU206" s="478">
        <f t="shared" si="37"/>
        <v>0.53</v>
      </c>
    </row>
    <row r="207" spans="1:47" s="471" customFormat="1">
      <c r="A207" s="495"/>
      <c r="B207" s="407">
        <v>44642</v>
      </c>
      <c r="C207" s="495"/>
      <c r="D207" s="512" t="s">
        <v>86</v>
      </c>
      <c r="E207" s="352"/>
      <c r="F207" s="501"/>
      <c r="G207" s="371">
        <v>2022</v>
      </c>
      <c r="H207" s="371" t="s">
        <v>4093</v>
      </c>
      <c r="I207" s="501" t="s">
        <v>1676</v>
      </c>
      <c r="J207" s="502"/>
      <c r="K207" s="501" t="s">
        <v>4235</v>
      </c>
      <c r="L207" s="501" t="s">
        <v>4191</v>
      </c>
      <c r="M207" s="502">
        <v>44640</v>
      </c>
      <c r="N207" s="502">
        <v>44819</v>
      </c>
      <c r="O207" s="502"/>
      <c r="P207" s="353"/>
      <c r="Q207" s="502"/>
      <c r="R207" s="502"/>
      <c r="S207" s="501" t="s">
        <v>1704</v>
      </c>
      <c r="T207" s="501">
        <v>60</v>
      </c>
      <c r="U207" s="501" t="s">
        <v>1109</v>
      </c>
      <c r="V207" s="510" t="s">
        <v>973</v>
      </c>
      <c r="W207" s="501">
        <v>400</v>
      </c>
      <c r="X207" s="354">
        <v>768</v>
      </c>
      <c r="Y207" s="397">
        <f t="shared" si="40"/>
        <v>307200</v>
      </c>
      <c r="Z207" s="478">
        <f>220/400</f>
        <v>0.55000000000000004</v>
      </c>
      <c r="AA207" s="479">
        <f t="shared" si="43"/>
        <v>168960</v>
      </c>
      <c r="AB207" s="480"/>
      <c r="AC207" s="481">
        <f t="shared" si="41"/>
        <v>0</v>
      </c>
      <c r="AD207" s="474"/>
      <c r="AE207" s="474"/>
      <c r="AF207" s="493">
        <f t="shared" si="42"/>
        <v>168960</v>
      </c>
      <c r="AG207" s="474" t="s">
        <v>1071</v>
      </c>
      <c r="AH207" s="474"/>
      <c r="AI207" s="474">
        <v>60</v>
      </c>
      <c r="AJ207" s="475" t="s">
        <v>4192</v>
      </c>
      <c r="AK207" s="475" t="s">
        <v>1706</v>
      </c>
      <c r="AL207" s="483">
        <v>99217</v>
      </c>
      <c r="AM207" s="474" t="s">
        <v>52</v>
      </c>
      <c r="AN207" s="384"/>
      <c r="AO207" s="474" t="s">
        <v>1076</v>
      </c>
      <c r="AP207" s="474"/>
      <c r="AQ207" s="482" t="s">
        <v>37</v>
      </c>
      <c r="AR207" s="474" t="s">
        <v>1216</v>
      </c>
      <c r="AS207" s="473"/>
      <c r="AT207" s="346"/>
      <c r="AU207" s="478">
        <f t="shared" si="37"/>
        <v>0.53</v>
      </c>
    </row>
    <row r="208" spans="1:47" s="471" customFormat="1">
      <c r="A208" s="495"/>
      <c r="B208" s="407">
        <v>44642</v>
      </c>
      <c r="C208" s="495"/>
      <c r="D208" s="512" t="s">
        <v>86</v>
      </c>
      <c r="E208" s="352"/>
      <c r="F208" s="501"/>
      <c r="G208" s="371">
        <v>2022</v>
      </c>
      <c r="H208" s="371" t="s">
        <v>4093</v>
      </c>
      <c r="I208" s="501" t="s">
        <v>1676</v>
      </c>
      <c r="J208" s="502"/>
      <c r="K208" s="501" t="s">
        <v>4236</v>
      </c>
      <c r="L208" s="501" t="s">
        <v>4191</v>
      </c>
      <c r="M208" s="502">
        <v>44640</v>
      </c>
      <c r="N208" s="502">
        <v>44866</v>
      </c>
      <c r="O208" s="502"/>
      <c r="P208" s="353"/>
      <c r="Q208" s="502"/>
      <c r="R208" s="502"/>
      <c r="S208" s="501" t="s">
        <v>1704</v>
      </c>
      <c r="T208" s="501">
        <v>60</v>
      </c>
      <c r="U208" s="501" t="s">
        <v>1109</v>
      </c>
      <c r="V208" s="510" t="s">
        <v>973</v>
      </c>
      <c r="W208" s="501">
        <v>400</v>
      </c>
      <c r="X208" s="354">
        <v>768</v>
      </c>
      <c r="Y208" s="397">
        <f t="shared" si="40"/>
        <v>307200</v>
      </c>
      <c r="Z208" s="478">
        <f>220/400</f>
        <v>0.55000000000000004</v>
      </c>
      <c r="AA208" s="479">
        <f t="shared" si="43"/>
        <v>168960</v>
      </c>
      <c r="AB208" s="480"/>
      <c r="AC208" s="481">
        <f t="shared" si="41"/>
        <v>0</v>
      </c>
      <c r="AD208" s="474"/>
      <c r="AE208" s="474"/>
      <c r="AF208" s="493">
        <f t="shared" si="42"/>
        <v>168960</v>
      </c>
      <c r="AG208" s="474" t="s">
        <v>1071</v>
      </c>
      <c r="AH208" s="474"/>
      <c r="AI208" s="474">
        <v>60</v>
      </c>
      <c r="AJ208" s="475" t="s">
        <v>4192</v>
      </c>
      <c r="AK208" s="475" t="s">
        <v>1706</v>
      </c>
      <c r="AL208" s="483">
        <v>99217</v>
      </c>
      <c r="AM208" s="474" t="s">
        <v>52</v>
      </c>
      <c r="AN208" s="384"/>
      <c r="AO208" s="474" t="s">
        <v>1076</v>
      </c>
      <c r="AP208" s="474"/>
      <c r="AQ208" s="482" t="s">
        <v>37</v>
      </c>
      <c r="AR208" s="474" t="s">
        <v>1216</v>
      </c>
      <c r="AS208" s="473"/>
      <c r="AT208" s="346"/>
      <c r="AU208" s="478">
        <f t="shared" si="37"/>
        <v>0.53</v>
      </c>
    </row>
    <row r="209" spans="1:47" s="471" customFormat="1">
      <c r="A209" s="495"/>
      <c r="B209" s="407">
        <v>44642</v>
      </c>
      <c r="C209" s="495"/>
      <c r="D209" s="512" t="s">
        <v>86</v>
      </c>
      <c r="E209" s="352"/>
      <c r="F209" s="501"/>
      <c r="G209" s="371">
        <v>2022</v>
      </c>
      <c r="H209" s="371" t="s">
        <v>4093</v>
      </c>
      <c r="I209" s="501" t="s">
        <v>1676</v>
      </c>
      <c r="J209" s="502"/>
      <c r="K209" s="501" t="s">
        <v>4237</v>
      </c>
      <c r="L209" s="501" t="s">
        <v>2079</v>
      </c>
      <c r="M209" s="502">
        <v>44630</v>
      </c>
      <c r="N209" s="502">
        <v>44743</v>
      </c>
      <c r="O209" s="502"/>
      <c r="P209" s="353"/>
      <c r="Q209" s="502"/>
      <c r="R209" s="502"/>
      <c r="S209" s="501" t="s">
        <v>88</v>
      </c>
      <c r="T209" s="501">
        <v>60</v>
      </c>
      <c r="U209" s="501" t="s">
        <v>1109</v>
      </c>
      <c r="V209" s="510" t="s">
        <v>973</v>
      </c>
      <c r="W209" s="501">
        <v>400</v>
      </c>
      <c r="X209" s="354">
        <v>6144</v>
      </c>
      <c r="Y209" s="397">
        <f t="shared" si="40"/>
        <v>2457600</v>
      </c>
      <c r="Z209" s="478">
        <f>222/400</f>
        <v>0.55500000000000005</v>
      </c>
      <c r="AA209" s="479">
        <f t="shared" si="43"/>
        <v>1363968.0000000002</v>
      </c>
      <c r="AB209" s="480"/>
      <c r="AC209" s="481">
        <f t="shared" si="41"/>
        <v>0</v>
      </c>
      <c r="AD209" s="474"/>
      <c r="AE209" s="474"/>
      <c r="AF209" s="493">
        <f t="shared" si="42"/>
        <v>1363968.0000000002</v>
      </c>
      <c r="AG209" s="474" t="s">
        <v>1071</v>
      </c>
      <c r="AH209" s="474"/>
      <c r="AI209" s="474">
        <v>60</v>
      </c>
      <c r="AJ209" s="475" t="s">
        <v>2075</v>
      </c>
      <c r="AK209" s="475" t="s">
        <v>50</v>
      </c>
      <c r="AL209" s="483">
        <v>92056</v>
      </c>
      <c r="AM209" s="474" t="s">
        <v>52</v>
      </c>
      <c r="AN209" s="384"/>
      <c r="AO209" s="474" t="s">
        <v>1076</v>
      </c>
      <c r="AP209" s="474"/>
      <c r="AQ209" s="482" t="s">
        <v>37</v>
      </c>
      <c r="AR209" s="474" t="s">
        <v>1216</v>
      </c>
      <c r="AS209" s="473"/>
      <c r="AT209" s="346"/>
      <c r="AU209" s="478">
        <f t="shared" si="37"/>
        <v>0.53</v>
      </c>
    </row>
    <row r="210" spans="1:47" s="471" customFormat="1">
      <c r="A210" s="495"/>
      <c r="B210" s="407">
        <v>44642</v>
      </c>
      <c r="C210" s="495"/>
      <c r="D210" s="512" t="s">
        <v>86</v>
      </c>
      <c r="E210" s="352"/>
      <c r="F210" s="501"/>
      <c r="G210" s="371">
        <v>2022</v>
      </c>
      <c r="H210" s="371" t="s">
        <v>4093</v>
      </c>
      <c r="I210" s="501" t="s">
        <v>1676</v>
      </c>
      <c r="J210" s="502"/>
      <c r="K210" s="501" t="s">
        <v>4238</v>
      </c>
      <c r="L210" s="501" t="s">
        <v>2079</v>
      </c>
      <c r="M210" s="502">
        <v>44630</v>
      </c>
      <c r="N210" s="502">
        <v>44743</v>
      </c>
      <c r="O210" s="502"/>
      <c r="P210" s="353"/>
      <c r="Q210" s="502"/>
      <c r="R210" s="502"/>
      <c r="S210" s="501" t="s">
        <v>88</v>
      </c>
      <c r="T210" s="501">
        <v>60</v>
      </c>
      <c r="U210" s="501" t="s">
        <v>1109</v>
      </c>
      <c r="V210" s="510" t="s">
        <v>986</v>
      </c>
      <c r="W210" s="501">
        <v>360</v>
      </c>
      <c r="X210" s="354">
        <v>2304</v>
      </c>
      <c r="Y210" s="397">
        <f t="shared" si="40"/>
        <v>829440</v>
      </c>
      <c r="Z210" s="478">
        <f>192.6/360</f>
        <v>0.53500000000000003</v>
      </c>
      <c r="AA210" s="479">
        <f t="shared" si="43"/>
        <v>443750.40000000002</v>
      </c>
      <c r="AB210" s="480"/>
      <c r="AC210" s="481">
        <f t="shared" si="41"/>
        <v>0</v>
      </c>
      <c r="AD210" s="474"/>
      <c r="AE210" s="474"/>
      <c r="AF210" s="493">
        <f t="shared" si="42"/>
        <v>443750.40000000002</v>
      </c>
      <c r="AG210" s="474" t="s">
        <v>1071</v>
      </c>
      <c r="AH210" s="474"/>
      <c r="AI210" s="474">
        <v>60</v>
      </c>
      <c r="AJ210" s="475" t="s">
        <v>2075</v>
      </c>
      <c r="AK210" s="475" t="s">
        <v>50</v>
      </c>
      <c r="AL210" s="483">
        <v>92056</v>
      </c>
      <c r="AM210" s="474" t="s">
        <v>52</v>
      </c>
      <c r="AN210" s="384"/>
      <c r="AO210" s="474" t="s">
        <v>1076</v>
      </c>
      <c r="AP210" s="474"/>
      <c r="AQ210" s="482" t="s">
        <v>37</v>
      </c>
      <c r="AR210" s="474" t="s">
        <v>1216</v>
      </c>
      <c r="AS210" s="473"/>
      <c r="AT210" s="346"/>
      <c r="AU210" s="478">
        <f t="shared" si="37"/>
        <v>0.53</v>
      </c>
    </row>
    <row r="211" spans="1:47" s="471" customFormat="1">
      <c r="A211" s="495"/>
      <c r="B211" s="407">
        <v>44642</v>
      </c>
      <c r="C211" s="495"/>
      <c r="D211" s="512" t="s">
        <v>86</v>
      </c>
      <c r="E211" s="352"/>
      <c r="F211" s="501"/>
      <c r="G211" s="371">
        <v>2022</v>
      </c>
      <c r="H211" s="371" t="s">
        <v>4093</v>
      </c>
      <c r="I211" s="501" t="s">
        <v>1676</v>
      </c>
      <c r="J211" s="502"/>
      <c r="K211" s="501" t="s">
        <v>4239</v>
      </c>
      <c r="L211" s="501" t="s">
        <v>2079</v>
      </c>
      <c r="M211" s="502">
        <v>44630</v>
      </c>
      <c r="N211" s="502">
        <v>44774</v>
      </c>
      <c r="O211" s="502"/>
      <c r="P211" s="353"/>
      <c r="Q211" s="502"/>
      <c r="R211" s="502"/>
      <c r="S211" s="501" t="s">
        <v>88</v>
      </c>
      <c r="T211" s="501">
        <v>60</v>
      </c>
      <c r="U211" s="501" t="s">
        <v>1109</v>
      </c>
      <c r="V211" s="510" t="s">
        <v>973</v>
      </c>
      <c r="W211" s="501">
        <v>400</v>
      </c>
      <c r="X211" s="354">
        <v>6144</v>
      </c>
      <c r="Y211" s="397">
        <f t="shared" si="40"/>
        <v>2457600</v>
      </c>
      <c r="Z211" s="478">
        <f>222/400</f>
        <v>0.55500000000000005</v>
      </c>
      <c r="AA211" s="479">
        <f t="shared" si="43"/>
        <v>1363968.0000000002</v>
      </c>
      <c r="AB211" s="480"/>
      <c r="AC211" s="481">
        <f t="shared" si="41"/>
        <v>0</v>
      </c>
      <c r="AD211" s="474"/>
      <c r="AE211" s="474"/>
      <c r="AF211" s="493">
        <f t="shared" si="42"/>
        <v>1363968.0000000002</v>
      </c>
      <c r="AG211" s="474" t="s">
        <v>1071</v>
      </c>
      <c r="AH211" s="474"/>
      <c r="AI211" s="474">
        <v>60</v>
      </c>
      <c r="AJ211" s="475" t="s">
        <v>2075</v>
      </c>
      <c r="AK211" s="475" t="s">
        <v>50</v>
      </c>
      <c r="AL211" s="483">
        <v>92056</v>
      </c>
      <c r="AM211" s="474" t="s">
        <v>52</v>
      </c>
      <c r="AN211" s="384"/>
      <c r="AO211" s="474" t="s">
        <v>1076</v>
      </c>
      <c r="AP211" s="474"/>
      <c r="AQ211" s="482" t="s">
        <v>37</v>
      </c>
      <c r="AR211" s="474" t="s">
        <v>1216</v>
      </c>
      <c r="AS211" s="473"/>
      <c r="AT211" s="346"/>
      <c r="AU211" s="478">
        <f t="shared" si="37"/>
        <v>0.53</v>
      </c>
    </row>
    <row r="212" spans="1:47" s="471" customFormat="1">
      <c r="A212" s="495"/>
      <c r="B212" s="407">
        <v>44642</v>
      </c>
      <c r="C212" s="495"/>
      <c r="D212" s="512" t="s">
        <v>86</v>
      </c>
      <c r="E212" s="352"/>
      <c r="F212" s="501"/>
      <c r="G212" s="371">
        <v>2022</v>
      </c>
      <c r="H212" s="371" t="s">
        <v>4093</v>
      </c>
      <c r="I212" s="501" t="s">
        <v>1676</v>
      </c>
      <c r="J212" s="502"/>
      <c r="K212" s="501" t="s">
        <v>4240</v>
      </c>
      <c r="L212" s="501" t="s">
        <v>2079</v>
      </c>
      <c r="M212" s="502">
        <v>44630</v>
      </c>
      <c r="N212" s="502">
        <v>44774</v>
      </c>
      <c r="O212" s="502"/>
      <c r="P212" s="353"/>
      <c r="Q212" s="502"/>
      <c r="R212" s="502"/>
      <c r="S212" s="501" t="s">
        <v>88</v>
      </c>
      <c r="T212" s="501">
        <v>60</v>
      </c>
      <c r="U212" s="501" t="s">
        <v>1109</v>
      </c>
      <c r="V212" s="510" t="s">
        <v>986</v>
      </c>
      <c r="W212" s="501">
        <v>360</v>
      </c>
      <c r="X212" s="354">
        <v>2304</v>
      </c>
      <c r="Y212" s="397">
        <f t="shared" si="40"/>
        <v>829440</v>
      </c>
      <c r="Z212" s="478">
        <f>192.6/360</f>
        <v>0.53500000000000003</v>
      </c>
      <c r="AA212" s="479">
        <f t="shared" si="43"/>
        <v>443750.40000000002</v>
      </c>
      <c r="AB212" s="480"/>
      <c r="AC212" s="481">
        <f t="shared" si="41"/>
        <v>0</v>
      </c>
      <c r="AD212" s="474"/>
      <c r="AE212" s="474"/>
      <c r="AF212" s="493">
        <f t="shared" si="42"/>
        <v>443750.40000000002</v>
      </c>
      <c r="AG212" s="474" t="s">
        <v>1071</v>
      </c>
      <c r="AH212" s="474"/>
      <c r="AI212" s="474">
        <v>60</v>
      </c>
      <c r="AJ212" s="475" t="s">
        <v>2075</v>
      </c>
      <c r="AK212" s="475" t="s">
        <v>50</v>
      </c>
      <c r="AL212" s="483">
        <v>92056</v>
      </c>
      <c r="AM212" s="474" t="s">
        <v>52</v>
      </c>
      <c r="AN212" s="384"/>
      <c r="AO212" s="474" t="s">
        <v>1076</v>
      </c>
      <c r="AP212" s="474"/>
      <c r="AQ212" s="482" t="s">
        <v>37</v>
      </c>
      <c r="AR212" s="474" t="s">
        <v>1216</v>
      </c>
      <c r="AS212" s="473"/>
      <c r="AT212" s="346"/>
      <c r="AU212" s="478">
        <f t="shared" si="37"/>
        <v>0.53</v>
      </c>
    </row>
    <row r="213" spans="1:47" s="471" customFormat="1">
      <c r="A213" s="495"/>
      <c r="B213" s="407">
        <v>44642</v>
      </c>
      <c r="C213" s="495"/>
      <c r="D213" s="512" t="s">
        <v>86</v>
      </c>
      <c r="E213" s="352"/>
      <c r="F213" s="501"/>
      <c r="G213" s="371">
        <v>2022</v>
      </c>
      <c r="H213" s="371" t="s">
        <v>4093</v>
      </c>
      <c r="I213" s="501" t="s">
        <v>1676</v>
      </c>
      <c r="J213" s="502"/>
      <c r="K213" s="501" t="s">
        <v>4241</v>
      </c>
      <c r="L213" s="501" t="s">
        <v>2079</v>
      </c>
      <c r="M213" s="502">
        <v>44630</v>
      </c>
      <c r="N213" s="502">
        <v>44805</v>
      </c>
      <c r="O213" s="502"/>
      <c r="P213" s="353"/>
      <c r="Q213" s="502"/>
      <c r="R213" s="502"/>
      <c r="S213" s="501" t="s">
        <v>88</v>
      </c>
      <c r="T213" s="501">
        <v>60</v>
      </c>
      <c r="U213" s="501" t="s">
        <v>1109</v>
      </c>
      <c r="V213" s="510" t="s">
        <v>973</v>
      </c>
      <c r="W213" s="501">
        <v>400</v>
      </c>
      <c r="X213" s="354">
        <v>6144</v>
      </c>
      <c r="Y213" s="397">
        <f t="shared" si="40"/>
        <v>2457600</v>
      </c>
      <c r="Z213" s="478">
        <f>222/400</f>
        <v>0.55500000000000005</v>
      </c>
      <c r="AA213" s="479">
        <f t="shared" si="43"/>
        <v>1363968.0000000002</v>
      </c>
      <c r="AB213" s="480"/>
      <c r="AC213" s="481">
        <f t="shared" si="41"/>
        <v>0</v>
      </c>
      <c r="AD213" s="474"/>
      <c r="AE213" s="474"/>
      <c r="AF213" s="493">
        <f t="shared" si="42"/>
        <v>1363968.0000000002</v>
      </c>
      <c r="AG213" s="474" t="s">
        <v>1071</v>
      </c>
      <c r="AH213" s="474"/>
      <c r="AI213" s="474">
        <v>60</v>
      </c>
      <c r="AJ213" s="475" t="s">
        <v>2075</v>
      </c>
      <c r="AK213" s="475" t="s">
        <v>50</v>
      </c>
      <c r="AL213" s="483">
        <v>92056</v>
      </c>
      <c r="AM213" s="474" t="s">
        <v>52</v>
      </c>
      <c r="AN213" s="384"/>
      <c r="AO213" s="474" t="s">
        <v>1076</v>
      </c>
      <c r="AP213" s="474"/>
      <c r="AQ213" s="482" t="s">
        <v>37</v>
      </c>
      <c r="AR213" s="474" t="s">
        <v>1216</v>
      </c>
      <c r="AS213" s="473"/>
      <c r="AT213" s="346"/>
      <c r="AU213" s="478">
        <f t="shared" si="37"/>
        <v>0.53</v>
      </c>
    </row>
    <row r="214" spans="1:47" s="471" customFormat="1">
      <c r="A214" s="495"/>
      <c r="B214" s="407">
        <v>44642</v>
      </c>
      <c r="C214" s="495"/>
      <c r="D214" s="512" t="s">
        <v>86</v>
      </c>
      <c r="E214" s="352" t="s">
        <v>4242</v>
      </c>
      <c r="F214" s="501"/>
      <c r="G214" s="371">
        <v>2022</v>
      </c>
      <c r="H214" s="371" t="s">
        <v>3004</v>
      </c>
      <c r="I214" s="501" t="s">
        <v>1676</v>
      </c>
      <c r="J214" s="502"/>
      <c r="K214" s="501" t="s">
        <v>4243</v>
      </c>
      <c r="L214" s="501" t="s">
        <v>1699</v>
      </c>
      <c r="M214" s="502">
        <v>44641</v>
      </c>
      <c r="N214" s="502">
        <v>44855</v>
      </c>
      <c r="O214" s="502"/>
      <c r="P214" s="353"/>
      <c r="Q214" s="502"/>
      <c r="R214" s="502"/>
      <c r="S214" s="501" t="s">
        <v>88</v>
      </c>
      <c r="T214" s="501">
        <v>60</v>
      </c>
      <c r="U214" s="501"/>
      <c r="V214" s="510" t="s">
        <v>973</v>
      </c>
      <c r="W214" s="501">
        <v>400</v>
      </c>
      <c r="X214" s="354">
        <v>3840</v>
      </c>
      <c r="Y214" s="397">
        <f t="shared" si="40"/>
        <v>1536000</v>
      </c>
      <c r="Z214" s="478">
        <f>220/400</f>
        <v>0.55000000000000004</v>
      </c>
      <c r="AA214" s="479">
        <f t="shared" si="43"/>
        <v>844800.00000000012</v>
      </c>
      <c r="AB214" s="480"/>
      <c r="AC214" s="481">
        <v>0</v>
      </c>
      <c r="AD214" s="474"/>
      <c r="AE214" s="474"/>
      <c r="AF214" s="493">
        <f t="shared" si="42"/>
        <v>844800.00000000012</v>
      </c>
      <c r="AG214" s="474" t="s">
        <v>1071</v>
      </c>
      <c r="AH214" s="474"/>
      <c r="AI214" s="474">
        <v>60</v>
      </c>
      <c r="AJ214" s="475" t="s">
        <v>1700</v>
      </c>
      <c r="AK214" s="475" t="s">
        <v>50</v>
      </c>
      <c r="AL214" s="483">
        <v>92126</v>
      </c>
      <c r="AM214" s="474" t="s">
        <v>52</v>
      </c>
      <c r="AN214" s="384"/>
      <c r="AO214" s="474" t="s">
        <v>1076</v>
      </c>
      <c r="AP214" s="474"/>
      <c r="AQ214" s="482" t="s">
        <v>37</v>
      </c>
      <c r="AR214" s="474"/>
      <c r="AS214" s="473" t="s">
        <v>1492</v>
      </c>
      <c r="AT214" s="346"/>
      <c r="AU214" s="478">
        <f>208/400</f>
        <v>0.52</v>
      </c>
    </row>
    <row r="215" spans="1:47" s="471" customFormat="1">
      <c r="A215" s="495"/>
      <c r="B215" s="407">
        <v>44642</v>
      </c>
      <c r="C215" s="495"/>
      <c r="D215" s="512" t="s">
        <v>86</v>
      </c>
      <c r="E215" s="352" t="s">
        <v>4244</v>
      </c>
      <c r="F215" s="501"/>
      <c r="G215" s="371">
        <v>2022</v>
      </c>
      <c r="H215" s="371" t="s">
        <v>3004</v>
      </c>
      <c r="I215" s="501" t="s">
        <v>1676</v>
      </c>
      <c r="J215" s="502"/>
      <c r="K215" s="501" t="s">
        <v>4245</v>
      </c>
      <c r="L215" s="501" t="s">
        <v>1699</v>
      </c>
      <c r="M215" s="502">
        <v>44641</v>
      </c>
      <c r="N215" s="502">
        <v>44886</v>
      </c>
      <c r="O215" s="502"/>
      <c r="P215" s="353"/>
      <c r="Q215" s="502"/>
      <c r="R215" s="502"/>
      <c r="S215" s="501" t="s">
        <v>88</v>
      </c>
      <c r="T215" s="501">
        <v>60</v>
      </c>
      <c r="U215" s="501"/>
      <c r="V215" s="510" t="s">
        <v>973</v>
      </c>
      <c r="W215" s="501">
        <v>400</v>
      </c>
      <c r="X215" s="354">
        <v>3840</v>
      </c>
      <c r="Y215" s="397">
        <f t="shared" si="40"/>
        <v>1536000</v>
      </c>
      <c r="Z215" s="478">
        <f>220/400</f>
        <v>0.55000000000000004</v>
      </c>
      <c r="AA215" s="479">
        <f t="shared" si="43"/>
        <v>844800.00000000012</v>
      </c>
      <c r="AB215" s="480"/>
      <c r="AC215" s="481">
        <v>0</v>
      </c>
      <c r="AD215" s="474"/>
      <c r="AE215" s="474"/>
      <c r="AF215" s="493">
        <f t="shared" si="42"/>
        <v>844800.00000000012</v>
      </c>
      <c r="AG215" s="474" t="s">
        <v>1071</v>
      </c>
      <c r="AH215" s="474"/>
      <c r="AI215" s="474">
        <v>60</v>
      </c>
      <c r="AJ215" s="475" t="s">
        <v>1700</v>
      </c>
      <c r="AK215" s="475" t="s">
        <v>50</v>
      </c>
      <c r="AL215" s="483">
        <v>92126</v>
      </c>
      <c r="AM215" s="474" t="s">
        <v>52</v>
      </c>
      <c r="AN215" s="384"/>
      <c r="AO215" s="474" t="s">
        <v>1076</v>
      </c>
      <c r="AP215" s="474"/>
      <c r="AQ215" s="482" t="s">
        <v>37</v>
      </c>
      <c r="AR215" s="474"/>
      <c r="AS215" s="473" t="s">
        <v>1492</v>
      </c>
      <c r="AT215" s="346"/>
      <c r="AU215" s="478">
        <f>208/400</f>
        <v>0.52</v>
      </c>
    </row>
    <row r="216" spans="1:47" s="471" customFormat="1">
      <c r="A216" s="495"/>
      <c r="B216" s="407">
        <v>44642</v>
      </c>
      <c r="C216" s="495"/>
      <c r="D216" s="512" t="s">
        <v>86</v>
      </c>
      <c r="E216" s="352" t="s">
        <v>4246</v>
      </c>
      <c r="F216" s="501"/>
      <c r="G216" s="371">
        <v>2022</v>
      </c>
      <c r="H216" s="371" t="s">
        <v>3004</v>
      </c>
      <c r="I216" s="501" t="s">
        <v>1676</v>
      </c>
      <c r="J216" s="502"/>
      <c r="K216" s="501" t="s">
        <v>4247</v>
      </c>
      <c r="L216" s="501" t="s">
        <v>1699</v>
      </c>
      <c r="M216" s="502">
        <v>44641</v>
      </c>
      <c r="N216" s="502">
        <v>44916</v>
      </c>
      <c r="O216" s="502"/>
      <c r="P216" s="353"/>
      <c r="Q216" s="502"/>
      <c r="R216" s="502"/>
      <c r="S216" s="501" t="s">
        <v>88</v>
      </c>
      <c r="T216" s="501">
        <v>60</v>
      </c>
      <c r="U216" s="501"/>
      <c r="V216" s="510" t="s">
        <v>973</v>
      </c>
      <c r="W216" s="501">
        <v>400</v>
      </c>
      <c r="X216" s="354">
        <v>3840</v>
      </c>
      <c r="Y216" s="397">
        <f t="shared" si="40"/>
        <v>1536000</v>
      </c>
      <c r="Z216" s="478">
        <f>220/400</f>
        <v>0.55000000000000004</v>
      </c>
      <c r="AA216" s="479">
        <f t="shared" si="43"/>
        <v>844800.00000000012</v>
      </c>
      <c r="AB216" s="480"/>
      <c r="AC216" s="481">
        <v>0</v>
      </c>
      <c r="AD216" s="474"/>
      <c r="AE216" s="474"/>
      <c r="AF216" s="493">
        <f t="shared" si="42"/>
        <v>844800.00000000012</v>
      </c>
      <c r="AG216" s="474" t="s">
        <v>1071</v>
      </c>
      <c r="AH216" s="474"/>
      <c r="AI216" s="474">
        <v>60</v>
      </c>
      <c r="AJ216" s="475" t="s">
        <v>1700</v>
      </c>
      <c r="AK216" s="475" t="s">
        <v>50</v>
      </c>
      <c r="AL216" s="483">
        <v>92126</v>
      </c>
      <c r="AM216" s="474" t="s">
        <v>52</v>
      </c>
      <c r="AN216" s="384"/>
      <c r="AO216" s="474" t="s">
        <v>1076</v>
      </c>
      <c r="AP216" s="474"/>
      <c r="AQ216" s="482" t="s">
        <v>37</v>
      </c>
      <c r="AR216" s="474"/>
      <c r="AS216" s="473" t="s">
        <v>1492</v>
      </c>
      <c r="AT216" s="346"/>
      <c r="AU216" s="478">
        <f>208/400</f>
        <v>0.52</v>
      </c>
    </row>
    <row r="217" spans="1:47" s="471" customFormat="1">
      <c r="A217" s="495"/>
      <c r="B217" s="407">
        <v>44642</v>
      </c>
      <c r="C217" s="495"/>
      <c r="D217" s="512" t="s">
        <v>86</v>
      </c>
      <c r="E217" s="352"/>
      <c r="F217" s="501"/>
      <c r="G217" s="371">
        <v>2022</v>
      </c>
      <c r="H217" s="371" t="s">
        <v>4093</v>
      </c>
      <c r="I217" s="501" t="s">
        <v>1676</v>
      </c>
      <c r="J217" s="502"/>
      <c r="K217" s="501" t="s">
        <v>4248</v>
      </c>
      <c r="L217" s="501" t="s">
        <v>2079</v>
      </c>
      <c r="M217" s="502">
        <v>44630</v>
      </c>
      <c r="N217" s="502">
        <v>44805</v>
      </c>
      <c r="O217" s="502"/>
      <c r="P217" s="353"/>
      <c r="Q217" s="502"/>
      <c r="R217" s="502"/>
      <c r="S217" s="501" t="s">
        <v>88</v>
      </c>
      <c r="T217" s="501">
        <v>60</v>
      </c>
      <c r="U217" s="501" t="s">
        <v>1109</v>
      </c>
      <c r="V217" s="510" t="s">
        <v>986</v>
      </c>
      <c r="W217" s="501">
        <v>360</v>
      </c>
      <c r="X217" s="354">
        <v>2304</v>
      </c>
      <c r="Y217" s="397">
        <f t="shared" si="40"/>
        <v>829440</v>
      </c>
      <c r="Z217" s="478">
        <f>192.6/360</f>
        <v>0.53500000000000003</v>
      </c>
      <c r="AA217" s="479">
        <f t="shared" si="43"/>
        <v>443750.40000000002</v>
      </c>
      <c r="AB217" s="480"/>
      <c r="AC217" s="481">
        <f>AB217*Y217</f>
        <v>0</v>
      </c>
      <c r="AD217" s="474"/>
      <c r="AE217" s="474"/>
      <c r="AF217" s="493">
        <f t="shared" si="42"/>
        <v>443750.40000000002</v>
      </c>
      <c r="AG217" s="474" t="s">
        <v>1071</v>
      </c>
      <c r="AH217" s="474"/>
      <c r="AI217" s="474">
        <v>60</v>
      </c>
      <c r="AJ217" s="475" t="s">
        <v>2075</v>
      </c>
      <c r="AK217" s="475" t="s">
        <v>50</v>
      </c>
      <c r="AL217" s="483">
        <v>92056</v>
      </c>
      <c r="AM217" s="474" t="s">
        <v>52</v>
      </c>
      <c r="AN217" s="384"/>
      <c r="AO217" s="474" t="s">
        <v>1076</v>
      </c>
      <c r="AP217" s="474"/>
      <c r="AQ217" s="482" t="s">
        <v>37</v>
      </c>
      <c r="AR217" s="474" t="s">
        <v>1216</v>
      </c>
      <c r="AS217" s="473"/>
      <c r="AT217" s="346"/>
      <c r="AU217" s="478">
        <f>212/400</f>
        <v>0.53</v>
      </c>
    </row>
    <row r="218" spans="1:47" s="471" customFormat="1">
      <c r="A218" s="495"/>
      <c r="B218" s="407"/>
      <c r="C218" s="495"/>
      <c r="D218" s="512" t="s">
        <v>86</v>
      </c>
      <c r="E218" s="352"/>
      <c r="F218" s="501"/>
      <c r="G218" s="371">
        <v>2022</v>
      </c>
      <c r="H218" s="371" t="s">
        <v>4093</v>
      </c>
      <c r="I218" s="501" t="s">
        <v>1676</v>
      </c>
      <c r="J218" s="502"/>
      <c r="K218" s="501" t="s">
        <v>4249</v>
      </c>
      <c r="L218" s="501" t="s">
        <v>2079</v>
      </c>
      <c r="M218" s="502">
        <v>44656</v>
      </c>
      <c r="N218" s="502">
        <v>44867</v>
      </c>
      <c r="O218" s="502"/>
      <c r="P218" s="353"/>
      <c r="Q218" s="502"/>
      <c r="R218" s="502"/>
      <c r="S218" s="501" t="s">
        <v>88</v>
      </c>
      <c r="T218" s="501">
        <v>60</v>
      </c>
      <c r="U218" s="501" t="s">
        <v>1109</v>
      </c>
      <c r="V218" s="510" t="s">
        <v>973</v>
      </c>
      <c r="W218" s="501">
        <v>400</v>
      </c>
      <c r="X218" s="354">
        <v>6912</v>
      </c>
      <c r="Y218" s="397">
        <f t="shared" si="40"/>
        <v>2764800</v>
      </c>
      <c r="Z218" s="478">
        <f>222/400</f>
        <v>0.55500000000000005</v>
      </c>
      <c r="AA218" s="479">
        <f t="shared" si="43"/>
        <v>1534464.0000000002</v>
      </c>
      <c r="AB218" s="480"/>
      <c r="AC218" s="481">
        <f>AB218*Y218</f>
        <v>0</v>
      </c>
      <c r="AD218" s="474"/>
      <c r="AE218" s="474"/>
      <c r="AF218" s="493">
        <f t="shared" si="42"/>
        <v>1534464.0000000002</v>
      </c>
      <c r="AG218" s="474" t="s">
        <v>1071</v>
      </c>
      <c r="AH218" s="474"/>
      <c r="AI218" s="474">
        <v>60</v>
      </c>
      <c r="AJ218" s="475" t="s">
        <v>2075</v>
      </c>
      <c r="AK218" s="475" t="s">
        <v>50</v>
      </c>
      <c r="AL218" s="483">
        <v>92056</v>
      </c>
      <c r="AM218" s="474" t="s">
        <v>52</v>
      </c>
      <c r="AN218" s="384"/>
      <c r="AO218" s="474" t="s">
        <v>1076</v>
      </c>
      <c r="AP218" s="474"/>
      <c r="AQ218" s="482" t="s">
        <v>37</v>
      </c>
      <c r="AR218" s="474" t="s">
        <v>1216</v>
      </c>
      <c r="AS218" s="473"/>
      <c r="AT218" s="346"/>
      <c r="AU218" s="478">
        <f>212/400</f>
        <v>0.53</v>
      </c>
    </row>
    <row r="219" spans="1:47" s="471" customFormat="1">
      <c r="A219" s="495"/>
      <c r="B219" s="407"/>
      <c r="C219" s="495"/>
      <c r="D219" s="512" t="s">
        <v>86</v>
      </c>
      <c r="E219" s="352"/>
      <c r="F219" s="501"/>
      <c r="G219" s="371">
        <v>2022</v>
      </c>
      <c r="H219" s="371" t="s">
        <v>4093</v>
      </c>
      <c r="I219" s="501" t="s">
        <v>1676</v>
      </c>
      <c r="J219" s="502"/>
      <c r="K219" s="501" t="s">
        <v>4250</v>
      </c>
      <c r="L219" s="501" t="s">
        <v>2079</v>
      </c>
      <c r="M219" s="502">
        <v>44656</v>
      </c>
      <c r="N219" s="502">
        <v>44839</v>
      </c>
      <c r="O219" s="502"/>
      <c r="P219" s="353"/>
      <c r="Q219" s="502"/>
      <c r="R219" s="502"/>
      <c r="S219" s="501" t="s">
        <v>88</v>
      </c>
      <c r="T219" s="501">
        <v>60</v>
      </c>
      <c r="U219" s="501" t="s">
        <v>1109</v>
      </c>
      <c r="V219" s="510" t="s">
        <v>973</v>
      </c>
      <c r="W219" s="501">
        <v>400</v>
      </c>
      <c r="X219" s="354">
        <v>9216</v>
      </c>
      <c r="Y219" s="397">
        <f t="shared" si="40"/>
        <v>3686400</v>
      </c>
      <c r="Z219" s="478">
        <f>222/400</f>
        <v>0.55500000000000005</v>
      </c>
      <c r="AA219" s="479">
        <f t="shared" si="43"/>
        <v>2045952.0000000002</v>
      </c>
      <c r="AB219" s="480"/>
      <c r="AC219" s="481">
        <f>AB219*Y219</f>
        <v>0</v>
      </c>
      <c r="AD219" s="474"/>
      <c r="AE219" s="474"/>
      <c r="AF219" s="493">
        <f t="shared" si="42"/>
        <v>2045952.0000000002</v>
      </c>
      <c r="AG219" s="474" t="s">
        <v>1071</v>
      </c>
      <c r="AH219" s="474"/>
      <c r="AI219" s="474">
        <v>60</v>
      </c>
      <c r="AJ219" s="475" t="s">
        <v>2075</v>
      </c>
      <c r="AK219" s="475" t="s">
        <v>50</v>
      </c>
      <c r="AL219" s="483">
        <v>92056</v>
      </c>
      <c r="AM219" s="474" t="s">
        <v>52</v>
      </c>
      <c r="AN219" s="384"/>
      <c r="AO219" s="474" t="s">
        <v>1076</v>
      </c>
      <c r="AP219" s="474"/>
      <c r="AQ219" s="482" t="s">
        <v>37</v>
      </c>
      <c r="AR219" s="474" t="s">
        <v>1216</v>
      </c>
      <c r="AS219" s="473"/>
      <c r="AT219" s="346"/>
      <c r="AU219" s="478">
        <f>212/400</f>
        <v>0.53</v>
      </c>
    </row>
    <row r="220" spans="1:47" s="471" customFormat="1">
      <c r="A220" s="495"/>
      <c r="B220" s="407">
        <v>44642</v>
      </c>
      <c r="C220" s="495"/>
      <c r="D220" s="512" t="s">
        <v>86</v>
      </c>
      <c r="E220" s="352" t="s">
        <v>2004</v>
      </c>
      <c r="F220" s="501"/>
      <c r="G220" s="371">
        <v>2022</v>
      </c>
      <c r="H220" s="371" t="s">
        <v>3004</v>
      </c>
      <c r="I220" s="501" t="s">
        <v>1676</v>
      </c>
      <c r="J220" s="502"/>
      <c r="K220" s="501" t="s">
        <v>4251</v>
      </c>
      <c r="L220" s="501" t="s">
        <v>1699</v>
      </c>
      <c r="M220" s="502">
        <v>44641</v>
      </c>
      <c r="N220" s="502">
        <v>44855</v>
      </c>
      <c r="O220" s="502"/>
      <c r="P220" s="353"/>
      <c r="Q220" s="502"/>
      <c r="R220" s="502"/>
      <c r="S220" s="501" t="s">
        <v>88</v>
      </c>
      <c r="T220" s="501">
        <v>60</v>
      </c>
      <c r="U220" s="501"/>
      <c r="V220" s="510" t="s">
        <v>973</v>
      </c>
      <c r="W220" s="501">
        <v>400</v>
      </c>
      <c r="X220" s="354">
        <v>1536</v>
      </c>
      <c r="Y220" s="397">
        <f t="shared" si="40"/>
        <v>614400</v>
      </c>
      <c r="Z220" s="478">
        <f>220/400</f>
        <v>0.55000000000000004</v>
      </c>
      <c r="AA220" s="479">
        <f t="shared" si="43"/>
        <v>337920</v>
      </c>
      <c r="AB220" s="480"/>
      <c r="AC220" s="481">
        <v>0</v>
      </c>
      <c r="AD220" s="474"/>
      <c r="AE220" s="474"/>
      <c r="AF220" s="493">
        <f t="shared" si="42"/>
        <v>337920</v>
      </c>
      <c r="AG220" s="474" t="s">
        <v>1071</v>
      </c>
      <c r="AH220" s="474"/>
      <c r="AI220" s="474">
        <v>60</v>
      </c>
      <c r="AJ220" s="475" t="s">
        <v>1700</v>
      </c>
      <c r="AK220" s="475" t="s">
        <v>50</v>
      </c>
      <c r="AL220" s="483">
        <v>92126</v>
      </c>
      <c r="AM220" s="474" t="s">
        <v>52</v>
      </c>
      <c r="AN220" s="384"/>
      <c r="AO220" s="474" t="s">
        <v>1076</v>
      </c>
      <c r="AP220" s="474"/>
      <c r="AQ220" s="482" t="s">
        <v>37</v>
      </c>
      <c r="AR220" s="474"/>
      <c r="AS220" s="473" t="s">
        <v>1492</v>
      </c>
      <c r="AT220" s="346"/>
      <c r="AU220" s="478">
        <f t="shared" ref="AU220:AU238" si="44">208/400</f>
        <v>0.52</v>
      </c>
    </row>
    <row r="221" spans="1:47" s="471" customFormat="1">
      <c r="A221" s="495"/>
      <c r="B221" s="407">
        <v>44642</v>
      </c>
      <c r="C221" s="495"/>
      <c r="D221" s="512" t="s">
        <v>86</v>
      </c>
      <c r="E221" s="352" t="s">
        <v>2004</v>
      </c>
      <c r="F221" s="501"/>
      <c r="G221" s="371">
        <v>2022</v>
      </c>
      <c r="H221" s="371" t="s">
        <v>3004</v>
      </c>
      <c r="I221" s="501" t="s">
        <v>1676</v>
      </c>
      <c r="J221" s="502"/>
      <c r="K221" s="501" t="s">
        <v>4252</v>
      </c>
      <c r="L221" s="501" t="s">
        <v>1699</v>
      </c>
      <c r="M221" s="502">
        <v>44641</v>
      </c>
      <c r="N221" s="502">
        <v>44886</v>
      </c>
      <c r="O221" s="502"/>
      <c r="P221" s="353"/>
      <c r="Q221" s="502"/>
      <c r="R221" s="502"/>
      <c r="S221" s="501" t="s">
        <v>88</v>
      </c>
      <c r="T221" s="501">
        <v>60</v>
      </c>
      <c r="U221" s="501"/>
      <c r="V221" s="510" t="s">
        <v>973</v>
      </c>
      <c r="W221" s="501">
        <v>400</v>
      </c>
      <c r="X221" s="354">
        <v>1536</v>
      </c>
      <c r="Y221" s="397">
        <f t="shared" si="40"/>
        <v>614400</v>
      </c>
      <c r="Z221" s="478">
        <f>220/400</f>
        <v>0.55000000000000004</v>
      </c>
      <c r="AA221" s="479">
        <f t="shared" si="43"/>
        <v>337920</v>
      </c>
      <c r="AB221" s="480"/>
      <c r="AC221" s="481">
        <v>0</v>
      </c>
      <c r="AD221" s="474"/>
      <c r="AE221" s="474"/>
      <c r="AF221" s="493">
        <f t="shared" si="42"/>
        <v>337920</v>
      </c>
      <c r="AG221" s="474" t="s">
        <v>1071</v>
      </c>
      <c r="AH221" s="474"/>
      <c r="AI221" s="474">
        <v>60</v>
      </c>
      <c r="AJ221" s="475" t="s">
        <v>1700</v>
      </c>
      <c r="AK221" s="475" t="s">
        <v>50</v>
      </c>
      <c r="AL221" s="483">
        <v>92126</v>
      </c>
      <c r="AM221" s="474" t="s">
        <v>52</v>
      </c>
      <c r="AN221" s="384"/>
      <c r="AO221" s="474" t="s">
        <v>1076</v>
      </c>
      <c r="AP221" s="474"/>
      <c r="AQ221" s="482" t="s">
        <v>37</v>
      </c>
      <c r="AR221" s="474"/>
      <c r="AS221" s="473" t="s">
        <v>1492</v>
      </c>
      <c r="AT221" s="346"/>
      <c r="AU221" s="478">
        <f t="shared" si="44"/>
        <v>0.52</v>
      </c>
    </row>
    <row r="222" spans="1:47" s="471" customFormat="1">
      <c r="A222" s="495"/>
      <c r="B222" s="407">
        <v>44642</v>
      </c>
      <c r="C222" s="495"/>
      <c r="D222" s="512" t="s">
        <v>86</v>
      </c>
      <c r="E222" s="352" t="s">
        <v>2004</v>
      </c>
      <c r="F222" s="501"/>
      <c r="G222" s="371">
        <v>2022</v>
      </c>
      <c r="H222" s="371" t="s">
        <v>3004</v>
      </c>
      <c r="I222" s="501" t="s">
        <v>1676</v>
      </c>
      <c r="J222" s="502"/>
      <c r="K222" s="501" t="s">
        <v>4253</v>
      </c>
      <c r="L222" s="501" t="s">
        <v>1699</v>
      </c>
      <c r="M222" s="502">
        <v>44641</v>
      </c>
      <c r="N222" s="502">
        <v>44916</v>
      </c>
      <c r="O222" s="502"/>
      <c r="P222" s="353"/>
      <c r="Q222" s="502"/>
      <c r="R222" s="502"/>
      <c r="S222" s="501" t="s">
        <v>88</v>
      </c>
      <c r="T222" s="501">
        <v>60</v>
      </c>
      <c r="U222" s="501"/>
      <c r="V222" s="510" t="s">
        <v>973</v>
      </c>
      <c r="W222" s="501">
        <v>400</v>
      </c>
      <c r="X222" s="354">
        <v>1536</v>
      </c>
      <c r="Y222" s="397">
        <f t="shared" si="40"/>
        <v>614400</v>
      </c>
      <c r="Z222" s="478">
        <f>220/400</f>
        <v>0.55000000000000004</v>
      </c>
      <c r="AA222" s="479">
        <f t="shared" si="43"/>
        <v>337920</v>
      </c>
      <c r="AB222" s="480"/>
      <c r="AC222" s="481">
        <v>0</v>
      </c>
      <c r="AD222" s="474"/>
      <c r="AE222" s="474"/>
      <c r="AF222" s="493">
        <f t="shared" si="42"/>
        <v>337920</v>
      </c>
      <c r="AG222" s="474" t="s">
        <v>1071</v>
      </c>
      <c r="AH222" s="474"/>
      <c r="AI222" s="474">
        <v>60</v>
      </c>
      <c r="AJ222" s="475" t="s">
        <v>1700</v>
      </c>
      <c r="AK222" s="475" t="s">
        <v>50</v>
      </c>
      <c r="AL222" s="483">
        <v>92126</v>
      </c>
      <c r="AM222" s="474" t="s">
        <v>52</v>
      </c>
      <c r="AN222" s="384"/>
      <c r="AO222" s="474" t="s">
        <v>1076</v>
      </c>
      <c r="AP222" s="474"/>
      <c r="AQ222" s="482" t="s">
        <v>37</v>
      </c>
      <c r="AR222" s="474"/>
      <c r="AS222" s="473" t="s">
        <v>1492</v>
      </c>
      <c r="AT222" s="346"/>
      <c r="AU222" s="478">
        <f t="shared" si="44"/>
        <v>0.52</v>
      </c>
    </row>
    <row r="223" spans="1:47" s="471" customFormat="1">
      <c r="A223" s="495"/>
      <c r="B223" s="407">
        <v>44642</v>
      </c>
      <c r="C223" s="495"/>
      <c r="D223" s="512" t="s">
        <v>86</v>
      </c>
      <c r="E223" s="352" t="s">
        <v>2004</v>
      </c>
      <c r="F223" s="501"/>
      <c r="G223" s="371">
        <v>2022</v>
      </c>
      <c r="H223" s="371" t="s">
        <v>3004</v>
      </c>
      <c r="I223" s="501" t="s">
        <v>1676</v>
      </c>
      <c r="J223" s="502"/>
      <c r="K223" s="501" t="s">
        <v>4254</v>
      </c>
      <c r="L223" s="501" t="s">
        <v>1699</v>
      </c>
      <c r="M223" s="502">
        <v>44641</v>
      </c>
      <c r="N223" s="502">
        <v>44774</v>
      </c>
      <c r="O223" s="502"/>
      <c r="P223" s="353"/>
      <c r="Q223" s="502"/>
      <c r="R223" s="502"/>
      <c r="S223" s="501" t="s">
        <v>88</v>
      </c>
      <c r="T223" s="501">
        <v>60</v>
      </c>
      <c r="U223" s="501"/>
      <c r="V223" s="510" t="s">
        <v>986</v>
      </c>
      <c r="W223" s="501">
        <v>360</v>
      </c>
      <c r="X223" s="354">
        <v>2304</v>
      </c>
      <c r="Y223" s="397">
        <f t="shared" si="40"/>
        <v>829440</v>
      </c>
      <c r="Z223" s="478">
        <f>190.8/360</f>
        <v>0.53</v>
      </c>
      <c r="AA223" s="479">
        <f t="shared" si="43"/>
        <v>439603.20000000001</v>
      </c>
      <c r="AB223" s="480"/>
      <c r="AC223" s="481">
        <v>0</v>
      </c>
      <c r="AD223" s="474"/>
      <c r="AE223" s="474"/>
      <c r="AF223" s="493">
        <f t="shared" si="42"/>
        <v>439603.20000000001</v>
      </c>
      <c r="AG223" s="474" t="s">
        <v>1071</v>
      </c>
      <c r="AH223" s="474"/>
      <c r="AI223" s="474">
        <v>60</v>
      </c>
      <c r="AJ223" s="475" t="s">
        <v>1700</v>
      </c>
      <c r="AK223" s="475" t="s">
        <v>50</v>
      </c>
      <c r="AL223" s="483">
        <v>92126</v>
      </c>
      <c r="AM223" s="474" t="s">
        <v>52</v>
      </c>
      <c r="AN223" s="384"/>
      <c r="AO223" s="474" t="s">
        <v>1076</v>
      </c>
      <c r="AP223" s="474"/>
      <c r="AQ223" s="482" t="s">
        <v>37</v>
      </c>
      <c r="AR223" s="474"/>
      <c r="AS223" s="473" t="s">
        <v>1492</v>
      </c>
      <c r="AT223" s="346"/>
      <c r="AU223" s="478">
        <f t="shared" si="44"/>
        <v>0.52</v>
      </c>
    </row>
    <row r="224" spans="1:47" s="471" customFormat="1">
      <c r="A224" s="495"/>
      <c r="B224" s="407">
        <v>44642</v>
      </c>
      <c r="C224" s="495"/>
      <c r="D224" s="512" t="s">
        <v>86</v>
      </c>
      <c r="E224" s="352" t="s">
        <v>2004</v>
      </c>
      <c r="F224" s="501"/>
      <c r="G224" s="371">
        <v>2022</v>
      </c>
      <c r="H224" s="371" t="s">
        <v>3004</v>
      </c>
      <c r="I224" s="501" t="s">
        <v>1676</v>
      </c>
      <c r="J224" s="502"/>
      <c r="K224" s="501" t="s">
        <v>4255</v>
      </c>
      <c r="L224" s="501" t="s">
        <v>1699</v>
      </c>
      <c r="M224" s="502">
        <v>44641</v>
      </c>
      <c r="N224" s="502">
        <v>44805</v>
      </c>
      <c r="O224" s="502"/>
      <c r="P224" s="353"/>
      <c r="Q224" s="502"/>
      <c r="R224" s="502"/>
      <c r="S224" s="501" t="s">
        <v>88</v>
      </c>
      <c r="T224" s="501">
        <v>60</v>
      </c>
      <c r="U224" s="501"/>
      <c r="V224" s="510" t="s">
        <v>986</v>
      </c>
      <c r="W224" s="501">
        <v>360</v>
      </c>
      <c r="X224" s="354">
        <v>1536</v>
      </c>
      <c r="Y224" s="397">
        <f t="shared" si="40"/>
        <v>552960</v>
      </c>
      <c r="Z224" s="478">
        <f>190.8/360</f>
        <v>0.53</v>
      </c>
      <c r="AA224" s="479">
        <f t="shared" si="43"/>
        <v>293068.79999999999</v>
      </c>
      <c r="AB224" s="480"/>
      <c r="AC224" s="481">
        <v>0</v>
      </c>
      <c r="AD224" s="474"/>
      <c r="AE224" s="474"/>
      <c r="AF224" s="493">
        <f t="shared" si="42"/>
        <v>293068.79999999999</v>
      </c>
      <c r="AG224" s="474" t="s">
        <v>1071</v>
      </c>
      <c r="AH224" s="474"/>
      <c r="AI224" s="474">
        <v>60</v>
      </c>
      <c r="AJ224" s="475" t="s">
        <v>1700</v>
      </c>
      <c r="AK224" s="475" t="s">
        <v>50</v>
      </c>
      <c r="AL224" s="483">
        <v>92126</v>
      </c>
      <c r="AM224" s="474" t="s">
        <v>52</v>
      </c>
      <c r="AN224" s="384"/>
      <c r="AO224" s="474" t="s">
        <v>1076</v>
      </c>
      <c r="AP224" s="474"/>
      <c r="AQ224" s="482" t="s">
        <v>37</v>
      </c>
      <c r="AR224" s="474"/>
      <c r="AS224" s="473" t="s">
        <v>1492</v>
      </c>
      <c r="AT224" s="346"/>
      <c r="AU224" s="478">
        <f t="shared" si="44"/>
        <v>0.52</v>
      </c>
    </row>
    <row r="225" spans="1:47" s="471" customFormat="1">
      <c r="A225" s="495"/>
      <c r="B225" s="407">
        <v>44642</v>
      </c>
      <c r="C225" s="495"/>
      <c r="D225" s="512" t="s">
        <v>86</v>
      </c>
      <c r="E225" s="352" t="s">
        <v>2004</v>
      </c>
      <c r="F225" s="501"/>
      <c r="G225" s="371">
        <v>2022</v>
      </c>
      <c r="H225" s="371" t="s">
        <v>3004</v>
      </c>
      <c r="I225" s="501" t="s">
        <v>1676</v>
      </c>
      <c r="J225" s="502"/>
      <c r="K225" s="501" t="s">
        <v>4256</v>
      </c>
      <c r="L225" s="501" t="s">
        <v>1699</v>
      </c>
      <c r="M225" s="502">
        <v>44641</v>
      </c>
      <c r="N225" s="502">
        <v>44835</v>
      </c>
      <c r="O225" s="502"/>
      <c r="P225" s="353"/>
      <c r="Q225" s="502"/>
      <c r="R225" s="502"/>
      <c r="S225" s="501" t="s">
        <v>88</v>
      </c>
      <c r="T225" s="501">
        <v>60</v>
      </c>
      <c r="U225" s="501"/>
      <c r="V225" s="510" t="s">
        <v>986</v>
      </c>
      <c r="W225" s="501">
        <v>360</v>
      </c>
      <c r="X225" s="354">
        <v>2304</v>
      </c>
      <c r="Y225" s="397">
        <f t="shared" si="40"/>
        <v>829440</v>
      </c>
      <c r="Z225" s="478">
        <f>190.8/360</f>
        <v>0.53</v>
      </c>
      <c r="AA225" s="479">
        <f t="shared" si="43"/>
        <v>439603.20000000001</v>
      </c>
      <c r="AB225" s="480"/>
      <c r="AC225" s="481">
        <v>0</v>
      </c>
      <c r="AD225" s="474"/>
      <c r="AE225" s="474"/>
      <c r="AF225" s="493">
        <f t="shared" si="42"/>
        <v>439603.20000000001</v>
      </c>
      <c r="AG225" s="474" t="s">
        <v>1071</v>
      </c>
      <c r="AH225" s="474"/>
      <c r="AI225" s="474">
        <v>60</v>
      </c>
      <c r="AJ225" s="475" t="s">
        <v>1700</v>
      </c>
      <c r="AK225" s="475" t="s">
        <v>50</v>
      </c>
      <c r="AL225" s="483">
        <v>92126</v>
      </c>
      <c r="AM225" s="474" t="s">
        <v>52</v>
      </c>
      <c r="AN225" s="384"/>
      <c r="AO225" s="474" t="s">
        <v>1076</v>
      </c>
      <c r="AP225" s="474"/>
      <c r="AQ225" s="482" t="s">
        <v>37</v>
      </c>
      <c r="AR225" s="474"/>
      <c r="AS225" s="473" t="s">
        <v>1492</v>
      </c>
      <c r="AT225" s="346"/>
      <c r="AU225" s="478">
        <f t="shared" si="44"/>
        <v>0.52</v>
      </c>
    </row>
    <row r="226" spans="1:47" s="471" customFormat="1">
      <c r="A226" s="495"/>
      <c r="B226" s="407">
        <v>44642</v>
      </c>
      <c r="C226" s="495"/>
      <c r="D226" s="512" t="s">
        <v>86</v>
      </c>
      <c r="E226" s="352" t="s">
        <v>2004</v>
      </c>
      <c r="F226" s="501"/>
      <c r="G226" s="371">
        <v>2022</v>
      </c>
      <c r="H226" s="371" t="s">
        <v>3004</v>
      </c>
      <c r="I226" s="501" t="s">
        <v>1676</v>
      </c>
      <c r="J226" s="502"/>
      <c r="K226" s="501" t="s">
        <v>4257</v>
      </c>
      <c r="L226" s="501" t="s">
        <v>1699</v>
      </c>
      <c r="M226" s="502">
        <v>44641</v>
      </c>
      <c r="N226" s="502">
        <v>44866</v>
      </c>
      <c r="O226" s="502"/>
      <c r="P226" s="353"/>
      <c r="Q226" s="502"/>
      <c r="R226" s="502"/>
      <c r="S226" s="501" t="s">
        <v>88</v>
      </c>
      <c r="T226" s="501">
        <v>60</v>
      </c>
      <c r="U226" s="501"/>
      <c r="V226" s="510" t="s">
        <v>986</v>
      </c>
      <c r="W226" s="501">
        <v>360</v>
      </c>
      <c r="X226" s="354">
        <v>2304</v>
      </c>
      <c r="Y226" s="397">
        <f t="shared" si="40"/>
        <v>829440</v>
      </c>
      <c r="Z226" s="478">
        <f>190.8/360</f>
        <v>0.53</v>
      </c>
      <c r="AA226" s="479">
        <f t="shared" si="43"/>
        <v>439603.20000000001</v>
      </c>
      <c r="AB226" s="480"/>
      <c r="AC226" s="481">
        <v>0</v>
      </c>
      <c r="AD226" s="474"/>
      <c r="AE226" s="474"/>
      <c r="AF226" s="493">
        <f t="shared" si="42"/>
        <v>439603.20000000001</v>
      </c>
      <c r="AG226" s="474" t="s">
        <v>1071</v>
      </c>
      <c r="AH226" s="474"/>
      <c r="AI226" s="474">
        <v>60</v>
      </c>
      <c r="AJ226" s="475" t="s">
        <v>1700</v>
      </c>
      <c r="AK226" s="475" t="s">
        <v>50</v>
      </c>
      <c r="AL226" s="483">
        <v>92126</v>
      </c>
      <c r="AM226" s="474" t="s">
        <v>52</v>
      </c>
      <c r="AN226" s="384"/>
      <c r="AO226" s="474" t="s">
        <v>1076</v>
      </c>
      <c r="AP226" s="474"/>
      <c r="AQ226" s="482" t="s">
        <v>37</v>
      </c>
      <c r="AR226" s="474"/>
      <c r="AS226" s="473" t="s">
        <v>1492</v>
      </c>
      <c r="AT226" s="346"/>
      <c r="AU226" s="478">
        <f t="shared" si="44"/>
        <v>0.52</v>
      </c>
    </row>
    <row r="227" spans="1:47" s="471" customFormat="1">
      <c r="A227" s="495"/>
      <c r="B227" s="407">
        <v>44642</v>
      </c>
      <c r="C227" s="495"/>
      <c r="D227" s="512" t="s">
        <v>86</v>
      </c>
      <c r="E227" s="352" t="s">
        <v>2004</v>
      </c>
      <c r="F227" s="501"/>
      <c r="G227" s="371">
        <v>2022</v>
      </c>
      <c r="H227" s="371" t="s">
        <v>3004</v>
      </c>
      <c r="I227" s="501" t="s">
        <v>1676</v>
      </c>
      <c r="J227" s="502"/>
      <c r="K227" s="501" t="s">
        <v>4258</v>
      </c>
      <c r="L227" s="501" t="s">
        <v>1699</v>
      </c>
      <c r="M227" s="502">
        <v>44641</v>
      </c>
      <c r="N227" s="502">
        <v>44896</v>
      </c>
      <c r="O227" s="502"/>
      <c r="P227" s="353"/>
      <c r="Q227" s="502"/>
      <c r="R227" s="502"/>
      <c r="S227" s="501" t="s">
        <v>88</v>
      </c>
      <c r="T227" s="501">
        <v>60</v>
      </c>
      <c r="U227" s="501"/>
      <c r="V227" s="510" t="s">
        <v>986</v>
      </c>
      <c r="W227" s="501">
        <v>360</v>
      </c>
      <c r="X227" s="354">
        <v>2304</v>
      </c>
      <c r="Y227" s="397">
        <f t="shared" si="40"/>
        <v>829440</v>
      </c>
      <c r="Z227" s="478">
        <f>190.8/360</f>
        <v>0.53</v>
      </c>
      <c r="AA227" s="479">
        <f t="shared" si="43"/>
        <v>439603.20000000001</v>
      </c>
      <c r="AB227" s="480"/>
      <c r="AC227" s="481">
        <v>0</v>
      </c>
      <c r="AD227" s="474"/>
      <c r="AE227" s="474"/>
      <c r="AF227" s="493">
        <f t="shared" si="42"/>
        <v>439603.20000000001</v>
      </c>
      <c r="AG227" s="474" t="s">
        <v>1071</v>
      </c>
      <c r="AH227" s="474"/>
      <c r="AI227" s="474">
        <v>60</v>
      </c>
      <c r="AJ227" s="475" t="s">
        <v>1700</v>
      </c>
      <c r="AK227" s="475" t="s">
        <v>50</v>
      </c>
      <c r="AL227" s="483">
        <v>92126</v>
      </c>
      <c r="AM227" s="474" t="s">
        <v>52</v>
      </c>
      <c r="AN227" s="384"/>
      <c r="AO227" s="474" t="s">
        <v>1076</v>
      </c>
      <c r="AP227" s="474"/>
      <c r="AQ227" s="482" t="s">
        <v>37</v>
      </c>
      <c r="AR227" s="474"/>
      <c r="AS227" s="473" t="s">
        <v>1492</v>
      </c>
      <c r="AT227" s="346"/>
      <c r="AU227" s="478">
        <f t="shared" si="44"/>
        <v>0.52</v>
      </c>
    </row>
    <row r="228" spans="1:47" s="471" customFormat="1">
      <c r="A228" s="495"/>
      <c r="B228" s="407">
        <v>44663</v>
      </c>
      <c r="C228" s="495"/>
      <c r="D228" s="512" t="s">
        <v>86</v>
      </c>
      <c r="E228" s="352"/>
      <c r="F228" s="501"/>
      <c r="G228" s="371">
        <v>2022</v>
      </c>
      <c r="H228" s="371" t="s">
        <v>3004</v>
      </c>
      <c r="I228" s="501" t="s">
        <v>1676</v>
      </c>
      <c r="J228" s="502"/>
      <c r="K228" s="501" t="s">
        <v>4259</v>
      </c>
      <c r="L228" s="501" t="s">
        <v>1699</v>
      </c>
      <c r="M228" s="502">
        <v>44650</v>
      </c>
      <c r="N228" s="502">
        <v>44835</v>
      </c>
      <c r="O228" s="502"/>
      <c r="P228" s="353"/>
      <c r="Q228" s="502"/>
      <c r="R228" s="502"/>
      <c r="S228" s="501" t="s">
        <v>88</v>
      </c>
      <c r="T228" s="501">
        <v>60</v>
      </c>
      <c r="U228" s="501"/>
      <c r="V228" s="510" t="s">
        <v>973</v>
      </c>
      <c r="W228" s="501">
        <v>400</v>
      </c>
      <c r="X228" s="354">
        <v>3072</v>
      </c>
      <c r="Y228" s="397">
        <f t="shared" si="40"/>
        <v>1228800</v>
      </c>
      <c r="Z228" s="478">
        <f t="shared" ref="Z228:Z233" si="45">220/400</f>
        <v>0.55000000000000004</v>
      </c>
      <c r="AA228" s="479">
        <f t="shared" si="43"/>
        <v>675840</v>
      </c>
      <c r="AB228" s="480"/>
      <c r="AC228" s="481">
        <v>0</v>
      </c>
      <c r="AD228" s="474"/>
      <c r="AE228" s="474"/>
      <c r="AF228" s="493">
        <f t="shared" si="42"/>
        <v>675840</v>
      </c>
      <c r="AG228" s="474" t="s">
        <v>1071</v>
      </c>
      <c r="AH228" s="474"/>
      <c r="AI228" s="474">
        <v>60</v>
      </c>
      <c r="AJ228" s="475" t="s">
        <v>1700</v>
      </c>
      <c r="AK228" s="475" t="s">
        <v>50</v>
      </c>
      <c r="AL228" s="483">
        <v>92126</v>
      </c>
      <c r="AM228" s="474" t="s">
        <v>52</v>
      </c>
      <c r="AN228" s="384"/>
      <c r="AO228" s="474" t="s">
        <v>1076</v>
      </c>
      <c r="AP228" s="474"/>
      <c r="AQ228" s="482" t="s">
        <v>37</v>
      </c>
      <c r="AR228" s="474"/>
      <c r="AS228" s="473" t="s">
        <v>1492</v>
      </c>
      <c r="AT228" s="346"/>
      <c r="AU228" s="478">
        <f t="shared" si="44"/>
        <v>0.52</v>
      </c>
    </row>
    <row r="229" spans="1:47" s="471" customFormat="1">
      <c r="A229" s="495"/>
      <c r="B229" s="407">
        <v>44663</v>
      </c>
      <c r="C229" s="495"/>
      <c r="D229" s="512" t="s">
        <v>86</v>
      </c>
      <c r="E229" s="352"/>
      <c r="F229" s="501"/>
      <c r="G229" s="371">
        <v>2022</v>
      </c>
      <c r="H229" s="371" t="s">
        <v>3004</v>
      </c>
      <c r="I229" s="501" t="s">
        <v>1676</v>
      </c>
      <c r="J229" s="502"/>
      <c r="K229" s="501" t="s">
        <v>4259</v>
      </c>
      <c r="L229" s="501" t="s">
        <v>1699</v>
      </c>
      <c r="M229" s="502">
        <v>44650</v>
      </c>
      <c r="N229" s="502">
        <v>44866</v>
      </c>
      <c r="O229" s="502"/>
      <c r="P229" s="353"/>
      <c r="Q229" s="502"/>
      <c r="R229" s="502"/>
      <c r="S229" s="501" t="s">
        <v>88</v>
      </c>
      <c r="T229" s="501">
        <v>60</v>
      </c>
      <c r="U229" s="501"/>
      <c r="V229" s="510" t="s">
        <v>973</v>
      </c>
      <c r="W229" s="501">
        <v>400</v>
      </c>
      <c r="X229" s="354">
        <v>1536</v>
      </c>
      <c r="Y229" s="397">
        <f t="shared" si="40"/>
        <v>614400</v>
      </c>
      <c r="Z229" s="478">
        <f t="shared" si="45"/>
        <v>0.55000000000000004</v>
      </c>
      <c r="AA229" s="479">
        <f t="shared" si="43"/>
        <v>337920</v>
      </c>
      <c r="AB229" s="480"/>
      <c r="AC229" s="481">
        <v>0</v>
      </c>
      <c r="AD229" s="474"/>
      <c r="AE229" s="474"/>
      <c r="AF229" s="493">
        <f t="shared" si="42"/>
        <v>337920</v>
      </c>
      <c r="AG229" s="474" t="s">
        <v>1071</v>
      </c>
      <c r="AH229" s="474"/>
      <c r="AI229" s="474">
        <v>60</v>
      </c>
      <c r="AJ229" s="475" t="s">
        <v>1700</v>
      </c>
      <c r="AK229" s="475" t="s">
        <v>50</v>
      </c>
      <c r="AL229" s="483">
        <v>92126</v>
      </c>
      <c r="AM229" s="474" t="s">
        <v>52</v>
      </c>
      <c r="AN229" s="384"/>
      <c r="AO229" s="474" t="s">
        <v>1076</v>
      </c>
      <c r="AP229" s="474"/>
      <c r="AQ229" s="482" t="s">
        <v>37</v>
      </c>
      <c r="AR229" s="474"/>
      <c r="AS229" s="473" t="s">
        <v>1492</v>
      </c>
      <c r="AT229" s="346"/>
      <c r="AU229" s="478">
        <f t="shared" si="44"/>
        <v>0.52</v>
      </c>
    </row>
    <row r="230" spans="1:47" s="471" customFormat="1">
      <c r="A230" s="495"/>
      <c r="B230" s="407">
        <v>44663</v>
      </c>
      <c r="C230" s="495"/>
      <c r="D230" s="512" t="s">
        <v>86</v>
      </c>
      <c r="E230" s="352"/>
      <c r="F230" s="501"/>
      <c r="G230" s="371">
        <v>2022</v>
      </c>
      <c r="H230" s="371" t="s">
        <v>3004</v>
      </c>
      <c r="I230" s="501" t="s">
        <v>1676</v>
      </c>
      <c r="J230" s="502"/>
      <c r="K230" s="501" t="s">
        <v>4259</v>
      </c>
      <c r="L230" s="501" t="s">
        <v>1699</v>
      </c>
      <c r="M230" s="502">
        <v>44650</v>
      </c>
      <c r="N230" s="502">
        <v>44896</v>
      </c>
      <c r="O230" s="502"/>
      <c r="P230" s="353"/>
      <c r="Q230" s="502"/>
      <c r="R230" s="502"/>
      <c r="S230" s="501" t="s">
        <v>88</v>
      </c>
      <c r="T230" s="501">
        <v>60</v>
      </c>
      <c r="U230" s="501"/>
      <c r="V230" s="510" t="s">
        <v>973</v>
      </c>
      <c r="W230" s="501">
        <v>400</v>
      </c>
      <c r="X230" s="354">
        <v>1536</v>
      </c>
      <c r="Y230" s="397">
        <f t="shared" si="40"/>
        <v>614400</v>
      </c>
      <c r="Z230" s="478">
        <f t="shared" si="45"/>
        <v>0.55000000000000004</v>
      </c>
      <c r="AA230" s="479">
        <f t="shared" si="43"/>
        <v>337920</v>
      </c>
      <c r="AB230" s="480"/>
      <c r="AC230" s="481">
        <v>0</v>
      </c>
      <c r="AD230" s="474"/>
      <c r="AE230" s="474"/>
      <c r="AF230" s="493">
        <f t="shared" si="42"/>
        <v>337920</v>
      </c>
      <c r="AG230" s="474" t="s">
        <v>1071</v>
      </c>
      <c r="AH230" s="474"/>
      <c r="AI230" s="474">
        <v>60</v>
      </c>
      <c r="AJ230" s="475" t="s">
        <v>1700</v>
      </c>
      <c r="AK230" s="475" t="s">
        <v>50</v>
      </c>
      <c r="AL230" s="483">
        <v>92126</v>
      </c>
      <c r="AM230" s="474" t="s">
        <v>52</v>
      </c>
      <c r="AN230" s="384"/>
      <c r="AO230" s="474" t="s">
        <v>1076</v>
      </c>
      <c r="AP230" s="474"/>
      <c r="AQ230" s="482" t="s">
        <v>37</v>
      </c>
      <c r="AR230" s="474"/>
      <c r="AS230" s="473" t="s">
        <v>1492</v>
      </c>
      <c r="AT230" s="346"/>
      <c r="AU230" s="478">
        <f t="shared" si="44"/>
        <v>0.52</v>
      </c>
    </row>
    <row r="231" spans="1:47" s="471" customFormat="1">
      <c r="A231" s="495"/>
      <c r="B231" s="407">
        <v>44663</v>
      </c>
      <c r="C231" s="495"/>
      <c r="D231" s="512" t="s">
        <v>86</v>
      </c>
      <c r="E231" s="352"/>
      <c r="F231" s="501"/>
      <c r="G231" s="371">
        <v>2022</v>
      </c>
      <c r="H231" s="371" t="s">
        <v>3004</v>
      </c>
      <c r="I231" s="501" t="s">
        <v>1676</v>
      </c>
      <c r="J231" s="502"/>
      <c r="K231" s="501" t="s">
        <v>4259</v>
      </c>
      <c r="L231" s="501" t="s">
        <v>1699</v>
      </c>
      <c r="M231" s="502">
        <v>44650</v>
      </c>
      <c r="N231" s="502">
        <v>44835</v>
      </c>
      <c r="O231" s="502"/>
      <c r="P231" s="353"/>
      <c r="Q231" s="502"/>
      <c r="R231" s="502"/>
      <c r="S231" s="501" t="s">
        <v>88</v>
      </c>
      <c r="T231" s="501">
        <v>60</v>
      </c>
      <c r="U231" s="501"/>
      <c r="V231" s="510" t="s">
        <v>986</v>
      </c>
      <c r="W231" s="501">
        <v>360</v>
      </c>
      <c r="X231" s="354">
        <v>3072</v>
      </c>
      <c r="Y231" s="397">
        <f t="shared" si="40"/>
        <v>1105920</v>
      </c>
      <c r="Z231" s="478">
        <f t="shared" si="45"/>
        <v>0.55000000000000004</v>
      </c>
      <c r="AA231" s="479">
        <f t="shared" si="43"/>
        <v>608256</v>
      </c>
      <c r="AB231" s="480"/>
      <c r="AC231" s="481">
        <v>0</v>
      </c>
      <c r="AD231" s="474"/>
      <c r="AE231" s="474"/>
      <c r="AF231" s="493">
        <f t="shared" si="42"/>
        <v>608256</v>
      </c>
      <c r="AG231" s="474" t="s">
        <v>1071</v>
      </c>
      <c r="AH231" s="474"/>
      <c r="AI231" s="474">
        <v>60</v>
      </c>
      <c r="AJ231" s="475" t="s">
        <v>1700</v>
      </c>
      <c r="AK231" s="475" t="s">
        <v>50</v>
      </c>
      <c r="AL231" s="483">
        <v>92126</v>
      </c>
      <c r="AM231" s="474" t="s">
        <v>52</v>
      </c>
      <c r="AN231" s="384"/>
      <c r="AO231" s="474" t="s">
        <v>1076</v>
      </c>
      <c r="AP231" s="474"/>
      <c r="AQ231" s="482" t="s">
        <v>37</v>
      </c>
      <c r="AR231" s="474"/>
      <c r="AS231" s="473" t="s">
        <v>1492</v>
      </c>
      <c r="AT231" s="346"/>
      <c r="AU231" s="478">
        <f t="shared" si="44"/>
        <v>0.52</v>
      </c>
    </row>
    <row r="232" spans="1:47" s="471" customFormat="1">
      <c r="A232" s="495"/>
      <c r="B232" s="407">
        <v>44663</v>
      </c>
      <c r="C232" s="495"/>
      <c r="D232" s="512" t="s">
        <v>86</v>
      </c>
      <c r="E232" s="352"/>
      <c r="F232" s="501"/>
      <c r="G232" s="371">
        <v>2022</v>
      </c>
      <c r="H232" s="371" t="s">
        <v>3004</v>
      </c>
      <c r="I232" s="501" t="s">
        <v>1676</v>
      </c>
      <c r="J232" s="502"/>
      <c r="K232" s="501" t="s">
        <v>4259</v>
      </c>
      <c r="L232" s="501" t="s">
        <v>1699</v>
      </c>
      <c r="M232" s="502">
        <v>44650</v>
      </c>
      <c r="N232" s="502">
        <v>44866</v>
      </c>
      <c r="O232" s="502"/>
      <c r="P232" s="353"/>
      <c r="Q232" s="502"/>
      <c r="R232" s="502"/>
      <c r="S232" s="501" t="s">
        <v>88</v>
      </c>
      <c r="T232" s="501">
        <v>60</v>
      </c>
      <c r="U232" s="501"/>
      <c r="V232" s="510" t="s">
        <v>986</v>
      </c>
      <c r="W232" s="501">
        <v>360</v>
      </c>
      <c r="X232" s="354">
        <v>1536</v>
      </c>
      <c r="Y232" s="397">
        <f t="shared" si="40"/>
        <v>552960</v>
      </c>
      <c r="Z232" s="478">
        <f t="shared" si="45"/>
        <v>0.55000000000000004</v>
      </c>
      <c r="AA232" s="479">
        <f t="shared" si="43"/>
        <v>304128</v>
      </c>
      <c r="AB232" s="480"/>
      <c r="AC232" s="481">
        <v>0</v>
      </c>
      <c r="AD232" s="474"/>
      <c r="AE232" s="474"/>
      <c r="AF232" s="493">
        <f t="shared" si="42"/>
        <v>304128</v>
      </c>
      <c r="AG232" s="474" t="s">
        <v>1071</v>
      </c>
      <c r="AH232" s="474"/>
      <c r="AI232" s="474">
        <v>60</v>
      </c>
      <c r="AJ232" s="475" t="s">
        <v>1700</v>
      </c>
      <c r="AK232" s="475" t="s">
        <v>50</v>
      </c>
      <c r="AL232" s="483">
        <v>92126</v>
      </c>
      <c r="AM232" s="474" t="s">
        <v>52</v>
      </c>
      <c r="AN232" s="384"/>
      <c r="AO232" s="474" t="s">
        <v>1076</v>
      </c>
      <c r="AP232" s="474"/>
      <c r="AQ232" s="482" t="s">
        <v>37</v>
      </c>
      <c r="AR232" s="474"/>
      <c r="AS232" s="473" t="s">
        <v>1492</v>
      </c>
      <c r="AT232" s="346"/>
      <c r="AU232" s="478">
        <f t="shared" si="44"/>
        <v>0.52</v>
      </c>
    </row>
    <row r="233" spans="1:47" s="471" customFormat="1">
      <c r="A233" s="495"/>
      <c r="B233" s="407"/>
      <c r="C233" s="495"/>
      <c r="D233" s="512" t="s">
        <v>86</v>
      </c>
      <c r="E233" s="352" t="s">
        <v>4179</v>
      </c>
      <c r="F233" s="501"/>
      <c r="G233" s="371">
        <v>2022</v>
      </c>
      <c r="H233" s="371" t="s">
        <v>4093</v>
      </c>
      <c r="I233" s="501" t="s">
        <v>3004</v>
      </c>
      <c r="J233" s="502"/>
      <c r="K233" s="501" t="s">
        <v>2229</v>
      </c>
      <c r="L233" s="501" t="s">
        <v>2025</v>
      </c>
      <c r="M233" s="502">
        <v>44621</v>
      </c>
      <c r="N233" s="502">
        <v>44896</v>
      </c>
      <c r="O233" s="502"/>
      <c r="P233" s="353"/>
      <c r="Q233" s="502"/>
      <c r="R233" s="502"/>
      <c r="S233" s="501" t="s">
        <v>1704</v>
      </c>
      <c r="T233" s="501">
        <v>60</v>
      </c>
      <c r="U233" s="501"/>
      <c r="V233" s="510" t="s">
        <v>973</v>
      </c>
      <c r="W233" s="501">
        <v>400</v>
      </c>
      <c r="X233" s="354">
        <v>1536</v>
      </c>
      <c r="Y233" s="397">
        <f t="shared" si="40"/>
        <v>614400</v>
      </c>
      <c r="Z233" s="478">
        <f t="shared" si="45"/>
        <v>0.55000000000000004</v>
      </c>
      <c r="AA233" s="479">
        <f t="shared" si="43"/>
        <v>337920</v>
      </c>
      <c r="AB233" s="480"/>
      <c r="AC233" s="481">
        <f t="shared" ref="AC233:AC241" si="46">AB233*Y233</f>
        <v>0</v>
      </c>
      <c r="AD233" s="474"/>
      <c r="AE233" s="474"/>
      <c r="AF233" s="493">
        <f t="shared" si="42"/>
        <v>337920</v>
      </c>
      <c r="AG233" s="474" t="s">
        <v>1071</v>
      </c>
      <c r="AH233" s="474"/>
      <c r="AI233" s="474">
        <v>60</v>
      </c>
      <c r="AJ233" s="475" t="s">
        <v>2026</v>
      </c>
      <c r="AK233" s="475" t="s">
        <v>50</v>
      </c>
      <c r="AL233" s="483">
        <v>95403</v>
      </c>
      <c r="AM233" s="474" t="s">
        <v>52</v>
      </c>
      <c r="AN233" s="384" t="s">
        <v>50</v>
      </c>
      <c r="AO233" s="474" t="s">
        <v>1076</v>
      </c>
      <c r="AP233" s="474" t="s">
        <v>92</v>
      </c>
      <c r="AQ233" s="482" t="s">
        <v>37</v>
      </c>
      <c r="AR233" s="474" t="s">
        <v>1216</v>
      </c>
      <c r="AS233" s="473" t="s">
        <v>1492</v>
      </c>
      <c r="AT233" s="346"/>
      <c r="AU233" s="478">
        <f t="shared" si="44"/>
        <v>0.52</v>
      </c>
    </row>
    <row r="234" spans="1:47" s="471" customFormat="1">
      <c r="A234" s="495"/>
      <c r="B234" s="407"/>
      <c r="C234" s="495"/>
      <c r="D234" s="512" t="s">
        <v>86</v>
      </c>
      <c r="E234" s="352" t="s">
        <v>4179</v>
      </c>
      <c r="F234" s="501"/>
      <c r="G234" s="371">
        <v>2022</v>
      </c>
      <c r="H234" s="371" t="s">
        <v>4093</v>
      </c>
      <c r="I234" s="501" t="s">
        <v>3004</v>
      </c>
      <c r="J234" s="502"/>
      <c r="K234" s="501" t="s">
        <v>2229</v>
      </c>
      <c r="L234" s="501" t="s">
        <v>2025</v>
      </c>
      <c r="M234" s="502">
        <v>44621</v>
      </c>
      <c r="N234" s="502">
        <v>44896</v>
      </c>
      <c r="O234" s="502"/>
      <c r="P234" s="353"/>
      <c r="Q234" s="502"/>
      <c r="R234" s="502"/>
      <c r="S234" s="501" t="s">
        <v>1704</v>
      </c>
      <c r="T234" s="501">
        <v>60</v>
      </c>
      <c r="U234" s="501"/>
      <c r="V234" s="510" t="s">
        <v>986</v>
      </c>
      <c r="W234" s="501">
        <v>360</v>
      </c>
      <c r="X234" s="354">
        <v>1536</v>
      </c>
      <c r="Y234" s="397">
        <f t="shared" si="40"/>
        <v>552960</v>
      </c>
      <c r="Z234" s="478">
        <f>190.8/360</f>
        <v>0.53</v>
      </c>
      <c r="AA234" s="479">
        <f t="shared" si="43"/>
        <v>293068.79999999999</v>
      </c>
      <c r="AB234" s="480"/>
      <c r="AC234" s="481">
        <f t="shared" si="46"/>
        <v>0</v>
      </c>
      <c r="AD234" s="474"/>
      <c r="AE234" s="474"/>
      <c r="AF234" s="493">
        <f t="shared" si="42"/>
        <v>293068.79999999999</v>
      </c>
      <c r="AG234" s="474" t="s">
        <v>1071</v>
      </c>
      <c r="AH234" s="474"/>
      <c r="AI234" s="474">
        <v>60</v>
      </c>
      <c r="AJ234" s="475" t="s">
        <v>2026</v>
      </c>
      <c r="AK234" s="475" t="s">
        <v>50</v>
      </c>
      <c r="AL234" s="483">
        <v>95403</v>
      </c>
      <c r="AM234" s="474" t="s">
        <v>52</v>
      </c>
      <c r="AN234" s="384" t="s">
        <v>50</v>
      </c>
      <c r="AO234" s="474" t="s">
        <v>1076</v>
      </c>
      <c r="AP234" s="474" t="s">
        <v>92</v>
      </c>
      <c r="AQ234" s="482" t="s">
        <v>37</v>
      </c>
      <c r="AR234" s="474" t="s">
        <v>1216</v>
      </c>
      <c r="AS234" s="473" t="s">
        <v>1492</v>
      </c>
      <c r="AT234" s="346"/>
      <c r="AU234" s="478">
        <f t="shared" si="44"/>
        <v>0.52</v>
      </c>
    </row>
    <row r="235" spans="1:47" s="471" customFormat="1">
      <c r="A235" s="495"/>
      <c r="B235" s="407"/>
      <c r="C235" s="495"/>
      <c r="D235" s="512" t="s">
        <v>86</v>
      </c>
      <c r="E235" s="352" t="s">
        <v>4179</v>
      </c>
      <c r="F235" s="501"/>
      <c r="G235" s="371">
        <v>2022</v>
      </c>
      <c r="H235" s="371" t="s">
        <v>4093</v>
      </c>
      <c r="I235" s="501" t="s">
        <v>3004</v>
      </c>
      <c r="J235" s="502"/>
      <c r="K235" s="501" t="s">
        <v>2228</v>
      </c>
      <c r="L235" s="501" t="s">
        <v>2025</v>
      </c>
      <c r="M235" s="502">
        <v>44621</v>
      </c>
      <c r="N235" s="502">
        <v>44866</v>
      </c>
      <c r="O235" s="502"/>
      <c r="P235" s="353"/>
      <c r="Q235" s="502"/>
      <c r="R235" s="502"/>
      <c r="S235" s="501" t="s">
        <v>1704</v>
      </c>
      <c r="T235" s="501">
        <v>60</v>
      </c>
      <c r="U235" s="501"/>
      <c r="V235" s="510" t="s">
        <v>973</v>
      </c>
      <c r="W235" s="501">
        <v>400</v>
      </c>
      <c r="X235" s="354">
        <v>1536</v>
      </c>
      <c r="Y235" s="397">
        <f t="shared" si="40"/>
        <v>614400</v>
      </c>
      <c r="Z235" s="478">
        <f>220/400</f>
        <v>0.55000000000000004</v>
      </c>
      <c r="AA235" s="479">
        <f t="shared" si="43"/>
        <v>337920</v>
      </c>
      <c r="AB235" s="480"/>
      <c r="AC235" s="481">
        <f t="shared" si="46"/>
        <v>0</v>
      </c>
      <c r="AD235" s="474"/>
      <c r="AE235" s="474"/>
      <c r="AF235" s="493">
        <f t="shared" si="42"/>
        <v>337920</v>
      </c>
      <c r="AG235" s="474" t="s">
        <v>1071</v>
      </c>
      <c r="AH235" s="474"/>
      <c r="AI235" s="474">
        <v>60</v>
      </c>
      <c r="AJ235" s="475" t="s">
        <v>2026</v>
      </c>
      <c r="AK235" s="475" t="s">
        <v>50</v>
      </c>
      <c r="AL235" s="483">
        <v>95403</v>
      </c>
      <c r="AM235" s="474" t="s">
        <v>52</v>
      </c>
      <c r="AN235" s="384" t="s">
        <v>50</v>
      </c>
      <c r="AO235" s="474" t="s">
        <v>1076</v>
      </c>
      <c r="AP235" s="474" t="s">
        <v>92</v>
      </c>
      <c r="AQ235" s="482" t="s">
        <v>37</v>
      </c>
      <c r="AR235" s="474" t="s">
        <v>1216</v>
      </c>
      <c r="AS235" s="473" t="s">
        <v>1492</v>
      </c>
      <c r="AT235" s="346"/>
      <c r="AU235" s="478">
        <f t="shared" si="44"/>
        <v>0.52</v>
      </c>
    </row>
    <row r="236" spans="1:47" s="471" customFormat="1">
      <c r="A236" s="495"/>
      <c r="B236" s="407"/>
      <c r="C236" s="495"/>
      <c r="D236" s="512" t="s">
        <v>86</v>
      </c>
      <c r="E236" s="352" t="s">
        <v>4179</v>
      </c>
      <c r="F236" s="501"/>
      <c r="G236" s="371">
        <v>2022</v>
      </c>
      <c r="H236" s="371" t="s">
        <v>4093</v>
      </c>
      <c r="I236" s="501" t="s">
        <v>3004</v>
      </c>
      <c r="J236" s="502"/>
      <c r="K236" s="501" t="s">
        <v>2228</v>
      </c>
      <c r="L236" s="501" t="s">
        <v>2025</v>
      </c>
      <c r="M236" s="502">
        <v>44621</v>
      </c>
      <c r="N236" s="502">
        <v>44866</v>
      </c>
      <c r="O236" s="502"/>
      <c r="P236" s="353"/>
      <c r="Q236" s="502"/>
      <c r="R236" s="502"/>
      <c r="S236" s="501" t="s">
        <v>1704</v>
      </c>
      <c r="T236" s="501">
        <v>60</v>
      </c>
      <c r="U236" s="501"/>
      <c r="V236" s="510" t="s">
        <v>986</v>
      </c>
      <c r="W236" s="501">
        <v>360</v>
      </c>
      <c r="X236" s="354">
        <v>1536</v>
      </c>
      <c r="Y236" s="397">
        <f t="shared" si="40"/>
        <v>552960</v>
      </c>
      <c r="Z236" s="478">
        <f>190.8/360</f>
        <v>0.53</v>
      </c>
      <c r="AA236" s="479">
        <f t="shared" si="43"/>
        <v>293068.79999999999</v>
      </c>
      <c r="AB236" s="480"/>
      <c r="AC236" s="481">
        <f t="shared" si="46"/>
        <v>0</v>
      </c>
      <c r="AD236" s="474"/>
      <c r="AE236" s="474"/>
      <c r="AF236" s="493">
        <f t="shared" si="42"/>
        <v>293068.79999999999</v>
      </c>
      <c r="AG236" s="474" t="s">
        <v>1071</v>
      </c>
      <c r="AH236" s="474"/>
      <c r="AI236" s="474">
        <v>60</v>
      </c>
      <c r="AJ236" s="475" t="s">
        <v>2026</v>
      </c>
      <c r="AK236" s="475" t="s">
        <v>50</v>
      </c>
      <c r="AL236" s="483">
        <v>95403</v>
      </c>
      <c r="AM236" s="474" t="s">
        <v>52</v>
      </c>
      <c r="AN236" s="384" t="s">
        <v>50</v>
      </c>
      <c r="AO236" s="474" t="s">
        <v>1076</v>
      </c>
      <c r="AP236" s="474" t="s">
        <v>92</v>
      </c>
      <c r="AQ236" s="482" t="s">
        <v>37</v>
      </c>
      <c r="AR236" s="474" t="s">
        <v>1216</v>
      </c>
      <c r="AS236" s="473" t="s">
        <v>1492</v>
      </c>
      <c r="AT236" s="346"/>
      <c r="AU236" s="478">
        <f t="shared" si="44"/>
        <v>0.52</v>
      </c>
    </row>
    <row r="237" spans="1:47" s="471" customFormat="1">
      <c r="A237" s="495"/>
      <c r="B237" s="407"/>
      <c r="C237" s="495"/>
      <c r="D237" s="512" t="s">
        <v>86</v>
      </c>
      <c r="E237" s="352" t="s">
        <v>4179</v>
      </c>
      <c r="F237" s="501"/>
      <c r="G237" s="371">
        <v>2022</v>
      </c>
      <c r="H237" s="371" t="s">
        <v>4093</v>
      </c>
      <c r="I237" s="501" t="s">
        <v>3004</v>
      </c>
      <c r="J237" s="502"/>
      <c r="K237" s="501" t="s">
        <v>2227</v>
      </c>
      <c r="L237" s="501" t="s">
        <v>2025</v>
      </c>
      <c r="M237" s="502">
        <v>44621</v>
      </c>
      <c r="N237" s="502">
        <v>44835</v>
      </c>
      <c r="O237" s="502"/>
      <c r="P237" s="353"/>
      <c r="Q237" s="502"/>
      <c r="R237" s="502"/>
      <c r="S237" s="501" t="s">
        <v>1704</v>
      </c>
      <c r="T237" s="501">
        <v>60</v>
      </c>
      <c r="U237" s="501"/>
      <c r="V237" s="510" t="s">
        <v>973</v>
      </c>
      <c r="W237" s="501">
        <v>400</v>
      </c>
      <c r="X237" s="354">
        <v>1536</v>
      </c>
      <c r="Y237" s="397">
        <f t="shared" si="40"/>
        <v>614400</v>
      </c>
      <c r="Z237" s="478">
        <f>220/400</f>
        <v>0.55000000000000004</v>
      </c>
      <c r="AA237" s="479">
        <f t="shared" si="43"/>
        <v>337920</v>
      </c>
      <c r="AB237" s="480"/>
      <c r="AC237" s="481">
        <f t="shared" si="46"/>
        <v>0</v>
      </c>
      <c r="AD237" s="474"/>
      <c r="AE237" s="474"/>
      <c r="AF237" s="493">
        <f t="shared" si="42"/>
        <v>337920</v>
      </c>
      <c r="AG237" s="474" t="s">
        <v>1071</v>
      </c>
      <c r="AH237" s="474"/>
      <c r="AI237" s="474">
        <v>60</v>
      </c>
      <c r="AJ237" s="475" t="s">
        <v>2026</v>
      </c>
      <c r="AK237" s="475" t="s">
        <v>50</v>
      </c>
      <c r="AL237" s="483">
        <v>95403</v>
      </c>
      <c r="AM237" s="474" t="s">
        <v>52</v>
      </c>
      <c r="AN237" s="384" t="s">
        <v>50</v>
      </c>
      <c r="AO237" s="474" t="s">
        <v>1076</v>
      </c>
      <c r="AP237" s="474" t="s">
        <v>92</v>
      </c>
      <c r="AQ237" s="482" t="s">
        <v>37</v>
      </c>
      <c r="AR237" s="474" t="s">
        <v>1216</v>
      </c>
      <c r="AS237" s="473" t="s">
        <v>1492</v>
      </c>
      <c r="AT237" s="346"/>
      <c r="AU237" s="478">
        <f t="shared" si="44"/>
        <v>0.52</v>
      </c>
    </row>
    <row r="238" spans="1:47" s="471" customFormat="1">
      <c r="A238" s="495"/>
      <c r="B238" s="407"/>
      <c r="C238" s="495"/>
      <c r="D238" s="512" t="s">
        <v>86</v>
      </c>
      <c r="E238" s="352" t="s">
        <v>4179</v>
      </c>
      <c r="F238" s="501"/>
      <c r="G238" s="371">
        <v>2022</v>
      </c>
      <c r="H238" s="371" t="s">
        <v>4093</v>
      </c>
      <c r="I238" s="501" t="s">
        <v>3004</v>
      </c>
      <c r="J238" s="502"/>
      <c r="K238" s="501" t="s">
        <v>2227</v>
      </c>
      <c r="L238" s="501" t="s">
        <v>2025</v>
      </c>
      <c r="M238" s="502">
        <v>44621</v>
      </c>
      <c r="N238" s="502">
        <v>44835</v>
      </c>
      <c r="O238" s="502"/>
      <c r="P238" s="353"/>
      <c r="Q238" s="502"/>
      <c r="R238" s="502"/>
      <c r="S238" s="501" t="s">
        <v>1704</v>
      </c>
      <c r="T238" s="501">
        <v>60</v>
      </c>
      <c r="U238" s="501"/>
      <c r="V238" s="510" t="s">
        <v>986</v>
      </c>
      <c r="W238" s="501">
        <v>360</v>
      </c>
      <c r="X238" s="354">
        <v>1536</v>
      </c>
      <c r="Y238" s="397">
        <f t="shared" si="40"/>
        <v>552960</v>
      </c>
      <c r="Z238" s="478">
        <f>190.8/360</f>
        <v>0.53</v>
      </c>
      <c r="AA238" s="479">
        <f t="shared" si="43"/>
        <v>293068.79999999999</v>
      </c>
      <c r="AB238" s="480"/>
      <c r="AC238" s="481">
        <f t="shared" si="46"/>
        <v>0</v>
      </c>
      <c r="AD238" s="474"/>
      <c r="AE238" s="474"/>
      <c r="AF238" s="493">
        <f t="shared" si="42"/>
        <v>293068.79999999999</v>
      </c>
      <c r="AG238" s="474" t="s">
        <v>1071</v>
      </c>
      <c r="AH238" s="474"/>
      <c r="AI238" s="474">
        <v>60</v>
      </c>
      <c r="AJ238" s="475" t="s">
        <v>2026</v>
      </c>
      <c r="AK238" s="475" t="s">
        <v>50</v>
      </c>
      <c r="AL238" s="483">
        <v>95403</v>
      </c>
      <c r="AM238" s="474" t="s">
        <v>52</v>
      </c>
      <c r="AN238" s="384" t="s">
        <v>50</v>
      </c>
      <c r="AO238" s="474" t="s">
        <v>1076</v>
      </c>
      <c r="AP238" s="474" t="s">
        <v>92</v>
      </c>
      <c r="AQ238" s="482" t="s">
        <v>37</v>
      </c>
      <c r="AR238" s="474" t="s">
        <v>1216</v>
      </c>
      <c r="AS238" s="473" t="s">
        <v>1492</v>
      </c>
      <c r="AT238" s="346"/>
      <c r="AU238" s="478">
        <f t="shared" si="44"/>
        <v>0.52</v>
      </c>
    </row>
    <row r="239" spans="1:47" s="471" customFormat="1">
      <c r="A239" s="495"/>
      <c r="B239" s="407"/>
      <c r="C239" s="495"/>
      <c r="D239" s="512" t="s">
        <v>86</v>
      </c>
      <c r="E239" s="352"/>
      <c r="F239" s="501"/>
      <c r="G239" s="371">
        <v>2022</v>
      </c>
      <c r="H239" s="371" t="s">
        <v>4093</v>
      </c>
      <c r="I239" s="501" t="s">
        <v>1676</v>
      </c>
      <c r="J239" s="502"/>
      <c r="K239" s="501" t="s">
        <v>4260</v>
      </c>
      <c r="L239" s="501" t="s">
        <v>1842</v>
      </c>
      <c r="M239" s="502">
        <v>44651</v>
      </c>
      <c r="N239" s="502">
        <v>44835</v>
      </c>
      <c r="O239" s="502"/>
      <c r="P239" s="353"/>
      <c r="Q239" s="502"/>
      <c r="R239" s="502"/>
      <c r="S239" s="501" t="s">
        <v>1688</v>
      </c>
      <c r="T239" s="501">
        <v>60</v>
      </c>
      <c r="U239" s="501"/>
      <c r="V239" s="510" t="s">
        <v>986</v>
      </c>
      <c r="W239" s="501">
        <v>360</v>
      </c>
      <c r="X239" s="354">
        <v>3328</v>
      </c>
      <c r="Y239" s="397">
        <f t="shared" si="40"/>
        <v>1198080</v>
      </c>
      <c r="Z239" s="478">
        <f>190.8/360</f>
        <v>0.53</v>
      </c>
      <c r="AA239" s="479">
        <f t="shared" si="43"/>
        <v>634982.40000000002</v>
      </c>
      <c r="AB239" s="480"/>
      <c r="AC239" s="481">
        <f t="shared" si="46"/>
        <v>0</v>
      </c>
      <c r="AD239" s="474"/>
      <c r="AE239" s="474"/>
      <c r="AF239" s="493">
        <f t="shared" si="42"/>
        <v>634982.40000000002</v>
      </c>
      <c r="AG239" s="474" t="s">
        <v>1071</v>
      </c>
      <c r="AH239" s="474"/>
      <c r="AI239" s="474">
        <v>60</v>
      </c>
      <c r="AJ239" s="475" t="s">
        <v>1860</v>
      </c>
      <c r="AK239" s="475" t="s">
        <v>50</v>
      </c>
      <c r="AL239" s="483" t="s">
        <v>1861</v>
      </c>
      <c r="AM239" s="474" t="s">
        <v>52</v>
      </c>
      <c r="AN239" s="384"/>
      <c r="AO239" s="474" t="s">
        <v>1076</v>
      </c>
      <c r="AP239" s="474"/>
      <c r="AQ239" s="482" t="s">
        <v>37</v>
      </c>
      <c r="AR239" s="474" t="s">
        <v>1216</v>
      </c>
      <c r="AS239" s="473" t="s">
        <v>1492</v>
      </c>
      <c r="AT239" s="346"/>
      <c r="AU239" s="478">
        <f>180/360</f>
        <v>0.5</v>
      </c>
    </row>
    <row r="240" spans="1:47" s="471" customFormat="1">
      <c r="A240" s="495"/>
      <c r="B240" s="407"/>
      <c r="C240" s="495"/>
      <c r="D240" s="512" t="s">
        <v>86</v>
      </c>
      <c r="E240" s="352"/>
      <c r="F240" s="501"/>
      <c r="G240" s="371">
        <v>2022</v>
      </c>
      <c r="H240" s="371" t="s">
        <v>4093</v>
      </c>
      <c r="I240" s="501" t="s">
        <v>1676</v>
      </c>
      <c r="J240" s="502"/>
      <c r="K240" s="501" t="s">
        <v>4260</v>
      </c>
      <c r="L240" s="501" t="s">
        <v>1842</v>
      </c>
      <c r="M240" s="502">
        <v>44651</v>
      </c>
      <c r="N240" s="502">
        <v>44866</v>
      </c>
      <c r="O240" s="502"/>
      <c r="P240" s="353"/>
      <c r="Q240" s="502"/>
      <c r="R240" s="502"/>
      <c r="S240" s="501" t="s">
        <v>1688</v>
      </c>
      <c r="T240" s="501">
        <v>60</v>
      </c>
      <c r="U240" s="501"/>
      <c r="V240" s="510" t="s">
        <v>986</v>
      </c>
      <c r="W240" s="501">
        <v>360</v>
      </c>
      <c r="X240" s="354">
        <v>3328</v>
      </c>
      <c r="Y240" s="397">
        <f t="shared" si="40"/>
        <v>1198080</v>
      </c>
      <c r="Z240" s="478">
        <f>190.8/360</f>
        <v>0.53</v>
      </c>
      <c r="AA240" s="479">
        <f t="shared" si="43"/>
        <v>634982.40000000002</v>
      </c>
      <c r="AB240" s="480"/>
      <c r="AC240" s="481">
        <f t="shared" si="46"/>
        <v>0</v>
      </c>
      <c r="AD240" s="474"/>
      <c r="AE240" s="474"/>
      <c r="AF240" s="493">
        <f t="shared" si="42"/>
        <v>634982.40000000002</v>
      </c>
      <c r="AG240" s="474" t="s">
        <v>1071</v>
      </c>
      <c r="AH240" s="474"/>
      <c r="AI240" s="474">
        <v>60</v>
      </c>
      <c r="AJ240" s="475" t="s">
        <v>1860</v>
      </c>
      <c r="AK240" s="475" t="s">
        <v>50</v>
      </c>
      <c r="AL240" s="483" t="s">
        <v>1861</v>
      </c>
      <c r="AM240" s="474" t="s">
        <v>52</v>
      </c>
      <c r="AN240" s="384"/>
      <c r="AO240" s="474" t="s">
        <v>1076</v>
      </c>
      <c r="AP240" s="474"/>
      <c r="AQ240" s="482" t="s">
        <v>37</v>
      </c>
      <c r="AR240" s="474" t="s">
        <v>1216</v>
      </c>
      <c r="AS240" s="473" t="s">
        <v>1492</v>
      </c>
      <c r="AT240" s="346"/>
      <c r="AU240" s="478">
        <f>180/360</f>
        <v>0.5</v>
      </c>
    </row>
    <row r="241" spans="1:47" s="471" customFormat="1">
      <c r="A241" s="495"/>
      <c r="B241" s="407"/>
      <c r="C241" s="495"/>
      <c r="D241" s="512" t="s">
        <v>86</v>
      </c>
      <c r="E241" s="352"/>
      <c r="F241" s="501"/>
      <c r="G241" s="371">
        <v>2022</v>
      </c>
      <c r="H241" s="371" t="s">
        <v>4093</v>
      </c>
      <c r="I241" s="501" t="s">
        <v>1676</v>
      </c>
      <c r="J241" s="502"/>
      <c r="K241" s="501" t="s">
        <v>4260</v>
      </c>
      <c r="L241" s="501" t="s">
        <v>1842</v>
      </c>
      <c r="M241" s="502">
        <v>44651</v>
      </c>
      <c r="N241" s="502">
        <v>44896</v>
      </c>
      <c r="O241" s="502"/>
      <c r="P241" s="353"/>
      <c r="Q241" s="502"/>
      <c r="R241" s="502"/>
      <c r="S241" s="501" t="s">
        <v>1688</v>
      </c>
      <c r="T241" s="501">
        <v>60</v>
      </c>
      <c r="U241" s="501"/>
      <c r="V241" s="510" t="s">
        <v>986</v>
      </c>
      <c r="W241" s="501">
        <v>360</v>
      </c>
      <c r="X241" s="354">
        <v>3328</v>
      </c>
      <c r="Y241" s="397">
        <f t="shared" si="40"/>
        <v>1198080</v>
      </c>
      <c r="Z241" s="478">
        <f>190.8/360</f>
        <v>0.53</v>
      </c>
      <c r="AA241" s="479">
        <f t="shared" si="43"/>
        <v>634982.40000000002</v>
      </c>
      <c r="AB241" s="480"/>
      <c r="AC241" s="481">
        <f t="shared" si="46"/>
        <v>0</v>
      </c>
      <c r="AD241" s="474"/>
      <c r="AE241" s="474"/>
      <c r="AF241" s="493">
        <f t="shared" si="42"/>
        <v>634982.40000000002</v>
      </c>
      <c r="AG241" s="474" t="s">
        <v>1071</v>
      </c>
      <c r="AH241" s="474"/>
      <c r="AI241" s="474">
        <v>60</v>
      </c>
      <c r="AJ241" s="475" t="s">
        <v>1860</v>
      </c>
      <c r="AK241" s="475" t="s">
        <v>50</v>
      </c>
      <c r="AL241" s="483" t="s">
        <v>1861</v>
      </c>
      <c r="AM241" s="474" t="s">
        <v>52</v>
      </c>
      <c r="AN241" s="384"/>
      <c r="AO241" s="474" t="s">
        <v>1076</v>
      </c>
      <c r="AP241" s="474"/>
      <c r="AQ241" s="482" t="s">
        <v>37</v>
      </c>
      <c r="AR241" s="474" t="s">
        <v>1216</v>
      </c>
      <c r="AS241" s="473" t="s">
        <v>1492</v>
      </c>
      <c r="AT241" s="346"/>
      <c r="AU241" s="478">
        <f>180/360</f>
        <v>0.5</v>
      </c>
    </row>
    <row r="242" spans="1:47" s="471" customFormat="1">
      <c r="A242" s="495"/>
      <c r="B242" s="407">
        <v>44657</v>
      </c>
      <c r="C242" s="495"/>
      <c r="D242" s="512" t="s">
        <v>86</v>
      </c>
      <c r="E242" s="352"/>
      <c r="F242" s="501"/>
      <c r="G242" s="371">
        <v>2022</v>
      </c>
      <c r="H242" s="371" t="s">
        <v>3004</v>
      </c>
      <c r="I242" s="501" t="s">
        <v>1676</v>
      </c>
      <c r="J242" s="502"/>
      <c r="K242" s="501" t="s">
        <v>4261</v>
      </c>
      <c r="L242" s="501" t="s">
        <v>1912</v>
      </c>
      <c r="M242" s="502">
        <v>44655</v>
      </c>
      <c r="N242" s="502">
        <v>44746</v>
      </c>
      <c r="O242" s="502"/>
      <c r="P242" s="353"/>
      <c r="Q242" s="502"/>
      <c r="R242" s="502"/>
      <c r="S242" s="501" t="s">
        <v>1688</v>
      </c>
      <c r="T242" s="501">
        <v>60</v>
      </c>
      <c r="U242" s="501"/>
      <c r="V242" s="510" t="s">
        <v>973</v>
      </c>
      <c r="W242" s="501">
        <v>400</v>
      </c>
      <c r="X242" s="354">
        <v>9984</v>
      </c>
      <c r="Y242" s="397">
        <f t="shared" si="40"/>
        <v>3993600</v>
      </c>
      <c r="Z242" s="478">
        <f t="shared" ref="Z242:Z248" si="47">220/400</f>
        <v>0.55000000000000004</v>
      </c>
      <c r="AA242" s="479">
        <f t="shared" si="43"/>
        <v>2196480</v>
      </c>
      <c r="AB242" s="480"/>
      <c r="AC242" s="481">
        <v>0</v>
      </c>
      <c r="AD242" s="474"/>
      <c r="AE242" s="474"/>
      <c r="AF242" s="493">
        <f t="shared" si="42"/>
        <v>2196480</v>
      </c>
      <c r="AG242" s="474" t="s">
        <v>1071</v>
      </c>
      <c r="AH242" s="474"/>
      <c r="AI242" s="474">
        <v>60</v>
      </c>
      <c r="AJ242" s="475" t="s">
        <v>1913</v>
      </c>
      <c r="AK242" s="475" t="s">
        <v>50</v>
      </c>
      <c r="AL242" s="483" t="s">
        <v>1914</v>
      </c>
      <c r="AM242" s="474" t="s">
        <v>52</v>
      </c>
      <c r="AN242" s="384" t="s">
        <v>50</v>
      </c>
      <c r="AO242" s="474" t="s">
        <v>1076</v>
      </c>
      <c r="AP242" s="474" t="s">
        <v>38</v>
      </c>
      <c r="AQ242" s="482" t="s">
        <v>37</v>
      </c>
      <c r="AR242" s="474" t="s">
        <v>1216</v>
      </c>
      <c r="AS242" s="473"/>
      <c r="AT242" s="346"/>
      <c r="AU242" s="478">
        <f t="shared" ref="AU242:AU247" si="48">196/400</f>
        <v>0.49</v>
      </c>
    </row>
    <row r="243" spans="1:47" s="471" customFormat="1">
      <c r="A243" s="495"/>
      <c r="B243" s="407">
        <v>44657</v>
      </c>
      <c r="C243" s="495"/>
      <c r="D243" s="512" t="s">
        <v>86</v>
      </c>
      <c r="E243" s="352"/>
      <c r="F243" s="501"/>
      <c r="G243" s="371">
        <v>2022</v>
      </c>
      <c r="H243" s="371" t="s">
        <v>3004</v>
      </c>
      <c r="I243" s="501" t="s">
        <v>1676</v>
      </c>
      <c r="J243" s="502"/>
      <c r="K243" s="501" t="s">
        <v>4262</v>
      </c>
      <c r="L243" s="501" t="s">
        <v>1912</v>
      </c>
      <c r="M243" s="502">
        <v>44655</v>
      </c>
      <c r="N243" s="502">
        <v>44774</v>
      </c>
      <c r="O243" s="502"/>
      <c r="P243" s="353"/>
      <c r="Q243" s="502"/>
      <c r="R243" s="502"/>
      <c r="S243" s="501" t="s">
        <v>1688</v>
      </c>
      <c r="T243" s="501">
        <v>60</v>
      </c>
      <c r="U243" s="501"/>
      <c r="V243" s="510" t="s">
        <v>973</v>
      </c>
      <c r="W243" s="501">
        <v>400</v>
      </c>
      <c r="X243" s="354">
        <v>9984</v>
      </c>
      <c r="Y243" s="397">
        <f t="shared" si="40"/>
        <v>3993600</v>
      </c>
      <c r="Z243" s="478">
        <f t="shared" si="47"/>
        <v>0.55000000000000004</v>
      </c>
      <c r="AA243" s="479">
        <f t="shared" si="43"/>
        <v>2196480</v>
      </c>
      <c r="AB243" s="480"/>
      <c r="AC243" s="481">
        <v>0</v>
      </c>
      <c r="AD243" s="474"/>
      <c r="AE243" s="474"/>
      <c r="AF243" s="493">
        <f t="shared" si="42"/>
        <v>2196480</v>
      </c>
      <c r="AG243" s="474" t="s">
        <v>1071</v>
      </c>
      <c r="AH243" s="474"/>
      <c r="AI243" s="474">
        <v>60</v>
      </c>
      <c r="AJ243" s="475" t="s">
        <v>1913</v>
      </c>
      <c r="AK243" s="475" t="s">
        <v>50</v>
      </c>
      <c r="AL243" s="483" t="s">
        <v>1914</v>
      </c>
      <c r="AM243" s="474" t="s">
        <v>52</v>
      </c>
      <c r="AN243" s="384" t="s">
        <v>50</v>
      </c>
      <c r="AO243" s="474" t="s">
        <v>1076</v>
      </c>
      <c r="AP243" s="474" t="s">
        <v>38</v>
      </c>
      <c r="AQ243" s="482" t="s">
        <v>37</v>
      </c>
      <c r="AR243" s="474" t="s">
        <v>1216</v>
      </c>
      <c r="AS243" s="473"/>
      <c r="AT243" s="346"/>
      <c r="AU243" s="478">
        <f t="shared" si="48"/>
        <v>0.49</v>
      </c>
    </row>
    <row r="244" spans="1:47" s="471" customFormat="1">
      <c r="A244" s="495"/>
      <c r="B244" s="407">
        <v>44657</v>
      </c>
      <c r="C244" s="495"/>
      <c r="D244" s="512" t="s">
        <v>86</v>
      </c>
      <c r="E244" s="352"/>
      <c r="F244" s="501"/>
      <c r="G244" s="371">
        <v>2022</v>
      </c>
      <c r="H244" s="371" t="s">
        <v>3004</v>
      </c>
      <c r="I244" s="501" t="s">
        <v>1676</v>
      </c>
      <c r="J244" s="502"/>
      <c r="K244" s="501" t="s">
        <v>4263</v>
      </c>
      <c r="L244" s="501" t="s">
        <v>1912</v>
      </c>
      <c r="M244" s="502">
        <v>44655</v>
      </c>
      <c r="N244" s="502">
        <v>44805</v>
      </c>
      <c r="O244" s="502"/>
      <c r="P244" s="353"/>
      <c r="Q244" s="502"/>
      <c r="R244" s="502"/>
      <c r="S244" s="501" t="s">
        <v>1688</v>
      </c>
      <c r="T244" s="501">
        <v>60</v>
      </c>
      <c r="U244" s="501"/>
      <c r="V244" s="510" t="s">
        <v>973</v>
      </c>
      <c r="W244" s="501">
        <v>400</v>
      </c>
      <c r="X244" s="354">
        <v>9984</v>
      </c>
      <c r="Y244" s="397">
        <f t="shared" si="40"/>
        <v>3993600</v>
      </c>
      <c r="Z244" s="478">
        <f t="shared" si="47"/>
        <v>0.55000000000000004</v>
      </c>
      <c r="AA244" s="479">
        <f t="shared" si="43"/>
        <v>2196480</v>
      </c>
      <c r="AB244" s="480"/>
      <c r="AC244" s="481">
        <v>0</v>
      </c>
      <c r="AD244" s="474"/>
      <c r="AE244" s="474"/>
      <c r="AF244" s="493">
        <f t="shared" si="42"/>
        <v>2196480</v>
      </c>
      <c r="AG244" s="474" t="s">
        <v>1071</v>
      </c>
      <c r="AH244" s="474"/>
      <c r="AI244" s="474">
        <v>60</v>
      </c>
      <c r="AJ244" s="475" t="s">
        <v>1913</v>
      </c>
      <c r="AK244" s="475" t="s">
        <v>50</v>
      </c>
      <c r="AL244" s="483" t="s">
        <v>1914</v>
      </c>
      <c r="AM244" s="474" t="s">
        <v>52</v>
      </c>
      <c r="AN244" s="384" t="s">
        <v>50</v>
      </c>
      <c r="AO244" s="474" t="s">
        <v>1076</v>
      </c>
      <c r="AP244" s="474" t="s">
        <v>38</v>
      </c>
      <c r="AQ244" s="482" t="s">
        <v>37</v>
      </c>
      <c r="AR244" s="474" t="s">
        <v>1216</v>
      </c>
      <c r="AS244" s="473"/>
      <c r="AT244" s="346"/>
      <c r="AU244" s="478">
        <f t="shared" si="48"/>
        <v>0.49</v>
      </c>
    </row>
    <row r="245" spans="1:47" s="471" customFormat="1">
      <c r="A245" s="495"/>
      <c r="B245" s="407">
        <v>44657</v>
      </c>
      <c r="C245" s="495"/>
      <c r="D245" s="512" t="s">
        <v>86</v>
      </c>
      <c r="E245" s="352"/>
      <c r="F245" s="501"/>
      <c r="G245" s="371">
        <v>2022</v>
      </c>
      <c r="H245" s="371" t="s">
        <v>3004</v>
      </c>
      <c r="I245" s="501" t="s">
        <v>1676</v>
      </c>
      <c r="J245" s="502"/>
      <c r="K245" s="501" t="s">
        <v>4264</v>
      </c>
      <c r="L245" s="501" t="s">
        <v>1912</v>
      </c>
      <c r="M245" s="502">
        <v>44655</v>
      </c>
      <c r="N245" s="502">
        <v>44837</v>
      </c>
      <c r="O245" s="502"/>
      <c r="P245" s="353"/>
      <c r="Q245" s="502"/>
      <c r="R245" s="502"/>
      <c r="S245" s="501" t="s">
        <v>1688</v>
      </c>
      <c r="T245" s="501">
        <v>60</v>
      </c>
      <c r="U245" s="501"/>
      <c r="V245" s="510" t="s">
        <v>973</v>
      </c>
      <c r="W245" s="501">
        <v>400</v>
      </c>
      <c r="X245" s="354">
        <v>9984</v>
      </c>
      <c r="Y245" s="397">
        <f t="shared" si="40"/>
        <v>3993600</v>
      </c>
      <c r="Z245" s="478">
        <f t="shared" si="47"/>
        <v>0.55000000000000004</v>
      </c>
      <c r="AA245" s="479">
        <f t="shared" si="43"/>
        <v>2196480</v>
      </c>
      <c r="AB245" s="480"/>
      <c r="AC245" s="481">
        <v>0</v>
      </c>
      <c r="AD245" s="474"/>
      <c r="AE245" s="474"/>
      <c r="AF245" s="493">
        <f t="shared" si="42"/>
        <v>2196480</v>
      </c>
      <c r="AG245" s="474" t="s">
        <v>1071</v>
      </c>
      <c r="AH245" s="474"/>
      <c r="AI245" s="474">
        <v>60</v>
      </c>
      <c r="AJ245" s="475" t="s">
        <v>1913</v>
      </c>
      <c r="AK245" s="475" t="s">
        <v>50</v>
      </c>
      <c r="AL245" s="483" t="s">
        <v>1914</v>
      </c>
      <c r="AM245" s="474" t="s">
        <v>52</v>
      </c>
      <c r="AN245" s="384" t="s">
        <v>50</v>
      </c>
      <c r="AO245" s="474" t="s">
        <v>1076</v>
      </c>
      <c r="AP245" s="474" t="s">
        <v>38</v>
      </c>
      <c r="AQ245" s="482" t="s">
        <v>37</v>
      </c>
      <c r="AR245" s="474" t="s">
        <v>1216</v>
      </c>
      <c r="AS245" s="473"/>
      <c r="AT245" s="346"/>
      <c r="AU245" s="478">
        <f t="shared" si="48"/>
        <v>0.49</v>
      </c>
    </row>
    <row r="246" spans="1:47" s="471" customFormat="1">
      <c r="A246" s="495"/>
      <c r="B246" s="407">
        <v>44657</v>
      </c>
      <c r="C246" s="495"/>
      <c r="D246" s="512" t="s">
        <v>86</v>
      </c>
      <c r="E246" s="352"/>
      <c r="F246" s="501"/>
      <c r="G246" s="371">
        <v>2022</v>
      </c>
      <c r="H246" s="371" t="s">
        <v>3004</v>
      </c>
      <c r="I246" s="501" t="s">
        <v>1676</v>
      </c>
      <c r="J246" s="502"/>
      <c r="K246" s="501" t="s">
        <v>4265</v>
      </c>
      <c r="L246" s="501" t="s">
        <v>1912</v>
      </c>
      <c r="M246" s="502">
        <v>44655</v>
      </c>
      <c r="N246" s="502">
        <v>44866</v>
      </c>
      <c r="O246" s="502"/>
      <c r="P246" s="353"/>
      <c r="Q246" s="502"/>
      <c r="R246" s="502"/>
      <c r="S246" s="501" t="s">
        <v>1688</v>
      </c>
      <c r="T246" s="501">
        <v>60</v>
      </c>
      <c r="U246" s="501"/>
      <c r="V246" s="510" t="s">
        <v>973</v>
      </c>
      <c r="W246" s="501">
        <v>400</v>
      </c>
      <c r="X246" s="354">
        <v>9984</v>
      </c>
      <c r="Y246" s="397">
        <f t="shared" si="40"/>
        <v>3993600</v>
      </c>
      <c r="Z246" s="478">
        <f t="shared" si="47"/>
        <v>0.55000000000000004</v>
      </c>
      <c r="AA246" s="479">
        <f t="shared" si="43"/>
        <v>2196480</v>
      </c>
      <c r="AB246" s="480"/>
      <c r="AC246" s="481">
        <v>0</v>
      </c>
      <c r="AD246" s="474"/>
      <c r="AE246" s="474"/>
      <c r="AF246" s="493">
        <f t="shared" si="42"/>
        <v>2196480</v>
      </c>
      <c r="AG246" s="474" t="s">
        <v>1071</v>
      </c>
      <c r="AH246" s="474"/>
      <c r="AI246" s="474">
        <v>60</v>
      </c>
      <c r="AJ246" s="475" t="s">
        <v>1913</v>
      </c>
      <c r="AK246" s="475" t="s">
        <v>50</v>
      </c>
      <c r="AL246" s="483" t="s">
        <v>1914</v>
      </c>
      <c r="AM246" s="474" t="s">
        <v>52</v>
      </c>
      <c r="AN246" s="384" t="s">
        <v>50</v>
      </c>
      <c r="AO246" s="474" t="s">
        <v>1076</v>
      </c>
      <c r="AP246" s="474" t="s">
        <v>38</v>
      </c>
      <c r="AQ246" s="482" t="s">
        <v>37</v>
      </c>
      <c r="AR246" s="474" t="s">
        <v>1216</v>
      </c>
      <c r="AS246" s="473"/>
      <c r="AT246" s="346"/>
      <c r="AU246" s="478">
        <f t="shared" si="48"/>
        <v>0.49</v>
      </c>
    </row>
    <row r="247" spans="1:47" s="471" customFormat="1">
      <c r="A247" s="495"/>
      <c r="B247" s="407">
        <v>44657</v>
      </c>
      <c r="C247" s="495"/>
      <c r="D247" s="512" t="s">
        <v>86</v>
      </c>
      <c r="E247" s="352"/>
      <c r="F247" s="501"/>
      <c r="G247" s="371">
        <v>2022</v>
      </c>
      <c r="H247" s="371" t="s">
        <v>3004</v>
      </c>
      <c r="I247" s="501" t="s">
        <v>1676</v>
      </c>
      <c r="J247" s="502"/>
      <c r="K247" s="501" t="s">
        <v>4266</v>
      </c>
      <c r="L247" s="501" t="s">
        <v>1912</v>
      </c>
      <c r="M247" s="502">
        <v>44655</v>
      </c>
      <c r="N247" s="502">
        <v>44896</v>
      </c>
      <c r="O247" s="502"/>
      <c r="P247" s="353"/>
      <c r="Q247" s="502"/>
      <c r="R247" s="502"/>
      <c r="S247" s="501" t="s">
        <v>1688</v>
      </c>
      <c r="T247" s="501">
        <v>60</v>
      </c>
      <c r="U247" s="501"/>
      <c r="V247" s="510" t="s">
        <v>973</v>
      </c>
      <c r="W247" s="501">
        <v>400</v>
      </c>
      <c r="X247" s="354">
        <v>9984</v>
      </c>
      <c r="Y247" s="397">
        <f t="shared" si="40"/>
        <v>3993600</v>
      </c>
      <c r="Z247" s="478">
        <f t="shared" si="47"/>
        <v>0.55000000000000004</v>
      </c>
      <c r="AA247" s="479">
        <f t="shared" si="43"/>
        <v>2196480</v>
      </c>
      <c r="AB247" s="480"/>
      <c r="AC247" s="481">
        <v>0</v>
      </c>
      <c r="AD247" s="474"/>
      <c r="AE247" s="474"/>
      <c r="AF247" s="493">
        <f t="shared" si="42"/>
        <v>2196480</v>
      </c>
      <c r="AG247" s="474" t="s">
        <v>1071</v>
      </c>
      <c r="AH247" s="474"/>
      <c r="AI247" s="474">
        <v>60</v>
      </c>
      <c r="AJ247" s="475" t="s">
        <v>1913</v>
      </c>
      <c r="AK247" s="475" t="s">
        <v>50</v>
      </c>
      <c r="AL247" s="483" t="s">
        <v>1914</v>
      </c>
      <c r="AM247" s="474" t="s">
        <v>52</v>
      </c>
      <c r="AN247" s="384" t="s">
        <v>50</v>
      </c>
      <c r="AO247" s="474" t="s">
        <v>1076</v>
      </c>
      <c r="AP247" s="474" t="s">
        <v>38</v>
      </c>
      <c r="AQ247" s="482" t="s">
        <v>37</v>
      </c>
      <c r="AR247" s="474" t="s">
        <v>1216</v>
      </c>
      <c r="AS247" s="473"/>
      <c r="AT247" s="346"/>
      <c r="AU247" s="478">
        <f t="shared" si="48"/>
        <v>0.49</v>
      </c>
    </row>
    <row r="248" spans="1:47" s="471" customFormat="1">
      <c r="A248" s="495"/>
      <c r="B248" s="407"/>
      <c r="C248" s="495"/>
      <c r="D248" s="512" t="s">
        <v>86</v>
      </c>
      <c r="E248" s="352"/>
      <c r="F248" s="501"/>
      <c r="G248" s="371">
        <v>2022</v>
      </c>
      <c r="H248" s="371" t="s">
        <v>3004</v>
      </c>
      <c r="I248" s="501" t="s">
        <v>1676</v>
      </c>
      <c r="J248" s="502"/>
      <c r="K248" s="501" t="s">
        <v>4267</v>
      </c>
      <c r="L248" s="501" t="s">
        <v>2049</v>
      </c>
      <c r="M248" s="502">
        <v>44658</v>
      </c>
      <c r="N248" s="502">
        <v>44844</v>
      </c>
      <c r="O248" s="502"/>
      <c r="P248" s="353"/>
      <c r="Q248" s="502"/>
      <c r="R248" s="502"/>
      <c r="S248" s="501" t="s">
        <v>88</v>
      </c>
      <c r="T248" s="501">
        <v>60</v>
      </c>
      <c r="U248" s="501"/>
      <c r="V248" s="510" t="s">
        <v>973</v>
      </c>
      <c r="W248" s="501">
        <v>400</v>
      </c>
      <c r="X248" s="354">
        <v>832</v>
      </c>
      <c r="Y248" s="397">
        <f t="shared" si="40"/>
        <v>332800</v>
      </c>
      <c r="Z248" s="478">
        <f t="shared" si="47"/>
        <v>0.55000000000000004</v>
      </c>
      <c r="AA248" s="479">
        <f t="shared" si="43"/>
        <v>183040.00000000003</v>
      </c>
      <c r="AB248" s="480"/>
      <c r="AC248" s="481">
        <f t="shared" ref="AC248:AC254" si="49">AB248*Y248</f>
        <v>0</v>
      </c>
      <c r="AD248" s="474"/>
      <c r="AE248" s="474"/>
      <c r="AF248" s="493">
        <f t="shared" si="42"/>
        <v>183040.00000000003</v>
      </c>
      <c r="AG248" s="474" t="s">
        <v>1071</v>
      </c>
      <c r="AH248" s="474"/>
      <c r="AI248" s="474">
        <v>60</v>
      </c>
      <c r="AJ248" s="475" t="s">
        <v>2077</v>
      </c>
      <c r="AK248" s="475" t="s">
        <v>50</v>
      </c>
      <c r="AL248" s="483" t="s">
        <v>2051</v>
      </c>
      <c r="AM248" s="474" t="s">
        <v>52</v>
      </c>
      <c r="AN248" s="384" t="s">
        <v>1074</v>
      </c>
      <c r="AO248" s="474" t="s">
        <v>1076</v>
      </c>
      <c r="AP248" s="474"/>
      <c r="AQ248" s="482" t="s">
        <v>37</v>
      </c>
      <c r="AR248" s="474" t="s">
        <v>1216</v>
      </c>
      <c r="AS248" s="473" t="s">
        <v>1492</v>
      </c>
      <c r="AT248" s="346"/>
      <c r="AU248" s="478">
        <f>208/400</f>
        <v>0.52</v>
      </c>
    </row>
    <row r="249" spans="1:47" s="471" customFormat="1">
      <c r="A249" s="495"/>
      <c r="B249" s="407"/>
      <c r="C249" s="495"/>
      <c r="D249" s="512" t="s">
        <v>86</v>
      </c>
      <c r="E249" s="352"/>
      <c r="F249" s="501"/>
      <c r="G249" s="371">
        <v>2022</v>
      </c>
      <c r="H249" s="371" t="s">
        <v>3004</v>
      </c>
      <c r="I249" s="501" t="s">
        <v>1676</v>
      </c>
      <c r="J249" s="502"/>
      <c r="K249" s="501" t="s">
        <v>4267</v>
      </c>
      <c r="L249" s="501" t="s">
        <v>2049</v>
      </c>
      <c r="M249" s="502">
        <v>44658</v>
      </c>
      <c r="N249" s="502">
        <v>44844</v>
      </c>
      <c r="O249" s="502"/>
      <c r="P249" s="353"/>
      <c r="Q249" s="502"/>
      <c r="R249" s="502"/>
      <c r="S249" s="501" t="s">
        <v>88</v>
      </c>
      <c r="T249" s="501">
        <v>60</v>
      </c>
      <c r="U249" s="501"/>
      <c r="V249" s="510" t="s">
        <v>986</v>
      </c>
      <c r="W249" s="501">
        <v>360</v>
      </c>
      <c r="X249" s="354">
        <v>448</v>
      </c>
      <c r="Y249" s="397">
        <f t="shared" si="40"/>
        <v>161280</v>
      </c>
      <c r="Z249" s="478">
        <f>190.8/360</f>
        <v>0.53</v>
      </c>
      <c r="AA249" s="479">
        <f t="shared" si="43"/>
        <v>85478.400000000009</v>
      </c>
      <c r="AB249" s="480"/>
      <c r="AC249" s="481">
        <f t="shared" si="49"/>
        <v>0</v>
      </c>
      <c r="AD249" s="474"/>
      <c r="AE249" s="474"/>
      <c r="AF249" s="493">
        <f t="shared" si="42"/>
        <v>85478.400000000009</v>
      </c>
      <c r="AG249" s="474" t="s">
        <v>1071</v>
      </c>
      <c r="AH249" s="474"/>
      <c r="AI249" s="474">
        <v>60</v>
      </c>
      <c r="AJ249" s="475" t="s">
        <v>2077</v>
      </c>
      <c r="AK249" s="475" t="s">
        <v>50</v>
      </c>
      <c r="AL249" s="483" t="s">
        <v>2051</v>
      </c>
      <c r="AM249" s="474" t="s">
        <v>52</v>
      </c>
      <c r="AN249" s="384" t="s">
        <v>1074</v>
      </c>
      <c r="AO249" s="474" t="s">
        <v>1076</v>
      </c>
      <c r="AP249" s="474"/>
      <c r="AQ249" s="482" t="s">
        <v>37</v>
      </c>
      <c r="AR249" s="474" t="s">
        <v>1216</v>
      </c>
      <c r="AS249" s="473" t="s">
        <v>1492</v>
      </c>
      <c r="AT249" s="346"/>
      <c r="AU249" s="478">
        <f>208/400</f>
        <v>0.52</v>
      </c>
    </row>
    <row r="250" spans="1:47" s="471" customFormat="1">
      <c r="A250" s="495"/>
      <c r="B250" s="407"/>
      <c r="C250" s="495"/>
      <c r="D250" s="512" t="s">
        <v>86</v>
      </c>
      <c r="E250" s="352"/>
      <c r="F250" s="501"/>
      <c r="G250" s="371">
        <v>2022</v>
      </c>
      <c r="H250" s="371" t="s">
        <v>3004</v>
      </c>
      <c r="I250" s="501" t="s">
        <v>1676</v>
      </c>
      <c r="J250" s="502"/>
      <c r="K250" s="501" t="s">
        <v>4267</v>
      </c>
      <c r="L250" s="501" t="s">
        <v>2049</v>
      </c>
      <c r="M250" s="502">
        <v>44658</v>
      </c>
      <c r="N250" s="502">
        <v>44844</v>
      </c>
      <c r="O250" s="502"/>
      <c r="P250" s="353"/>
      <c r="Q250" s="502"/>
      <c r="R250" s="502"/>
      <c r="S250" s="501" t="s">
        <v>88</v>
      </c>
      <c r="T250" s="501">
        <v>60</v>
      </c>
      <c r="U250" s="501"/>
      <c r="V250" s="510" t="s">
        <v>1223</v>
      </c>
      <c r="W250" s="501">
        <v>360</v>
      </c>
      <c r="X250" s="354">
        <v>448</v>
      </c>
      <c r="Y250" s="397">
        <f t="shared" si="40"/>
        <v>161280</v>
      </c>
      <c r="Z250" s="478">
        <f>298.8/360</f>
        <v>0.83000000000000007</v>
      </c>
      <c r="AA250" s="479">
        <f t="shared" si="43"/>
        <v>133862.40000000002</v>
      </c>
      <c r="AB250" s="480"/>
      <c r="AC250" s="481">
        <f t="shared" si="49"/>
        <v>0</v>
      </c>
      <c r="AD250" s="474"/>
      <c r="AE250" s="474"/>
      <c r="AF250" s="493">
        <f t="shared" si="42"/>
        <v>133862.40000000002</v>
      </c>
      <c r="AG250" s="474" t="s">
        <v>1071</v>
      </c>
      <c r="AH250" s="474"/>
      <c r="AI250" s="474">
        <v>60</v>
      </c>
      <c r="AJ250" s="475" t="s">
        <v>2077</v>
      </c>
      <c r="AK250" s="475" t="s">
        <v>50</v>
      </c>
      <c r="AL250" s="483" t="s">
        <v>2051</v>
      </c>
      <c r="AM250" s="474" t="s">
        <v>52</v>
      </c>
      <c r="AN250" s="384" t="s">
        <v>1074</v>
      </c>
      <c r="AO250" s="474" t="s">
        <v>1076</v>
      </c>
      <c r="AP250" s="474"/>
      <c r="AQ250" s="482" t="s">
        <v>37</v>
      </c>
      <c r="AR250" s="474" t="s">
        <v>1216</v>
      </c>
      <c r="AS250" s="473" t="s">
        <v>1492</v>
      </c>
      <c r="AT250" s="346"/>
      <c r="AU250" s="478">
        <f>208/400</f>
        <v>0.52</v>
      </c>
    </row>
    <row r="251" spans="1:47" s="471" customFormat="1">
      <c r="A251" s="495"/>
      <c r="B251" s="407"/>
      <c r="C251" s="495"/>
      <c r="D251" s="512" t="s">
        <v>86</v>
      </c>
      <c r="E251" s="352"/>
      <c r="F251" s="501"/>
      <c r="G251" s="371">
        <v>2022</v>
      </c>
      <c r="H251" s="371" t="s">
        <v>4093</v>
      </c>
      <c r="I251" s="501" t="s">
        <v>1676</v>
      </c>
      <c r="J251" s="502"/>
      <c r="K251" s="501">
        <v>2037688</v>
      </c>
      <c r="L251" s="501" t="s">
        <v>4268</v>
      </c>
      <c r="M251" s="502">
        <v>44645</v>
      </c>
      <c r="N251" s="502">
        <v>44718</v>
      </c>
      <c r="O251" s="502"/>
      <c r="P251" s="353"/>
      <c r="Q251" s="502"/>
      <c r="R251" s="502"/>
      <c r="S251" s="501" t="s">
        <v>1688</v>
      </c>
      <c r="T251" s="501">
        <v>60</v>
      </c>
      <c r="U251" s="501"/>
      <c r="V251" s="510" t="s">
        <v>1223</v>
      </c>
      <c r="W251" s="501">
        <v>360</v>
      </c>
      <c r="X251" s="354">
        <v>650</v>
      </c>
      <c r="Y251" s="397">
        <f t="shared" si="40"/>
        <v>234000</v>
      </c>
      <c r="Z251" s="478">
        <f>298.8/360</f>
        <v>0.83000000000000007</v>
      </c>
      <c r="AA251" s="479">
        <f t="shared" si="43"/>
        <v>194220.00000000003</v>
      </c>
      <c r="AB251" s="480"/>
      <c r="AC251" s="481">
        <f t="shared" si="49"/>
        <v>0</v>
      </c>
      <c r="AD251" s="474"/>
      <c r="AE251" s="474"/>
      <c r="AF251" s="493">
        <f t="shared" si="42"/>
        <v>194220.00000000003</v>
      </c>
      <c r="AG251" s="474" t="s">
        <v>1071</v>
      </c>
      <c r="AH251" s="474"/>
      <c r="AI251" s="474">
        <v>60</v>
      </c>
      <c r="AJ251" s="475" t="s">
        <v>1828</v>
      </c>
      <c r="AK251" s="475" t="s">
        <v>50</v>
      </c>
      <c r="AL251" s="483" t="s">
        <v>2241</v>
      </c>
      <c r="AM251" s="474" t="s">
        <v>52</v>
      </c>
      <c r="AN251" s="384"/>
      <c r="AO251" s="474" t="s">
        <v>1076</v>
      </c>
      <c r="AP251" s="474"/>
      <c r="AQ251" s="482" t="s">
        <v>37</v>
      </c>
      <c r="AR251" s="474" t="s">
        <v>1216</v>
      </c>
      <c r="AS251" s="473" t="s">
        <v>1492</v>
      </c>
      <c r="AT251" s="346"/>
      <c r="AU251" s="478">
        <f>180/360</f>
        <v>0.5</v>
      </c>
    </row>
    <row r="252" spans="1:47" s="471" customFormat="1">
      <c r="A252" s="495"/>
      <c r="B252" s="407"/>
      <c r="C252" s="495"/>
      <c r="D252" s="512" t="s">
        <v>86</v>
      </c>
      <c r="E252" s="352"/>
      <c r="F252" s="501"/>
      <c r="G252" s="371">
        <v>2022</v>
      </c>
      <c r="H252" s="371" t="s">
        <v>3004</v>
      </c>
      <c r="I252" s="501" t="s">
        <v>1676</v>
      </c>
      <c r="J252" s="502"/>
      <c r="K252" s="501" t="s">
        <v>4269</v>
      </c>
      <c r="L252" s="501" t="s">
        <v>2049</v>
      </c>
      <c r="M252" s="502">
        <v>44658</v>
      </c>
      <c r="N252" s="502">
        <v>44872</v>
      </c>
      <c r="O252" s="502"/>
      <c r="P252" s="353"/>
      <c r="Q252" s="502"/>
      <c r="R252" s="502"/>
      <c r="S252" s="501" t="s">
        <v>88</v>
      </c>
      <c r="T252" s="501">
        <v>60</v>
      </c>
      <c r="U252" s="501"/>
      <c r="V252" s="510" t="s">
        <v>973</v>
      </c>
      <c r="W252" s="501">
        <v>400</v>
      </c>
      <c r="X252" s="354">
        <v>832</v>
      </c>
      <c r="Y252" s="397">
        <f t="shared" si="40"/>
        <v>332800</v>
      </c>
      <c r="Z252" s="478">
        <f>220/400</f>
        <v>0.55000000000000004</v>
      </c>
      <c r="AA252" s="479">
        <f t="shared" si="43"/>
        <v>183040.00000000003</v>
      </c>
      <c r="AB252" s="480"/>
      <c r="AC252" s="481">
        <f t="shared" si="49"/>
        <v>0</v>
      </c>
      <c r="AD252" s="474"/>
      <c r="AE252" s="474"/>
      <c r="AF252" s="493">
        <f t="shared" si="42"/>
        <v>183040.00000000003</v>
      </c>
      <c r="AG252" s="474" t="s">
        <v>1071</v>
      </c>
      <c r="AH252" s="474"/>
      <c r="AI252" s="474">
        <v>60</v>
      </c>
      <c r="AJ252" s="475" t="s">
        <v>2077</v>
      </c>
      <c r="AK252" s="475" t="s">
        <v>50</v>
      </c>
      <c r="AL252" s="483" t="s">
        <v>2051</v>
      </c>
      <c r="AM252" s="474" t="s">
        <v>52</v>
      </c>
      <c r="AN252" s="384" t="s">
        <v>1074</v>
      </c>
      <c r="AO252" s="474" t="s">
        <v>1076</v>
      </c>
      <c r="AP252" s="474"/>
      <c r="AQ252" s="482" t="s">
        <v>37</v>
      </c>
      <c r="AR252" s="474" t="s">
        <v>1216</v>
      </c>
      <c r="AS252" s="473" t="s">
        <v>1492</v>
      </c>
      <c r="AT252" s="346"/>
      <c r="AU252" s="478">
        <f>208/400</f>
        <v>0.52</v>
      </c>
    </row>
    <row r="253" spans="1:47" s="471" customFormat="1">
      <c r="A253" s="495"/>
      <c r="B253" s="407"/>
      <c r="C253" s="495"/>
      <c r="D253" s="512" t="s">
        <v>86</v>
      </c>
      <c r="E253" s="352"/>
      <c r="F253" s="501"/>
      <c r="G253" s="371">
        <v>2022</v>
      </c>
      <c r="H253" s="371" t="s">
        <v>3004</v>
      </c>
      <c r="I253" s="501" t="s">
        <v>1676</v>
      </c>
      <c r="J253" s="502"/>
      <c r="K253" s="501" t="s">
        <v>4269</v>
      </c>
      <c r="L253" s="501" t="s">
        <v>2049</v>
      </c>
      <c r="M253" s="502">
        <v>44658</v>
      </c>
      <c r="N253" s="502">
        <v>44872</v>
      </c>
      <c r="O253" s="502"/>
      <c r="P253" s="353"/>
      <c r="Q253" s="502"/>
      <c r="R253" s="502"/>
      <c r="S253" s="501" t="s">
        <v>88</v>
      </c>
      <c r="T253" s="501">
        <v>60</v>
      </c>
      <c r="U253" s="501"/>
      <c r="V253" s="510" t="s">
        <v>986</v>
      </c>
      <c r="W253" s="501">
        <v>360</v>
      </c>
      <c r="X253" s="354">
        <v>832</v>
      </c>
      <c r="Y253" s="397">
        <f t="shared" si="40"/>
        <v>299520</v>
      </c>
      <c r="Z253" s="478">
        <f>190.8/360</f>
        <v>0.53</v>
      </c>
      <c r="AA253" s="479">
        <f t="shared" si="43"/>
        <v>158745.60000000001</v>
      </c>
      <c r="AB253" s="480"/>
      <c r="AC253" s="481">
        <f t="shared" si="49"/>
        <v>0</v>
      </c>
      <c r="AD253" s="474"/>
      <c r="AE253" s="474"/>
      <c r="AF253" s="493">
        <f t="shared" si="42"/>
        <v>158745.60000000001</v>
      </c>
      <c r="AG253" s="474" t="s">
        <v>1071</v>
      </c>
      <c r="AH253" s="474"/>
      <c r="AI253" s="474">
        <v>60</v>
      </c>
      <c r="AJ253" s="475" t="s">
        <v>2077</v>
      </c>
      <c r="AK253" s="475" t="s">
        <v>50</v>
      </c>
      <c r="AL253" s="483" t="s">
        <v>2051</v>
      </c>
      <c r="AM253" s="474" t="s">
        <v>52</v>
      </c>
      <c r="AN253" s="384" t="s">
        <v>1074</v>
      </c>
      <c r="AO253" s="474" t="s">
        <v>1076</v>
      </c>
      <c r="AP253" s="474"/>
      <c r="AQ253" s="482" t="s">
        <v>37</v>
      </c>
      <c r="AR253" s="474" t="s">
        <v>1216</v>
      </c>
      <c r="AS253" s="473" t="s">
        <v>1492</v>
      </c>
      <c r="AT253" s="346"/>
      <c r="AU253" s="478">
        <f>208/400</f>
        <v>0.52</v>
      </c>
    </row>
    <row r="254" spans="1:47" s="471" customFormat="1">
      <c r="A254" s="495"/>
      <c r="B254" s="407"/>
      <c r="C254" s="495"/>
      <c r="D254" s="512" t="s">
        <v>86</v>
      </c>
      <c r="E254" s="352"/>
      <c r="F254" s="501"/>
      <c r="G254" s="371">
        <v>2022</v>
      </c>
      <c r="H254" s="371" t="s">
        <v>3004</v>
      </c>
      <c r="I254" s="501" t="s">
        <v>1676</v>
      </c>
      <c r="J254" s="502"/>
      <c r="K254" s="501">
        <v>7632</v>
      </c>
      <c r="L254" s="501" t="s">
        <v>4270</v>
      </c>
      <c r="M254" s="502">
        <v>44656</v>
      </c>
      <c r="N254" s="502">
        <v>44658</v>
      </c>
      <c r="O254" s="502"/>
      <c r="P254" s="353"/>
      <c r="Q254" s="502"/>
      <c r="R254" s="502"/>
      <c r="S254" s="501" t="s">
        <v>88</v>
      </c>
      <c r="T254" s="501">
        <v>60</v>
      </c>
      <c r="U254" s="501"/>
      <c r="V254" s="510" t="s">
        <v>973</v>
      </c>
      <c r="W254" s="501">
        <v>400</v>
      </c>
      <c r="X254" s="354">
        <v>768</v>
      </c>
      <c r="Y254" s="397">
        <f t="shared" si="40"/>
        <v>307200</v>
      </c>
      <c r="Z254" s="478">
        <f>236/400</f>
        <v>0.59</v>
      </c>
      <c r="AA254" s="479">
        <f t="shared" si="43"/>
        <v>181248</v>
      </c>
      <c r="AB254" s="480"/>
      <c r="AC254" s="481">
        <f t="shared" si="49"/>
        <v>0</v>
      </c>
      <c r="AD254" s="474"/>
      <c r="AE254" s="474"/>
      <c r="AF254" s="493">
        <f t="shared" si="42"/>
        <v>181248</v>
      </c>
      <c r="AG254" s="474" t="s">
        <v>1071</v>
      </c>
      <c r="AH254" s="474"/>
      <c r="AI254" s="474">
        <v>60</v>
      </c>
      <c r="AJ254" s="475" t="s">
        <v>2077</v>
      </c>
      <c r="AK254" s="475" t="s">
        <v>50</v>
      </c>
      <c r="AL254" s="483" t="s">
        <v>2051</v>
      </c>
      <c r="AM254" s="474" t="s">
        <v>52</v>
      </c>
      <c r="AN254" s="384" t="s">
        <v>1074</v>
      </c>
      <c r="AO254" s="474" t="s">
        <v>1076</v>
      </c>
      <c r="AP254" s="474"/>
      <c r="AQ254" s="482" t="s">
        <v>37</v>
      </c>
      <c r="AR254" s="474" t="s">
        <v>1216</v>
      </c>
      <c r="AS254" s="473" t="s">
        <v>1492</v>
      </c>
      <c r="AT254" s="346"/>
      <c r="AU254" s="478">
        <f>208/400</f>
        <v>0.52</v>
      </c>
    </row>
    <row r="255" spans="1:47" s="471" customFormat="1">
      <c r="A255" s="495"/>
      <c r="B255" s="407"/>
      <c r="C255" s="495"/>
      <c r="D255" s="512" t="s">
        <v>86</v>
      </c>
      <c r="E255" s="352"/>
      <c r="F255" s="501"/>
      <c r="G255" s="371">
        <v>2022</v>
      </c>
      <c r="H255" s="371" t="s">
        <v>4093</v>
      </c>
      <c r="I255" s="501" t="s">
        <v>1676</v>
      </c>
      <c r="J255" s="502"/>
      <c r="K255" s="501" t="s">
        <v>4271</v>
      </c>
      <c r="L255" s="501" t="s">
        <v>1905</v>
      </c>
      <c r="M255" s="502">
        <v>44656</v>
      </c>
      <c r="N255" s="502">
        <v>44747</v>
      </c>
      <c r="O255" s="502"/>
      <c r="P255" s="353"/>
      <c r="Q255" s="502"/>
      <c r="R255" s="502"/>
      <c r="S255" s="501" t="s">
        <v>1704</v>
      </c>
      <c r="T255" s="501">
        <v>60</v>
      </c>
      <c r="U255" s="501"/>
      <c r="V255" s="510" t="s">
        <v>973</v>
      </c>
      <c r="W255" s="501">
        <v>400</v>
      </c>
      <c r="X255" s="354">
        <v>768</v>
      </c>
      <c r="Y255" s="397">
        <f t="shared" ref="Y255:Y262" si="50">X255*W255</f>
        <v>307200</v>
      </c>
      <c r="Z255" s="478">
        <f t="shared" ref="Z255:Z262" si="51">220/400</f>
        <v>0.55000000000000004</v>
      </c>
      <c r="AA255" s="479">
        <f t="shared" si="43"/>
        <v>168960</v>
      </c>
      <c r="AB255" s="480"/>
      <c r="AC255" s="481"/>
      <c r="AD255" s="474"/>
      <c r="AE255" s="474"/>
      <c r="AF255" s="493">
        <f t="shared" si="42"/>
        <v>168960</v>
      </c>
      <c r="AG255" s="474" t="s">
        <v>1071</v>
      </c>
      <c r="AH255" s="474"/>
      <c r="AI255" s="474">
        <v>60</v>
      </c>
      <c r="AJ255" s="475" t="s">
        <v>1906</v>
      </c>
      <c r="AK255" s="475" t="s">
        <v>1417</v>
      </c>
      <c r="AL255" s="483">
        <v>83202</v>
      </c>
      <c r="AM255" s="474" t="s">
        <v>52</v>
      </c>
      <c r="AN255" s="384" t="s">
        <v>1074</v>
      </c>
      <c r="AO255" s="474" t="s">
        <v>1076</v>
      </c>
      <c r="AP255" s="474"/>
      <c r="AQ255" s="482" t="s">
        <v>37</v>
      </c>
      <c r="AR255" s="474" t="s">
        <v>1288</v>
      </c>
      <c r="AS255" s="473"/>
      <c r="AT255" s="346"/>
      <c r="AU255" s="478">
        <f t="shared" ref="AU255:AU262" si="52">196/400</f>
        <v>0.49</v>
      </c>
    </row>
    <row r="256" spans="1:47" s="471" customFormat="1">
      <c r="A256" s="495"/>
      <c r="B256" s="407"/>
      <c r="C256" s="495"/>
      <c r="D256" s="512" t="s">
        <v>86</v>
      </c>
      <c r="E256" s="352"/>
      <c r="F256" s="501"/>
      <c r="G256" s="371">
        <v>2022</v>
      </c>
      <c r="H256" s="371" t="s">
        <v>4093</v>
      </c>
      <c r="I256" s="501" t="s">
        <v>1676</v>
      </c>
      <c r="J256" s="502"/>
      <c r="K256" s="501" t="s">
        <v>4272</v>
      </c>
      <c r="L256" s="501" t="s">
        <v>1905</v>
      </c>
      <c r="M256" s="502">
        <v>44656</v>
      </c>
      <c r="N256" s="502">
        <v>44756</v>
      </c>
      <c r="O256" s="502"/>
      <c r="P256" s="353"/>
      <c r="Q256" s="502"/>
      <c r="R256" s="502"/>
      <c r="S256" s="501" t="s">
        <v>1704</v>
      </c>
      <c r="T256" s="501">
        <v>60</v>
      </c>
      <c r="U256" s="501"/>
      <c r="V256" s="510" t="s">
        <v>973</v>
      </c>
      <c r="W256" s="501">
        <v>400</v>
      </c>
      <c r="X256" s="354">
        <v>768</v>
      </c>
      <c r="Y256" s="397">
        <f t="shared" si="50"/>
        <v>307200</v>
      </c>
      <c r="Z256" s="478">
        <f t="shared" si="51"/>
        <v>0.55000000000000004</v>
      </c>
      <c r="AA256" s="479">
        <f t="shared" si="43"/>
        <v>168960</v>
      </c>
      <c r="AB256" s="480"/>
      <c r="AC256" s="481"/>
      <c r="AD256" s="474"/>
      <c r="AE256" s="474"/>
      <c r="AF256" s="493">
        <f t="shared" si="42"/>
        <v>168960</v>
      </c>
      <c r="AG256" s="474" t="s">
        <v>1071</v>
      </c>
      <c r="AH256" s="474"/>
      <c r="AI256" s="474">
        <v>60</v>
      </c>
      <c r="AJ256" s="475" t="s">
        <v>1906</v>
      </c>
      <c r="AK256" s="475" t="s">
        <v>1417</v>
      </c>
      <c r="AL256" s="483">
        <v>83202</v>
      </c>
      <c r="AM256" s="474" t="s">
        <v>52</v>
      </c>
      <c r="AN256" s="384" t="s">
        <v>1074</v>
      </c>
      <c r="AO256" s="474" t="s">
        <v>1076</v>
      </c>
      <c r="AP256" s="474"/>
      <c r="AQ256" s="482" t="s">
        <v>37</v>
      </c>
      <c r="AR256" s="474" t="s">
        <v>1288</v>
      </c>
      <c r="AS256" s="473"/>
      <c r="AT256" s="346"/>
      <c r="AU256" s="478">
        <f t="shared" si="52"/>
        <v>0.49</v>
      </c>
    </row>
    <row r="257" spans="1:47" s="471" customFormat="1">
      <c r="A257" s="495"/>
      <c r="B257" s="407"/>
      <c r="C257" s="495"/>
      <c r="D257" s="512" t="s">
        <v>86</v>
      </c>
      <c r="E257" s="352"/>
      <c r="F257" s="501"/>
      <c r="G257" s="371">
        <v>2022</v>
      </c>
      <c r="H257" s="371" t="s">
        <v>4093</v>
      </c>
      <c r="I257" s="501" t="s">
        <v>1676</v>
      </c>
      <c r="J257" s="502"/>
      <c r="K257" s="501" t="s">
        <v>4273</v>
      </c>
      <c r="L257" s="501" t="s">
        <v>1905</v>
      </c>
      <c r="M257" s="502">
        <v>44656</v>
      </c>
      <c r="N257" s="502">
        <v>44769</v>
      </c>
      <c r="O257" s="502"/>
      <c r="P257" s="353"/>
      <c r="Q257" s="502"/>
      <c r="R257" s="502"/>
      <c r="S257" s="501" t="s">
        <v>1704</v>
      </c>
      <c r="T257" s="501">
        <v>60</v>
      </c>
      <c r="U257" s="501"/>
      <c r="V257" s="510" t="s">
        <v>973</v>
      </c>
      <c r="W257" s="501">
        <v>400</v>
      </c>
      <c r="X257" s="354">
        <v>768</v>
      </c>
      <c r="Y257" s="397">
        <f t="shared" si="50"/>
        <v>307200</v>
      </c>
      <c r="Z257" s="478">
        <f t="shared" si="51"/>
        <v>0.55000000000000004</v>
      </c>
      <c r="AA257" s="479">
        <f t="shared" si="43"/>
        <v>168960</v>
      </c>
      <c r="AB257" s="480"/>
      <c r="AC257" s="481"/>
      <c r="AD257" s="474"/>
      <c r="AE257" s="474"/>
      <c r="AF257" s="493">
        <f t="shared" si="42"/>
        <v>168960</v>
      </c>
      <c r="AG257" s="474" t="s">
        <v>1071</v>
      </c>
      <c r="AH257" s="474"/>
      <c r="AI257" s="474">
        <v>60</v>
      </c>
      <c r="AJ257" s="475" t="s">
        <v>1906</v>
      </c>
      <c r="AK257" s="475" t="s">
        <v>1417</v>
      </c>
      <c r="AL257" s="483">
        <v>83202</v>
      </c>
      <c r="AM257" s="474" t="s">
        <v>52</v>
      </c>
      <c r="AN257" s="384" t="s">
        <v>1074</v>
      </c>
      <c r="AO257" s="474" t="s">
        <v>1076</v>
      </c>
      <c r="AP257" s="474"/>
      <c r="AQ257" s="482" t="s">
        <v>37</v>
      </c>
      <c r="AR257" s="474" t="s">
        <v>1288</v>
      </c>
      <c r="AS257" s="473"/>
      <c r="AT257" s="346"/>
      <c r="AU257" s="478">
        <f t="shared" si="52"/>
        <v>0.49</v>
      </c>
    </row>
    <row r="258" spans="1:47" s="471" customFormat="1">
      <c r="A258" s="495"/>
      <c r="B258" s="407"/>
      <c r="C258" s="495"/>
      <c r="D258" s="512" t="s">
        <v>86</v>
      </c>
      <c r="E258" s="352"/>
      <c r="F258" s="501"/>
      <c r="G258" s="371">
        <v>2022</v>
      </c>
      <c r="H258" s="371" t="s">
        <v>4093</v>
      </c>
      <c r="I258" s="501" t="s">
        <v>1676</v>
      </c>
      <c r="J258" s="502"/>
      <c r="K258" s="501" t="s">
        <v>4274</v>
      </c>
      <c r="L258" s="501" t="s">
        <v>1905</v>
      </c>
      <c r="M258" s="502">
        <v>44656</v>
      </c>
      <c r="N258" s="502">
        <v>44778</v>
      </c>
      <c r="O258" s="502"/>
      <c r="P258" s="353"/>
      <c r="Q258" s="502"/>
      <c r="R258" s="502"/>
      <c r="S258" s="501" t="s">
        <v>1704</v>
      </c>
      <c r="T258" s="501">
        <v>60</v>
      </c>
      <c r="U258" s="501"/>
      <c r="V258" s="510" t="s">
        <v>973</v>
      </c>
      <c r="W258" s="501">
        <v>400</v>
      </c>
      <c r="X258" s="354">
        <v>768</v>
      </c>
      <c r="Y258" s="397">
        <f t="shared" si="50"/>
        <v>307200</v>
      </c>
      <c r="Z258" s="478">
        <f t="shared" si="51"/>
        <v>0.55000000000000004</v>
      </c>
      <c r="AA258" s="479">
        <f t="shared" si="43"/>
        <v>168960</v>
      </c>
      <c r="AB258" s="480"/>
      <c r="AC258" s="481"/>
      <c r="AD258" s="474"/>
      <c r="AE258" s="474"/>
      <c r="AF258" s="493">
        <f t="shared" ref="AF258:AF313" si="53">AE258+AD258+AA258</f>
        <v>168960</v>
      </c>
      <c r="AG258" s="474" t="s">
        <v>1071</v>
      </c>
      <c r="AH258" s="474"/>
      <c r="AI258" s="474">
        <v>60</v>
      </c>
      <c r="AJ258" s="475" t="s">
        <v>1906</v>
      </c>
      <c r="AK258" s="475" t="s">
        <v>1417</v>
      </c>
      <c r="AL258" s="483">
        <v>83202</v>
      </c>
      <c r="AM258" s="474" t="s">
        <v>52</v>
      </c>
      <c r="AN258" s="384" t="s">
        <v>1074</v>
      </c>
      <c r="AO258" s="474" t="s">
        <v>1076</v>
      </c>
      <c r="AP258" s="474"/>
      <c r="AQ258" s="482" t="s">
        <v>37</v>
      </c>
      <c r="AR258" s="474" t="s">
        <v>1288</v>
      </c>
      <c r="AS258" s="473"/>
      <c r="AT258" s="346"/>
      <c r="AU258" s="478">
        <f t="shared" si="52"/>
        <v>0.49</v>
      </c>
    </row>
    <row r="259" spans="1:47" s="471" customFormat="1">
      <c r="A259" s="495"/>
      <c r="B259" s="407"/>
      <c r="C259" s="495"/>
      <c r="D259" s="512" t="s">
        <v>86</v>
      </c>
      <c r="E259" s="352"/>
      <c r="F259" s="501"/>
      <c r="G259" s="371">
        <v>2022</v>
      </c>
      <c r="H259" s="371" t="s">
        <v>4093</v>
      </c>
      <c r="I259" s="501" t="s">
        <v>1676</v>
      </c>
      <c r="J259" s="502"/>
      <c r="K259" s="501" t="s">
        <v>4275</v>
      </c>
      <c r="L259" s="501" t="s">
        <v>1905</v>
      </c>
      <c r="M259" s="502">
        <v>44656</v>
      </c>
      <c r="N259" s="502">
        <v>44792</v>
      </c>
      <c r="O259" s="502"/>
      <c r="P259" s="353"/>
      <c r="Q259" s="502"/>
      <c r="R259" s="502"/>
      <c r="S259" s="501" t="s">
        <v>1704</v>
      </c>
      <c r="T259" s="501">
        <v>60</v>
      </c>
      <c r="U259" s="501"/>
      <c r="V259" s="510" t="s">
        <v>973</v>
      </c>
      <c r="W259" s="501">
        <v>400</v>
      </c>
      <c r="X259" s="354">
        <v>768</v>
      </c>
      <c r="Y259" s="397">
        <f t="shared" si="50"/>
        <v>307200</v>
      </c>
      <c r="Z259" s="478">
        <f t="shared" si="51"/>
        <v>0.55000000000000004</v>
      </c>
      <c r="AA259" s="479">
        <f t="shared" si="43"/>
        <v>168960</v>
      </c>
      <c r="AB259" s="480"/>
      <c r="AC259" s="481"/>
      <c r="AD259" s="474"/>
      <c r="AE259" s="474"/>
      <c r="AF259" s="493">
        <f t="shared" si="53"/>
        <v>168960</v>
      </c>
      <c r="AG259" s="474" t="s">
        <v>1071</v>
      </c>
      <c r="AH259" s="474"/>
      <c r="AI259" s="474">
        <v>60</v>
      </c>
      <c r="AJ259" s="475" t="s">
        <v>1906</v>
      </c>
      <c r="AK259" s="475" t="s">
        <v>1417</v>
      </c>
      <c r="AL259" s="483">
        <v>83202</v>
      </c>
      <c r="AM259" s="474" t="s">
        <v>52</v>
      </c>
      <c r="AN259" s="384" t="s">
        <v>1074</v>
      </c>
      <c r="AO259" s="474" t="s">
        <v>1076</v>
      </c>
      <c r="AP259" s="474"/>
      <c r="AQ259" s="482" t="s">
        <v>37</v>
      </c>
      <c r="AR259" s="474" t="s">
        <v>1288</v>
      </c>
      <c r="AS259" s="473"/>
      <c r="AT259" s="346"/>
      <c r="AU259" s="478">
        <f t="shared" si="52"/>
        <v>0.49</v>
      </c>
    </row>
    <row r="260" spans="1:47" s="471" customFormat="1">
      <c r="A260" s="495"/>
      <c r="B260" s="407"/>
      <c r="C260" s="495"/>
      <c r="D260" s="512" t="s">
        <v>86</v>
      </c>
      <c r="E260" s="352"/>
      <c r="F260" s="501"/>
      <c r="G260" s="371">
        <v>2022</v>
      </c>
      <c r="H260" s="371" t="s">
        <v>4093</v>
      </c>
      <c r="I260" s="501" t="s">
        <v>1676</v>
      </c>
      <c r="J260" s="502"/>
      <c r="K260" s="501" t="s">
        <v>4276</v>
      </c>
      <c r="L260" s="501" t="s">
        <v>1905</v>
      </c>
      <c r="M260" s="502">
        <v>44656</v>
      </c>
      <c r="N260" s="502">
        <v>44805</v>
      </c>
      <c r="O260" s="502"/>
      <c r="P260" s="353"/>
      <c r="Q260" s="502"/>
      <c r="R260" s="502"/>
      <c r="S260" s="501" t="s">
        <v>1704</v>
      </c>
      <c r="T260" s="501">
        <v>60</v>
      </c>
      <c r="U260" s="501"/>
      <c r="V260" s="510" t="s">
        <v>973</v>
      </c>
      <c r="W260" s="501">
        <v>400</v>
      </c>
      <c r="X260" s="354">
        <v>768</v>
      </c>
      <c r="Y260" s="397">
        <f t="shared" si="50"/>
        <v>307200</v>
      </c>
      <c r="Z260" s="478">
        <f t="shared" si="51"/>
        <v>0.55000000000000004</v>
      </c>
      <c r="AA260" s="479">
        <f t="shared" si="43"/>
        <v>168960</v>
      </c>
      <c r="AB260" s="480"/>
      <c r="AC260" s="481"/>
      <c r="AD260" s="474"/>
      <c r="AE260" s="474"/>
      <c r="AF260" s="493">
        <f t="shared" si="53"/>
        <v>168960</v>
      </c>
      <c r="AG260" s="474" t="s">
        <v>1071</v>
      </c>
      <c r="AH260" s="474"/>
      <c r="AI260" s="474">
        <v>60</v>
      </c>
      <c r="AJ260" s="475" t="s">
        <v>1906</v>
      </c>
      <c r="AK260" s="475" t="s">
        <v>1417</v>
      </c>
      <c r="AL260" s="483">
        <v>83202</v>
      </c>
      <c r="AM260" s="474" t="s">
        <v>52</v>
      </c>
      <c r="AN260" s="384" t="s">
        <v>1074</v>
      </c>
      <c r="AO260" s="474" t="s">
        <v>1076</v>
      </c>
      <c r="AP260" s="474"/>
      <c r="AQ260" s="482" t="s">
        <v>37</v>
      </c>
      <c r="AR260" s="474" t="s">
        <v>1288</v>
      </c>
      <c r="AS260" s="473"/>
      <c r="AT260" s="346"/>
      <c r="AU260" s="478">
        <f t="shared" si="52"/>
        <v>0.49</v>
      </c>
    </row>
    <row r="261" spans="1:47" s="471" customFormat="1">
      <c r="A261" s="495"/>
      <c r="B261" s="407"/>
      <c r="C261" s="495"/>
      <c r="D261" s="512" t="s">
        <v>86</v>
      </c>
      <c r="E261" s="352"/>
      <c r="F261" s="501"/>
      <c r="G261" s="371">
        <v>2022</v>
      </c>
      <c r="H261" s="371" t="s">
        <v>4093</v>
      </c>
      <c r="I261" s="501" t="s">
        <v>1676</v>
      </c>
      <c r="J261" s="502"/>
      <c r="K261" s="501" t="s">
        <v>4277</v>
      </c>
      <c r="L261" s="501" t="s">
        <v>1905</v>
      </c>
      <c r="M261" s="502">
        <v>44656</v>
      </c>
      <c r="N261" s="502">
        <v>44819</v>
      </c>
      <c r="O261" s="502"/>
      <c r="P261" s="353"/>
      <c r="Q261" s="502"/>
      <c r="R261" s="502"/>
      <c r="S261" s="501" t="s">
        <v>1704</v>
      </c>
      <c r="T261" s="501">
        <v>60</v>
      </c>
      <c r="U261" s="501"/>
      <c r="V261" s="510" t="s">
        <v>973</v>
      </c>
      <c r="W261" s="501">
        <v>400</v>
      </c>
      <c r="X261" s="354">
        <v>768</v>
      </c>
      <c r="Y261" s="397">
        <f t="shared" si="50"/>
        <v>307200</v>
      </c>
      <c r="Z261" s="478">
        <f t="shared" si="51"/>
        <v>0.55000000000000004</v>
      </c>
      <c r="AA261" s="479">
        <f t="shared" si="43"/>
        <v>168960</v>
      </c>
      <c r="AB261" s="480"/>
      <c r="AC261" s="481"/>
      <c r="AD261" s="474"/>
      <c r="AE261" s="474"/>
      <c r="AF261" s="493">
        <f t="shared" si="53"/>
        <v>168960</v>
      </c>
      <c r="AG261" s="474" t="s">
        <v>1071</v>
      </c>
      <c r="AH261" s="474"/>
      <c r="AI261" s="474">
        <v>60</v>
      </c>
      <c r="AJ261" s="475" t="s">
        <v>1906</v>
      </c>
      <c r="AK261" s="475" t="s">
        <v>1417</v>
      </c>
      <c r="AL261" s="483">
        <v>83202</v>
      </c>
      <c r="AM261" s="474" t="s">
        <v>52</v>
      </c>
      <c r="AN261" s="384" t="s">
        <v>1074</v>
      </c>
      <c r="AO261" s="474" t="s">
        <v>1076</v>
      </c>
      <c r="AP261" s="474"/>
      <c r="AQ261" s="482" t="s">
        <v>37</v>
      </c>
      <c r="AR261" s="474" t="s">
        <v>1288</v>
      </c>
      <c r="AS261" s="473"/>
      <c r="AT261" s="346"/>
      <c r="AU261" s="478">
        <f t="shared" si="52"/>
        <v>0.49</v>
      </c>
    </row>
    <row r="262" spans="1:47" s="471" customFormat="1">
      <c r="A262" s="495"/>
      <c r="B262" s="407"/>
      <c r="C262" s="495"/>
      <c r="D262" s="512" t="s">
        <v>86</v>
      </c>
      <c r="E262" s="352"/>
      <c r="F262" s="501"/>
      <c r="G262" s="371">
        <v>2022</v>
      </c>
      <c r="H262" s="371" t="s">
        <v>4093</v>
      </c>
      <c r="I262" s="501" t="s">
        <v>1676</v>
      </c>
      <c r="J262" s="502"/>
      <c r="K262" s="501" t="s">
        <v>4278</v>
      </c>
      <c r="L262" s="501" t="s">
        <v>1905</v>
      </c>
      <c r="M262" s="502">
        <v>44656</v>
      </c>
      <c r="N262" s="502">
        <v>44833</v>
      </c>
      <c r="O262" s="502"/>
      <c r="P262" s="353"/>
      <c r="Q262" s="502"/>
      <c r="R262" s="502"/>
      <c r="S262" s="501" t="s">
        <v>1704</v>
      </c>
      <c r="T262" s="501">
        <v>60</v>
      </c>
      <c r="U262" s="501"/>
      <c r="V262" s="510" t="s">
        <v>973</v>
      </c>
      <c r="W262" s="501">
        <v>400</v>
      </c>
      <c r="X262" s="354">
        <v>768</v>
      </c>
      <c r="Y262" s="397">
        <f t="shared" si="50"/>
        <v>307200</v>
      </c>
      <c r="Z262" s="478">
        <f t="shared" si="51"/>
        <v>0.55000000000000004</v>
      </c>
      <c r="AA262" s="479">
        <f t="shared" si="43"/>
        <v>168960</v>
      </c>
      <c r="AB262" s="480"/>
      <c r="AC262" s="481"/>
      <c r="AD262" s="474"/>
      <c r="AE262" s="474"/>
      <c r="AF262" s="493">
        <f t="shared" si="53"/>
        <v>168960</v>
      </c>
      <c r="AG262" s="474" t="s">
        <v>1071</v>
      </c>
      <c r="AH262" s="474"/>
      <c r="AI262" s="474">
        <v>60</v>
      </c>
      <c r="AJ262" s="475" t="s">
        <v>1906</v>
      </c>
      <c r="AK262" s="475" t="s">
        <v>1417</v>
      </c>
      <c r="AL262" s="483">
        <v>83202</v>
      </c>
      <c r="AM262" s="474" t="s">
        <v>52</v>
      </c>
      <c r="AN262" s="384" t="s">
        <v>1074</v>
      </c>
      <c r="AO262" s="474" t="s">
        <v>1076</v>
      </c>
      <c r="AP262" s="474"/>
      <c r="AQ262" s="482" t="s">
        <v>37</v>
      </c>
      <c r="AR262" s="474" t="s">
        <v>1288</v>
      </c>
      <c r="AS262" s="473"/>
      <c r="AT262" s="346"/>
      <c r="AU262" s="478">
        <f t="shared" si="52"/>
        <v>0.49</v>
      </c>
    </row>
    <row r="263" spans="1:47" s="471" customFormat="1">
      <c r="A263" s="495"/>
      <c r="B263" s="407"/>
      <c r="C263" s="495"/>
      <c r="D263" s="512" t="s">
        <v>86</v>
      </c>
      <c r="E263" s="352"/>
      <c r="F263" s="501"/>
      <c r="G263" s="371">
        <v>2022</v>
      </c>
      <c r="H263" s="371" t="s">
        <v>4093</v>
      </c>
      <c r="I263" s="501" t="s">
        <v>1676</v>
      </c>
      <c r="J263" s="502"/>
      <c r="K263" s="501" t="s">
        <v>4279</v>
      </c>
      <c r="L263" s="501" t="s">
        <v>2079</v>
      </c>
      <c r="M263" s="502">
        <v>44656</v>
      </c>
      <c r="N263" s="502">
        <v>44896</v>
      </c>
      <c r="O263" s="502"/>
      <c r="P263" s="353"/>
      <c r="Q263" s="502"/>
      <c r="R263" s="502"/>
      <c r="S263" s="501" t="s">
        <v>88</v>
      </c>
      <c r="T263" s="501">
        <v>60</v>
      </c>
      <c r="U263" s="501" t="s">
        <v>1109</v>
      </c>
      <c r="V263" s="510" t="s">
        <v>973</v>
      </c>
      <c r="W263" s="501">
        <v>400</v>
      </c>
      <c r="X263" s="354">
        <v>5376</v>
      </c>
      <c r="Y263" s="397">
        <f t="shared" ref="Y263:Y286" si="54">W263*X263</f>
        <v>2150400</v>
      </c>
      <c r="Z263" s="478">
        <f>222/400</f>
        <v>0.55500000000000005</v>
      </c>
      <c r="AA263" s="479">
        <f t="shared" si="43"/>
        <v>1193472</v>
      </c>
      <c r="AB263" s="480"/>
      <c r="AC263" s="481">
        <f t="shared" ref="AC263:AC286" si="55">AB263*Y263</f>
        <v>0</v>
      </c>
      <c r="AD263" s="474"/>
      <c r="AE263" s="474"/>
      <c r="AF263" s="493">
        <f t="shared" si="53"/>
        <v>1193472</v>
      </c>
      <c r="AG263" s="474" t="s">
        <v>1071</v>
      </c>
      <c r="AH263" s="474"/>
      <c r="AI263" s="474">
        <v>60</v>
      </c>
      <c r="AJ263" s="475" t="s">
        <v>2075</v>
      </c>
      <c r="AK263" s="475" t="s">
        <v>50</v>
      </c>
      <c r="AL263" s="483">
        <v>92056</v>
      </c>
      <c r="AM263" s="474" t="s">
        <v>52</v>
      </c>
      <c r="AN263" s="384"/>
      <c r="AO263" s="474" t="s">
        <v>1076</v>
      </c>
      <c r="AP263" s="474"/>
      <c r="AQ263" s="482" t="s">
        <v>37</v>
      </c>
      <c r="AR263" s="474" t="s">
        <v>1216</v>
      </c>
      <c r="AS263" s="473"/>
      <c r="AT263" s="346"/>
      <c r="AU263" s="478">
        <f>212/400</f>
        <v>0.53</v>
      </c>
    </row>
    <row r="264" spans="1:47" s="471" customFormat="1">
      <c r="A264" s="495"/>
      <c r="B264" s="407">
        <v>44676</v>
      </c>
      <c r="C264" s="495"/>
      <c r="D264" s="512" t="s">
        <v>86</v>
      </c>
      <c r="E264" s="352"/>
      <c r="F264" s="501"/>
      <c r="G264" s="371">
        <v>2022</v>
      </c>
      <c r="H264" s="371" t="s">
        <v>4093</v>
      </c>
      <c r="I264" s="501" t="s">
        <v>1676</v>
      </c>
      <c r="J264" s="502"/>
      <c r="K264" s="501" t="s">
        <v>5482</v>
      </c>
      <c r="L264" s="501" t="s">
        <v>2079</v>
      </c>
      <c r="M264" s="502">
        <v>44659</v>
      </c>
      <c r="N264" s="502">
        <v>44774</v>
      </c>
      <c r="O264" s="502"/>
      <c r="P264" s="353"/>
      <c r="Q264" s="502"/>
      <c r="R264" s="502"/>
      <c r="S264" s="501" t="s">
        <v>88</v>
      </c>
      <c r="T264" s="501">
        <v>60</v>
      </c>
      <c r="U264" s="501" t="s">
        <v>1109</v>
      </c>
      <c r="V264" s="510" t="s">
        <v>973</v>
      </c>
      <c r="W264" s="501">
        <v>400</v>
      </c>
      <c r="X264" s="354">
        <v>3840</v>
      </c>
      <c r="Y264" s="397">
        <f t="shared" si="54"/>
        <v>1536000</v>
      </c>
      <c r="Z264" s="478">
        <f>222/400</f>
        <v>0.55500000000000005</v>
      </c>
      <c r="AA264" s="479">
        <f t="shared" si="43"/>
        <v>852480.00000000012</v>
      </c>
      <c r="AB264" s="480"/>
      <c r="AC264" s="481">
        <f t="shared" si="55"/>
        <v>0</v>
      </c>
      <c r="AD264" s="474"/>
      <c r="AE264" s="474"/>
      <c r="AF264" s="493">
        <f t="shared" si="53"/>
        <v>852480.00000000012</v>
      </c>
      <c r="AG264" s="474" t="s">
        <v>1071</v>
      </c>
      <c r="AH264" s="474"/>
      <c r="AI264" s="474">
        <v>60</v>
      </c>
      <c r="AJ264" s="475" t="s">
        <v>2075</v>
      </c>
      <c r="AK264" s="475" t="s">
        <v>50</v>
      </c>
      <c r="AL264" s="483">
        <v>92056</v>
      </c>
      <c r="AM264" s="474" t="s">
        <v>52</v>
      </c>
      <c r="AN264" s="384"/>
      <c r="AO264" s="474" t="s">
        <v>1076</v>
      </c>
      <c r="AP264" s="474"/>
      <c r="AQ264" s="482" t="s">
        <v>37</v>
      </c>
      <c r="AR264" s="474" t="s">
        <v>1216</v>
      </c>
      <c r="AS264" s="473"/>
      <c r="AT264" s="346"/>
      <c r="AU264" s="478">
        <f>212/400</f>
        <v>0.53</v>
      </c>
    </row>
    <row r="265" spans="1:47" s="471" customFormat="1">
      <c r="A265" s="495"/>
      <c r="B265" s="407">
        <v>44676</v>
      </c>
      <c r="C265" s="495"/>
      <c r="D265" s="512" t="s">
        <v>86</v>
      </c>
      <c r="E265" s="352"/>
      <c r="F265" s="501"/>
      <c r="G265" s="371">
        <v>2022</v>
      </c>
      <c r="H265" s="371" t="s">
        <v>4093</v>
      </c>
      <c r="I265" s="501" t="s">
        <v>1676</v>
      </c>
      <c r="J265" s="502"/>
      <c r="K265" s="501" t="s">
        <v>5482</v>
      </c>
      <c r="L265" s="501" t="s">
        <v>2079</v>
      </c>
      <c r="M265" s="502">
        <v>44659</v>
      </c>
      <c r="N265" s="502">
        <v>44774</v>
      </c>
      <c r="O265" s="502"/>
      <c r="P265" s="353"/>
      <c r="Q265" s="502"/>
      <c r="R265" s="502"/>
      <c r="S265" s="501" t="s">
        <v>88</v>
      </c>
      <c r="T265" s="501">
        <v>60</v>
      </c>
      <c r="U265" s="501" t="s">
        <v>1109</v>
      </c>
      <c r="V265" s="510" t="s">
        <v>986</v>
      </c>
      <c r="W265" s="501">
        <v>360</v>
      </c>
      <c r="X265" s="354">
        <v>1536</v>
      </c>
      <c r="Y265" s="397">
        <f t="shared" si="54"/>
        <v>552960</v>
      </c>
      <c r="Z265" s="478">
        <f>192.6/360</f>
        <v>0.53500000000000003</v>
      </c>
      <c r="AA265" s="479">
        <f t="shared" si="43"/>
        <v>295833.60000000003</v>
      </c>
      <c r="AB265" s="480"/>
      <c r="AC265" s="481">
        <f t="shared" si="55"/>
        <v>0</v>
      </c>
      <c r="AD265" s="474"/>
      <c r="AE265" s="474"/>
      <c r="AF265" s="493">
        <f t="shared" si="53"/>
        <v>295833.60000000003</v>
      </c>
      <c r="AG265" s="474" t="s">
        <v>1071</v>
      </c>
      <c r="AH265" s="474"/>
      <c r="AI265" s="474">
        <v>60</v>
      </c>
      <c r="AJ265" s="475" t="s">
        <v>2075</v>
      </c>
      <c r="AK265" s="475" t="s">
        <v>50</v>
      </c>
      <c r="AL265" s="483">
        <v>92056</v>
      </c>
      <c r="AM265" s="474" t="s">
        <v>52</v>
      </c>
      <c r="AN265" s="384"/>
      <c r="AO265" s="474" t="s">
        <v>1076</v>
      </c>
      <c r="AP265" s="474"/>
      <c r="AQ265" s="482" t="s">
        <v>37</v>
      </c>
      <c r="AR265" s="474" t="s">
        <v>1216</v>
      </c>
      <c r="AS265" s="473"/>
      <c r="AT265" s="346"/>
      <c r="AU265" s="478">
        <f>212/400</f>
        <v>0.53</v>
      </c>
    </row>
    <row r="266" spans="1:47" s="471" customFormat="1">
      <c r="A266" s="495"/>
      <c r="B266" s="407"/>
      <c r="C266" s="495"/>
      <c r="D266" s="512" t="s">
        <v>86</v>
      </c>
      <c r="E266" s="352"/>
      <c r="F266" s="501"/>
      <c r="G266" s="371">
        <v>2022</v>
      </c>
      <c r="H266" s="371" t="s">
        <v>3004</v>
      </c>
      <c r="I266" s="501" t="s">
        <v>1676</v>
      </c>
      <c r="J266" s="502"/>
      <c r="K266" s="501" t="s">
        <v>4280</v>
      </c>
      <c r="L266" s="501" t="s">
        <v>1776</v>
      </c>
      <c r="M266" s="502">
        <v>44656</v>
      </c>
      <c r="N266" s="502">
        <v>44823</v>
      </c>
      <c r="O266" s="502"/>
      <c r="P266" s="353"/>
      <c r="Q266" s="502"/>
      <c r="R266" s="502"/>
      <c r="S266" s="501" t="s">
        <v>88</v>
      </c>
      <c r="T266" s="501">
        <v>60</v>
      </c>
      <c r="U266" s="501"/>
      <c r="V266" s="510" t="s">
        <v>973</v>
      </c>
      <c r="W266" s="501">
        <v>400</v>
      </c>
      <c r="X266" s="354">
        <v>3328</v>
      </c>
      <c r="Y266" s="397">
        <f t="shared" si="54"/>
        <v>1331200</v>
      </c>
      <c r="Z266" s="478">
        <f t="shared" ref="Z266:Z271" si="56">220/400</f>
        <v>0.55000000000000004</v>
      </c>
      <c r="AA266" s="479">
        <f t="shared" si="43"/>
        <v>732160.00000000012</v>
      </c>
      <c r="AB266" s="480"/>
      <c r="AC266" s="481">
        <f t="shared" si="55"/>
        <v>0</v>
      </c>
      <c r="AD266" s="474"/>
      <c r="AE266" s="474"/>
      <c r="AF266" s="493">
        <f t="shared" si="53"/>
        <v>732160.00000000012</v>
      </c>
      <c r="AG266" s="474" t="s">
        <v>1071</v>
      </c>
      <c r="AH266" s="474"/>
      <c r="AI266" s="474">
        <v>60</v>
      </c>
      <c r="AJ266" s="475" t="s">
        <v>1777</v>
      </c>
      <c r="AK266" s="475" t="s">
        <v>50</v>
      </c>
      <c r="AL266" s="483" t="s">
        <v>1725</v>
      </c>
      <c r="AM266" s="474" t="s">
        <v>52</v>
      </c>
      <c r="AN266" s="384"/>
      <c r="AO266" s="474"/>
      <c r="AP266" s="474"/>
      <c r="AQ266" s="482"/>
      <c r="AR266" s="474"/>
      <c r="AS266" s="473" t="s">
        <v>1075</v>
      </c>
      <c r="AT266" s="346"/>
      <c r="AU266" s="478">
        <f t="shared" ref="AU266:AU271" si="57">183.6/360</f>
        <v>0.51</v>
      </c>
    </row>
    <row r="267" spans="1:47" s="471" customFormat="1">
      <c r="A267" s="495"/>
      <c r="B267" s="407"/>
      <c r="C267" s="495"/>
      <c r="D267" s="512" t="s">
        <v>86</v>
      </c>
      <c r="E267" s="352"/>
      <c r="F267" s="501"/>
      <c r="G267" s="371">
        <v>2022</v>
      </c>
      <c r="H267" s="371" t="s">
        <v>3004</v>
      </c>
      <c r="I267" s="501" t="s">
        <v>1676</v>
      </c>
      <c r="J267" s="502"/>
      <c r="K267" s="501" t="s">
        <v>4281</v>
      </c>
      <c r="L267" s="501" t="s">
        <v>1776</v>
      </c>
      <c r="M267" s="502">
        <v>44656</v>
      </c>
      <c r="N267" s="502">
        <v>44809</v>
      </c>
      <c r="O267" s="502"/>
      <c r="P267" s="353"/>
      <c r="Q267" s="502"/>
      <c r="R267" s="502"/>
      <c r="S267" s="501" t="s">
        <v>88</v>
      </c>
      <c r="T267" s="501">
        <v>60</v>
      </c>
      <c r="U267" s="501"/>
      <c r="V267" s="510" t="s">
        <v>973</v>
      </c>
      <c r="W267" s="501">
        <v>400</v>
      </c>
      <c r="X267" s="354">
        <v>3328</v>
      </c>
      <c r="Y267" s="397">
        <f t="shared" si="54"/>
        <v>1331200</v>
      </c>
      <c r="Z267" s="478">
        <f t="shared" si="56"/>
        <v>0.55000000000000004</v>
      </c>
      <c r="AA267" s="479">
        <f t="shared" ref="AA267:AA332" si="58">Z267*Y267</f>
        <v>732160.00000000012</v>
      </c>
      <c r="AB267" s="480"/>
      <c r="AC267" s="481">
        <f t="shared" si="55"/>
        <v>0</v>
      </c>
      <c r="AD267" s="474"/>
      <c r="AE267" s="474"/>
      <c r="AF267" s="493">
        <f t="shared" si="53"/>
        <v>732160.00000000012</v>
      </c>
      <c r="AG267" s="474" t="s">
        <v>1071</v>
      </c>
      <c r="AH267" s="474"/>
      <c r="AI267" s="474">
        <v>60</v>
      </c>
      <c r="AJ267" s="475" t="s">
        <v>1777</v>
      </c>
      <c r="AK267" s="475" t="s">
        <v>50</v>
      </c>
      <c r="AL267" s="483" t="s">
        <v>1725</v>
      </c>
      <c r="AM267" s="474" t="s">
        <v>52</v>
      </c>
      <c r="AN267" s="384"/>
      <c r="AO267" s="474"/>
      <c r="AP267" s="474"/>
      <c r="AQ267" s="482"/>
      <c r="AR267" s="474"/>
      <c r="AS267" s="473" t="s">
        <v>1075</v>
      </c>
      <c r="AT267" s="346"/>
      <c r="AU267" s="478">
        <f t="shared" si="57"/>
        <v>0.51</v>
      </c>
    </row>
    <row r="268" spans="1:47" s="471" customFormat="1">
      <c r="A268" s="495"/>
      <c r="B268" s="407"/>
      <c r="C268" s="495"/>
      <c r="D268" s="512" t="s">
        <v>86</v>
      </c>
      <c r="E268" s="352"/>
      <c r="F268" s="501"/>
      <c r="G268" s="371">
        <v>2022</v>
      </c>
      <c r="H268" s="371" t="s">
        <v>3004</v>
      </c>
      <c r="I268" s="501" t="s">
        <v>1676</v>
      </c>
      <c r="J268" s="502"/>
      <c r="K268" s="501" t="s">
        <v>4282</v>
      </c>
      <c r="L268" s="501" t="s">
        <v>1776</v>
      </c>
      <c r="M268" s="502">
        <v>44656</v>
      </c>
      <c r="N268" s="502">
        <v>44795</v>
      </c>
      <c r="O268" s="502"/>
      <c r="P268" s="353"/>
      <c r="Q268" s="502"/>
      <c r="R268" s="502"/>
      <c r="S268" s="501" t="s">
        <v>88</v>
      </c>
      <c r="T268" s="501">
        <v>60</v>
      </c>
      <c r="U268" s="501"/>
      <c r="V268" s="510" t="s">
        <v>973</v>
      </c>
      <c r="W268" s="501">
        <v>400</v>
      </c>
      <c r="X268" s="354">
        <v>4160</v>
      </c>
      <c r="Y268" s="397">
        <f t="shared" si="54"/>
        <v>1664000</v>
      </c>
      <c r="Z268" s="478">
        <f t="shared" si="56"/>
        <v>0.55000000000000004</v>
      </c>
      <c r="AA268" s="479">
        <f t="shared" si="58"/>
        <v>915200.00000000012</v>
      </c>
      <c r="AB268" s="480"/>
      <c r="AC268" s="481">
        <f t="shared" si="55"/>
        <v>0</v>
      </c>
      <c r="AD268" s="474"/>
      <c r="AE268" s="474"/>
      <c r="AF268" s="493">
        <f t="shared" si="53"/>
        <v>915200.00000000012</v>
      </c>
      <c r="AG268" s="474" t="s">
        <v>1071</v>
      </c>
      <c r="AH268" s="474"/>
      <c r="AI268" s="474">
        <v>60</v>
      </c>
      <c r="AJ268" s="475" t="s">
        <v>1777</v>
      </c>
      <c r="AK268" s="475" t="s">
        <v>50</v>
      </c>
      <c r="AL268" s="483" t="s">
        <v>1725</v>
      </c>
      <c r="AM268" s="474" t="s">
        <v>52</v>
      </c>
      <c r="AN268" s="384"/>
      <c r="AO268" s="474"/>
      <c r="AP268" s="474"/>
      <c r="AQ268" s="482"/>
      <c r="AR268" s="474"/>
      <c r="AS268" s="473" t="s">
        <v>1075</v>
      </c>
      <c r="AT268" s="346"/>
      <c r="AU268" s="478">
        <f t="shared" si="57"/>
        <v>0.51</v>
      </c>
    </row>
    <row r="269" spans="1:47" s="471" customFormat="1">
      <c r="A269" s="495"/>
      <c r="B269" s="407"/>
      <c r="C269" s="495"/>
      <c r="D269" s="512" t="s">
        <v>86</v>
      </c>
      <c r="E269" s="352"/>
      <c r="F269" s="501"/>
      <c r="G269" s="371">
        <v>2022</v>
      </c>
      <c r="H269" s="371" t="s">
        <v>3004</v>
      </c>
      <c r="I269" s="501" t="s">
        <v>1676</v>
      </c>
      <c r="J269" s="502"/>
      <c r="K269" s="501" t="s">
        <v>4283</v>
      </c>
      <c r="L269" s="501" t="s">
        <v>1776</v>
      </c>
      <c r="M269" s="502">
        <v>44656</v>
      </c>
      <c r="N269" s="502">
        <v>44781</v>
      </c>
      <c r="O269" s="502"/>
      <c r="P269" s="353"/>
      <c r="Q269" s="502"/>
      <c r="R269" s="502"/>
      <c r="S269" s="501" t="s">
        <v>88</v>
      </c>
      <c r="T269" s="501">
        <v>60</v>
      </c>
      <c r="U269" s="501"/>
      <c r="V269" s="510" t="s">
        <v>973</v>
      </c>
      <c r="W269" s="501">
        <v>400</v>
      </c>
      <c r="X269" s="354">
        <v>4160</v>
      </c>
      <c r="Y269" s="397">
        <f t="shared" si="54"/>
        <v>1664000</v>
      </c>
      <c r="Z269" s="478">
        <f t="shared" si="56"/>
        <v>0.55000000000000004</v>
      </c>
      <c r="AA269" s="479">
        <f t="shared" si="58"/>
        <v>915200.00000000012</v>
      </c>
      <c r="AB269" s="480"/>
      <c r="AC269" s="481">
        <f t="shared" si="55"/>
        <v>0</v>
      </c>
      <c r="AD269" s="474"/>
      <c r="AE269" s="474"/>
      <c r="AF269" s="493">
        <f t="shared" si="53"/>
        <v>915200.00000000012</v>
      </c>
      <c r="AG269" s="474" t="s">
        <v>1071</v>
      </c>
      <c r="AH269" s="474"/>
      <c r="AI269" s="474">
        <v>60</v>
      </c>
      <c r="AJ269" s="475" t="s">
        <v>1777</v>
      </c>
      <c r="AK269" s="475" t="s">
        <v>50</v>
      </c>
      <c r="AL269" s="483" t="s">
        <v>1725</v>
      </c>
      <c r="AM269" s="474" t="s">
        <v>52</v>
      </c>
      <c r="AN269" s="384"/>
      <c r="AO269" s="474"/>
      <c r="AP269" s="474"/>
      <c r="AQ269" s="482"/>
      <c r="AR269" s="474"/>
      <c r="AS269" s="473" t="s">
        <v>1075</v>
      </c>
      <c r="AT269" s="346"/>
      <c r="AU269" s="478">
        <f t="shared" si="57"/>
        <v>0.51</v>
      </c>
    </row>
    <row r="270" spans="1:47" s="471" customFormat="1">
      <c r="A270" s="495"/>
      <c r="B270" s="407"/>
      <c r="C270" s="495"/>
      <c r="D270" s="512" t="s">
        <v>86</v>
      </c>
      <c r="E270" s="352"/>
      <c r="F270" s="501"/>
      <c r="G270" s="371">
        <v>2022</v>
      </c>
      <c r="H270" s="371" t="s">
        <v>3004</v>
      </c>
      <c r="I270" s="501" t="s">
        <v>1676</v>
      </c>
      <c r="J270" s="502"/>
      <c r="K270" s="501" t="s">
        <v>4284</v>
      </c>
      <c r="L270" s="501" t="s">
        <v>1776</v>
      </c>
      <c r="M270" s="502">
        <v>44656</v>
      </c>
      <c r="N270" s="502">
        <v>44760</v>
      </c>
      <c r="O270" s="502"/>
      <c r="P270" s="353"/>
      <c r="Q270" s="502"/>
      <c r="R270" s="502"/>
      <c r="S270" s="501" t="s">
        <v>88</v>
      </c>
      <c r="T270" s="501">
        <v>60</v>
      </c>
      <c r="U270" s="501"/>
      <c r="V270" s="510" t="s">
        <v>973</v>
      </c>
      <c r="W270" s="501">
        <v>400</v>
      </c>
      <c r="X270" s="354">
        <v>4160</v>
      </c>
      <c r="Y270" s="397">
        <f t="shared" si="54"/>
        <v>1664000</v>
      </c>
      <c r="Z270" s="478">
        <f t="shared" si="56"/>
        <v>0.55000000000000004</v>
      </c>
      <c r="AA270" s="479">
        <f t="shared" si="58"/>
        <v>915200.00000000012</v>
      </c>
      <c r="AB270" s="480"/>
      <c r="AC270" s="481">
        <f t="shared" si="55"/>
        <v>0</v>
      </c>
      <c r="AD270" s="474"/>
      <c r="AE270" s="474"/>
      <c r="AF270" s="493">
        <f t="shared" si="53"/>
        <v>915200.00000000012</v>
      </c>
      <c r="AG270" s="474" t="s">
        <v>1071</v>
      </c>
      <c r="AH270" s="474"/>
      <c r="AI270" s="474">
        <v>60</v>
      </c>
      <c r="AJ270" s="475" t="s">
        <v>1777</v>
      </c>
      <c r="AK270" s="475" t="s">
        <v>50</v>
      </c>
      <c r="AL270" s="483" t="s">
        <v>1725</v>
      </c>
      <c r="AM270" s="474" t="s">
        <v>52</v>
      </c>
      <c r="AN270" s="384"/>
      <c r="AO270" s="474"/>
      <c r="AP270" s="474"/>
      <c r="AQ270" s="482"/>
      <c r="AR270" s="474"/>
      <c r="AS270" s="473" t="s">
        <v>1075</v>
      </c>
      <c r="AT270" s="346"/>
      <c r="AU270" s="478">
        <f t="shared" si="57"/>
        <v>0.51</v>
      </c>
    </row>
    <row r="271" spans="1:47" s="471" customFormat="1">
      <c r="A271" s="495"/>
      <c r="B271" s="407"/>
      <c r="C271" s="495"/>
      <c r="D271" s="512" t="s">
        <v>86</v>
      </c>
      <c r="E271" s="352"/>
      <c r="F271" s="501"/>
      <c r="G271" s="371">
        <v>2022</v>
      </c>
      <c r="H271" s="371" t="s">
        <v>3004</v>
      </c>
      <c r="I271" s="501" t="s">
        <v>1676</v>
      </c>
      <c r="J271" s="502"/>
      <c r="K271" s="501" t="s">
        <v>4285</v>
      </c>
      <c r="L271" s="501" t="s">
        <v>1776</v>
      </c>
      <c r="M271" s="502">
        <v>44656</v>
      </c>
      <c r="N271" s="502">
        <v>44747</v>
      </c>
      <c r="O271" s="502"/>
      <c r="P271" s="353"/>
      <c r="Q271" s="502"/>
      <c r="R271" s="502"/>
      <c r="S271" s="501" t="s">
        <v>88</v>
      </c>
      <c r="T271" s="501">
        <v>60</v>
      </c>
      <c r="U271" s="501"/>
      <c r="V271" s="510" t="s">
        <v>973</v>
      </c>
      <c r="W271" s="501">
        <v>400</v>
      </c>
      <c r="X271" s="354">
        <v>4160</v>
      </c>
      <c r="Y271" s="397">
        <f t="shared" si="54"/>
        <v>1664000</v>
      </c>
      <c r="Z271" s="478">
        <f t="shared" si="56"/>
        <v>0.55000000000000004</v>
      </c>
      <c r="AA271" s="479">
        <f t="shared" si="58"/>
        <v>915200.00000000012</v>
      </c>
      <c r="AB271" s="480"/>
      <c r="AC271" s="481">
        <f t="shared" si="55"/>
        <v>0</v>
      </c>
      <c r="AD271" s="474"/>
      <c r="AE271" s="474"/>
      <c r="AF271" s="493">
        <f t="shared" si="53"/>
        <v>915200.00000000012</v>
      </c>
      <c r="AG271" s="474" t="s">
        <v>1071</v>
      </c>
      <c r="AH271" s="474"/>
      <c r="AI271" s="474">
        <v>60</v>
      </c>
      <c r="AJ271" s="475" t="s">
        <v>1777</v>
      </c>
      <c r="AK271" s="475" t="s">
        <v>50</v>
      </c>
      <c r="AL271" s="483" t="s">
        <v>1725</v>
      </c>
      <c r="AM271" s="474" t="s">
        <v>52</v>
      </c>
      <c r="AN271" s="384"/>
      <c r="AO271" s="474"/>
      <c r="AP271" s="474"/>
      <c r="AQ271" s="482"/>
      <c r="AR271" s="474"/>
      <c r="AS271" s="473" t="s">
        <v>1075</v>
      </c>
      <c r="AT271" s="346"/>
      <c r="AU271" s="478">
        <f t="shared" si="57"/>
        <v>0.51</v>
      </c>
    </row>
    <row r="272" spans="1:47" s="471" customFormat="1">
      <c r="A272" s="495"/>
      <c r="B272" s="407"/>
      <c r="C272" s="495"/>
      <c r="D272" s="512" t="s">
        <v>86</v>
      </c>
      <c r="E272" s="352"/>
      <c r="F272" s="501"/>
      <c r="G272" s="371">
        <v>2022</v>
      </c>
      <c r="H272" s="371">
        <v>4</v>
      </c>
      <c r="I272" s="501" t="s">
        <v>1676</v>
      </c>
      <c r="J272" s="502"/>
      <c r="K272" s="501" t="s">
        <v>4286</v>
      </c>
      <c r="L272" s="501" t="s">
        <v>4287</v>
      </c>
      <c r="M272" s="502">
        <v>44645</v>
      </c>
      <c r="N272" s="502">
        <v>44645</v>
      </c>
      <c r="O272" s="502"/>
      <c r="P272" s="353"/>
      <c r="Q272" s="502"/>
      <c r="R272" s="502"/>
      <c r="S272" s="501" t="s">
        <v>88</v>
      </c>
      <c r="T272" s="501">
        <v>60</v>
      </c>
      <c r="U272" s="501"/>
      <c r="V272" s="510" t="s">
        <v>970</v>
      </c>
      <c r="W272" s="501">
        <v>405</v>
      </c>
      <c r="X272" s="354">
        <v>64</v>
      </c>
      <c r="Y272" s="397">
        <f t="shared" si="54"/>
        <v>25920</v>
      </c>
      <c r="Z272" s="478">
        <f>222.75/405</f>
        <v>0.55000000000000004</v>
      </c>
      <c r="AA272" s="479">
        <f t="shared" si="58"/>
        <v>14256.000000000002</v>
      </c>
      <c r="AB272" s="480"/>
      <c r="AC272" s="481">
        <f t="shared" si="55"/>
        <v>0</v>
      </c>
      <c r="AD272" s="474"/>
      <c r="AE272" s="474"/>
      <c r="AF272" s="493">
        <f t="shared" si="53"/>
        <v>14256.000000000002</v>
      </c>
      <c r="AG272" s="474" t="s">
        <v>1071</v>
      </c>
      <c r="AH272" s="474">
        <v>100</v>
      </c>
      <c r="AI272" s="474">
        <v>0</v>
      </c>
      <c r="AJ272" s="475" t="s">
        <v>4288</v>
      </c>
      <c r="AK272" s="475" t="s">
        <v>50</v>
      </c>
      <c r="AL272" s="483" t="s">
        <v>4289</v>
      </c>
      <c r="AM272" s="474" t="s">
        <v>52</v>
      </c>
      <c r="AN272" s="384" t="s">
        <v>50</v>
      </c>
      <c r="AO272" s="474" t="s">
        <v>1076</v>
      </c>
      <c r="AP272" s="474"/>
      <c r="AQ272" s="482" t="s">
        <v>37</v>
      </c>
      <c r="AR272" s="474" t="s">
        <v>1216</v>
      </c>
      <c r="AS272" s="473" t="s">
        <v>1492</v>
      </c>
      <c r="AT272" s="346"/>
      <c r="AU272" s="478">
        <f t="shared" ref="AU272:AU286" si="59">208/400</f>
        <v>0.52</v>
      </c>
    </row>
    <row r="273" spans="1:47" s="471" customFormat="1">
      <c r="A273" s="495"/>
      <c r="B273" s="407"/>
      <c r="C273" s="495"/>
      <c r="D273" s="512" t="s">
        <v>86</v>
      </c>
      <c r="E273" s="352"/>
      <c r="F273" s="501"/>
      <c r="G273" s="371">
        <v>2022</v>
      </c>
      <c r="H273" s="371" t="s">
        <v>3004</v>
      </c>
      <c r="I273" s="501" t="s">
        <v>1676</v>
      </c>
      <c r="J273" s="502"/>
      <c r="K273" s="501" t="s">
        <v>4290</v>
      </c>
      <c r="L273" s="501" t="s">
        <v>1798</v>
      </c>
      <c r="M273" s="502">
        <v>44655</v>
      </c>
      <c r="N273" s="502">
        <v>44743</v>
      </c>
      <c r="O273" s="502"/>
      <c r="P273" s="353"/>
      <c r="Q273" s="502"/>
      <c r="R273" s="502"/>
      <c r="S273" s="501" t="s">
        <v>88</v>
      </c>
      <c r="T273" s="501">
        <v>60</v>
      </c>
      <c r="U273" s="501"/>
      <c r="V273" s="510" t="s">
        <v>986</v>
      </c>
      <c r="W273" s="501">
        <v>360</v>
      </c>
      <c r="X273" s="354">
        <v>768</v>
      </c>
      <c r="Y273" s="397">
        <f t="shared" si="54"/>
        <v>276480</v>
      </c>
      <c r="Z273" s="478">
        <f t="shared" ref="Z273:Z278" si="60">190.8/360</f>
        <v>0.53</v>
      </c>
      <c r="AA273" s="479">
        <f t="shared" si="58"/>
        <v>146534.39999999999</v>
      </c>
      <c r="AB273" s="480"/>
      <c r="AC273" s="481">
        <f t="shared" si="55"/>
        <v>0</v>
      </c>
      <c r="AD273" s="474"/>
      <c r="AE273" s="474"/>
      <c r="AF273" s="493">
        <f t="shared" si="53"/>
        <v>146534.39999999999</v>
      </c>
      <c r="AG273" s="474" t="s">
        <v>1071</v>
      </c>
      <c r="AH273" s="474">
        <v>100</v>
      </c>
      <c r="AI273" s="474">
        <v>0</v>
      </c>
      <c r="AJ273" s="475" t="s">
        <v>4288</v>
      </c>
      <c r="AK273" s="475" t="s">
        <v>50</v>
      </c>
      <c r="AL273" s="483" t="s">
        <v>4289</v>
      </c>
      <c r="AM273" s="474" t="s">
        <v>52</v>
      </c>
      <c r="AN273" s="384" t="s">
        <v>50</v>
      </c>
      <c r="AO273" s="474" t="s">
        <v>1076</v>
      </c>
      <c r="AP273" s="474"/>
      <c r="AQ273" s="482" t="s">
        <v>37</v>
      </c>
      <c r="AR273" s="474" t="s">
        <v>1216</v>
      </c>
      <c r="AS273" s="473" t="s">
        <v>1492</v>
      </c>
      <c r="AT273" s="346"/>
      <c r="AU273" s="478">
        <f t="shared" si="59"/>
        <v>0.52</v>
      </c>
    </row>
    <row r="274" spans="1:47" s="471" customFormat="1">
      <c r="A274" s="495"/>
      <c r="B274" s="407"/>
      <c r="C274" s="495"/>
      <c r="D274" s="512" t="s">
        <v>86</v>
      </c>
      <c r="E274" s="352"/>
      <c r="F274" s="501"/>
      <c r="G274" s="371">
        <v>2022</v>
      </c>
      <c r="H274" s="371" t="s">
        <v>3004</v>
      </c>
      <c r="I274" s="501" t="s">
        <v>1676</v>
      </c>
      <c r="J274" s="502"/>
      <c r="K274" s="501" t="s">
        <v>4290</v>
      </c>
      <c r="L274" s="501" t="s">
        <v>1798</v>
      </c>
      <c r="M274" s="502">
        <v>44655</v>
      </c>
      <c r="N274" s="502">
        <v>44774</v>
      </c>
      <c r="O274" s="502"/>
      <c r="P274" s="353"/>
      <c r="Q274" s="502"/>
      <c r="R274" s="502"/>
      <c r="S274" s="501" t="s">
        <v>88</v>
      </c>
      <c r="T274" s="501">
        <v>60</v>
      </c>
      <c r="U274" s="501"/>
      <c r="V274" s="510" t="s">
        <v>986</v>
      </c>
      <c r="W274" s="501">
        <v>360</v>
      </c>
      <c r="X274" s="354">
        <v>768</v>
      </c>
      <c r="Y274" s="397">
        <f t="shared" si="54"/>
        <v>276480</v>
      </c>
      <c r="Z274" s="478">
        <f t="shared" si="60"/>
        <v>0.53</v>
      </c>
      <c r="AA274" s="479">
        <f t="shared" si="58"/>
        <v>146534.39999999999</v>
      </c>
      <c r="AB274" s="480"/>
      <c r="AC274" s="481">
        <f t="shared" si="55"/>
        <v>0</v>
      </c>
      <c r="AD274" s="474"/>
      <c r="AE274" s="474"/>
      <c r="AF274" s="493">
        <f t="shared" si="53"/>
        <v>146534.39999999999</v>
      </c>
      <c r="AG274" s="474" t="s">
        <v>1071</v>
      </c>
      <c r="AH274" s="474">
        <v>100</v>
      </c>
      <c r="AI274" s="474">
        <v>0</v>
      </c>
      <c r="AJ274" s="475" t="s">
        <v>4288</v>
      </c>
      <c r="AK274" s="475" t="s">
        <v>50</v>
      </c>
      <c r="AL274" s="483" t="s">
        <v>4289</v>
      </c>
      <c r="AM274" s="474" t="s">
        <v>52</v>
      </c>
      <c r="AN274" s="384" t="s">
        <v>50</v>
      </c>
      <c r="AO274" s="474" t="s">
        <v>1076</v>
      </c>
      <c r="AP274" s="474"/>
      <c r="AQ274" s="482" t="s">
        <v>37</v>
      </c>
      <c r="AR274" s="474" t="s">
        <v>1216</v>
      </c>
      <c r="AS274" s="473" t="s">
        <v>1492</v>
      </c>
      <c r="AT274" s="346"/>
      <c r="AU274" s="478">
        <f t="shared" si="59"/>
        <v>0.52</v>
      </c>
    </row>
    <row r="275" spans="1:47" s="471" customFormat="1">
      <c r="A275" s="495"/>
      <c r="B275" s="407"/>
      <c r="C275" s="495"/>
      <c r="D275" s="512" t="s">
        <v>86</v>
      </c>
      <c r="E275" s="352"/>
      <c r="F275" s="501"/>
      <c r="G275" s="371">
        <v>2022</v>
      </c>
      <c r="H275" s="371" t="s">
        <v>3004</v>
      </c>
      <c r="I275" s="501" t="s">
        <v>1676</v>
      </c>
      <c r="J275" s="502"/>
      <c r="K275" s="501" t="s">
        <v>4290</v>
      </c>
      <c r="L275" s="501" t="s">
        <v>1798</v>
      </c>
      <c r="M275" s="502">
        <v>44655</v>
      </c>
      <c r="N275" s="502">
        <v>44805</v>
      </c>
      <c r="O275" s="502"/>
      <c r="P275" s="353"/>
      <c r="Q275" s="502"/>
      <c r="R275" s="502"/>
      <c r="S275" s="501" t="s">
        <v>88</v>
      </c>
      <c r="T275" s="501">
        <v>60</v>
      </c>
      <c r="U275" s="501"/>
      <c r="V275" s="510" t="s">
        <v>986</v>
      </c>
      <c r="W275" s="501">
        <v>360</v>
      </c>
      <c r="X275" s="354">
        <v>768</v>
      </c>
      <c r="Y275" s="397">
        <f t="shared" si="54"/>
        <v>276480</v>
      </c>
      <c r="Z275" s="478">
        <f t="shared" si="60"/>
        <v>0.53</v>
      </c>
      <c r="AA275" s="479">
        <f t="shared" si="58"/>
        <v>146534.39999999999</v>
      </c>
      <c r="AB275" s="480"/>
      <c r="AC275" s="481">
        <f t="shared" si="55"/>
        <v>0</v>
      </c>
      <c r="AD275" s="474"/>
      <c r="AE275" s="474"/>
      <c r="AF275" s="493">
        <f t="shared" si="53"/>
        <v>146534.39999999999</v>
      </c>
      <c r="AG275" s="474" t="s">
        <v>1071</v>
      </c>
      <c r="AH275" s="474">
        <v>100</v>
      </c>
      <c r="AI275" s="474">
        <v>0</v>
      </c>
      <c r="AJ275" s="475" t="s">
        <v>4288</v>
      </c>
      <c r="AK275" s="475" t="s">
        <v>50</v>
      </c>
      <c r="AL275" s="483" t="s">
        <v>4289</v>
      </c>
      <c r="AM275" s="474" t="s">
        <v>52</v>
      </c>
      <c r="AN275" s="384" t="s">
        <v>50</v>
      </c>
      <c r="AO275" s="474" t="s">
        <v>1076</v>
      </c>
      <c r="AP275" s="474"/>
      <c r="AQ275" s="482" t="s">
        <v>37</v>
      </c>
      <c r="AR275" s="474" t="s">
        <v>1216</v>
      </c>
      <c r="AS275" s="473" t="s">
        <v>1492</v>
      </c>
      <c r="AT275" s="346"/>
      <c r="AU275" s="478">
        <f t="shared" si="59"/>
        <v>0.52</v>
      </c>
    </row>
    <row r="276" spans="1:47" s="471" customFormat="1">
      <c r="A276" s="495"/>
      <c r="B276" s="407"/>
      <c r="C276" s="495"/>
      <c r="D276" s="512" t="s">
        <v>86</v>
      </c>
      <c r="E276" s="352"/>
      <c r="F276" s="501"/>
      <c r="G276" s="371">
        <v>2022</v>
      </c>
      <c r="H276" s="371" t="s">
        <v>3004</v>
      </c>
      <c r="I276" s="501" t="s">
        <v>1676</v>
      </c>
      <c r="J276" s="502"/>
      <c r="K276" s="501" t="s">
        <v>4290</v>
      </c>
      <c r="L276" s="501" t="s">
        <v>1798</v>
      </c>
      <c r="M276" s="502">
        <v>44655</v>
      </c>
      <c r="N276" s="502">
        <v>44835</v>
      </c>
      <c r="O276" s="502"/>
      <c r="P276" s="353"/>
      <c r="Q276" s="502"/>
      <c r="R276" s="502"/>
      <c r="S276" s="501" t="s">
        <v>88</v>
      </c>
      <c r="T276" s="501">
        <v>60</v>
      </c>
      <c r="U276" s="501"/>
      <c r="V276" s="510" t="s">
        <v>986</v>
      </c>
      <c r="W276" s="501">
        <v>360</v>
      </c>
      <c r="X276" s="354">
        <v>1536</v>
      </c>
      <c r="Y276" s="397">
        <f t="shared" si="54"/>
        <v>552960</v>
      </c>
      <c r="Z276" s="478">
        <f t="shared" si="60"/>
        <v>0.53</v>
      </c>
      <c r="AA276" s="479">
        <f t="shared" si="58"/>
        <v>293068.79999999999</v>
      </c>
      <c r="AB276" s="480"/>
      <c r="AC276" s="481">
        <f t="shared" si="55"/>
        <v>0</v>
      </c>
      <c r="AD276" s="474"/>
      <c r="AE276" s="474"/>
      <c r="AF276" s="493">
        <f t="shared" si="53"/>
        <v>293068.79999999999</v>
      </c>
      <c r="AG276" s="474" t="s">
        <v>1071</v>
      </c>
      <c r="AH276" s="474">
        <v>100</v>
      </c>
      <c r="AI276" s="474">
        <v>0</v>
      </c>
      <c r="AJ276" s="475" t="s">
        <v>4288</v>
      </c>
      <c r="AK276" s="475" t="s">
        <v>50</v>
      </c>
      <c r="AL276" s="483" t="s">
        <v>4289</v>
      </c>
      <c r="AM276" s="474" t="s">
        <v>52</v>
      </c>
      <c r="AN276" s="384" t="s">
        <v>50</v>
      </c>
      <c r="AO276" s="474" t="s">
        <v>1076</v>
      </c>
      <c r="AP276" s="474"/>
      <c r="AQ276" s="482" t="s">
        <v>37</v>
      </c>
      <c r="AR276" s="474" t="s">
        <v>1216</v>
      </c>
      <c r="AS276" s="473" t="s">
        <v>1492</v>
      </c>
      <c r="AT276" s="346"/>
      <c r="AU276" s="478">
        <f t="shared" si="59"/>
        <v>0.52</v>
      </c>
    </row>
    <row r="277" spans="1:47" s="471" customFormat="1">
      <c r="A277" s="495"/>
      <c r="B277" s="407"/>
      <c r="C277" s="495"/>
      <c r="D277" s="512" t="s">
        <v>86</v>
      </c>
      <c r="E277" s="352"/>
      <c r="F277" s="501"/>
      <c r="G277" s="371">
        <v>2022</v>
      </c>
      <c r="H277" s="371" t="s">
        <v>3004</v>
      </c>
      <c r="I277" s="501" t="s">
        <v>1676</v>
      </c>
      <c r="J277" s="502"/>
      <c r="K277" s="501" t="s">
        <v>4290</v>
      </c>
      <c r="L277" s="501" t="s">
        <v>1798</v>
      </c>
      <c r="M277" s="502">
        <v>44655</v>
      </c>
      <c r="N277" s="502">
        <v>44866</v>
      </c>
      <c r="O277" s="502"/>
      <c r="P277" s="353"/>
      <c r="Q277" s="502"/>
      <c r="R277" s="502"/>
      <c r="S277" s="501" t="s">
        <v>88</v>
      </c>
      <c r="T277" s="501">
        <v>60</v>
      </c>
      <c r="U277" s="501"/>
      <c r="V277" s="510" t="s">
        <v>986</v>
      </c>
      <c r="W277" s="501">
        <v>360</v>
      </c>
      <c r="X277" s="354">
        <v>768</v>
      </c>
      <c r="Y277" s="397">
        <f t="shared" si="54"/>
        <v>276480</v>
      </c>
      <c r="Z277" s="478">
        <f t="shared" si="60"/>
        <v>0.53</v>
      </c>
      <c r="AA277" s="479">
        <f t="shared" si="58"/>
        <v>146534.39999999999</v>
      </c>
      <c r="AB277" s="480"/>
      <c r="AC277" s="481">
        <f t="shared" si="55"/>
        <v>0</v>
      </c>
      <c r="AD277" s="474"/>
      <c r="AE277" s="474"/>
      <c r="AF277" s="493">
        <f t="shared" si="53"/>
        <v>146534.39999999999</v>
      </c>
      <c r="AG277" s="474" t="s">
        <v>1071</v>
      </c>
      <c r="AH277" s="474">
        <v>100</v>
      </c>
      <c r="AI277" s="474">
        <v>0</v>
      </c>
      <c r="AJ277" s="475" t="s">
        <v>4288</v>
      </c>
      <c r="AK277" s="475" t="s">
        <v>50</v>
      </c>
      <c r="AL277" s="483" t="s">
        <v>4289</v>
      </c>
      <c r="AM277" s="474" t="s">
        <v>52</v>
      </c>
      <c r="AN277" s="384" t="s">
        <v>50</v>
      </c>
      <c r="AO277" s="474" t="s">
        <v>1076</v>
      </c>
      <c r="AP277" s="474"/>
      <c r="AQ277" s="482" t="s">
        <v>37</v>
      </c>
      <c r="AR277" s="474" t="s">
        <v>1216</v>
      </c>
      <c r="AS277" s="473" t="s">
        <v>1492</v>
      </c>
      <c r="AT277" s="346"/>
      <c r="AU277" s="478">
        <f t="shared" si="59"/>
        <v>0.52</v>
      </c>
    </row>
    <row r="278" spans="1:47" s="471" customFormat="1">
      <c r="A278" s="495"/>
      <c r="B278" s="407"/>
      <c r="C278" s="495"/>
      <c r="D278" s="512" t="s">
        <v>86</v>
      </c>
      <c r="E278" s="352"/>
      <c r="F278" s="501"/>
      <c r="G278" s="371">
        <v>2022</v>
      </c>
      <c r="H278" s="371" t="s">
        <v>3004</v>
      </c>
      <c r="I278" s="501" t="s">
        <v>1676</v>
      </c>
      <c r="J278" s="502"/>
      <c r="K278" s="501" t="s">
        <v>4290</v>
      </c>
      <c r="L278" s="501" t="s">
        <v>1798</v>
      </c>
      <c r="M278" s="502">
        <v>44655</v>
      </c>
      <c r="N278" s="502">
        <v>44896</v>
      </c>
      <c r="O278" s="502"/>
      <c r="P278" s="353"/>
      <c r="Q278" s="502"/>
      <c r="R278" s="502"/>
      <c r="S278" s="501" t="s">
        <v>88</v>
      </c>
      <c r="T278" s="501">
        <v>60</v>
      </c>
      <c r="U278" s="501"/>
      <c r="V278" s="510" t="s">
        <v>986</v>
      </c>
      <c r="W278" s="501">
        <v>360</v>
      </c>
      <c r="X278" s="354">
        <v>768</v>
      </c>
      <c r="Y278" s="397">
        <f t="shared" si="54"/>
        <v>276480</v>
      </c>
      <c r="Z278" s="478">
        <f t="shared" si="60"/>
        <v>0.53</v>
      </c>
      <c r="AA278" s="479">
        <f t="shared" si="58"/>
        <v>146534.39999999999</v>
      </c>
      <c r="AB278" s="480"/>
      <c r="AC278" s="481">
        <f t="shared" si="55"/>
        <v>0</v>
      </c>
      <c r="AD278" s="474"/>
      <c r="AE278" s="474"/>
      <c r="AF278" s="493">
        <f t="shared" si="53"/>
        <v>146534.39999999999</v>
      </c>
      <c r="AG278" s="474" t="s">
        <v>1071</v>
      </c>
      <c r="AH278" s="474">
        <v>100</v>
      </c>
      <c r="AI278" s="474">
        <v>0</v>
      </c>
      <c r="AJ278" s="475" t="s">
        <v>4288</v>
      </c>
      <c r="AK278" s="475" t="s">
        <v>50</v>
      </c>
      <c r="AL278" s="483" t="s">
        <v>4289</v>
      </c>
      <c r="AM278" s="474" t="s">
        <v>52</v>
      </c>
      <c r="AN278" s="384" t="s">
        <v>50</v>
      </c>
      <c r="AO278" s="474" t="s">
        <v>1076</v>
      </c>
      <c r="AP278" s="474"/>
      <c r="AQ278" s="482" t="s">
        <v>37</v>
      </c>
      <c r="AR278" s="474" t="s">
        <v>1216</v>
      </c>
      <c r="AS278" s="473" t="s">
        <v>1492</v>
      </c>
      <c r="AT278" s="346"/>
      <c r="AU278" s="478">
        <f t="shared" si="59"/>
        <v>0.52</v>
      </c>
    </row>
    <row r="279" spans="1:47" s="471" customFormat="1">
      <c r="A279" s="495"/>
      <c r="B279" s="407"/>
      <c r="C279" s="495"/>
      <c r="D279" s="512" t="s">
        <v>86</v>
      </c>
      <c r="E279" s="352"/>
      <c r="F279" s="501"/>
      <c r="G279" s="371">
        <v>2022</v>
      </c>
      <c r="H279" s="371" t="s">
        <v>3004</v>
      </c>
      <c r="I279" s="501" t="s">
        <v>1676</v>
      </c>
      <c r="J279" s="502"/>
      <c r="K279" s="501" t="s">
        <v>4291</v>
      </c>
      <c r="L279" s="501" t="s">
        <v>1798</v>
      </c>
      <c r="M279" s="502">
        <v>44655</v>
      </c>
      <c r="N279" s="502">
        <v>44743</v>
      </c>
      <c r="O279" s="502"/>
      <c r="P279" s="353"/>
      <c r="Q279" s="502"/>
      <c r="R279" s="502"/>
      <c r="S279" s="501" t="s">
        <v>88</v>
      </c>
      <c r="T279" s="501">
        <v>60</v>
      </c>
      <c r="U279" s="501"/>
      <c r="V279" s="510" t="s">
        <v>973</v>
      </c>
      <c r="W279" s="501">
        <v>400</v>
      </c>
      <c r="X279" s="354">
        <v>768</v>
      </c>
      <c r="Y279" s="397">
        <f t="shared" si="54"/>
        <v>307200</v>
      </c>
      <c r="Z279" s="478">
        <f t="shared" ref="Z279:Z284" si="61">220/400</f>
        <v>0.55000000000000004</v>
      </c>
      <c r="AA279" s="479">
        <f t="shared" si="58"/>
        <v>168960</v>
      </c>
      <c r="AB279" s="480"/>
      <c r="AC279" s="481">
        <f t="shared" si="55"/>
        <v>0</v>
      </c>
      <c r="AD279" s="474"/>
      <c r="AE279" s="474"/>
      <c r="AF279" s="493">
        <f t="shared" si="53"/>
        <v>168960</v>
      </c>
      <c r="AG279" s="474" t="s">
        <v>1071</v>
      </c>
      <c r="AH279" s="474">
        <v>100</v>
      </c>
      <c r="AI279" s="474">
        <v>0</v>
      </c>
      <c r="AJ279" s="475" t="s">
        <v>4288</v>
      </c>
      <c r="AK279" s="475" t="s">
        <v>50</v>
      </c>
      <c r="AL279" s="483" t="s">
        <v>4289</v>
      </c>
      <c r="AM279" s="474" t="s">
        <v>52</v>
      </c>
      <c r="AN279" s="384" t="s">
        <v>50</v>
      </c>
      <c r="AO279" s="474" t="s">
        <v>1076</v>
      </c>
      <c r="AP279" s="474"/>
      <c r="AQ279" s="482" t="s">
        <v>37</v>
      </c>
      <c r="AR279" s="474" t="s">
        <v>1216</v>
      </c>
      <c r="AS279" s="473" t="s">
        <v>1492</v>
      </c>
      <c r="AT279" s="346"/>
      <c r="AU279" s="478">
        <f t="shared" si="59"/>
        <v>0.52</v>
      </c>
    </row>
    <row r="280" spans="1:47" s="471" customFormat="1">
      <c r="A280" s="495"/>
      <c r="B280" s="407"/>
      <c r="C280" s="495"/>
      <c r="D280" s="512" t="s">
        <v>86</v>
      </c>
      <c r="E280" s="352"/>
      <c r="F280" s="501"/>
      <c r="G280" s="371">
        <v>2022</v>
      </c>
      <c r="H280" s="371" t="s">
        <v>3004</v>
      </c>
      <c r="I280" s="501" t="s">
        <v>1676</v>
      </c>
      <c r="J280" s="502"/>
      <c r="K280" s="501" t="s">
        <v>4291</v>
      </c>
      <c r="L280" s="501" t="s">
        <v>1798</v>
      </c>
      <c r="M280" s="502">
        <v>44655</v>
      </c>
      <c r="N280" s="502">
        <v>44774</v>
      </c>
      <c r="O280" s="502"/>
      <c r="P280" s="353"/>
      <c r="Q280" s="502"/>
      <c r="R280" s="502"/>
      <c r="S280" s="501" t="s">
        <v>88</v>
      </c>
      <c r="T280" s="501">
        <v>60</v>
      </c>
      <c r="U280" s="501"/>
      <c r="V280" s="510" t="s">
        <v>973</v>
      </c>
      <c r="W280" s="501">
        <v>400</v>
      </c>
      <c r="X280" s="354">
        <v>768</v>
      </c>
      <c r="Y280" s="397">
        <f t="shared" si="54"/>
        <v>307200</v>
      </c>
      <c r="Z280" s="478">
        <f t="shared" si="61"/>
        <v>0.55000000000000004</v>
      </c>
      <c r="AA280" s="479">
        <f t="shared" si="58"/>
        <v>168960</v>
      </c>
      <c r="AB280" s="480"/>
      <c r="AC280" s="481">
        <f t="shared" si="55"/>
        <v>0</v>
      </c>
      <c r="AD280" s="474"/>
      <c r="AE280" s="474"/>
      <c r="AF280" s="493">
        <f t="shared" si="53"/>
        <v>168960</v>
      </c>
      <c r="AG280" s="474" t="s">
        <v>1071</v>
      </c>
      <c r="AH280" s="474">
        <v>100</v>
      </c>
      <c r="AI280" s="474">
        <v>0</v>
      </c>
      <c r="AJ280" s="475" t="s">
        <v>4288</v>
      </c>
      <c r="AK280" s="475" t="s">
        <v>50</v>
      </c>
      <c r="AL280" s="483" t="s">
        <v>4289</v>
      </c>
      <c r="AM280" s="474" t="s">
        <v>52</v>
      </c>
      <c r="AN280" s="384" t="s">
        <v>50</v>
      </c>
      <c r="AO280" s="474" t="s">
        <v>1076</v>
      </c>
      <c r="AP280" s="474"/>
      <c r="AQ280" s="482" t="s">
        <v>37</v>
      </c>
      <c r="AR280" s="474" t="s">
        <v>1216</v>
      </c>
      <c r="AS280" s="473" t="s">
        <v>1492</v>
      </c>
      <c r="AT280" s="346"/>
      <c r="AU280" s="478">
        <f t="shared" si="59"/>
        <v>0.52</v>
      </c>
    </row>
    <row r="281" spans="1:47" s="471" customFormat="1">
      <c r="A281" s="495"/>
      <c r="B281" s="407"/>
      <c r="C281" s="495"/>
      <c r="D281" s="512" t="s">
        <v>86</v>
      </c>
      <c r="E281" s="352"/>
      <c r="F281" s="501"/>
      <c r="G281" s="371">
        <v>2022</v>
      </c>
      <c r="H281" s="371" t="s">
        <v>3004</v>
      </c>
      <c r="I281" s="501" t="s">
        <v>1676</v>
      </c>
      <c r="J281" s="502"/>
      <c r="K281" s="501" t="s">
        <v>4291</v>
      </c>
      <c r="L281" s="501" t="s">
        <v>1798</v>
      </c>
      <c r="M281" s="502">
        <v>44655</v>
      </c>
      <c r="N281" s="502">
        <v>44805</v>
      </c>
      <c r="O281" s="502"/>
      <c r="P281" s="353"/>
      <c r="Q281" s="502"/>
      <c r="R281" s="502"/>
      <c r="S281" s="501" t="s">
        <v>88</v>
      </c>
      <c r="T281" s="501">
        <v>60</v>
      </c>
      <c r="U281" s="501"/>
      <c r="V281" s="510" t="s">
        <v>973</v>
      </c>
      <c r="W281" s="501">
        <v>400</v>
      </c>
      <c r="X281" s="354">
        <v>768</v>
      </c>
      <c r="Y281" s="397">
        <f t="shared" si="54"/>
        <v>307200</v>
      </c>
      <c r="Z281" s="478">
        <f t="shared" si="61"/>
        <v>0.55000000000000004</v>
      </c>
      <c r="AA281" s="479">
        <f t="shared" si="58"/>
        <v>168960</v>
      </c>
      <c r="AB281" s="480"/>
      <c r="AC281" s="481">
        <f t="shared" si="55"/>
        <v>0</v>
      </c>
      <c r="AD281" s="474"/>
      <c r="AE281" s="474"/>
      <c r="AF281" s="493">
        <f t="shared" si="53"/>
        <v>168960</v>
      </c>
      <c r="AG281" s="474" t="s">
        <v>1071</v>
      </c>
      <c r="AH281" s="474">
        <v>100</v>
      </c>
      <c r="AI281" s="474">
        <v>0</v>
      </c>
      <c r="AJ281" s="475" t="s">
        <v>4288</v>
      </c>
      <c r="AK281" s="475" t="s">
        <v>50</v>
      </c>
      <c r="AL281" s="483" t="s">
        <v>4289</v>
      </c>
      <c r="AM281" s="474" t="s">
        <v>52</v>
      </c>
      <c r="AN281" s="384" t="s">
        <v>50</v>
      </c>
      <c r="AO281" s="474" t="s">
        <v>1076</v>
      </c>
      <c r="AP281" s="474"/>
      <c r="AQ281" s="482" t="s">
        <v>37</v>
      </c>
      <c r="AR281" s="474" t="s">
        <v>1216</v>
      </c>
      <c r="AS281" s="473" t="s">
        <v>1492</v>
      </c>
      <c r="AT281" s="346"/>
      <c r="AU281" s="478">
        <f t="shared" si="59"/>
        <v>0.52</v>
      </c>
    </row>
    <row r="282" spans="1:47" s="471" customFormat="1">
      <c r="A282" s="495"/>
      <c r="B282" s="407"/>
      <c r="C282" s="495"/>
      <c r="D282" s="512" t="s">
        <v>86</v>
      </c>
      <c r="E282" s="352"/>
      <c r="F282" s="501"/>
      <c r="G282" s="371">
        <v>2022</v>
      </c>
      <c r="H282" s="371" t="s">
        <v>3004</v>
      </c>
      <c r="I282" s="501" t="s">
        <v>1676</v>
      </c>
      <c r="J282" s="502"/>
      <c r="K282" s="501" t="s">
        <v>4291</v>
      </c>
      <c r="L282" s="501" t="s">
        <v>1798</v>
      </c>
      <c r="M282" s="502">
        <v>44655</v>
      </c>
      <c r="N282" s="502">
        <v>44835</v>
      </c>
      <c r="O282" s="502"/>
      <c r="P282" s="353"/>
      <c r="Q282" s="502"/>
      <c r="R282" s="502"/>
      <c r="S282" s="501" t="s">
        <v>88</v>
      </c>
      <c r="T282" s="501">
        <v>60</v>
      </c>
      <c r="U282" s="501"/>
      <c r="V282" s="510" t="s">
        <v>973</v>
      </c>
      <c r="W282" s="501">
        <v>400</v>
      </c>
      <c r="X282" s="354">
        <v>1536</v>
      </c>
      <c r="Y282" s="397">
        <f t="shared" si="54"/>
        <v>614400</v>
      </c>
      <c r="Z282" s="478">
        <f t="shared" si="61"/>
        <v>0.55000000000000004</v>
      </c>
      <c r="AA282" s="479">
        <f t="shared" si="58"/>
        <v>337920</v>
      </c>
      <c r="AB282" s="480"/>
      <c r="AC282" s="481">
        <f t="shared" si="55"/>
        <v>0</v>
      </c>
      <c r="AD282" s="474"/>
      <c r="AE282" s="474"/>
      <c r="AF282" s="493">
        <f t="shared" si="53"/>
        <v>337920</v>
      </c>
      <c r="AG282" s="474" t="s">
        <v>1071</v>
      </c>
      <c r="AH282" s="474">
        <v>100</v>
      </c>
      <c r="AI282" s="474">
        <v>0</v>
      </c>
      <c r="AJ282" s="475" t="s">
        <v>4288</v>
      </c>
      <c r="AK282" s="475" t="s">
        <v>50</v>
      </c>
      <c r="AL282" s="483" t="s">
        <v>4289</v>
      </c>
      <c r="AM282" s="474" t="s">
        <v>52</v>
      </c>
      <c r="AN282" s="384" t="s">
        <v>50</v>
      </c>
      <c r="AO282" s="474" t="s">
        <v>1076</v>
      </c>
      <c r="AP282" s="474"/>
      <c r="AQ282" s="482" t="s">
        <v>37</v>
      </c>
      <c r="AR282" s="474" t="s">
        <v>1216</v>
      </c>
      <c r="AS282" s="473" t="s">
        <v>1492</v>
      </c>
      <c r="AT282" s="346"/>
      <c r="AU282" s="478">
        <f t="shared" si="59"/>
        <v>0.52</v>
      </c>
    </row>
    <row r="283" spans="1:47" s="471" customFormat="1">
      <c r="A283" s="495"/>
      <c r="B283" s="407"/>
      <c r="C283" s="495"/>
      <c r="D283" s="512" t="s">
        <v>86</v>
      </c>
      <c r="E283" s="352"/>
      <c r="F283" s="501"/>
      <c r="G283" s="371">
        <v>2022</v>
      </c>
      <c r="H283" s="371" t="s">
        <v>3004</v>
      </c>
      <c r="I283" s="501" t="s">
        <v>1676</v>
      </c>
      <c r="J283" s="502"/>
      <c r="K283" s="501" t="s">
        <v>4291</v>
      </c>
      <c r="L283" s="501" t="s">
        <v>1798</v>
      </c>
      <c r="M283" s="502">
        <v>44655</v>
      </c>
      <c r="N283" s="502">
        <v>44866</v>
      </c>
      <c r="O283" s="502"/>
      <c r="P283" s="353"/>
      <c r="Q283" s="502"/>
      <c r="R283" s="502"/>
      <c r="S283" s="501" t="s">
        <v>88</v>
      </c>
      <c r="T283" s="501">
        <v>60</v>
      </c>
      <c r="U283" s="501"/>
      <c r="V283" s="510" t="s">
        <v>973</v>
      </c>
      <c r="W283" s="501">
        <v>400</v>
      </c>
      <c r="X283" s="354">
        <v>768</v>
      </c>
      <c r="Y283" s="397">
        <f t="shared" si="54"/>
        <v>307200</v>
      </c>
      <c r="Z283" s="478">
        <f t="shared" si="61"/>
        <v>0.55000000000000004</v>
      </c>
      <c r="AA283" s="479">
        <f t="shared" si="58"/>
        <v>168960</v>
      </c>
      <c r="AB283" s="480"/>
      <c r="AC283" s="481">
        <f t="shared" si="55"/>
        <v>0</v>
      </c>
      <c r="AD283" s="474"/>
      <c r="AE283" s="474"/>
      <c r="AF283" s="493">
        <f t="shared" si="53"/>
        <v>168960</v>
      </c>
      <c r="AG283" s="474" t="s">
        <v>1071</v>
      </c>
      <c r="AH283" s="474">
        <v>100</v>
      </c>
      <c r="AI283" s="474">
        <v>0</v>
      </c>
      <c r="AJ283" s="475" t="s">
        <v>4288</v>
      </c>
      <c r="AK283" s="475" t="s">
        <v>50</v>
      </c>
      <c r="AL283" s="483" t="s">
        <v>4289</v>
      </c>
      <c r="AM283" s="474" t="s">
        <v>52</v>
      </c>
      <c r="AN283" s="384" t="s">
        <v>50</v>
      </c>
      <c r="AO283" s="474" t="s">
        <v>1076</v>
      </c>
      <c r="AP283" s="474"/>
      <c r="AQ283" s="482" t="s">
        <v>37</v>
      </c>
      <c r="AR283" s="474" t="s">
        <v>1216</v>
      </c>
      <c r="AS283" s="473" t="s">
        <v>1492</v>
      </c>
      <c r="AT283" s="346"/>
      <c r="AU283" s="478">
        <f t="shared" si="59"/>
        <v>0.52</v>
      </c>
    </row>
    <row r="284" spans="1:47" s="471" customFormat="1">
      <c r="A284" s="495"/>
      <c r="B284" s="407"/>
      <c r="C284" s="495"/>
      <c r="D284" s="512" t="s">
        <v>86</v>
      </c>
      <c r="E284" s="352"/>
      <c r="F284" s="501"/>
      <c r="G284" s="371">
        <v>2022</v>
      </c>
      <c r="H284" s="371" t="s">
        <v>3004</v>
      </c>
      <c r="I284" s="501" t="s">
        <v>1676</v>
      </c>
      <c r="J284" s="502"/>
      <c r="K284" s="501" t="s">
        <v>4291</v>
      </c>
      <c r="L284" s="501" t="s">
        <v>1798</v>
      </c>
      <c r="M284" s="502">
        <v>44655</v>
      </c>
      <c r="N284" s="502">
        <v>44896</v>
      </c>
      <c r="O284" s="502"/>
      <c r="P284" s="353"/>
      <c r="Q284" s="502"/>
      <c r="R284" s="502"/>
      <c r="S284" s="501" t="s">
        <v>88</v>
      </c>
      <c r="T284" s="501">
        <v>60</v>
      </c>
      <c r="U284" s="501"/>
      <c r="V284" s="510" t="s">
        <v>973</v>
      </c>
      <c r="W284" s="501">
        <v>400</v>
      </c>
      <c r="X284" s="354">
        <v>768</v>
      </c>
      <c r="Y284" s="397">
        <f t="shared" si="54"/>
        <v>307200</v>
      </c>
      <c r="Z284" s="478">
        <f t="shared" si="61"/>
        <v>0.55000000000000004</v>
      </c>
      <c r="AA284" s="479">
        <f t="shared" si="58"/>
        <v>168960</v>
      </c>
      <c r="AB284" s="480"/>
      <c r="AC284" s="481">
        <f t="shared" si="55"/>
        <v>0</v>
      </c>
      <c r="AD284" s="474"/>
      <c r="AE284" s="474"/>
      <c r="AF284" s="493">
        <f t="shared" si="53"/>
        <v>168960</v>
      </c>
      <c r="AG284" s="474" t="s">
        <v>1071</v>
      </c>
      <c r="AH284" s="474">
        <v>100</v>
      </c>
      <c r="AI284" s="474">
        <v>0</v>
      </c>
      <c r="AJ284" s="475" t="s">
        <v>4288</v>
      </c>
      <c r="AK284" s="475" t="s">
        <v>50</v>
      </c>
      <c r="AL284" s="483" t="s">
        <v>4289</v>
      </c>
      <c r="AM284" s="474" t="s">
        <v>52</v>
      </c>
      <c r="AN284" s="384" t="s">
        <v>50</v>
      </c>
      <c r="AO284" s="474" t="s">
        <v>1076</v>
      </c>
      <c r="AP284" s="474"/>
      <c r="AQ284" s="482" t="s">
        <v>37</v>
      </c>
      <c r="AR284" s="474" t="s">
        <v>1216</v>
      </c>
      <c r="AS284" s="473" t="s">
        <v>1492</v>
      </c>
      <c r="AT284" s="346"/>
      <c r="AU284" s="478">
        <f t="shared" si="59"/>
        <v>0.52</v>
      </c>
    </row>
    <row r="285" spans="1:47" s="471" customFormat="1">
      <c r="A285" s="495"/>
      <c r="B285" s="407"/>
      <c r="C285" s="495"/>
      <c r="D285" s="512" t="s">
        <v>86</v>
      </c>
      <c r="E285" s="352"/>
      <c r="F285" s="501"/>
      <c r="G285" s="371">
        <v>2022</v>
      </c>
      <c r="H285" s="371" t="s">
        <v>3004</v>
      </c>
      <c r="I285" s="501" t="s">
        <v>1676</v>
      </c>
      <c r="J285" s="502"/>
      <c r="K285" s="501" t="s">
        <v>4292</v>
      </c>
      <c r="L285" s="501" t="s">
        <v>1798</v>
      </c>
      <c r="M285" s="502">
        <v>44655</v>
      </c>
      <c r="N285" s="502">
        <v>44774</v>
      </c>
      <c r="O285" s="502"/>
      <c r="P285" s="353"/>
      <c r="Q285" s="502"/>
      <c r="R285" s="502"/>
      <c r="S285" s="501" t="s">
        <v>88</v>
      </c>
      <c r="T285" s="501">
        <v>60</v>
      </c>
      <c r="U285" s="501"/>
      <c r="V285" s="510" t="s">
        <v>1223</v>
      </c>
      <c r="W285" s="501">
        <v>360</v>
      </c>
      <c r="X285" s="354">
        <v>676</v>
      </c>
      <c r="Y285" s="397">
        <f t="shared" si="54"/>
        <v>243360</v>
      </c>
      <c r="Z285" s="478">
        <f>298.8/360</f>
        <v>0.83000000000000007</v>
      </c>
      <c r="AA285" s="479">
        <f t="shared" si="58"/>
        <v>201988.80000000002</v>
      </c>
      <c r="AB285" s="480"/>
      <c r="AC285" s="481">
        <f t="shared" si="55"/>
        <v>0</v>
      </c>
      <c r="AD285" s="474"/>
      <c r="AE285" s="474"/>
      <c r="AF285" s="493">
        <f t="shared" si="53"/>
        <v>201988.80000000002</v>
      </c>
      <c r="AG285" s="474" t="s">
        <v>1071</v>
      </c>
      <c r="AH285" s="474">
        <v>100</v>
      </c>
      <c r="AI285" s="474">
        <v>0</v>
      </c>
      <c r="AJ285" s="475" t="s">
        <v>4288</v>
      </c>
      <c r="AK285" s="475" t="s">
        <v>50</v>
      </c>
      <c r="AL285" s="483" t="s">
        <v>4289</v>
      </c>
      <c r="AM285" s="474" t="s">
        <v>52</v>
      </c>
      <c r="AN285" s="384" t="s">
        <v>50</v>
      </c>
      <c r="AO285" s="474" t="s">
        <v>1076</v>
      </c>
      <c r="AP285" s="474"/>
      <c r="AQ285" s="482" t="s">
        <v>37</v>
      </c>
      <c r="AR285" s="474" t="s">
        <v>1216</v>
      </c>
      <c r="AS285" s="473" t="s">
        <v>1492</v>
      </c>
      <c r="AT285" s="346"/>
      <c r="AU285" s="478">
        <f t="shared" si="59"/>
        <v>0.52</v>
      </c>
    </row>
    <row r="286" spans="1:47" s="471" customFormat="1">
      <c r="A286" s="495"/>
      <c r="B286" s="407"/>
      <c r="C286" s="495"/>
      <c r="D286" s="512" t="s">
        <v>86</v>
      </c>
      <c r="E286" s="352"/>
      <c r="F286" s="501"/>
      <c r="G286" s="371">
        <v>2022</v>
      </c>
      <c r="H286" s="371" t="s">
        <v>3004</v>
      </c>
      <c r="I286" s="501" t="s">
        <v>1676</v>
      </c>
      <c r="J286" s="502"/>
      <c r="K286" s="501" t="s">
        <v>4293</v>
      </c>
      <c r="L286" s="501" t="s">
        <v>1798</v>
      </c>
      <c r="M286" s="502">
        <v>44655</v>
      </c>
      <c r="N286" s="502">
        <v>44683</v>
      </c>
      <c r="O286" s="502"/>
      <c r="P286" s="353"/>
      <c r="Q286" s="502"/>
      <c r="R286" s="502"/>
      <c r="S286" s="501" t="s">
        <v>88</v>
      </c>
      <c r="T286" s="501">
        <v>60</v>
      </c>
      <c r="U286" s="501"/>
      <c r="V286" s="510" t="s">
        <v>1223</v>
      </c>
      <c r="W286" s="501">
        <v>360</v>
      </c>
      <c r="X286" s="354">
        <v>676</v>
      </c>
      <c r="Y286" s="397">
        <f t="shared" si="54"/>
        <v>243360</v>
      </c>
      <c r="Z286" s="478">
        <f>298.8/360</f>
        <v>0.83000000000000007</v>
      </c>
      <c r="AA286" s="479">
        <f t="shared" si="58"/>
        <v>201988.80000000002</v>
      </c>
      <c r="AB286" s="480"/>
      <c r="AC286" s="481">
        <f t="shared" si="55"/>
        <v>0</v>
      </c>
      <c r="AD286" s="474"/>
      <c r="AE286" s="474"/>
      <c r="AF286" s="493">
        <f t="shared" si="53"/>
        <v>201988.80000000002</v>
      </c>
      <c r="AG286" s="474" t="s">
        <v>1071</v>
      </c>
      <c r="AH286" s="474">
        <v>100</v>
      </c>
      <c r="AI286" s="474">
        <v>0</v>
      </c>
      <c r="AJ286" s="475" t="s">
        <v>4288</v>
      </c>
      <c r="AK286" s="475" t="s">
        <v>50</v>
      </c>
      <c r="AL286" s="483" t="s">
        <v>4289</v>
      </c>
      <c r="AM286" s="474" t="s">
        <v>52</v>
      </c>
      <c r="AN286" s="384" t="s">
        <v>50</v>
      </c>
      <c r="AO286" s="474" t="s">
        <v>1076</v>
      </c>
      <c r="AP286" s="474"/>
      <c r="AQ286" s="482" t="s">
        <v>37</v>
      </c>
      <c r="AR286" s="474" t="s">
        <v>1216</v>
      </c>
      <c r="AS286" s="473" t="s">
        <v>1492</v>
      </c>
      <c r="AT286" s="346"/>
      <c r="AU286" s="478">
        <f t="shared" si="59"/>
        <v>0.52</v>
      </c>
    </row>
    <row r="287" spans="1:47" s="471" customFormat="1">
      <c r="A287" s="495"/>
      <c r="B287" s="407"/>
      <c r="C287" s="495"/>
      <c r="D287" s="512" t="s">
        <v>86</v>
      </c>
      <c r="E287" s="352"/>
      <c r="F287" s="501"/>
      <c r="G287" s="371">
        <v>2022</v>
      </c>
      <c r="H287" s="371" t="s">
        <v>3004</v>
      </c>
      <c r="I287" s="501" t="s">
        <v>1676</v>
      </c>
      <c r="J287" s="502"/>
      <c r="K287" s="501" t="s">
        <v>4294</v>
      </c>
      <c r="L287" s="501" t="s">
        <v>1780</v>
      </c>
      <c r="M287" s="502">
        <v>44651</v>
      </c>
      <c r="N287" s="502">
        <v>44718</v>
      </c>
      <c r="O287" s="502"/>
      <c r="P287" s="353"/>
      <c r="Q287" s="502"/>
      <c r="R287" s="502"/>
      <c r="S287" s="501" t="s">
        <v>1704</v>
      </c>
      <c r="T287" s="501">
        <v>60</v>
      </c>
      <c r="U287" s="501"/>
      <c r="V287" s="510" t="s">
        <v>973</v>
      </c>
      <c r="W287" s="501">
        <v>400</v>
      </c>
      <c r="X287" s="354">
        <v>1536</v>
      </c>
      <c r="Y287" s="397">
        <f t="shared" ref="Y287:Y301" si="62">X287*W287</f>
        <v>614400</v>
      </c>
      <c r="Z287" s="478">
        <f t="shared" ref="Z287:Z296" si="63">220/400</f>
        <v>0.55000000000000004</v>
      </c>
      <c r="AA287" s="479">
        <f t="shared" si="58"/>
        <v>337920</v>
      </c>
      <c r="AB287" s="480"/>
      <c r="AC287" s="481"/>
      <c r="AD287" s="474"/>
      <c r="AE287" s="474"/>
      <c r="AF287" s="493">
        <f t="shared" si="53"/>
        <v>337920</v>
      </c>
      <c r="AG287" s="474" t="s">
        <v>1071</v>
      </c>
      <c r="AH287" s="474"/>
      <c r="AI287" s="474">
        <v>60</v>
      </c>
      <c r="AJ287" s="475" t="s">
        <v>1781</v>
      </c>
      <c r="AK287" s="475" t="s">
        <v>1417</v>
      </c>
      <c r="AL287" s="483">
        <v>83642</v>
      </c>
      <c r="AM287" s="474" t="s">
        <v>52</v>
      </c>
      <c r="AN287" s="384" t="s">
        <v>1074</v>
      </c>
      <c r="AO287" s="474" t="s">
        <v>1076</v>
      </c>
      <c r="AP287" s="474"/>
      <c r="AQ287" s="482" t="s">
        <v>37</v>
      </c>
      <c r="AR287" s="474" t="s">
        <v>1288</v>
      </c>
      <c r="AS287" s="473"/>
      <c r="AT287" s="346"/>
      <c r="AU287" s="478">
        <f t="shared" ref="AU287:AU301" si="64">196/400</f>
        <v>0.49</v>
      </c>
    </row>
    <row r="288" spans="1:47" s="471" customFormat="1">
      <c r="A288" s="495"/>
      <c r="B288" s="407"/>
      <c r="C288" s="495"/>
      <c r="D288" s="512" t="s">
        <v>86</v>
      </c>
      <c r="E288" s="352"/>
      <c r="F288" s="501"/>
      <c r="G288" s="371">
        <v>2022</v>
      </c>
      <c r="H288" s="371" t="s">
        <v>3004</v>
      </c>
      <c r="I288" s="501" t="s">
        <v>1676</v>
      </c>
      <c r="J288" s="502"/>
      <c r="K288" s="501" t="s">
        <v>4295</v>
      </c>
      <c r="L288" s="501" t="s">
        <v>1780</v>
      </c>
      <c r="M288" s="502">
        <v>44651</v>
      </c>
      <c r="N288" s="502">
        <v>44739</v>
      </c>
      <c r="O288" s="502"/>
      <c r="P288" s="353"/>
      <c r="Q288" s="502"/>
      <c r="R288" s="502"/>
      <c r="S288" s="501" t="s">
        <v>1704</v>
      </c>
      <c r="T288" s="501">
        <v>60</v>
      </c>
      <c r="U288" s="501"/>
      <c r="V288" s="510" t="s">
        <v>973</v>
      </c>
      <c r="W288" s="501">
        <v>400</v>
      </c>
      <c r="X288" s="354">
        <v>768</v>
      </c>
      <c r="Y288" s="397">
        <f t="shared" si="62"/>
        <v>307200</v>
      </c>
      <c r="Z288" s="478">
        <f t="shared" si="63"/>
        <v>0.55000000000000004</v>
      </c>
      <c r="AA288" s="479">
        <f t="shared" si="58"/>
        <v>168960</v>
      </c>
      <c r="AB288" s="480"/>
      <c r="AC288" s="481"/>
      <c r="AD288" s="474"/>
      <c r="AE288" s="474"/>
      <c r="AF288" s="493">
        <f t="shared" si="53"/>
        <v>168960</v>
      </c>
      <c r="AG288" s="474" t="s">
        <v>1071</v>
      </c>
      <c r="AH288" s="474"/>
      <c r="AI288" s="474">
        <v>60</v>
      </c>
      <c r="AJ288" s="475" t="s">
        <v>1781</v>
      </c>
      <c r="AK288" s="475" t="s">
        <v>1417</v>
      </c>
      <c r="AL288" s="483">
        <v>83642</v>
      </c>
      <c r="AM288" s="474" t="s">
        <v>52</v>
      </c>
      <c r="AN288" s="384" t="s">
        <v>1074</v>
      </c>
      <c r="AO288" s="474" t="s">
        <v>1076</v>
      </c>
      <c r="AP288" s="474"/>
      <c r="AQ288" s="482" t="s">
        <v>37</v>
      </c>
      <c r="AR288" s="474" t="s">
        <v>1288</v>
      </c>
      <c r="AS288" s="473"/>
      <c r="AT288" s="346"/>
      <c r="AU288" s="478">
        <f t="shared" si="64"/>
        <v>0.49</v>
      </c>
    </row>
    <row r="289" spans="1:47" s="471" customFormat="1">
      <c r="A289" s="495"/>
      <c r="B289" s="407"/>
      <c r="C289" s="495"/>
      <c r="D289" s="512" t="s">
        <v>86</v>
      </c>
      <c r="E289" s="352"/>
      <c r="F289" s="501"/>
      <c r="G289" s="371">
        <v>2022</v>
      </c>
      <c r="H289" s="371" t="s">
        <v>3004</v>
      </c>
      <c r="I289" s="501" t="s">
        <v>1676</v>
      </c>
      <c r="J289" s="502"/>
      <c r="K289" s="501" t="s">
        <v>4296</v>
      </c>
      <c r="L289" s="501" t="s">
        <v>1780</v>
      </c>
      <c r="M289" s="502">
        <v>44651</v>
      </c>
      <c r="N289" s="502">
        <v>44753</v>
      </c>
      <c r="O289" s="502"/>
      <c r="P289" s="353"/>
      <c r="Q289" s="502"/>
      <c r="R289" s="502"/>
      <c r="S289" s="501" t="s">
        <v>1704</v>
      </c>
      <c r="T289" s="501">
        <v>60</v>
      </c>
      <c r="U289" s="501"/>
      <c r="V289" s="510" t="s">
        <v>973</v>
      </c>
      <c r="W289" s="501">
        <v>400</v>
      </c>
      <c r="X289" s="354">
        <v>768</v>
      </c>
      <c r="Y289" s="397">
        <f t="shared" si="62"/>
        <v>307200</v>
      </c>
      <c r="Z289" s="478">
        <f t="shared" si="63"/>
        <v>0.55000000000000004</v>
      </c>
      <c r="AA289" s="479">
        <f t="shared" si="58"/>
        <v>168960</v>
      </c>
      <c r="AB289" s="480"/>
      <c r="AC289" s="481"/>
      <c r="AD289" s="474"/>
      <c r="AE289" s="474"/>
      <c r="AF289" s="493">
        <f t="shared" si="53"/>
        <v>168960</v>
      </c>
      <c r="AG289" s="474" t="s">
        <v>1071</v>
      </c>
      <c r="AH289" s="474"/>
      <c r="AI289" s="474">
        <v>60</v>
      </c>
      <c r="AJ289" s="475" t="s">
        <v>1781</v>
      </c>
      <c r="AK289" s="475" t="s">
        <v>1417</v>
      </c>
      <c r="AL289" s="483">
        <v>83642</v>
      </c>
      <c r="AM289" s="474" t="s">
        <v>52</v>
      </c>
      <c r="AN289" s="384" t="s">
        <v>1074</v>
      </c>
      <c r="AO289" s="474" t="s">
        <v>1076</v>
      </c>
      <c r="AP289" s="474"/>
      <c r="AQ289" s="482" t="s">
        <v>37</v>
      </c>
      <c r="AR289" s="474" t="s">
        <v>1288</v>
      </c>
      <c r="AS289" s="473"/>
      <c r="AT289" s="346"/>
      <c r="AU289" s="478">
        <f t="shared" si="64"/>
        <v>0.49</v>
      </c>
    </row>
    <row r="290" spans="1:47" s="471" customFormat="1">
      <c r="A290" s="495"/>
      <c r="B290" s="407"/>
      <c r="C290" s="495"/>
      <c r="D290" s="512" t="s">
        <v>86</v>
      </c>
      <c r="E290" s="352"/>
      <c r="F290" s="501"/>
      <c r="G290" s="371">
        <v>2022</v>
      </c>
      <c r="H290" s="371" t="s">
        <v>3004</v>
      </c>
      <c r="I290" s="501" t="s">
        <v>1676</v>
      </c>
      <c r="J290" s="502"/>
      <c r="K290" s="501" t="s">
        <v>4297</v>
      </c>
      <c r="L290" s="501" t="s">
        <v>1780</v>
      </c>
      <c r="M290" s="502">
        <v>44651</v>
      </c>
      <c r="N290" s="502">
        <v>44767</v>
      </c>
      <c r="O290" s="502"/>
      <c r="P290" s="353"/>
      <c r="Q290" s="502"/>
      <c r="R290" s="502"/>
      <c r="S290" s="501" t="s">
        <v>1704</v>
      </c>
      <c r="T290" s="501">
        <v>60</v>
      </c>
      <c r="U290" s="501"/>
      <c r="V290" s="510" t="s">
        <v>973</v>
      </c>
      <c r="W290" s="501">
        <v>400</v>
      </c>
      <c r="X290" s="354">
        <v>768</v>
      </c>
      <c r="Y290" s="397">
        <f t="shared" si="62"/>
        <v>307200</v>
      </c>
      <c r="Z290" s="478">
        <f t="shared" si="63"/>
        <v>0.55000000000000004</v>
      </c>
      <c r="AA290" s="479">
        <f t="shared" si="58"/>
        <v>168960</v>
      </c>
      <c r="AB290" s="480"/>
      <c r="AC290" s="481"/>
      <c r="AD290" s="474"/>
      <c r="AE290" s="474"/>
      <c r="AF290" s="493">
        <f t="shared" si="53"/>
        <v>168960</v>
      </c>
      <c r="AG290" s="474" t="s">
        <v>1071</v>
      </c>
      <c r="AH290" s="474"/>
      <c r="AI290" s="474">
        <v>60</v>
      </c>
      <c r="AJ290" s="475" t="s">
        <v>1781</v>
      </c>
      <c r="AK290" s="475" t="s">
        <v>1417</v>
      </c>
      <c r="AL290" s="483">
        <v>83642</v>
      </c>
      <c r="AM290" s="474" t="s">
        <v>52</v>
      </c>
      <c r="AN290" s="384" t="s">
        <v>1074</v>
      </c>
      <c r="AO290" s="474" t="s">
        <v>1076</v>
      </c>
      <c r="AP290" s="474"/>
      <c r="AQ290" s="482" t="s">
        <v>37</v>
      </c>
      <c r="AR290" s="474" t="s">
        <v>1288</v>
      </c>
      <c r="AS290" s="473"/>
      <c r="AT290" s="346"/>
      <c r="AU290" s="478">
        <f t="shared" si="64"/>
        <v>0.49</v>
      </c>
    </row>
    <row r="291" spans="1:47" s="471" customFormat="1">
      <c r="A291" s="495"/>
      <c r="B291" s="407"/>
      <c r="C291" s="495"/>
      <c r="D291" s="512" t="s">
        <v>86</v>
      </c>
      <c r="E291" s="352"/>
      <c r="F291" s="501"/>
      <c r="G291" s="371">
        <v>2022</v>
      </c>
      <c r="H291" s="371" t="s">
        <v>3004</v>
      </c>
      <c r="I291" s="501" t="s">
        <v>1676</v>
      </c>
      <c r="J291" s="502"/>
      <c r="K291" s="501" t="s">
        <v>4298</v>
      </c>
      <c r="L291" s="501" t="s">
        <v>1780</v>
      </c>
      <c r="M291" s="502">
        <v>44651</v>
      </c>
      <c r="N291" s="502">
        <v>44781</v>
      </c>
      <c r="O291" s="502"/>
      <c r="P291" s="353"/>
      <c r="Q291" s="502"/>
      <c r="R291" s="502"/>
      <c r="S291" s="501" t="s">
        <v>1704</v>
      </c>
      <c r="T291" s="501">
        <v>60</v>
      </c>
      <c r="U291" s="501"/>
      <c r="V291" s="510" t="s">
        <v>973</v>
      </c>
      <c r="W291" s="501">
        <v>400</v>
      </c>
      <c r="X291" s="354">
        <v>768</v>
      </c>
      <c r="Y291" s="397">
        <f t="shared" si="62"/>
        <v>307200</v>
      </c>
      <c r="Z291" s="478">
        <f t="shared" si="63"/>
        <v>0.55000000000000004</v>
      </c>
      <c r="AA291" s="479">
        <f t="shared" si="58"/>
        <v>168960</v>
      </c>
      <c r="AB291" s="480"/>
      <c r="AC291" s="481"/>
      <c r="AD291" s="474"/>
      <c r="AE291" s="474"/>
      <c r="AF291" s="493">
        <f t="shared" si="53"/>
        <v>168960</v>
      </c>
      <c r="AG291" s="474" t="s">
        <v>1071</v>
      </c>
      <c r="AH291" s="474"/>
      <c r="AI291" s="474">
        <v>60</v>
      </c>
      <c r="AJ291" s="475" t="s">
        <v>1781</v>
      </c>
      <c r="AK291" s="475" t="s">
        <v>1417</v>
      </c>
      <c r="AL291" s="483">
        <v>83642</v>
      </c>
      <c r="AM291" s="474" t="s">
        <v>52</v>
      </c>
      <c r="AN291" s="384" t="s">
        <v>1074</v>
      </c>
      <c r="AO291" s="474" t="s">
        <v>1076</v>
      </c>
      <c r="AP291" s="474"/>
      <c r="AQ291" s="482" t="s">
        <v>37</v>
      </c>
      <c r="AR291" s="474" t="s">
        <v>1288</v>
      </c>
      <c r="AS291" s="473"/>
      <c r="AT291" s="346"/>
      <c r="AU291" s="478">
        <f t="shared" si="64"/>
        <v>0.49</v>
      </c>
    </row>
    <row r="292" spans="1:47" s="471" customFormat="1">
      <c r="A292" s="495"/>
      <c r="B292" s="407"/>
      <c r="C292" s="495"/>
      <c r="D292" s="512" t="s">
        <v>86</v>
      </c>
      <c r="E292" s="352"/>
      <c r="F292" s="501"/>
      <c r="G292" s="371">
        <v>2022</v>
      </c>
      <c r="H292" s="371" t="s">
        <v>3004</v>
      </c>
      <c r="I292" s="501" t="s">
        <v>1676</v>
      </c>
      <c r="J292" s="502"/>
      <c r="K292" s="501" t="s">
        <v>4299</v>
      </c>
      <c r="L292" s="501" t="s">
        <v>1780</v>
      </c>
      <c r="M292" s="502">
        <v>44651</v>
      </c>
      <c r="N292" s="502">
        <v>44792</v>
      </c>
      <c r="O292" s="502"/>
      <c r="P292" s="353"/>
      <c r="Q292" s="502"/>
      <c r="R292" s="502"/>
      <c r="S292" s="501" t="s">
        <v>1704</v>
      </c>
      <c r="T292" s="501">
        <v>60</v>
      </c>
      <c r="U292" s="501"/>
      <c r="V292" s="510" t="s">
        <v>973</v>
      </c>
      <c r="W292" s="501">
        <v>400</v>
      </c>
      <c r="X292" s="354">
        <v>768</v>
      </c>
      <c r="Y292" s="397">
        <f t="shared" si="62"/>
        <v>307200</v>
      </c>
      <c r="Z292" s="478">
        <f t="shared" si="63"/>
        <v>0.55000000000000004</v>
      </c>
      <c r="AA292" s="479">
        <f t="shared" si="58"/>
        <v>168960</v>
      </c>
      <c r="AB292" s="480"/>
      <c r="AC292" s="481"/>
      <c r="AD292" s="474"/>
      <c r="AE292" s="474"/>
      <c r="AF292" s="493">
        <f t="shared" si="53"/>
        <v>168960</v>
      </c>
      <c r="AG292" s="474" t="s">
        <v>1071</v>
      </c>
      <c r="AH292" s="474"/>
      <c r="AI292" s="474">
        <v>60</v>
      </c>
      <c r="AJ292" s="475" t="s">
        <v>1781</v>
      </c>
      <c r="AK292" s="475" t="s">
        <v>1417</v>
      </c>
      <c r="AL292" s="483">
        <v>83642</v>
      </c>
      <c r="AM292" s="474" t="s">
        <v>52</v>
      </c>
      <c r="AN292" s="384" t="s">
        <v>1074</v>
      </c>
      <c r="AO292" s="474" t="s">
        <v>1076</v>
      </c>
      <c r="AP292" s="474"/>
      <c r="AQ292" s="482" t="s">
        <v>37</v>
      </c>
      <c r="AR292" s="474" t="s">
        <v>1288</v>
      </c>
      <c r="AS292" s="473"/>
      <c r="AT292" s="346"/>
      <c r="AU292" s="478">
        <f t="shared" si="64"/>
        <v>0.49</v>
      </c>
    </row>
    <row r="293" spans="1:47" s="471" customFormat="1">
      <c r="A293" s="495"/>
      <c r="B293" s="407"/>
      <c r="C293" s="495"/>
      <c r="D293" s="512" t="s">
        <v>86</v>
      </c>
      <c r="E293" s="352"/>
      <c r="F293" s="501"/>
      <c r="G293" s="371">
        <v>2022</v>
      </c>
      <c r="H293" s="371" t="s">
        <v>3004</v>
      </c>
      <c r="I293" s="501" t="s">
        <v>1676</v>
      </c>
      <c r="J293" s="502"/>
      <c r="K293" s="501" t="s">
        <v>4300</v>
      </c>
      <c r="L293" s="501" t="s">
        <v>1780</v>
      </c>
      <c r="M293" s="502">
        <v>44651</v>
      </c>
      <c r="N293" s="502">
        <v>44802</v>
      </c>
      <c r="O293" s="502"/>
      <c r="P293" s="353"/>
      <c r="Q293" s="502"/>
      <c r="R293" s="502"/>
      <c r="S293" s="501" t="s">
        <v>1704</v>
      </c>
      <c r="T293" s="501">
        <v>60</v>
      </c>
      <c r="U293" s="501"/>
      <c r="V293" s="510" t="s">
        <v>973</v>
      </c>
      <c r="W293" s="501">
        <v>400</v>
      </c>
      <c r="X293" s="354">
        <v>768</v>
      </c>
      <c r="Y293" s="397">
        <f t="shared" si="62"/>
        <v>307200</v>
      </c>
      <c r="Z293" s="478">
        <f t="shared" si="63"/>
        <v>0.55000000000000004</v>
      </c>
      <c r="AA293" s="479">
        <f t="shared" si="58"/>
        <v>168960</v>
      </c>
      <c r="AB293" s="480"/>
      <c r="AC293" s="481"/>
      <c r="AD293" s="474"/>
      <c r="AE293" s="474"/>
      <c r="AF293" s="493">
        <f t="shared" si="53"/>
        <v>168960</v>
      </c>
      <c r="AG293" s="474" t="s">
        <v>1071</v>
      </c>
      <c r="AH293" s="474"/>
      <c r="AI293" s="474">
        <v>60</v>
      </c>
      <c r="AJ293" s="475" t="s">
        <v>1781</v>
      </c>
      <c r="AK293" s="475" t="s">
        <v>1417</v>
      </c>
      <c r="AL293" s="483">
        <v>83642</v>
      </c>
      <c r="AM293" s="474" t="s">
        <v>52</v>
      </c>
      <c r="AN293" s="384" t="s">
        <v>1074</v>
      </c>
      <c r="AO293" s="474" t="s">
        <v>1076</v>
      </c>
      <c r="AP293" s="474"/>
      <c r="AQ293" s="482" t="s">
        <v>37</v>
      </c>
      <c r="AR293" s="474" t="s">
        <v>1288</v>
      </c>
      <c r="AS293" s="473"/>
      <c r="AT293" s="346"/>
      <c r="AU293" s="478">
        <f t="shared" si="64"/>
        <v>0.49</v>
      </c>
    </row>
    <row r="294" spans="1:47" s="471" customFormat="1">
      <c r="A294" s="495"/>
      <c r="B294" s="407"/>
      <c r="C294" s="495"/>
      <c r="D294" s="512" t="s">
        <v>86</v>
      </c>
      <c r="E294" s="352"/>
      <c r="F294" s="501"/>
      <c r="G294" s="371">
        <v>2022</v>
      </c>
      <c r="H294" s="371" t="s">
        <v>3004</v>
      </c>
      <c r="I294" s="501" t="s">
        <v>1676</v>
      </c>
      <c r="J294" s="502"/>
      <c r="K294" s="501" t="s">
        <v>4301</v>
      </c>
      <c r="L294" s="501" t="s">
        <v>1780</v>
      </c>
      <c r="M294" s="502">
        <v>44651</v>
      </c>
      <c r="N294" s="502">
        <v>44809</v>
      </c>
      <c r="O294" s="502"/>
      <c r="P294" s="353"/>
      <c r="Q294" s="502"/>
      <c r="R294" s="502"/>
      <c r="S294" s="501" t="s">
        <v>1704</v>
      </c>
      <c r="T294" s="501">
        <v>60</v>
      </c>
      <c r="U294" s="501"/>
      <c r="V294" s="510" t="s">
        <v>973</v>
      </c>
      <c r="W294" s="501">
        <v>400</v>
      </c>
      <c r="X294" s="354">
        <v>768</v>
      </c>
      <c r="Y294" s="397">
        <f t="shared" si="62"/>
        <v>307200</v>
      </c>
      <c r="Z294" s="478">
        <f t="shared" si="63"/>
        <v>0.55000000000000004</v>
      </c>
      <c r="AA294" s="479">
        <f t="shared" si="58"/>
        <v>168960</v>
      </c>
      <c r="AB294" s="480"/>
      <c r="AC294" s="481"/>
      <c r="AD294" s="474"/>
      <c r="AE294" s="474"/>
      <c r="AF294" s="493">
        <f t="shared" si="53"/>
        <v>168960</v>
      </c>
      <c r="AG294" s="474" t="s">
        <v>1071</v>
      </c>
      <c r="AH294" s="474"/>
      <c r="AI294" s="474">
        <v>60</v>
      </c>
      <c r="AJ294" s="475" t="s">
        <v>1781</v>
      </c>
      <c r="AK294" s="475" t="s">
        <v>1417</v>
      </c>
      <c r="AL294" s="483">
        <v>83642</v>
      </c>
      <c r="AM294" s="474" t="s">
        <v>52</v>
      </c>
      <c r="AN294" s="384" t="s">
        <v>1074</v>
      </c>
      <c r="AO294" s="474" t="s">
        <v>1076</v>
      </c>
      <c r="AP294" s="474"/>
      <c r="AQ294" s="482" t="s">
        <v>37</v>
      </c>
      <c r="AR294" s="474" t="s">
        <v>1288</v>
      </c>
      <c r="AS294" s="473"/>
      <c r="AT294" s="346"/>
      <c r="AU294" s="478">
        <f t="shared" si="64"/>
        <v>0.49</v>
      </c>
    </row>
    <row r="295" spans="1:47" s="471" customFormat="1">
      <c r="A295" s="495"/>
      <c r="B295" s="407"/>
      <c r="C295" s="495"/>
      <c r="D295" s="512" t="s">
        <v>86</v>
      </c>
      <c r="E295" s="352"/>
      <c r="F295" s="501"/>
      <c r="G295" s="371">
        <v>2022</v>
      </c>
      <c r="H295" s="371" t="s">
        <v>3004</v>
      </c>
      <c r="I295" s="501" t="s">
        <v>1676</v>
      </c>
      <c r="J295" s="502"/>
      <c r="K295" s="501" t="s">
        <v>4302</v>
      </c>
      <c r="L295" s="501" t="s">
        <v>1780</v>
      </c>
      <c r="M295" s="502">
        <v>44651</v>
      </c>
      <c r="N295" s="502">
        <v>44825</v>
      </c>
      <c r="O295" s="502"/>
      <c r="P295" s="353"/>
      <c r="Q295" s="502"/>
      <c r="R295" s="502"/>
      <c r="S295" s="501" t="s">
        <v>1704</v>
      </c>
      <c r="T295" s="501">
        <v>60</v>
      </c>
      <c r="U295" s="501"/>
      <c r="V295" s="510" t="s">
        <v>973</v>
      </c>
      <c r="W295" s="501">
        <v>400</v>
      </c>
      <c r="X295" s="354">
        <v>768</v>
      </c>
      <c r="Y295" s="397">
        <f t="shared" si="62"/>
        <v>307200</v>
      </c>
      <c r="Z295" s="478">
        <f t="shared" si="63"/>
        <v>0.55000000000000004</v>
      </c>
      <c r="AA295" s="479">
        <f t="shared" si="58"/>
        <v>168960</v>
      </c>
      <c r="AB295" s="480"/>
      <c r="AC295" s="481"/>
      <c r="AD295" s="474"/>
      <c r="AE295" s="474"/>
      <c r="AF295" s="493">
        <f t="shared" si="53"/>
        <v>168960</v>
      </c>
      <c r="AG295" s="474" t="s">
        <v>1071</v>
      </c>
      <c r="AH295" s="474"/>
      <c r="AI295" s="474">
        <v>60</v>
      </c>
      <c r="AJ295" s="475" t="s">
        <v>1781</v>
      </c>
      <c r="AK295" s="475" t="s">
        <v>1417</v>
      </c>
      <c r="AL295" s="483">
        <v>83642</v>
      </c>
      <c r="AM295" s="474" t="s">
        <v>52</v>
      </c>
      <c r="AN295" s="384" t="s">
        <v>1074</v>
      </c>
      <c r="AO295" s="474" t="s">
        <v>1076</v>
      </c>
      <c r="AP295" s="474"/>
      <c r="AQ295" s="482" t="s">
        <v>37</v>
      </c>
      <c r="AR295" s="474" t="s">
        <v>1288</v>
      </c>
      <c r="AS295" s="473"/>
      <c r="AT295" s="346"/>
      <c r="AU295" s="478">
        <f t="shared" si="64"/>
        <v>0.49</v>
      </c>
    </row>
    <row r="296" spans="1:47" s="471" customFormat="1">
      <c r="A296" s="495"/>
      <c r="B296" s="407"/>
      <c r="C296" s="495"/>
      <c r="D296" s="512" t="s">
        <v>86</v>
      </c>
      <c r="E296" s="352"/>
      <c r="F296" s="501"/>
      <c r="G296" s="371">
        <v>2022</v>
      </c>
      <c r="H296" s="371" t="s">
        <v>3004</v>
      </c>
      <c r="I296" s="501" t="s">
        <v>1676</v>
      </c>
      <c r="J296" s="502"/>
      <c r="K296" s="501" t="s">
        <v>4303</v>
      </c>
      <c r="L296" s="501" t="s">
        <v>1780</v>
      </c>
      <c r="M296" s="502">
        <v>44651</v>
      </c>
      <c r="N296" s="502">
        <v>44833</v>
      </c>
      <c r="O296" s="502"/>
      <c r="P296" s="353"/>
      <c r="Q296" s="502"/>
      <c r="R296" s="502"/>
      <c r="S296" s="501" t="s">
        <v>1704</v>
      </c>
      <c r="T296" s="501">
        <v>60</v>
      </c>
      <c r="U296" s="501"/>
      <c r="V296" s="510" t="s">
        <v>973</v>
      </c>
      <c r="W296" s="501">
        <v>400</v>
      </c>
      <c r="X296" s="354">
        <v>768</v>
      </c>
      <c r="Y296" s="397">
        <f t="shared" si="62"/>
        <v>307200</v>
      </c>
      <c r="Z296" s="478">
        <f t="shared" si="63"/>
        <v>0.55000000000000004</v>
      </c>
      <c r="AA296" s="479">
        <f t="shared" si="58"/>
        <v>168960</v>
      </c>
      <c r="AB296" s="480"/>
      <c r="AC296" s="481"/>
      <c r="AD296" s="474"/>
      <c r="AE296" s="474"/>
      <c r="AF296" s="493">
        <f t="shared" si="53"/>
        <v>168960</v>
      </c>
      <c r="AG296" s="474" t="s">
        <v>1071</v>
      </c>
      <c r="AH296" s="474"/>
      <c r="AI296" s="474">
        <v>60</v>
      </c>
      <c r="AJ296" s="475" t="s">
        <v>1781</v>
      </c>
      <c r="AK296" s="475" t="s">
        <v>1417</v>
      </c>
      <c r="AL296" s="483">
        <v>83642</v>
      </c>
      <c r="AM296" s="474" t="s">
        <v>52</v>
      </c>
      <c r="AN296" s="384" t="s">
        <v>1074</v>
      </c>
      <c r="AO296" s="474" t="s">
        <v>1076</v>
      </c>
      <c r="AP296" s="474"/>
      <c r="AQ296" s="482" t="s">
        <v>37</v>
      </c>
      <c r="AR296" s="474" t="s">
        <v>1288</v>
      </c>
      <c r="AS296" s="473"/>
      <c r="AT296" s="346"/>
      <c r="AU296" s="478">
        <f t="shared" si="64"/>
        <v>0.49</v>
      </c>
    </row>
    <row r="297" spans="1:47" s="471" customFormat="1">
      <c r="A297" s="495"/>
      <c r="B297" s="407"/>
      <c r="C297" s="495"/>
      <c r="D297" s="512" t="s">
        <v>86</v>
      </c>
      <c r="E297" s="352"/>
      <c r="F297" s="501"/>
      <c r="G297" s="371">
        <v>2022</v>
      </c>
      <c r="H297" s="371" t="s">
        <v>3004</v>
      </c>
      <c r="I297" s="501" t="s">
        <v>1676</v>
      </c>
      <c r="J297" s="502"/>
      <c r="K297" s="501" t="s">
        <v>5626</v>
      </c>
      <c r="L297" s="501" t="s">
        <v>1780</v>
      </c>
      <c r="M297" s="502">
        <v>44678</v>
      </c>
      <c r="N297" s="502">
        <v>44838</v>
      </c>
      <c r="O297" s="502"/>
      <c r="P297" s="353"/>
      <c r="Q297" s="502"/>
      <c r="R297" s="502"/>
      <c r="S297" s="501" t="s">
        <v>1704</v>
      </c>
      <c r="T297" s="501">
        <v>60</v>
      </c>
      <c r="U297" s="501"/>
      <c r="V297" s="510" t="s">
        <v>973</v>
      </c>
      <c r="W297" s="501">
        <v>400</v>
      </c>
      <c r="X297" s="354">
        <v>768</v>
      </c>
      <c r="Y297" s="397">
        <f t="shared" si="62"/>
        <v>307200</v>
      </c>
      <c r="Z297" s="478">
        <f>256/400</f>
        <v>0.64</v>
      </c>
      <c r="AA297" s="479">
        <f t="shared" si="58"/>
        <v>196608</v>
      </c>
      <c r="AB297" s="480"/>
      <c r="AC297" s="481"/>
      <c r="AD297" s="474"/>
      <c r="AE297" s="474"/>
      <c r="AF297" s="493">
        <f t="shared" si="53"/>
        <v>196608</v>
      </c>
      <c r="AG297" s="474" t="s">
        <v>1071</v>
      </c>
      <c r="AH297" s="474"/>
      <c r="AI297" s="474">
        <v>60</v>
      </c>
      <c r="AJ297" s="475" t="s">
        <v>1781</v>
      </c>
      <c r="AK297" s="475" t="s">
        <v>1417</v>
      </c>
      <c r="AL297" s="483">
        <v>83642</v>
      </c>
      <c r="AM297" s="474" t="s">
        <v>52</v>
      </c>
      <c r="AN297" s="384" t="s">
        <v>1074</v>
      </c>
      <c r="AO297" s="474" t="s">
        <v>1076</v>
      </c>
      <c r="AP297" s="474"/>
      <c r="AQ297" s="482" t="s">
        <v>37</v>
      </c>
      <c r="AR297" s="474" t="s">
        <v>1288</v>
      </c>
      <c r="AS297" s="473"/>
      <c r="AT297" s="346"/>
      <c r="AU297" s="478">
        <f t="shared" si="64"/>
        <v>0.49</v>
      </c>
    </row>
    <row r="298" spans="1:47" s="471" customFormat="1">
      <c r="A298" s="495"/>
      <c r="B298" s="407"/>
      <c r="C298" s="495"/>
      <c r="D298" s="512" t="s">
        <v>86</v>
      </c>
      <c r="E298" s="352"/>
      <c r="F298" s="501"/>
      <c r="G298" s="371">
        <v>2022</v>
      </c>
      <c r="H298" s="371" t="s">
        <v>3004</v>
      </c>
      <c r="I298" s="501" t="s">
        <v>1676</v>
      </c>
      <c r="J298" s="502"/>
      <c r="K298" s="501" t="s">
        <v>5627</v>
      </c>
      <c r="L298" s="501" t="s">
        <v>1780</v>
      </c>
      <c r="M298" s="502">
        <v>44678</v>
      </c>
      <c r="N298" s="502">
        <v>44848</v>
      </c>
      <c r="O298" s="502"/>
      <c r="P298" s="353"/>
      <c r="Q298" s="502"/>
      <c r="R298" s="502"/>
      <c r="S298" s="501" t="s">
        <v>1704</v>
      </c>
      <c r="T298" s="501">
        <v>60</v>
      </c>
      <c r="U298" s="501"/>
      <c r="V298" s="510" t="s">
        <v>973</v>
      </c>
      <c r="W298" s="501">
        <v>400</v>
      </c>
      <c r="X298" s="354">
        <v>768</v>
      </c>
      <c r="Y298" s="397">
        <f t="shared" si="62"/>
        <v>307200</v>
      </c>
      <c r="Z298" s="478">
        <f>256/400</f>
        <v>0.64</v>
      </c>
      <c r="AA298" s="479">
        <f t="shared" si="58"/>
        <v>196608</v>
      </c>
      <c r="AB298" s="480"/>
      <c r="AC298" s="481"/>
      <c r="AD298" s="474"/>
      <c r="AE298" s="474"/>
      <c r="AF298" s="493">
        <f t="shared" si="53"/>
        <v>196608</v>
      </c>
      <c r="AG298" s="474" t="s">
        <v>1071</v>
      </c>
      <c r="AH298" s="474"/>
      <c r="AI298" s="474">
        <v>60</v>
      </c>
      <c r="AJ298" s="475" t="s">
        <v>1781</v>
      </c>
      <c r="AK298" s="475" t="s">
        <v>1417</v>
      </c>
      <c r="AL298" s="483">
        <v>83642</v>
      </c>
      <c r="AM298" s="474" t="s">
        <v>52</v>
      </c>
      <c r="AN298" s="384" t="s">
        <v>1074</v>
      </c>
      <c r="AO298" s="474" t="s">
        <v>1076</v>
      </c>
      <c r="AP298" s="474"/>
      <c r="AQ298" s="482" t="s">
        <v>37</v>
      </c>
      <c r="AR298" s="474" t="s">
        <v>1288</v>
      </c>
      <c r="AS298" s="473"/>
      <c r="AT298" s="346"/>
      <c r="AU298" s="478">
        <f t="shared" si="64"/>
        <v>0.49</v>
      </c>
    </row>
    <row r="299" spans="1:47" s="471" customFormat="1">
      <c r="A299" s="495"/>
      <c r="B299" s="407"/>
      <c r="C299" s="495"/>
      <c r="D299" s="512" t="s">
        <v>86</v>
      </c>
      <c r="E299" s="352"/>
      <c r="F299" s="501"/>
      <c r="G299" s="371">
        <v>2022</v>
      </c>
      <c r="H299" s="371" t="s">
        <v>3004</v>
      </c>
      <c r="I299" s="501" t="s">
        <v>1676</v>
      </c>
      <c r="J299" s="502"/>
      <c r="K299" s="501" t="s">
        <v>5628</v>
      </c>
      <c r="L299" s="501" t="s">
        <v>1780</v>
      </c>
      <c r="M299" s="502">
        <v>44678</v>
      </c>
      <c r="N299" s="502">
        <v>44860</v>
      </c>
      <c r="O299" s="502"/>
      <c r="P299" s="353"/>
      <c r="Q299" s="502"/>
      <c r="R299" s="502"/>
      <c r="S299" s="501" t="s">
        <v>1704</v>
      </c>
      <c r="T299" s="501">
        <v>60</v>
      </c>
      <c r="U299" s="501"/>
      <c r="V299" s="510" t="s">
        <v>973</v>
      </c>
      <c r="W299" s="501">
        <v>400</v>
      </c>
      <c r="X299" s="354">
        <v>768</v>
      </c>
      <c r="Y299" s="397">
        <f t="shared" si="62"/>
        <v>307200</v>
      </c>
      <c r="Z299" s="478">
        <f>256/400</f>
        <v>0.64</v>
      </c>
      <c r="AA299" s="479">
        <f t="shared" si="58"/>
        <v>196608</v>
      </c>
      <c r="AB299" s="480"/>
      <c r="AC299" s="481"/>
      <c r="AD299" s="474"/>
      <c r="AE299" s="474"/>
      <c r="AF299" s="493">
        <f t="shared" si="53"/>
        <v>196608</v>
      </c>
      <c r="AG299" s="474" t="s">
        <v>1071</v>
      </c>
      <c r="AH299" s="474"/>
      <c r="AI299" s="474">
        <v>60</v>
      </c>
      <c r="AJ299" s="475" t="s">
        <v>1781</v>
      </c>
      <c r="AK299" s="475" t="s">
        <v>1417</v>
      </c>
      <c r="AL299" s="483">
        <v>83642</v>
      </c>
      <c r="AM299" s="474" t="s">
        <v>52</v>
      </c>
      <c r="AN299" s="384" t="s">
        <v>1074</v>
      </c>
      <c r="AO299" s="474" t="s">
        <v>1076</v>
      </c>
      <c r="AP299" s="474"/>
      <c r="AQ299" s="482" t="s">
        <v>37</v>
      </c>
      <c r="AR299" s="474" t="s">
        <v>1288</v>
      </c>
      <c r="AS299" s="473"/>
      <c r="AT299" s="346"/>
      <c r="AU299" s="478">
        <f t="shared" si="64"/>
        <v>0.49</v>
      </c>
    </row>
    <row r="300" spans="1:47" s="471" customFormat="1">
      <c r="A300" s="495"/>
      <c r="B300" s="407"/>
      <c r="C300" s="495"/>
      <c r="D300" s="512" t="s">
        <v>86</v>
      </c>
      <c r="E300" s="352"/>
      <c r="F300" s="501"/>
      <c r="G300" s="371">
        <v>2022</v>
      </c>
      <c r="H300" s="371" t="s">
        <v>3004</v>
      </c>
      <c r="I300" s="501" t="s">
        <v>1676</v>
      </c>
      <c r="J300" s="502"/>
      <c r="K300" s="501" t="s">
        <v>5629</v>
      </c>
      <c r="L300" s="501" t="s">
        <v>1780</v>
      </c>
      <c r="M300" s="502">
        <v>44678</v>
      </c>
      <c r="N300" s="502">
        <v>44869</v>
      </c>
      <c r="O300" s="502"/>
      <c r="P300" s="353"/>
      <c r="Q300" s="502"/>
      <c r="R300" s="502"/>
      <c r="S300" s="501" t="s">
        <v>1704</v>
      </c>
      <c r="T300" s="501">
        <v>60</v>
      </c>
      <c r="U300" s="501"/>
      <c r="V300" s="510" t="s">
        <v>973</v>
      </c>
      <c r="W300" s="501">
        <v>400</v>
      </c>
      <c r="X300" s="354">
        <v>768</v>
      </c>
      <c r="Y300" s="397">
        <f t="shared" si="62"/>
        <v>307200</v>
      </c>
      <c r="Z300" s="478">
        <f>256/400</f>
        <v>0.64</v>
      </c>
      <c r="AA300" s="479">
        <f t="shared" si="58"/>
        <v>196608</v>
      </c>
      <c r="AB300" s="480"/>
      <c r="AC300" s="481"/>
      <c r="AD300" s="474"/>
      <c r="AE300" s="474"/>
      <c r="AF300" s="493">
        <f t="shared" si="53"/>
        <v>196608</v>
      </c>
      <c r="AG300" s="474" t="s">
        <v>1071</v>
      </c>
      <c r="AH300" s="474"/>
      <c r="AI300" s="474">
        <v>60</v>
      </c>
      <c r="AJ300" s="475" t="s">
        <v>1781</v>
      </c>
      <c r="AK300" s="475" t="s">
        <v>1417</v>
      </c>
      <c r="AL300" s="483">
        <v>83642</v>
      </c>
      <c r="AM300" s="474" t="s">
        <v>52</v>
      </c>
      <c r="AN300" s="384" t="s">
        <v>1074</v>
      </c>
      <c r="AO300" s="474" t="s">
        <v>1076</v>
      </c>
      <c r="AP300" s="474"/>
      <c r="AQ300" s="482" t="s">
        <v>37</v>
      </c>
      <c r="AR300" s="474" t="s">
        <v>1288</v>
      </c>
      <c r="AS300" s="473"/>
      <c r="AT300" s="346"/>
      <c r="AU300" s="478">
        <f t="shared" si="64"/>
        <v>0.49</v>
      </c>
    </row>
    <row r="301" spans="1:47" s="471" customFormat="1">
      <c r="A301" s="495"/>
      <c r="B301" s="407"/>
      <c r="C301" s="495"/>
      <c r="D301" s="512" t="s">
        <v>86</v>
      </c>
      <c r="E301" s="352"/>
      <c r="F301" s="501"/>
      <c r="G301" s="371">
        <v>2022</v>
      </c>
      <c r="H301" s="371" t="s">
        <v>3004</v>
      </c>
      <c r="I301" s="501" t="s">
        <v>1676</v>
      </c>
      <c r="J301" s="502"/>
      <c r="K301" s="501" t="s">
        <v>5630</v>
      </c>
      <c r="L301" s="501" t="s">
        <v>1780</v>
      </c>
      <c r="M301" s="502">
        <v>44678</v>
      </c>
      <c r="N301" s="502">
        <v>44879</v>
      </c>
      <c r="O301" s="502"/>
      <c r="P301" s="353"/>
      <c r="Q301" s="502"/>
      <c r="R301" s="502"/>
      <c r="S301" s="501" t="s">
        <v>1704</v>
      </c>
      <c r="T301" s="501">
        <v>60</v>
      </c>
      <c r="U301" s="501"/>
      <c r="V301" s="510" t="s">
        <v>973</v>
      </c>
      <c r="W301" s="501">
        <v>400</v>
      </c>
      <c r="X301" s="354">
        <v>768</v>
      </c>
      <c r="Y301" s="397">
        <f t="shared" si="62"/>
        <v>307200</v>
      </c>
      <c r="Z301" s="478">
        <f>256/400</f>
        <v>0.64</v>
      </c>
      <c r="AA301" s="479">
        <f t="shared" si="58"/>
        <v>196608</v>
      </c>
      <c r="AB301" s="480"/>
      <c r="AC301" s="481"/>
      <c r="AD301" s="474"/>
      <c r="AE301" s="474"/>
      <c r="AF301" s="493">
        <f t="shared" si="53"/>
        <v>196608</v>
      </c>
      <c r="AG301" s="474" t="s">
        <v>1071</v>
      </c>
      <c r="AH301" s="474"/>
      <c r="AI301" s="474">
        <v>60</v>
      </c>
      <c r="AJ301" s="475" t="s">
        <v>1781</v>
      </c>
      <c r="AK301" s="475" t="s">
        <v>1417</v>
      </c>
      <c r="AL301" s="483">
        <v>83642</v>
      </c>
      <c r="AM301" s="474" t="s">
        <v>52</v>
      </c>
      <c r="AN301" s="384" t="s">
        <v>1074</v>
      </c>
      <c r="AO301" s="474" t="s">
        <v>1076</v>
      </c>
      <c r="AP301" s="474"/>
      <c r="AQ301" s="482" t="s">
        <v>37</v>
      </c>
      <c r="AR301" s="474" t="s">
        <v>1288</v>
      </c>
      <c r="AS301" s="473"/>
      <c r="AT301" s="346"/>
      <c r="AU301" s="478">
        <f t="shared" si="64"/>
        <v>0.49</v>
      </c>
    </row>
    <row r="302" spans="1:47" s="471" customFormat="1">
      <c r="A302" s="495"/>
      <c r="B302" s="407"/>
      <c r="C302" s="495"/>
      <c r="D302" s="512" t="s">
        <v>86</v>
      </c>
      <c r="E302" s="352"/>
      <c r="F302" s="501"/>
      <c r="G302" s="371">
        <v>2022</v>
      </c>
      <c r="H302" s="371" t="s">
        <v>4093</v>
      </c>
      <c r="I302" s="501" t="s">
        <v>1676</v>
      </c>
      <c r="J302" s="502"/>
      <c r="K302" s="501">
        <v>101855</v>
      </c>
      <c r="L302" s="501" t="s">
        <v>2293</v>
      </c>
      <c r="M302" s="502">
        <v>44652</v>
      </c>
      <c r="N302" s="502">
        <v>44774</v>
      </c>
      <c r="O302" s="502"/>
      <c r="P302" s="353"/>
      <c r="Q302" s="502"/>
      <c r="R302" s="502"/>
      <c r="S302" s="501" t="s">
        <v>1688</v>
      </c>
      <c r="T302" s="501">
        <v>60</v>
      </c>
      <c r="U302" s="501" t="s">
        <v>1109</v>
      </c>
      <c r="V302" s="510" t="s">
        <v>973</v>
      </c>
      <c r="W302" s="501">
        <v>400</v>
      </c>
      <c r="X302" s="354">
        <v>768</v>
      </c>
      <c r="Y302" s="397">
        <f t="shared" ref="Y302:Y313" si="65">W302*X302</f>
        <v>307200</v>
      </c>
      <c r="Z302" s="478">
        <f>230/400</f>
        <v>0.57499999999999996</v>
      </c>
      <c r="AA302" s="479">
        <f t="shared" si="58"/>
        <v>176640</v>
      </c>
      <c r="AB302" s="480"/>
      <c r="AC302" s="481">
        <f t="shared" ref="AC302:AC313" si="66">AB302*Y302</f>
        <v>0</v>
      </c>
      <c r="AD302" s="474"/>
      <c r="AE302" s="474">
        <f t="shared" ref="AE302:AE304" si="67">AA302*0.0825</f>
        <v>14572.800000000001</v>
      </c>
      <c r="AF302" s="493">
        <f t="shared" si="53"/>
        <v>191212.79999999999</v>
      </c>
      <c r="AG302" s="474" t="s">
        <v>1071</v>
      </c>
      <c r="AH302" s="474">
        <v>100</v>
      </c>
      <c r="AI302" s="474">
        <v>0</v>
      </c>
      <c r="AJ302" s="475" t="s">
        <v>2075</v>
      </c>
      <c r="AK302" s="475" t="s">
        <v>50</v>
      </c>
      <c r="AL302" s="483">
        <v>92058</v>
      </c>
      <c r="AM302" s="474" t="s">
        <v>52</v>
      </c>
      <c r="AN302" s="384"/>
      <c r="AO302" s="474" t="s">
        <v>1076</v>
      </c>
      <c r="AP302" s="474"/>
      <c r="AQ302" s="482" t="s">
        <v>37</v>
      </c>
      <c r="AR302" s="474" t="s">
        <v>1216</v>
      </c>
      <c r="AS302" s="473"/>
      <c r="AT302" s="346"/>
      <c r="AU302" s="478">
        <f t="shared" ref="AU302:AU304" si="68">212/400</f>
        <v>0.53</v>
      </c>
    </row>
    <row r="303" spans="1:47" s="471" customFormat="1">
      <c r="A303" s="495"/>
      <c r="B303" s="407"/>
      <c r="C303" s="495"/>
      <c r="D303" s="512" t="s">
        <v>86</v>
      </c>
      <c r="E303" s="352"/>
      <c r="F303" s="501"/>
      <c r="G303" s="371">
        <v>2022</v>
      </c>
      <c r="H303" s="371" t="s">
        <v>4093</v>
      </c>
      <c r="I303" s="501" t="s">
        <v>1676</v>
      </c>
      <c r="J303" s="502"/>
      <c r="K303" s="501">
        <v>101854</v>
      </c>
      <c r="L303" s="501" t="s">
        <v>2293</v>
      </c>
      <c r="M303" s="502">
        <v>44652</v>
      </c>
      <c r="N303" s="502">
        <v>44743</v>
      </c>
      <c r="O303" s="502"/>
      <c r="P303" s="353"/>
      <c r="Q303" s="502"/>
      <c r="R303" s="502"/>
      <c r="S303" s="501" t="s">
        <v>1688</v>
      </c>
      <c r="T303" s="501">
        <v>60</v>
      </c>
      <c r="U303" s="501" t="s">
        <v>1109</v>
      </c>
      <c r="V303" s="510" t="s">
        <v>973</v>
      </c>
      <c r="W303" s="501">
        <v>400</v>
      </c>
      <c r="X303" s="354">
        <v>768</v>
      </c>
      <c r="Y303" s="397">
        <f t="shared" si="65"/>
        <v>307200</v>
      </c>
      <c r="Z303" s="478">
        <f>230/400</f>
        <v>0.57499999999999996</v>
      </c>
      <c r="AA303" s="479">
        <f t="shared" si="58"/>
        <v>176640</v>
      </c>
      <c r="AB303" s="480"/>
      <c r="AC303" s="481">
        <f t="shared" si="66"/>
        <v>0</v>
      </c>
      <c r="AD303" s="474"/>
      <c r="AE303" s="474">
        <f t="shared" si="67"/>
        <v>14572.800000000001</v>
      </c>
      <c r="AF303" s="493">
        <f t="shared" si="53"/>
        <v>191212.79999999999</v>
      </c>
      <c r="AG303" s="474" t="s">
        <v>1071</v>
      </c>
      <c r="AH303" s="474">
        <v>100</v>
      </c>
      <c r="AI303" s="474">
        <v>0</v>
      </c>
      <c r="AJ303" s="475" t="s">
        <v>2075</v>
      </c>
      <c r="AK303" s="475" t="s">
        <v>50</v>
      </c>
      <c r="AL303" s="483">
        <v>92058</v>
      </c>
      <c r="AM303" s="474" t="s">
        <v>52</v>
      </c>
      <c r="AN303" s="384"/>
      <c r="AO303" s="474" t="s">
        <v>1076</v>
      </c>
      <c r="AP303" s="474"/>
      <c r="AQ303" s="482" t="s">
        <v>37</v>
      </c>
      <c r="AR303" s="474" t="s">
        <v>1216</v>
      </c>
      <c r="AS303" s="473"/>
      <c r="AT303" s="346"/>
      <c r="AU303" s="478">
        <f t="shared" si="68"/>
        <v>0.53</v>
      </c>
    </row>
    <row r="304" spans="1:47" s="471" customFormat="1">
      <c r="A304" s="495"/>
      <c r="B304" s="407"/>
      <c r="C304" s="495"/>
      <c r="D304" s="512" t="s">
        <v>86</v>
      </c>
      <c r="E304" s="352"/>
      <c r="F304" s="501"/>
      <c r="G304" s="371">
        <v>2022</v>
      </c>
      <c r="H304" s="371" t="s">
        <v>4093</v>
      </c>
      <c r="I304" s="501" t="s">
        <v>1676</v>
      </c>
      <c r="J304" s="502"/>
      <c r="K304" s="501">
        <v>101854</v>
      </c>
      <c r="L304" s="501" t="s">
        <v>2293</v>
      </c>
      <c r="M304" s="502">
        <v>44652</v>
      </c>
      <c r="N304" s="502">
        <v>44734</v>
      </c>
      <c r="O304" s="502"/>
      <c r="P304" s="353"/>
      <c r="Q304" s="502"/>
      <c r="R304" s="502"/>
      <c r="S304" s="501" t="s">
        <v>1688</v>
      </c>
      <c r="T304" s="501">
        <v>60</v>
      </c>
      <c r="U304" s="501" t="s">
        <v>1109</v>
      </c>
      <c r="V304" s="510" t="s">
        <v>973</v>
      </c>
      <c r="W304" s="501">
        <v>400</v>
      </c>
      <c r="X304" s="354">
        <v>768</v>
      </c>
      <c r="Y304" s="397">
        <f t="shared" si="65"/>
        <v>307200</v>
      </c>
      <c r="Z304" s="478">
        <f>230/400</f>
        <v>0.57499999999999996</v>
      </c>
      <c r="AA304" s="479">
        <f t="shared" si="58"/>
        <v>176640</v>
      </c>
      <c r="AB304" s="480"/>
      <c r="AC304" s="481">
        <f t="shared" si="66"/>
        <v>0</v>
      </c>
      <c r="AD304" s="474"/>
      <c r="AE304" s="474">
        <f t="shared" si="67"/>
        <v>14572.800000000001</v>
      </c>
      <c r="AF304" s="493">
        <f t="shared" si="53"/>
        <v>191212.79999999999</v>
      </c>
      <c r="AG304" s="474" t="s">
        <v>1071</v>
      </c>
      <c r="AH304" s="474">
        <v>100</v>
      </c>
      <c r="AI304" s="474">
        <v>0</v>
      </c>
      <c r="AJ304" s="475" t="s">
        <v>2075</v>
      </c>
      <c r="AK304" s="475" t="s">
        <v>50</v>
      </c>
      <c r="AL304" s="483">
        <v>92058</v>
      </c>
      <c r="AM304" s="474" t="s">
        <v>52</v>
      </c>
      <c r="AN304" s="384"/>
      <c r="AO304" s="474" t="s">
        <v>1076</v>
      </c>
      <c r="AP304" s="474"/>
      <c r="AQ304" s="482" t="s">
        <v>37</v>
      </c>
      <c r="AR304" s="474" t="s">
        <v>1216</v>
      </c>
      <c r="AS304" s="473"/>
      <c r="AT304" s="346"/>
      <c r="AU304" s="478">
        <f t="shared" si="68"/>
        <v>0.53</v>
      </c>
    </row>
    <row r="305" spans="1:47" s="471" customFormat="1">
      <c r="A305" s="495"/>
      <c r="B305" s="407"/>
      <c r="C305" s="495"/>
      <c r="D305" s="512" t="s">
        <v>86</v>
      </c>
      <c r="E305" s="352"/>
      <c r="F305" s="501"/>
      <c r="G305" s="371">
        <v>2022</v>
      </c>
      <c r="H305" s="371" t="s">
        <v>3004</v>
      </c>
      <c r="I305" s="501" t="s">
        <v>1676</v>
      </c>
      <c r="J305" s="502"/>
      <c r="K305" s="501" t="s">
        <v>4304</v>
      </c>
      <c r="L305" s="501" t="s">
        <v>1878</v>
      </c>
      <c r="M305" s="502">
        <v>44655</v>
      </c>
      <c r="N305" s="502">
        <v>44681</v>
      </c>
      <c r="O305" s="502"/>
      <c r="P305" s="353"/>
      <c r="Q305" s="502"/>
      <c r="R305" s="502"/>
      <c r="S305" s="501" t="s">
        <v>88</v>
      </c>
      <c r="T305" s="501">
        <v>60</v>
      </c>
      <c r="U305" s="501"/>
      <c r="V305" s="510" t="s">
        <v>970</v>
      </c>
      <c r="W305" s="501">
        <v>405</v>
      </c>
      <c r="X305" s="354">
        <v>768</v>
      </c>
      <c r="Y305" s="397">
        <f t="shared" si="65"/>
        <v>311040</v>
      </c>
      <c r="Z305" s="478">
        <f>230.85/405</f>
        <v>0.56999999999999995</v>
      </c>
      <c r="AA305" s="479">
        <f t="shared" si="58"/>
        <v>177292.79999999999</v>
      </c>
      <c r="AB305" s="480"/>
      <c r="AC305" s="481">
        <f t="shared" si="66"/>
        <v>0</v>
      </c>
      <c r="AD305" s="474"/>
      <c r="AE305" s="474"/>
      <c r="AF305" s="493">
        <f t="shared" si="53"/>
        <v>177292.79999999999</v>
      </c>
      <c r="AG305" s="474" t="s">
        <v>1071</v>
      </c>
      <c r="AH305" s="474">
        <v>100</v>
      </c>
      <c r="AI305" s="474">
        <v>0</v>
      </c>
      <c r="AJ305" s="475" t="s">
        <v>1880</v>
      </c>
      <c r="AK305" s="475" t="s">
        <v>1679</v>
      </c>
      <c r="AL305" s="483" t="s">
        <v>1881</v>
      </c>
      <c r="AM305" s="474" t="s">
        <v>52</v>
      </c>
      <c r="AN305" s="384" t="s">
        <v>50</v>
      </c>
      <c r="AO305" s="474" t="s">
        <v>1076</v>
      </c>
      <c r="AP305" s="474"/>
      <c r="AQ305" s="482" t="s">
        <v>37</v>
      </c>
      <c r="AR305" s="474" t="s">
        <v>1216</v>
      </c>
      <c r="AS305" s="473" t="s">
        <v>1492</v>
      </c>
      <c r="AT305" s="346"/>
      <c r="AU305" s="478">
        <f t="shared" ref="AU305:AU313" si="69">208/400</f>
        <v>0.52</v>
      </c>
    </row>
    <row r="306" spans="1:47" s="471" customFormat="1">
      <c r="A306" s="495"/>
      <c r="B306" s="407"/>
      <c r="C306" s="495"/>
      <c r="D306" s="512" t="s">
        <v>86</v>
      </c>
      <c r="E306" s="352"/>
      <c r="F306" s="501"/>
      <c r="G306" s="371">
        <v>2022</v>
      </c>
      <c r="H306" s="371" t="s">
        <v>3004</v>
      </c>
      <c r="I306" s="501" t="s">
        <v>1676</v>
      </c>
      <c r="J306" s="502"/>
      <c r="K306" s="501" t="s">
        <v>4305</v>
      </c>
      <c r="L306" s="501" t="s">
        <v>1878</v>
      </c>
      <c r="M306" s="502">
        <v>44648</v>
      </c>
      <c r="N306" s="502">
        <v>44819</v>
      </c>
      <c r="O306" s="502"/>
      <c r="P306" s="353"/>
      <c r="Q306" s="502"/>
      <c r="R306" s="502"/>
      <c r="S306" s="501" t="s">
        <v>88</v>
      </c>
      <c r="T306" s="501">
        <v>60</v>
      </c>
      <c r="U306" s="501"/>
      <c r="V306" s="510" t="s">
        <v>973</v>
      </c>
      <c r="W306" s="501">
        <v>400</v>
      </c>
      <c r="X306" s="354">
        <v>768</v>
      </c>
      <c r="Y306" s="397">
        <f t="shared" si="65"/>
        <v>307200</v>
      </c>
      <c r="Z306" s="478">
        <f t="shared" ref="Z306:Z310" si="70">228/400</f>
        <v>0.56999999999999995</v>
      </c>
      <c r="AA306" s="479">
        <f t="shared" si="58"/>
        <v>175103.99999999997</v>
      </c>
      <c r="AB306" s="480"/>
      <c r="AC306" s="481">
        <f t="shared" si="66"/>
        <v>0</v>
      </c>
      <c r="AD306" s="474"/>
      <c r="AE306" s="474"/>
      <c r="AF306" s="493">
        <f t="shared" si="53"/>
        <v>175103.99999999997</v>
      </c>
      <c r="AG306" s="474" t="s">
        <v>1071</v>
      </c>
      <c r="AH306" s="474">
        <v>100</v>
      </c>
      <c r="AI306" s="474">
        <v>0</v>
      </c>
      <c r="AJ306" s="475" t="s">
        <v>1880</v>
      </c>
      <c r="AK306" s="475" t="s">
        <v>1679</v>
      </c>
      <c r="AL306" s="483" t="s">
        <v>1881</v>
      </c>
      <c r="AM306" s="474" t="s">
        <v>52</v>
      </c>
      <c r="AN306" s="384" t="s">
        <v>50</v>
      </c>
      <c r="AO306" s="474" t="s">
        <v>1076</v>
      </c>
      <c r="AP306" s="474"/>
      <c r="AQ306" s="482" t="s">
        <v>37</v>
      </c>
      <c r="AR306" s="474" t="s">
        <v>1216</v>
      </c>
      <c r="AS306" s="473" t="s">
        <v>1492</v>
      </c>
      <c r="AT306" s="346"/>
      <c r="AU306" s="478">
        <f t="shared" si="69"/>
        <v>0.52</v>
      </c>
    </row>
    <row r="307" spans="1:47" s="471" customFormat="1">
      <c r="A307" s="495"/>
      <c r="B307" s="407"/>
      <c r="C307" s="495"/>
      <c r="D307" s="512" t="s">
        <v>86</v>
      </c>
      <c r="E307" s="352"/>
      <c r="F307" s="501"/>
      <c r="G307" s="371">
        <v>2022</v>
      </c>
      <c r="H307" s="371" t="s">
        <v>3004</v>
      </c>
      <c r="I307" s="501" t="s">
        <v>1676</v>
      </c>
      <c r="J307" s="502"/>
      <c r="K307" s="501" t="s">
        <v>4306</v>
      </c>
      <c r="L307" s="501" t="s">
        <v>1878</v>
      </c>
      <c r="M307" s="502">
        <v>44648</v>
      </c>
      <c r="N307" s="502">
        <v>44805</v>
      </c>
      <c r="O307" s="502"/>
      <c r="P307" s="353"/>
      <c r="Q307" s="502"/>
      <c r="R307" s="502"/>
      <c r="S307" s="501" t="s">
        <v>88</v>
      </c>
      <c r="T307" s="501">
        <v>60</v>
      </c>
      <c r="U307" s="501"/>
      <c r="V307" s="510" t="s">
        <v>973</v>
      </c>
      <c r="W307" s="501">
        <v>400</v>
      </c>
      <c r="X307" s="354">
        <v>768</v>
      </c>
      <c r="Y307" s="397">
        <f t="shared" si="65"/>
        <v>307200</v>
      </c>
      <c r="Z307" s="478">
        <f t="shared" si="70"/>
        <v>0.56999999999999995</v>
      </c>
      <c r="AA307" s="479">
        <f t="shared" si="58"/>
        <v>175103.99999999997</v>
      </c>
      <c r="AB307" s="480"/>
      <c r="AC307" s="481">
        <f t="shared" si="66"/>
        <v>0</v>
      </c>
      <c r="AD307" s="474"/>
      <c r="AE307" s="474"/>
      <c r="AF307" s="493">
        <f t="shared" si="53"/>
        <v>175103.99999999997</v>
      </c>
      <c r="AG307" s="474" t="s">
        <v>1071</v>
      </c>
      <c r="AH307" s="474">
        <v>100</v>
      </c>
      <c r="AI307" s="474">
        <v>0</v>
      </c>
      <c r="AJ307" s="475" t="s">
        <v>1880</v>
      </c>
      <c r="AK307" s="475" t="s">
        <v>1679</v>
      </c>
      <c r="AL307" s="483" t="s">
        <v>1881</v>
      </c>
      <c r="AM307" s="474" t="s">
        <v>52</v>
      </c>
      <c r="AN307" s="384" t="s">
        <v>50</v>
      </c>
      <c r="AO307" s="474" t="s">
        <v>1076</v>
      </c>
      <c r="AP307" s="474"/>
      <c r="AQ307" s="482" t="s">
        <v>37</v>
      </c>
      <c r="AR307" s="474" t="s">
        <v>1216</v>
      </c>
      <c r="AS307" s="473" t="s">
        <v>1492</v>
      </c>
      <c r="AT307" s="346"/>
      <c r="AU307" s="478">
        <f t="shared" si="69"/>
        <v>0.52</v>
      </c>
    </row>
    <row r="308" spans="1:47" s="471" customFormat="1">
      <c r="A308" s="495"/>
      <c r="B308" s="407"/>
      <c r="C308" s="495"/>
      <c r="D308" s="512" t="s">
        <v>86</v>
      </c>
      <c r="E308" s="352"/>
      <c r="F308" s="501"/>
      <c r="G308" s="371">
        <v>2022</v>
      </c>
      <c r="H308" s="371" t="s">
        <v>3004</v>
      </c>
      <c r="I308" s="501" t="s">
        <v>1676</v>
      </c>
      <c r="J308" s="502"/>
      <c r="K308" s="501" t="s">
        <v>4307</v>
      </c>
      <c r="L308" s="501" t="s">
        <v>1878</v>
      </c>
      <c r="M308" s="502">
        <v>44648</v>
      </c>
      <c r="N308" s="502">
        <v>44788</v>
      </c>
      <c r="O308" s="502"/>
      <c r="P308" s="353"/>
      <c r="Q308" s="502"/>
      <c r="R308" s="502"/>
      <c r="S308" s="501" t="s">
        <v>88</v>
      </c>
      <c r="T308" s="501">
        <v>60</v>
      </c>
      <c r="U308" s="501"/>
      <c r="V308" s="510" t="s">
        <v>973</v>
      </c>
      <c r="W308" s="501">
        <v>400</v>
      </c>
      <c r="X308" s="354">
        <v>768</v>
      </c>
      <c r="Y308" s="397">
        <f t="shared" si="65"/>
        <v>307200</v>
      </c>
      <c r="Z308" s="478">
        <f t="shared" si="70"/>
        <v>0.56999999999999995</v>
      </c>
      <c r="AA308" s="479">
        <f t="shared" si="58"/>
        <v>175103.99999999997</v>
      </c>
      <c r="AB308" s="480"/>
      <c r="AC308" s="481">
        <f t="shared" si="66"/>
        <v>0</v>
      </c>
      <c r="AD308" s="474"/>
      <c r="AE308" s="474"/>
      <c r="AF308" s="493">
        <f t="shared" si="53"/>
        <v>175103.99999999997</v>
      </c>
      <c r="AG308" s="474" t="s">
        <v>1071</v>
      </c>
      <c r="AH308" s="474">
        <v>100</v>
      </c>
      <c r="AI308" s="474">
        <v>0</v>
      </c>
      <c r="AJ308" s="475" t="s">
        <v>1880</v>
      </c>
      <c r="AK308" s="475" t="s">
        <v>1679</v>
      </c>
      <c r="AL308" s="483" t="s">
        <v>1881</v>
      </c>
      <c r="AM308" s="474" t="s">
        <v>52</v>
      </c>
      <c r="AN308" s="384" t="s">
        <v>50</v>
      </c>
      <c r="AO308" s="474" t="s">
        <v>1076</v>
      </c>
      <c r="AP308" s="474"/>
      <c r="AQ308" s="482" t="s">
        <v>37</v>
      </c>
      <c r="AR308" s="474" t="s">
        <v>1216</v>
      </c>
      <c r="AS308" s="473" t="s">
        <v>1492</v>
      </c>
      <c r="AT308" s="346"/>
      <c r="AU308" s="478">
        <f t="shared" si="69"/>
        <v>0.52</v>
      </c>
    </row>
    <row r="309" spans="1:47" s="471" customFormat="1">
      <c r="A309" s="495"/>
      <c r="B309" s="407">
        <v>44676</v>
      </c>
      <c r="C309" s="495"/>
      <c r="D309" s="512" t="s">
        <v>86</v>
      </c>
      <c r="E309" s="352"/>
      <c r="F309" s="501"/>
      <c r="G309" s="371">
        <v>2022</v>
      </c>
      <c r="H309" s="371" t="s">
        <v>3004</v>
      </c>
      <c r="I309" s="501" t="s">
        <v>1676</v>
      </c>
      <c r="J309" s="502"/>
      <c r="K309" s="501" t="s">
        <v>4308</v>
      </c>
      <c r="L309" s="501" t="s">
        <v>1878</v>
      </c>
      <c r="M309" s="502">
        <v>44648</v>
      </c>
      <c r="N309" s="502">
        <v>44774</v>
      </c>
      <c r="O309" s="502"/>
      <c r="P309" s="353"/>
      <c r="Q309" s="502"/>
      <c r="R309" s="502"/>
      <c r="S309" s="501" t="s">
        <v>88</v>
      </c>
      <c r="T309" s="501">
        <v>60</v>
      </c>
      <c r="U309" s="501"/>
      <c r="V309" s="510" t="s">
        <v>973</v>
      </c>
      <c r="W309" s="501">
        <v>400</v>
      </c>
      <c r="X309" s="354">
        <v>768</v>
      </c>
      <c r="Y309" s="397">
        <f t="shared" si="65"/>
        <v>307200</v>
      </c>
      <c r="Z309" s="478">
        <f t="shared" si="70"/>
        <v>0.56999999999999995</v>
      </c>
      <c r="AA309" s="479">
        <f t="shared" si="58"/>
        <v>175103.99999999997</v>
      </c>
      <c r="AB309" s="480"/>
      <c r="AC309" s="481">
        <f t="shared" si="66"/>
        <v>0</v>
      </c>
      <c r="AD309" s="474"/>
      <c r="AE309" s="474"/>
      <c r="AF309" s="493">
        <f t="shared" si="53"/>
        <v>175103.99999999997</v>
      </c>
      <c r="AG309" s="474" t="s">
        <v>1071</v>
      </c>
      <c r="AH309" s="474">
        <v>100</v>
      </c>
      <c r="AI309" s="474">
        <v>0</v>
      </c>
      <c r="AJ309" s="475" t="s">
        <v>1880</v>
      </c>
      <c r="AK309" s="475" t="s">
        <v>1679</v>
      </c>
      <c r="AL309" s="483" t="s">
        <v>1881</v>
      </c>
      <c r="AM309" s="474" t="s">
        <v>52</v>
      </c>
      <c r="AN309" s="384" t="s">
        <v>50</v>
      </c>
      <c r="AO309" s="474" t="s">
        <v>1076</v>
      </c>
      <c r="AP309" s="474"/>
      <c r="AQ309" s="482" t="s">
        <v>37</v>
      </c>
      <c r="AR309" s="474" t="s">
        <v>1216</v>
      </c>
      <c r="AS309" s="473" t="s">
        <v>1492</v>
      </c>
      <c r="AT309" s="346"/>
      <c r="AU309" s="478">
        <f t="shared" si="69"/>
        <v>0.52</v>
      </c>
    </row>
    <row r="310" spans="1:47" s="471" customFormat="1">
      <c r="A310" s="495"/>
      <c r="B310" s="407">
        <v>44676</v>
      </c>
      <c r="C310" s="495"/>
      <c r="D310" s="512" t="s">
        <v>86</v>
      </c>
      <c r="E310" s="352"/>
      <c r="F310" s="501"/>
      <c r="G310" s="371">
        <v>2022</v>
      </c>
      <c r="H310" s="371" t="s">
        <v>3004</v>
      </c>
      <c r="I310" s="501" t="s">
        <v>1676</v>
      </c>
      <c r="J310" s="502"/>
      <c r="K310" s="501" t="s">
        <v>4309</v>
      </c>
      <c r="L310" s="501" t="s">
        <v>1878</v>
      </c>
      <c r="M310" s="502">
        <v>44648</v>
      </c>
      <c r="N310" s="502">
        <v>44757</v>
      </c>
      <c r="O310" s="502"/>
      <c r="P310" s="353"/>
      <c r="Q310" s="502"/>
      <c r="R310" s="502"/>
      <c r="S310" s="501" t="s">
        <v>88</v>
      </c>
      <c r="T310" s="501">
        <v>60</v>
      </c>
      <c r="U310" s="501"/>
      <c r="V310" s="510" t="s">
        <v>973</v>
      </c>
      <c r="W310" s="501">
        <v>400</v>
      </c>
      <c r="X310" s="354">
        <v>768</v>
      </c>
      <c r="Y310" s="397">
        <f t="shared" si="65"/>
        <v>307200</v>
      </c>
      <c r="Z310" s="478">
        <f t="shared" si="70"/>
        <v>0.56999999999999995</v>
      </c>
      <c r="AA310" s="479">
        <f t="shared" si="58"/>
        <v>175103.99999999997</v>
      </c>
      <c r="AB310" s="480"/>
      <c r="AC310" s="481">
        <f t="shared" si="66"/>
        <v>0</v>
      </c>
      <c r="AD310" s="474"/>
      <c r="AE310" s="474"/>
      <c r="AF310" s="493">
        <f t="shared" si="53"/>
        <v>175103.99999999997</v>
      </c>
      <c r="AG310" s="474" t="s">
        <v>1071</v>
      </c>
      <c r="AH310" s="474">
        <v>100</v>
      </c>
      <c r="AI310" s="474">
        <v>0</v>
      </c>
      <c r="AJ310" s="475" t="s">
        <v>1880</v>
      </c>
      <c r="AK310" s="475" t="s">
        <v>1679</v>
      </c>
      <c r="AL310" s="483" t="s">
        <v>1881</v>
      </c>
      <c r="AM310" s="474" t="s">
        <v>52</v>
      </c>
      <c r="AN310" s="384" t="s">
        <v>50</v>
      </c>
      <c r="AO310" s="474" t="s">
        <v>1076</v>
      </c>
      <c r="AP310" s="474"/>
      <c r="AQ310" s="482" t="s">
        <v>37</v>
      </c>
      <c r="AR310" s="474" t="s">
        <v>1216</v>
      </c>
      <c r="AS310" s="473" t="s">
        <v>1492</v>
      </c>
      <c r="AT310" s="346"/>
      <c r="AU310" s="478">
        <f t="shared" si="69"/>
        <v>0.52</v>
      </c>
    </row>
    <row r="311" spans="1:47" s="471" customFormat="1">
      <c r="A311" s="495"/>
      <c r="B311" s="407"/>
      <c r="C311" s="495"/>
      <c r="D311" s="512" t="s">
        <v>86</v>
      </c>
      <c r="E311" s="352"/>
      <c r="F311" s="501"/>
      <c r="G311" s="371">
        <v>2022</v>
      </c>
      <c r="H311" s="371" t="s">
        <v>3004</v>
      </c>
      <c r="I311" s="501" t="s">
        <v>1676</v>
      </c>
      <c r="J311" s="502"/>
      <c r="K311" s="501" t="s">
        <v>4311</v>
      </c>
      <c r="L311" s="501" t="s">
        <v>1878</v>
      </c>
      <c r="M311" s="502">
        <v>44648</v>
      </c>
      <c r="N311" s="502">
        <v>44819</v>
      </c>
      <c r="O311" s="502"/>
      <c r="P311" s="353"/>
      <c r="Q311" s="502"/>
      <c r="R311" s="502"/>
      <c r="S311" s="501" t="s">
        <v>88</v>
      </c>
      <c r="T311" s="501">
        <v>60</v>
      </c>
      <c r="U311" s="501"/>
      <c r="V311" s="510" t="s">
        <v>986</v>
      </c>
      <c r="W311" s="501">
        <v>360</v>
      </c>
      <c r="X311" s="354">
        <v>768</v>
      </c>
      <c r="Y311" s="397">
        <f t="shared" si="65"/>
        <v>276480</v>
      </c>
      <c r="Z311" s="478">
        <f>198/360</f>
        <v>0.55000000000000004</v>
      </c>
      <c r="AA311" s="479">
        <f t="shared" si="58"/>
        <v>152064</v>
      </c>
      <c r="AB311" s="480"/>
      <c r="AC311" s="481">
        <f t="shared" si="66"/>
        <v>0</v>
      </c>
      <c r="AD311" s="474"/>
      <c r="AE311" s="474"/>
      <c r="AF311" s="493">
        <f t="shared" si="53"/>
        <v>152064</v>
      </c>
      <c r="AG311" s="474" t="s">
        <v>1071</v>
      </c>
      <c r="AH311" s="474">
        <v>100</v>
      </c>
      <c r="AI311" s="474">
        <v>0</v>
      </c>
      <c r="AJ311" s="475" t="s">
        <v>1880</v>
      </c>
      <c r="AK311" s="475" t="s">
        <v>1679</v>
      </c>
      <c r="AL311" s="483" t="s">
        <v>1881</v>
      </c>
      <c r="AM311" s="474" t="s">
        <v>52</v>
      </c>
      <c r="AN311" s="384" t="s">
        <v>50</v>
      </c>
      <c r="AO311" s="474" t="s">
        <v>1076</v>
      </c>
      <c r="AP311" s="474"/>
      <c r="AQ311" s="482" t="s">
        <v>37</v>
      </c>
      <c r="AR311" s="474" t="s">
        <v>1216</v>
      </c>
      <c r="AS311" s="473" t="s">
        <v>1492</v>
      </c>
      <c r="AT311" s="346"/>
      <c r="AU311" s="478">
        <f t="shared" si="69"/>
        <v>0.52</v>
      </c>
    </row>
    <row r="312" spans="1:47" s="471" customFormat="1">
      <c r="A312" s="495"/>
      <c r="B312" s="407"/>
      <c r="C312" s="495"/>
      <c r="D312" s="512" t="s">
        <v>86</v>
      </c>
      <c r="E312" s="352" t="s">
        <v>4310</v>
      </c>
      <c r="F312" s="501"/>
      <c r="G312" s="371">
        <v>2022</v>
      </c>
      <c r="H312" s="371" t="s">
        <v>3004</v>
      </c>
      <c r="I312" s="501" t="s">
        <v>1676</v>
      </c>
      <c r="J312" s="502"/>
      <c r="K312" s="501" t="s">
        <v>4312</v>
      </c>
      <c r="L312" s="501" t="s">
        <v>1878</v>
      </c>
      <c r="M312" s="502">
        <v>44648</v>
      </c>
      <c r="N312" s="502">
        <v>44788</v>
      </c>
      <c r="O312" s="502"/>
      <c r="P312" s="353"/>
      <c r="Q312" s="502"/>
      <c r="R312" s="502"/>
      <c r="S312" s="501" t="s">
        <v>88</v>
      </c>
      <c r="T312" s="501">
        <v>60</v>
      </c>
      <c r="U312" s="501"/>
      <c r="V312" s="510" t="s">
        <v>986</v>
      </c>
      <c r="W312" s="501">
        <v>360</v>
      </c>
      <c r="X312" s="354">
        <v>768</v>
      </c>
      <c r="Y312" s="397">
        <f t="shared" si="65"/>
        <v>276480</v>
      </c>
      <c r="Z312" s="478">
        <f t="shared" ref="Z312:Z313" si="71">198/360</f>
        <v>0.55000000000000004</v>
      </c>
      <c r="AA312" s="479">
        <f t="shared" si="58"/>
        <v>152064</v>
      </c>
      <c r="AB312" s="480"/>
      <c r="AC312" s="481">
        <f t="shared" si="66"/>
        <v>0</v>
      </c>
      <c r="AD312" s="474"/>
      <c r="AE312" s="474"/>
      <c r="AF312" s="493">
        <f t="shared" si="53"/>
        <v>152064</v>
      </c>
      <c r="AG312" s="474" t="s">
        <v>1071</v>
      </c>
      <c r="AH312" s="474">
        <v>100</v>
      </c>
      <c r="AI312" s="474">
        <v>0</v>
      </c>
      <c r="AJ312" s="475" t="s">
        <v>1880</v>
      </c>
      <c r="AK312" s="475" t="s">
        <v>1679</v>
      </c>
      <c r="AL312" s="483" t="s">
        <v>1881</v>
      </c>
      <c r="AM312" s="474" t="s">
        <v>52</v>
      </c>
      <c r="AN312" s="384" t="s">
        <v>50</v>
      </c>
      <c r="AO312" s="474" t="s">
        <v>1076</v>
      </c>
      <c r="AP312" s="474"/>
      <c r="AQ312" s="482" t="s">
        <v>37</v>
      </c>
      <c r="AR312" s="474" t="s">
        <v>1216</v>
      </c>
      <c r="AS312" s="473" t="s">
        <v>1492</v>
      </c>
      <c r="AT312" s="346"/>
      <c r="AU312" s="478">
        <f t="shared" si="69"/>
        <v>0.52</v>
      </c>
    </row>
    <row r="313" spans="1:47" s="471" customFormat="1">
      <c r="A313" s="495"/>
      <c r="B313" s="407"/>
      <c r="C313" s="495"/>
      <c r="D313" s="512" t="s">
        <v>86</v>
      </c>
      <c r="E313" s="352" t="s">
        <v>4310</v>
      </c>
      <c r="F313" s="501"/>
      <c r="G313" s="371">
        <v>2022</v>
      </c>
      <c r="H313" s="371" t="s">
        <v>3004</v>
      </c>
      <c r="I313" s="501" t="s">
        <v>1676</v>
      </c>
      <c r="J313" s="502"/>
      <c r="K313" s="501" t="s">
        <v>4313</v>
      </c>
      <c r="L313" s="501" t="s">
        <v>1878</v>
      </c>
      <c r="M313" s="502">
        <v>44648</v>
      </c>
      <c r="N313" s="502">
        <v>44757</v>
      </c>
      <c r="O313" s="502"/>
      <c r="P313" s="353"/>
      <c r="Q313" s="502"/>
      <c r="R313" s="502"/>
      <c r="S313" s="501" t="s">
        <v>88</v>
      </c>
      <c r="T313" s="501">
        <v>60</v>
      </c>
      <c r="U313" s="501"/>
      <c r="V313" s="510" t="s">
        <v>986</v>
      </c>
      <c r="W313" s="501">
        <v>360</v>
      </c>
      <c r="X313" s="354">
        <v>768</v>
      </c>
      <c r="Y313" s="397">
        <f t="shared" si="65"/>
        <v>276480</v>
      </c>
      <c r="Z313" s="478">
        <f t="shared" si="71"/>
        <v>0.55000000000000004</v>
      </c>
      <c r="AA313" s="479">
        <f t="shared" si="58"/>
        <v>152064</v>
      </c>
      <c r="AB313" s="480"/>
      <c r="AC313" s="481">
        <f t="shared" si="66"/>
        <v>0</v>
      </c>
      <c r="AD313" s="474"/>
      <c r="AE313" s="474"/>
      <c r="AF313" s="493">
        <f t="shared" si="53"/>
        <v>152064</v>
      </c>
      <c r="AG313" s="474" t="s">
        <v>1071</v>
      </c>
      <c r="AH313" s="474">
        <v>100</v>
      </c>
      <c r="AI313" s="474">
        <v>0</v>
      </c>
      <c r="AJ313" s="475" t="s">
        <v>1880</v>
      </c>
      <c r="AK313" s="475" t="s">
        <v>1679</v>
      </c>
      <c r="AL313" s="483" t="s">
        <v>1881</v>
      </c>
      <c r="AM313" s="474" t="s">
        <v>52</v>
      </c>
      <c r="AN313" s="384" t="s">
        <v>50</v>
      </c>
      <c r="AO313" s="474" t="s">
        <v>1076</v>
      </c>
      <c r="AP313" s="474"/>
      <c r="AQ313" s="482" t="s">
        <v>37</v>
      </c>
      <c r="AR313" s="474" t="s">
        <v>1216</v>
      </c>
      <c r="AS313" s="473" t="s">
        <v>1492</v>
      </c>
      <c r="AT313" s="346"/>
      <c r="AU313" s="478">
        <f t="shared" si="69"/>
        <v>0.52</v>
      </c>
    </row>
    <row r="314" spans="1:47" s="471" customFormat="1">
      <c r="A314" s="495"/>
      <c r="B314" s="407">
        <v>44615</v>
      </c>
      <c r="C314" s="495"/>
      <c r="D314" s="512" t="s">
        <v>86</v>
      </c>
      <c r="E314" s="352"/>
      <c r="F314" s="501" t="s">
        <v>2303</v>
      </c>
      <c r="G314" s="371">
        <v>2022</v>
      </c>
      <c r="H314" s="371" t="s">
        <v>3004</v>
      </c>
      <c r="I314" s="501" t="s">
        <v>1676</v>
      </c>
      <c r="J314" s="502"/>
      <c r="K314" s="501" t="s">
        <v>4314</v>
      </c>
      <c r="L314" s="501" t="s">
        <v>1723</v>
      </c>
      <c r="M314" s="502">
        <v>44593</v>
      </c>
      <c r="N314" s="502">
        <v>44636</v>
      </c>
      <c r="O314" s="502"/>
      <c r="P314" s="353"/>
      <c r="Q314" s="502"/>
      <c r="R314" s="502"/>
      <c r="S314" s="501" t="s">
        <v>88</v>
      </c>
      <c r="T314" s="501">
        <v>60</v>
      </c>
      <c r="U314" s="501"/>
      <c r="V314" s="510" t="s">
        <v>986</v>
      </c>
      <c r="W314" s="501">
        <v>360</v>
      </c>
      <c r="X314" s="354">
        <v>1536</v>
      </c>
      <c r="Y314" s="397">
        <f>W314*X314</f>
        <v>552960</v>
      </c>
      <c r="Z314" s="478">
        <f>192.6/360</f>
        <v>0.53500000000000003</v>
      </c>
      <c r="AA314" s="479">
        <f>Z314*Y314</f>
        <v>295833.60000000003</v>
      </c>
      <c r="AB314" s="480"/>
      <c r="AC314" s="481">
        <f>AB314*Y314</f>
        <v>0</v>
      </c>
      <c r="AD314" s="474"/>
      <c r="AE314" s="474"/>
      <c r="AF314" s="493">
        <f>AE314+AD314+AA314</f>
        <v>295833.60000000003</v>
      </c>
      <c r="AG314" s="474" t="s">
        <v>1071</v>
      </c>
      <c r="AH314" s="474"/>
      <c r="AI314" s="474">
        <v>60</v>
      </c>
      <c r="AJ314" s="475" t="s">
        <v>1342</v>
      </c>
      <c r="AK314" s="475" t="s">
        <v>1085</v>
      </c>
      <c r="AL314" s="483" t="s">
        <v>2305</v>
      </c>
      <c r="AM314" s="474" t="s">
        <v>52</v>
      </c>
      <c r="AN314" s="384" t="s">
        <v>1074</v>
      </c>
      <c r="AO314" s="474" t="s">
        <v>1076</v>
      </c>
      <c r="AP314" s="474"/>
      <c r="AQ314" s="482" t="s">
        <v>37</v>
      </c>
      <c r="AR314" s="474" t="s">
        <v>1216</v>
      </c>
      <c r="AS314" s="473"/>
      <c r="AT314" s="346"/>
      <c r="AU314" s="478">
        <f>181.8/360</f>
        <v>0.505</v>
      </c>
    </row>
    <row r="315" spans="1:47" s="471" customFormat="1">
      <c r="A315" s="495"/>
      <c r="B315" s="407">
        <v>44614</v>
      </c>
      <c r="C315" s="407"/>
      <c r="D315" s="355" t="s">
        <v>86</v>
      </c>
      <c r="E315" s="496"/>
      <c r="F315" s="337" t="s">
        <v>2303</v>
      </c>
      <c r="G315" s="339">
        <v>2022</v>
      </c>
      <c r="H315" s="371" t="s">
        <v>3004</v>
      </c>
      <c r="I315" s="496" t="s">
        <v>1676</v>
      </c>
      <c r="J315" s="497"/>
      <c r="K315" s="496" t="s">
        <v>4315</v>
      </c>
      <c r="L315" s="496" t="s">
        <v>1723</v>
      </c>
      <c r="M315" s="497">
        <v>44585</v>
      </c>
      <c r="N315" s="497">
        <v>44790</v>
      </c>
      <c r="O315" s="497"/>
      <c r="P315" s="497"/>
      <c r="Q315" s="497"/>
      <c r="R315" s="497"/>
      <c r="S315" s="496" t="s">
        <v>88</v>
      </c>
      <c r="T315" s="496">
        <v>60</v>
      </c>
      <c r="U315" s="337"/>
      <c r="V315" s="496" t="s">
        <v>986</v>
      </c>
      <c r="W315" s="496">
        <v>360</v>
      </c>
      <c r="X315" s="338">
        <v>768</v>
      </c>
      <c r="Y315" s="389">
        <f t="shared" ref="Y315:Y341" si="72">W315*X315</f>
        <v>276480</v>
      </c>
      <c r="Z315" s="478">
        <f t="shared" ref="Z315" si="73">192.6/360</f>
        <v>0.53500000000000003</v>
      </c>
      <c r="AA315" s="480">
        <f t="shared" ref="AA315:AA378" si="74">Z315*Y315</f>
        <v>147916.80000000002</v>
      </c>
      <c r="AB315" s="480"/>
      <c r="AC315" s="481">
        <f t="shared" ref="AC315:AC318" si="75">AB315*Y315</f>
        <v>0</v>
      </c>
      <c r="AD315" s="474"/>
      <c r="AE315" s="474"/>
      <c r="AF315" s="493">
        <f t="shared" ref="AF315:AF341" si="76">AE315+AD315+AA315</f>
        <v>147916.80000000002</v>
      </c>
      <c r="AG315" s="474" t="s">
        <v>1071</v>
      </c>
      <c r="AH315" s="474"/>
      <c r="AI315" s="474">
        <v>60</v>
      </c>
      <c r="AJ315" s="475" t="s">
        <v>2951</v>
      </c>
      <c r="AK315" s="475" t="s">
        <v>1084</v>
      </c>
      <c r="AL315" s="483" t="s">
        <v>2952</v>
      </c>
      <c r="AM315" s="474" t="s">
        <v>52</v>
      </c>
      <c r="AN315" s="384" t="s">
        <v>1074</v>
      </c>
      <c r="AO315" s="474" t="s">
        <v>1076</v>
      </c>
      <c r="AP315" s="482"/>
      <c r="AQ315" s="474" t="s">
        <v>37</v>
      </c>
      <c r="AR315" s="474" t="s">
        <v>1216</v>
      </c>
      <c r="AS315" s="473"/>
      <c r="AT315" s="346"/>
      <c r="AU315" s="478">
        <f t="shared" ref="AU315" si="77">181.8/360</f>
        <v>0.505</v>
      </c>
    </row>
    <row r="316" spans="1:47" s="471" customFormat="1">
      <c r="A316" s="495"/>
      <c r="B316" s="407"/>
      <c r="C316" s="495"/>
      <c r="D316" s="512" t="s">
        <v>86</v>
      </c>
      <c r="E316" s="352"/>
      <c r="F316" s="501"/>
      <c r="G316" s="371">
        <v>2022</v>
      </c>
      <c r="H316" s="371" t="s">
        <v>4093</v>
      </c>
      <c r="I316" s="501" t="s">
        <v>1676</v>
      </c>
      <c r="J316" s="502"/>
      <c r="K316" s="501" t="s">
        <v>5483</v>
      </c>
      <c r="L316" s="501" t="s">
        <v>4191</v>
      </c>
      <c r="M316" s="502">
        <v>44673</v>
      </c>
      <c r="N316" s="502">
        <v>44835</v>
      </c>
      <c r="O316" s="502"/>
      <c r="P316" s="353"/>
      <c r="Q316" s="502"/>
      <c r="R316" s="502"/>
      <c r="S316" s="501" t="s">
        <v>1704</v>
      </c>
      <c r="T316" s="501">
        <v>60</v>
      </c>
      <c r="U316" s="501" t="s">
        <v>1109</v>
      </c>
      <c r="V316" s="510" t="s">
        <v>973</v>
      </c>
      <c r="W316" s="501">
        <v>400</v>
      </c>
      <c r="X316" s="354">
        <v>2304</v>
      </c>
      <c r="Y316" s="397">
        <f t="shared" si="72"/>
        <v>921600</v>
      </c>
      <c r="Z316" s="478">
        <f>256/400</f>
        <v>0.64</v>
      </c>
      <c r="AA316" s="479">
        <f t="shared" si="74"/>
        <v>589824</v>
      </c>
      <c r="AB316" s="480"/>
      <c r="AC316" s="481">
        <f t="shared" si="75"/>
        <v>0</v>
      </c>
      <c r="AD316" s="474"/>
      <c r="AE316" s="474"/>
      <c r="AF316" s="493">
        <f t="shared" si="76"/>
        <v>589824</v>
      </c>
      <c r="AG316" s="474" t="s">
        <v>1071</v>
      </c>
      <c r="AH316" s="474"/>
      <c r="AI316" s="474">
        <v>60</v>
      </c>
      <c r="AJ316" s="475" t="s">
        <v>4192</v>
      </c>
      <c r="AK316" s="475" t="s">
        <v>1706</v>
      </c>
      <c r="AL316" s="483">
        <v>99217</v>
      </c>
      <c r="AM316" s="474" t="s">
        <v>52</v>
      </c>
      <c r="AN316" s="384"/>
      <c r="AO316" s="474" t="s">
        <v>1076</v>
      </c>
      <c r="AP316" s="474"/>
      <c r="AQ316" s="482" t="s">
        <v>37</v>
      </c>
      <c r="AR316" s="474" t="s">
        <v>1216</v>
      </c>
      <c r="AS316" s="473"/>
      <c r="AT316" s="346"/>
      <c r="AU316" s="478">
        <f t="shared" ref="AU316:AU318" si="78">212/400</f>
        <v>0.53</v>
      </c>
    </row>
    <row r="317" spans="1:47" s="471" customFormat="1">
      <c r="A317" s="495"/>
      <c r="B317" s="407"/>
      <c r="C317" s="495"/>
      <c r="D317" s="512" t="s">
        <v>86</v>
      </c>
      <c r="E317" s="352"/>
      <c r="F317" s="501"/>
      <c r="G317" s="371">
        <v>2022</v>
      </c>
      <c r="H317" s="371" t="s">
        <v>4093</v>
      </c>
      <c r="I317" s="501" t="s">
        <v>1676</v>
      </c>
      <c r="J317" s="502"/>
      <c r="K317" s="501" t="s">
        <v>5484</v>
      </c>
      <c r="L317" s="501" t="s">
        <v>4191</v>
      </c>
      <c r="M317" s="502">
        <v>44673</v>
      </c>
      <c r="N317" s="502">
        <v>44866</v>
      </c>
      <c r="O317" s="502"/>
      <c r="P317" s="353"/>
      <c r="Q317" s="502"/>
      <c r="R317" s="502"/>
      <c r="S317" s="501" t="s">
        <v>1704</v>
      </c>
      <c r="T317" s="501">
        <v>60</v>
      </c>
      <c r="U317" s="501" t="s">
        <v>1109</v>
      </c>
      <c r="V317" s="510" t="s">
        <v>973</v>
      </c>
      <c r="W317" s="501">
        <v>400</v>
      </c>
      <c r="X317" s="354">
        <v>2304</v>
      </c>
      <c r="Y317" s="397">
        <f t="shared" si="72"/>
        <v>921600</v>
      </c>
      <c r="Z317" s="478">
        <f>256/400</f>
        <v>0.64</v>
      </c>
      <c r="AA317" s="479">
        <f t="shared" si="74"/>
        <v>589824</v>
      </c>
      <c r="AB317" s="480"/>
      <c r="AC317" s="481">
        <f t="shared" si="75"/>
        <v>0</v>
      </c>
      <c r="AD317" s="474"/>
      <c r="AE317" s="474"/>
      <c r="AF317" s="493">
        <f t="shared" si="76"/>
        <v>589824</v>
      </c>
      <c r="AG317" s="474" t="s">
        <v>1071</v>
      </c>
      <c r="AH317" s="474"/>
      <c r="AI317" s="474">
        <v>60</v>
      </c>
      <c r="AJ317" s="475" t="s">
        <v>4192</v>
      </c>
      <c r="AK317" s="475" t="s">
        <v>1706</v>
      </c>
      <c r="AL317" s="483">
        <v>99217</v>
      </c>
      <c r="AM317" s="474" t="s">
        <v>52</v>
      </c>
      <c r="AN317" s="384"/>
      <c r="AO317" s="474" t="s">
        <v>1076</v>
      </c>
      <c r="AP317" s="474"/>
      <c r="AQ317" s="482" t="s">
        <v>37</v>
      </c>
      <c r="AR317" s="474" t="s">
        <v>1216</v>
      </c>
      <c r="AS317" s="473"/>
      <c r="AT317" s="346"/>
      <c r="AU317" s="478">
        <f t="shared" si="78"/>
        <v>0.53</v>
      </c>
    </row>
    <row r="318" spans="1:47" s="471" customFormat="1">
      <c r="A318" s="495"/>
      <c r="B318" s="407"/>
      <c r="C318" s="495"/>
      <c r="D318" s="512" t="s">
        <v>86</v>
      </c>
      <c r="E318" s="352"/>
      <c r="F318" s="501"/>
      <c r="G318" s="371">
        <v>2022</v>
      </c>
      <c r="H318" s="371" t="s">
        <v>4093</v>
      </c>
      <c r="I318" s="501" t="s">
        <v>1676</v>
      </c>
      <c r="J318" s="502"/>
      <c r="K318" s="501" t="s">
        <v>5485</v>
      </c>
      <c r="L318" s="501" t="s">
        <v>4191</v>
      </c>
      <c r="M318" s="502">
        <v>44673</v>
      </c>
      <c r="N318" s="502">
        <v>44896</v>
      </c>
      <c r="O318" s="502"/>
      <c r="P318" s="353"/>
      <c r="Q318" s="502"/>
      <c r="R318" s="502"/>
      <c r="S318" s="501" t="s">
        <v>1704</v>
      </c>
      <c r="T318" s="501">
        <v>60</v>
      </c>
      <c r="U318" s="501" t="s">
        <v>1109</v>
      </c>
      <c r="V318" s="510" t="s">
        <v>973</v>
      </c>
      <c r="W318" s="501">
        <v>400</v>
      </c>
      <c r="X318" s="354">
        <v>2304</v>
      </c>
      <c r="Y318" s="397">
        <f t="shared" si="72"/>
        <v>921600</v>
      </c>
      <c r="Z318" s="478">
        <f>256/400</f>
        <v>0.64</v>
      </c>
      <c r="AA318" s="479">
        <f t="shared" si="74"/>
        <v>589824</v>
      </c>
      <c r="AB318" s="480"/>
      <c r="AC318" s="481">
        <f t="shared" si="75"/>
        <v>0</v>
      </c>
      <c r="AD318" s="474"/>
      <c r="AE318" s="474"/>
      <c r="AF318" s="493">
        <f t="shared" si="76"/>
        <v>589824</v>
      </c>
      <c r="AG318" s="474" t="s">
        <v>1071</v>
      </c>
      <c r="AH318" s="474"/>
      <c r="AI318" s="474">
        <v>60</v>
      </c>
      <c r="AJ318" s="475" t="s">
        <v>4192</v>
      </c>
      <c r="AK318" s="475" t="s">
        <v>1706</v>
      </c>
      <c r="AL318" s="483">
        <v>99217</v>
      </c>
      <c r="AM318" s="474" t="s">
        <v>52</v>
      </c>
      <c r="AN318" s="384"/>
      <c r="AO318" s="474" t="s">
        <v>1076</v>
      </c>
      <c r="AP318" s="474"/>
      <c r="AQ318" s="482" t="s">
        <v>37</v>
      </c>
      <c r="AR318" s="474" t="s">
        <v>1216</v>
      </c>
      <c r="AS318" s="473"/>
      <c r="AT318" s="346"/>
      <c r="AU318" s="478">
        <f t="shared" si="78"/>
        <v>0.53</v>
      </c>
    </row>
    <row r="319" spans="1:47" s="471" customFormat="1">
      <c r="A319" s="495"/>
      <c r="B319" s="407"/>
      <c r="C319" s="495"/>
      <c r="D319" s="512" t="s">
        <v>86</v>
      </c>
      <c r="E319" s="352"/>
      <c r="F319" s="501"/>
      <c r="G319" s="501">
        <v>2022</v>
      </c>
      <c r="H319" s="501" t="s">
        <v>4093</v>
      </c>
      <c r="I319" s="501" t="s">
        <v>1676</v>
      </c>
      <c r="J319" s="502"/>
      <c r="K319" s="501" t="s">
        <v>5486</v>
      </c>
      <c r="L319" s="501" t="s">
        <v>1832</v>
      </c>
      <c r="M319" s="502">
        <v>44673</v>
      </c>
      <c r="N319" s="502">
        <v>44748</v>
      </c>
      <c r="O319" s="502"/>
      <c r="P319" s="353"/>
      <c r="Q319" s="502"/>
      <c r="R319" s="502"/>
      <c r="S319" s="501" t="s">
        <v>1704</v>
      </c>
      <c r="T319" s="501">
        <v>60</v>
      </c>
      <c r="U319" s="501"/>
      <c r="V319" s="510" t="s">
        <v>986</v>
      </c>
      <c r="W319" s="501">
        <v>360</v>
      </c>
      <c r="X319" s="354">
        <v>1536</v>
      </c>
      <c r="Y319" s="397">
        <f t="shared" si="72"/>
        <v>552960</v>
      </c>
      <c r="Z319" s="478">
        <f>223.2/360</f>
        <v>0.62</v>
      </c>
      <c r="AA319" s="479">
        <f t="shared" si="74"/>
        <v>342835.20000000001</v>
      </c>
      <c r="AB319" s="480"/>
      <c r="AC319" s="481"/>
      <c r="AD319" s="474"/>
      <c r="AE319" s="474"/>
      <c r="AF319" s="493">
        <f t="shared" si="76"/>
        <v>342835.20000000001</v>
      </c>
      <c r="AG319" s="474" t="s">
        <v>1071</v>
      </c>
      <c r="AH319" s="474"/>
      <c r="AI319" s="474">
        <v>60</v>
      </c>
      <c r="AJ319" s="475" t="s">
        <v>1853</v>
      </c>
      <c r="AK319" s="475" t="s">
        <v>50</v>
      </c>
      <c r="AL319" s="483" t="s">
        <v>1854</v>
      </c>
      <c r="AM319" s="474" t="s">
        <v>52</v>
      </c>
      <c r="AN319" s="384"/>
      <c r="AO319" s="474" t="s">
        <v>1076</v>
      </c>
      <c r="AP319" s="474"/>
      <c r="AQ319" s="482" t="s">
        <v>37</v>
      </c>
      <c r="AR319" s="474"/>
      <c r="AS319" s="473"/>
      <c r="AT319" s="473"/>
      <c r="AU319" s="478"/>
    </row>
    <row r="320" spans="1:47" s="471" customFormat="1">
      <c r="A320" s="495"/>
      <c r="B320" s="407"/>
      <c r="C320" s="495"/>
      <c r="D320" s="512" t="s">
        <v>86</v>
      </c>
      <c r="E320" s="352"/>
      <c r="F320" s="501"/>
      <c r="G320" s="501">
        <v>2022</v>
      </c>
      <c r="H320" s="501" t="s">
        <v>4093</v>
      </c>
      <c r="I320" s="501" t="s">
        <v>1676</v>
      </c>
      <c r="J320" s="502"/>
      <c r="K320" s="501" t="s">
        <v>5487</v>
      </c>
      <c r="L320" s="501" t="s">
        <v>1832</v>
      </c>
      <c r="M320" s="502">
        <v>44673</v>
      </c>
      <c r="N320" s="502">
        <v>44778</v>
      </c>
      <c r="O320" s="502"/>
      <c r="P320" s="353"/>
      <c r="Q320" s="502"/>
      <c r="R320" s="502"/>
      <c r="S320" s="501" t="s">
        <v>1704</v>
      </c>
      <c r="T320" s="501">
        <v>60</v>
      </c>
      <c r="U320" s="501"/>
      <c r="V320" s="510" t="s">
        <v>986</v>
      </c>
      <c r="W320" s="501">
        <v>360</v>
      </c>
      <c r="X320" s="354">
        <v>1536</v>
      </c>
      <c r="Y320" s="397">
        <f t="shared" si="72"/>
        <v>552960</v>
      </c>
      <c r="Z320" s="478">
        <f>223.2/360</f>
        <v>0.62</v>
      </c>
      <c r="AA320" s="479">
        <f t="shared" si="74"/>
        <v>342835.20000000001</v>
      </c>
      <c r="AB320" s="480"/>
      <c r="AC320" s="481"/>
      <c r="AD320" s="474"/>
      <c r="AE320" s="474"/>
      <c r="AF320" s="493">
        <f t="shared" si="76"/>
        <v>342835.20000000001</v>
      </c>
      <c r="AG320" s="474" t="s">
        <v>1071</v>
      </c>
      <c r="AH320" s="474"/>
      <c r="AI320" s="474">
        <v>60</v>
      </c>
      <c r="AJ320" s="475" t="s">
        <v>1853</v>
      </c>
      <c r="AK320" s="475" t="s">
        <v>50</v>
      </c>
      <c r="AL320" s="483" t="s">
        <v>1854</v>
      </c>
      <c r="AM320" s="474" t="s">
        <v>52</v>
      </c>
      <c r="AN320" s="384"/>
      <c r="AO320" s="474" t="s">
        <v>1076</v>
      </c>
      <c r="AP320" s="474"/>
      <c r="AQ320" s="482" t="s">
        <v>37</v>
      </c>
      <c r="AR320" s="474"/>
      <c r="AS320" s="473"/>
      <c r="AT320" s="473"/>
      <c r="AU320" s="478"/>
    </row>
    <row r="321" spans="1:47" s="471" customFormat="1">
      <c r="A321" s="495"/>
      <c r="B321" s="407">
        <v>44676</v>
      </c>
      <c r="C321" s="495"/>
      <c r="D321" s="512" t="s">
        <v>86</v>
      </c>
      <c r="E321" s="352"/>
      <c r="F321" s="501"/>
      <c r="G321" s="371">
        <v>2022</v>
      </c>
      <c r="H321" s="371" t="s">
        <v>4093</v>
      </c>
      <c r="I321" s="501" t="s">
        <v>1676</v>
      </c>
      <c r="J321" s="502"/>
      <c r="K321" s="501" t="s">
        <v>5488</v>
      </c>
      <c r="L321" s="501" t="s">
        <v>2079</v>
      </c>
      <c r="M321" s="502">
        <v>44659</v>
      </c>
      <c r="N321" s="502">
        <v>44805</v>
      </c>
      <c r="O321" s="502"/>
      <c r="P321" s="353"/>
      <c r="Q321" s="502"/>
      <c r="R321" s="502"/>
      <c r="S321" s="501" t="s">
        <v>88</v>
      </c>
      <c r="T321" s="501">
        <v>60</v>
      </c>
      <c r="U321" s="501" t="s">
        <v>1109</v>
      </c>
      <c r="V321" s="510" t="s">
        <v>973</v>
      </c>
      <c r="W321" s="501">
        <v>400</v>
      </c>
      <c r="X321" s="354">
        <v>3840</v>
      </c>
      <c r="Y321" s="397">
        <f t="shared" si="72"/>
        <v>1536000</v>
      </c>
      <c r="Z321" s="478">
        <f>222/400</f>
        <v>0.55500000000000005</v>
      </c>
      <c r="AA321" s="479">
        <f t="shared" si="74"/>
        <v>852480.00000000012</v>
      </c>
      <c r="AB321" s="480"/>
      <c r="AC321" s="481">
        <f t="shared" ref="AC321:AC384" si="79">AB321*Y321</f>
        <v>0</v>
      </c>
      <c r="AD321" s="474"/>
      <c r="AE321" s="474"/>
      <c r="AF321" s="493">
        <f t="shared" si="76"/>
        <v>852480.00000000012</v>
      </c>
      <c r="AG321" s="474" t="s">
        <v>1071</v>
      </c>
      <c r="AH321" s="474"/>
      <c r="AI321" s="474">
        <v>60</v>
      </c>
      <c r="AJ321" s="475" t="s">
        <v>2075</v>
      </c>
      <c r="AK321" s="475" t="s">
        <v>50</v>
      </c>
      <c r="AL321" s="483">
        <v>92056</v>
      </c>
      <c r="AM321" s="474" t="s">
        <v>52</v>
      </c>
      <c r="AN321" s="384"/>
      <c r="AO321" s="474" t="s">
        <v>1076</v>
      </c>
      <c r="AP321" s="474"/>
      <c r="AQ321" s="482" t="s">
        <v>37</v>
      </c>
      <c r="AR321" s="474" t="s">
        <v>1216</v>
      </c>
      <c r="AS321" s="473"/>
      <c r="AT321" s="346"/>
      <c r="AU321" s="478">
        <f>212/400</f>
        <v>0.53</v>
      </c>
    </row>
    <row r="322" spans="1:47" s="471" customFormat="1">
      <c r="A322" s="495"/>
      <c r="B322" s="407">
        <v>44676</v>
      </c>
      <c r="C322" s="495"/>
      <c r="D322" s="512" t="s">
        <v>86</v>
      </c>
      <c r="E322" s="352"/>
      <c r="F322" s="501"/>
      <c r="G322" s="371">
        <v>2022</v>
      </c>
      <c r="H322" s="371" t="s">
        <v>4093</v>
      </c>
      <c r="I322" s="501" t="s">
        <v>1676</v>
      </c>
      <c r="J322" s="502"/>
      <c r="K322" s="501" t="s">
        <v>5488</v>
      </c>
      <c r="L322" s="501" t="s">
        <v>2079</v>
      </c>
      <c r="M322" s="502">
        <v>44659</v>
      </c>
      <c r="N322" s="502">
        <v>44805</v>
      </c>
      <c r="O322" s="502"/>
      <c r="P322" s="353"/>
      <c r="Q322" s="502"/>
      <c r="R322" s="502"/>
      <c r="S322" s="501" t="s">
        <v>88</v>
      </c>
      <c r="T322" s="501">
        <v>60</v>
      </c>
      <c r="U322" s="501" t="s">
        <v>1109</v>
      </c>
      <c r="V322" s="510" t="s">
        <v>986</v>
      </c>
      <c r="W322" s="501">
        <v>360</v>
      </c>
      <c r="X322" s="354">
        <v>1536</v>
      </c>
      <c r="Y322" s="397">
        <f t="shared" si="72"/>
        <v>552960</v>
      </c>
      <c r="Z322" s="478">
        <f>192.6/360</f>
        <v>0.53500000000000003</v>
      </c>
      <c r="AA322" s="479">
        <f t="shared" si="74"/>
        <v>295833.60000000003</v>
      </c>
      <c r="AB322" s="480"/>
      <c r="AC322" s="481">
        <f t="shared" si="79"/>
        <v>0</v>
      </c>
      <c r="AD322" s="474"/>
      <c r="AE322" s="474"/>
      <c r="AF322" s="493">
        <f t="shared" si="76"/>
        <v>295833.60000000003</v>
      </c>
      <c r="AG322" s="474" t="s">
        <v>1071</v>
      </c>
      <c r="AH322" s="474"/>
      <c r="AI322" s="474">
        <v>60</v>
      </c>
      <c r="AJ322" s="475" t="s">
        <v>2075</v>
      </c>
      <c r="AK322" s="475" t="s">
        <v>50</v>
      </c>
      <c r="AL322" s="483">
        <v>92056</v>
      </c>
      <c r="AM322" s="474" t="s">
        <v>52</v>
      </c>
      <c r="AN322" s="384"/>
      <c r="AO322" s="474" t="s">
        <v>1076</v>
      </c>
      <c r="AP322" s="474"/>
      <c r="AQ322" s="482" t="s">
        <v>37</v>
      </c>
      <c r="AR322" s="474" t="s">
        <v>1216</v>
      </c>
      <c r="AS322" s="473"/>
      <c r="AT322" s="346"/>
      <c r="AU322" s="478">
        <f>212/400</f>
        <v>0.53</v>
      </c>
    </row>
    <row r="323" spans="1:47" s="471" customFormat="1">
      <c r="A323" s="495"/>
      <c r="B323" s="407"/>
      <c r="C323" s="495"/>
      <c r="D323" s="512" t="s">
        <v>86</v>
      </c>
      <c r="E323" s="352" t="s">
        <v>4230</v>
      </c>
      <c r="F323" s="501"/>
      <c r="G323" s="371">
        <v>2022</v>
      </c>
      <c r="H323" s="371" t="s">
        <v>3004</v>
      </c>
      <c r="I323" s="501" t="s">
        <v>1676</v>
      </c>
      <c r="J323" s="502"/>
      <c r="K323" s="501" t="s">
        <v>5489</v>
      </c>
      <c r="L323" s="501" t="s">
        <v>2011</v>
      </c>
      <c r="M323" s="502">
        <v>44567</v>
      </c>
      <c r="N323" s="502">
        <v>44795</v>
      </c>
      <c r="O323" s="502"/>
      <c r="P323" s="353"/>
      <c r="Q323" s="502"/>
      <c r="R323" s="502"/>
      <c r="S323" s="501" t="s">
        <v>1688</v>
      </c>
      <c r="T323" s="501">
        <v>60</v>
      </c>
      <c r="U323" s="501"/>
      <c r="V323" s="510" t="s">
        <v>973</v>
      </c>
      <c r="W323" s="501">
        <v>400</v>
      </c>
      <c r="X323" s="354">
        <v>1664</v>
      </c>
      <c r="Y323" s="397">
        <f t="shared" si="72"/>
        <v>665600</v>
      </c>
      <c r="Z323" s="478">
        <f t="shared" ref="Z323:Z328" si="80">208/400</f>
        <v>0.52</v>
      </c>
      <c r="AA323" s="479">
        <f t="shared" si="74"/>
        <v>346112</v>
      </c>
      <c r="AB323" s="480"/>
      <c r="AC323" s="481">
        <f t="shared" si="79"/>
        <v>0</v>
      </c>
      <c r="AD323" s="474"/>
      <c r="AE323" s="474"/>
      <c r="AF323" s="493">
        <f t="shared" si="76"/>
        <v>346112</v>
      </c>
      <c r="AG323" s="474" t="s">
        <v>1071</v>
      </c>
      <c r="AH323" s="474"/>
      <c r="AI323" s="474">
        <v>60</v>
      </c>
      <c r="AJ323" s="475" t="s">
        <v>2012</v>
      </c>
      <c r="AK323" s="475" t="s">
        <v>50</v>
      </c>
      <c r="AL323" s="483" t="s">
        <v>2013</v>
      </c>
      <c r="AM323" s="474" t="s">
        <v>52</v>
      </c>
      <c r="AN323" s="384"/>
      <c r="AO323" s="474" t="s">
        <v>1076</v>
      </c>
      <c r="AP323" s="474"/>
      <c r="AQ323" s="482" t="s">
        <v>37</v>
      </c>
      <c r="AR323" s="474"/>
      <c r="AS323" s="473"/>
      <c r="AT323" s="346"/>
      <c r="AU323" s="478">
        <f t="shared" ref="AU323:AU328" si="81">180/360</f>
        <v>0.5</v>
      </c>
    </row>
    <row r="324" spans="1:47" s="471" customFormat="1">
      <c r="A324" s="495"/>
      <c r="B324" s="407"/>
      <c r="C324" s="495"/>
      <c r="D324" s="512" t="s">
        <v>86</v>
      </c>
      <c r="E324" s="352" t="s">
        <v>4230</v>
      </c>
      <c r="F324" s="501"/>
      <c r="G324" s="371">
        <v>2022</v>
      </c>
      <c r="H324" s="371" t="s">
        <v>3004</v>
      </c>
      <c r="I324" s="501" t="s">
        <v>1676</v>
      </c>
      <c r="J324" s="502"/>
      <c r="K324" s="501" t="s">
        <v>5490</v>
      </c>
      <c r="L324" s="501" t="s">
        <v>2011</v>
      </c>
      <c r="M324" s="502">
        <v>44567</v>
      </c>
      <c r="N324" s="502">
        <v>44753</v>
      </c>
      <c r="O324" s="502"/>
      <c r="P324" s="353"/>
      <c r="Q324" s="502"/>
      <c r="R324" s="502"/>
      <c r="S324" s="501" t="s">
        <v>1688</v>
      </c>
      <c r="T324" s="501">
        <v>60</v>
      </c>
      <c r="U324" s="501"/>
      <c r="V324" s="510" t="s">
        <v>973</v>
      </c>
      <c r="W324" s="501">
        <v>400</v>
      </c>
      <c r="X324" s="354">
        <v>1664</v>
      </c>
      <c r="Y324" s="397">
        <f t="shared" si="72"/>
        <v>665600</v>
      </c>
      <c r="Z324" s="478">
        <f t="shared" si="80"/>
        <v>0.52</v>
      </c>
      <c r="AA324" s="479">
        <f t="shared" si="74"/>
        <v>346112</v>
      </c>
      <c r="AB324" s="480"/>
      <c r="AC324" s="481">
        <f t="shared" si="79"/>
        <v>0</v>
      </c>
      <c r="AD324" s="474"/>
      <c r="AE324" s="474"/>
      <c r="AF324" s="493">
        <f t="shared" si="76"/>
        <v>346112</v>
      </c>
      <c r="AG324" s="474" t="s">
        <v>1071</v>
      </c>
      <c r="AH324" s="474"/>
      <c r="AI324" s="474">
        <v>60</v>
      </c>
      <c r="AJ324" s="475" t="s">
        <v>2012</v>
      </c>
      <c r="AK324" s="475" t="s">
        <v>50</v>
      </c>
      <c r="AL324" s="483" t="s">
        <v>2013</v>
      </c>
      <c r="AM324" s="474" t="s">
        <v>52</v>
      </c>
      <c r="AN324" s="384"/>
      <c r="AO324" s="474" t="s">
        <v>1076</v>
      </c>
      <c r="AP324" s="474"/>
      <c r="AQ324" s="482" t="s">
        <v>37</v>
      </c>
      <c r="AR324" s="474"/>
      <c r="AS324" s="473"/>
      <c r="AT324" s="346"/>
      <c r="AU324" s="478">
        <f t="shared" si="81"/>
        <v>0.5</v>
      </c>
    </row>
    <row r="325" spans="1:47" s="471" customFormat="1">
      <c r="A325" s="495"/>
      <c r="B325" s="407"/>
      <c r="C325" s="495"/>
      <c r="D325" s="512" t="s">
        <v>86</v>
      </c>
      <c r="E325" s="352" t="s">
        <v>4230</v>
      </c>
      <c r="F325" s="501"/>
      <c r="G325" s="371">
        <v>2022</v>
      </c>
      <c r="H325" s="371" t="s">
        <v>3004</v>
      </c>
      <c r="I325" s="501" t="s">
        <v>1676</v>
      </c>
      <c r="J325" s="502"/>
      <c r="K325" s="501" t="s">
        <v>5491</v>
      </c>
      <c r="L325" s="501" t="s">
        <v>2011</v>
      </c>
      <c r="M325" s="502">
        <v>44567</v>
      </c>
      <c r="N325" s="502">
        <v>44732</v>
      </c>
      <c r="O325" s="502"/>
      <c r="P325" s="353"/>
      <c r="Q325" s="502"/>
      <c r="R325" s="502"/>
      <c r="S325" s="501" t="s">
        <v>1688</v>
      </c>
      <c r="T325" s="501">
        <v>60</v>
      </c>
      <c r="U325" s="501"/>
      <c r="V325" s="510" t="s">
        <v>973</v>
      </c>
      <c r="W325" s="501">
        <v>400</v>
      </c>
      <c r="X325" s="354">
        <v>1664</v>
      </c>
      <c r="Y325" s="397">
        <f t="shared" si="72"/>
        <v>665600</v>
      </c>
      <c r="Z325" s="478">
        <f t="shared" si="80"/>
        <v>0.52</v>
      </c>
      <c r="AA325" s="479">
        <f t="shared" si="74"/>
        <v>346112</v>
      </c>
      <c r="AB325" s="480"/>
      <c r="AC325" s="481">
        <f t="shared" si="79"/>
        <v>0</v>
      </c>
      <c r="AD325" s="474"/>
      <c r="AE325" s="474"/>
      <c r="AF325" s="493">
        <f t="shared" si="76"/>
        <v>346112</v>
      </c>
      <c r="AG325" s="474" t="s">
        <v>1071</v>
      </c>
      <c r="AH325" s="474"/>
      <c r="AI325" s="474">
        <v>60</v>
      </c>
      <c r="AJ325" s="475" t="s">
        <v>2012</v>
      </c>
      <c r="AK325" s="475" t="s">
        <v>50</v>
      </c>
      <c r="AL325" s="483" t="s">
        <v>2013</v>
      </c>
      <c r="AM325" s="474" t="s">
        <v>52</v>
      </c>
      <c r="AN325" s="384"/>
      <c r="AO325" s="474" t="s">
        <v>1076</v>
      </c>
      <c r="AP325" s="474"/>
      <c r="AQ325" s="482" t="s">
        <v>37</v>
      </c>
      <c r="AR325" s="474"/>
      <c r="AS325" s="473"/>
      <c r="AT325" s="346"/>
      <c r="AU325" s="478">
        <f t="shared" si="81"/>
        <v>0.5</v>
      </c>
    </row>
    <row r="326" spans="1:47" s="471" customFormat="1">
      <c r="A326" s="495"/>
      <c r="B326" s="407"/>
      <c r="C326" s="495"/>
      <c r="D326" s="512" t="s">
        <v>86</v>
      </c>
      <c r="E326" s="352" t="s">
        <v>4230</v>
      </c>
      <c r="F326" s="501"/>
      <c r="G326" s="371">
        <v>2022</v>
      </c>
      <c r="H326" s="371" t="s">
        <v>3004</v>
      </c>
      <c r="I326" s="501" t="s">
        <v>1676</v>
      </c>
      <c r="J326" s="502"/>
      <c r="K326" s="501" t="s">
        <v>5492</v>
      </c>
      <c r="L326" s="501" t="s">
        <v>2011</v>
      </c>
      <c r="M326" s="502">
        <v>44567</v>
      </c>
      <c r="N326" s="502">
        <v>44697</v>
      </c>
      <c r="O326" s="502"/>
      <c r="P326" s="353"/>
      <c r="Q326" s="502"/>
      <c r="R326" s="502"/>
      <c r="S326" s="501" t="s">
        <v>1688</v>
      </c>
      <c r="T326" s="501">
        <v>60</v>
      </c>
      <c r="U326" s="501"/>
      <c r="V326" s="510" t="s">
        <v>973</v>
      </c>
      <c r="W326" s="501">
        <v>400</v>
      </c>
      <c r="X326" s="354">
        <v>832</v>
      </c>
      <c r="Y326" s="397">
        <f t="shared" si="72"/>
        <v>332800</v>
      </c>
      <c r="Z326" s="478">
        <f t="shared" si="80"/>
        <v>0.52</v>
      </c>
      <c r="AA326" s="479">
        <f t="shared" si="74"/>
        <v>173056</v>
      </c>
      <c r="AB326" s="480"/>
      <c r="AC326" s="481">
        <f t="shared" si="79"/>
        <v>0</v>
      </c>
      <c r="AD326" s="474"/>
      <c r="AE326" s="474"/>
      <c r="AF326" s="493">
        <f t="shared" si="76"/>
        <v>173056</v>
      </c>
      <c r="AG326" s="474" t="s">
        <v>1071</v>
      </c>
      <c r="AH326" s="474"/>
      <c r="AI326" s="474">
        <v>60</v>
      </c>
      <c r="AJ326" s="475" t="s">
        <v>2012</v>
      </c>
      <c r="AK326" s="475" t="s">
        <v>50</v>
      </c>
      <c r="AL326" s="483" t="s">
        <v>2013</v>
      </c>
      <c r="AM326" s="474" t="s">
        <v>52</v>
      </c>
      <c r="AN326" s="384"/>
      <c r="AO326" s="474" t="s">
        <v>1076</v>
      </c>
      <c r="AP326" s="474"/>
      <c r="AQ326" s="482" t="s">
        <v>37</v>
      </c>
      <c r="AR326" s="474"/>
      <c r="AS326" s="473"/>
      <c r="AT326" s="346"/>
      <c r="AU326" s="478">
        <f t="shared" si="81"/>
        <v>0.5</v>
      </c>
    </row>
    <row r="327" spans="1:47" s="471" customFormat="1">
      <c r="A327" s="495"/>
      <c r="B327" s="407"/>
      <c r="C327" s="495"/>
      <c r="D327" s="512" t="s">
        <v>86</v>
      </c>
      <c r="E327" s="352" t="s">
        <v>4230</v>
      </c>
      <c r="F327" s="501"/>
      <c r="G327" s="371">
        <v>2022</v>
      </c>
      <c r="H327" s="371" t="s">
        <v>3004</v>
      </c>
      <c r="I327" s="501" t="s">
        <v>1676</v>
      </c>
      <c r="J327" s="502"/>
      <c r="K327" s="501" t="s">
        <v>5493</v>
      </c>
      <c r="L327" s="501" t="s">
        <v>2011</v>
      </c>
      <c r="M327" s="502">
        <v>44567</v>
      </c>
      <c r="N327" s="502">
        <v>44697</v>
      </c>
      <c r="O327" s="502"/>
      <c r="P327" s="353"/>
      <c r="Q327" s="502"/>
      <c r="R327" s="502"/>
      <c r="S327" s="501" t="s">
        <v>1688</v>
      </c>
      <c r="T327" s="501">
        <v>60</v>
      </c>
      <c r="U327" s="501"/>
      <c r="V327" s="510" t="s">
        <v>973</v>
      </c>
      <c r="W327" s="501">
        <v>400</v>
      </c>
      <c r="X327" s="354">
        <v>832</v>
      </c>
      <c r="Y327" s="397">
        <f t="shared" si="72"/>
        <v>332800</v>
      </c>
      <c r="Z327" s="478">
        <f t="shared" si="80"/>
        <v>0.52</v>
      </c>
      <c r="AA327" s="479">
        <f t="shared" si="74"/>
        <v>173056</v>
      </c>
      <c r="AB327" s="480"/>
      <c r="AC327" s="481">
        <f t="shared" si="79"/>
        <v>0</v>
      </c>
      <c r="AD327" s="474"/>
      <c r="AE327" s="474"/>
      <c r="AF327" s="493">
        <f t="shared" si="76"/>
        <v>173056</v>
      </c>
      <c r="AG327" s="474" t="s">
        <v>1071</v>
      </c>
      <c r="AH327" s="474"/>
      <c r="AI327" s="474">
        <v>60</v>
      </c>
      <c r="AJ327" s="475" t="s">
        <v>2012</v>
      </c>
      <c r="AK327" s="475" t="s">
        <v>50</v>
      </c>
      <c r="AL327" s="483" t="s">
        <v>2013</v>
      </c>
      <c r="AM327" s="474" t="s">
        <v>52</v>
      </c>
      <c r="AN327" s="384"/>
      <c r="AO327" s="474" t="s">
        <v>1076</v>
      </c>
      <c r="AP327" s="474"/>
      <c r="AQ327" s="482" t="s">
        <v>37</v>
      </c>
      <c r="AR327" s="474"/>
      <c r="AS327" s="473"/>
      <c r="AT327" s="346"/>
      <c r="AU327" s="478">
        <f t="shared" si="81"/>
        <v>0.5</v>
      </c>
    </row>
    <row r="328" spans="1:47" s="471" customFormat="1">
      <c r="A328" s="495"/>
      <c r="B328" s="407"/>
      <c r="C328" s="495"/>
      <c r="D328" s="512" t="s">
        <v>86</v>
      </c>
      <c r="E328" s="352" t="s">
        <v>4230</v>
      </c>
      <c r="F328" s="501"/>
      <c r="G328" s="371">
        <v>2022</v>
      </c>
      <c r="H328" s="371" t="s">
        <v>3004</v>
      </c>
      <c r="I328" s="501" t="s">
        <v>1676</v>
      </c>
      <c r="J328" s="502"/>
      <c r="K328" s="501" t="s">
        <v>5494</v>
      </c>
      <c r="L328" s="501" t="s">
        <v>2011</v>
      </c>
      <c r="M328" s="502">
        <v>44567</v>
      </c>
      <c r="N328" s="502">
        <v>44641</v>
      </c>
      <c r="O328" s="502"/>
      <c r="P328" s="353"/>
      <c r="Q328" s="502"/>
      <c r="R328" s="502"/>
      <c r="S328" s="501" t="s">
        <v>1688</v>
      </c>
      <c r="T328" s="501">
        <v>60</v>
      </c>
      <c r="U328" s="501"/>
      <c r="V328" s="510" t="s">
        <v>973</v>
      </c>
      <c r="W328" s="501">
        <v>400</v>
      </c>
      <c r="X328" s="354">
        <v>2496</v>
      </c>
      <c r="Y328" s="397">
        <f t="shared" si="72"/>
        <v>998400</v>
      </c>
      <c r="Z328" s="478">
        <f t="shared" si="80"/>
        <v>0.52</v>
      </c>
      <c r="AA328" s="479">
        <f t="shared" si="74"/>
        <v>519168</v>
      </c>
      <c r="AB328" s="480"/>
      <c r="AC328" s="481">
        <f t="shared" si="79"/>
        <v>0</v>
      </c>
      <c r="AD328" s="474"/>
      <c r="AE328" s="474"/>
      <c r="AF328" s="493">
        <f t="shared" si="76"/>
        <v>519168</v>
      </c>
      <c r="AG328" s="474" t="s">
        <v>1071</v>
      </c>
      <c r="AH328" s="474"/>
      <c r="AI328" s="474">
        <v>60</v>
      </c>
      <c r="AJ328" s="475" t="s">
        <v>2012</v>
      </c>
      <c r="AK328" s="475" t="s">
        <v>50</v>
      </c>
      <c r="AL328" s="483" t="s">
        <v>2013</v>
      </c>
      <c r="AM328" s="474" t="s">
        <v>52</v>
      </c>
      <c r="AN328" s="384"/>
      <c r="AO328" s="474" t="s">
        <v>1076</v>
      </c>
      <c r="AP328" s="474"/>
      <c r="AQ328" s="482" t="s">
        <v>37</v>
      </c>
      <c r="AR328" s="474"/>
      <c r="AS328" s="473"/>
      <c r="AT328" s="346"/>
      <c r="AU328" s="478">
        <f t="shared" si="81"/>
        <v>0.5</v>
      </c>
    </row>
    <row r="329" spans="1:47" s="471" customFormat="1">
      <c r="A329" s="495"/>
      <c r="B329" s="407"/>
      <c r="C329" s="495"/>
      <c r="D329" s="512" t="s">
        <v>86</v>
      </c>
      <c r="E329" s="352"/>
      <c r="F329" s="501"/>
      <c r="G329" s="371">
        <v>2022</v>
      </c>
      <c r="H329" s="371" t="s">
        <v>3004</v>
      </c>
      <c r="I329" s="501" t="s">
        <v>1676</v>
      </c>
      <c r="J329" s="502"/>
      <c r="K329" s="501" t="s">
        <v>5631</v>
      </c>
      <c r="L329" s="501" t="s">
        <v>1780</v>
      </c>
      <c r="M329" s="502">
        <v>44678</v>
      </c>
      <c r="N329" s="502">
        <v>44889</v>
      </c>
      <c r="O329" s="502"/>
      <c r="P329" s="353"/>
      <c r="Q329" s="502"/>
      <c r="R329" s="502"/>
      <c r="S329" s="501" t="s">
        <v>1704</v>
      </c>
      <c r="T329" s="501">
        <v>60</v>
      </c>
      <c r="U329" s="501"/>
      <c r="V329" s="510" t="s">
        <v>973</v>
      </c>
      <c r="W329" s="501">
        <v>400</v>
      </c>
      <c r="X329" s="354">
        <v>768</v>
      </c>
      <c r="Y329" s="397">
        <f t="shared" ref="Y329:Y332" si="82">X329*W329</f>
        <v>307200</v>
      </c>
      <c r="Z329" s="478">
        <f>256/400</f>
        <v>0.64</v>
      </c>
      <c r="AA329" s="479">
        <f t="shared" si="74"/>
        <v>196608</v>
      </c>
      <c r="AB329" s="480"/>
      <c r="AC329" s="481"/>
      <c r="AD329" s="474"/>
      <c r="AE329" s="474"/>
      <c r="AF329" s="493">
        <f t="shared" si="76"/>
        <v>196608</v>
      </c>
      <c r="AG329" s="474" t="s">
        <v>1071</v>
      </c>
      <c r="AH329" s="474"/>
      <c r="AI329" s="474">
        <v>60</v>
      </c>
      <c r="AJ329" s="475" t="s">
        <v>1781</v>
      </c>
      <c r="AK329" s="475" t="s">
        <v>1417</v>
      </c>
      <c r="AL329" s="483">
        <v>83642</v>
      </c>
      <c r="AM329" s="474" t="s">
        <v>52</v>
      </c>
      <c r="AN329" s="384" t="s">
        <v>1074</v>
      </c>
      <c r="AO329" s="474" t="s">
        <v>1076</v>
      </c>
      <c r="AP329" s="474"/>
      <c r="AQ329" s="482" t="s">
        <v>37</v>
      </c>
      <c r="AR329" s="474" t="s">
        <v>1288</v>
      </c>
      <c r="AS329" s="473"/>
      <c r="AT329" s="346"/>
      <c r="AU329" s="478">
        <f t="shared" ref="AU329:AU332" si="83">196/400</f>
        <v>0.49</v>
      </c>
    </row>
    <row r="330" spans="1:47" s="471" customFormat="1">
      <c r="A330" s="495"/>
      <c r="B330" s="407"/>
      <c r="C330" s="495"/>
      <c r="D330" s="512" t="s">
        <v>86</v>
      </c>
      <c r="E330" s="352"/>
      <c r="F330" s="501"/>
      <c r="G330" s="371">
        <v>2022</v>
      </c>
      <c r="H330" s="371" t="s">
        <v>3004</v>
      </c>
      <c r="I330" s="501" t="s">
        <v>1676</v>
      </c>
      <c r="J330" s="502"/>
      <c r="K330" s="501" t="s">
        <v>5632</v>
      </c>
      <c r="L330" s="501" t="s">
        <v>1780</v>
      </c>
      <c r="M330" s="502">
        <v>44678</v>
      </c>
      <c r="N330" s="502">
        <v>44900</v>
      </c>
      <c r="O330" s="502"/>
      <c r="P330" s="353"/>
      <c r="Q330" s="502"/>
      <c r="R330" s="502"/>
      <c r="S330" s="501" t="s">
        <v>1704</v>
      </c>
      <c r="T330" s="501">
        <v>60</v>
      </c>
      <c r="U330" s="501"/>
      <c r="V330" s="510" t="s">
        <v>973</v>
      </c>
      <c r="W330" s="501">
        <v>400</v>
      </c>
      <c r="X330" s="354">
        <v>768</v>
      </c>
      <c r="Y330" s="397">
        <f t="shared" si="82"/>
        <v>307200</v>
      </c>
      <c r="Z330" s="478">
        <f>256/400</f>
        <v>0.64</v>
      </c>
      <c r="AA330" s="479">
        <f t="shared" si="74"/>
        <v>196608</v>
      </c>
      <c r="AB330" s="480"/>
      <c r="AC330" s="481"/>
      <c r="AD330" s="474"/>
      <c r="AE330" s="474"/>
      <c r="AF330" s="493">
        <f t="shared" si="76"/>
        <v>196608</v>
      </c>
      <c r="AG330" s="474" t="s">
        <v>1071</v>
      </c>
      <c r="AH330" s="474"/>
      <c r="AI330" s="474">
        <v>60</v>
      </c>
      <c r="AJ330" s="475" t="s">
        <v>1781</v>
      </c>
      <c r="AK330" s="475" t="s">
        <v>1417</v>
      </c>
      <c r="AL330" s="483">
        <v>83642</v>
      </c>
      <c r="AM330" s="474" t="s">
        <v>52</v>
      </c>
      <c r="AN330" s="384" t="s">
        <v>1074</v>
      </c>
      <c r="AO330" s="474" t="s">
        <v>1076</v>
      </c>
      <c r="AP330" s="474"/>
      <c r="AQ330" s="482" t="s">
        <v>37</v>
      </c>
      <c r="AR330" s="474" t="s">
        <v>1288</v>
      </c>
      <c r="AS330" s="473"/>
      <c r="AT330" s="346"/>
      <c r="AU330" s="478">
        <f t="shared" si="83"/>
        <v>0.49</v>
      </c>
    </row>
    <row r="331" spans="1:47" s="471" customFormat="1">
      <c r="A331" s="495"/>
      <c r="B331" s="407"/>
      <c r="C331" s="495"/>
      <c r="D331" s="512" t="s">
        <v>86</v>
      </c>
      <c r="E331" s="352"/>
      <c r="F331" s="501"/>
      <c r="G331" s="371">
        <v>2022</v>
      </c>
      <c r="H331" s="371" t="s">
        <v>3004</v>
      </c>
      <c r="I331" s="501" t="s">
        <v>1676</v>
      </c>
      <c r="J331" s="502"/>
      <c r="K331" s="501" t="s">
        <v>5633</v>
      </c>
      <c r="L331" s="501" t="s">
        <v>1780</v>
      </c>
      <c r="M331" s="502">
        <v>44678</v>
      </c>
      <c r="N331" s="502">
        <v>44909</v>
      </c>
      <c r="O331" s="502"/>
      <c r="P331" s="353"/>
      <c r="Q331" s="502"/>
      <c r="R331" s="502"/>
      <c r="S331" s="501" t="s">
        <v>1704</v>
      </c>
      <c r="T331" s="501">
        <v>60</v>
      </c>
      <c r="U331" s="501"/>
      <c r="V331" s="510" t="s">
        <v>973</v>
      </c>
      <c r="W331" s="501">
        <v>400</v>
      </c>
      <c r="X331" s="354">
        <v>768</v>
      </c>
      <c r="Y331" s="397">
        <f t="shared" si="82"/>
        <v>307200</v>
      </c>
      <c r="Z331" s="478">
        <f>256/400</f>
        <v>0.64</v>
      </c>
      <c r="AA331" s="479">
        <f t="shared" si="74"/>
        <v>196608</v>
      </c>
      <c r="AB331" s="480"/>
      <c r="AC331" s="481"/>
      <c r="AD331" s="474"/>
      <c r="AE331" s="474"/>
      <c r="AF331" s="493">
        <f t="shared" si="76"/>
        <v>196608</v>
      </c>
      <c r="AG331" s="474" t="s">
        <v>1071</v>
      </c>
      <c r="AH331" s="474"/>
      <c r="AI331" s="474">
        <v>60</v>
      </c>
      <c r="AJ331" s="475" t="s">
        <v>1781</v>
      </c>
      <c r="AK331" s="475" t="s">
        <v>1417</v>
      </c>
      <c r="AL331" s="483">
        <v>83642</v>
      </c>
      <c r="AM331" s="474" t="s">
        <v>52</v>
      </c>
      <c r="AN331" s="384" t="s">
        <v>1074</v>
      </c>
      <c r="AO331" s="474" t="s">
        <v>1076</v>
      </c>
      <c r="AP331" s="474"/>
      <c r="AQ331" s="482" t="s">
        <v>37</v>
      </c>
      <c r="AR331" s="474" t="s">
        <v>1288</v>
      </c>
      <c r="AS331" s="473"/>
      <c r="AT331" s="346"/>
      <c r="AU331" s="478">
        <f t="shared" si="83"/>
        <v>0.49</v>
      </c>
    </row>
    <row r="332" spans="1:47" s="471" customFormat="1">
      <c r="A332" s="495"/>
      <c r="B332" s="407"/>
      <c r="C332" s="495"/>
      <c r="D332" s="512" t="s">
        <v>86</v>
      </c>
      <c r="E332" s="352"/>
      <c r="F332" s="501"/>
      <c r="G332" s="371">
        <v>2022</v>
      </c>
      <c r="H332" s="371" t="s">
        <v>3004</v>
      </c>
      <c r="I332" s="501" t="s">
        <v>1676</v>
      </c>
      <c r="J332" s="502"/>
      <c r="K332" s="501" t="s">
        <v>5634</v>
      </c>
      <c r="L332" s="501" t="s">
        <v>1780</v>
      </c>
      <c r="M332" s="502">
        <v>44678</v>
      </c>
      <c r="N332" s="502">
        <v>44918</v>
      </c>
      <c r="O332" s="502"/>
      <c r="P332" s="353"/>
      <c r="Q332" s="502"/>
      <c r="R332" s="502"/>
      <c r="S332" s="501" t="s">
        <v>1704</v>
      </c>
      <c r="T332" s="501">
        <v>60</v>
      </c>
      <c r="U332" s="501"/>
      <c r="V332" s="510" t="s">
        <v>973</v>
      </c>
      <c r="W332" s="501">
        <v>400</v>
      </c>
      <c r="X332" s="354">
        <v>768</v>
      </c>
      <c r="Y332" s="397">
        <f t="shared" si="82"/>
        <v>307200</v>
      </c>
      <c r="Z332" s="478">
        <f>256/400</f>
        <v>0.64</v>
      </c>
      <c r="AA332" s="479">
        <f t="shared" si="74"/>
        <v>196608</v>
      </c>
      <c r="AB332" s="480"/>
      <c r="AC332" s="481"/>
      <c r="AD332" s="474"/>
      <c r="AE332" s="474"/>
      <c r="AF332" s="493">
        <f t="shared" si="76"/>
        <v>196608</v>
      </c>
      <c r="AG332" s="474" t="s">
        <v>1071</v>
      </c>
      <c r="AH332" s="474"/>
      <c r="AI332" s="474">
        <v>60</v>
      </c>
      <c r="AJ332" s="475" t="s">
        <v>1781</v>
      </c>
      <c r="AK332" s="475" t="s">
        <v>1417</v>
      </c>
      <c r="AL332" s="483">
        <v>83642</v>
      </c>
      <c r="AM332" s="474" t="s">
        <v>52</v>
      </c>
      <c r="AN332" s="384" t="s">
        <v>1074</v>
      </c>
      <c r="AO332" s="474" t="s">
        <v>1076</v>
      </c>
      <c r="AP332" s="474"/>
      <c r="AQ332" s="482" t="s">
        <v>37</v>
      </c>
      <c r="AR332" s="474" t="s">
        <v>1288</v>
      </c>
      <c r="AS332" s="473"/>
      <c r="AT332" s="346"/>
      <c r="AU332" s="478">
        <f t="shared" si="83"/>
        <v>0.49</v>
      </c>
    </row>
    <row r="333" spans="1:47" s="471" customFormat="1">
      <c r="A333" s="495"/>
      <c r="B333" s="407"/>
      <c r="C333" s="495"/>
      <c r="D333" s="512" t="s">
        <v>86</v>
      </c>
      <c r="E333" s="352" t="s">
        <v>4106</v>
      </c>
      <c r="F333" s="501"/>
      <c r="G333" s="371">
        <v>2022</v>
      </c>
      <c r="H333" s="371" t="s">
        <v>3004</v>
      </c>
      <c r="I333" s="501" t="s">
        <v>1676</v>
      </c>
      <c r="J333" s="502"/>
      <c r="K333" s="501" t="s">
        <v>5635</v>
      </c>
      <c r="L333" s="501" t="s">
        <v>1703</v>
      </c>
      <c r="M333" s="502">
        <v>44678</v>
      </c>
      <c r="N333" s="502">
        <v>44713</v>
      </c>
      <c r="O333" s="502"/>
      <c r="P333" s="353"/>
      <c r="Q333" s="502"/>
      <c r="R333" s="502"/>
      <c r="S333" s="501" t="s">
        <v>1704</v>
      </c>
      <c r="T333" s="501">
        <v>60</v>
      </c>
      <c r="U333" s="501"/>
      <c r="V333" s="510" t="s">
        <v>973</v>
      </c>
      <c r="W333" s="501">
        <v>400</v>
      </c>
      <c r="X333" s="354">
        <v>768</v>
      </c>
      <c r="Y333" s="397">
        <f t="shared" ref="Y333:Y340" si="84">W333*X333</f>
        <v>307200</v>
      </c>
      <c r="Z333" s="478">
        <f>252/400</f>
        <v>0.63</v>
      </c>
      <c r="AA333" s="479">
        <f t="shared" si="74"/>
        <v>193536</v>
      </c>
      <c r="AB333" s="480"/>
      <c r="AC333" s="481">
        <f t="shared" ref="AC333:AC340" si="85">AB333*Y333</f>
        <v>0</v>
      </c>
      <c r="AD333" s="474"/>
      <c r="AE333" s="474"/>
      <c r="AF333" s="493">
        <f t="shared" si="76"/>
        <v>193536</v>
      </c>
      <c r="AG333" s="474" t="s">
        <v>1071</v>
      </c>
      <c r="AH333" s="474"/>
      <c r="AI333" s="474">
        <v>60</v>
      </c>
      <c r="AJ333" s="475" t="s">
        <v>1705</v>
      </c>
      <c r="AK333" s="475" t="s">
        <v>1706</v>
      </c>
      <c r="AL333" s="483" t="s">
        <v>1707</v>
      </c>
      <c r="AM333" s="474" t="s">
        <v>52</v>
      </c>
      <c r="AN333" s="384"/>
      <c r="AO333" s="474" t="s">
        <v>1076</v>
      </c>
      <c r="AP333" s="474"/>
      <c r="AQ333" s="482" t="s">
        <v>37</v>
      </c>
      <c r="AR333" s="474"/>
      <c r="AS333" s="473"/>
      <c r="AT333" s="346"/>
      <c r="AU333" s="478"/>
    </row>
    <row r="334" spans="1:47" s="471" customFormat="1">
      <c r="A334" s="495"/>
      <c r="B334" s="407">
        <v>44678</v>
      </c>
      <c r="C334" s="495"/>
      <c r="D334" s="512" t="s">
        <v>86</v>
      </c>
      <c r="E334" s="352"/>
      <c r="F334" s="501"/>
      <c r="G334" s="371">
        <v>2022</v>
      </c>
      <c r="H334" s="371" t="s">
        <v>4093</v>
      </c>
      <c r="I334" s="501" t="s">
        <v>1676</v>
      </c>
      <c r="J334" s="502"/>
      <c r="K334" s="501" t="s">
        <v>5636</v>
      </c>
      <c r="L334" s="501" t="s">
        <v>4191</v>
      </c>
      <c r="M334" s="502">
        <v>44677</v>
      </c>
      <c r="N334" s="502">
        <v>44713</v>
      </c>
      <c r="O334" s="502"/>
      <c r="P334" s="353"/>
      <c r="Q334" s="502"/>
      <c r="R334" s="502"/>
      <c r="S334" s="501" t="s">
        <v>1704</v>
      </c>
      <c r="T334" s="501">
        <v>60</v>
      </c>
      <c r="U334" s="501" t="s">
        <v>1109</v>
      </c>
      <c r="V334" s="510" t="s">
        <v>973</v>
      </c>
      <c r="W334" s="501">
        <v>400</v>
      </c>
      <c r="X334" s="354">
        <v>768</v>
      </c>
      <c r="Y334" s="397">
        <f t="shared" si="84"/>
        <v>307200</v>
      </c>
      <c r="Z334" s="478">
        <f t="shared" ref="Z334:Z340" si="86">256/400</f>
        <v>0.64</v>
      </c>
      <c r="AA334" s="479">
        <f t="shared" si="74"/>
        <v>196608</v>
      </c>
      <c r="AB334" s="480"/>
      <c r="AC334" s="481">
        <f t="shared" si="85"/>
        <v>0</v>
      </c>
      <c r="AD334" s="474"/>
      <c r="AE334" s="474"/>
      <c r="AF334" s="493">
        <f t="shared" si="76"/>
        <v>196608</v>
      </c>
      <c r="AG334" s="474" t="s">
        <v>1071</v>
      </c>
      <c r="AH334" s="474"/>
      <c r="AI334" s="474">
        <v>60</v>
      </c>
      <c r="AJ334" s="475" t="s">
        <v>4192</v>
      </c>
      <c r="AK334" s="475" t="s">
        <v>1706</v>
      </c>
      <c r="AL334" s="483">
        <v>99217</v>
      </c>
      <c r="AM334" s="474" t="s">
        <v>52</v>
      </c>
      <c r="AN334" s="384"/>
      <c r="AO334" s="474" t="s">
        <v>1076</v>
      </c>
      <c r="AP334" s="474"/>
      <c r="AQ334" s="482" t="s">
        <v>37</v>
      </c>
      <c r="AR334" s="474" t="s">
        <v>1216</v>
      </c>
      <c r="AS334" s="473"/>
      <c r="AT334" s="346"/>
      <c r="AU334" s="478">
        <f t="shared" ref="AU334:AU340" si="87">212/400</f>
        <v>0.53</v>
      </c>
    </row>
    <row r="335" spans="1:47" s="471" customFormat="1">
      <c r="A335" s="495"/>
      <c r="B335" s="407">
        <v>44678</v>
      </c>
      <c r="C335" s="495"/>
      <c r="D335" s="512" t="s">
        <v>86</v>
      </c>
      <c r="E335" s="352"/>
      <c r="F335" s="501"/>
      <c r="G335" s="371">
        <v>2022</v>
      </c>
      <c r="H335" s="371" t="s">
        <v>4093</v>
      </c>
      <c r="I335" s="501" t="s">
        <v>1676</v>
      </c>
      <c r="J335" s="502"/>
      <c r="K335" s="501" t="s">
        <v>5637</v>
      </c>
      <c r="L335" s="501" t="s">
        <v>4191</v>
      </c>
      <c r="M335" s="502">
        <v>44677</v>
      </c>
      <c r="N335" s="502">
        <v>44743</v>
      </c>
      <c r="O335" s="502"/>
      <c r="P335" s="353"/>
      <c r="Q335" s="502"/>
      <c r="R335" s="502"/>
      <c r="S335" s="501" t="s">
        <v>1704</v>
      </c>
      <c r="T335" s="501">
        <v>60</v>
      </c>
      <c r="U335" s="501" t="s">
        <v>1109</v>
      </c>
      <c r="V335" s="510" t="s">
        <v>973</v>
      </c>
      <c r="W335" s="501">
        <v>400</v>
      </c>
      <c r="X335" s="354">
        <v>768</v>
      </c>
      <c r="Y335" s="397">
        <f t="shared" si="84"/>
        <v>307200</v>
      </c>
      <c r="Z335" s="478">
        <f t="shared" si="86"/>
        <v>0.64</v>
      </c>
      <c r="AA335" s="479">
        <f t="shared" si="74"/>
        <v>196608</v>
      </c>
      <c r="AB335" s="480"/>
      <c r="AC335" s="481">
        <f t="shared" si="85"/>
        <v>0</v>
      </c>
      <c r="AD335" s="474"/>
      <c r="AE335" s="474"/>
      <c r="AF335" s="493">
        <f t="shared" si="76"/>
        <v>196608</v>
      </c>
      <c r="AG335" s="474" t="s">
        <v>1071</v>
      </c>
      <c r="AH335" s="474"/>
      <c r="AI335" s="474">
        <v>60</v>
      </c>
      <c r="AJ335" s="475" t="s">
        <v>4192</v>
      </c>
      <c r="AK335" s="475" t="s">
        <v>1706</v>
      </c>
      <c r="AL335" s="483">
        <v>99217</v>
      </c>
      <c r="AM335" s="474" t="s">
        <v>52</v>
      </c>
      <c r="AN335" s="384"/>
      <c r="AO335" s="474" t="s">
        <v>1076</v>
      </c>
      <c r="AP335" s="474"/>
      <c r="AQ335" s="482" t="s">
        <v>37</v>
      </c>
      <c r="AR335" s="474" t="s">
        <v>1216</v>
      </c>
      <c r="AS335" s="473"/>
      <c r="AT335" s="346"/>
      <c r="AU335" s="478">
        <f t="shared" si="87"/>
        <v>0.53</v>
      </c>
    </row>
    <row r="336" spans="1:47" s="471" customFormat="1">
      <c r="A336" s="495"/>
      <c r="B336" s="407">
        <v>44678</v>
      </c>
      <c r="C336" s="495"/>
      <c r="D336" s="512" t="s">
        <v>86</v>
      </c>
      <c r="E336" s="352"/>
      <c r="F336" s="501"/>
      <c r="G336" s="371">
        <v>2022</v>
      </c>
      <c r="H336" s="371" t="s">
        <v>4093</v>
      </c>
      <c r="I336" s="501" t="s">
        <v>1676</v>
      </c>
      <c r="J336" s="502"/>
      <c r="K336" s="501" t="s">
        <v>5638</v>
      </c>
      <c r="L336" s="501" t="s">
        <v>4191</v>
      </c>
      <c r="M336" s="502">
        <v>44677</v>
      </c>
      <c r="N336" s="502">
        <v>44774</v>
      </c>
      <c r="O336" s="502"/>
      <c r="P336" s="353"/>
      <c r="Q336" s="502"/>
      <c r="R336" s="502"/>
      <c r="S336" s="501" t="s">
        <v>1704</v>
      </c>
      <c r="T336" s="501">
        <v>60</v>
      </c>
      <c r="U336" s="501" t="s">
        <v>1109</v>
      </c>
      <c r="V336" s="510" t="s">
        <v>973</v>
      </c>
      <c r="W336" s="501">
        <v>400</v>
      </c>
      <c r="X336" s="354">
        <v>768</v>
      </c>
      <c r="Y336" s="397">
        <f t="shared" si="84"/>
        <v>307200</v>
      </c>
      <c r="Z336" s="478">
        <f t="shared" si="86"/>
        <v>0.64</v>
      </c>
      <c r="AA336" s="479">
        <f t="shared" si="74"/>
        <v>196608</v>
      </c>
      <c r="AB336" s="480"/>
      <c r="AC336" s="481">
        <f t="shared" si="85"/>
        <v>0</v>
      </c>
      <c r="AD336" s="474"/>
      <c r="AE336" s="474"/>
      <c r="AF336" s="493">
        <f t="shared" si="76"/>
        <v>196608</v>
      </c>
      <c r="AG336" s="474" t="s">
        <v>1071</v>
      </c>
      <c r="AH336" s="474"/>
      <c r="AI336" s="474">
        <v>60</v>
      </c>
      <c r="AJ336" s="475" t="s">
        <v>4192</v>
      </c>
      <c r="AK336" s="475" t="s">
        <v>1706</v>
      </c>
      <c r="AL336" s="483">
        <v>99217</v>
      </c>
      <c r="AM336" s="474" t="s">
        <v>52</v>
      </c>
      <c r="AN336" s="384"/>
      <c r="AO336" s="474" t="s">
        <v>1076</v>
      </c>
      <c r="AP336" s="474"/>
      <c r="AQ336" s="482" t="s">
        <v>37</v>
      </c>
      <c r="AR336" s="474" t="s">
        <v>1216</v>
      </c>
      <c r="AS336" s="473"/>
      <c r="AT336" s="346"/>
      <c r="AU336" s="478">
        <f t="shared" si="87"/>
        <v>0.53</v>
      </c>
    </row>
    <row r="337" spans="1:48" s="471" customFormat="1">
      <c r="A337" s="495"/>
      <c r="B337" s="407">
        <v>44678</v>
      </c>
      <c r="C337" s="495"/>
      <c r="D337" s="512" t="s">
        <v>86</v>
      </c>
      <c r="E337" s="352"/>
      <c r="F337" s="501"/>
      <c r="G337" s="371">
        <v>2022</v>
      </c>
      <c r="H337" s="371" t="s">
        <v>4093</v>
      </c>
      <c r="I337" s="501" t="s">
        <v>1676</v>
      </c>
      <c r="J337" s="502"/>
      <c r="K337" s="501" t="s">
        <v>5639</v>
      </c>
      <c r="L337" s="501" t="s">
        <v>4191</v>
      </c>
      <c r="M337" s="502">
        <v>44677</v>
      </c>
      <c r="N337" s="502">
        <v>44805</v>
      </c>
      <c r="O337" s="502"/>
      <c r="P337" s="353"/>
      <c r="Q337" s="502"/>
      <c r="R337" s="502"/>
      <c r="S337" s="501" t="s">
        <v>1704</v>
      </c>
      <c r="T337" s="501">
        <v>60</v>
      </c>
      <c r="U337" s="501" t="s">
        <v>1109</v>
      </c>
      <c r="V337" s="510" t="s">
        <v>973</v>
      </c>
      <c r="W337" s="501">
        <v>400</v>
      </c>
      <c r="X337" s="354">
        <v>768</v>
      </c>
      <c r="Y337" s="397">
        <f t="shared" si="84"/>
        <v>307200</v>
      </c>
      <c r="Z337" s="478">
        <f t="shared" si="86"/>
        <v>0.64</v>
      </c>
      <c r="AA337" s="479">
        <f t="shared" si="74"/>
        <v>196608</v>
      </c>
      <c r="AB337" s="480"/>
      <c r="AC337" s="481">
        <f t="shared" si="85"/>
        <v>0</v>
      </c>
      <c r="AD337" s="474"/>
      <c r="AE337" s="474"/>
      <c r="AF337" s="493">
        <f t="shared" si="76"/>
        <v>196608</v>
      </c>
      <c r="AG337" s="474" t="s">
        <v>1071</v>
      </c>
      <c r="AH337" s="474"/>
      <c r="AI337" s="474">
        <v>60</v>
      </c>
      <c r="AJ337" s="475" t="s">
        <v>4192</v>
      </c>
      <c r="AK337" s="475" t="s">
        <v>1706</v>
      </c>
      <c r="AL337" s="483">
        <v>99217</v>
      </c>
      <c r="AM337" s="474" t="s">
        <v>52</v>
      </c>
      <c r="AN337" s="384"/>
      <c r="AO337" s="474" t="s">
        <v>1076</v>
      </c>
      <c r="AP337" s="474"/>
      <c r="AQ337" s="482" t="s">
        <v>37</v>
      </c>
      <c r="AR337" s="474" t="s">
        <v>1216</v>
      </c>
      <c r="AS337" s="473"/>
      <c r="AT337" s="346"/>
      <c r="AU337" s="478">
        <f t="shared" si="87"/>
        <v>0.53</v>
      </c>
    </row>
    <row r="338" spans="1:48" s="471" customFormat="1">
      <c r="A338" s="495"/>
      <c r="B338" s="407">
        <v>44678</v>
      </c>
      <c r="C338" s="495"/>
      <c r="D338" s="512" t="s">
        <v>86</v>
      </c>
      <c r="E338" s="352"/>
      <c r="F338" s="501"/>
      <c r="G338" s="371">
        <v>2022</v>
      </c>
      <c r="H338" s="371" t="s">
        <v>4093</v>
      </c>
      <c r="I338" s="501" t="s">
        <v>1676</v>
      </c>
      <c r="J338" s="502"/>
      <c r="K338" s="501" t="s">
        <v>5640</v>
      </c>
      <c r="L338" s="501" t="s">
        <v>4191</v>
      </c>
      <c r="M338" s="502">
        <v>44677</v>
      </c>
      <c r="N338" s="502">
        <v>44835</v>
      </c>
      <c r="O338" s="502"/>
      <c r="P338" s="353"/>
      <c r="Q338" s="502"/>
      <c r="R338" s="502"/>
      <c r="S338" s="501" t="s">
        <v>1704</v>
      </c>
      <c r="T338" s="501">
        <v>60</v>
      </c>
      <c r="U338" s="501" t="s">
        <v>1109</v>
      </c>
      <c r="V338" s="510" t="s">
        <v>973</v>
      </c>
      <c r="W338" s="501">
        <v>400</v>
      </c>
      <c r="X338" s="354">
        <v>768</v>
      </c>
      <c r="Y338" s="397">
        <f t="shared" si="84"/>
        <v>307200</v>
      </c>
      <c r="Z338" s="478">
        <f t="shared" si="86"/>
        <v>0.64</v>
      </c>
      <c r="AA338" s="479">
        <f t="shared" si="74"/>
        <v>196608</v>
      </c>
      <c r="AB338" s="480"/>
      <c r="AC338" s="481">
        <f t="shared" si="85"/>
        <v>0</v>
      </c>
      <c r="AD338" s="474"/>
      <c r="AE338" s="474"/>
      <c r="AF338" s="493">
        <f t="shared" si="76"/>
        <v>196608</v>
      </c>
      <c r="AG338" s="474" t="s">
        <v>1071</v>
      </c>
      <c r="AH338" s="474"/>
      <c r="AI338" s="474">
        <v>60</v>
      </c>
      <c r="AJ338" s="475" t="s">
        <v>4192</v>
      </c>
      <c r="AK338" s="475" t="s">
        <v>1706</v>
      </c>
      <c r="AL338" s="483">
        <v>99217</v>
      </c>
      <c r="AM338" s="474" t="s">
        <v>52</v>
      </c>
      <c r="AN338" s="384"/>
      <c r="AO338" s="474" t="s">
        <v>1076</v>
      </c>
      <c r="AP338" s="474"/>
      <c r="AQ338" s="482" t="s">
        <v>37</v>
      </c>
      <c r="AR338" s="474" t="s">
        <v>1216</v>
      </c>
      <c r="AS338" s="473"/>
      <c r="AT338" s="346"/>
      <c r="AU338" s="478">
        <f t="shared" si="87"/>
        <v>0.53</v>
      </c>
    </row>
    <row r="339" spans="1:48" s="471" customFormat="1">
      <c r="A339" s="495"/>
      <c r="B339" s="407">
        <v>44678</v>
      </c>
      <c r="C339" s="495"/>
      <c r="D339" s="512" t="s">
        <v>86</v>
      </c>
      <c r="E339" s="352"/>
      <c r="F339" s="501"/>
      <c r="G339" s="371">
        <v>2022</v>
      </c>
      <c r="H339" s="371" t="s">
        <v>4093</v>
      </c>
      <c r="I339" s="501" t="s">
        <v>1676</v>
      </c>
      <c r="J339" s="502"/>
      <c r="K339" s="501" t="s">
        <v>5641</v>
      </c>
      <c r="L339" s="501" t="s">
        <v>4191</v>
      </c>
      <c r="M339" s="502">
        <v>44677</v>
      </c>
      <c r="N339" s="502">
        <v>44866</v>
      </c>
      <c r="O339" s="502"/>
      <c r="P339" s="353"/>
      <c r="Q339" s="502"/>
      <c r="R339" s="502"/>
      <c r="S339" s="501" t="s">
        <v>1704</v>
      </c>
      <c r="T339" s="501">
        <v>60</v>
      </c>
      <c r="U339" s="501" t="s">
        <v>1109</v>
      </c>
      <c r="V339" s="510" t="s">
        <v>973</v>
      </c>
      <c r="W339" s="501">
        <v>400</v>
      </c>
      <c r="X339" s="354">
        <v>768</v>
      </c>
      <c r="Y339" s="397">
        <f t="shared" si="84"/>
        <v>307200</v>
      </c>
      <c r="Z339" s="478">
        <f t="shared" si="86"/>
        <v>0.64</v>
      </c>
      <c r="AA339" s="479">
        <f t="shared" si="74"/>
        <v>196608</v>
      </c>
      <c r="AB339" s="480"/>
      <c r="AC339" s="481">
        <f t="shared" si="85"/>
        <v>0</v>
      </c>
      <c r="AD339" s="474"/>
      <c r="AE339" s="474"/>
      <c r="AF339" s="493">
        <f t="shared" si="76"/>
        <v>196608</v>
      </c>
      <c r="AG339" s="474" t="s">
        <v>1071</v>
      </c>
      <c r="AH339" s="474"/>
      <c r="AI339" s="474">
        <v>60</v>
      </c>
      <c r="AJ339" s="475" t="s">
        <v>4192</v>
      </c>
      <c r="AK339" s="475" t="s">
        <v>1706</v>
      </c>
      <c r="AL339" s="483">
        <v>99217</v>
      </c>
      <c r="AM339" s="474" t="s">
        <v>52</v>
      </c>
      <c r="AN339" s="384"/>
      <c r="AO339" s="474" t="s">
        <v>1076</v>
      </c>
      <c r="AP339" s="474"/>
      <c r="AQ339" s="482" t="s">
        <v>37</v>
      </c>
      <c r="AR339" s="474" t="s">
        <v>1216</v>
      </c>
      <c r="AS339" s="473"/>
      <c r="AT339" s="346"/>
      <c r="AU339" s="478">
        <f t="shared" si="87"/>
        <v>0.53</v>
      </c>
    </row>
    <row r="340" spans="1:48" s="471" customFormat="1">
      <c r="A340" s="495"/>
      <c r="B340" s="407">
        <v>44678</v>
      </c>
      <c r="C340" s="495"/>
      <c r="D340" s="512" t="s">
        <v>86</v>
      </c>
      <c r="E340" s="352"/>
      <c r="F340" s="501"/>
      <c r="G340" s="371">
        <v>2022</v>
      </c>
      <c r="H340" s="371" t="s">
        <v>4093</v>
      </c>
      <c r="I340" s="501" t="s">
        <v>1676</v>
      </c>
      <c r="J340" s="502"/>
      <c r="K340" s="501" t="s">
        <v>5642</v>
      </c>
      <c r="L340" s="501" t="s">
        <v>4191</v>
      </c>
      <c r="M340" s="502">
        <v>44677</v>
      </c>
      <c r="N340" s="502">
        <v>44896</v>
      </c>
      <c r="O340" s="502"/>
      <c r="P340" s="353"/>
      <c r="Q340" s="502"/>
      <c r="R340" s="502"/>
      <c r="S340" s="501" t="s">
        <v>1704</v>
      </c>
      <c r="T340" s="501">
        <v>60</v>
      </c>
      <c r="U340" s="501" t="s">
        <v>1109</v>
      </c>
      <c r="V340" s="510" t="s">
        <v>973</v>
      </c>
      <c r="W340" s="501">
        <v>400</v>
      </c>
      <c r="X340" s="354">
        <v>768</v>
      </c>
      <c r="Y340" s="397">
        <f t="shared" si="84"/>
        <v>307200</v>
      </c>
      <c r="Z340" s="478">
        <f t="shared" si="86"/>
        <v>0.64</v>
      </c>
      <c r="AA340" s="479">
        <f t="shared" si="74"/>
        <v>196608</v>
      </c>
      <c r="AB340" s="480"/>
      <c r="AC340" s="481">
        <f t="shared" si="85"/>
        <v>0</v>
      </c>
      <c r="AD340" s="474"/>
      <c r="AE340" s="474"/>
      <c r="AF340" s="493">
        <f t="shared" si="76"/>
        <v>196608</v>
      </c>
      <c r="AG340" s="474" t="s">
        <v>1071</v>
      </c>
      <c r="AH340" s="474"/>
      <c r="AI340" s="474">
        <v>60</v>
      </c>
      <c r="AJ340" s="475" t="s">
        <v>4192</v>
      </c>
      <c r="AK340" s="475" t="s">
        <v>1706</v>
      </c>
      <c r="AL340" s="483">
        <v>99217</v>
      </c>
      <c r="AM340" s="474" t="s">
        <v>52</v>
      </c>
      <c r="AN340" s="384"/>
      <c r="AO340" s="474" t="s">
        <v>1076</v>
      </c>
      <c r="AP340" s="474"/>
      <c r="AQ340" s="482" t="s">
        <v>37</v>
      </c>
      <c r="AR340" s="474" t="s">
        <v>1216</v>
      </c>
      <c r="AS340" s="473"/>
      <c r="AT340" s="346"/>
      <c r="AU340" s="478">
        <f t="shared" si="87"/>
        <v>0.53</v>
      </c>
    </row>
    <row r="341" spans="1:48" s="471" customFormat="1">
      <c r="A341" s="495"/>
      <c r="B341" s="407"/>
      <c r="C341" s="495"/>
      <c r="D341" s="512" t="s">
        <v>86</v>
      </c>
      <c r="E341" s="352"/>
      <c r="F341" s="501"/>
      <c r="G341" s="371">
        <v>2022</v>
      </c>
      <c r="H341" s="371" t="s">
        <v>4093</v>
      </c>
      <c r="I341" s="501" t="s">
        <v>1676</v>
      </c>
      <c r="J341" s="502"/>
      <c r="K341" s="501" t="s">
        <v>5475</v>
      </c>
      <c r="L341" s="501" t="s">
        <v>2079</v>
      </c>
      <c r="M341" s="502">
        <v>44662</v>
      </c>
      <c r="N341" s="502">
        <v>44743</v>
      </c>
      <c r="O341" s="502"/>
      <c r="P341" s="353"/>
      <c r="Q341" s="502"/>
      <c r="R341" s="502"/>
      <c r="S341" s="501" t="s">
        <v>88</v>
      </c>
      <c r="T341" s="501">
        <v>60</v>
      </c>
      <c r="U341" s="501" t="s">
        <v>1109</v>
      </c>
      <c r="V341" s="510" t="s">
        <v>986</v>
      </c>
      <c r="W341" s="501">
        <v>360</v>
      </c>
      <c r="X341" s="354">
        <v>1536</v>
      </c>
      <c r="Y341" s="397">
        <f t="shared" si="72"/>
        <v>552960</v>
      </c>
      <c r="Z341" s="478">
        <f>192.6/360</f>
        <v>0.53500000000000003</v>
      </c>
      <c r="AA341" s="479">
        <f t="shared" si="74"/>
        <v>295833.60000000003</v>
      </c>
      <c r="AB341" s="480"/>
      <c r="AC341" s="481">
        <f t="shared" si="79"/>
        <v>0</v>
      </c>
      <c r="AD341" s="474"/>
      <c r="AE341" s="474"/>
      <c r="AF341" s="493">
        <f t="shared" si="76"/>
        <v>295833.60000000003</v>
      </c>
      <c r="AG341" s="474" t="s">
        <v>1071</v>
      </c>
      <c r="AH341" s="474"/>
      <c r="AI341" s="474">
        <v>60</v>
      </c>
      <c r="AJ341" s="475" t="s">
        <v>2075</v>
      </c>
      <c r="AK341" s="475" t="s">
        <v>50</v>
      </c>
      <c r="AL341" s="483">
        <v>92056</v>
      </c>
      <c r="AM341" s="474" t="s">
        <v>52</v>
      </c>
      <c r="AN341" s="384"/>
      <c r="AO341" s="474" t="s">
        <v>1076</v>
      </c>
      <c r="AP341" s="474"/>
      <c r="AQ341" s="482" t="s">
        <v>37</v>
      </c>
      <c r="AR341" s="474" t="s">
        <v>1216</v>
      </c>
      <c r="AS341" s="473"/>
      <c r="AT341" s="346"/>
      <c r="AU341" s="478">
        <f>212/400</f>
        <v>0.53</v>
      </c>
    </row>
    <row r="342" spans="1:48" s="471" customFormat="1" ht="15" customHeight="1">
      <c r="A342" s="472"/>
      <c r="B342" s="514"/>
      <c r="C342" s="472"/>
      <c r="D342" s="512" t="s">
        <v>2322</v>
      </c>
      <c r="E342" s="501" t="s">
        <v>4316</v>
      </c>
      <c r="F342" s="501"/>
      <c r="G342" s="501">
        <v>2022</v>
      </c>
      <c r="H342" s="501" t="s">
        <v>1676</v>
      </c>
      <c r="I342" s="512" t="s">
        <v>1676</v>
      </c>
      <c r="J342" s="502"/>
      <c r="K342" s="503" t="s">
        <v>4317</v>
      </c>
      <c r="L342" s="501" t="s">
        <v>2371</v>
      </c>
      <c r="M342" s="504">
        <v>44623</v>
      </c>
      <c r="N342" s="504">
        <v>44623</v>
      </c>
      <c r="O342" s="504"/>
      <c r="P342" s="370"/>
      <c r="Q342" s="502"/>
      <c r="R342" s="502"/>
      <c r="S342" s="501" t="s">
        <v>1563</v>
      </c>
      <c r="T342" s="501">
        <v>60</v>
      </c>
      <c r="U342" s="371">
        <v>49403140</v>
      </c>
      <c r="V342" s="501" t="s">
        <v>973</v>
      </c>
      <c r="W342" s="501">
        <v>400</v>
      </c>
      <c r="X342" s="505">
        <v>832</v>
      </c>
      <c r="Y342" s="477">
        <f t="shared" ref="Y342:Y405" si="88">X342*W342</f>
        <v>332800</v>
      </c>
      <c r="Z342" s="478">
        <f>228/400</f>
        <v>0.56999999999999995</v>
      </c>
      <c r="AA342" s="492">
        <f t="shared" si="74"/>
        <v>189695.99999999997</v>
      </c>
      <c r="AB342" s="480"/>
      <c r="AC342" s="481">
        <f t="shared" si="79"/>
        <v>0</v>
      </c>
      <c r="AD342" s="490"/>
      <c r="AE342" s="482"/>
      <c r="AF342" s="493">
        <f t="shared" ref="AF342:AF405" si="89">AA342+AE342</f>
        <v>189695.99999999997</v>
      </c>
      <c r="AG342" s="474" t="s">
        <v>1071</v>
      </c>
      <c r="AH342" s="474"/>
      <c r="AI342" s="483" t="s">
        <v>2374</v>
      </c>
      <c r="AJ342" s="474" t="s">
        <v>2545</v>
      </c>
      <c r="AK342" s="494" t="s">
        <v>50</v>
      </c>
      <c r="AL342" s="474">
        <v>95838</v>
      </c>
      <c r="AM342" s="474" t="s">
        <v>52</v>
      </c>
      <c r="AN342" s="474" t="s">
        <v>1074</v>
      </c>
      <c r="AO342" s="474"/>
      <c r="AP342" s="486"/>
      <c r="AQ342" s="486" t="s">
        <v>37</v>
      </c>
      <c r="AR342" s="486"/>
      <c r="AS342" s="495"/>
      <c r="AT342" s="495"/>
      <c r="AU342" s="378"/>
      <c r="AV342" s="478"/>
    </row>
    <row r="343" spans="1:48" s="471" customFormat="1" ht="15" customHeight="1">
      <c r="A343" s="472"/>
      <c r="B343" s="514"/>
      <c r="C343" s="472"/>
      <c r="D343" s="512" t="s">
        <v>2322</v>
      </c>
      <c r="E343" s="501" t="s">
        <v>4318</v>
      </c>
      <c r="F343" s="501"/>
      <c r="G343" s="501">
        <v>2022</v>
      </c>
      <c r="H343" s="501" t="s">
        <v>1676</v>
      </c>
      <c r="I343" s="512" t="s">
        <v>1676</v>
      </c>
      <c r="J343" s="502"/>
      <c r="K343" s="503" t="s">
        <v>4319</v>
      </c>
      <c r="L343" s="501" t="s">
        <v>2371</v>
      </c>
      <c r="M343" s="504">
        <v>44649</v>
      </c>
      <c r="N343" s="504">
        <v>44649</v>
      </c>
      <c r="O343" s="504"/>
      <c r="P343" s="370"/>
      <c r="Q343" s="502"/>
      <c r="R343" s="502"/>
      <c r="S343" s="501" t="s">
        <v>1563</v>
      </c>
      <c r="T343" s="501">
        <v>60</v>
      </c>
      <c r="U343" s="371">
        <v>49403140</v>
      </c>
      <c r="V343" s="501" t="s">
        <v>973</v>
      </c>
      <c r="W343" s="501">
        <v>400</v>
      </c>
      <c r="X343" s="505">
        <v>832</v>
      </c>
      <c r="Y343" s="477">
        <f t="shared" si="88"/>
        <v>332800</v>
      </c>
      <c r="Z343" s="478">
        <f>228/400</f>
        <v>0.56999999999999995</v>
      </c>
      <c r="AA343" s="492">
        <f t="shared" si="74"/>
        <v>189695.99999999997</v>
      </c>
      <c r="AB343" s="480"/>
      <c r="AC343" s="481">
        <f t="shared" si="79"/>
        <v>0</v>
      </c>
      <c r="AD343" s="490"/>
      <c r="AE343" s="482"/>
      <c r="AF343" s="493">
        <f t="shared" si="89"/>
        <v>189695.99999999997</v>
      </c>
      <c r="AG343" s="474" t="s">
        <v>1071</v>
      </c>
      <c r="AH343" s="474"/>
      <c r="AI343" s="483" t="s">
        <v>2374</v>
      </c>
      <c r="AJ343" s="474" t="s">
        <v>2545</v>
      </c>
      <c r="AK343" s="494" t="s">
        <v>50</v>
      </c>
      <c r="AL343" s="474">
        <v>95838</v>
      </c>
      <c r="AM343" s="474" t="s">
        <v>52</v>
      </c>
      <c r="AN343" s="474" t="s">
        <v>1074</v>
      </c>
      <c r="AO343" s="474"/>
      <c r="AP343" s="486"/>
      <c r="AQ343" s="486" t="s">
        <v>37</v>
      </c>
      <c r="AR343" s="486"/>
      <c r="AS343" s="495"/>
      <c r="AT343" s="495"/>
      <c r="AU343" s="378"/>
      <c r="AV343" s="478"/>
    </row>
    <row r="344" spans="1:48" s="471" customFormat="1" ht="15" customHeight="1">
      <c r="A344" s="472"/>
      <c r="B344" s="514">
        <v>44571</v>
      </c>
      <c r="C344" s="472"/>
      <c r="D344" s="512" t="s">
        <v>2322</v>
      </c>
      <c r="E344" s="526" t="s">
        <v>4320</v>
      </c>
      <c r="F344" s="501"/>
      <c r="G344" s="501">
        <v>2022</v>
      </c>
      <c r="H344" s="501" t="s">
        <v>1676</v>
      </c>
      <c r="I344" s="512" t="s">
        <v>1676</v>
      </c>
      <c r="J344" s="502"/>
      <c r="K344" s="503" t="s">
        <v>4321</v>
      </c>
      <c r="L344" s="501" t="s">
        <v>2371</v>
      </c>
      <c r="M344" s="504">
        <v>44571</v>
      </c>
      <c r="N344" s="504">
        <v>44571</v>
      </c>
      <c r="O344" s="504"/>
      <c r="P344" s="370"/>
      <c r="Q344" s="502"/>
      <c r="R344" s="502"/>
      <c r="S344" s="501" t="s">
        <v>1563</v>
      </c>
      <c r="T344" s="501">
        <v>60</v>
      </c>
      <c r="U344" s="371" t="s">
        <v>1760</v>
      </c>
      <c r="V344" s="501" t="s">
        <v>973</v>
      </c>
      <c r="W344" s="501">
        <v>400</v>
      </c>
      <c r="X344" s="505">
        <v>832</v>
      </c>
      <c r="Y344" s="477">
        <f t="shared" si="88"/>
        <v>332800</v>
      </c>
      <c r="Z344" s="478">
        <v>0.56999999999999995</v>
      </c>
      <c r="AA344" s="492">
        <f t="shared" si="74"/>
        <v>189695.99999999997</v>
      </c>
      <c r="AB344" s="480"/>
      <c r="AC344" s="481">
        <f t="shared" si="79"/>
        <v>0</v>
      </c>
      <c r="AD344" s="490"/>
      <c r="AE344" s="482"/>
      <c r="AF344" s="493">
        <f t="shared" si="89"/>
        <v>189695.99999999997</v>
      </c>
      <c r="AG344" s="474" t="s">
        <v>1071</v>
      </c>
      <c r="AH344" s="474"/>
      <c r="AI344" s="483">
        <v>30</v>
      </c>
      <c r="AJ344" s="474" t="s">
        <v>1790</v>
      </c>
      <c r="AK344" s="494" t="s">
        <v>50</v>
      </c>
      <c r="AL344" s="474">
        <v>95838</v>
      </c>
      <c r="AM344" s="474" t="s">
        <v>52</v>
      </c>
      <c r="AN344" s="474" t="s">
        <v>50</v>
      </c>
      <c r="AO344" s="474"/>
      <c r="AP344" s="486"/>
      <c r="AQ344" s="486" t="s">
        <v>37</v>
      </c>
      <c r="AR344" s="486"/>
      <c r="AS344" s="495"/>
      <c r="AT344" s="495"/>
      <c r="AU344" s="378"/>
      <c r="AV344" s="478"/>
    </row>
    <row r="345" spans="1:48" s="471" customFormat="1" ht="15" customHeight="1">
      <c r="A345" s="472"/>
      <c r="B345" s="514">
        <v>44592</v>
      </c>
      <c r="C345" s="472"/>
      <c r="D345" s="512" t="s">
        <v>2322</v>
      </c>
      <c r="E345" s="526" t="s">
        <v>4320</v>
      </c>
      <c r="F345" s="501"/>
      <c r="G345" s="501">
        <v>2022</v>
      </c>
      <c r="H345" s="501" t="s">
        <v>1676</v>
      </c>
      <c r="I345" s="512" t="s">
        <v>1676</v>
      </c>
      <c r="J345" s="502"/>
      <c r="K345" s="503" t="s">
        <v>4322</v>
      </c>
      <c r="L345" s="501" t="s">
        <v>2371</v>
      </c>
      <c r="M345" s="504">
        <v>44589</v>
      </c>
      <c r="N345" s="504">
        <v>44589</v>
      </c>
      <c r="O345" s="504"/>
      <c r="P345" s="370"/>
      <c r="Q345" s="502"/>
      <c r="R345" s="502"/>
      <c r="S345" s="501" t="s">
        <v>1563</v>
      </c>
      <c r="T345" s="501">
        <v>60</v>
      </c>
      <c r="U345" s="371">
        <v>49403140</v>
      </c>
      <c r="V345" s="501" t="s">
        <v>973</v>
      </c>
      <c r="W345" s="501">
        <v>400</v>
      </c>
      <c r="X345" s="505">
        <v>832</v>
      </c>
      <c r="Y345" s="477">
        <f>X345*W345</f>
        <v>332800</v>
      </c>
      <c r="Z345" s="478">
        <v>0.56999999999999995</v>
      </c>
      <c r="AA345" s="479">
        <f>Z345*Y345</f>
        <v>189695.99999999997</v>
      </c>
      <c r="AB345" s="480"/>
      <c r="AC345" s="481">
        <f>AB345*Y345</f>
        <v>0</v>
      </c>
      <c r="AD345" s="490"/>
      <c r="AE345" s="482"/>
      <c r="AF345" s="493">
        <f>AA345+AE345</f>
        <v>189695.99999999997</v>
      </c>
      <c r="AG345" s="474" t="s">
        <v>1071</v>
      </c>
      <c r="AH345" s="474"/>
      <c r="AI345" s="483">
        <v>60</v>
      </c>
      <c r="AJ345" s="474" t="s">
        <v>1790</v>
      </c>
      <c r="AK345" s="494" t="s">
        <v>50</v>
      </c>
      <c r="AL345" s="474">
        <v>95838</v>
      </c>
      <c r="AM345" s="474" t="s">
        <v>52</v>
      </c>
      <c r="AN345" s="474" t="s">
        <v>1074</v>
      </c>
      <c r="AO345" s="474"/>
      <c r="AP345" s="486"/>
      <c r="AQ345" s="486" t="s">
        <v>37</v>
      </c>
      <c r="AR345" s="486" t="s">
        <v>1216</v>
      </c>
      <c r="AS345" s="495"/>
      <c r="AT345" s="495"/>
      <c r="AU345" s="378"/>
      <c r="AV345" s="478"/>
    </row>
    <row r="346" spans="1:48" s="471" customFormat="1" ht="15" customHeight="1">
      <c r="A346" s="472"/>
      <c r="B346" s="514"/>
      <c r="C346" s="472"/>
      <c r="D346" s="512" t="s">
        <v>2322</v>
      </c>
      <c r="E346" s="501" t="s">
        <v>4318</v>
      </c>
      <c r="F346" s="501"/>
      <c r="G346" s="501">
        <v>2022</v>
      </c>
      <c r="H346" s="501" t="s">
        <v>1286</v>
      </c>
      <c r="I346" s="512" t="s">
        <v>1676</v>
      </c>
      <c r="J346" s="502"/>
      <c r="K346" s="372" t="s">
        <v>4323</v>
      </c>
      <c r="L346" s="501" t="s">
        <v>4324</v>
      </c>
      <c r="M346" s="504">
        <v>44648</v>
      </c>
      <c r="N346" s="504">
        <v>44648</v>
      </c>
      <c r="O346" s="504"/>
      <c r="P346" s="370"/>
      <c r="Q346" s="502"/>
      <c r="R346" s="502"/>
      <c r="S346" s="501" t="s">
        <v>1563</v>
      </c>
      <c r="T346" s="501">
        <v>60</v>
      </c>
      <c r="U346" s="371">
        <v>49401140</v>
      </c>
      <c r="V346" s="501" t="s">
        <v>973</v>
      </c>
      <c r="W346" s="501">
        <v>400</v>
      </c>
      <c r="X346" s="505">
        <v>832</v>
      </c>
      <c r="Y346" s="477">
        <f t="shared" si="88"/>
        <v>332800</v>
      </c>
      <c r="Z346" s="478">
        <f>222/400</f>
        <v>0.55500000000000005</v>
      </c>
      <c r="AA346" s="492">
        <f t="shared" si="74"/>
        <v>184704.00000000003</v>
      </c>
      <c r="AB346" s="480"/>
      <c r="AC346" s="481">
        <f t="shared" si="79"/>
        <v>0</v>
      </c>
      <c r="AD346" s="490"/>
      <c r="AE346" s="482"/>
      <c r="AF346" s="493">
        <f t="shared" si="89"/>
        <v>184704.00000000003</v>
      </c>
      <c r="AG346" s="474" t="s">
        <v>1071</v>
      </c>
      <c r="AH346" s="474"/>
      <c r="AI346" s="483" t="s">
        <v>2442</v>
      </c>
      <c r="AJ346" s="474" t="s">
        <v>2461</v>
      </c>
      <c r="AK346" s="494" t="s">
        <v>1823</v>
      </c>
      <c r="AL346" s="474">
        <v>97227</v>
      </c>
      <c r="AM346" s="474" t="s">
        <v>52</v>
      </c>
      <c r="AN346" s="474" t="s">
        <v>1074</v>
      </c>
      <c r="AO346" s="474"/>
      <c r="AP346" s="486"/>
      <c r="AQ346" s="486" t="s">
        <v>37</v>
      </c>
      <c r="AR346" s="478"/>
      <c r="AS346" s="495"/>
      <c r="AT346" s="495"/>
      <c r="AU346" s="378"/>
      <c r="AV346" s="478"/>
    </row>
    <row r="347" spans="1:48" s="471" customFormat="1" ht="15" customHeight="1">
      <c r="A347" s="472"/>
      <c r="B347" s="514">
        <v>44580</v>
      </c>
      <c r="C347" s="472"/>
      <c r="D347" s="512" t="s">
        <v>2322</v>
      </c>
      <c r="E347" s="526" t="s">
        <v>4320</v>
      </c>
      <c r="F347" s="501"/>
      <c r="G347" s="501">
        <v>2022</v>
      </c>
      <c r="H347" s="501" t="s">
        <v>1286</v>
      </c>
      <c r="I347" s="512" t="s">
        <v>1676</v>
      </c>
      <c r="J347" s="502"/>
      <c r="K347" s="503" t="s">
        <v>4325</v>
      </c>
      <c r="L347" s="501" t="s">
        <v>4324</v>
      </c>
      <c r="M347" s="504">
        <v>44575</v>
      </c>
      <c r="N347" s="504">
        <v>44652</v>
      </c>
      <c r="O347" s="504"/>
      <c r="P347" s="370"/>
      <c r="Q347" s="502"/>
      <c r="R347" s="502"/>
      <c r="S347" s="501" t="s">
        <v>1563</v>
      </c>
      <c r="T347" s="501">
        <v>60</v>
      </c>
      <c r="U347" s="371">
        <v>49201132</v>
      </c>
      <c r="V347" s="501" t="s">
        <v>986</v>
      </c>
      <c r="W347" s="501">
        <v>360</v>
      </c>
      <c r="X347" s="505">
        <v>832</v>
      </c>
      <c r="Y347" s="477">
        <f t="shared" si="88"/>
        <v>299520</v>
      </c>
      <c r="Z347" s="478">
        <f>181.9/360</f>
        <v>0.50527777777777783</v>
      </c>
      <c r="AA347" s="492">
        <f t="shared" si="74"/>
        <v>151340.80000000002</v>
      </c>
      <c r="AB347" s="480"/>
      <c r="AC347" s="481">
        <f t="shared" si="79"/>
        <v>0</v>
      </c>
      <c r="AD347" s="490"/>
      <c r="AE347" s="482"/>
      <c r="AF347" s="493">
        <f t="shared" si="89"/>
        <v>151340.80000000002</v>
      </c>
      <c r="AG347" s="474" t="s">
        <v>1071</v>
      </c>
      <c r="AH347" s="474"/>
      <c r="AI347" s="483">
        <v>60</v>
      </c>
      <c r="AJ347" s="474" t="s">
        <v>3492</v>
      </c>
      <c r="AK347" s="494" t="s">
        <v>1706</v>
      </c>
      <c r="AL347" s="474">
        <v>98108</v>
      </c>
      <c r="AM347" s="474" t="s">
        <v>52</v>
      </c>
      <c r="AN347" s="474" t="s">
        <v>1074</v>
      </c>
      <c r="AO347" s="474"/>
      <c r="AP347" s="486"/>
      <c r="AQ347" s="486" t="s">
        <v>37</v>
      </c>
      <c r="AR347" s="486"/>
      <c r="AS347" s="495"/>
      <c r="AT347" s="495"/>
      <c r="AU347" s="378"/>
      <c r="AV347" s="478"/>
    </row>
    <row r="348" spans="1:48" s="471" customFormat="1" ht="15" customHeight="1">
      <c r="A348" s="472"/>
      <c r="B348" s="514">
        <v>44580</v>
      </c>
      <c r="C348" s="472"/>
      <c r="D348" s="512" t="s">
        <v>2322</v>
      </c>
      <c r="E348" s="526" t="s">
        <v>4320</v>
      </c>
      <c r="F348" s="501"/>
      <c r="G348" s="501">
        <v>2022</v>
      </c>
      <c r="H348" s="501" t="s">
        <v>1286</v>
      </c>
      <c r="I348" s="512" t="s">
        <v>1676</v>
      </c>
      <c r="J348" s="502"/>
      <c r="K348" s="503" t="s">
        <v>4326</v>
      </c>
      <c r="L348" s="501" t="s">
        <v>4324</v>
      </c>
      <c r="M348" s="504">
        <v>44575</v>
      </c>
      <c r="N348" s="504">
        <v>44743</v>
      </c>
      <c r="O348" s="504"/>
      <c r="P348" s="370"/>
      <c r="Q348" s="502"/>
      <c r="R348" s="502"/>
      <c r="S348" s="501" t="s">
        <v>1563</v>
      </c>
      <c r="T348" s="501">
        <v>60</v>
      </c>
      <c r="U348" s="371">
        <v>49201132</v>
      </c>
      <c r="V348" s="501" t="s">
        <v>986</v>
      </c>
      <c r="W348" s="501">
        <v>360</v>
      </c>
      <c r="X348" s="505">
        <v>832</v>
      </c>
      <c r="Y348" s="477">
        <f t="shared" si="88"/>
        <v>299520</v>
      </c>
      <c r="Z348" s="478">
        <f>181.9/360</f>
        <v>0.50527777777777783</v>
      </c>
      <c r="AA348" s="492">
        <f t="shared" si="74"/>
        <v>151340.80000000002</v>
      </c>
      <c r="AB348" s="480"/>
      <c r="AC348" s="481">
        <f t="shared" si="79"/>
        <v>0</v>
      </c>
      <c r="AD348" s="490"/>
      <c r="AE348" s="482"/>
      <c r="AF348" s="493">
        <f t="shared" si="89"/>
        <v>151340.80000000002</v>
      </c>
      <c r="AG348" s="474" t="s">
        <v>1071</v>
      </c>
      <c r="AH348" s="474"/>
      <c r="AI348" s="483">
        <v>60</v>
      </c>
      <c r="AJ348" s="474" t="s">
        <v>3492</v>
      </c>
      <c r="AK348" s="494" t="s">
        <v>1706</v>
      </c>
      <c r="AL348" s="474">
        <v>98108</v>
      </c>
      <c r="AM348" s="474" t="s">
        <v>52</v>
      </c>
      <c r="AN348" s="474" t="s">
        <v>1074</v>
      </c>
      <c r="AO348" s="474"/>
      <c r="AP348" s="486"/>
      <c r="AQ348" s="486" t="s">
        <v>37</v>
      </c>
      <c r="AR348" s="486"/>
      <c r="AS348" s="495"/>
      <c r="AT348" s="495"/>
      <c r="AU348" s="378"/>
      <c r="AV348" s="478"/>
    </row>
    <row r="349" spans="1:48" s="471" customFormat="1" ht="15" customHeight="1">
      <c r="A349" s="472"/>
      <c r="B349" s="514"/>
      <c r="C349" s="472"/>
      <c r="D349" s="512" t="s">
        <v>2322</v>
      </c>
      <c r="E349" s="501"/>
      <c r="F349" s="501"/>
      <c r="G349" s="501">
        <v>2022</v>
      </c>
      <c r="H349" s="501" t="s">
        <v>1286</v>
      </c>
      <c r="I349" s="512" t="s">
        <v>1676</v>
      </c>
      <c r="J349" s="502"/>
      <c r="K349" s="372" t="s">
        <v>4327</v>
      </c>
      <c r="L349" s="503" t="s">
        <v>2459</v>
      </c>
      <c r="M349" s="504">
        <v>44655</v>
      </c>
      <c r="N349" s="504">
        <v>44925</v>
      </c>
      <c r="O349" s="504"/>
      <c r="P349" s="370"/>
      <c r="Q349" s="502"/>
      <c r="R349" s="502"/>
      <c r="S349" s="501" t="s">
        <v>1563</v>
      </c>
      <c r="T349" s="501">
        <v>60</v>
      </c>
      <c r="U349" s="371">
        <v>49201132</v>
      </c>
      <c r="V349" s="501" t="s">
        <v>986</v>
      </c>
      <c r="W349" s="501">
        <v>360</v>
      </c>
      <c r="X349" s="505">
        <v>832</v>
      </c>
      <c r="Y349" s="477">
        <f t="shared" si="88"/>
        <v>299520</v>
      </c>
      <c r="Z349" s="478">
        <f t="shared" ref="Z349:Z358" si="90">192.6/360</f>
        <v>0.53500000000000003</v>
      </c>
      <c r="AA349" s="492">
        <f t="shared" si="74"/>
        <v>160243.20000000001</v>
      </c>
      <c r="AB349" s="480"/>
      <c r="AC349" s="481">
        <f t="shared" si="79"/>
        <v>0</v>
      </c>
      <c r="AD349" s="490"/>
      <c r="AE349" s="482"/>
      <c r="AF349" s="493">
        <f t="shared" si="89"/>
        <v>160243.20000000001</v>
      </c>
      <c r="AG349" s="474" t="s">
        <v>1071</v>
      </c>
      <c r="AH349" s="474"/>
      <c r="AI349" s="483" t="s">
        <v>2442</v>
      </c>
      <c r="AJ349" s="474" t="s">
        <v>4328</v>
      </c>
      <c r="AK349" s="494" t="s">
        <v>2321</v>
      </c>
      <c r="AL349" s="474">
        <v>95834</v>
      </c>
      <c r="AM349" s="474" t="s">
        <v>52</v>
      </c>
      <c r="AN349" s="474" t="s">
        <v>1074</v>
      </c>
      <c r="AO349" s="474"/>
      <c r="AP349" s="486"/>
      <c r="AQ349" s="486" t="s">
        <v>37</v>
      </c>
      <c r="AR349" s="478"/>
      <c r="AS349" s="495"/>
      <c r="AT349" s="495"/>
      <c r="AU349" s="378"/>
      <c r="AV349" s="478"/>
    </row>
    <row r="350" spans="1:48" s="471" customFormat="1" ht="15" customHeight="1">
      <c r="A350" s="472"/>
      <c r="B350" s="514"/>
      <c r="C350" s="472"/>
      <c r="D350" s="512" t="s">
        <v>2322</v>
      </c>
      <c r="E350" s="501"/>
      <c r="F350" s="501"/>
      <c r="G350" s="501">
        <v>2022</v>
      </c>
      <c r="H350" s="501" t="s">
        <v>1286</v>
      </c>
      <c r="I350" s="512" t="s">
        <v>1676</v>
      </c>
      <c r="J350" s="502"/>
      <c r="K350" s="372" t="s">
        <v>4329</v>
      </c>
      <c r="L350" s="503" t="s">
        <v>2459</v>
      </c>
      <c r="M350" s="504">
        <v>44655</v>
      </c>
      <c r="N350" s="504">
        <v>44925</v>
      </c>
      <c r="O350" s="504"/>
      <c r="P350" s="370"/>
      <c r="Q350" s="502"/>
      <c r="R350" s="502"/>
      <c r="S350" s="501" t="s">
        <v>1563</v>
      </c>
      <c r="T350" s="501">
        <v>60</v>
      </c>
      <c r="U350" s="371">
        <v>49201132</v>
      </c>
      <c r="V350" s="501" t="s">
        <v>986</v>
      </c>
      <c r="W350" s="501">
        <v>360</v>
      </c>
      <c r="X350" s="505">
        <v>832</v>
      </c>
      <c r="Y350" s="477">
        <f t="shared" si="88"/>
        <v>299520</v>
      </c>
      <c r="Z350" s="478">
        <f t="shared" si="90"/>
        <v>0.53500000000000003</v>
      </c>
      <c r="AA350" s="492">
        <f t="shared" si="74"/>
        <v>160243.20000000001</v>
      </c>
      <c r="AB350" s="480"/>
      <c r="AC350" s="481">
        <f t="shared" si="79"/>
        <v>0</v>
      </c>
      <c r="AD350" s="490"/>
      <c r="AE350" s="482"/>
      <c r="AF350" s="493">
        <f t="shared" si="89"/>
        <v>160243.20000000001</v>
      </c>
      <c r="AG350" s="474" t="s">
        <v>1071</v>
      </c>
      <c r="AH350" s="474"/>
      <c r="AI350" s="483" t="s">
        <v>2442</v>
      </c>
      <c r="AJ350" s="474" t="s">
        <v>4328</v>
      </c>
      <c r="AK350" s="494" t="s">
        <v>2321</v>
      </c>
      <c r="AL350" s="474">
        <v>95834</v>
      </c>
      <c r="AM350" s="474" t="s">
        <v>52</v>
      </c>
      <c r="AN350" s="474" t="s">
        <v>1074</v>
      </c>
      <c r="AO350" s="474"/>
      <c r="AP350" s="486"/>
      <c r="AQ350" s="486" t="s">
        <v>37</v>
      </c>
      <c r="AR350" s="478"/>
      <c r="AS350" s="495"/>
      <c r="AT350" s="495"/>
      <c r="AU350" s="378"/>
      <c r="AV350" s="478"/>
    </row>
    <row r="351" spans="1:48" s="471" customFormat="1" ht="15" customHeight="1">
      <c r="A351" s="472"/>
      <c r="B351" s="514"/>
      <c r="C351" s="472"/>
      <c r="D351" s="512" t="s">
        <v>2322</v>
      </c>
      <c r="E351" s="501"/>
      <c r="F351" s="501"/>
      <c r="G351" s="501">
        <v>2022</v>
      </c>
      <c r="H351" s="501" t="s">
        <v>1286</v>
      </c>
      <c r="I351" s="512" t="s">
        <v>1676</v>
      </c>
      <c r="J351" s="502"/>
      <c r="K351" s="372" t="s">
        <v>4330</v>
      </c>
      <c r="L351" s="503" t="s">
        <v>2459</v>
      </c>
      <c r="M351" s="504">
        <v>44655</v>
      </c>
      <c r="N351" s="504">
        <v>44925</v>
      </c>
      <c r="O351" s="504"/>
      <c r="P351" s="370"/>
      <c r="Q351" s="502"/>
      <c r="R351" s="502"/>
      <c r="S351" s="501" t="s">
        <v>1563</v>
      </c>
      <c r="T351" s="501">
        <v>60</v>
      </c>
      <c r="U351" s="371">
        <v>49201132</v>
      </c>
      <c r="V351" s="501" t="s">
        <v>986</v>
      </c>
      <c r="W351" s="501">
        <v>360</v>
      </c>
      <c r="X351" s="505">
        <v>832</v>
      </c>
      <c r="Y351" s="477">
        <f t="shared" si="88"/>
        <v>299520</v>
      </c>
      <c r="Z351" s="478">
        <f t="shared" si="90"/>
        <v>0.53500000000000003</v>
      </c>
      <c r="AA351" s="492">
        <f t="shared" si="74"/>
        <v>160243.20000000001</v>
      </c>
      <c r="AB351" s="480"/>
      <c r="AC351" s="481">
        <f t="shared" si="79"/>
        <v>0</v>
      </c>
      <c r="AD351" s="490"/>
      <c r="AE351" s="482"/>
      <c r="AF351" s="493">
        <f t="shared" si="89"/>
        <v>160243.20000000001</v>
      </c>
      <c r="AG351" s="474" t="s">
        <v>1071</v>
      </c>
      <c r="AH351" s="474"/>
      <c r="AI351" s="483" t="s">
        <v>2442</v>
      </c>
      <c r="AJ351" s="474" t="s">
        <v>4328</v>
      </c>
      <c r="AK351" s="494" t="s">
        <v>2321</v>
      </c>
      <c r="AL351" s="474">
        <v>95834</v>
      </c>
      <c r="AM351" s="474" t="s">
        <v>52</v>
      </c>
      <c r="AN351" s="474" t="s">
        <v>1074</v>
      </c>
      <c r="AO351" s="474"/>
      <c r="AP351" s="486"/>
      <c r="AQ351" s="486" t="s">
        <v>37</v>
      </c>
      <c r="AR351" s="478"/>
      <c r="AS351" s="495"/>
      <c r="AT351" s="495"/>
      <c r="AU351" s="378"/>
      <c r="AV351" s="478"/>
    </row>
    <row r="352" spans="1:48" s="471" customFormat="1" ht="15" customHeight="1">
      <c r="A352" s="472"/>
      <c r="B352" s="514"/>
      <c r="C352" s="472"/>
      <c r="D352" s="512" t="s">
        <v>2322</v>
      </c>
      <c r="E352" s="501"/>
      <c r="F352" s="501"/>
      <c r="G352" s="501">
        <v>2022</v>
      </c>
      <c r="H352" s="501" t="s">
        <v>1286</v>
      </c>
      <c r="I352" s="512" t="s">
        <v>1676</v>
      </c>
      <c r="J352" s="502"/>
      <c r="K352" s="655" t="s">
        <v>4331</v>
      </c>
      <c r="L352" s="503" t="s">
        <v>2459</v>
      </c>
      <c r="M352" s="504">
        <v>44655</v>
      </c>
      <c r="N352" s="504">
        <v>44925</v>
      </c>
      <c r="O352" s="504"/>
      <c r="P352" s="370"/>
      <c r="Q352" s="502"/>
      <c r="R352" s="502"/>
      <c r="S352" s="501" t="s">
        <v>1563</v>
      </c>
      <c r="T352" s="501">
        <v>60</v>
      </c>
      <c r="U352" s="371">
        <v>49201132</v>
      </c>
      <c r="V352" s="501" t="s">
        <v>986</v>
      </c>
      <c r="W352" s="501">
        <v>360</v>
      </c>
      <c r="X352" s="505">
        <v>832</v>
      </c>
      <c r="Y352" s="477">
        <f t="shared" si="88"/>
        <v>299520</v>
      </c>
      <c r="Z352" s="478">
        <f t="shared" si="90"/>
        <v>0.53500000000000003</v>
      </c>
      <c r="AA352" s="492">
        <f t="shared" si="74"/>
        <v>160243.20000000001</v>
      </c>
      <c r="AB352" s="480"/>
      <c r="AC352" s="481">
        <f t="shared" si="79"/>
        <v>0</v>
      </c>
      <c r="AD352" s="490"/>
      <c r="AE352" s="482"/>
      <c r="AF352" s="493">
        <f t="shared" si="89"/>
        <v>160243.20000000001</v>
      </c>
      <c r="AG352" s="474" t="s">
        <v>1071</v>
      </c>
      <c r="AH352" s="474"/>
      <c r="AI352" s="483" t="s">
        <v>2442</v>
      </c>
      <c r="AJ352" s="474" t="s">
        <v>4328</v>
      </c>
      <c r="AK352" s="494" t="s">
        <v>2321</v>
      </c>
      <c r="AL352" s="474">
        <v>95834</v>
      </c>
      <c r="AM352" s="474" t="s">
        <v>52</v>
      </c>
      <c r="AN352" s="474" t="s">
        <v>1074</v>
      </c>
      <c r="AO352" s="474"/>
      <c r="AP352" s="486"/>
      <c r="AQ352" s="486" t="s">
        <v>37</v>
      </c>
      <c r="AR352" s="478"/>
      <c r="AS352" s="495"/>
      <c r="AT352" s="495"/>
      <c r="AU352" s="378"/>
      <c r="AV352" s="478"/>
    </row>
    <row r="353" spans="1:48" s="471" customFormat="1" ht="15" customHeight="1">
      <c r="A353" s="472"/>
      <c r="B353" s="514"/>
      <c r="C353" s="472"/>
      <c r="D353" s="512" t="s">
        <v>2322</v>
      </c>
      <c r="E353" s="501"/>
      <c r="F353" s="501"/>
      <c r="G353" s="501">
        <v>2022</v>
      </c>
      <c r="H353" s="501" t="s">
        <v>1286</v>
      </c>
      <c r="I353" s="512" t="s">
        <v>1676</v>
      </c>
      <c r="J353" s="502"/>
      <c r="K353" s="655" t="s">
        <v>4332</v>
      </c>
      <c r="L353" s="503" t="s">
        <v>2459</v>
      </c>
      <c r="M353" s="504">
        <v>44655</v>
      </c>
      <c r="N353" s="504">
        <v>44925</v>
      </c>
      <c r="O353" s="504"/>
      <c r="P353" s="370"/>
      <c r="Q353" s="502"/>
      <c r="R353" s="502"/>
      <c r="S353" s="501" t="s">
        <v>1563</v>
      </c>
      <c r="T353" s="501">
        <v>60</v>
      </c>
      <c r="U353" s="371">
        <v>49201132</v>
      </c>
      <c r="V353" s="501" t="s">
        <v>986</v>
      </c>
      <c r="W353" s="501">
        <v>360</v>
      </c>
      <c r="X353" s="505">
        <v>832</v>
      </c>
      <c r="Y353" s="477">
        <f t="shared" si="88"/>
        <v>299520</v>
      </c>
      <c r="Z353" s="478">
        <f t="shared" si="90"/>
        <v>0.53500000000000003</v>
      </c>
      <c r="AA353" s="492">
        <f t="shared" si="74"/>
        <v>160243.20000000001</v>
      </c>
      <c r="AB353" s="480"/>
      <c r="AC353" s="481">
        <f t="shared" si="79"/>
        <v>0</v>
      </c>
      <c r="AD353" s="490"/>
      <c r="AE353" s="482"/>
      <c r="AF353" s="493">
        <f t="shared" si="89"/>
        <v>160243.20000000001</v>
      </c>
      <c r="AG353" s="474" t="s">
        <v>1071</v>
      </c>
      <c r="AH353" s="474"/>
      <c r="AI353" s="483" t="s">
        <v>2442</v>
      </c>
      <c r="AJ353" s="474" t="s">
        <v>4328</v>
      </c>
      <c r="AK353" s="494" t="s">
        <v>2321</v>
      </c>
      <c r="AL353" s="474">
        <v>95834</v>
      </c>
      <c r="AM353" s="474" t="s">
        <v>52</v>
      </c>
      <c r="AN353" s="474" t="s">
        <v>1074</v>
      </c>
      <c r="AO353" s="474"/>
      <c r="AP353" s="486"/>
      <c r="AQ353" s="486" t="s">
        <v>37</v>
      </c>
      <c r="AR353" s="478"/>
      <c r="AS353" s="495"/>
      <c r="AT353" s="495"/>
      <c r="AU353" s="378"/>
      <c r="AV353" s="478"/>
    </row>
    <row r="354" spans="1:48" s="471" customFormat="1" ht="15" customHeight="1">
      <c r="A354" s="472"/>
      <c r="B354" s="514"/>
      <c r="C354" s="472"/>
      <c r="D354" s="512" t="s">
        <v>2322</v>
      </c>
      <c r="E354" s="501"/>
      <c r="F354" s="501"/>
      <c r="G354" s="501">
        <v>2022</v>
      </c>
      <c r="H354" s="501" t="s">
        <v>1286</v>
      </c>
      <c r="I354" s="512" t="s">
        <v>1676</v>
      </c>
      <c r="J354" s="502"/>
      <c r="K354" s="655" t="s">
        <v>4333</v>
      </c>
      <c r="L354" s="503" t="s">
        <v>2459</v>
      </c>
      <c r="M354" s="504">
        <v>44655</v>
      </c>
      <c r="N354" s="504">
        <v>44925</v>
      </c>
      <c r="O354" s="504"/>
      <c r="P354" s="370"/>
      <c r="Q354" s="502"/>
      <c r="R354" s="502"/>
      <c r="S354" s="501" t="s">
        <v>1563</v>
      </c>
      <c r="T354" s="501">
        <v>60</v>
      </c>
      <c r="U354" s="371">
        <v>49201132</v>
      </c>
      <c r="V354" s="501" t="s">
        <v>986</v>
      </c>
      <c r="W354" s="501">
        <v>360</v>
      </c>
      <c r="X354" s="505">
        <v>832</v>
      </c>
      <c r="Y354" s="477">
        <f t="shared" si="88"/>
        <v>299520</v>
      </c>
      <c r="Z354" s="478">
        <f t="shared" si="90"/>
        <v>0.53500000000000003</v>
      </c>
      <c r="AA354" s="492">
        <f t="shared" si="74"/>
        <v>160243.20000000001</v>
      </c>
      <c r="AB354" s="480"/>
      <c r="AC354" s="481">
        <f t="shared" si="79"/>
        <v>0</v>
      </c>
      <c r="AD354" s="490"/>
      <c r="AE354" s="482"/>
      <c r="AF354" s="493">
        <f t="shared" si="89"/>
        <v>160243.20000000001</v>
      </c>
      <c r="AG354" s="474" t="s">
        <v>1071</v>
      </c>
      <c r="AH354" s="474"/>
      <c r="AI354" s="483" t="s">
        <v>2442</v>
      </c>
      <c r="AJ354" s="474" t="s">
        <v>4328</v>
      </c>
      <c r="AK354" s="494" t="s">
        <v>2321</v>
      </c>
      <c r="AL354" s="474">
        <v>95834</v>
      </c>
      <c r="AM354" s="474" t="s">
        <v>52</v>
      </c>
      <c r="AN354" s="474" t="s">
        <v>1074</v>
      </c>
      <c r="AO354" s="474"/>
      <c r="AP354" s="486"/>
      <c r="AQ354" s="486" t="s">
        <v>37</v>
      </c>
      <c r="AR354" s="478"/>
      <c r="AS354" s="495"/>
      <c r="AT354" s="495"/>
      <c r="AU354" s="378"/>
      <c r="AV354" s="478"/>
    </row>
    <row r="355" spans="1:48" s="471" customFormat="1" ht="15" customHeight="1">
      <c r="A355" s="472"/>
      <c r="B355" s="514"/>
      <c r="C355" s="472"/>
      <c r="D355" s="512" t="s">
        <v>2322</v>
      </c>
      <c r="E355" s="501"/>
      <c r="F355" s="501"/>
      <c r="G355" s="501">
        <v>2022</v>
      </c>
      <c r="H355" s="501" t="s">
        <v>1286</v>
      </c>
      <c r="I355" s="512" t="s">
        <v>1676</v>
      </c>
      <c r="J355" s="502"/>
      <c r="K355" s="372" t="s">
        <v>4334</v>
      </c>
      <c r="L355" s="503" t="s">
        <v>2459</v>
      </c>
      <c r="M355" s="504">
        <v>44655</v>
      </c>
      <c r="N355" s="504">
        <v>44925</v>
      </c>
      <c r="O355" s="504"/>
      <c r="P355" s="370"/>
      <c r="Q355" s="502"/>
      <c r="R355" s="502"/>
      <c r="S355" s="501" t="s">
        <v>1563</v>
      </c>
      <c r="T355" s="501">
        <v>60</v>
      </c>
      <c r="U355" s="371">
        <v>49201132</v>
      </c>
      <c r="V355" s="501" t="s">
        <v>986</v>
      </c>
      <c r="W355" s="501">
        <v>360</v>
      </c>
      <c r="X355" s="505">
        <v>832</v>
      </c>
      <c r="Y355" s="477">
        <f t="shared" si="88"/>
        <v>299520</v>
      </c>
      <c r="Z355" s="478">
        <f t="shared" si="90"/>
        <v>0.53500000000000003</v>
      </c>
      <c r="AA355" s="492">
        <f t="shared" si="74"/>
        <v>160243.20000000001</v>
      </c>
      <c r="AB355" s="480"/>
      <c r="AC355" s="481">
        <f t="shared" si="79"/>
        <v>0</v>
      </c>
      <c r="AD355" s="490"/>
      <c r="AE355" s="482"/>
      <c r="AF355" s="493">
        <f t="shared" si="89"/>
        <v>160243.20000000001</v>
      </c>
      <c r="AG355" s="474" t="s">
        <v>1071</v>
      </c>
      <c r="AH355" s="474"/>
      <c r="AI355" s="483" t="s">
        <v>2442</v>
      </c>
      <c r="AJ355" s="474" t="s">
        <v>4328</v>
      </c>
      <c r="AK355" s="494" t="s">
        <v>2321</v>
      </c>
      <c r="AL355" s="474">
        <v>95834</v>
      </c>
      <c r="AM355" s="474" t="s">
        <v>52</v>
      </c>
      <c r="AN355" s="474" t="s">
        <v>1074</v>
      </c>
      <c r="AO355" s="474"/>
      <c r="AP355" s="486"/>
      <c r="AQ355" s="486" t="s">
        <v>37</v>
      </c>
      <c r="AR355" s="478"/>
      <c r="AS355" s="495"/>
      <c r="AT355" s="495"/>
      <c r="AU355" s="378"/>
      <c r="AV355" s="478"/>
    </row>
    <row r="356" spans="1:48" s="471" customFormat="1" ht="15" customHeight="1">
      <c r="A356" s="472"/>
      <c r="B356" s="514"/>
      <c r="C356" s="472"/>
      <c r="D356" s="512" t="s">
        <v>2322</v>
      </c>
      <c r="E356" s="501"/>
      <c r="F356" s="501"/>
      <c r="G356" s="501">
        <v>2022</v>
      </c>
      <c r="H356" s="501" t="s">
        <v>1286</v>
      </c>
      <c r="I356" s="512" t="s">
        <v>1676</v>
      </c>
      <c r="J356" s="502"/>
      <c r="K356" s="655" t="s">
        <v>4335</v>
      </c>
      <c r="L356" s="503" t="s">
        <v>2459</v>
      </c>
      <c r="M356" s="504">
        <v>44655</v>
      </c>
      <c r="N356" s="504">
        <v>44925</v>
      </c>
      <c r="O356" s="504"/>
      <c r="P356" s="370"/>
      <c r="Q356" s="502"/>
      <c r="R356" s="502"/>
      <c r="S356" s="501" t="s">
        <v>1563</v>
      </c>
      <c r="T356" s="501">
        <v>60</v>
      </c>
      <c r="U356" s="371">
        <v>49201132</v>
      </c>
      <c r="V356" s="501" t="s">
        <v>986</v>
      </c>
      <c r="W356" s="501">
        <v>360</v>
      </c>
      <c r="X356" s="505">
        <v>832</v>
      </c>
      <c r="Y356" s="477">
        <f t="shared" si="88"/>
        <v>299520</v>
      </c>
      <c r="Z356" s="478">
        <f t="shared" si="90"/>
        <v>0.53500000000000003</v>
      </c>
      <c r="AA356" s="492">
        <f t="shared" si="74"/>
        <v>160243.20000000001</v>
      </c>
      <c r="AB356" s="480"/>
      <c r="AC356" s="481">
        <f t="shared" si="79"/>
        <v>0</v>
      </c>
      <c r="AD356" s="490"/>
      <c r="AE356" s="482"/>
      <c r="AF356" s="493">
        <f t="shared" si="89"/>
        <v>160243.20000000001</v>
      </c>
      <c r="AG356" s="474" t="s">
        <v>1071</v>
      </c>
      <c r="AH356" s="474"/>
      <c r="AI356" s="483" t="s">
        <v>2442</v>
      </c>
      <c r="AJ356" s="474" t="s">
        <v>4328</v>
      </c>
      <c r="AK356" s="494" t="s">
        <v>2321</v>
      </c>
      <c r="AL356" s="474">
        <v>95834</v>
      </c>
      <c r="AM356" s="474" t="s">
        <v>52</v>
      </c>
      <c r="AN356" s="474" t="s">
        <v>1074</v>
      </c>
      <c r="AO356" s="474"/>
      <c r="AP356" s="486"/>
      <c r="AQ356" s="486" t="s">
        <v>37</v>
      </c>
      <c r="AR356" s="478"/>
      <c r="AS356" s="495"/>
      <c r="AT356" s="495"/>
      <c r="AU356" s="378"/>
      <c r="AV356" s="478"/>
    </row>
    <row r="357" spans="1:48" s="471" customFormat="1" ht="15" customHeight="1">
      <c r="A357" s="472"/>
      <c r="B357" s="514"/>
      <c r="C357" s="472"/>
      <c r="D357" s="512" t="s">
        <v>2322</v>
      </c>
      <c r="E357" s="501"/>
      <c r="F357" s="501"/>
      <c r="G357" s="501">
        <v>2022</v>
      </c>
      <c r="H357" s="501" t="s">
        <v>1286</v>
      </c>
      <c r="I357" s="512" t="s">
        <v>1676</v>
      </c>
      <c r="J357" s="502"/>
      <c r="K357" s="372" t="s">
        <v>4336</v>
      </c>
      <c r="L357" s="503" t="s">
        <v>2459</v>
      </c>
      <c r="M357" s="504">
        <v>44655</v>
      </c>
      <c r="N357" s="504">
        <v>44925</v>
      </c>
      <c r="O357" s="504"/>
      <c r="P357" s="370"/>
      <c r="Q357" s="502"/>
      <c r="R357" s="502"/>
      <c r="S357" s="501" t="s">
        <v>1563</v>
      </c>
      <c r="T357" s="501">
        <v>60</v>
      </c>
      <c r="U357" s="371">
        <v>49201132</v>
      </c>
      <c r="V357" s="501" t="s">
        <v>986</v>
      </c>
      <c r="W357" s="501">
        <v>360</v>
      </c>
      <c r="X357" s="505">
        <v>832</v>
      </c>
      <c r="Y357" s="477">
        <f t="shared" si="88"/>
        <v>299520</v>
      </c>
      <c r="Z357" s="478">
        <f t="shared" si="90"/>
        <v>0.53500000000000003</v>
      </c>
      <c r="AA357" s="492">
        <f t="shared" si="74"/>
        <v>160243.20000000001</v>
      </c>
      <c r="AB357" s="480"/>
      <c r="AC357" s="481">
        <f t="shared" si="79"/>
        <v>0</v>
      </c>
      <c r="AD357" s="490"/>
      <c r="AE357" s="482"/>
      <c r="AF357" s="493">
        <f t="shared" si="89"/>
        <v>160243.20000000001</v>
      </c>
      <c r="AG357" s="474" t="s">
        <v>1071</v>
      </c>
      <c r="AH357" s="474"/>
      <c r="AI357" s="483" t="s">
        <v>2442</v>
      </c>
      <c r="AJ357" s="474" t="s">
        <v>4328</v>
      </c>
      <c r="AK357" s="494" t="s">
        <v>2321</v>
      </c>
      <c r="AL357" s="474">
        <v>95834</v>
      </c>
      <c r="AM357" s="474" t="s">
        <v>52</v>
      </c>
      <c r="AN357" s="474" t="s">
        <v>1074</v>
      </c>
      <c r="AO357" s="474"/>
      <c r="AP357" s="486"/>
      <c r="AQ357" s="486" t="s">
        <v>37</v>
      </c>
      <c r="AR357" s="478"/>
      <c r="AS357" s="495"/>
      <c r="AT357" s="495"/>
      <c r="AU357" s="378"/>
      <c r="AV357" s="478"/>
    </row>
    <row r="358" spans="1:48" s="471" customFormat="1" ht="15" customHeight="1">
      <c r="A358" s="472"/>
      <c r="B358" s="514"/>
      <c r="C358" s="472"/>
      <c r="D358" s="512" t="s">
        <v>2322</v>
      </c>
      <c r="E358" s="501"/>
      <c r="F358" s="501"/>
      <c r="G358" s="501">
        <v>2022</v>
      </c>
      <c r="H358" s="501" t="s">
        <v>1286</v>
      </c>
      <c r="I358" s="512" t="s">
        <v>1676</v>
      </c>
      <c r="J358" s="502"/>
      <c r="K358" s="372" t="s">
        <v>4337</v>
      </c>
      <c r="L358" s="503" t="s">
        <v>2459</v>
      </c>
      <c r="M358" s="504">
        <v>44655</v>
      </c>
      <c r="N358" s="504">
        <v>44925</v>
      </c>
      <c r="O358" s="504"/>
      <c r="P358" s="502"/>
      <c r="Q358" s="502"/>
      <c r="R358" s="502"/>
      <c r="S358" s="501" t="s">
        <v>1563</v>
      </c>
      <c r="T358" s="501">
        <v>60</v>
      </c>
      <c r="U358" s="501">
        <v>49201132</v>
      </c>
      <c r="V358" s="501" t="s">
        <v>986</v>
      </c>
      <c r="W358" s="501">
        <v>360</v>
      </c>
      <c r="X358" s="505">
        <v>832</v>
      </c>
      <c r="Y358" s="477">
        <f t="shared" si="88"/>
        <v>299520</v>
      </c>
      <c r="Z358" s="478">
        <f t="shared" si="90"/>
        <v>0.53500000000000003</v>
      </c>
      <c r="AA358" s="492">
        <f t="shared" si="74"/>
        <v>160243.20000000001</v>
      </c>
      <c r="AB358" s="480"/>
      <c r="AC358" s="481">
        <f t="shared" si="79"/>
        <v>0</v>
      </c>
      <c r="AD358" s="490"/>
      <c r="AE358" s="482"/>
      <c r="AF358" s="493">
        <f t="shared" si="89"/>
        <v>160243.20000000001</v>
      </c>
      <c r="AG358" s="474" t="s">
        <v>1071</v>
      </c>
      <c r="AH358" s="474"/>
      <c r="AI358" s="483" t="s">
        <v>2442</v>
      </c>
      <c r="AJ358" s="474" t="s">
        <v>4328</v>
      </c>
      <c r="AK358" s="494" t="s">
        <v>2321</v>
      </c>
      <c r="AL358" s="474">
        <v>95834</v>
      </c>
      <c r="AM358" s="474" t="s">
        <v>52</v>
      </c>
      <c r="AN358" s="474" t="s">
        <v>1074</v>
      </c>
      <c r="AO358" s="474"/>
      <c r="AP358" s="486"/>
      <c r="AQ358" s="486" t="s">
        <v>37</v>
      </c>
      <c r="AR358" s="478"/>
      <c r="AS358" s="495"/>
      <c r="AT358" s="495"/>
      <c r="AU358" s="495"/>
      <c r="AV358" s="478"/>
    </row>
    <row r="359" spans="1:48" s="471" customFormat="1" ht="15" customHeight="1">
      <c r="A359" s="472"/>
      <c r="B359" s="514">
        <v>44557</v>
      </c>
      <c r="C359" s="472"/>
      <c r="D359" s="512" t="s">
        <v>2322</v>
      </c>
      <c r="E359" s="501" t="s">
        <v>2726</v>
      </c>
      <c r="F359" s="501"/>
      <c r="G359" s="501">
        <v>2022</v>
      </c>
      <c r="H359" s="501" t="s">
        <v>1676</v>
      </c>
      <c r="I359" s="512" t="s">
        <v>1676</v>
      </c>
      <c r="J359" s="502"/>
      <c r="K359" s="503" t="s">
        <v>4338</v>
      </c>
      <c r="L359" s="501" t="s">
        <v>2459</v>
      </c>
      <c r="M359" s="504">
        <v>44545</v>
      </c>
      <c r="N359" s="504">
        <v>44868</v>
      </c>
      <c r="O359" s="504"/>
      <c r="P359" s="370"/>
      <c r="Q359" s="502"/>
      <c r="R359" s="502"/>
      <c r="S359" s="501" t="s">
        <v>1563</v>
      </c>
      <c r="T359" s="501">
        <v>60</v>
      </c>
      <c r="U359" s="371">
        <v>49401140</v>
      </c>
      <c r="V359" s="501" t="s">
        <v>2855</v>
      </c>
      <c r="W359" s="501">
        <v>400</v>
      </c>
      <c r="X359" s="505">
        <v>768</v>
      </c>
      <c r="Y359" s="477">
        <f t="shared" si="88"/>
        <v>307200</v>
      </c>
      <c r="Z359" s="478">
        <v>0.52500000000000002</v>
      </c>
      <c r="AA359" s="492">
        <f t="shared" si="74"/>
        <v>161280</v>
      </c>
      <c r="AB359" s="480"/>
      <c r="AC359" s="481">
        <f t="shared" si="79"/>
        <v>0</v>
      </c>
      <c r="AD359" s="490"/>
      <c r="AE359" s="482"/>
      <c r="AF359" s="493">
        <f t="shared" si="89"/>
        <v>161280</v>
      </c>
      <c r="AG359" s="474" t="s">
        <v>1071</v>
      </c>
      <c r="AH359" s="474"/>
      <c r="AI359" s="483">
        <v>60</v>
      </c>
      <c r="AJ359" s="474" t="s">
        <v>2621</v>
      </c>
      <c r="AK359" s="494" t="s">
        <v>1144</v>
      </c>
      <c r="AL359" s="474">
        <v>78216</v>
      </c>
      <c r="AM359" s="474" t="s">
        <v>52</v>
      </c>
      <c r="AN359" s="474" t="s">
        <v>1074</v>
      </c>
      <c r="AO359" s="474"/>
      <c r="AP359" s="486"/>
      <c r="AQ359" s="486" t="s">
        <v>37</v>
      </c>
      <c r="AR359" s="486"/>
      <c r="AS359" s="495"/>
      <c r="AT359" s="495"/>
      <c r="AU359" s="378"/>
      <c r="AV359" s="478"/>
    </row>
    <row r="360" spans="1:48" s="471" customFormat="1" ht="15" customHeight="1">
      <c r="A360" s="472"/>
      <c r="B360" s="514">
        <v>44557</v>
      </c>
      <c r="C360" s="472"/>
      <c r="D360" s="512" t="s">
        <v>2322</v>
      </c>
      <c r="E360" s="501" t="s">
        <v>2726</v>
      </c>
      <c r="F360" s="501"/>
      <c r="G360" s="501">
        <v>2022</v>
      </c>
      <c r="H360" s="501" t="s">
        <v>1676</v>
      </c>
      <c r="I360" s="512" t="s">
        <v>1676</v>
      </c>
      <c r="J360" s="502"/>
      <c r="K360" s="503" t="s">
        <v>4339</v>
      </c>
      <c r="L360" s="501" t="s">
        <v>2459</v>
      </c>
      <c r="M360" s="504">
        <v>44545</v>
      </c>
      <c r="N360" s="504">
        <v>44871</v>
      </c>
      <c r="O360" s="504"/>
      <c r="P360" s="370"/>
      <c r="Q360" s="502"/>
      <c r="R360" s="502"/>
      <c r="S360" s="501" t="s">
        <v>1563</v>
      </c>
      <c r="T360" s="501">
        <v>60</v>
      </c>
      <c r="U360" s="371">
        <v>49401140</v>
      </c>
      <c r="V360" s="501" t="s">
        <v>2855</v>
      </c>
      <c r="W360" s="501">
        <v>400</v>
      </c>
      <c r="X360" s="505">
        <v>768</v>
      </c>
      <c r="Y360" s="477">
        <f t="shared" si="88"/>
        <v>307200</v>
      </c>
      <c r="Z360" s="478">
        <v>0.52500000000000002</v>
      </c>
      <c r="AA360" s="492">
        <f t="shared" si="74"/>
        <v>161280</v>
      </c>
      <c r="AB360" s="480"/>
      <c r="AC360" s="481">
        <f t="shared" si="79"/>
        <v>0</v>
      </c>
      <c r="AD360" s="490"/>
      <c r="AE360" s="482"/>
      <c r="AF360" s="493">
        <f t="shared" si="89"/>
        <v>161280</v>
      </c>
      <c r="AG360" s="474" t="s">
        <v>1071</v>
      </c>
      <c r="AH360" s="474"/>
      <c r="AI360" s="483">
        <v>60</v>
      </c>
      <c r="AJ360" s="474" t="s">
        <v>2621</v>
      </c>
      <c r="AK360" s="494" t="s">
        <v>1144</v>
      </c>
      <c r="AL360" s="474">
        <v>78216</v>
      </c>
      <c r="AM360" s="474" t="s">
        <v>52</v>
      </c>
      <c r="AN360" s="474" t="s">
        <v>1074</v>
      </c>
      <c r="AO360" s="474"/>
      <c r="AP360" s="486"/>
      <c r="AQ360" s="486" t="s">
        <v>37</v>
      </c>
      <c r="AR360" s="486"/>
      <c r="AS360" s="495"/>
      <c r="AT360" s="495"/>
      <c r="AU360" s="378"/>
      <c r="AV360" s="478"/>
    </row>
    <row r="361" spans="1:48" s="471" customFormat="1" ht="15" customHeight="1">
      <c r="A361" s="472"/>
      <c r="B361" s="514">
        <v>44557</v>
      </c>
      <c r="C361" s="472"/>
      <c r="D361" s="512" t="s">
        <v>2322</v>
      </c>
      <c r="E361" s="501" t="s">
        <v>2726</v>
      </c>
      <c r="F361" s="501"/>
      <c r="G361" s="501">
        <v>2022</v>
      </c>
      <c r="H361" s="501" t="s">
        <v>1676</v>
      </c>
      <c r="I361" s="512" t="s">
        <v>1676</v>
      </c>
      <c r="J361" s="502"/>
      <c r="K361" s="503" t="s">
        <v>4340</v>
      </c>
      <c r="L361" s="501" t="s">
        <v>2459</v>
      </c>
      <c r="M361" s="504">
        <v>44545</v>
      </c>
      <c r="N361" s="504">
        <v>44876</v>
      </c>
      <c r="O361" s="504"/>
      <c r="P361" s="370"/>
      <c r="Q361" s="502"/>
      <c r="R361" s="502"/>
      <c r="S361" s="501" t="s">
        <v>1563</v>
      </c>
      <c r="T361" s="501">
        <v>60</v>
      </c>
      <c r="U361" s="371">
        <v>49401140</v>
      </c>
      <c r="V361" s="501" t="s">
        <v>2855</v>
      </c>
      <c r="W361" s="501">
        <v>400</v>
      </c>
      <c r="X361" s="505">
        <v>768</v>
      </c>
      <c r="Y361" s="477">
        <f t="shared" si="88"/>
        <v>307200</v>
      </c>
      <c r="Z361" s="478">
        <v>0.52500000000000002</v>
      </c>
      <c r="AA361" s="492">
        <f t="shared" si="74"/>
        <v>161280</v>
      </c>
      <c r="AB361" s="480"/>
      <c r="AC361" s="481">
        <f t="shared" si="79"/>
        <v>0</v>
      </c>
      <c r="AD361" s="490"/>
      <c r="AE361" s="482"/>
      <c r="AF361" s="493">
        <f t="shared" si="89"/>
        <v>161280</v>
      </c>
      <c r="AG361" s="474" t="s">
        <v>1071</v>
      </c>
      <c r="AH361" s="474"/>
      <c r="AI361" s="483">
        <v>60</v>
      </c>
      <c r="AJ361" s="474" t="s">
        <v>2621</v>
      </c>
      <c r="AK361" s="494" t="s">
        <v>1144</v>
      </c>
      <c r="AL361" s="474">
        <v>78216</v>
      </c>
      <c r="AM361" s="474" t="s">
        <v>52</v>
      </c>
      <c r="AN361" s="474" t="s">
        <v>1074</v>
      </c>
      <c r="AO361" s="474"/>
      <c r="AP361" s="486"/>
      <c r="AQ361" s="486" t="s">
        <v>37</v>
      </c>
      <c r="AR361" s="486"/>
      <c r="AS361" s="495"/>
      <c r="AT361" s="495"/>
      <c r="AU361" s="378"/>
      <c r="AV361" s="478"/>
    </row>
    <row r="362" spans="1:48" s="471" customFormat="1" ht="15" customHeight="1">
      <c r="A362" s="472"/>
      <c r="B362" s="514">
        <v>44557</v>
      </c>
      <c r="C362" s="472"/>
      <c r="D362" s="512" t="s">
        <v>2322</v>
      </c>
      <c r="E362" s="501" t="s">
        <v>2726</v>
      </c>
      <c r="F362" s="501"/>
      <c r="G362" s="501">
        <v>2022</v>
      </c>
      <c r="H362" s="501" t="s">
        <v>1676</v>
      </c>
      <c r="I362" s="512" t="s">
        <v>1676</v>
      </c>
      <c r="J362" s="502"/>
      <c r="K362" s="503" t="s">
        <v>4341</v>
      </c>
      <c r="L362" s="501" t="s">
        <v>2459</v>
      </c>
      <c r="M362" s="504">
        <v>44545</v>
      </c>
      <c r="N362" s="504">
        <v>44878</v>
      </c>
      <c r="O362" s="504"/>
      <c r="P362" s="370"/>
      <c r="Q362" s="502"/>
      <c r="R362" s="502"/>
      <c r="S362" s="501" t="s">
        <v>1563</v>
      </c>
      <c r="T362" s="501">
        <v>60</v>
      </c>
      <c r="U362" s="371">
        <v>49401140</v>
      </c>
      <c r="V362" s="501" t="s">
        <v>2855</v>
      </c>
      <c r="W362" s="501">
        <v>400</v>
      </c>
      <c r="X362" s="505">
        <v>768</v>
      </c>
      <c r="Y362" s="477">
        <f t="shared" si="88"/>
        <v>307200</v>
      </c>
      <c r="Z362" s="478">
        <v>0.52500000000000002</v>
      </c>
      <c r="AA362" s="492">
        <f t="shared" si="74"/>
        <v>161280</v>
      </c>
      <c r="AB362" s="480"/>
      <c r="AC362" s="481">
        <f t="shared" si="79"/>
        <v>0</v>
      </c>
      <c r="AD362" s="490"/>
      <c r="AE362" s="482"/>
      <c r="AF362" s="493">
        <f t="shared" si="89"/>
        <v>161280</v>
      </c>
      <c r="AG362" s="474" t="s">
        <v>1071</v>
      </c>
      <c r="AH362" s="474"/>
      <c r="AI362" s="483">
        <v>60</v>
      </c>
      <c r="AJ362" s="474" t="s">
        <v>2621</v>
      </c>
      <c r="AK362" s="494" t="s">
        <v>1144</v>
      </c>
      <c r="AL362" s="474">
        <v>78216</v>
      </c>
      <c r="AM362" s="474" t="s">
        <v>52</v>
      </c>
      <c r="AN362" s="474" t="s">
        <v>1074</v>
      </c>
      <c r="AO362" s="474"/>
      <c r="AP362" s="486"/>
      <c r="AQ362" s="486" t="s">
        <v>37</v>
      </c>
      <c r="AR362" s="486"/>
      <c r="AS362" s="495"/>
      <c r="AT362" s="495"/>
      <c r="AU362" s="378"/>
      <c r="AV362" s="478"/>
    </row>
    <row r="363" spans="1:48" s="471" customFormat="1" ht="15" customHeight="1">
      <c r="A363" s="472"/>
      <c r="B363" s="514">
        <v>44557</v>
      </c>
      <c r="C363" s="472"/>
      <c r="D363" s="512" t="s">
        <v>2322</v>
      </c>
      <c r="E363" s="501" t="s">
        <v>2726</v>
      </c>
      <c r="F363" s="501"/>
      <c r="G363" s="501">
        <v>2022</v>
      </c>
      <c r="H363" s="501" t="s">
        <v>1676</v>
      </c>
      <c r="I363" s="512" t="s">
        <v>1676</v>
      </c>
      <c r="J363" s="502"/>
      <c r="K363" s="503" t="s">
        <v>4342</v>
      </c>
      <c r="L363" s="501" t="s">
        <v>2459</v>
      </c>
      <c r="M363" s="504">
        <v>44545</v>
      </c>
      <c r="N363" s="504">
        <v>44881</v>
      </c>
      <c r="O363" s="504"/>
      <c r="P363" s="370"/>
      <c r="Q363" s="502"/>
      <c r="R363" s="502"/>
      <c r="S363" s="501" t="s">
        <v>1563</v>
      </c>
      <c r="T363" s="501">
        <v>60</v>
      </c>
      <c r="U363" s="371">
        <v>49401140</v>
      </c>
      <c r="V363" s="501" t="s">
        <v>2855</v>
      </c>
      <c r="W363" s="501">
        <v>400</v>
      </c>
      <c r="X363" s="505">
        <v>768</v>
      </c>
      <c r="Y363" s="477">
        <f t="shared" si="88"/>
        <v>307200</v>
      </c>
      <c r="Z363" s="478">
        <v>0.52500000000000002</v>
      </c>
      <c r="AA363" s="492">
        <f t="shared" si="74"/>
        <v>161280</v>
      </c>
      <c r="AB363" s="480"/>
      <c r="AC363" s="481">
        <f t="shared" si="79"/>
        <v>0</v>
      </c>
      <c r="AD363" s="490"/>
      <c r="AE363" s="482"/>
      <c r="AF363" s="493">
        <f t="shared" si="89"/>
        <v>161280</v>
      </c>
      <c r="AG363" s="474" t="s">
        <v>1071</v>
      </c>
      <c r="AH363" s="474"/>
      <c r="AI363" s="483">
        <v>60</v>
      </c>
      <c r="AJ363" s="474" t="s">
        <v>2621</v>
      </c>
      <c r="AK363" s="494" t="s">
        <v>1144</v>
      </c>
      <c r="AL363" s="474">
        <v>78216</v>
      </c>
      <c r="AM363" s="474" t="s">
        <v>52</v>
      </c>
      <c r="AN363" s="474" t="s">
        <v>1074</v>
      </c>
      <c r="AO363" s="474"/>
      <c r="AP363" s="486"/>
      <c r="AQ363" s="486" t="s">
        <v>37</v>
      </c>
      <c r="AR363" s="486"/>
      <c r="AS363" s="495"/>
      <c r="AT363" s="495"/>
      <c r="AU363" s="378"/>
      <c r="AV363" s="478"/>
    </row>
    <row r="364" spans="1:48" s="471" customFormat="1" ht="15" customHeight="1">
      <c r="A364" s="472"/>
      <c r="B364" s="514">
        <v>44557</v>
      </c>
      <c r="C364" s="472"/>
      <c r="D364" s="512" t="s">
        <v>2322</v>
      </c>
      <c r="E364" s="501" t="s">
        <v>2726</v>
      </c>
      <c r="F364" s="501"/>
      <c r="G364" s="501">
        <v>2022</v>
      </c>
      <c r="H364" s="501" t="s">
        <v>1676</v>
      </c>
      <c r="I364" s="512" t="s">
        <v>1676</v>
      </c>
      <c r="J364" s="502"/>
      <c r="K364" s="503" t="s">
        <v>4343</v>
      </c>
      <c r="L364" s="501" t="s">
        <v>2459</v>
      </c>
      <c r="M364" s="504">
        <v>44545</v>
      </c>
      <c r="N364" s="504">
        <v>44885</v>
      </c>
      <c r="O364" s="504"/>
      <c r="P364" s="370"/>
      <c r="Q364" s="502"/>
      <c r="R364" s="502"/>
      <c r="S364" s="501" t="s">
        <v>1563</v>
      </c>
      <c r="T364" s="501">
        <v>60</v>
      </c>
      <c r="U364" s="371">
        <v>49401140</v>
      </c>
      <c r="V364" s="501" t="s">
        <v>2855</v>
      </c>
      <c r="W364" s="501">
        <v>400</v>
      </c>
      <c r="X364" s="505">
        <v>768</v>
      </c>
      <c r="Y364" s="477">
        <f t="shared" si="88"/>
        <v>307200</v>
      </c>
      <c r="Z364" s="478">
        <v>0.52500000000000002</v>
      </c>
      <c r="AA364" s="492">
        <f t="shared" si="74"/>
        <v>161280</v>
      </c>
      <c r="AB364" s="480"/>
      <c r="AC364" s="481">
        <f t="shared" si="79"/>
        <v>0</v>
      </c>
      <c r="AD364" s="490"/>
      <c r="AE364" s="482"/>
      <c r="AF364" s="493">
        <f t="shared" si="89"/>
        <v>161280</v>
      </c>
      <c r="AG364" s="474" t="s">
        <v>1071</v>
      </c>
      <c r="AH364" s="474"/>
      <c r="AI364" s="483">
        <v>60</v>
      </c>
      <c r="AJ364" s="474" t="s">
        <v>2621</v>
      </c>
      <c r="AK364" s="494" t="s">
        <v>1144</v>
      </c>
      <c r="AL364" s="474">
        <v>78216</v>
      </c>
      <c r="AM364" s="474" t="s">
        <v>52</v>
      </c>
      <c r="AN364" s="474" t="s">
        <v>1074</v>
      </c>
      <c r="AO364" s="474"/>
      <c r="AP364" s="486"/>
      <c r="AQ364" s="486" t="s">
        <v>37</v>
      </c>
      <c r="AR364" s="486"/>
      <c r="AS364" s="495"/>
      <c r="AT364" s="495"/>
      <c r="AU364" s="378"/>
      <c r="AV364" s="478"/>
    </row>
    <row r="365" spans="1:48" s="471" customFormat="1" ht="15" customHeight="1">
      <c r="A365" s="472"/>
      <c r="B365" s="514">
        <v>44557</v>
      </c>
      <c r="C365" s="472"/>
      <c r="D365" s="512" t="s">
        <v>2322</v>
      </c>
      <c r="E365" s="501" t="s">
        <v>2726</v>
      </c>
      <c r="F365" s="501"/>
      <c r="G365" s="501">
        <v>2022</v>
      </c>
      <c r="H365" s="501" t="s">
        <v>1676</v>
      </c>
      <c r="I365" s="512" t="s">
        <v>1676</v>
      </c>
      <c r="J365" s="502"/>
      <c r="K365" s="503" t="s">
        <v>4344</v>
      </c>
      <c r="L365" s="501" t="s">
        <v>2459</v>
      </c>
      <c r="M365" s="504">
        <v>44545</v>
      </c>
      <c r="N365" s="504">
        <v>44887</v>
      </c>
      <c r="O365" s="504"/>
      <c r="P365" s="370"/>
      <c r="Q365" s="502"/>
      <c r="R365" s="502"/>
      <c r="S365" s="501" t="s">
        <v>1563</v>
      </c>
      <c r="T365" s="501">
        <v>60</v>
      </c>
      <c r="U365" s="371">
        <v>49401140</v>
      </c>
      <c r="V365" s="501" t="s">
        <v>2855</v>
      </c>
      <c r="W365" s="501">
        <v>400</v>
      </c>
      <c r="X365" s="505">
        <v>768</v>
      </c>
      <c r="Y365" s="477">
        <f t="shared" si="88"/>
        <v>307200</v>
      </c>
      <c r="Z365" s="478">
        <v>0.52500000000000002</v>
      </c>
      <c r="AA365" s="492">
        <f t="shared" si="74"/>
        <v>161280</v>
      </c>
      <c r="AB365" s="480"/>
      <c r="AC365" s="481">
        <f t="shared" si="79"/>
        <v>0</v>
      </c>
      <c r="AD365" s="490"/>
      <c r="AE365" s="482"/>
      <c r="AF365" s="493">
        <f t="shared" si="89"/>
        <v>161280</v>
      </c>
      <c r="AG365" s="474" t="s">
        <v>1071</v>
      </c>
      <c r="AH365" s="474"/>
      <c r="AI365" s="483">
        <v>60</v>
      </c>
      <c r="AJ365" s="474" t="s">
        <v>2621</v>
      </c>
      <c r="AK365" s="494" t="s">
        <v>1144</v>
      </c>
      <c r="AL365" s="474">
        <v>78216</v>
      </c>
      <c r="AM365" s="474" t="s">
        <v>52</v>
      </c>
      <c r="AN365" s="474" t="s">
        <v>1074</v>
      </c>
      <c r="AO365" s="474"/>
      <c r="AP365" s="486"/>
      <c r="AQ365" s="486" t="s">
        <v>37</v>
      </c>
      <c r="AR365" s="486"/>
      <c r="AS365" s="495"/>
      <c r="AT365" s="495"/>
      <c r="AU365" s="378"/>
      <c r="AV365" s="478"/>
    </row>
    <row r="366" spans="1:48" s="471" customFormat="1" ht="15" customHeight="1">
      <c r="A366" s="472"/>
      <c r="B366" s="514">
        <v>44557</v>
      </c>
      <c r="C366" s="472"/>
      <c r="D366" s="512" t="s">
        <v>2322</v>
      </c>
      <c r="E366" s="501" t="s">
        <v>2726</v>
      </c>
      <c r="F366" s="501"/>
      <c r="G366" s="501">
        <v>2022</v>
      </c>
      <c r="H366" s="501" t="s">
        <v>1676</v>
      </c>
      <c r="I366" s="512" t="s">
        <v>1676</v>
      </c>
      <c r="J366" s="502"/>
      <c r="K366" s="503" t="s">
        <v>4345</v>
      </c>
      <c r="L366" s="501" t="s">
        <v>2459</v>
      </c>
      <c r="M366" s="504">
        <v>44545</v>
      </c>
      <c r="N366" s="504">
        <v>44896</v>
      </c>
      <c r="O366" s="504"/>
      <c r="P366" s="370"/>
      <c r="Q366" s="502"/>
      <c r="R366" s="502"/>
      <c r="S366" s="501" t="s">
        <v>1563</v>
      </c>
      <c r="T366" s="501">
        <v>60</v>
      </c>
      <c r="U366" s="371">
        <v>49401140</v>
      </c>
      <c r="V366" s="501" t="s">
        <v>2855</v>
      </c>
      <c r="W366" s="501">
        <v>400</v>
      </c>
      <c r="X366" s="505">
        <v>768</v>
      </c>
      <c r="Y366" s="477">
        <f t="shared" si="88"/>
        <v>307200</v>
      </c>
      <c r="Z366" s="478">
        <v>0.52500000000000002</v>
      </c>
      <c r="AA366" s="492">
        <f t="shared" si="74"/>
        <v>161280</v>
      </c>
      <c r="AB366" s="480"/>
      <c r="AC366" s="481">
        <f t="shared" si="79"/>
        <v>0</v>
      </c>
      <c r="AD366" s="490"/>
      <c r="AE366" s="482"/>
      <c r="AF366" s="493">
        <f t="shared" si="89"/>
        <v>161280</v>
      </c>
      <c r="AG366" s="474" t="s">
        <v>1071</v>
      </c>
      <c r="AH366" s="474"/>
      <c r="AI366" s="483">
        <v>60</v>
      </c>
      <c r="AJ366" s="474" t="s">
        <v>2621</v>
      </c>
      <c r="AK366" s="494" t="s">
        <v>1144</v>
      </c>
      <c r="AL366" s="474">
        <v>78216</v>
      </c>
      <c r="AM366" s="474" t="s">
        <v>52</v>
      </c>
      <c r="AN366" s="474" t="s">
        <v>1074</v>
      </c>
      <c r="AO366" s="474"/>
      <c r="AP366" s="486"/>
      <c r="AQ366" s="486" t="s">
        <v>37</v>
      </c>
      <c r="AR366" s="486"/>
      <c r="AS366" s="495"/>
      <c r="AT366" s="495"/>
      <c r="AU366" s="378"/>
      <c r="AV366" s="478"/>
    </row>
    <row r="367" spans="1:48" s="471" customFormat="1" ht="15" customHeight="1">
      <c r="A367" s="472"/>
      <c r="B367" s="514">
        <v>44557</v>
      </c>
      <c r="C367" s="472"/>
      <c r="D367" s="512" t="s">
        <v>2322</v>
      </c>
      <c r="E367" s="501" t="s">
        <v>2726</v>
      </c>
      <c r="F367" s="501"/>
      <c r="G367" s="501">
        <v>2022</v>
      </c>
      <c r="H367" s="501" t="s">
        <v>1676</v>
      </c>
      <c r="I367" s="512" t="s">
        <v>1676</v>
      </c>
      <c r="J367" s="502"/>
      <c r="K367" s="503" t="s">
        <v>4346</v>
      </c>
      <c r="L367" s="501" t="s">
        <v>2459</v>
      </c>
      <c r="M367" s="504">
        <v>44545</v>
      </c>
      <c r="N367" s="504">
        <v>44898</v>
      </c>
      <c r="O367" s="504"/>
      <c r="P367" s="370"/>
      <c r="Q367" s="502"/>
      <c r="R367" s="502"/>
      <c r="S367" s="501" t="s">
        <v>1563</v>
      </c>
      <c r="T367" s="501">
        <v>60</v>
      </c>
      <c r="U367" s="371">
        <v>49401140</v>
      </c>
      <c r="V367" s="501" t="s">
        <v>2855</v>
      </c>
      <c r="W367" s="501">
        <v>400</v>
      </c>
      <c r="X367" s="505">
        <v>768</v>
      </c>
      <c r="Y367" s="477">
        <f t="shared" si="88"/>
        <v>307200</v>
      </c>
      <c r="Z367" s="478">
        <v>0.52500000000000002</v>
      </c>
      <c r="AA367" s="492">
        <f t="shared" si="74"/>
        <v>161280</v>
      </c>
      <c r="AB367" s="480"/>
      <c r="AC367" s="481">
        <f t="shared" si="79"/>
        <v>0</v>
      </c>
      <c r="AD367" s="490"/>
      <c r="AE367" s="482"/>
      <c r="AF367" s="493">
        <f t="shared" si="89"/>
        <v>161280</v>
      </c>
      <c r="AG367" s="474" t="s">
        <v>1071</v>
      </c>
      <c r="AH367" s="474"/>
      <c r="AI367" s="483">
        <v>60</v>
      </c>
      <c r="AJ367" s="474" t="s">
        <v>2621</v>
      </c>
      <c r="AK367" s="494" t="s">
        <v>1144</v>
      </c>
      <c r="AL367" s="474">
        <v>78216</v>
      </c>
      <c r="AM367" s="474" t="s">
        <v>52</v>
      </c>
      <c r="AN367" s="474" t="s">
        <v>1074</v>
      </c>
      <c r="AO367" s="474"/>
      <c r="AP367" s="486"/>
      <c r="AQ367" s="486" t="s">
        <v>37</v>
      </c>
      <c r="AR367" s="486"/>
      <c r="AS367" s="495"/>
      <c r="AT367" s="495"/>
      <c r="AU367" s="378"/>
      <c r="AV367" s="478"/>
    </row>
    <row r="368" spans="1:48" s="471" customFormat="1" ht="15" customHeight="1">
      <c r="A368" s="472"/>
      <c r="B368" s="514">
        <v>44557</v>
      </c>
      <c r="C368" s="472"/>
      <c r="D368" s="512" t="s">
        <v>2322</v>
      </c>
      <c r="E368" s="501" t="s">
        <v>2726</v>
      </c>
      <c r="F368" s="501"/>
      <c r="G368" s="501">
        <v>2022</v>
      </c>
      <c r="H368" s="501" t="s">
        <v>1676</v>
      </c>
      <c r="I368" s="512" t="s">
        <v>1676</v>
      </c>
      <c r="J368" s="502"/>
      <c r="K368" s="503" t="s">
        <v>4347</v>
      </c>
      <c r="L368" s="501" t="s">
        <v>2459</v>
      </c>
      <c r="M368" s="504">
        <v>44545</v>
      </c>
      <c r="N368" s="504">
        <v>44901</v>
      </c>
      <c r="O368" s="504"/>
      <c r="P368" s="370"/>
      <c r="Q368" s="502"/>
      <c r="R368" s="502"/>
      <c r="S368" s="501" t="s">
        <v>1563</v>
      </c>
      <c r="T368" s="501">
        <v>60</v>
      </c>
      <c r="U368" s="371">
        <v>49401140</v>
      </c>
      <c r="V368" s="501" t="s">
        <v>2855</v>
      </c>
      <c r="W368" s="501">
        <v>400</v>
      </c>
      <c r="X368" s="505">
        <v>768</v>
      </c>
      <c r="Y368" s="477">
        <f t="shared" si="88"/>
        <v>307200</v>
      </c>
      <c r="Z368" s="478">
        <v>0.52500000000000002</v>
      </c>
      <c r="AA368" s="492">
        <f t="shared" si="74"/>
        <v>161280</v>
      </c>
      <c r="AB368" s="480"/>
      <c r="AC368" s="481">
        <f t="shared" si="79"/>
        <v>0</v>
      </c>
      <c r="AD368" s="490"/>
      <c r="AE368" s="482"/>
      <c r="AF368" s="493">
        <f t="shared" si="89"/>
        <v>161280</v>
      </c>
      <c r="AG368" s="474" t="s">
        <v>1071</v>
      </c>
      <c r="AH368" s="474"/>
      <c r="AI368" s="483">
        <v>60</v>
      </c>
      <c r="AJ368" s="474" t="s">
        <v>2621</v>
      </c>
      <c r="AK368" s="494" t="s">
        <v>1144</v>
      </c>
      <c r="AL368" s="474">
        <v>78216</v>
      </c>
      <c r="AM368" s="474" t="s">
        <v>52</v>
      </c>
      <c r="AN368" s="474" t="s">
        <v>1074</v>
      </c>
      <c r="AO368" s="474"/>
      <c r="AP368" s="486"/>
      <c r="AQ368" s="486" t="s">
        <v>37</v>
      </c>
      <c r="AR368" s="486"/>
      <c r="AS368" s="495"/>
      <c r="AT368" s="495"/>
      <c r="AU368" s="378"/>
      <c r="AV368" s="478"/>
    </row>
    <row r="369" spans="1:48" s="471" customFormat="1" ht="15" customHeight="1">
      <c r="A369" s="472"/>
      <c r="B369" s="514">
        <v>44522</v>
      </c>
      <c r="C369" s="472"/>
      <c r="D369" s="512" t="s">
        <v>2322</v>
      </c>
      <c r="E369" s="501" t="s">
        <v>2726</v>
      </c>
      <c r="F369" s="501"/>
      <c r="G369" s="501">
        <v>2022</v>
      </c>
      <c r="H369" s="501" t="s">
        <v>1676</v>
      </c>
      <c r="I369" s="512" t="s">
        <v>1676</v>
      </c>
      <c r="J369" s="502"/>
      <c r="K369" s="503" t="s">
        <v>4348</v>
      </c>
      <c r="L369" s="501" t="s">
        <v>2459</v>
      </c>
      <c r="M369" s="504">
        <v>44518</v>
      </c>
      <c r="N369" s="504">
        <v>44577</v>
      </c>
      <c r="O369" s="504"/>
      <c r="P369" s="370"/>
      <c r="Q369" s="502"/>
      <c r="R369" s="502"/>
      <c r="S369" s="501" t="s">
        <v>1563</v>
      </c>
      <c r="T369" s="501">
        <v>60</v>
      </c>
      <c r="U369" s="371">
        <v>49401140</v>
      </c>
      <c r="V369" s="501" t="s">
        <v>973</v>
      </c>
      <c r="W369" s="501">
        <v>400</v>
      </c>
      <c r="X369" s="505">
        <v>768</v>
      </c>
      <c r="Y369" s="477">
        <f t="shared" si="88"/>
        <v>307200</v>
      </c>
      <c r="Z369" s="478">
        <f>210/400</f>
        <v>0.52500000000000002</v>
      </c>
      <c r="AA369" s="492">
        <f t="shared" si="74"/>
        <v>161280</v>
      </c>
      <c r="AB369" s="480"/>
      <c r="AC369" s="481">
        <f t="shared" si="79"/>
        <v>0</v>
      </c>
      <c r="AD369" s="490"/>
      <c r="AE369" s="482"/>
      <c r="AF369" s="493">
        <f t="shared" si="89"/>
        <v>161280</v>
      </c>
      <c r="AG369" s="474" t="s">
        <v>1071</v>
      </c>
      <c r="AH369" s="474"/>
      <c r="AI369" s="483" t="s">
        <v>2442</v>
      </c>
      <c r="AJ369" s="474" t="s">
        <v>2384</v>
      </c>
      <c r="AK369" s="494" t="s">
        <v>1144</v>
      </c>
      <c r="AL369" s="474">
        <v>75063</v>
      </c>
      <c r="AM369" s="474" t="s">
        <v>52</v>
      </c>
      <c r="AN369" s="474"/>
      <c r="AO369" s="474"/>
      <c r="AP369" s="486"/>
      <c r="AQ369" s="486"/>
      <c r="AR369" s="486"/>
      <c r="AS369" s="495"/>
      <c r="AT369" s="495"/>
      <c r="AU369" s="378"/>
      <c r="AV369" s="478"/>
    </row>
    <row r="370" spans="1:48" s="471" customFormat="1" ht="15" customHeight="1">
      <c r="A370" s="472"/>
      <c r="B370" s="514">
        <v>44522</v>
      </c>
      <c r="C370" s="472"/>
      <c r="D370" s="512" t="s">
        <v>2322</v>
      </c>
      <c r="E370" s="501" t="s">
        <v>2726</v>
      </c>
      <c r="F370" s="501"/>
      <c r="G370" s="501">
        <v>2022</v>
      </c>
      <c r="H370" s="501" t="s">
        <v>1676</v>
      </c>
      <c r="I370" s="512" t="s">
        <v>1676</v>
      </c>
      <c r="J370" s="502"/>
      <c r="K370" s="503" t="s">
        <v>4349</v>
      </c>
      <c r="L370" s="501" t="s">
        <v>2459</v>
      </c>
      <c r="M370" s="504">
        <v>44518</v>
      </c>
      <c r="N370" s="504">
        <v>44608</v>
      </c>
      <c r="O370" s="504"/>
      <c r="P370" s="370"/>
      <c r="Q370" s="502"/>
      <c r="R370" s="502"/>
      <c r="S370" s="501" t="s">
        <v>1563</v>
      </c>
      <c r="T370" s="501">
        <v>60</v>
      </c>
      <c r="U370" s="371">
        <v>49401140</v>
      </c>
      <c r="V370" s="501" t="s">
        <v>973</v>
      </c>
      <c r="W370" s="501">
        <v>400</v>
      </c>
      <c r="X370" s="505">
        <v>768</v>
      </c>
      <c r="Y370" s="477">
        <f t="shared" si="88"/>
        <v>307200</v>
      </c>
      <c r="Z370" s="478">
        <f>210/400</f>
        <v>0.52500000000000002</v>
      </c>
      <c r="AA370" s="492">
        <f t="shared" si="74"/>
        <v>161280</v>
      </c>
      <c r="AB370" s="480"/>
      <c r="AC370" s="481">
        <f t="shared" si="79"/>
        <v>0</v>
      </c>
      <c r="AD370" s="490"/>
      <c r="AE370" s="482"/>
      <c r="AF370" s="493">
        <f t="shared" si="89"/>
        <v>161280</v>
      </c>
      <c r="AG370" s="474" t="s">
        <v>1071</v>
      </c>
      <c r="AH370" s="474"/>
      <c r="AI370" s="483" t="s">
        <v>2442</v>
      </c>
      <c r="AJ370" s="474" t="s">
        <v>2384</v>
      </c>
      <c r="AK370" s="494" t="s">
        <v>1144</v>
      </c>
      <c r="AL370" s="474">
        <v>75063</v>
      </c>
      <c r="AM370" s="474" t="s">
        <v>52</v>
      </c>
      <c r="AN370" s="474"/>
      <c r="AO370" s="474"/>
      <c r="AP370" s="486"/>
      <c r="AQ370" s="486"/>
      <c r="AR370" s="486"/>
      <c r="AS370" s="495"/>
      <c r="AT370" s="495"/>
      <c r="AU370" s="378"/>
      <c r="AV370" s="478"/>
    </row>
    <row r="371" spans="1:48" s="471" customFormat="1" ht="15" customHeight="1">
      <c r="A371" s="472"/>
      <c r="B371" s="514">
        <v>44522</v>
      </c>
      <c r="C371" s="472"/>
      <c r="D371" s="512" t="s">
        <v>2322</v>
      </c>
      <c r="E371" s="501" t="s">
        <v>2726</v>
      </c>
      <c r="F371" s="501"/>
      <c r="G371" s="501">
        <v>2022</v>
      </c>
      <c r="H371" s="501" t="s">
        <v>1676</v>
      </c>
      <c r="I371" s="512" t="s">
        <v>1676</v>
      </c>
      <c r="J371" s="502"/>
      <c r="K371" s="503" t="s">
        <v>4350</v>
      </c>
      <c r="L371" s="501" t="s">
        <v>2459</v>
      </c>
      <c r="M371" s="504">
        <v>44518</v>
      </c>
      <c r="N371" s="504">
        <v>44633</v>
      </c>
      <c r="O371" s="504"/>
      <c r="P371" s="370"/>
      <c r="Q371" s="502"/>
      <c r="R371" s="502"/>
      <c r="S371" s="501" t="s">
        <v>1563</v>
      </c>
      <c r="T371" s="501">
        <v>60</v>
      </c>
      <c r="U371" s="371">
        <v>49401140</v>
      </c>
      <c r="V371" s="501" t="s">
        <v>973</v>
      </c>
      <c r="W371" s="501">
        <v>400</v>
      </c>
      <c r="X371" s="505">
        <v>768</v>
      </c>
      <c r="Y371" s="477">
        <f t="shared" si="88"/>
        <v>307200</v>
      </c>
      <c r="Z371" s="478">
        <f>210/400</f>
        <v>0.52500000000000002</v>
      </c>
      <c r="AA371" s="492">
        <f t="shared" si="74"/>
        <v>161280</v>
      </c>
      <c r="AB371" s="480"/>
      <c r="AC371" s="481">
        <f t="shared" si="79"/>
        <v>0</v>
      </c>
      <c r="AD371" s="490"/>
      <c r="AE371" s="482"/>
      <c r="AF371" s="493">
        <f t="shared" si="89"/>
        <v>161280</v>
      </c>
      <c r="AG371" s="474" t="s">
        <v>1071</v>
      </c>
      <c r="AH371" s="474"/>
      <c r="AI371" s="483" t="s">
        <v>2442</v>
      </c>
      <c r="AJ371" s="474" t="s">
        <v>2384</v>
      </c>
      <c r="AK371" s="494" t="s">
        <v>1144</v>
      </c>
      <c r="AL371" s="474">
        <v>76063</v>
      </c>
      <c r="AM371" s="474" t="s">
        <v>52</v>
      </c>
      <c r="AN371" s="474"/>
      <c r="AO371" s="474"/>
      <c r="AP371" s="486"/>
      <c r="AQ371" s="486"/>
      <c r="AR371" s="486"/>
      <c r="AS371" s="495"/>
      <c r="AT371" s="495"/>
      <c r="AU371" s="378"/>
      <c r="AV371" s="478"/>
    </row>
    <row r="372" spans="1:48" s="471" customFormat="1" ht="15" customHeight="1">
      <c r="A372" s="472"/>
      <c r="B372" s="514">
        <v>44522</v>
      </c>
      <c r="C372" s="472"/>
      <c r="D372" s="512" t="s">
        <v>2322</v>
      </c>
      <c r="E372" s="501" t="s">
        <v>2726</v>
      </c>
      <c r="F372" s="501"/>
      <c r="G372" s="501">
        <v>2022</v>
      </c>
      <c r="H372" s="501" t="s">
        <v>1676</v>
      </c>
      <c r="I372" s="512" t="s">
        <v>1676</v>
      </c>
      <c r="J372" s="502"/>
      <c r="K372" s="503" t="s">
        <v>4351</v>
      </c>
      <c r="L372" s="501" t="s">
        <v>2459</v>
      </c>
      <c r="M372" s="504">
        <v>44518</v>
      </c>
      <c r="N372" s="504">
        <v>44639</v>
      </c>
      <c r="O372" s="504"/>
      <c r="P372" s="370"/>
      <c r="Q372" s="502"/>
      <c r="R372" s="502"/>
      <c r="S372" s="501" t="s">
        <v>1563</v>
      </c>
      <c r="T372" s="501">
        <v>60</v>
      </c>
      <c r="U372" s="371">
        <v>49401140</v>
      </c>
      <c r="V372" s="501" t="s">
        <v>973</v>
      </c>
      <c r="W372" s="501">
        <v>400</v>
      </c>
      <c r="X372" s="505">
        <v>768</v>
      </c>
      <c r="Y372" s="477">
        <f t="shared" si="88"/>
        <v>307200</v>
      </c>
      <c r="Z372" s="478">
        <f>210/400</f>
        <v>0.52500000000000002</v>
      </c>
      <c r="AA372" s="492">
        <f t="shared" si="74"/>
        <v>161280</v>
      </c>
      <c r="AB372" s="480"/>
      <c r="AC372" s="481">
        <f t="shared" si="79"/>
        <v>0</v>
      </c>
      <c r="AD372" s="490"/>
      <c r="AE372" s="482"/>
      <c r="AF372" s="493">
        <f t="shared" si="89"/>
        <v>161280</v>
      </c>
      <c r="AG372" s="474" t="s">
        <v>1071</v>
      </c>
      <c r="AH372" s="474"/>
      <c r="AI372" s="483" t="s">
        <v>2442</v>
      </c>
      <c r="AJ372" s="474" t="s">
        <v>2384</v>
      </c>
      <c r="AK372" s="494" t="s">
        <v>1144</v>
      </c>
      <c r="AL372" s="474">
        <v>75063</v>
      </c>
      <c r="AM372" s="474" t="s">
        <v>52</v>
      </c>
      <c r="AN372" s="474"/>
      <c r="AO372" s="474"/>
      <c r="AP372" s="486"/>
      <c r="AQ372" s="486"/>
      <c r="AR372" s="486"/>
      <c r="AS372" s="495"/>
      <c r="AT372" s="495"/>
      <c r="AU372" s="378"/>
      <c r="AV372" s="478"/>
    </row>
    <row r="373" spans="1:48" s="471" customFormat="1" ht="15" customHeight="1">
      <c r="A373" s="472"/>
      <c r="B373" s="514">
        <v>44522</v>
      </c>
      <c r="C373" s="472"/>
      <c r="D373" s="512" t="s">
        <v>2322</v>
      </c>
      <c r="E373" s="501" t="s">
        <v>2726</v>
      </c>
      <c r="F373" s="501"/>
      <c r="G373" s="501">
        <v>2022</v>
      </c>
      <c r="H373" s="501" t="s">
        <v>1676</v>
      </c>
      <c r="I373" s="512" t="s">
        <v>1676</v>
      </c>
      <c r="J373" s="502"/>
      <c r="K373" s="503" t="s">
        <v>4352</v>
      </c>
      <c r="L373" s="501" t="s">
        <v>2459</v>
      </c>
      <c r="M373" s="504">
        <v>44518</v>
      </c>
      <c r="N373" s="504">
        <v>44731</v>
      </c>
      <c r="O373" s="504"/>
      <c r="P373" s="370"/>
      <c r="Q373" s="502"/>
      <c r="R373" s="502"/>
      <c r="S373" s="501" t="s">
        <v>1563</v>
      </c>
      <c r="T373" s="501">
        <v>60</v>
      </c>
      <c r="U373" s="371">
        <v>49401140</v>
      </c>
      <c r="V373" s="501" t="s">
        <v>973</v>
      </c>
      <c r="W373" s="501">
        <v>400</v>
      </c>
      <c r="X373" s="505">
        <v>768</v>
      </c>
      <c r="Y373" s="477">
        <f t="shared" si="88"/>
        <v>307200</v>
      </c>
      <c r="Z373" s="478">
        <f>210/400</f>
        <v>0.52500000000000002</v>
      </c>
      <c r="AA373" s="492">
        <f t="shared" si="74"/>
        <v>161280</v>
      </c>
      <c r="AB373" s="480"/>
      <c r="AC373" s="481">
        <f t="shared" si="79"/>
        <v>0</v>
      </c>
      <c r="AD373" s="490"/>
      <c r="AE373" s="482"/>
      <c r="AF373" s="493">
        <f t="shared" si="89"/>
        <v>161280</v>
      </c>
      <c r="AG373" s="474" t="s">
        <v>1071</v>
      </c>
      <c r="AH373" s="474"/>
      <c r="AI373" s="483" t="s">
        <v>2442</v>
      </c>
      <c r="AJ373" s="474" t="s">
        <v>2384</v>
      </c>
      <c r="AK373" s="494" t="s">
        <v>1144</v>
      </c>
      <c r="AL373" s="474">
        <v>75063</v>
      </c>
      <c r="AM373" s="474" t="s">
        <v>52</v>
      </c>
      <c r="AN373" s="474"/>
      <c r="AO373" s="474"/>
      <c r="AP373" s="486"/>
      <c r="AQ373" s="486"/>
      <c r="AR373" s="486"/>
      <c r="AS373" s="495"/>
      <c r="AT373" s="495"/>
      <c r="AU373" s="378"/>
      <c r="AV373" s="478"/>
    </row>
    <row r="374" spans="1:48" s="471" customFormat="1" ht="15" customHeight="1">
      <c r="A374" s="472"/>
      <c r="B374" s="514">
        <v>44557</v>
      </c>
      <c r="C374" s="472"/>
      <c r="D374" s="512" t="s">
        <v>2322</v>
      </c>
      <c r="E374" s="501" t="s">
        <v>2726</v>
      </c>
      <c r="F374" s="501"/>
      <c r="G374" s="501">
        <v>2022</v>
      </c>
      <c r="H374" s="501" t="s">
        <v>1676</v>
      </c>
      <c r="I374" s="512" t="s">
        <v>1676</v>
      </c>
      <c r="J374" s="502"/>
      <c r="K374" s="503" t="s">
        <v>4353</v>
      </c>
      <c r="L374" s="501" t="s">
        <v>2459</v>
      </c>
      <c r="M374" s="504">
        <v>44545</v>
      </c>
      <c r="N374" s="504">
        <v>44744</v>
      </c>
      <c r="O374" s="504"/>
      <c r="P374" s="370"/>
      <c r="Q374" s="502"/>
      <c r="R374" s="502"/>
      <c r="S374" s="501" t="s">
        <v>1563</v>
      </c>
      <c r="T374" s="501">
        <v>60</v>
      </c>
      <c r="U374" s="371">
        <v>49401140</v>
      </c>
      <c r="V374" s="501" t="s">
        <v>973</v>
      </c>
      <c r="W374" s="501">
        <v>400</v>
      </c>
      <c r="X374" s="505">
        <v>768</v>
      </c>
      <c r="Y374" s="477">
        <f t="shared" si="88"/>
        <v>307200</v>
      </c>
      <c r="Z374" s="478">
        <v>0.52500000000000002</v>
      </c>
      <c r="AA374" s="492">
        <f t="shared" si="74"/>
        <v>161280</v>
      </c>
      <c r="AB374" s="480"/>
      <c r="AC374" s="481">
        <f t="shared" si="79"/>
        <v>0</v>
      </c>
      <c r="AD374" s="490"/>
      <c r="AE374" s="482"/>
      <c r="AF374" s="493">
        <f t="shared" si="89"/>
        <v>161280</v>
      </c>
      <c r="AG374" s="474" t="s">
        <v>1071</v>
      </c>
      <c r="AH374" s="474"/>
      <c r="AI374" s="483">
        <v>60</v>
      </c>
      <c r="AJ374" s="474" t="s">
        <v>2384</v>
      </c>
      <c r="AK374" s="494" t="s">
        <v>1144</v>
      </c>
      <c r="AL374" s="474">
        <v>75063</v>
      </c>
      <c r="AM374" s="474" t="s">
        <v>52</v>
      </c>
      <c r="AN374" s="474" t="s">
        <v>1074</v>
      </c>
      <c r="AO374" s="474"/>
      <c r="AP374" s="486"/>
      <c r="AQ374" s="486" t="s">
        <v>37</v>
      </c>
      <c r="AR374" s="486"/>
      <c r="AS374" s="495"/>
      <c r="AT374" s="495"/>
      <c r="AU374" s="378"/>
      <c r="AV374" s="478"/>
    </row>
    <row r="375" spans="1:48" s="471" customFormat="1" ht="15" customHeight="1">
      <c r="A375" s="472"/>
      <c r="B375" s="514">
        <v>44557</v>
      </c>
      <c r="C375" s="472"/>
      <c r="D375" s="512" t="s">
        <v>2322</v>
      </c>
      <c r="E375" s="501" t="s">
        <v>2726</v>
      </c>
      <c r="F375" s="501"/>
      <c r="G375" s="501">
        <v>2022</v>
      </c>
      <c r="H375" s="501" t="s">
        <v>1676</v>
      </c>
      <c r="I375" s="512" t="s">
        <v>1676</v>
      </c>
      <c r="J375" s="502"/>
      <c r="K375" s="503" t="s">
        <v>4354</v>
      </c>
      <c r="L375" s="501" t="s">
        <v>2459</v>
      </c>
      <c r="M375" s="504">
        <v>44545</v>
      </c>
      <c r="N375" s="504">
        <v>44747</v>
      </c>
      <c r="O375" s="504"/>
      <c r="P375" s="370"/>
      <c r="Q375" s="502"/>
      <c r="R375" s="502"/>
      <c r="S375" s="501" t="s">
        <v>1563</v>
      </c>
      <c r="T375" s="501">
        <v>60</v>
      </c>
      <c r="U375" s="371">
        <v>49401140</v>
      </c>
      <c r="V375" s="501" t="s">
        <v>973</v>
      </c>
      <c r="W375" s="501">
        <v>400</v>
      </c>
      <c r="X375" s="505">
        <v>768</v>
      </c>
      <c r="Y375" s="477">
        <f t="shared" si="88"/>
        <v>307200</v>
      </c>
      <c r="Z375" s="478">
        <v>0.52500000000000002</v>
      </c>
      <c r="AA375" s="492">
        <f t="shared" si="74"/>
        <v>161280</v>
      </c>
      <c r="AB375" s="480"/>
      <c r="AC375" s="481">
        <f t="shared" si="79"/>
        <v>0</v>
      </c>
      <c r="AD375" s="490"/>
      <c r="AE375" s="482"/>
      <c r="AF375" s="493">
        <f t="shared" si="89"/>
        <v>161280</v>
      </c>
      <c r="AG375" s="474" t="s">
        <v>1071</v>
      </c>
      <c r="AH375" s="474"/>
      <c r="AI375" s="483">
        <v>60</v>
      </c>
      <c r="AJ375" s="474" t="s">
        <v>2384</v>
      </c>
      <c r="AK375" s="494" t="s">
        <v>1144</v>
      </c>
      <c r="AL375" s="474">
        <v>75063</v>
      </c>
      <c r="AM375" s="474" t="s">
        <v>52</v>
      </c>
      <c r="AN375" s="474" t="s">
        <v>1074</v>
      </c>
      <c r="AO375" s="474"/>
      <c r="AP375" s="486"/>
      <c r="AQ375" s="486" t="s">
        <v>37</v>
      </c>
      <c r="AR375" s="486"/>
      <c r="AS375" s="495"/>
      <c r="AT375" s="495"/>
      <c r="AU375" s="378"/>
      <c r="AV375" s="478"/>
    </row>
    <row r="376" spans="1:48" s="471" customFormat="1" ht="15" customHeight="1">
      <c r="A376" s="472"/>
      <c r="B376" s="514">
        <v>44557</v>
      </c>
      <c r="C376" s="472"/>
      <c r="D376" s="512" t="s">
        <v>2322</v>
      </c>
      <c r="E376" s="501" t="s">
        <v>2726</v>
      </c>
      <c r="F376" s="501"/>
      <c r="G376" s="501">
        <v>2022</v>
      </c>
      <c r="H376" s="501" t="s">
        <v>1676</v>
      </c>
      <c r="I376" s="512" t="s">
        <v>1676</v>
      </c>
      <c r="J376" s="502"/>
      <c r="K376" s="503" t="s">
        <v>4355</v>
      </c>
      <c r="L376" s="501" t="s">
        <v>2459</v>
      </c>
      <c r="M376" s="504">
        <v>44545</v>
      </c>
      <c r="N376" s="504">
        <v>44751</v>
      </c>
      <c r="O376" s="504"/>
      <c r="P376" s="370"/>
      <c r="Q376" s="502"/>
      <c r="R376" s="502"/>
      <c r="S376" s="501" t="s">
        <v>1563</v>
      </c>
      <c r="T376" s="501">
        <v>60</v>
      </c>
      <c r="U376" s="371">
        <v>49401140</v>
      </c>
      <c r="V376" s="501" t="s">
        <v>973</v>
      </c>
      <c r="W376" s="501">
        <v>400</v>
      </c>
      <c r="X376" s="505">
        <v>768</v>
      </c>
      <c r="Y376" s="477">
        <f t="shared" si="88"/>
        <v>307200</v>
      </c>
      <c r="Z376" s="478">
        <v>0.52500000000000002</v>
      </c>
      <c r="AA376" s="492">
        <f t="shared" si="74"/>
        <v>161280</v>
      </c>
      <c r="AB376" s="480"/>
      <c r="AC376" s="481">
        <f t="shared" si="79"/>
        <v>0</v>
      </c>
      <c r="AD376" s="490"/>
      <c r="AE376" s="482"/>
      <c r="AF376" s="493">
        <f t="shared" si="89"/>
        <v>161280</v>
      </c>
      <c r="AG376" s="474" t="s">
        <v>1071</v>
      </c>
      <c r="AH376" s="474"/>
      <c r="AI376" s="483">
        <v>60</v>
      </c>
      <c r="AJ376" s="474" t="s">
        <v>2384</v>
      </c>
      <c r="AK376" s="494" t="s">
        <v>1144</v>
      </c>
      <c r="AL376" s="474">
        <v>75063</v>
      </c>
      <c r="AM376" s="474" t="s">
        <v>52</v>
      </c>
      <c r="AN376" s="474" t="s">
        <v>1074</v>
      </c>
      <c r="AO376" s="474"/>
      <c r="AP376" s="486"/>
      <c r="AQ376" s="486" t="s">
        <v>37</v>
      </c>
      <c r="AR376" s="486"/>
      <c r="AS376" s="495"/>
      <c r="AT376" s="495"/>
      <c r="AU376" s="378"/>
      <c r="AV376" s="478"/>
    </row>
    <row r="377" spans="1:48" s="471" customFormat="1" ht="15" customHeight="1">
      <c r="A377" s="472"/>
      <c r="B377" s="514">
        <v>44557</v>
      </c>
      <c r="C377" s="472"/>
      <c r="D377" s="512" t="s">
        <v>2322</v>
      </c>
      <c r="E377" s="501" t="s">
        <v>2726</v>
      </c>
      <c r="F377" s="501"/>
      <c r="G377" s="501">
        <v>2022</v>
      </c>
      <c r="H377" s="501" t="s">
        <v>1676</v>
      </c>
      <c r="I377" s="512" t="s">
        <v>1676</v>
      </c>
      <c r="J377" s="502"/>
      <c r="K377" s="503" t="s">
        <v>4356</v>
      </c>
      <c r="L377" s="501" t="s">
        <v>2459</v>
      </c>
      <c r="M377" s="504">
        <v>44545</v>
      </c>
      <c r="N377" s="504">
        <v>44754</v>
      </c>
      <c r="O377" s="504"/>
      <c r="P377" s="370"/>
      <c r="Q377" s="502"/>
      <c r="R377" s="502"/>
      <c r="S377" s="501" t="s">
        <v>1563</v>
      </c>
      <c r="T377" s="501">
        <v>60</v>
      </c>
      <c r="U377" s="371">
        <v>49401140</v>
      </c>
      <c r="V377" s="501" t="s">
        <v>973</v>
      </c>
      <c r="W377" s="501">
        <v>400</v>
      </c>
      <c r="X377" s="505">
        <v>768</v>
      </c>
      <c r="Y377" s="477">
        <f t="shared" si="88"/>
        <v>307200</v>
      </c>
      <c r="Z377" s="478">
        <v>0.52500000000000002</v>
      </c>
      <c r="AA377" s="492">
        <f t="shared" si="74"/>
        <v>161280</v>
      </c>
      <c r="AB377" s="480"/>
      <c r="AC377" s="481">
        <f t="shared" si="79"/>
        <v>0</v>
      </c>
      <c r="AD377" s="490"/>
      <c r="AE377" s="482"/>
      <c r="AF377" s="493">
        <f t="shared" si="89"/>
        <v>161280</v>
      </c>
      <c r="AG377" s="474" t="s">
        <v>1071</v>
      </c>
      <c r="AH377" s="474"/>
      <c r="AI377" s="483">
        <v>60</v>
      </c>
      <c r="AJ377" s="474" t="s">
        <v>2384</v>
      </c>
      <c r="AK377" s="494" t="s">
        <v>1144</v>
      </c>
      <c r="AL377" s="474">
        <v>75063</v>
      </c>
      <c r="AM377" s="474" t="s">
        <v>52</v>
      </c>
      <c r="AN377" s="474" t="s">
        <v>1074</v>
      </c>
      <c r="AO377" s="474"/>
      <c r="AP377" s="486"/>
      <c r="AQ377" s="486" t="s">
        <v>37</v>
      </c>
      <c r="AR377" s="486"/>
      <c r="AS377" s="495"/>
      <c r="AT377" s="495"/>
      <c r="AU377" s="378"/>
      <c r="AV377" s="478"/>
    </row>
    <row r="378" spans="1:48" s="471" customFormat="1" ht="15" customHeight="1">
      <c r="A378" s="472"/>
      <c r="B378" s="514">
        <v>44557</v>
      </c>
      <c r="C378" s="472"/>
      <c r="D378" s="512" t="s">
        <v>2322</v>
      </c>
      <c r="E378" s="501" t="s">
        <v>2726</v>
      </c>
      <c r="F378" s="501"/>
      <c r="G378" s="501">
        <v>2022</v>
      </c>
      <c r="H378" s="501" t="s">
        <v>1676</v>
      </c>
      <c r="I378" s="512" t="s">
        <v>1676</v>
      </c>
      <c r="J378" s="502"/>
      <c r="K378" s="503" t="s">
        <v>4357</v>
      </c>
      <c r="L378" s="501" t="s">
        <v>2459</v>
      </c>
      <c r="M378" s="504">
        <v>44545</v>
      </c>
      <c r="N378" s="504">
        <v>44757</v>
      </c>
      <c r="O378" s="504"/>
      <c r="P378" s="370"/>
      <c r="Q378" s="502"/>
      <c r="R378" s="502"/>
      <c r="S378" s="501" t="s">
        <v>1563</v>
      </c>
      <c r="T378" s="501">
        <v>60</v>
      </c>
      <c r="U378" s="371">
        <v>49401140</v>
      </c>
      <c r="V378" s="501" t="s">
        <v>973</v>
      </c>
      <c r="W378" s="501">
        <v>400</v>
      </c>
      <c r="X378" s="505">
        <v>768</v>
      </c>
      <c r="Y378" s="477">
        <f t="shared" si="88"/>
        <v>307200</v>
      </c>
      <c r="Z378" s="478">
        <v>0.52500000000000002</v>
      </c>
      <c r="AA378" s="492">
        <f t="shared" si="74"/>
        <v>161280</v>
      </c>
      <c r="AB378" s="480"/>
      <c r="AC378" s="481">
        <f t="shared" si="79"/>
        <v>0</v>
      </c>
      <c r="AD378" s="490"/>
      <c r="AE378" s="482"/>
      <c r="AF378" s="493">
        <f t="shared" si="89"/>
        <v>161280</v>
      </c>
      <c r="AG378" s="474" t="s">
        <v>1071</v>
      </c>
      <c r="AH378" s="474"/>
      <c r="AI378" s="483">
        <v>60</v>
      </c>
      <c r="AJ378" s="474" t="s">
        <v>2384</v>
      </c>
      <c r="AK378" s="494" t="s">
        <v>1144</v>
      </c>
      <c r="AL378" s="474">
        <v>75063</v>
      </c>
      <c r="AM378" s="474" t="s">
        <v>52</v>
      </c>
      <c r="AN378" s="474" t="s">
        <v>1074</v>
      </c>
      <c r="AO378" s="474"/>
      <c r="AP378" s="486"/>
      <c r="AQ378" s="486" t="s">
        <v>37</v>
      </c>
      <c r="AR378" s="486"/>
      <c r="AS378" s="495"/>
      <c r="AT378" s="495"/>
      <c r="AU378" s="378"/>
      <c r="AV378" s="478"/>
    </row>
    <row r="379" spans="1:48" s="471" customFormat="1" ht="15" customHeight="1">
      <c r="A379" s="472"/>
      <c r="B379" s="514">
        <v>44557</v>
      </c>
      <c r="C379" s="472"/>
      <c r="D379" s="512" t="s">
        <v>2322</v>
      </c>
      <c r="E379" s="501" t="s">
        <v>2726</v>
      </c>
      <c r="F379" s="501"/>
      <c r="G379" s="501">
        <v>2022</v>
      </c>
      <c r="H379" s="501" t="s">
        <v>1676</v>
      </c>
      <c r="I379" s="512" t="s">
        <v>1676</v>
      </c>
      <c r="J379" s="502"/>
      <c r="K379" s="503" t="s">
        <v>4358</v>
      </c>
      <c r="L379" s="501" t="s">
        <v>2459</v>
      </c>
      <c r="M379" s="504">
        <v>44545</v>
      </c>
      <c r="N379" s="504">
        <v>44775</v>
      </c>
      <c r="O379" s="504"/>
      <c r="P379" s="370"/>
      <c r="Q379" s="502"/>
      <c r="R379" s="502"/>
      <c r="S379" s="501" t="s">
        <v>1563</v>
      </c>
      <c r="T379" s="501">
        <v>60</v>
      </c>
      <c r="U379" s="371">
        <v>49401140</v>
      </c>
      <c r="V379" s="501" t="s">
        <v>2855</v>
      </c>
      <c r="W379" s="501">
        <v>400</v>
      </c>
      <c r="X379" s="505">
        <v>768</v>
      </c>
      <c r="Y379" s="477">
        <f t="shared" si="88"/>
        <v>307200</v>
      </c>
      <c r="Z379" s="478">
        <v>0.52500000000000002</v>
      </c>
      <c r="AA379" s="492">
        <f t="shared" ref="AA379:AA442" si="91">Z379*Y379</f>
        <v>161280</v>
      </c>
      <c r="AB379" s="480"/>
      <c r="AC379" s="481">
        <f t="shared" si="79"/>
        <v>0</v>
      </c>
      <c r="AD379" s="490"/>
      <c r="AE379" s="482"/>
      <c r="AF379" s="493">
        <f t="shared" si="89"/>
        <v>161280</v>
      </c>
      <c r="AG379" s="474" t="s">
        <v>1071</v>
      </c>
      <c r="AH379" s="474"/>
      <c r="AI379" s="483">
        <v>60</v>
      </c>
      <c r="AJ379" s="474" t="s">
        <v>2384</v>
      </c>
      <c r="AK379" s="494" t="s">
        <v>1144</v>
      </c>
      <c r="AL379" s="474">
        <v>75063</v>
      </c>
      <c r="AM379" s="474" t="s">
        <v>52</v>
      </c>
      <c r="AN379" s="474" t="s">
        <v>1074</v>
      </c>
      <c r="AO379" s="474"/>
      <c r="AP379" s="486"/>
      <c r="AQ379" s="486" t="s">
        <v>37</v>
      </c>
      <c r="AR379" s="486"/>
      <c r="AS379" s="495"/>
      <c r="AT379" s="495"/>
      <c r="AU379" s="378"/>
      <c r="AV379" s="478"/>
    </row>
    <row r="380" spans="1:48" s="471" customFormat="1" ht="15" customHeight="1">
      <c r="A380" s="472"/>
      <c r="B380" s="514">
        <v>44557</v>
      </c>
      <c r="C380" s="472"/>
      <c r="D380" s="512" t="s">
        <v>2322</v>
      </c>
      <c r="E380" s="501" t="s">
        <v>2726</v>
      </c>
      <c r="F380" s="501"/>
      <c r="G380" s="501">
        <v>2022</v>
      </c>
      <c r="H380" s="501" t="s">
        <v>1676</v>
      </c>
      <c r="I380" s="512" t="s">
        <v>1676</v>
      </c>
      <c r="J380" s="502"/>
      <c r="K380" s="503" t="s">
        <v>4359</v>
      </c>
      <c r="L380" s="501" t="s">
        <v>2459</v>
      </c>
      <c r="M380" s="504">
        <v>44545</v>
      </c>
      <c r="N380" s="504">
        <v>44778</v>
      </c>
      <c r="O380" s="504"/>
      <c r="P380" s="370"/>
      <c r="Q380" s="502"/>
      <c r="R380" s="502"/>
      <c r="S380" s="501" t="s">
        <v>1563</v>
      </c>
      <c r="T380" s="501">
        <v>60</v>
      </c>
      <c r="U380" s="371">
        <v>49401140</v>
      </c>
      <c r="V380" s="501" t="s">
        <v>2855</v>
      </c>
      <c r="W380" s="501">
        <v>400</v>
      </c>
      <c r="X380" s="505">
        <v>768</v>
      </c>
      <c r="Y380" s="477">
        <f t="shared" si="88"/>
        <v>307200</v>
      </c>
      <c r="Z380" s="478">
        <v>0.52500000000000002</v>
      </c>
      <c r="AA380" s="492">
        <f t="shared" si="91"/>
        <v>161280</v>
      </c>
      <c r="AB380" s="480"/>
      <c r="AC380" s="481">
        <f t="shared" si="79"/>
        <v>0</v>
      </c>
      <c r="AD380" s="490"/>
      <c r="AE380" s="482"/>
      <c r="AF380" s="493">
        <f t="shared" si="89"/>
        <v>161280</v>
      </c>
      <c r="AG380" s="474" t="s">
        <v>1071</v>
      </c>
      <c r="AH380" s="474"/>
      <c r="AI380" s="483">
        <v>60</v>
      </c>
      <c r="AJ380" s="474" t="s">
        <v>2384</v>
      </c>
      <c r="AK380" s="494" t="s">
        <v>1144</v>
      </c>
      <c r="AL380" s="474">
        <v>75063</v>
      </c>
      <c r="AM380" s="474" t="s">
        <v>52</v>
      </c>
      <c r="AN380" s="474" t="s">
        <v>1074</v>
      </c>
      <c r="AO380" s="474"/>
      <c r="AP380" s="486"/>
      <c r="AQ380" s="486" t="s">
        <v>37</v>
      </c>
      <c r="AR380" s="486"/>
      <c r="AS380" s="495"/>
      <c r="AT380" s="495"/>
      <c r="AU380" s="378"/>
      <c r="AV380" s="478"/>
    </row>
    <row r="381" spans="1:48" s="471" customFormat="1" ht="15" customHeight="1">
      <c r="A381" s="472"/>
      <c r="B381" s="514">
        <v>44557</v>
      </c>
      <c r="C381" s="472"/>
      <c r="D381" s="512" t="s">
        <v>2322</v>
      </c>
      <c r="E381" s="501" t="s">
        <v>2726</v>
      </c>
      <c r="F381" s="501"/>
      <c r="G381" s="501">
        <v>2022</v>
      </c>
      <c r="H381" s="501" t="s">
        <v>1676</v>
      </c>
      <c r="I381" s="512" t="s">
        <v>1676</v>
      </c>
      <c r="J381" s="502"/>
      <c r="K381" s="503" t="s">
        <v>4360</v>
      </c>
      <c r="L381" s="501" t="s">
        <v>2459</v>
      </c>
      <c r="M381" s="504">
        <v>44545</v>
      </c>
      <c r="N381" s="504">
        <v>44782</v>
      </c>
      <c r="O381" s="504"/>
      <c r="P381" s="370"/>
      <c r="Q381" s="502"/>
      <c r="R381" s="502"/>
      <c r="S381" s="501" t="s">
        <v>1563</v>
      </c>
      <c r="T381" s="501">
        <v>60</v>
      </c>
      <c r="U381" s="371">
        <v>49401140</v>
      </c>
      <c r="V381" s="501" t="s">
        <v>2855</v>
      </c>
      <c r="W381" s="501">
        <v>400</v>
      </c>
      <c r="X381" s="505">
        <v>768</v>
      </c>
      <c r="Y381" s="477">
        <f t="shared" si="88"/>
        <v>307200</v>
      </c>
      <c r="Z381" s="478">
        <v>0.52500000000000002</v>
      </c>
      <c r="AA381" s="492">
        <f t="shared" si="91"/>
        <v>161280</v>
      </c>
      <c r="AB381" s="480"/>
      <c r="AC381" s="481">
        <f t="shared" si="79"/>
        <v>0</v>
      </c>
      <c r="AD381" s="490"/>
      <c r="AE381" s="482"/>
      <c r="AF381" s="493">
        <f t="shared" si="89"/>
        <v>161280</v>
      </c>
      <c r="AG381" s="474" t="s">
        <v>1071</v>
      </c>
      <c r="AH381" s="474"/>
      <c r="AI381" s="483">
        <v>60</v>
      </c>
      <c r="AJ381" s="474" t="s">
        <v>2384</v>
      </c>
      <c r="AK381" s="494" t="s">
        <v>1144</v>
      </c>
      <c r="AL381" s="474">
        <v>75063</v>
      </c>
      <c r="AM381" s="474" t="s">
        <v>52</v>
      </c>
      <c r="AN381" s="474" t="s">
        <v>1074</v>
      </c>
      <c r="AO381" s="474"/>
      <c r="AP381" s="486"/>
      <c r="AQ381" s="486" t="s">
        <v>37</v>
      </c>
      <c r="AR381" s="486"/>
      <c r="AS381" s="495"/>
      <c r="AT381" s="495"/>
      <c r="AU381" s="378"/>
      <c r="AV381" s="478"/>
    </row>
    <row r="382" spans="1:48" s="471" customFormat="1" ht="15" customHeight="1">
      <c r="A382" s="472"/>
      <c r="B382" s="514">
        <v>44557</v>
      </c>
      <c r="C382" s="472"/>
      <c r="D382" s="512" t="s">
        <v>2322</v>
      </c>
      <c r="E382" s="501" t="s">
        <v>2726</v>
      </c>
      <c r="F382" s="501"/>
      <c r="G382" s="501">
        <v>2022</v>
      </c>
      <c r="H382" s="501" t="s">
        <v>1676</v>
      </c>
      <c r="I382" s="512" t="s">
        <v>1676</v>
      </c>
      <c r="J382" s="502"/>
      <c r="K382" s="503" t="s">
        <v>4361</v>
      </c>
      <c r="L382" s="501" t="s">
        <v>2459</v>
      </c>
      <c r="M382" s="504">
        <v>44545</v>
      </c>
      <c r="N382" s="504">
        <v>44785</v>
      </c>
      <c r="O382" s="504"/>
      <c r="P382" s="370"/>
      <c r="Q382" s="502"/>
      <c r="R382" s="502"/>
      <c r="S382" s="501" t="s">
        <v>1563</v>
      </c>
      <c r="T382" s="501">
        <v>60</v>
      </c>
      <c r="U382" s="371">
        <v>49401140</v>
      </c>
      <c r="V382" s="501" t="s">
        <v>2855</v>
      </c>
      <c r="W382" s="501">
        <v>400</v>
      </c>
      <c r="X382" s="505">
        <v>768</v>
      </c>
      <c r="Y382" s="477">
        <f t="shared" si="88"/>
        <v>307200</v>
      </c>
      <c r="Z382" s="478">
        <v>0.52500000000000002</v>
      </c>
      <c r="AA382" s="492">
        <f t="shared" si="91"/>
        <v>161280</v>
      </c>
      <c r="AB382" s="480"/>
      <c r="AC382" s="481">
        <f t="shared" si="79"/>
        <v>0</v>
      </c>
      <c r="AD382" s="490"/>
      <c r="AE382" s="482"/>
      <c r="AF382" s="493">
        <f t="shared" si="89"/>
        <v>161280</v>
      </c>
      <c r="AG382" s="474" t="s">
        <v>1071</v>
      </c>
      <c r="AH382" s="474"/>
      <c r="AI382" s="483">
        <v>60</v>
      </c>
      <c r="AJ382" s="474" t="s">
        <v>2384</v>
      </c>
      <c r="AK382" s="494" t="s">
        <v>1144</v>
      </c>
      <c r="AL382" s="474">
        <v>75063</v>
      </c>
      <c r="AM382" s="474" t="s">
        <v>52</v>
      </c>
      <c r="AN382" s="474" t="s">
        <v>1074</v>
      </c>
      <c r="AO382" s="474"/>
      <c r="AP382" s="486"/>
      <c r="AQ382" s="486" t="s">
        <v>37</v>
      </c>
      <c r="AR382" s="486"/>
      <c r="AS382" s="495"/>
      <c r="AT382" s="495"/>
      <c r="AU382" s="378"/>
      <c r="AV382" s="478"/>
    </row>
    <row r="383" spans="1:48" s="471" customFormat="1" ht="15" customHeight="1">
      <c r="A383" s="472"/>
      <c r="B383" s="514">
        <v>44557</v>
      </c>
      <c r="C383" s="472"/>
      <c r="D383" s="512" t="s">
        <v>2322</v>
      </c>
      <c r="E383" s="501" t="s">
        <v>2726</v>
      </c>
      <c r="F383" s="501"/>
      <c r="G383" s="501">
        <v>2022</v>
      </c>
      <c r="H383" s="501" t="s">
        <v>1676</v>
      </c>
      <c r="I383" s="512" t="s">
        <v>1676</v>
      </c>
      <c r="J383" s="502"/>
      <c r="K383" s="503" t="s">
        <v>4362</v>
      </c>
      <c r="L383" s="501" t="s">
        <v>2459</v>
      </c>
      <c r="M383" s="504">
        <v>44545</v>
      </c>
      <c r="N383" s="504">
        <v>44788</v>
      </c>
      <c r="O383" s="504"/>
      <c r="P383" s="370"/>
      <c r="Q383" s="502"/>
      <c r="R383" s="502"/>
      <c r="S383" s="501" t="s">
        <v>1563</v>
      </c>
      <c r="T383" s="501">
        <v>60</v>
      </c>
      <c r="U383" s="371">
        <v>49401140</v>
      </c>
      <c r="V383" s="501" t="s">
        <v>2855</v>
      </c>
      <c r="W383" s="501">
        <v>400</v>
      </c>
      <c r="X383" s="505">
        <v>768</v>
      </c>
      <c r="Y383" s="477">
        <f t="shared" si="88"/>
        <v>307200</v>
      </c>
      <c r="Z383" s="478">
        <v>0.52500000000000002</v>
      </c>
      <c r="AA383" s="492">
        <f t="shared" si="91"/>
        <v>161280</v>
      </c>
      <c r="AB383" s="480"/>
      <c r="AC383" s="481">
        <f t="shared" si="79"/>
        <v>0</v>
      </c>
      <c r="AD383" s="490"/>
      <c r="AE383" s="482"/>
      <c r="AF383" s="493">
        <f t="shared" si="89"/>
        <v>161280</v>
      </c>
      <c r="AG383" s="474" t="s">
        <v>1071</v>
      </c>
      <c r="AH383" s="474"/>
      <c r="AI383" s="483">
        <v>60</v>
      </c>
      <c r="AJ383" s="474" t="s">
        <v>2384</v>
      </c>
      <c r="AK383" s="494" t="s">
        <v>1144</v>
      </c>
      <c r="AL383" s="474">
        <v>75063</v>
      </c>
      <c r="AM383" s="474" t="s">
        <v>52</v>
      </c>
      <c r="AN383" s="474" t="s">
        <v>1074</v>
      </c>
      <c r="AO383" s="474"/>
      <c r="AP383" s="486"/>
      <c r="AQ383" s="486" t="s">
        <v>37</v>
      </c>
      <c r="AR383" s="486"/>
      <c r="AS383" s="495"/>
      <c r="AT383" s="495"/>
      <c r="AU383" s="378"/>
      <c r="AV383" s="478"/>
    </row>
    <row r="384" spans="1:48" s="471" customFormat="1" ht="15" customHeight="1">
      <c r="A384" s="472"/>
      <c r="B384" s="514">
        <v>44557</v>
      </c>
      <c r="C384" s="472"/>
      <c r="D384" s="512" t="s">
        <v>2322</v>
      </c>
      <c r="E384" s="501" t="s">
        <v>2726</v>
      </c>
      <c r="F384" s="501"/>
      <c r="G384" s="501">
        <v>2022</v>
      </c>
      <c r="H384" s="501" t="s">
        <v>1676</v>
      </c>
      <c r="I384" s="512" t="s">
        <v>1676</v>
      </c>
      <c r="J384" s="502"/>
      <c r="K384" s="503" t="s">
        <v>4363</v>
      </c>
      <c r="L384" s="501" t="s">
        <v>2459</v>
      </c>
      <c r="M384" s="504">
        <v>44545</v>
      </c>
      <c r="N384" s="504">
        <v>44806</v>
      </c>
      <c r="O384" s="504"/>
      <c r="P384" s="370"/>
      <c r="Q384" s="502"/>
      <c r="R384" s="502"/>
      <c r="S384" s="501" t="s">
        <v>1563</v>
      </c>
      <c r="T384" s="501">
        <v>60</v>
      </c>
      <c r="U384" s="371">
        <v>49401140</v>
      </c>
      <c r="V384" s="501" t="s">
        <v>2855</v>
      </c>
      <c r="W384" s="501">
        <v>400</v>
      </c>
      <c r="X384" s="505">
        <v>768</v>
      </c>
      <c r="Y384" s="477">
        <f t="shared" si="88"/>
        <v>307200</v>
      </c>
      <c r="Z384" s="478">
        <v>0.52500000000000002</v>
      </c>
      <c r="AA384" s="492">
        <f t="shared" si="91"/>
        <v>161280</v>
      </c>
      <c r="AB384" s="480"/>
      <c r="AC384" s="481">
        <f t="shared" si="79"/>
        <v>0</v>
      </c>
      <c r="AD384" s="490"/>
      <c r="AE384" s="482"/>
      <c r="AF384" s="493">
        <f t="shared" si="89"/>
        <v>161280</v>
      </c>
      <c r="AG384" s="474" t="s">
        <v>1071</v>
      </c>
      <c r="AH384" s="474"/>
      <c r="AI384" s="483">
        <v>60</v>
      </c>
      <c r="AJ384" s="474" t="s">
        <v>2384</v>
      </c>
      <c r="AK384" s="494" t="s">
        <v>1144</v>
      </c>
      <c r="AL384" s="474">
        <v>75063</v>
      </c>
      <c r="AM384" s="474" t="s">
        <v>52</v>
      </c>
      <c r="AN384" s="474" t="s">
        <v>1074</v>
      </c>
      <c r="AO384" s="474"/>
      <c r="AP384" s="486"/>
      <c r="AQ384" s="486" t="s">
        <v>37</v>
      </c>
      <c r="AR384" s="486"/>
      <c r="AS384" s="495"/>
      <c r="AT384" s="495"/>
      <c r="AU384" s="378"/>
      <c r="AV384" s="478"/>
    </row>
    <row r="385" spans="1:48" s="471" customFormat="1" ht="15" customHeight="1">
      <c r="A385" s="472"/>
      <c r="B385" s="514">
        <v>44557</v>
      </c>
      <c r="C385" s="472"/>
      <c r="D385" s="512" t="s">
        <v>2322</v>
      </c>
      <c r="E385" s="501" t="s">
        <v>2726</v>
      </c>
      <c r="F385" s="501"/>
      <c r="G385" s="501">
        <v>2022</v>
      </c>
      <c r="H385" s="501" t="s">
        <v>1676</v>
      </c>
      <c r="I385" s="512" t="s">
        <v>1676</v>
      </c>
      <c r="J385" s="502"/>
      <c r="K385" s="503" t="s">
        <v>4364</v>
      </c>
      <c r="L385" s="501" t="s">
        <v>2459</v>
      </c>
      <c r="M385" s="504">
        <v>44545</v>
      </c>
      <c r="N385" s="504">
        <v>44809</v>
      </c>
      <c r="O385" s="504"/>
      <c r="P385" s="370"/>
      <c r="Q385" s="502"/>
      <c r="R385" s="502"/>
      <c r="S385" s="501" t="s">
        <v>1563</v>
      </c>
      <c r="T385" s="501">
        <v>60</v>
      </c>
      <c r="U385" s="371">
        <v>49401140</v>
      </c>
      <c r="V385" s="501" t="s">
        <v>2855</v>
      </c>
      <c r="W385" s="501">
        <v>400</v>
      </c>
      <c r="X385" s="505">
        <v>768</v>
      </c>
      <c r="Y385" s="477">
        <f t="shared" si="88"/>
        <v>307200</v>
      </c>
      <c r="Z385" s="478">
        <v>0.52500000000000002</v>
      </c>
      <c r="AA385" s="492">
        <f t="shared" si="91"/>
        <v>161280</v>
      </c>
      <c r="AB385" s="480"/>
      <c r="AC385" s="481">
        <f t="shared" ref="AC385:AC448" si="92">AB385*Y385</f>
        <v>0</v>
      </c>
      <c r="AD385" s="490"/>
      <c r="AE385" s="482"/>
      <c r="AF385" s="493">
        <f t="shared" si="89"/>
        <v>161280</v>
      </c>
      <c r="AG385" s="474" t="s">
        <v>1071</v>
      </c>
      <c r="AH385" s="474"/>
      <c r="AI385" s="483">
        <v>60</v>
      </c>
      <c r="AJ385" s="474" t="s">
        <v>2384</v>
      </c>
      <c r="AK385" s="494" t="s">
        <v>1144</v>
      </c>
      <c r="AL385" s="474">
        <v>75063</v>
      </c>
      <c r="AM385" s="474" t="s">
        <v>52</v>
      </c>
      <c r="AN385" s="474" t="s">
        <v>1074</v>
      </c>
      <c r="AO385" s="474"/>
      <c r="AP385" s="486"/>
      <c r="AQ385" s="486" t="s">
        <v>37</v>
      </c>
      <c r="AR385" s="486"/>
      <c r="AS385" s="495"/>
      <c r="AT385" s="495"/>
      <c r="AU385" s="378"/>
      <c r="AV385" s="478"/>
    </row>
    <row r="386" spans="1:48" s="471" customFormat="1" ht="15" customHeight="1">
      <c r="A386" s="472"/>
      <c r="B386" s="514">
        <v>44557</v>
      </c>
      <c r="C386" s="472"/>
      <c r="D386" s="512" t="s">
        <v>2322</v>
      </c>
      <c r="E386" s="501" t="s">
        <v>2726</v>
      </c>
      <c r="F386" s="501"/>
      <c r="G386" s="501">
        <v>2022</v>
      </c>
      <c r="H386" s="501" t="s">
        <v>1676</v>
      </c>
      <c r="I386" s="512" t="s">
        <v>1676</v>
      </c>
      <c r="J386" s="502"/>
      <c r="K386" s="503" t="s">
        <v>4365</v>
      </c>
      <c r="L386" s="501" t="s">
        <v>2459</v>
      </c>
      <c r="M386" s="504">
        <v>44545</v>
      </c>
      <c r="N386" s="504">
        <v>44813</v>
      </c>
      <c r="O386" s="504"/>
      <c r="P386" s="370"/>
      <c r="Q386" s="502"/>
      <c r="R386" s="502"/>
      <c r="S386" s="501" t="s">
        <v>1563</v>
      </c>
      <c r="T386" s="501">
        <v>60</v>
      </c>
      <c r="U386" s="371">
        <v>49401140</v>
      </c>
      <c r="V386" s="501" t="s">
        <v>2855</v>
      </c>
      <c r="W386" s="501">
        <v>400</v>
      </c>
      <c r="X386" s="505">
        <v>768</v>
      </c>
      <c r="Y386" s="477">
        <f t="shared" si="88"/>
        <v>307200</v>
      </c>
      <c r="Z386" s="478">
        <v>0.52500000000000002</v>
      </c>
      <c r="AA386" s="492">
        <f t="shared" si="91"/>
        <v>161280</v>
      </c>
      <c r="AB386" s="480"/>
      <c r="AC386" s="481">
        <f t="shared" si="92"/>
        <v>0</v>
      </c>
      <c r="AD386" s="490"/>
      <c r="AE386" s="482"/>
      <c r="AF386" s="493">
        <f t="shared" si="89"/>
        <v>161280</v>
      </c>
      <c r="AG386" s="474" t="s">
        <v>1071</v>
      </c>
      <c r="AH386" s="474"/>
      <c r="AI386" s="483">
        <v>60</v>
      </c>
      <c r="AJ386" s="474" t="s">
        <v>2384</v>
      </c>
      <c r="AK386" s="494" t="s">
        <v>1144</v>
      </c>
      <c r="AL386" s="474">
        <v>75063</v>
      </c>
      <c r="AM386" s="474" t="s">
        <v>52</v>
      </c>
      <c r="AN386" s="474" t="s">
        <v>1074</v>
      </c>
      <c r="AO386" s="474"/>
      <c r="AP386" s="486"/>
      <c r="AQ386" s="486" t="s">
        <v>37</v>
      </c>
      <c r="AR386" s="486"/>
      <c r="AS386" s="495"/>
      <c r="AT386" s="495"/>
      <c r="AU386" s="378"/>
      <c r="AV386" s="478"/>
    </row>
    <row r="387" spans="1:48" s="471" customFormat="1" ht="15" customHeight="1">
      <c r="A387" s="472"/>
      <c r="B387" s="514">
        <v>44557</v>
      </c>
      <c r="C387" s="472"/>
      <c r="D387" s="512" t="s">
        <v>2322</v>
      </c>
      <c r="E387" s="501" t="s">
        <v>2726</v>
      </c>
      <c r="F387" s="501"/>
      <c r="G387" s="501">
        <v>2022</v>
      </c>
      <c r="H387" s="501" t="s">
        <v>1676</v>
      </c>
      <c r="I387" s="512" t="s">
        <v>1676</v>
      </c>
      <c r="J387" s="502"/>
      <c r="K387" s="503" t="s">
        <v>4366</v>
      </c>
      <c r="L387" s="501" t="s">
        <v>2459</v>
      </c>
      <c r="M387" s="504">
        <v>44545</v>
      </c>
      <c r="N387" s="504">
        <v>44816</v>
      </c>
      <c r="O387" s="504"/>
      <c r="P387" s="370"/>
      <c r="Q387" s="502"/>
      <c r="R387" s="502"/>
      <c r="S387" s="501" t="s">
        <v>1563</v>
      </c>
      <c r="T387" s="501">
        <v>60</v>
      </c>
      <c r="U387" s="371">
        <v>49401140</v>
      </c>
      <c r="V387" s="501" t="s">
        <v>2855</v>
      </c>
      <c r="W387" s="501">
        <v>400</v>
      </c>
      <c r="X387" s="505">
        <v>768</v>
      </c>
      <c r="Y387" s="477">
        <f t="shared" si="88"/>
        <v>307200</v>
      </c>
      <c r="Z387" s="478">
        <v>0.52500000000000002</v>
      </c>
      <c r="AA387" s="492">
        <f t="shared" si="91"/>
        <v>161280</v>
      </c>
      <c r="AB387" s="480"/>
      <c r="AC387" s="481">
        <f t="shared" si="92"/>
        <v>0</v>
      </c>
      <c r="AD387" s="490"/>
      <c r="AE387" s="482"/>
      <c r="AF387" s="493">
        <f t="shared" si="89"/>
        <v>161280</v>
      </c>
      <c r="AG387" s="474" t="s">
        <v>1071</v>
      </c>
      <c r="AH387" s="474"/>
      <c r="AI387" s="483">
        <v>60</v>
      </c>
      <c r="AJ387" s="474" t="s">
        <v>2384</v>
      </c>
      <c r="AK387" s="494" t="s">
        <v>1144</v>
      </c>
      <c r="AL387" s="474">
        <v>75063</v>
      </c>
      <c r="AM387" s="474" t="s">
        <v>52</v>
      </c>
      <c r="AN387" s="474" t="s">
        <v>1074</v>
      </c>
      <c r="AO387" s="474"/>
      <c r="AP387" s="486"/>
      <c r="AQ387" s="486" t="s">
        <v>37</v>
      </c>
      <c r="AR387" s="486"/>
      <c r="AS387" s="495"/>
      <c r="AT387" s="495"/>
      <c r="AU387" s="378"/>
      <c r="AV387" s="478"/>
    </row>
    <row r="388" spans="1:48" s="471" customFormat="1" ht="15" customHeight="1">
      <c r="A388" s="472"/>
      <c r="B388" s="514">
        <v>44557</v>
      </c>
      <c r="C388" s="472"/>
      <c r="D388" s="512" t="s">
        <v>2322</v>
      </c>
      <c r="E388" s="501" t="s">
        <v>2726</v>
      </c>
      <c r="F388" s="501"/>
      <c r="G388" s="501">
        <v>2022</v>
      </c>
      <c r="H388" s="501" t="s">
        <v>1676</v>
      </c>
      <c r="I388" s="512" t="s">
        <v>1676</v>
      </c>
      <c r="J388" s="502"/>
      <c r="K388" s="503" t="s">
        <v>4367</v>
      </c>
      <c r="L388" s="501" t="s">
        <v>2459</v>
      </c>
      <c r="M388" s="504">
        <v>44545</v>
      </c>
      <c r="N388" s="504">
        <v>44819</v>
      </c>
      <c r="O388" s="504"/>
      <c r="P388" s="370"/>
      <c r="Q388" s="502"/>
      <c r="R388" s="502"/>
      <c r="S388" s="501" t="s">
        <v>1563</v>
      </c>
      <c r="T388" s="501">
        <v>60</v>
      </c>
      <c r="U388" s="371">
        <v>49401140</v>
      </c>
      <c r="V388" s="501" t="s">
        <v>2855</v>
      </c>
      <c r="W388" s="501">
        <v>400</v>
      </c>
      <c r="X388" s="505">
        <v>768</v>
      </c>
      <c r="Y388" s="477">
        <f t="shared" si="88"/>
        <v>307200</v>
      </c>
      <c r="Z388" s="478">
        <v>0.52500000000000002</v>
      </c>
      <c r="AA388" s="492">
        <f t="shared" si="91"/>
        <v>161280</v>
      </c>
      <c r="AB388" s="480"/>
      <c r="AC388" s="481">
        <f t="shared" si="92"/>
        <v>0</v>
      </c>
      <c r="AD388" s="490"/>
      <c r="AE388" s="482"/>
      <c r="AF388" s="493">
        <f t="shared" si="89"/>
        <v>161280</v>
      </c>
      <c r="AG388" s="474" t="s">
        <v>1071</v>
      </c>
      <c r="AH388" s="474"/>
      <c r="AI388" s="483">
        <v>60</v>
      </c>
      <c r="AJ388" s="474" t="s">
        <v>2384</v>
      </c>
      <c r="AK388" s="494" t="s">
        <v>1144</v>
      </c>
      <c r="AL388" s="474">
        <v>75063</v>
      </c>
      <c r="AM388" s="474" t="s">
        <v>52</v>
      </c>
      <c r="AN388" s="474" t="s">
        <v>1074</v>
      </c>
      <c r="AO388" s="474"/>
      <c r="AP388" s="486"/>
      <c r="AQ388" s="486" t="s">
        <v>37</v>
      </c>
      <c r="AR388" s="486"/>
      <c r="AS388" s="495"/>
      <c r="AT388" s="495"/>
      <c r="AU388" s="378"/>
      <c r="AV388" s="478"/>
    </row>
    <row r="389" spans="1:48" s="471" customFormat="1" ht="15" customHeight="1">
      <c r="A389" s="472"/>
      <c r="B389" s="514">
        <v>44557</v>
      </c>
      <c r="C389" s="472"/>
      <c r="D389" s="512" t="s">
        <v>2322</v>
      </c>
      <c r="E389" s="501" t="s">
        <v>2726</v>
      </c>
      <c r="F389" s="501"/>
      <c r="G389" s="501">
        <v>2022</v>
      </c>
      <c r="H389" s="501" t="s">
        <v>1676</v>
      </c>
      <c r="I389" s="512" t="s">
        <v>1676</v>
      </c>
      <c r="J389" s="502"/>
      <c r="K389" s="503" t="s">
        <v>4368</v>
      </c>
      <c r="L389" s="501" t="s">
        <v>2459</v>
      </c>
      <c r="M389" s="504">
        <v>44545</v>
      </c>
      <c r="N389" s="504">
        <v>44823</v>
      </c>
      <c r="O389" s="504"/>
      <c r="P389" s="370"/>
      <c r="Q389" s="502"/>
      <c r="R389" s="502"/>
      <c r="S389" s="501" t="s">
        <v>1563</v>
      </c>
      <c r="T389" s="501">
        <v>60</v>
      </c>
      <c r="U389" s="371">
        <v>49401140</v>
      </c>
      <c r="V389" s="501" t="s">
        <v>2855</v>
      </c>
      <c r="W389" s="501">
        <v>400</v>
      </c>
      <c r="X389" s="505">
        <v>768</v>
      </c>
      <c r="Y389" s="477">
        <f t="shared" si="88"/>
        <v>307200</v>
      </c>
      <c r="Z389" s="478">
        <v>0.52500000000000002</v>
      </c>
      <c r="AA389" s="492">
        <f t="shared" si="91"/>
        <v>161280</v>
      </c>
      <c r="AB389" s="480"/>
      <c r="AC389" s="481">
        <f t="shared" si="92"/>
        <v>0</v>
      </c>
      <c r="AD389" s="490"/>
      <c r="AE389" s="482"/>
      <c r="AF389" s="493">
        <f t="shared" si="89"/>
        <v>161280</v>
      </c>
      <c r="AG389" s="474" t="s">
        <v>1071</v>
      </c>
      <c r="AH389" s="474"/>
      <c r="AI389" s="483">
        <v>60</v>
      </c>
      <c r="AJ389" s="474" t="s">
        <v>2384</v>
      </c>
      <c r="AK389" s="494" t="s">
        <v>1144</v>
      </c>
      <c r="AL389" s="474">
        <v>75063</v>
      </c>
      <c r="AM389" s="474" t="s">
        <v>52</v>
      </c>
      <c r="AN389" s="474" t="s">
        <v>1074</v>
      </c>
      <c r="AO389" s="474"/>
      <c r="AP389" s="486"/>
      <c r="AQ389" s="486" t="s">
        <v>37</v>
      </c>
      <c r="AR389" s="486"/>
      <c r="AS389" s="495"/>
      <c r="AT389" s="495"/>
      <c r="AU389" s="378"/>
      <c r="AV389" s="478"/>
    </row>
    <row r="390" spans="1:48" s="471" customFormat="1" ht="15" customHeight="1">
      <c r="A390" s="472"/>
      <c r="B390" s="514">
        <v>44557</v>
      </c>
      <c r="C390" s="472"/>
      <c r="D390" s="512" t="s">
        <v>2322</v>
      </c>
      <c r="E390" s="501" t="s">
        <v>2726</v>
      </c>
      <c r="F390" s="501"/>
      <c r="G390" s="501">
        <v>2022</v>
      </c>
      <c r="H390" s="501" t="s">
        <v>1676</v>
      </c>
      <c r="I390" s="512" t="s">
        <v>1676</v>
      </c>
      <c r="J390" s="502"/>
      <c r="K390" s="503" t="s">
        <v>4369</v>
      </c>
      <c r="L390" s="501" t="s">
        <v>2459</v>
      </c>
      <c r="M390" s="504">
        <v>44545</v>
      </c>
      <c r="N390" s="504">
        <v>44835</v>
      </c>
      <c r="O390" s="504"/>
      <c r="P390" s="370"/>
      <c r="Q390" s="502"/>
      <c r="R390" s="502"/>
      <c r="S390" s="501" t="s">
        <v>1563</v>
      </c>
      <c r="T390" s="501">
        <v>60</v>
      </c>
      <c r="U390" s="371">
        <v>49401140</v>
      </c>
      <c r="V390" s="501" t="s">
        <v>2855</v>
      </c>
      <c r="W390" s="501">
        <v>400</v>
      </c>
      <c r="X390" s="505">
        <v>768</v>
      </c>
      <c r="Y390" s="477">
        <f t="shared" si="88"/>
        <v>307200</v>
      </c>
      <c r="Z390" s="478">
        <v>0.52500000000000002</v>
      </c>
      <c r="AA390" s="492">
        <f t="shared" si="91"/>
        <v>161280</v>
      </c>
      <c r="AB390" s="480"/>
      <c r="AC390" s="481">
        <f t="shared" si="92"/>
        <v>0</v>
      </c>
      <c r="AD390" s="490"/>
      <c r="AE390" s="482"/>
      <c r="AF390" s="493">
        <f t="shared" si="89"/>
        <v>161280</v>
      </c>
      <c r="AG390" s="474" t="s">
        <v>1071</v>
      </c>
      <c r="AH390" s="474"/>
      <c r="AI390" s="483">
        <v>60</v>
      </c>
      <c r="AJ390" s="474" t="s">
        <v>2384</v>
      </c>
      <c r="AK390" s="494" t="s">
        <v>1144</v>
      </c>
      <c r="AL390" s="474">
        <v>75063</v>
      </c>
      <c r="AM390" s="474" t="s">
        <v>52</v>
      </c>
      <c r="AN390" s="474" t="s">
        <v>1074</v>
      </c>
      <c r="AO390" s="474"/>
      <c r="AP390" s="486"/>
      <c r="AQ390" s="486" t="s">
        <v>37</v>
      </c>
      <c r="AR390" s="486"/>
      <c r="AS390" s="495"/>
      <c r="AT390" s="495"/>
      <c r="AU390" s="378"/>
      <c r="AV390" s="478"/>
    </row>
    <row r="391" spans="1:48" s="471" customFormat="1" ht="15" customHeight="1">
      <c r="A391" s="472"/>
      <c r="B391" s="514">
        <v>44557</v>
      </c>
      <c r="C391" s="472"/>
      <c r="D391" s="512" t="s">
        <v>2322</v>
      </c>
      <c r="E391" s="501" t="s">
        <v>2726</v>
      </c>
      <c r="F391" s="501"/>
      <c r="G391" s="501">
        <v>2022</v>
      </c>
      <c r="H391" s="501" t="s">
        <v>1676</v>
      </c>
      <c r="I391" s="512" t="s">
        <v>1676</v>
      </c>
      <c r="J391" s="502"/>
      <c r="K391" s="503" t="s">
        <v>4370</v>
      </c>
      <c r="L391" s="501" t="s">
        <v>2459</v>
      </c>
      <c r="M391" s="504">
        <v>44545</v>
      </c>
      <c r="N391" s="504">
        <v>44837</v>
      </c>
      <c r="O391" s="504"/>
      <c r="P391" s="370"/>
      <c r="Q391" s="502"/>
      <c r="R391" s="502"/>
      <c r="S391" s="501" t="s">
        <v>1563</v>
      </c>
      <c r="T391" s="501">
        <v>60</v>
      </c>
      <c r="U391" s="371">
        <v>49401140</v>
      </c>
      <c r="V391" s="501" t="s">
        <v>2855</v>
      </c>
      <c r="W391" s="501">
        <v>400</v>
      </c>
      <c r="X391" s="505">
        <v>768</v>
      </c>
      <c r="Y391" s="477">
        <f t="shared" si="88"/>
        <v>307200</v>
      </c>
      <c r="Z391" s="478">
        <v>0.52500000000000002</v>
      </c>
      <c r="AA391" s="492">
        <f t="shared" si="91"/>
        <v>161280</v>
      </c>
      <c r="AB391" s="480"/>
      <c r="AC391" s="481">
        <f t="shared" si="92"/>
        <v>0</v>
      </c>
      <c r="AD391" s="490"/>
      <c r="AE391" s="482"/>
      <c r="AF391" s="493">
        <f t="shared" si="89"/>
        <v>161280</v>
      </c>
      <c r="AG391" s="474" t="s">
        <v>1071</v>
      </c>
      <c r="AH391" s="474"/>
      <c r="AI391" s="483">
        <v>60</v>
      </c>
      <c r="AJ391" s="474" t="s">
        <v>2384</v>
      </c>
      <c r="AK391" s="494" t="s">
        <v>1144</v>
      </c>
      <c r="AL391" s="474">
        <v>75063</v>
      </c>
      <c r="AM391" s="474" t="s">
        <v>52</v>
      </c>
      <c r="AN391" s="474" t="s">
        <v>1074</v>
      </c>
      <c r="AO391" s="474"/>
      <c r="AP391" s="486"/>
      <c r="AQ391" s="486" t="s">
        <v>37</v>
      </c>
      <c r="AR391" s="486"/>
      <c r="AS391" s="495"/>
      <c r="AT391" s="495"/>
      <c r="AU391" s="378"/>
      <c r="AV391" s="478"/>
    </row>
    <row r="392" spans="1:48" s="471" customFormat="1" ht="15" customHeight="1">
      <c r="A392" s="472"/>
      <c r="B392" s="514">
        <v>44557</v>
      </c>
      <c r="C392" s="472"/>
      <c r="D392" s="512" t="s">
        <v>2322</v>
      </c>
      <c r="E392" s="501" t="s">
        <v>2726</v>
      </c>
      <c r="F392" s="501"/>
      <c r="G392" s="501">
        <v>2022</v>
      </c>
      <c r="H392" s="501" t="s">
        <v>1676</v>
      </c>
      <c r="I392" s="512" t="s">
        <v>1676</v>
      </c>
      <c r="J392" s="502"/>
      <c r="K392" s="503" t="s">
        <v>4371</v>
      </c>
      <c r="L392" s="501" t="s">
        <v>2459</v>
      </c>
      <c r="M392" s="504">
        <v>44545</v>
      </c>
      <c r="N392" s="504">
        <v>44840</v>
      </c>
      <c r="O392" s="504"/>
      <c r="P392" s="370"/>
      <c r="Q392" s="502"/>
      <c r="R392" s="502"/>
      <c r="S392" s="501" t="s">
        <v>1563</v>
      </c>
      <c r="T392" s="501">
        <v>60</v>
      </c>
      <c r="U392" s="371">
        <v>49401140</v>
      </c>
      <c r="V392" s="501" t="s">
        <v>2855</v>
      </c>
      <c r="W392" s="501">
        <v>400</v>
      </c>
      <c r="X392" s="505">
        <v>768</v>
      </c>
      <c r="Y392" s="477">
        <f t="shared" si="88"/>
        <v>307200</v>
      </c>
      <c r="Z392" s="478">
        <v>0.52500000000000002</v>
      </c>
      <c r="AA392" s="492">
        <f t="shared" si="91"/>
        <v>161280</v>
      </c>
      <c r="AB392" s="480"/>
      <c r="AC392" s="481">
        <f t="shared" si="92"/>
        <v>0</v>
      </c>
      <c r="AD392" s="490"/>
      <c r="AE392" s="482"/>
      <c r="AF392" s="493">
        <f t="shared" si="89"/>
        <v>161280</v>
      </c>
      <c r="AG392" s="474" t="s">
        <v>1071</v>
      </c>
      <c r="AH392" s="474"/>
      <c r="AI392" s="483">
        <v>60</v>
      </c>
      <c r="AJ392" s="474" t="s">
        <v>2384</v>
      </c>
      <c r="AK392" s="494" t="s">
        <v>1144</v>
      </c>
      <c r="AL392" s="474">
        <v>75063</v>
      </c>
      <c r="AM392" s="474" t="s">
        <v>52</v>
      </c>
      <c r="AN392" s="474" t="s">
        <v>1074</v>
      </c>
      <c r="AO392" s="474"/>
      <c r="AP392" s="486"/>
      <c r="AQ392" s="486" t="s">
        <v>37</v>
      </c>
      <c r="AR392" s="486"/>
      <c r="AS392" s="495"/>
      <c r="AT392" s="495"/>
      <c r="AU392" s="378"/>
      <c r="AV392" s="478"/>
    </row>
    <row r="393" spans="1:48" s="471" customFormat="1" ht="15" customHeight="1">
      <c r="A393" s="472"/>
      <c r="B393" s="514">
        <v>44557</v>
      </c>
      <c r="C393" s="472"/>
      <c r="D393" s="512" t="s">
        <v>2322</v>
      </c>
      <c r="E393" s="501" t="s">
        <v>2726</v>
      </c>
      <c r="F393" s="501"/>
      <c r="G393" s="501">
        <v>2022</v>
      </c>
      <c r="H393" s="501" t="s">
        <v>1676</v>
      </c>
      <c r="I393" s="512" t="s">
        <v>1676</v>
      </c>
      <c r="J393" s="502"/>
      <c r="K393" s="503" t="s">
        <v>4372</v>
      </c>
      <c r="L393" s="501" t="s">
        <v>2459</v>
      </c>
      <c r="M393" s="504">
        <v>44545</v>
      </c>
      <c r="N393" s="504">
        <v>44844</v>
      </c>
      <c r="O393" s="504"/>
      <c r="P393" s="370"/>
      <c r="Q393" s="502"/>
      <c r="R393" s="502"/>
      <c r="S393" s="501" t="s">
        <v>1563</v>
      </c>
      <c r="T393" s="501">
        <v>60</v>
      </c>
      <c r="U393" s="371">
        <v>49401140</v>
      </c>
      <c r="V393" s="501" t="s">
        <v>2855</v>
      </c>
      <c r="W393" s="501">
        <v>400</v>
      </c>
      <c r="X393" s="505">
        <v>768</v>
      </c>
      <c r="Y393" s="477">
        <f t="shared" si="88"/>
        <v>307200</v>
      </c>
      <c r="Z393" s="478">
        <v>0.52500000000000002</v>
      </c>
      <c r="AA393" s="492">
        <f t="shared" si="91"/>
        <v>161280</v>
      </c>
      <c r="AB393" s="480"/>
      <c r="AC393" s="481">
        <f t="shared" si="92"/>
        <v>0</v>
      </c>
      <c r="AD393" s="490"/>
      <c r="AE393" s="482"/>
      <c r="AF393" s="493">
        <f t="shared" si="89"/>
        <v>161280</v>
      </c>
      <c r="AG393" s="474" t="s">
        <v>1071</v>
      </c>
      <c r="AH393" s="474"/>
      <c r="AI393" s="483">
        <v>60</v>
      </c>
      <c r="AJ393" s="474" t="s">
        <v>2384</v>
      </c>
      <c r="AK393" s="494" t="s">
        <v>1144</v>
      </c>
      <c r="AL393" s="474">
        <v>75063</v>
      </c>
      <c r="AM393" s="474" t="s">
        <v>52</v>
      </c>
      <c r="AN393" s="474" t="s">
        <v>1074</v>
      </c>
      <c r="AO393" s="474"/>
      <c r="AP393" s="486"/>
      <c r="AQ393" s="486" t="s">
        <v>37</v>
      </c>
      <c r="AR393" s="486"/>
      <c r="AS393" s="495"/>
      <c r="AT393" s="495"/>
      <c r="AU393" s="378"/>
      <c r="AV393" s="478"/>
    </row>
    <row r="394" spans="1:48" s="471" customFormat="1" ht="15" customHeight="1">
      <c r="A394" s="472"/>
      <c r="B394" s="514">
        <v>44557</v>
      </c>
      <c r="C394" s="472"/>
      <c r="D394" s="512" t="s">
        <v>2322</v>
      </c>
      <c r="E394" s="501" t="s">
        <v>2726</v>
      </c>
      <c r="F394" s="501"/>
      <c r="G394" s="501">
        <v>2022</v>
      </c>
      <c r="H394" s="501" t="s">
        <v>1676</v>
      </c>
      <c r="I394" s="512" t="s">
        <v>1676</v>
      </c>
      <c r="J394" s="502"/>
      <c r="K394" s="503" t="s">
        <v>4373</v>
      </c>
      <c r="L394" s="501" t="s">
        <v>2459</v>
      </c>
      <c r="M394" s="504">
        <v>44545</v>
      </c>
      <c r="N394" s="504">
        <v>44847</v>
      </c>
      <c r="O394" s="504"/>
      <c r="P394" s="370"/>
      <c r="Q394" s="502"/>
      <c r="R394" s="502"/>
      <c r="S394" s="501" t="s">
        <v>1563</v>
      </c>
      <c r="T394" s="501">
        <v>60</v>
      </c>
      <c r="U394" s="371">
        <v>49401140</v>
      </c>
      <c r="V394" s="501" t="s">
        <v>2855</v>
      </c>
      <c r="W394" s="501">
        <v>400</v>
      </c>
      <c r="X394" s="505">
        <v>768</v>
      </c>
      <c r="Y394" s="477">
        <f t="shared" si="88"/>
        <v>307200</v>
      </c>
      <c r="Z394" s="478">
        <v>0.52500000000000002</v>
      </c>
      <c r="AA394" s="492">
        <f t="shared" si="91"/>
        <v>161280</v>
      </c>
      <c r="AB394" s="480"/>
      <c r="AC394" s="481">
        <f t="shared" si="92"/>
        <v>0</v>
      </c>
      <c r="AD394" s="490"/>
      <c r="AE394" s="482"/>
      <c r="AF394" s="493">
        <f t="shared" si="89"/>
        <v>161280</v>
      </c>
      <c r="AG394" s="474" t="s">
        <v>1071</v>
      </c>
      <c r="AH394" s="474"/>
      <c r="AI394" s="483">
        <v>60</v>
      </c>
      <c r="AJ394" s="474" t="s">
        <v>2384</v>
      </c>
      <c r="AK394" s="494" t="s">
        <v>1144</v>
      </c>
      <c r="AL394" s="474">
        <v>75063</v>
      </c>
      <c r="AM394" s="474" t="s">
        <v>52</v>
      </c>
      <c r="AN394" s="474" t="s">
        <v>1074</v>
      </c>
      <c r="AO394" s="474"/>
      <c r="AP394" s="486"/>
      <c r="AQ394" s="486" t="s">
        <v>37</v>
      </c>
      <c r="AR394" s="486"/>
      <c r="AS394" s="495"/>
      <c r="AT394" s="495"/>
      <c r="AU394" s="378"/>
      <c r="AV394" s="478"/>
    </row>
    <row r="395" spans="1:48" s="471" customFormat="1" ht="15" customHeight="1">
      <c r="A395" s="472"/>
      <c r="B395" s="514">
        <v>44557</v>
      </c>
      <c r="C395" s="472"/>
      <c r="D395" s="512" t="s">
        <v>2322</v>
      </c>
      <c r="E395" s="501" t="s">
        <v>2726</v>
      </c>
      <c r="F395" s="501"/>
      <c r="G395" s="501">
        <v>2022</v>
      </c>
      <c r="H395" s="501" t="s">
        <v>1676</v>
      </c>
      <c r="I395" s="512" t="s">
        <v>1676</v>
      </c>
      <c r="J395" s="502"/>
      <c r="K395" s="503" t="s">
        <v>4374</v>
      </c>
      <c r="L395" s="501" t="s">
        <v>2459</v>
      </c>
      <c r="M395" s="504">
        <v>44545</v>
      </c>
      <c r="N395" s="504">
        <v>44850</v>
      </c>
      <c r="O395" s="504"/>
      <c r="P395" s="370"/>
      <c r="Q395" s="502"/>
      <c r="R395" s="502"/>
      <c r="S395" s="501" t="s">
        <v>1563</v>
      </c>
      <c r="T395" s="501">
        <v>60</v>
      </c>
      <c r="U395" s="371">
        <v>49401140</v>
      </c>
      <c r="V395" s="501" t="s">
        <v>2855</v>
      </c>
      <c r="W395" s="501">
        <v>400</v>
      </c>
      <c r="X395" s="505">
        <v>768</v>
      </c>
      <c r="Y395" s="477">
        <f t="shared" si="88"/>
        <v>307200</v>
      </c>
      <c r="Z395" s="478">
        <v>0.52500000000000002</v>
      </c>
      <c r="AA395" s="492">
        <f t="shared" si="91"/>
        <v>161280</v>
      </c>
      <c r="AB395" s="480"/>
      <c r="AC395" s="481">
        <f t="shared" si="92"/>
        <v>0</v>
      </c>
      <c r="AD395" s="490"/>
      <c r="AE395" s="482"/>
      <c r="AF395" s="493">
        <f t="shared" si="89"/>
        <v>161280</v>
      </c>
      <c r="AG395" s="474" t="s">
        <v>1071</v>
      </c>
      <c r="AH395" s="474"/>
      <c r="AI395" s="483">
        <v>60</v>
      </c>
      <c r="AJ395" s="474" t="s">
        <v>2384</v>
      </c>
      <c r="AK395" s="494" t="s">
        <v>1144</v>
      </c>
      <c r="AL395" s="474">
        <v>75063</v>
      </c>
      <c r="AM395" s="474" t="s">
        <v>52</v>
      </c>
      <c r="AN395" s="474" t="s">
        <v>1074</v>
      </c>
      <c r="AO395" s="474"/>
      <c r="AP395" s="486"/>
      <c r="AQ395" s="486" t="s">
        <v>37</v>
      </c>
      <c r="AR395" s="486"/>
      <c r="AS395" s="495"/>
      <c r="AT395" s="495"/>
      <c r="AU395" s="378"/>
      <c r="AV395" s="478"/>
    </row>
    <row r="396" spans="1:48" s="471" customFormat="1" ht="15" customHeight="1">
      <c r="A396" s="472"/>
      <c r="B396" s="514">
        <v>44557</v>
      </c>
      <c r="C396" s="472"/>
      <c r="D396" s="512" t="s">
        <v>2322</v>
      </c>
      <c r="E396" s="501" t="s">
        <v>2726</v>
      </c>
      <c r="F396" s="501"/>
      <c r="G396" s="501">
        <v>2022</v>
      </c>
      <c r="H396" s="501" t="s">
        <v>1676</v>
      </c>
      <c r="I396" s="512" t="s">
        <v>1676</v>
      </c>
      <c r="J396" s="502"/>
      <c r="K396" s="503" t="s">
        <v>4375</v>
      </c>
      <c r="L396" s="501" t="s">
        <v>2459</v>
      </c>
      <c r="M396" s="504">
        <v>44545</v>
      </c>
      <c r="N396" s="504">
        <v>44854</v>
      </c>
      <c r="O396" s="504"/>
      <c r="P396" s="370"/>
      <c r="Q396" s="502"/>
      <c r="R396" s="502"/>
      <c r="S396" s="501" t="s">
        <v>1563</v>
      </c>
      <c r="T396" s="501">
        <v>60</v>
      </c>
      <c r="U396" s="371">
        <v>49401140</v>
      </c>
      <c r="V396" s="501" t="s">
        <v>2855</v>
      </c>
      <c r="W396" s="501">
        <v>400</v>
      </c>
      <c r="X396" s="505">
        <v>768</v>
      </c>
      <c r="Y396" s="477">
        <f t="shared" si="88"/>
        <v>307200</v>
      </c>
      <c r="Z396" s="478">
        <v>0.52500000000000002</v>
      </c>
      <c r="AA396" s="492">
        <f t="shared" si="91"/>
        <v>161280</v>
      </c>
      <c r="AB396" s="480"/>
      <c r="AC396" s="481">
        <f t="shared" si="92"/>
        <v>0</v>
      </c>
      <c r="AD396" s="490"/>
      <c r="AE396" s="482"/>
      <c r="AF396" s="493">
        <f t="shared" si="89"/>
        <v>161280</v>
      </c>
      <c r="AG396" s="474" t="s">
        <v>1071</v>
      </c>
      <c r="AH396" s="474"/>
      <c r="AI396" s="483">
        <v>60</v>
      </c>
      <c r="AJ396" s="474" t="s">
        <v>2384</v>
      </c>
      <c r="AK396" s="494" t="s">
        <v>1144</v>
      </c>
      <c r="AL396" s="474">
        <v>75063</v>
      </c>
      <c r="AM396" s="474" t="s">
        <v>52</v>
      </c>
      <c r="AN396" s="474" t="s">
        <v>1074</v>
      </c>
      <c r="AO396" s="474"/>
      <c r="AP396" s="486"/>
      <c r="AQ396" s="486" t="s">
        <v>37</v>
      </c>
      <c r="AR396" s="486"/>
      <c r="AS396" s="495"/>
      <c r="AT396" s="495"/>
      <c r="AU396" s="378"/>
      <c r="AV396" s="478"/>
    </row>
    <row r="397" spans="1:48" s="471" customFormat="1" ht="15" customHeight="1">
      <c r="A397" s="472"/>
      <c r="B397" s="514">
        <v>44557</v>
      </c>
      <c r="C397" s="472"/>
      <c r="D397" s="512" t="s">
        <v>2322</v>
      </c>
      <c r="E397" s="501" t="s">
        <v>2726</v>
      </c>
      <c r="F397" s="501"/>
      <c r="G397" s="501">
        <v>2022</v>
      </c>
      <c r="H397" s="501" t="s">
        <v>1676</v>
      </c>
      <c r="I397" s="512" t="s">
        <v>1676</v>
      </c>
      <c r="J397" s="502"/>
      <c r="K397" s="503" t="s">
        <v>4376</v>
      </c>
      <c r="L397" s="501" t="s">
        <v>2459</v>
      </c>
      <c r="M397" s="504">
        <v>44545</v>
      </c>
      <c r="N397" s="504">
        <v>44866</v>
      </c>
      <c r="O397" s="504"/>
      <c r="P397" s="370"/>
      <c r="Q397" s="502"/>
      <c r="R397" s="502"/>
      <c r="S397" s="501" t="s">
        <v>1563</v>
      </c>
      <c r="T397" s="501">
        <v>60</v>
      </c>
      <c r="U397" s="371">
        <v>49401140</v>
      </c>
      <c r="V397" s="501" t="s">
        <v>2855</v>
      </c>
      <c r="W397" s="501">
        <v>400</v>
      </c>
      <c r="X397" s="505">
        <v>768</v>
      </c>
      <c r="Y397" s="477">
        <f t="shared" si="88"/>
        <v>307200</v>
      </c>
      <c r="Z397" s="478">
        <v>0.52500000000000002</v>
      </c>
      <c r="AA397" s="492">
        <f t="shared" si="91"/>
        <v>161280</v>
      </c>
      <c r="AB397" s="480"/>
      <c r="AC397" s="481">
        <f t="shared" si="92"/>
        <v>0</v>
      </c>
      <c r="AD397" s="490"/>
      <c r="AE397" s="482"/>
      <c r="AF397" s="493">
        <f t="shared" si="89"/>
        <v>161280</v>
      </c>
      <c r="AG397" s="474" t="s">
        <v>1071</v>
      </c>
      <c r="AH397" s="474"/>
      <c r="AI397" s="483">
        <v>60</v>
      </c>
      <c r="AJ397" s="474" t="s">
        <v>2384</v>
      </c>
      <c r="AK397" s="494" t="s">
        <v>1144</v>
      </c>
      <c r="AL397" s="474">
        <v>75063</v>
      </c>
      <c r="AM397" s="474" t="s">
        <v>52</v>
      </c>
      <c r="AN397" s="474" t="s">
        <v>1074</v>
      </c>
      <c r="AO397" s="474"/>
      <c r="AP397" s="486"/>
      <c r="AQ397" s="486" t="s">
        <v>37</v>
      </c>
      <c r="AR397" s="486"/>
      <c r="AS397" s="495"/>
      <c r="AT397" s="495"/>
      <c r="AU397" s="378"/>
      <c r="AV397" s="478"/>
    </row>
    <row r="398" spans="1:48" s="471" customFormat="1" ht="15" customHeight="1">
      <c r="A398" s="472"/>
      <c r="B398" s="514">
        <v>44557</v>
      </c>
      <c r="C398" s="472"/>
      <c r="D398" s="512" t="s">
        <v>2322</v>
      </c>
      <c r="E398" s="501" t="s">
        <v>2726</v>
      </c>
      <c r="F398" s="501"/>
      <c r="G398" s="501">
        <v>2022</v>
      </c>
      <c r="H398" s="501" t="s">
        <v>1676</v>
      </c>
      <c r="I398" s="512" t="s">
        <v>1676</v>
      </c>
      <c r="J398" s="502"/>
      <c r="K398" s="503" t="s">
        <v>4377</v>
      </c>
      <c r="L398" s="501" t="s">
        <v>2459</v>
      </c>
      <c r="M398" s="504">
        <v>44545</v>
      </c>
      <c r="N398" s="504">
        <v>44868</v>
      </c>
      <c r="O398" s="504"/>
      <c r="P398" s="370"/>
      <c r="Q398" s="502"/>
      <c r="R398" s="502"/>
      <c r="S398" s="501" t="s">
        <v>1563</v>
      </c>
      <c r="T398" s="501">
        <v>60</v>
      </c>
      <c r="U398" s="371">
        <v>49401140</v>
      </c>
      <c r="V398" s="501" t="s">
        <v>2855</v>
      </c>
      <c r="W398" s="501">
        <v>400</v>
      </c>
      <c r="X398" s="505">
        <v>768</v>
      </c>
      <c r="Y398" s="477">
        <f t="shared" si="88"/>
        <v>307200</v>
      </c>
      <c r="Z398" s="478">
        <v>0.52500000000000002</v>
      </c>
      <c r="AA398" s="492">
        <f t="shared" si="91"/>
        <v>161280</v>
      </c>
      <c r="AB398" s="480"/>
      <c r="AC398" s="481">
        <f t="shared" si="92"/>
        <v>0</v>
      </c>
      <c r="AD398" s="490"/>
      <c r="AE398" s="482"/>
      <c r="AF398" s="493">
        <f t="shared" si="89"/>
        <v>161280</v>
      </c>
      <c r="AG398" s="474" t="s">
        <v>1071</v>
      </c>
      <c r="AH398" s="474"/>
      <c r="AI398" s="483">
        <v>60</v>
      </c>
      <c r="AJ398" s="474" t="s">
        <v>2384</v>
      </c>
      <c r="AK398" s="494" t="s">
        <v>1144</v>
      </c>
      <c r="AL398" s="474">
        <v>75063</v>
      </c>
      <c r="AM398" s="474" t="s">
        <v>52</v>
      </c>
      <c r="AN398" s="474" t="s">
        <v>1074</v>
      </c>
      <c r="AO398" s="474"/>
      <c r="AP398" s="486"/>
      <c r="AQ398" s="486" t="s">
        <v>37</v>
      </c>
      <c r="AR398" s="486"/>
      <c r="AS398" s="495"/>
      <c r="AT398" s="495"/>
      <c r="AU398" s="378"/>
      <c r="AV398" s="478"/>
    </row>
    <row r="399" spans="1:48" s="471" customFormat="1" ht="15" customHeight="1">
      <c r="A399" s="472"/>
      <c r="B399" s="514">
        <v>44557</v>
      </c>
      <c r="C399" s="472"/>
      <c r="D399" s="512" t="s">
        <v>2322</v>
      </c>
      <c r="E399" s="501" t="s">
        <v>2726</v>
      </c>
      <c r="F399" s="501"/>
      <c r="G399" s="501">
        <v>2022</v>
      </c>
      <c r="H399" s="501" t="s">
        <v>1676</v>
      </c>
      <c r="I399" s="512" t="s">
        <v>1676</v>
      </c>
      <c r="J399" s="502"/>
      <c r="K399" s="503" t="s">
        <v>4378</v>
      </c>
      <c r="L399" s="501" t="s">
        <v>2459</v>
      </c>
      <c r="M399" s="504">
        <v>44545</v>
      </c>
      <c r="N399" s="504">
        <v>44871</v>
      </c>
      <c r="O399" s="504"/>
      <c r="P399" s="370"/>
      <c r="Q399" s="502"/>
      <c r="R399" s="502"/>
      <c r="S399" s="501" t="s">
        <v>1563</v>
      </c>
      <c r="T399" s="501">
        <v>60</v>
      </c>
      <c r="U399" s="371">
        <v>49401140</v>
      </c>
      <c r="V399" s="501" t="s">
        <v>2855</v>
      </c>
      <c r="W399" s="501">
        <v>400</v>
      </c>
      <c r="X399" s="505">
        <v>768</v>
      </c>
      <c r="Y399" s="477">
        <f t="shared" si="88"/>
        <v>307200</v>
      </c>
      <c r="Z399" s="478">
        <v>0.52500000000000002</v>
      </c>
      <c r="AA399" s="492">
        <f t="shared" si="91"/>
        <v>161280</v>
      </c>
      <c r="AB399" s="480"/>
      <c r="AC399" s="481">
        <f t="shared" si="92"/>
        <v>0</v>
      </c>
      <c r="AD399" s="490"/>
      <c r="AE399" s="482"/>
      <c r="AF399" s="493">
        <f t="shared" si="89"/>
        <v>161280</v>
      </c>
      <c r="AG399" s="474" t="s">
        <v>1071</v>
      </c>
      <c r="AH399" s="474"/>
      <c r="AI399" s="483">
        <v>60</v>
      </c>
      <c r="AJ399" s="474" t="s">
        <v>2384</v>
      </c>
      <c r="AK399" s="494" t="s">
        <v>1144</v>
      </c>
      <c r="AL399" s="474">
        <v>75063</v>
      </c>
      <c r="AM399" s="474" t="s">
        <v>52</v>
      </c>
      <c r="AN399" s="474" t="s">
        <v>1074</v>
      </c>
      <c r="AO399" s="474"/>
      <c r="AP399" s="486"/>
      <c r="AQ399" s="486" t="s">
        <v>37</v>
      </c>
      <c r="AR399" s="486"/>
      <c r="AS399" s="495"/>
      <c r="AT399" s="495"/>
      <c r="AU399" s="378"/>
      <c r="AV399" s="478"/>
    </row>
    <row r="400" spans="1:48" s="471" customFormat="1" ht="15" customHeight="1">
      <c r="A400" s="472"/>
      <c r="B400" s="514">
        <v>44557</v>
      </c>
      <c r="C400" s="472"/>
      <c r="D400" s="512" t="s">
        <v>2322</v>
      </c>
      <c r="E400" s="501" t="s">
        <v>2726</v>
      </c>
      <c r="F400" s="501"/>
      <c r="G400" s="501">
        <v>2022</v>
      </c>
      <c r="H400" s="501" t="s">
        <v>1676</v>
      </c>
      <c r="I400" s="512" t="s">
        <v>1676</v>
      </c>
      <c r="J400" s="502"/>
      <c r="K400" s="503" t="s">
        <v>4379</v>
      </c>
      <c r="L400" s="501" t="s">
        <v>2459</v>
      </c>
      <c r="M400" s="504">
        <v>44545</v>
      </c>
      <c r="N400" s="504">
        <v>44876</v>
      </c>
      <c r="O400" s="504"/>
      <c r="P400" s="370"/>
      <c r="Q400" s="502"/>
      <c r="R400" s="502"/>
      <c r="S400" s="501" t="s">
        <v>1563</v>
      </c>
      <c r="T400" s="501">
        <v>60</v>
      </c>
      <c r="U400" s="371">
        <v>49401140</v>
      </c>
      <c r="V400" s="501" t="s">
        <v>2855</v>
      </c>
      <c r="W400" s="501">
        <v>400</v>
      </c>
      <c r="X400" s="505">
        <v>768</v>
      </c>
      <c r="Y400" s="477">
        <f t="shared" si="88"/>
        <v>307200</v>
      </c>
      <c r="Z400" s="478">
        <v>0.52500000000000002</v>
      </c>
      <c r="AA400" s="492">
        <f t="shared" si="91"/>
        <v>161280</v>
      </c>
      <c r="AB400" s="480"/>
      <c r="AC400" s="481">
        <f t="shared" si="92"/>
        <v>0</v>
      </c>
      <c r="AD400" s="490"/>
      <c r="AE400" s="482"/>
      <c r="AF400" s="493">
        <f t="shared" si="89"/>
        <v>161280</v>
      </c>
      <c r="AG400" s="474" t="s">
        <v>1071</v>
      </c>
      <c r="AH400" s="474"/>
      <c r="AI400" s="483">
        <v>60</v>
      </c>
      <c r="AJ400" s="474" t="s">
        <v>2384</v>
      </c>
      <c r="AK400" s="494" t="s">
        <v>1144</v>
      </c>
      <c r="AL400" s="474">
        <v>75063</v>
      </c>
      <c r="AM400" s="474" t="s">
        <v>52</v>
      </c>
      <c r="AN400" s="474" t="s">
        <v>1074</v>
      </c>
      <c r="AO400" s="474"/>
      <c r="AP400" s="486"/>
      <c r="AQ400" s="486" t="s">
        <v>37</v>
      </c>
      <c r="AR400" s="486"/>
      <c r="AS400" s="495"/>
      <c r="AT400" s="495"/>
      <c r="AU400" s="378"/>
      <c r="AV400" s="478"/>
    </row>
    <row r="401" spans="1:48" s="471" customFormat="1" ht="15" customHeight="1">
      <c r="A401" s="472"/>
      <c r="B401" s="514">
        <v>44557</v>
      </c>
      <c r="C401" s="472"/>
      <c r="D401" s="512" t="s">
        <v>2322</v>
      </c>
      <c r="E401" s="501" t="s">
        <v>2726</v>
      </c>
      <c r="F401" s="501"/>
      <c r="G401" s="501">
        <v>2022</v>
      </c>
      <c r="H401" s="501" t="s">
        <v>1676</v>
      </c>
      <c r="I401" s="512" t="s">
        <v>1676</v>
      </c>
      <c r="J401" s="502"/>
      <c r="K401" s="503" t="s">
        <v>4380</v>
      </c>
      <c r="L401" s="501" t="s">
        <v>2459</v>
      </c>
      <c r="M401" s="504">
        <v>44545</v>
      </c>
      <c r="N401" s="504">
        <v>44878</v>
      </c>
      <c r="O401" s="504"/>
      <c r="P401" s="370"/>
      <c r="Q401" s="502"/>
      <c r="R401" s="502"/>
      <c r="S401" s="501" t="s">
        <v>1563</v>
      </c>
      <c r="T401" s="501">
        <v>60</v>
      </c>
      <c r="U401" s="371">
        <v>49401140</v>
      </c>
      <c r="V401" s="501" t="s">
        <v>2855</v>
      </c>
      <c r="W401" s="501">
        <v>400</v>
      </c>
      <c r="X401" s="505">
        <v>768</v>
      </c>
      <c r="Y401" s="477">
        <f t="shared" si="88"/>
        <v>307200</v>
      </c>
      <c r="Z401" s="478">
        <v>0.52500000000000002</v>
      </c>
      <c r="AA401" s="492">
        <f t="shared" si="91"/>
        <v>161280</v>
      </c>
      <c r="AB401" s="480"/>
      <c r="AC401" s="481">
        <f t="shared" si="92"/>
        <v>0</v>
      </c>
      <c r="AD401" s="490"/>
      <c r="AE401" s="482"/>
      <c r="AF401" s="493">
        <f t="shared" si="89"/>
        <v>161280</v>
      </c>
      <c r="AG401" s="474" t="s">
        <v>1071</v>
      </c>
      <c r="AH401" s="474"/>
      <c r="AI401" s="483">
        <v>60</v>
      </c>
      <c r="AJ401" s="474" t="s">
        <v>2384</v>
      </c>
      <c r="AK401" s="494" t="s">
        <v>1144</v>
      </c>
      <c r="AL401" s="474">
        <v>75063</v>
      </c>
      <c r="AM401" s="474" t="s">
        <v>52</v>
      </c>
      <c r="AN401" s="474" t="s">
        <v>1074</v>
      </c>
      <c r="AO401" s="474"/>
      <c r="AP401" s="486"/>
      <c r="AQ401" s="486" t="s">
        <v>37</v>
      </c>
      <c r="AR401" s="486"/>
      <c r="AS401" s="495"/>
      <c r="AT401" s="495"/>
      <c r="AU401" s="378"/>
      <c r="AV401" s="478"/>
    </row>
    <row r="402" spans="1:48" s="471" customFormat="1" ht="15" customHeight="1">
      <c r="A402" s="472"/>
      <c r="B402" s="514">
        <v>44557</v>
      </c>
      <c r="C402" s="472"/>
      <c r="D402" s="512" t="s">
        <v>2322</v>
      </c>
      <c r="E402" s="501" t="s">
        <v>2726</v>
      </c>
      <c r="F402" s="501"/>
      <c r="G402" s="501">
        <v>2022</v>
      </c>
      <c r="H402" s="501" t="s">
        <v>1676</v>
      </c>
      <c r="I402" s="512" t="s">
        <v>1676</v>
      </c>
      <c r="J402" s="502"/>
      <c r="K402" s="503" t="s">
        <v>4381</v>
      </c>
      <c r="L402" s="501" t="s">
        <v>2459</v>
      </c>
      <c r="M402" s="504">
        <v>44545</v>
      </c>
      <c r="N402" s="504">
        <v>44881</v>
      </c>
      <c r="O402" s="504"/>
      <c r="P402" s="370"/>
      <c r="Q402" s="502"/>
      <c r="R402" s="502"/>
      <c r="S402" s="501" t="s">
        <v>1563</v>
      </c>
      <c r="T402" s="501">
        <v>60</v>
      </c>
      <c r="U402" s="371">
        <v>49401140</v>
      </c>
      <c r="V402" s="501" t="s">
        <v>2855</v>
      </c>
      <c r="W402" s="501">
        <v>400</v>
      </c>
      <c r="X402" s="505">
        <v>768</v>
      </c>
      <c r="Y402" s="477">
        <f t="shared" si="88"/>
        <v>307200</v>
      </c>
      <c r="Z402" s="478">
        <v>0.52500000000000002</v>
      </c>
      <c r="AA402" s="492">
        <f t="shared" si="91"/>
        <v>161280</v>
      </c>
      <c r="AB402" s="480"/>
      <c r="AC402" s="481">
        <f t="shared" si="92"/>
        <v>0</v>
      </c>
      <c r="AD402" s="490"/>
      <c r="AE402" s="482"/>
      <c r="AF402" s="493">
        <f t="shared" si="89"/>
        <v>161280</v>
      </c>
      <c r="AG402" s="474" t="s">
        <v>1071</v>
      </c>
      <c r="AH402" s="474"/>
      <c r="AI402" s="483">
        <v>60</v>
      </c>
      <c r="AJ402" s="474" t="s">
        <v>2384</v>
      </c>
      <c r="AK402" s="494" t="s">
        <v>1144</v>
      </c>
      <c r="AL402" s="474">
        <v>75063</v>
      </c>
      <c r="AM402" s="474" t="s">
        <v>52</v>
      </c>
      <c r="AN402" s="474" t="s">
        <v>1074</v>
      </c>
      <c r="AO402" s="474"/>
      <c r="AP402" s="486"/>
      <c r="AQ402" s="486" t="s">
        <v>37</v>
      </c>
      <c r="AR402" s="486"/>
      <c r="AS402" s="495"/>
      <c r="AT402" s="495"/>
      <c r="AU402" s="378"/>
      <c r="AV402" s="478"/>
    </row>
    <row r="403" spans="1:48" s="471" customFormat="1" ht="15" customHeight="1">
      <c r="A403" s="472"/>
      <c r="B403" s="514">
        <v>44557</v>
      </c>
      <c r="C403" s="472"/>
      <c r="D403" s="512" t="s">
        <v>2322</v>
      </c>
      <c r="E403" s="501" t="s">
        <v>2726</v>
      </c>
      <c r="F403" s="501"/>
      <c r="G403" s="501">
        <v>2022</v>
      </c>
      <c r="H403" s="501" t="s">
        <v>1676</v>
      </c>
      <c r="I403" s="512" t="s">
        <v>1676</v>
      </c>
      <c r="J403" s="502"/>
      <c r="K403" s="503" t="s">
        <v>4382</v>
      </c>
      <c r="L403" s="501" t="s">
        <v>2459</v>
      </c>
      <c r="M403" s="504">
        <v>44545</v>
      </c>
      <c r="N403" s="504">
        <v>44885</v>
      </c>
      <c r="O403" s="504"/>
      <c r="P403" s="370"/>
      <c r="Q403" s="502"/>
      <c r="R403" s="502"/>
      <c r="S403" s="501" t="s">
        <v>1563</v>
      </c>
      <c r="T403" s="501">
        <v>60</v>
      </c>
      <c r="U403" s="371">
        <v>49401140</v>
      </c>
      <c r="V403" s="501" t="s">
        <v>2855</v>
      </c>
      <c r="W403" s="501">
        <v>400</v>
      </c>
      <c r="X403" s="505">
        <v>768</v>
      </c>
      <c r="Y403" s="477">
        <f t="shared" si="88"/>
        <v>307200</v>
      </c>
      <c r="Z403" s="478">
        <v>0.52500000000000002</v>
      </c>
      <c r="AA403" s="492">
        <f t="shared" si="91"/>
        <v>161280</v>
      </c>
      <c r="AB403" s="480"/>
      <c r="AC403" s="481">
        <f t="shared" si="92"/>
        <v>0</v>
      </c>
      <c r="AD403" s="490"/>
      <c r="AE403" s="482"/>
      <c r="AF403" s="493">
        <f t="shared" si="89"/>
        <v>161280</v>
      </c>
      <c r="AG403" s="474" t="s">
        <v>1071</v>
      </c>
      <c r="AH403" s="474"/>
      <c r="AI403" s="483">
        <v>60</v>
      </c>
      <c r="AJ403" s="474" t="s">
        <v>2384</v>
      </c>
      <c r="AK403" s="494" t="s">
        <v>1144</v>
      </c>
      <c r="AL403" s="474">
        <v>75063</v>
      </c>
      <c r="AM403" s="474" t="s">
        <v>52</v>
      </c>
      <c r="AN403" s="474" t="s">
        <v>1074</v>
      </c>
      <c r="AO403" s="474"/>
      <c r="AP403" s="486"/>
      <c r="AQ403" s="486" t="s">
        <v>37</v>
      </c>
      <c r="AR403" s="486"/>
      <c r="AS403" s="495"/>
      <c r="AT403" s="495"/>
      <c r="AU403" s="378"/>
      <c r="AV403" s="478"/>
    </row>
    <row r="404" spans="1:48" s="471" customFormat="1" ht="15" customHeight="1">
      <c r="A404" s="472"/>
      <c r="B404" s="514">
        <v>44557</v>
      </c>
      <c r="C404" s="472"/>
      <c r="D404" s="512" t="s">
        <v>2322</v>
      </c>
      <c r="E404" s="501" t="s">
        <v>2726</v>
      </c>
      <c r="F404" s="501"/>
      <c r="G404" s="501">
        <v>2022</v>
      </c>
      <c r="H404" s="501" t="s">
        <v>1676</v>
      </c>
      <c r="I404" s="512" t="s">
        <v>1676</v>
      </c>
      <c r="J404" s="502"/>
      <c r="K404" s="503" t="s">
        <v>4383</v>
      </c>
      <c r="L404" s="501" t="s">
        <v>2459</v>
      </c>
      <c r="M404" s="504">
        <v>44545</v>
      </c>
      <c r="N404" s="504">
        <v>44896</v>
      </c>
      <c r="O404" s="504"/>
      <c r="P404" s="370"/>
      <c r="Q404" s="502"/>
      <c r="R404" s="502"/>
      <c r="S404" s="501" t="s">
        <v>1563</v>
      </c>
      <c r="T404" s="501">
        <v>60</v>
      </c>
      <c r="U404" s="371">
        <v>49401140</v>
      </c>
      <c r="V404" s="501" t="s">
        <v>2855</v>
      </c>
      <c r="W404" s="501">
        <v>400</v>
      </c>
      <c r="X404" s="505">
        <v>768</v>
      </c>
      <c r="Y404" s="477">
        <f t="shared" si="88"/>
        <v>307200</v>
      </c>
      <c r="Z404" s="478">
        <v>0.52500000000000002</v>
      </c>
      <c r="AA404" s="492">
        <f t="shared" si="91"/>
        <v>161280</v>
      </c>
      <c r="AB404" s="480"/>
      <c r="AC404" s="481">
        <f t="shared" si="92"/>
        <v>0</v>
      </c>
      <c r="AD404" s="490"/>
      <c r="AE404" s="482"/>
      <c r="AF404" s="493">
        <f t="shared" si="89"/>
        <v>161280</v>
      </c>
      <c r="AG404" s="474" t="s">
        <v>1071</v>
      </c>
      <c r="AH404" s="474"/>
      <c r="AI404" s="483">
        <v>60</v>
      </c>
      <c r="AJ404" s="474" t="s">
        <v>2384</v>
      </c>
      <c r="AK404" s="494" t="s">
        <v>1144</v>
      </c>
      <c r="AL404" s="474">
        <v>75063</v>
      </c>
      <c r="AM404" s="474" t="s">
        <v>52</v>
      </c>
      <c r="AN404" s="474" t="s">
        <v>1074</v>
      </c>
      <c r="AO404" s="474"/>
      <c r="AP404" s="486"/>
      <c r="AQ404" s="486" t="s">
        <v>37</v>
      </c>
      <c r="AR404" s="486"/>
      <c r="AS404" s="495"/>
      <c r="AT404" s="495"/>
      <c r="AU404" s="378"/>
      <c r="AV404" s="478"/>
    </row>
    <row r="405" spans="1:48" s="471" customFormat="1" ht="15" customHeight="1">
      <c r="A405" s="472"/>
      <c r="B405" s="514">
        <v>44557</v>
      </c>
      <c r="C405" s="472"/>
      <c r="D405" s="512" t="s">
        <v>2322</v>
      </c>
      <c r="E405" s="501" t="s">
        <v>2726</v>
      </c>
      <c r="F405" s="501"/>
      <c r="G405" s="501">
        <v>2022</v>
      </c>
      <c r="H405" s="501" t="s">
        <v>1676</v>
      </c>
      <c r="I405" s="512" t="s">
        <v>1676</v>
      </c>
      <c r="J405" s="502"/>
      <c r="K405" s="503" t="s">
        <v>4384</v>
      </c>
      <c r="L405" s="501" t="s">
        <v>2459</v>
      </c>
      <c r="M405" s="504">
        <v>44545</v>
      </c>
      <c r="N405" s="504">
        <v>44898</v>
      </c>
      <c r="O405" s="504"/>
      <c r="P405" s="370"/>
      <c r="Q405" s="502"/>
      <c r="R405" s="502"/>
      <c r="S405" s="501" t="s">
        <v>1563</v>
      </c>
      <c r="T405" s="501">
        <v>60</v>
      </c>
      <c r="U405" s="371">
        <v>49401140</v>
      </c>
      <c r="V405" s="501" t="s">
        <v>2855</v>
      </c>
      <c r="W405" s="501">
        <v>400</v>
      </c>
      <c r="X405" s="505">
        <v>768</v>
      </c>
      <c r="Y405" s="477">
        <f t="shared" si="88"/>
        <v>307200</v>
      </c>
      <c r="Z405" s="478">
        <v>0.52500000000000002</v>
      </c>
      <c r="AA405" s="492">
        <f t="shared" si="91"/>
        <v>161280</v>
      </c>
      <c r="AB405" s="480"/>
      <c r="AC405" s="481">
        <f t="shared" si="92"/>
        <v>0</v>
      </c>
      <c r="AD405" s="490"/>
      <c r="AE405" s="482"/>
      <c r="AF405" s="493">
        <f t="shared" si="89"/>
        <v>161280</v>
      </c>
      <c r="AG405" s="474" t="s">
        <v>1071</v>
      </c>
      <c r="AH405" s="474"/>
      <c r="AI405" s="483">
        <v>60</v>
      </c>
      <c r="AJ405" s="474" t="s">
        <v>2384</v>
      </c>
      <c r="AK405" s="494" t="s">
        <v>1144</v>
      </c>
      <c r="AL405" s="474">
        <v>75063</v>
      </c>
      <c r="AM405" s="474" t="s">
        <v>52</v>
      </c>
      <c r="AN405" s="474" t="s">
        <v>1074</v>
      </c>
      <c r="AO405" s="474"/>
      <c r="AP405" s="486"/>
      <c r="AQ405" s="486" t="s">
        <v>37</v>
      </c>
      <c r="AR405" s="486"/>
      <c r="AS405" s="495"/>
      <c r="AT405" s="495"/>
      <c r="AU405" s="378"/>
      <c r="AV405" s="478"/>
    </row>
    <row r="406" spans="1:48" s="471" customFormat="1" ht="15" customHeight="1">
      <c r="A406" s="472"/>
      <c r="B406" s="514">
        <v>44557</v>
      </c>
      <c r="C406" s="472"/>
      <c r="D406" s="512" t="s">
        <v>2322</v>
      </c>
      <c r="E406" s="501" t="s">
        <v>2726</v>
      </c>
      <c r="F406" s="501"/>
      <c r="G406" s="501">
        <v>2022</v>
      </c>
      <c r="H406" s="501" t="s">
        <v>1676</v>
      </c>
      <c r="I406" s="512" t="s">
        <v>1676</v>
      </c>
      <c r="J406" s="502"/>
      <c r="K406" s="503" t="s">
        <v>4385</v>
      </c>
      <c r="L406" s="501" t="s">
        <v>2459</v>
      </c>
      <c r="M406" s="504">
        <v>44545</v>
      </c>
      <c r="N406" s="504">
        <v>44849</v>
      </c>
      <c r="O406" s="504"/>
      <c r="P406" s="370"/>
      <c r="Q406" s="502"/>
      <c r="R406" s="502"/>
      <c r="S406" s="501" t="s">
        <v>1563</v>
      </c>
      <c r="T406" s="501">
        <v>60</v>
      </c>
      <c r="U406" s="371">
        <v>49201132</v>
      </c>
      <c r="V406" s="501" t="s">
        <v>986</v>
      </c>
      <c r="W406" s="501">
        <v>360</v>
      </c>
      <c r="X406" s="505">
        <v>832</v>
      </c>
      <c r="Y406" s="477">
        <f t="shared" ref="Y406:Y469" si="93">X406*W406</f>
        <v>299520</v>
      </c>
      <c r="Z406" s="478">
        <v>0.79</v>
      </c>
      <c r="AA406" s="492">
        <f t="shared" si="91"/>
        <v>236620.80000000002</v>
      </c>
      <c r="AB406" s="480"/>
      <c r="AC406" s="481">
        <f t="shared" si="92"/>
        <v>0</v>
      </c>
      <c r="AD406" s="490"/>
      <c r="AE406" s="482"/>
      <c r="AF406" s="493">
        <f t="shared" ref="AF406:AF469" si="94">AA406+AE406</f>
        <v>236620.80000000002</v>
      </c>
      <c r="AG406" s="474" t="s">
        <v>1071</v>
      </c>
      <c r="AH406" s="474"/>
      <c r="AI406" s="483">
        <v>60</v>
      </c>
      <c r="AJ406" s="474" t="s">
        <v>2461</v>
      </c>
      <c r="AK406" s="494" t="s">
        <v>1823</v>
      </c>
      <c r="AL406" s="474">
        <v>97210</v>
      </c>
      <c r="AM406" s="474" t="s">
        <v>52</v>
      </c>
      <c r="AN406" s="474" t="s">
        <v>1074</v>
      </c>
      <c r="AO406" s="474"/>
      <c r="AP406" s="486"/>
      <c r="AQ406" s="486" t="s">
        <v>37</v>
      </c>
      <c r="AR406" s="486"/>
      <c r="AS406" s="495"/>
      <c r="AT406" s="495"/>
      <c r="AU406" s="378"/>
      <c r="AV406" s="478"/>
    </row>
    <row r="407" spans="1:48" s="471" customFormat="1" ht="15" customHeight="1">
      <c r="A407" s="472"/>
      <c r="B407" s="514">
        <v>44522</v>
      </c>
      <c r="C407" s="472"/>
      <c r="D407" s="512" t="s">
        <v>2322</v>
      </c>
      <c r="E407" s="501" t="s">
        <v>2726</v>
      </c>
      <c r="F407" s="501"/>
      <c r="G407" s="501">
        <v>2022</v>
      </c>
      <c r="H407" s="501" t="s">
        <v>1676</v>
      </c>
      <c r="I407" s="512" t="s">
        <v>1676</v>
      </c>
      <c r="J407" s="502"/>
      <c r="K407" s="503" t="s">
        <v>4386</v>
      </c>
      <c r="L407" s="501" t="s">
        <v>2459</v>
      </c>
      <c r="M407" s="504">
        <v>44505</v>
      </c>
      <c r="N407" s="504">
        <v>44655</v>
      </c>
      <c r="O407" s="504"/>
      <c r="P407" s="370"/>
      <c r="Q407" s="502"/>
      <c r="R407" s="502"/>
      <c r="S407" s="501" t="s">
        <v>1563</v>
      </c>
      <c r="T407" s="501">
        <v>60</v>
      </c>
      <c r="U407" s="371">
        <v>49401140</v>
      </c>
      <c r="V407" s="501" t="s">
        <v>973</v>
      </c>
      <c r="W407" s="501">
        <v>400</v>
      </c>
      <c r="X407" s="505">
        <v>768</v>
      </c>
      <c r="Y407" s="477">
        <f t="shared" si="93"/>
        <v>307200</v>
      </c>
      <c r="Z407" s="478">
        <f t="shared" ref="Z407:Z415" si="95">210/400</f>
        <v>0.52500000000000002</v>
      </c>
      <c r="AA407" s="492">
        <f t="shared" si="91"/>
        <v>161280</v>
      </c>
      <c r="AB407" s="480"/>
      <c r="AC407" s="481">
        <f t="shared" si="92"/>
        <v>0</v>
      </c>
      <c r="AD407" s="490"/>
      <c r="AE407" s="482"/>
      <c r="AF407" s="493">
        <f t="shared" si="94"/>
        <v>161280</v>
      </c>
      <c r="AG407" s="474" t="s">
        <v>1071</v>
      </c>
      <c r="AH407" s="474"/>
      <c r="AI407" s="483" t="s">
        <v>2442</v>
      </c>
      <c r="AJ407" s="474" t="s">
        <v>1790</v>
      </c>
      <c r="AK407" s="494" t="s">
        <v>50</v>
      </c>
      <c r="AL407" s="474" t="s">
        <v>1959</v>
      </c>
      <c r="AM407" s="474" t="s">
        <v>52</v>
      </c>
      <c r="AN407" s="474"/>
      <c r="AO407" s="474"/>
      <c r="AP407" s="486"/>
      <c r="AQ407" s="486" t="s">
        <v>37</v>
      </c>
      <c r="AR407" s="486"/>
      <c r="AS407" s="495"/>
      <c r="AT407" s="495"/>
      <c r="AU407" s="378"/>
      <c r="AV407" s="478"/>
    </row>
    <row r="408" spans="1:48" s="471" customFormat="1" ht="15" customHeight="1">
      <c r="A408" s="472"/>
      <c r="B408" s="514">
        <v>44522</v>
      </c>
      <c r="C408" s="472"/>
      <c r="D408" s="512" t="s">
        <v>2322</v>
      </c>
      <c r="E408" s="501" t="s">
        <v>2726</v>
      </c>
      <c r="F408" s="501"/>
      <c r="G408" s="501">
        <v>2022</v>
      </c>
      <c r="H408" s="501" t="s">
        <v>1676</v>
      </c>
      <c r="I408" s="512" t="s">
        <v>1676</v>
      </c>
      <c r="J408" s="502"/>
      <c r="K408" s="503" t="s">
        <v>4387</v>
      </c>
      <c r="L408" s="501" t="s">
        <v>2459</v>
      </c>
      <c r="M408" s="504">
        <v>44505</v>
      </c>
      <c r="N408" s="504">
        <v>44662</v>
      </c>
      <c r="O408" s="504"/>
      <c r="P408" s="370"/>
      <c r="Q408" s="502"/>
      <c r="R408" s="502"/>
      <c r="S408" s="501" t="s">
        <v>1563</v>
      </c>
      <c r="T408" s="501">
        <v>60</v>
      </c>
      <c r="U408" s="371">
        <v>49401140</v>
      </c>
      <c r="V408" s="501" t="s">
        <v>973</v>
      </c>
      <c r="W408" s="501">
        <v>400</v>
      </c>
      <c r="X408" s="505">
        <v>768</v>
      </c>
      <c r="Y408" s="477">
        <f t="shared" si="93"/>
        <v>307200</v>
      </c>
      <c r="Z408" s="478">
        <f t="shared" si="95"/>
        <v>0.52500000000000002</v>
      </c>
      <c r="AA408" s="492">
        <f t="shared" si="91"/>
        <v>161280</v>
      </c>
      <c r="AB408" s="480"/>
      <c r="AC408" s="481">
        <f t="shared" si="92"/>
        <v>0</v>
      </c>
      <c r="AD408" s="490"/>
      <c r="AE408" s="482"/>
      <c r="AF408" s="493">
        <f t="shared" si="94"/>
        <v>161280</v>
      </c>
      <c r="AG408" s="474" t="s">
        <v>1071</v>
      </c>
      <c r="AH408" s="474"/>
      <c r="AI408" s="483" t="s">
        <v>2442</v>
      </c>
      <c r="AJ408" s="474" t="s">
        <v>1790</v>
      </c>
      <c r="AK408" s="494" t="s">
        <v>50</v>
      </c>
      <c r="AL408" s="474" t="s">
        <v>1959</v>
      </c>
      <c r="AM408" s="474" t="s">
        <v>52</v>
      </c>
      <c r="AN408" s="474"/>
      <c r="AO408" s="474"/>
      <c r="AP408" s="486"/>
      <c r="AQ408" s="486" t="s">
        <v>37</v>
      </c>
      <c r="AR408" s="486"/>
      <c r="AS408" s="495"/>
      <c r="AT408" s="495"/>
      <c r="AU408" s="378"/>
      <c r="AV408" s="478"/>
    </row>
    <row r="409" spans="1:48" s="471" customFormat="1" ht="15" customHeight="1">
      <c r="A409" s="472"/>
      <c r="B409" s="514">
        <v>44522</v>
      </c>
      <c r="C409" s="472"/>
      <c r="D409" s="512" t="s">
        <v>2322</v>
      </c>
      <c r="E409" s="501" t="s">
        <v>2726</v>
      </c>
      <c r="F409" s="501"/>
      <c r="G409" s="501">
        <v>2022</v>
      </c>
      <c r="H409" s="501" t="s">
        <v>1676</v>
      </c>
      <c r="I409" s="512" t="s">
        <v>1676</v>
      </c>
      <c r="J409" s="502"/>
      <c r="K409" s="503" t="s">
        <v>4388</v>
      </c>
      <c r="L409" s="501" t="s">
        <v>2459</v>
      </c>
      <c r="M409" s="504">
        <v>44505</v>
      </c>
      <c r="N409" s="504">
        <v>44666</v>
      </c>
      <c r="O409" s="504"/>
      <c r="P409" s="370"/>
      <c r="Q409" s="502"/>
      <c r="R409" s="502"/>
      <c r="S409" s="501" t="s">
        <v>1563</v>
      </c>
      <c r="T409" s="501">
        <v>60</v>
      </c>
      <c r="U409" s="371">
        <v>49401140</v>
      </c>
      <c r="V409" s="501" t="s">
        <v>973</v>
      </c>
      <c r="W409" s="501">
        <v>400</v>
      </c>
      <c r="X409" s="505">
        <v>768</v>
      </c>
      <c r="Y409" s="477">
        <f t="shared" si="93"/>
        <v>307200</v>
      </c>
      <c r="Z409" s="478">
        <f t="shared" si="95"/>
        <v>0.52500000000000002</v>
      </c>
      <c r="AA409" s="492">
        <f t="shared" si="91"/>
        <v>161280</v>
      </c>
      <c r="AB409" s="480"/>
      <c r="AC409" s="481">
        <f t="shared" si="92"/>
        <v>0</v>
      </c>
      <c r="AD409" s="490"/>
      <c r="AE409" s="482"/>
      <c r="AF409" s="493">
        <f t="shared" si="94"/>
        <v>161280</v>
      </c>
      <c r="AG409" s="474" t="s">
        <v>1071</v>
      </c>
      <c r="AH409" s="474"/>
      <c r="AI409" s="483" t="s">
        <v>2442</v>
      </c>
      <c r="AJ409" s="474" t="s">
        <v>2545</v>
      </c>
      <c r="AK409" s="494" t="s">
        <v>50</v>
      </c>
      <c r="AL409" s="474" t="s">
        <v>1959</v>
      </c>
      <c r="AM409" s="474" t="s">
        <v>52</v>
      </c>
      <c r="AN409" s="474"/>
      <c r="AO409" s="474"/>
      <c r="AP409" s="486"/>
      <c r="AQ409" s="486" t="s">
        <v>37</v>
      </c>
      <c r="AR409" s="486"/>
      <c r="AS409" s="495"/>
      <c r="AT409" s="495"/>
      <c r="AU409" s="378"/>
      <c r="AV409" s="478"/>
    </row>
    <row r="410" spans="1:48" s="471" customFormat="1" ht="15" customHeight="1">
      <c r="A410" s="472"/>
      <c r="B410" s="514">
        <v>44522</v>
      </c>
      <c r="C410" s="472"/>
      <c r="D410" s="512" t="s">
        <v>2322</v>
      </c>
      <c r="E410" s="501" t="s">
        <v>2726</v>
      </c>
      <c r="F410" s="501"/>
      <c r="G410" s="501">
        <v>2022</v>
      </c>
      <c r="H410" s="501" t="s">
        <v>1676</v>
      </c>
      <c r="I410" s="512" t="s">
        <v>1676</v>
      </c>
      <c r="J410" s="502"/>
      <c r="K410" s="503" t="s">
        <v>4389</v>
      </c>
      <c r="L410" s="501" t="s">
        <v>2459</v>
      </c>
      <c r="M410" s="504">
        <v>44505</v>
      </c>
      <c r="N410" s="504">
        <v>44685</v>
      </c>
      <c r="O410" s="504"/>
      <c r="P410" s="370"/>
      <c r="Q410" s="502"/>
      <c r="R410" s="502"/>
      <c r="S410" s="501" t="s">
        <v>1563</v>
      </c>
      <c r="T410" s="501">
        <v>60</v>
      </c>
      <c r="U410" s="371">
        <v>49401140</v>
      </c>
      <c r="V410" s="501" t="s">
        <v>973</v>
      </c>
      <c r="W410" s="501">
        <v>400</v>
      </c>
      <c r="X410" s="505">
        <v>768</v>
      </c>
      <c r="Y410" s="477">
        <f t="shared" si="93"/>
        <v>307200</v>
      </c>
      <c r="Z410" s="478">
        <f t="shared" si="95"/>
        <v>0.52500000000000002</v>
      </c>
      <c r="AA410" s="492">
        <f t="shared" si="91"/>
        <v>161280</v>
      </c>
      <c r="AB410" s="480"/>
      <c r="AC410" s="481">
        <f t="shared" si="92"/>
        <v>0</v>
      </c>
      <c r="AD410" s="490"/>
      <c r="AE410" s="482"/>
      <c r="AF410" s="493">
        <f t="shared" si="94"/>
        <v>161280</v>
      </c>
      <c r="AG410" s="474" t="s">
        <v>1071</v>
      </c>
      <c r="AH410" s="474"/>
      <c r="AI410" s="483" t="s">
        <v>2442</v>
      </c>
      <c r="AJ410" s="474" t="s">
        <v>2545</v>
      </c>
      <c r="AK410" s="494" t="s">
        <v>50</v>
      </c>
      <c r="AL410" s="474" t="s">
        <v>1959</v>
      </c>
      <c r="AM410" s="474" t="s">
        <v>52</v>
      </c>
      <c r="AN410" s="474"/>
      <c r="AO410" s="474"/>
      <c r="AP410" s="486"/>
      <c r="AQ410" s="486" t="s">
        <v>37</v>
      </c>
      <c r="AR410" s="486"/>
      <c r="AS410" s="495"/>
      <c r="AT410" s="495"/>
      <c r="AU410" s="378"/>
      <c r="AV410" s="478"/>
    </row>
    <row r="411" spans="1:48" s="471" customFormat="1" ht="15" customHeight="1">
      <c r="A411" s="472"/>
      <c r="B411" s="514">
        <v>44522</v>
      </c>
      <c r="C411" s="472"/>
      <c r="D411" s="512" t="s">
        <v>2322</v>
      </c>
      <c r="E411" s="501" t="s">
        <v>2726</v>
      </c>
      <c r="F411" s="501"/>
      <c r="G411" s="501">
        <v>2022</v>
      </c>
      <c r="H411" s="501" t="s">
        <v>1676</v>
      </c>
      <c r="I411" s="512" t="s">
        <v>1676</v>
      </c>
      <c r="J411" s="502"/>
      <c r="K411" s="503" t="s">
        <v>4390</v>
      </c>
      <c r="L411" s="501" t="s">
        <v>2459</v>
      </c>
      <c r="M411" s="504">
        <v>44505</v>
      </c>
      <c r="N411" s="504">
        <v>44692</v>
      </c>
      <c r="O411" s="504"/>
      <c r="P411" s="370"/>
      <c r="Q411" s="502"/>
      <c r="R411" s="502"/>
      <c r="S411" s="501" t="s">
        <v>1563</v>
      </c>
      <c r="T411" s="501">
        <v>60</v>
      </c>
      <c r="U411" s="371">
        <v>49401140</v>
      </c>
      <c r="V411" s="501" t="s">
        <v>973</v>
      </c>
      <c r="W411" s="501">
        <v>400</v>
      </c>
      <c r="X411" s="505">
        <v>768</v>
      </c>
      <c r="Y411" s="477">
        <f t="shared" si="93"/>
        <v>307200</v>
      </c>
      <c r="Z411" s="478">
        <f t="shared" si="95"/>
        <v>0.52500000000000002</v>
      </c>
      <c r="AA411" s="492">
        <f t="shared" si="91"/>
        <v>161280</v>
      </c>
      <c r="AB411" s="480"/>
      <c r="AC411" s="481">
        <f t="shared" si="92"/>
        <v>0</v>
      </c>
      <c r="AD411" s="490"/>
      <c r="AE411" s="482"/>
      <c r="AF411" s="493">
        <f t="shared" si="94"/>
        <v>161280</v>
      </c>
      <c r="AG411" s="474" t="s">
        <v>1071</v>
      </c>
      <c r="AH411" s="474"/>
      <c r="AI411" s="483" t="s">
        <v>2442</v>
      </c>
      <c r="AJ411" s="474" t="s">
        <v>2545</v>
      </c>
      <c r="AK411" s="494" t="s">
        <v>50</v>
      </c>
      <c r="AL411" s="474" t="s">
        <v>1959</v>
      </c>
      <c r="AM411" s="474" t="s">
        <v>52</v>
      </c>
      <c r="AN411" s="474"/>
      <c r="AO411" s="474"/>
      <c r="AP411" s="486"/>
      <c r="AQ411" s="486" t="s">
        <v>37</v>
      </c>
      <c r="AR411" s="486"/>
      <c r="AS411" s="495"/>
      <c r="AT411" s="495"/>
      <c r="AU411" s="378"/>
      <c r="AV411" s="478"/>
    </row>
    <row r="412" spans="1:48" s="471" customFormat="1" ht="15" customHeight="1">
      <c r="A412" s="472"/>
      <c r="B412" s="514">
        <v>44522</v>
      </c>
      <c r="C412" s="472"/>
      <c r="D412" s="512" t="s">
        <v>2322</v>
      </c>
      <c r="E412" s="501" t="s">
        <v>2726</v>
      </c>
      <c r="F412" s="501"/>
      <c r="G412" s="501">
        <v>2022</v>
      </c>
      <c r="H412" s="501" t="s">
        <v>1676</v>
      </c>
      <c r="I412" s="512" t="s">
        <v>1676</v>
      </c>
      <c r="J412" s="502"/>
      <c r="K412" s="503" t="s">
        <v>4391</v>
      </c>
      <c r="L412" s="501" t="s">
        <v>2459</v>
      </c>
      <c r="M412" s="504">
        <v>44505</v>
      </c>
      <c r="N412" s="504">
        <v>44697</v>
      </c>
      <c r="O412" s="504"/>
      <c r="P412" s="370"/>
      <c r="Q412" s="502"/>
      <c r="R412" s="502"/>
      <c r="S412" s="501" t="s">
        <v>1563</v>
      </c>
      <c r="T412" s="501">
        <v>60</v>
      </c>
      <c r="U412" s="371">
        <v>49401140</v>
      </c>
      <c r="V412" s="501" t="s">
        <v>2482</v>
      </c>
      <c r="W412" s="501">
        <v>400</v>
      </c>
      <c r="X412" s="505">
        <v>768</v>
      </c>
      <c r="Y412" s="477">
        <f t="shared" si="93"/>
        <v>307200</v>
      </c>
      <c r="Z412" s="478">
        <f t="shared" si="95"/>
        <v>0.52500000000000002</v>
      </c>
      <c r="AA412" s="492">
        <f t="shared" si="91"/>
        <v>161280</v>
      </c>
      <c r="AB412" s="480"/>
      <c r="AC412" s="481">
        <f t="shared" si="92"/>
        <v>0</v>
      </c>
      <c r="AD412" s="490"/>
      <c r="AE412" s="482"/>
      <c r="AF412" s="493">
        <f t="shared" si="94"/>
        <v>161280</v>
      </c>
      <c r="AG412" s="474" t="s">
        <v>1071</v>
      </c>
      <c r="AH412" s="474"/>
      <c r="AI412" s="483" t="s">
        <v>2442</v>
      </c>
      <c r="AJ412" s="474" t="s">
        <v>1790</v>
      </c>
      <c r="AK412" s="494" t="s">
        <v>50</v>
      </c>
      <c r="AL412" s="474" t="s">
        <v>1959</v>
      </c>
      <c r="AM412" s="474" t="s">
        <v>52</v>
      </c>
      <c r="AN412" s="474"/>
      <c r="AO412" s="474"/>
      <c r="AP412" s="486"/>
      <c r="AQ412" s="486" t="s">
        <v>37</v>
      </c>
      <c r="AR412" s="486"/>
      <c r="AS412" s="495"/>
      <c r="AT412" s="495"/>
      <c r="AU412" s="378"/>
      <c r="AV412" s="478"/>
    </row>
    <row r="413" spans="1:48" s="471" customFormat="1" ht="15" customHeight="1">
      <c r="A413" s="472"/>
      <c r="B413" s="514">
        <v>44522</v>
      </c>
      <c r="C413" s="472"/>
      <c r="D413" s="512" t="s">
        <v>2322</v>
      </c>
      <c r="E413" s="501" t="s">
        <v>2726</v>
      </c>
      <c r="F413" s="501"/>
      <c r="G413" s="501">
        <v>2022</v>
      </c>
      <c r="H413" s="501" t="s">
        <v>1676</v>
      </c>
      <c r="I413" s="512" t="s">
        <v>1676</v>
      </c>
      <c r="J413" s="502"/>
      <c r="K413" s="503" t="s">
        <v>4392</v>
      </c>
      <c r="L413" s="501" t="s">
        <v>2459</v>
      </c>
      <c r="M413" s="504">
        <v>44505</v>
      </c>
      <c r="N413" s="504">
        <v>44717</v>
      </c>
      <c r="O413" s="504"/>
      <c r="P413" s="370"/>
      <c r="Q413" s="502"/>
      <c r="R413" s="502"/>
      <c r="S413" s="501" t="s">
        <v>1563</v>
      </c>
      <c r="T413" s="501">
        <v>60</v>
      </c>
      <c r="U413" s="371">
        <v>49401140</v>
      </c>
      <c r="V413" s="501" t="s">
        <v>2482</v>
      </c>
      <c r="W413" s="501">
        <v>400</v>
      </c>
      <c r="X413" s="505">
        <v>768</v>
      </c>
      <c r="Y413" s="477">
        <f t="shared" si="93"/>
        <v>307200</v>
      </c>
      <c r="Z413" s="478">
        <f t="shared" si="95"/>
        <v>0.52500000000000002</v>
      </c>
      <c r="AA413" s="492">
        <f t="shared" si="91"/>
        <v>161280</v>
      </c>
      <c r="AB413" s="480"/>
      <c r="AC413" s="481">
        <f t="shared" si="92"/>
        <v>0</v>
      </c>
      <c r="AD413" s="490"/>
      <c r="AE413" s="482"/>
      <c r="AF413" s="493">
        <f t="shared" si="94"/>
        <v>161280</v>
      </c>
      <c r="AG413" s="474" t="s">
        <v>1071</v>
      </c>
      <c r="AH413" s="474"/>
      <c r="AI413" s="483" t="s">
        <v>2442</v>
      </c>
      <c r="AJ413" s="474" t="s">
        <v>2545</v>
      </c>
      <c r="AK413" s="494" t="s">
        <v>50</v>
      </c>
      <c r="AL413" s="474" t="s">
        <v>1959</v>
      </c>
      <c r="AM413" s="474" t="s">
        <v>52</v>
      </c>
      <c r="AN413" s="474"/>
      <c r="AO413" s="474"/>
      <c r="AP413" s="486"/>
      <c r="AQ413" s="486" t="s">
        <v>37</v>
      </c>
      <c r="AR413" s="486"/>
      <c r="AS413" s="495"/>
      <c r="AT413" s="495"/>
      <c r="AU413" s="378"/>
      <c r="AV413" s="478"/>
    </row>
    <row r="414" spans="1:48" s="471" customFormat="1" ht="15" customHeight="1">
      <c r="A414" s="472"/>
      <c r="B414" s="514">
        <v>44522</v>
      </c>
      <c r="C414" s="472"/>
      <c r="D414" s="512" t="s">
        <v>2322</v>
      </c>
      <c r="E414" s="501" t="s">
        <v>2726</v>
      </c>
      <c r="F414" s="501"/>
      <c r="G414" s="501">
        <v>2022</v>
      </c>
      <c r="H414" s="501" t="s">
        <v>1676</v>
      </c>
      <c r="I414" s="512" t="s">
        <v>1676</v>
      </c>
      <c r="J414" s="502"/>
      <c r="K414" s="503" t="s">
        <v>4393</v>
      </c>
      <c r="L414" s="501" t="s">
        <v>2459</v>
      </c>
      <c r="M414" s="504">
        <v>44505</v>
      </c>
      <c r="N414" s="504">
        <v>44727</v>
      </c>
      <c r="O414" s="504"/>
      <c r="P414" s="370"/>
      <c r="Q414" s="502"/>
      <c r="R414" s="502"/>
      <c r="S414" s="501" t="s">
        <v>1563</v>
      </c>
      <c r="T414" s="501">
        <v>60</v>
      </c>
      <c r="U414" s="371">
        <v>49401140</v>
      </c>
      <c r="V414" s="501" t="s">
        <v>973</v>
      </c>
      <c r="W414" s="501">
        <v>400</v>
      </c>
      <c r="X414" s="505">
        <v>768</v>
      </c>
      <c r="Y414" s="477">
        <f t="shared" si="93"/>
        <v>307200</v>
      </c>
      <c r="Z414" s="478">
        <f t="shared" si="95"/>
        <v>0.52500000000000002</v>
      </c>
      <c r="AA414" s="492">
        <f t="shared" si="91"/>
        <v>161280</v>
      </c>
      <c r="AB414" s="480"/>
      <c r="AC414" s="481">
        <f t="shared" si="92"/>
        <v>0</v>
      </c>
      <c r="AD414" s="490"/>
      <c r="AE414" s="482"/>
      <c r="AF414" s="493">
        <f t="shared" si="94"/>
        <v>161280</v>
      </c>
      <c r="AG414" s="474" t="s">
        <v>1071</v>
      </c>
      <c r="AH414" s="474"/>
      <c r="AI414" s="483" t="s">
        <v>2442</v>
      </c>
      <c r="AJ414" s="474" t="s">
        <v>2545</v>
      </c>
      <c r="AK414" s="494" t="s">
        <v>50</v>
      </c>
      <c r="AL414" s="474" t="s">
        <v>1959</v>
      </c>
      <c r="AM414" s="474" t="s">
        <v>52</v>
      </c>
      <c r="AN414" s="474"/>
      <c r="AO414" s="474"/>
      <c r="AP414" s="486"/>
      <c r="AQ414" s="486" t="s">
        <v>37</v>
      </c>
      <c r="AR414" s="486"/>
      <c r="AS414" s="495"/>
      <c r="AT414" s="495"/>
      <c r="AU414" s="378"/>
      <c r="AV414" s="478"/>
    </row>
    <row r="415" spans="1:48" s="471" customFormat="1" ht="15" customHeight="1">
      <c r="A415" s="472"/>
      <c r="B415" s="514">
        <v>44522</v>
      </c>
      <c r="C415" s="472"/>
      <c r="D415" s="512" t="s">
        <v>2322</v>
      </c>
      <c r="E415" s="501" t="s">
        <v>2726</v>
      </c>
      <c r="F415" s="501"/>
      <c r="G415" s="501">
        <v>2022</v>
      </c>
      <c r="H415" s="501" t="s">
        <v>1676</v>
      </c>
      <c r="I415" s="512" t="s">
        <v>1676</v>
      </c>
      <c r="J415" s="502"/>
      <c r="K415" s="503" t="s">
        <v>4394</v>
      </c>
      <c r="L415" s="501" t="s">
        <v>2459</v>
      </c>
      <c r="M415" s="504">
        <v>44505</v>
      </c>
      <c r="N415" s="504">
        <v>44731</v>
      </c>
      <c r="O415" s="504"/>
      <c r="P415" s="370"/>
      <c r="Q415" s="502"/>
      <c r="R415" s="502"/>
      <c r="S415" s="501" t="s">
        <v>1563</v>
      </c>
      <c r="T415" s="501">
        <v>60</v>
      </c>
      <c r="U415" s="371">
        <v>49401140</v>
      </c>
      <c r="V415" s="501" t="s">
        <v>973</v>
      </c>
      <c r="W415" s="501">
        <v>400</v>
      </c>
      <c r="X415" s="505">
        <v>768</v>
      </c>
      <c r="Y415" s="477">
        <f t="shared" si="93"/>
        <v>307200</v>
      </c>
      <c r="Z415" s="478">
        <f t="shared" si="95"/>
        <v>0.52500000000000002</v>
      </c>
      <c r="AA415" s="492">
        <f t="shared" si="91"/>
        <v>161280</v>
      </c>
      <c r="AB415" s="480"/>
      <c r="AC415" s="481">
        <f t="shared" si="92"/>
        <v>0</v>
      </c>
      <c r="AD415" s="490"/>
      <c r="AE415" s="482"/>
      <c r="AF415" s="493">
        <f t="shared" si="94"/>
        <v>161280</v>
      </c>
      <c r="AG415" s="474" t="s">
        <v>1071</v>
      </c>
      <c r="AH415" s="474"/>
      <c r="AI415" s="483" t="s">
        <v>2442</v>
      </c>
      <c r="AJ415" s="474" t="s">
        <v>2545</v>
      </c>
      <c r="AK415" s="494" t="s">
        <v>50</v>
      </c>
      <c r="AL415" s="474" t="s">
        <v>1959</v>
      </c>
      <c r="AM415" s="474" t="s">
        <v>52</v>
      </c>
      <c r="AN415" s="474"/>
      <c r="AO415" s="474"/>
      <c r="AP415" s="486"/>
      <c r="AQ415" s="486" t="s">
        <v>37</v>
      </c>
      <c r="AR415" s="486"/>
      <c r="AS415" s="495"/>
      <c r="AT415" s="495"/>
      <c r="AU415" s="378"/>
      <c r="AV415" s="478"/>
    </row>
    <row r="416" spans="1:48" s="471" customFormat="1" ht="15" customHeight="1">
      <c r="A416" s="472"/>
      <c r="B416" s="514">
        <v>44557</v>
      </c>
      <c r="C416" s="472"/>
      <c r="D416" s="512" t="s">
        <v>2322</v>
      </c>
      <c r="E416" s="501" t="s">
        <v>2726</v>
      </c>
      <c r="F416" s="501"/>
      <c r="G416" s="501">
        <v>2022</v>
      </c>
      <c r="H416" s="501" t="s">
        <v>1676</v>
      </c>
      <c r="I416" s="512" t="s">
        <v>1676</v>
      </c>
      <c r="J416" s="502"/>
      <c r="K416" s="503" t="s">
        <v>4395</v>
      </c>
      <c r="L416" s="501" t="s">
        <v>2459</v>
      </c>
      <c r="M416" s="504">
        <v>44545</v>
      </c>
      <c r="N416" s="504">
        <v>44849</v>
      </c>
      <c r="O416" s="504"/>
      <c r="P416" s="370"/>
      <c r="Q416" s="502"/>
      <c r="R416" s="502"/>
      <c r="S416" s="501" t="s">
        <v>1563</v>
      </c>
      <c r="T416" s="501">
        <v>60</v>
      </c>
      <c r="U416" s="371">
        <v>49201132</v>
      </c>
      <c r="V416" s="501" t="s">
        <v>986</v>
      </c>
      <c r="W416" s="501">
        <v>360</v>
      </c>
      <c r="X416" s="505">
        <v>832</v>
      </c>
      <c r="Y416" s="477">
        <f t="shared" si="93"/>
        <v>299520</v>
      </c>
      <c r="Z416" s="478">
        <v>0.505</v>
      </c>
      <c r="AA416" s="492">
        <f t="shared" si="91"/>
        <v>151257.60000000001</v>
      </c>
      <c r="AB416" s="480"/>
      <c r="AC416" s="481">
        <f t="shared" si="92"/>
        <v>0</v>
      </c>
      <c r="AD416" s="490"/>
      <c r="AE416" s="482"/>
      <c r="AF416" s="493">
        <f t="shared" si="94"/>
        <v>151257.60000000001</v>
      </c>
      <c r="AG416" s="474" t="s">
        <v>1071</v>
      </c>
      <c r="AH416" s="474"/>
      <c r="AI416" s="483">
        <v>60</v>
      </c>
      <c r="AJ416" s="474" t="s">
        <v>1790</v>
      </c>
      <c r="AK416" s="494" t="s">
        <v>50</v>
      </c>
      <c r="AL416" s="474">
        <v>95834</v>
      </c>
      <c r="AM416" s="474" t="s">
        <v>52</v>
      </c>
      <c r="AN416" s="474" t="s">
        <v>1074</v>
      </c>
      <c r="AO416" s="474"/>
      <c r="AP416" s="486"/>
      <c r="AQ416" s="486" t="s">
        <v>37</v>
      </c>
      <c r="AR416" s="486"/>
      <c r="AS416" s="495"/>
      <c r="AT416" s="495"/>
      <c r="AU416" s="378"/>
      <c r="AV416" s="478"/>
    </row>
    <row r="417" spans="1:48" s="471" customFormat="1" ht="15" customHeight="1">
      <c r="A417" s="472"/>
      <c r="B417" s="514">
        <v>44557</v>
      </c>
      <c r="C417" s="472"/>
      <c r="D417" s="512" t="s">
        <v>2322</v>
      </c>
      <c r="E417" s="501" t="s">
        <v>2726</v>
      </c>
      <c r="F417" s="501"/>
      <c r="G417" s="501">
        <v>2022</v>
      </c>
      <c r="H417" s="501" t="s">
        <v>1676</v>
      </c>
      <c r="I417" s="512" t="s">
        <v>1676</v>
      </c>
      <c r="J417" s="502"/>
      <c r="K417" s="503" t="s">
        <v>4396</v>
      </c>
      <c r="L417" s="501" t="s">
        <v>2459</v>
      </c>
      <c r="M417" s="504">
        <v>44544</v>
      </c>
      <c r="N417" s="504">
        <v>44717</v>
      </c>
      <c r="O417" s="504"/>
      <c r="P417" s="370"/>
      <c r="Q417" s="502"/>
      <c r="R417" s="502"/>
      <c r="S417" s="501" t="s">
        <v>1563</v>
      </c>
      <c r="T417" s="501">
        <v>60</v>
      </c>
      <c r="U417" s="371">
        <v>49401140</v>
      </c>
      <c r="V417" s="501" t="s">
        <v>2482</v>
      </c>
      <c r="W417" s="501">
        <v>400</v>
      </c>
      <c r="X417" s="505">
        <v>768</v>
      </c>
      <c r="Y417" s="477">
        <f t="shared" si="93"/>
        <v>307200</v>
      </c>
      <c r="Z417" s="478">
        <v>0.52500000000000002</v>
      </c>
      <c r="AA417" s="492">
        <f t="shared" si="91"/>
        <v>161280</v>
      </c>
      <c r="AB417" s="480"/>
      <c r="AC417" s="481">
        <f t="shared" si="92"/>
        <v>0</v>
      </c>
      <c r="AD417" s="490"/>
      <c r="AE417" s="482"/>
      <c r="AF417" s="493">
        <f t="shared" si="94"/>
        <v>161280</v>
      </c>
      <c r="AG417" s="474" t="s">
        <v>1071</v>
      </c>
      <c r="AH417" s="474"/>
      <c r="AI417" s="483" t="s">
        <v>2442</v>
      </c>
      <c r="AJ417" s="474" t="s">
        <v>1860</v>
      </c>
      <c r="AK417" s="494" t="s">
        <v>50</v>
      </c>
      <c r="AL417" s="474">
        <v>93722</v>
      </c>
      <c r="AM417" s="474" t="s">
        <v>52</v>
      </c>
      <c r="AN417" s="474" t="s">
        <v>1074</v>
      </c>
      <c r="AO417" s="474"/>
      <c r="AP417" s="486"/>
      <c r="AQ417" s="486" t="s">
        <v>37</v>
      </c>
      <c r="AR417" s="486"/>
      <c r="AS417" s="495"/>
      <c r="AT417" s="495"/>
      <c r="AU417" s="378"/>
      <c r="AV417" s="478"/>
    </row>
    <row r="418" spans="1:48" s="471" customFormat="1" ht="15" customHeight="1">
      <c r="A418" s="472"/>
      <c r="B418" s="514">
        <v>44557</v>
      </c>
      <c r="C418" s="472"/>
      <c r="D418" s="512" t="s">
        <v>2322</v>
      </c>
      <c r="E418" s="501" t="s">
        <v>2726</v>
      </c>
      <c r="F418" s="501"/>
      <c r="G418" s="501">
        <v>2022</v>
      </c>
      <c r="H418" s="501" t="s">
        <v>1676</v>
      </c>
      <c r="I418" s="512" t="s">
        <v>1676</v>
      </c>
      <c r="J418" s="502"/>
      <c r="K418" s="503" t="s">
        <v>4397</v>
      </c>
      <c r="L418" s="501" t="s">
        <v>2459</v>
      </c>
      <c r="M418" s="504">
        <v>44545</v>
      </c>
      <c r="N418" s="504">
        <v>44849</v>
      </c>
      <c r="O418" s="504"/>
      <c r="P418" s="370"/>
      <c r="Q418" s="502"/>
      <c r="R418" s="502"/>
      <c r="S418" s="501" t="s">
        <v>1563</v>
      </c>
      <c r="T418" s="501">
        <v>60</v>
      </c>
      <c r="U418" s="371">
        <v>49401140</v>
      </c>
      <c r="V418" s="501" t="s">
        <v>973</v>
      </c>
      <c r="W418" s="501">
        <v>400</v>
      </c>
      <c r="X418" s="505">
        <v>768</v>
      </c>
      <c r="Y418" s="477">
        <f t="shared" si="93"/>
        <v>307200</v>
      </c>
      <c r="Z418" s="478">
        <v>0.52500000000000002</v>
      </c>
      <c r="AA418" s="492">
        <f t="shared" si="91"/>
        <v>161280</v>
      </c>
      <c r="AB418" s="480"/>
      <c r="AC418" s="481">
        <f t="shared" si="92"/>
        <v>0</v>
      </c>
      <c r="AD418" s="490"/>
      <c r="AE418" s="482"/>
      <c r="AF418" s="493">
        <f t="shared" si="94"/>
        <v>161280</v>
      </c>
      <c r="AG418" s="474" t="s">
        <v>1071</v>
      </c>
      <c r="AH418" s="474"/>
      <c r="AI418" s="483">
        <v>60</v>
      </c>
      <c r="AJ418" s="474" t="s">
        <v>1860</v>
      </c>
      <c r="AK418" s="494" t="s">
        <v>50</v>
      </c>
      <c r="AL418" s="474">
        <v>93722</v>
      </c>
      <c r="AM418" s="474" t="s">
        <v>52</v>
      </c>
      <c r="AN418" s="474" t="s">
        <v>1074</v>
      </c>
      <c r="AO418" s="474"/>
      <c r="AP418" s="486"/>
      <c r="AQ418" s="486" t="s">
        <v>37</v>
      </c>
      <c r="AR418" s="486"/>
      <c r="AS418" s="495"/>
      <c r="AT418" s="495"/>
      <c r="AU418" s="378"/>
      <c r="AV418" s="478"/>
    </row>
    <row r="419" spans="1:48" s="471" customFormat="1" ht="15" customHeight="1">
      <c r="A419" s="472"/>
      <c r="B419" s="514">
        <v>44522</v>
      </c>
      <c r="C419" s="472"/>
      <c r="D419" s="512" t="s">
        <v>2322</v>
      </c>
      <c r="E419" s="501" t="s">
        <v>2726</v>
      </c>
      <c r="F419" s="501"/>
      <c r="G419" s="501">
        <v>2022</v>
      </c>
      <c r="H419" s="501" t="s">
        <v>1676</v>
      </c>
      <c r="I419" s="512" t="s">
        <v>1676</v>
      </c>
      <c r="J419" s="502"/>
      <c r="K419" s="503" t="s">
        <v>4398</v>
      </c>
      <c r="L419" s="501" t="s">
        <v>2459</v>
      </c>
      <c r="M419" s="504">
        <v>44505</v>
      </c>
      <c r="N419" s="504">
        <v>44661</v>
      </c>
      <c r="O419" s="504"/>
      <c r="P419" s="370"/>
      <c r="Q419" s="502"/>
      <c r="R419" s="502"/>
      <c r="S419" s="501" t="s">
        <v>1563</v>
      </c>
      <c r="T419" s="501">
        <v>60</v>
      </c>
      <c r="U419" s="371">
        <v>49401140</v>
      </c>
      <c r="V419" s="501" t="s">
        <v>973</v>
      </c>
      <c r="W419" s="501">
        <v>400</v>
      </c>
      <c r="X419" s="505">
        <v>768</v>
      </c>
      <c r="Y419" s="477">
        <f t="shared" si="93"/>
        <v>307200</v>
      </c>
      <c r="Z419" s="478">
        <f>210/400</f>
        <v>0.52500000000000002</v>
      </c>
      <c r="AA419" s="492">
        <f t="shared" si="91"/>
        <v>161280</v>
      </c>
      <c r="AB419" s="480"/>
      <c r="AC419" s="481">
        <f t="shared" si="92"/>
        <v>0</v>
      </c>
      <c r="AD419" s="490"/>
      <c r="AE419" s="482"/>
      <c r="AF419" s="493">
        <f t="shared" si="94"/>
        <v>161280</v>
      </c>
      <c r="AG419" s="474" t="s">
        <v>1071</v>
      </c>
      <c r="AH419" s="474"/>
      <c r="AI419" s="483" t="s">
        <v>2442</v>
      </c>
      <c r="AJ419" s="474" t="s">
        <v>2353</v>
      </c>
      <c r="AK419" s="494" t="s">
        <v>50</v>
      </c>
      <c r="AL419" s="474" t="s">
        <v>4399</v>
      </c>
      <c r="AM419" s="474" t="s">
        <v>52</v>
      </c>
      <c r="AN419" s="474"/>
      <c r="AO419" s="474"/>
      <c r="AP419" s="486"/>
      <c r="AQ419" s="486" t="s">
        <v>37</v>
      </c>
      <c r="AR419" s="486"/>
      <c r="AS419" s="495"/>
      <c r="AT419" s="495"/>
      <c r="AU419" s="378"/>
      <c r="AV419" s="478"/>
    </row>
    <row r="420" spans="1:48" s="471" customFormat="1" ht="15" customHeight="1">
      <c r="A420" s="472"/>
      <c r="B420" s="514">
        <v>44522</v>
      </c>
      <c r="C420" s="472"/>
      <c r="D420" s="512" t="s">
        <v>2322</v>
      </c>
      <c r="E420" s="501" t="s">
        <v>2726</v>
      </c>
      <c r="F420" s="501"/>
      <c r="G420" s="501">
        <v>2022</v>
      </c>
      <c r="H420" s="501" t="s">
        <v>1676</v>
      </c>
      <c r="I420" s="512" t="s">
        <v>1676</v>
      </c>
      <c r="J420" s="502"/>
      <c r="K420" s="503" t="s">
        <v>4400</v>
      </c>
      <c r="L420" s="501" t="s">
        <v>2459</v>
      </c>
      <c r="M420" s="504">
        <v>44505</v>
      </c>
      <c r="N420" s="504">
        <v>44722</v>
      </c>
      <c r="O420" s="504"/>
      <c r="P420" s="370"/>
      <c r="Q420" s="502"/>
      <c r="R420" s="502"/>
      <c r="S420" s="501" t="s">
        <v>1563</v>
      </c>
      <c r="T420" s="501">
        <v>60</v>
      </c>
      <c r="U420" s="371">
        <v>49401140</v>
      </c>
      <c r="V420" s="501" t="s">
        <v>973</v>
      </c>
      <c r="W420" s="501">
        <v>400</v>
      </c>
      <c r="X420" s="505">
        <v>768</v>
      </c>
      <c r="Y420" s="477">
        <f t="shared" si="93"/>
        <v>307200</v>
      </c>
      <c r="Z420" s="478">
        <f>210/400</f>
        <v>0.52500000000000002</v>
      </c>
      <c r="AA420" s="492">
        <f t="shared" si="91"/>
        <v>161280</v>
      </c>
      <c r="AB420" s="480"/>
      <c r="AC420" s="481">
        <f t="shared" si="92"/>
        <v>0</v>
      </c>
      <c r="AD420" s="490"/>
      <c r="AE420" s="482"/>
      <c r="AF420" s="493">
        <f t="shared" si="94"/>
        <v>161280</v>
      </c>
      <c r="AG420" s="474" t="s">
        <v>1071</v>
      </c>
      <c r="AH420" s="474"/>
      <c r="AI420" s="483" t="s">
        <v>2442</v>
      </c>
      <c r="AJ420" s="474" t="s">
        <v>2353</v>
      </c>
      <c r="AK420" s="494" t="s">
        <v>50</v>
      </c>
      <c r="AL420" s="474" t="s">
        <v>4399</v>
      </c>
      <c r="AM420" s="474" t="s">
        <v>52</v>
      </c>
      <c r="AN420" s="474"/>
      <c r="AO420" s="474"/>
      <c r="AP420" s="486"/>
      <c r="AQ420" s="486" t="s">
        <v>37</v>
      </c>
      <c r="AR420" s="486"/>
      <c r="AS420" s="495"/>
      <c r="AT420" s="495"/>
      <c r="AU420" s="378"/>
      <c r="AV420" s="478"/>
    </row>
    <row r="421" spans="1:48" s="471" customFormat="1" ht="15" customHeight="1">
      <c r="A421" s="472"/>
      <c r="B421" s="514">
        <v>44557</v>
      </c>
      <c r="C421" s="472"/>
      <c r="D421" s="512" t="s">
        <v>2322</v>
      </c>
      <c r="E421" s="501" t="s">
        <v>2726</v>
      </c>
      <c r="F421" s="501"/>
      <c r="G421" s="501">
        <v>2022</v>
      </c>
      <c r="H421" s="501" t="s">
        <v>1676</v>
      </c>
      <c r="I421" s="512" t="s">
        <v>1676</v>
      </c>
      <c r="J421" s="502"/>
      <c r="K421" s="503" t="s">
        <v>4401</v>
      </c>
      <c r="L421" s="501" t="s">
        <v>2459</v>
      </c>
      <c r="M421" s="504">
        <v>44544</v>
      </c>
      <c r="N421" s="504">
        <v>44747</v>
      </c>
      <c r="O421" s="504"/>
      <c r="P421" s="370"/>
      <c r="Q421" s="502"/>
      <c r="R421" s="502"/>
      <c r="S421" s="501" t="s">
        <v>1563</v>
      </c>
      <c r="T421" s="501">
        <v>60</v>
      </c>
      <c r="U421" s="371">
        <v>49401140</v>
      </c>
      <c r="V421" s="501" t="s">
        <v>2482</v>
      </c>
      <c r="W421" s="501">
        <v>400</v>
      </c>
      <c r="X421" s="505">
        <v>768</v>
      </c>
      <c r="Y421" s="477">
        <f t="shared" si="93"/>
        <v>307200</v>
      </c>
      <c r="Z421" s="478">
        <v>0.52500000000000002</v>
      </c>
      <c r="AA421" s="492">
        <f t="shared" si="91"/>
        <v>161280</v>
      </c>
      <c r="AB421" s="480"/>
      <c r="AC421" s="481">
        <f t="shared" si="92"/>
        <v>0</v>
      </c>
      <c r="AD421" s="490"/>
      <c r="AE421" s="482"/>
      <c r="AF421" s="493">
        <f t="shared" si="94"/>
        <v>161280</v>
      </c>
      <c r="AG421" s="474" t="s">
        <v>1071</v>
      </c>
      <c r="AH421" s="474"/>
      <c r="AI421" s="483" t="s">
        <v>2442</v>
      </c>
      <c r="AJ421" s="474" t="s">
        <v>2353</v>
      </c>
      <c r="AK421" s="494" t="s">
        <v>50</v>
      </c>
      <c r="AL421" s="474">
        <v>90620</v>
      </c>
      <c r="AM421" s="474" t="s">
        <v>52</v>
      </c>
      <c r="AN421" s="474" t="s">
        <v>1074</v>
      </c>
      <c r="AO421" s="474"/>
      <c r="AP421" s="486"/>
      <c r="AQ421" s="486" t="s">
        <v>37</v>
      </c>
      <c r="AR421" s="486"/>
      <c r="AS421" s="495"/>
      <c r="AT421" s="495"/>
      <c r="AU421" s="378"/>
      <c r="AV421" s="478"/>
    </row>
    <row r="422" spans="1:48" s="471" customFormat="1" ht="15" customHeight="1">
      <c r="A422" s="472"/>
      <c r="B422" s="514">
        <v>44557</v>
      </c>
      <c r="C422" s="472"/>
      <c r="D422" s="512" t="s">
        <v>2322</v>
      </c>
      <c r="E422" s="501" t="s">
        <v>2726</v>
      </c>
      <c r="F422" s="501"/>
      <c r="G422" s="501">
        <v>2022</v>
      </c>
      <c r="H422" s="501" t="s">
        <v>1676</v>
      </c>
      <c r="I422" s="512" t="s">
        <v>1676</v>
      </c>
      <c r="J422" s="502"/>
      <c r="K422" s="503" t="s">
        <v>4402</v>
      </c>
      <c r="L422" s="501" t="s">
        <v>2459</v>
      </c>
      <c r="M422" s="504">
        <v>44545</v>
      </c>
      <c r="N422" s="504">
        <v>44839</v>
      </c>
      <c r="O422" s="504"/>
      <c r="P422" s="370"/>
      <c r="Q422" s="502"/>
      <c r="R422" s="502"/>
      <c r="S422" s="501" t="s">
        <v>1563</v>
      </c>
      <c r="T422" s="501">
        <v>60</v>
      </c>
      <c r="U422" s="371">
        <v>49401140</v>
      </c>
      <c r="V422" s="501" t="s">
        <v>2482</v>
      </c>
      <c r="W422" s="501">
        <v>400</v>
      </c>
      <c r="X422" s="505">
        <v>768</v>
      </c>
      <c r="Y422" s="477">
        <f t="shared" si="93"/>
        <v>307200</v>
      </c>
      <c r="Z422" s="478">
        <v>0.52500000000000002</v>
      </c>
      <c r="AA422" s="492">
        <f t="shared" si="91"/>
        <v>161280</v>
      </c>
      <c r="AB422" s="480"/>
      <c r="AC422" s="481">
        <f t="shared" si="92"/>
        <v>0</v>
      </c>
      <c r="AD422" s="490"/>
      <c r="AE422" s="482"/>
      <c r="AF422" s="493">
        <f t="shared" si="94"/>
        <v>161280</v>
      </c>
      <c r="AG422" s="474" t="s">
        <v>1071</v>
      </c>
      <c r="AH422" s="474"/>
      <c r="AI422" s="483" t="s">
        <v>2442</v>
      </c>
      <c r="AJ422" s="474" t="s">
        <v>2353</v>
      </c>
      <c r="AK422" s="494" t="s">
        <v>50</v>
      </c>
      <c r="AL422" s="474">
        <v>90620</v>
      </c>
      <c r="AM422" s="474" t="s">
        <v>52</v>
      </c>
      <c r="AN422" s="474" t="s">
        <v>1074</v>
      </c>
      <c r="AO422" s="474"/>
      <c r="AP422" s="486"/>
      <c r="AQ422" s="486" t="s">
        <v>37</v>
      </c>
      <c r="AR422" s="486"/>
      <c r="AS422" s="495"/>
      <c r="AT422" s="495"/>
      <c r="AU422" s="378"/>
      <c r="AV422" s="478"/>
    </row>
    <row r="423" spans="1:48" s="471" customFormat="1" ht="15" customHeight="1">
      <c r="A423" s="472"/>
      <c r="B423" s="514">
        <v>44557</v>
      </c>
      <c r="C423" s="472"/>
      <c r="D423" s="512" t="s">
        <v>2322</v>
      </c>
      <c r="E423" s="501" t="s">
        <v>2726</v>
      </c>
      <c r="F423" s="501"/>
      <c r="G423" s="501">
        <v>2022</v>
      </c>
      <c r="H423" s="501" t="s">
        <v>1676</v>
      </c>
      <c r="I423" s="512" t="s">
        <v>1676</v>
      </c>
      <c r="J423" s="502"/>
      <c r="K423" s="503" t="s">
        <v>4403</v>
      </c>
      <c r="L423" s="501" t="s">
        <v>2459</v>
      </c>
      <c r="M423" s="504">
        <v>44545</v>
      </c>
      <c r="N423" s="504">
        <v>44849</v>
      </c>
      <c r="O423" s="504"/>
      <c r="P423" s="370"/>
      <c r="Q423" s="502"/>
      <c r="R423" s="502"/>
      <c r="S423" s="501" t="s">
        <v>1563</v>
      </c>
      <c r="T423" s="501">
        <v>60</v>
      </c>
      <c r="U423" s="371">
        <v>49401140</v>
      </c>
      <c r="V423" s="501" t="s">
        <v>2855</v>
      </c>
      <c r="W423" s="501">
        <v>400</v>
      </c>
      <c r="X423" s="505">
        <v>768</v>
      </c>
      <c r="Y423" s="477">
        <f t="shared" si="93"/>
        <v>307200</v>
      </c>
      <c r="Z423" s="478">
        <v>0.52500000000000002</v>
      </c>
      <c r="AA423" s="492">
        <f t="shared" si="91"/>
        <v>161280</v>
      </c>
      <c r="AB423" s="480"/>
      <c r="AC423" s="481">
        <f t="shared" si="92"/>
        <v>0</v>
      </c>
      <c r="AD423" s="490"/>
      <c r="AE423" s="482"/>
      <c r="AF423" s="493">
        <f t="shared" si="94"/>
        <v>161280</v>
      </c>
      <c r="AG423" s="474" t="s">
        <v>1071</v>
      </c>
      <c r="AH423" s="474"/>
      <c r="AI423" s="483">
        <v>60</v>
      </c>
      <c r="AJ423" s="474" t="s">
        <v>4404</v>
      </c>
      <c r="AK423" s="494" t="s">
        <v>50</v>
      </c>
      <c r="AL423" s="474">
        <v>90620</v>
      </c>
      <c r="AM423" s="474" t="s">
        <v>52</v>
      </c>
      <c r="AN423" s="474" t="s">
        <v>1074</v>
      </c>
      <c r="AO423" s="474"/>
      <c r="AP423" s="486"/>
      <c r="AQ423" s="486" t="s">
        <v>37</v>
      </c>
      <c r="AR423" s="486"/>
      <c r="AS423" s="495"/>
      <c r="AT423" s="495"/>
      <c r="AU423" s="378"/>
      <c r="AV423" s="478"/>
    </row>
    <row r="424" spans="1:48" s="471" customFormat="1" ht="15" customHeight="1">
      <c r="A424" s="472"/>
      <c r="B424" s="514">
        <v>44557</v>
      </c>
      <c r="C424" s="472"/>
      <c r="D424" s="512" t="s">
        <v>2322</v>
      </c>
      <c r="E424" s="501" t="s">
        <v>2726</v>
      </c>
      <c r="F424" s="501"/>
      <c r="G424" s="501">
        <v>2022</v>
      </c>
      <c r="H424" s="501" t="s">
        <v>1676</v>
      </c>
      <c r="I424" s="512" t="s">
        <v>1676</v>
      </c>
      <c r="J424" s="502"/>
      <c r="K424" s="503" t="s">
        <v>4405</v>
      </c>
      <c r="L424" s="501" t="s">
        <v>2459</v>
      </c>
      <c r="M424" s="504">
        <v>44545</v>
      </c>
      <c r="N424" s="504">
        <v>44870</v>
      </c>
      <c r="O424" s="504"/>
      <c r="P424" s="370"/>
      <c r="Q424" s="502"/>
      <c r="R424" s="502"/>
      <c r="S424" s="501" t="s">
        <v>1563</v>
      </c>
      <c r="T424" s="501">
        <v>60</v>
      </c>
      <c r="U424" s="371">
        <v>49401140</v>
      </c>
      <c r="V424" s="501" t="s">
        <v>2482</v>
      </c>
      <c r="W424" s="501">
        <v>400</v>
      </c>
      <c r="X424" s="505">
        <v>768</v>
      </c>
      <c r="Y424" s="477">
        <f t="shared" si="93"/>
        <v>307200</v>
      </c>
      <c r="Z424" s="478">
        <v>0.52500000000000002</v>
      </c>
      <c r="AA424" s="492">
        <f t="shared" si="91"/>
        <v>161280</v>
      </c>
      <c r="AB424" s="480"/>
      <c r="AC424" s="481">
        <f t="shared" si="92"/>
        <v>0</v>
      </c>
      <c r="AD424" s="490"/>
      <c r="AE424" s="482"/>
      <c r="AF424" s="493">
        <f t="shared" si="94"/>
        <v>161280</v>
      </c>
      <c r="AG424" s="474" t="s">
        <v>1071</v>
      </c>
      <c r="AH424" s="474"/>
      <c r="AI424" s="483" t="s">
        <v>2442</v>
      </c>
      <c r="AJ424" s="474" t="s">
        <v>2353</v>
      </c>
      <c r="AK424" s="494" t="s">
        <v>50</v>
      </c>
      <c r="AL424" s="474">
        <v>90620</v>
      </c>
      <c r="AM424" s="474" t="s">
        <v>52</v>
      </c>
      <c r="AN424" s="474" t="s">
        <v>1074</v>
      </c>
      <c r="AO424" s="474"/>
      <c r="AP424" s="486"/>
      <c r="AQ424" s="486" t="s">
        <v>37</v>
      </c>
      <c r="AR424" s="486"/>
      <c r="AS424" s="495"/>
      <c r="AT424" s="495"/>
      <c r="AU424" s="378"/>
      <c r="AV424" s="478"/>
    </row>
    <row r="425" spans="1:48" s="471" customFormat="1" ht="15" customHeight="1">
      <c r="A425" s="472"/>
      <c r="B425" s="514">
        <v>44522</v>
      </c>
      <c r="C425" s="472"/>
      <c r="D425" s="512" t="s">
        <v>2322</v>
      </c>
      <c r="E425" s="501" t="s">
        <v>2726</v>
      </c>
      <c r="F425" s="501"/>
      <c r="G425" s="501">
        <v>2022</v>
      </c>
      <c r="H425" s="501" t="s">
        <v>1676</v>
      </c>
      <c r="I425" s="512" t="s">
        <v>1676</v>
      </c>
      <c r="J425" s="502"/>
      <c r="K425" s="503" t="s">
        <v>4406</v>
      </c>
      <c r="L425" s="501" t="s">
        <v>2459</v>
      </c>
      <c r="M425" s="504">
        <v>44505</v>
      </c>
      <c r="N425" s="504">
        <v>44656</v>
      </c>
      <c r="O425" s="504"/>
      <c r="P425" s="370"/>
      <c r="Q425" s="502"/>
      <c r="R425" s="502"/>
      <c r="S425" s="501" t="s">
        <v>1563</v>
      </c>
      <c r="T425" s="501">
        <v>60</v>
      </c>
      <c r="U425" s="371">
        <v>49201132</v>
      </c>
      <c r="V425" s="501" t="s">
        <v>986</v>
      </c>
      <c r="W425" s="501">
        <v>360</v>
      </c>
      <c r="X425" s="505">
        <v>832</v>
      </c>
      <c r="Y425" s="477">
        <f t="shared" si="93"/>
        <v>299520</v>
      </c>
      <c r="Z425" s="478">
        <f>181.8/360</f>
        <v>0.505</v>
      </c>
      <c r="AA425" s="492">
        <f t="shared" si="91"/>
        <v>151257.60000000001</v>
      </c>
      <c r="AB425" s="480"/>
      <c r="AC425" s="481">
        <f t="shared" si="92"/>
        <v>0</v>
      </c>
      <c r="AD425" s="490"/>
      <c r="AE425" s="482"/>
      <c r="AF425" s="493">
        <f t="shared" si="94"/>
        <v>151257.60000000001</v>
      </c>
      <c r="AG425" s="474" t="s">
        <v>1071</v>
      </c>
      <c r="AH425" s="474"/>
      <c r="AI425" s="483" t="s">
        <v>2442</v>
      </c>
      <c r="AJ425" s="474" t="s">
        <v>1777</v>
      </c>
      <c r="AK425" s="494" t="s">
        <v>50</v>
      </c>
      <c r="AL425" s="474" t="s">
        <v>1990</v>
      </c>
      <c r="AM425" s="474" t="s">
        <v>52</v>
      </c>
      <c r="AN425" s="474"/>
      <c r="AO425" s="474"/>
      <c r="AP425" s="486"/>
      <c r="AQ425" s="486" t="s">
        <v>37</v>
      </c>
      <c r="AR425" s="486"/>
      <c r="AS425" s="495"/>
      <c r="AT425" s="495"/>
      <c r="AU425" s="378"/>
      <c r="AV425" s="478"/>
    </row>
    <row r="426" spans="1:48" s="471" customFormat="1" ht="15" customHeight="1">
      <c r="A426" s="472"/>
      <c r="B426" s="514">
        <v>44557</v>
      </c>
      <c r="C426" s="472"/>
      <c r="D426" s="512" t="s">
        <v>2322</v>
      </c>
      <c r="E426" s="501" t="s">
        <v>2726</v>
      </c>
      <c r="F426" s="501"/>
      <c r="G426" s="501">
        <v>2022</v>
      </c>
      <c r="H426" s="501" t="s">
        <v>1676</v>
      </c>
      <c r="I426" s="512" t="s">
        <v>1676</v>
      </c>
      <c r="J426" s="502"/>
      <c r="K426" s="503" t="s">
        <v>4407</v>
      </c>
      <c r="L426" s="501" t="s">
        <v>2459</v>
      </c>
      <c r="M426" s="504">
        <v>44544</v>
      </c>
      <c r="N426" s="504">
        <v>44744</v>
      </c>
      <c r="O426" s="504"/>
      <c r="P426" s="370"/>
      <c r="Q426" s="502"/>
      <c r="R426" s="502"/>
      <c r="S426" s="501" t="s">
        <v>1563</v>
      </c>
      <c r="T426" s="501">
        <v>60</v>
      </c>
      <c r="U426" s="371">
        <v>49401140</v>
      </c>
      <c r="V426" s="501" t="s">
        <v>2482</v>
      </c>
      <c r="W426" s="501">
        <v>400</v>
      </c>
      <c r="X426" s="505">
        <v>768</v>
      </c>
      <c r="Y426" s="477">
        <f t="shared" si="93"/>
        <v>307200</v>
      </c>
      <c r="Z426" s="478">
        <v>0.52500000000000002</v>
      </c>
      <c r="AA426" s="492">
        <f t="shared" si="91"/>
        <v>161280</v>
      </c>
      <c r="AB426" s="480"/>
      <c r="AC426" s="481">
        <f t="shared" si="92"/>
        <v>0</v>
      </c>
      <c r="AD426" s="490"/>
      <c r="AE426" s="482"/>
      <c r="AF426" s="493">
        <f t="shared" si="94"/>
        <v>161280</v>
      </c>
      <c r="AG426" s="474" t="s">
        <v>1071</v>
      </c>
      <c r="AH426" s="474"/>
      <c r="AI426" s="483" t="s">
        <v>2442</v>
      </c>
      <c r="AJ426" s="474" t="s">
        <v>1777</v>
      </c>
      <c r="AK426" s="494" t="s">
        <v>50</v>
      </c>
      <c r="AL426" s="474">
        <v>93308</v>
      </c>
      <c r="AM426" s="474" t="s">
        <v>52</v>
      </c>
      <c r="AN426" s="474" t="s">
        <v>1074</v>
      </c>
      <c r="AO426" s="474"/>
      <c r="AP426" s="486"/>
      <c r="AQ426" s="486" t="s">
        <v>37</v>
      </c>
      <c r="AR426" s="486"/>
      <c r="AS426" s="495"/>
      <c r="AT426" s="495"/>
      <c r="AU426" s="378"/>
      <c r="AV426" s="478"/>
    </row>
    <row r="427" spans="1:48" s="471" customFormat="1" ht="15" customHeight="1">
      <c r="A427" s="472"/>
      <c r="B427" s="514">
        <v>44557</v>
      </c>
      <c r="C427" s="472"/>
      <c r="D427" s="512" t="s">
        <v>2322</v>
      </c>
      <c r="E427" s="501" t="s">
        <v>2726</v>
      </c>
      <c r="F427" s="501"/>
      <c r="G427" s="501">
        <v>2022</v>
      </c>
      <c r="H427" s="501" t="s">
        <v>1676</v>
      </c>
      <c r="I427" s="512" t="s">
        <v>1676</v>
      </c>
      <c r="J427" s="502"/>
      <c r="K427" s="503" t="s">
        <v>4408</v>
      </c>
      <c r="L427" s="501" t="s">
        <v>2459</v>
      </c>
      <c r="M427" s="504">
        <v>44544</v>
      </c>
      <c r="N427" s="504">
        <v>44747</v>
      </c>
      <c r="O427" s="504"/>
      <c r="P427" s="370"/>
      <c r="Q427" s="502"/>
      <c r="R427" s="502"/>
      <c r="S427" s="501" t="s">
        <v>1563</v>
      </c>
      <c r="T427" s="501">
        <v>60</v>
      </c>
      <c r="U427" s="371">
        <v>49401140</v>
      </c>
      <c r="V427" s="501" t="s">
        <v>2482</v>
      </c>
      <c r="W427" s="501">
        <v>400</v>
      </c>
      <c r="X427" s="505">
        <v>768</v>
      </c>
      <c r="Y427" s="477">
        <f t="shared" si="93"/>
        <v>307200</v>
      </c>
      <c r="Z427" s="478">
        <v>0.52500000000000002</v>
      </c>
      <c r="AA427" s="492">
        <f t="shared" si="91"/>
        <v>161280</v>
      </c>
      <c r="AB427" s="480"/>
      <c r="AC427" s="481">
        <f t="shared" si="92"/>
        <v>0</v>
      </c>
      <c r="AD427" s="490"/>
      <c r="AE427" s="482"/>
      <c r="AF427" s="493">
        <f t="shared" si="94"/>
        <v>161280</v>
      </c>
      <c r="AG427" s="474" t="s">
        <v>1071</v>
      </c>
      <c r="AH427" s="474"/>
      <c r="AI427" s="483" t="s">
        <v>2442</v>
      </c>
      <c r="AJ427" s="474" t="s">
        <v>1777</v>
      </c>
      <c r="AK427" s="494" t="s">
        <v>50</v>
      </c>
      <c r="AL427" s="474">
        <v>93308</v>
      </c>
      <c r="AM427" s="474" t="s">
        <v>52</v>
      </c>
      <c r="AN427" s="474" t="s">
        <v>1074</v>
      </c>
      <c r="AO427" s="474"/>
      <c r="AP427" s="486"/>
      <c r="AQ427" s="486" t="s">
        <v>37</v>
      </c>
      <c r="AR427" s="486"/>
      <c r="AS427" s="495"/>
      <c r="AT427" s="495"/>
      <c r="AU427" s="378"/>
      <c r="AV427" s="478"/>
    </row>
    <row r="428" spans="1:48" s="471" customFormat="1" ht="15" customHeight="1">
      <c r="A428" s="472"/>
      <c r="B428" s="514">
        <v>44557</v>
      </c>
      <c r="C428" s="472"/>
      <c r="D428" s="512" t="s">
        <v>2322</v>
      </c>
      <c r="E428" s="501" t="s">
        <v>2726</v>
      </c>
      <c r="F428" s="501"/>
      <c r="G428" s="501">
        <v>2022</v>
      </c>
      <c r="H428" s="501" t="s">
        <v>1676</v>
      </c>
      <c r="I428" s="512" t="s">
        <v>1676</v>
      </c>
      <c r="J428" s="502"/>
      <c r="K428" s="503" t="s">
        <v>4409</v>
      </c>
      <c r="L428" s="501" t="s">
        <v>2459</v>
      </c>
      <c r="M428" s="504">
        <v>44544</v>
      </c>
      <c r="N428" s="504">
        <v>44751</v>
      </c>
      <c r="O428" s="504"/>
      <c r="P428" s="370"/>
      <c r="Q428" s="502"/>
      <c r="R428" s="502"/>
      <c r="S428" s="501" t="s">
        <v>1563</v>
      </c>
      <c r="T428" s="501">
        <v>60</v>
      </c>
      <c r="U428" s="371">
        <v>49401140</v>
      </c>
      <c r="V428" s="501" t="s">
        <v>2482</v>
      </c>
      <c r="W428" s="501">
        <v>400</v>
      </c>
      <c r="X428" s="505">
        <v>768</v>
      </c>
      <c r="Y428" s="477">
        <f t="shared" si="93"/>
        <v>307200</v>
      </c>
      <c r="Z428" s="478">
        <v>0.52500000000000002</v>
      </c>
      <c r="AA428" s="492">
        <f t="shared" si="91"/>
        <v>161280</v>
      </c>
      <c r="AB428" s="480"/>
      <c r="AC428" s="481">
        <f t="shared" si="92"/>
        <v>0</v>
      </c>
      <c r="AD428" s="490"/>
      <c r="AE428" s="482"/>
      <c r="AF428" s="493">
        <f t="shared" si="94"/>
        <v>161280</v>
      </c>
      <c r="AG428" s="474" t="s">
        <v>1071</v>
      </c>
      <c r="AH428" s="474"/>
      <c r="AI428" s="483" t="s">
        <v>2442</v>
      </c>
      <c r="AJ428" s="474" t="s">
        <v>1777</v>
      </c>
      <c r="AK428" s="494" t="s">
        <v>50</v>
      </c>
      <c r="AL428" s="474">
        <v>93308</v>
      </c>
      <c r="AM428" s="474" t="s">
        <v>52</v>
      </c>
      <c r="AN428" s="474" t="s">
        <v>1074</v>
      </c>
      <c r="AO428" s="474"/>
      <c r="AP428" s="486"/>
      <c r="AQ428" s="486" t="s">
        <v>37</v>
      </c>
      <c r="AR428" s="486"/>
      <c r="AS428" s="495"/>
      <c r="AT428" s="495"/>
      <c r="AU428" s="378"/>
      <c r="AV428" s="478"/>
    </row>
    <row r="429" spans="1:48" s="471" customFormat="1" ht="15" customHeight="1">
      <c r="A429" s="472"/>
      <c r="B429" s="514">
        <v>44557</v>
      </c>
      <c r="C429" s="472"/>
      <c r="D429" s="512" t="s">
        <v>2322</v>
      </c>
      <c r="E429" s="501" t="s">
        <v>2726</v>
      </c>
      <c r="F429" s="501"/>
      <c r="G429" s="501">
        <v>2022</v>
      </c>
      <c r="H429" s="501" t="s">
        <v>1676</v>
      </c>
      <c r="I429" s="512" t="s">
        <v>1676</v>
      </c>
      <c r="J429" s="502"/>
      <c r="K429" s="503" t="s">
        <v>4410</v>
      </c>
      <c r="L429" s="501" t="s">
        <v>2459</v>
      </c>
      <c r="M429" s="504">
        <v>44545</v>
      </c>
      <c r="N429" s="504">
        <v>44775</v>
      </c>
      <c r="O429" s="504"/>
      <c r="P429" s="370"/>
      <c r="Q429" s="502"/>
      <c r="R429" s="502"/>
      <c r="S429" s="501" t="s">
        <v>1563</v>
      </c>
      <c r="T429" s="501">
        <v>60</v>
      </c>
      <c r="U429" s="371">
        <v>49401140</v>
      </c>
      <c r="V429" s="501" t="s">
        <v>2482</v>
      </c>
      <c r="W429" s="501">
        <v>400</v>
      </c>
      <c r="X429" s="505">
        <v>768</v>
      </c>
      <c r="Y429" s="477">
        <f t="shared" si="93"/>
        <v>307200</v>
      </c>
      <c r="Z429" s="478">
        <v>0.52500000000000002</v>
      </c>
      <c r="AA429" s="492">
        <f t="shared" si="91"/>
        <v>161280</v>
      </c>
      <c r="AB429" s="480"/>
      <c r="AC429" s="481">
        <f t="shared" si="92"/>
        <v>0</v>
      </c>
      <c r="AD429" s="490"/>
      <c r="AE429" s="482"/>
      <c r="AF429" s="493">
        <f t="shared" si="94"/>
        <v>161280</v>
      </c>
      <c r="AG429" s="474" t="s">
        <v>1071</v>
      </c>
      <c r="AH429" s="474"/>
      <c r="AI429" s="483" t="s">
        <v>2442</v>
      </c>
      <c r="AJ429" s="474" t="s">
        <v>1777</v>
      </c>
      <c r="AK429" s="494" t="s">
        <v>50</v>
      </c>
      <c r="AL429" s="474">
        <v>93308</v>
      </c>
      <c r="AM429" s="474" t="s">
        <v>52</v>
      </c>
      <c r="AN429" s="474" t="s">
        <v>1074</v>
      </c>
      <c r="AO429" s="474"/>
      <c r="AP429" s="486"/>
      <c r="AQ429" s="486" t="s">
        <v>37</v>
      </c>
      <c r="AR429" s="486"/>
      <c r="AS429" s="495"/>
      <c r="AT429" s="495"/>
      <c r="AU429" s="378"/>
      <c r="AV429" s="478"/>
    </row>
    <row r="430" spans="1:48" s="471" customFormat="1" ht="15" customHeight="1">
      <c r="A430" s="472"/>
      <c r="B430" s="514">
        <v>44557</v>
      </c>
      <c r="C430" s="472"/>
      <c r="D430" s="512" t="s">
        <v>2322</v>
      </c>
      <c r="E430" s="501" t="s">
        <v>2726</v>
      </c>
      <c r="F430" s="501"/>
      <c r="G430" s="501">
        <v>2022</v>
      </c>
      <c r="H430" s="501" t="s">
        <v>1676</v>
      </c>
      <c r="I430" s="512" t="s">
        <v>1676</v>
      </c>
      <c r="J430" s="502"/>
      <c r="K430" s="503" t="s">
        <v>4411</v>
      </c>
      <c r="L430" s="501" t="s">
        <v>2459</v>
      </c>
      <c r="M430" s="504">
        <v>44545</v>
      </c>
      <c r="N430" s="504">
        <v>44778</v>
      </c>
      <c r="O430" s="504"/>
      <c r="P430" s="370"/>
      <c r="Q430" s="502"/>
      <c r="R430" s="502"/>
      <c r="S430" s="501" t="s">
        <v>1563</v>
      </c>
      <c r="T430" s="501">
        <v>60</v>
      </c>
      <c r="U430" s="371">
        <v>49401140</v>
      </c>
      <c r="V430" s="501" t="s">
        <v>2482</v>
      </c>
      <c r="W430" s="501">
        <v>400</v>
      </c>
      <c r="X430" s="505">
        <v>768</v>
      </c>
      <c r="Y430" s="477">
        <f t="shared" si="93"/>
        <v>307200</v>
      </c>
      <c r="Z430" s="478">
        <v>0.52500000000000002</v>
      </c>
      <c r="AA430" s="492">
        <f t="shared" si="91"/>
        <v>161280</v>
      </c>
      <c r="AB430" s="480"/>
      <c r="AC430" s="481">
        <f t="shared" si="92"/>
        <v>0</v>
      </c>
      <c r="AD430" s="490"/>
      <c r="AE430" s="482"/>
      <c r="AF430" s="493">
        <f t="shared" si="94"/>
        <v>161280</v>
      </c>
      <c r="AG430" s="474" t="s">
        <v>1071</v>
      </c>
      <c r="AH430" s="474"/>
      <c r="AI430" s="483" t="s">
        <v>2442</v>
      </c>
      <c r="AJ430" s="474" t="s">
        <v>1777</v>
      </c>
      <c r="AK430" s="494" t="s">
        <v>50</v>
      </c>
      <c r="AL430" s="474">
        <v>93308</v>
      </c>
      <c r="AM430" s="474" t="s">
        <v>52</v>
      </c>
      <c r="AN430" s="474" t="s">
        <v>1074</v>
      </c>
      <c r="AO430" s="474"/>
      <c r="AP430" s="486"/>
      <c r="AQ430" s="486" t="s">
        <v>37</v>
      </c>
      <c r="AR430" s="486"/>
      <c r="AS430" s="495"/>
      <c r="AT430" s="495"/>
      <c r="AU430" s="378"/>
      <c r="AV430" s="478"/>
    </row>
    <row r="431" spans="1:48" s="471" customFormat="1" ht="15" customHeight="1">
      <c r="A431" s="472"/>
      <c r="B431" s="514">
        <v>44557</v>
      </c>
      <c r="C431" s="472"/>
      <c r="D431" s="512" t="s">
        <v>2322</v>
      </c>
      <c r="E431" s="501" t="s">
        <v>2726</v>
      </c>
      <c r="F431" s="501"/>
      <c r="G431" s="501">
        <v>2022</v>
      </c>
      <c r="H431" s="501" t="s">
        <v>1676</v>
      </c>
      <c r="I431" s="512" t="s">
        <v>1676</v>
      </c>
      <c r="J431" s="502"/>
      <c r="K431" s="503" t="s">
        <v>4412</v>
      </c>
      <c r="L431" s="501" t="s">
        <v>2459</v>
      </c>
      <c r="M431" s="504">
        <v>44545</v>
      </c>
      <c r="N431" s="504">
        <v>44783</v>
      </c>
      <c r="O431" s="504"/>
      <c r="P431" s="370"/>
      <c r="Q431" s="502"/>
      <c r="R431" s="502"/>
      <c r="S431" s="501" t="s">
        <v>1563</v>
      </c>
      <c r="T431" s="501">
        <v>60</v>
      </c>
      <c r="U431" s="371">
        <v>49201132</v>
      </c>
      <c r="V431" s="501" t="s">
        <v>986</v>
      </c>
      <c r="W431" s="501">
        <v>360</v>
      </c>
      <c r="X431" s="505">
        <v>832</v>
      </c>
      <c r="Y431" s="477">
        <f t="shared" si="93"/>
        <v>299520</v>
      </c>
      <c r="Z431" s="478">
        <v>0.505</v>
      </c>
      <c r="AA431" s="492">
        <f t="shared" si="91"/>
        <v>151257.60000000001</v>
      </c>
      <c r="AB431" s="480"/>
      <c r="AC431" s="481">
        <f t="shared" si="92"/>
        <v>0</v>
      </c>
      <c r="AD431" s="490"/>
      <c r="AE431" s="482"/>
      <c r="AF431" s="493">
        <f t="shared" si="94"/>
        <v>151257.60000000001</v>
      </c>
      <c r="AG431" s="474" t="s">
        <v>1071</v>
      </c>
      <c r="AH431" s="474"/>
      <c r="AI431" s="483" t="s">
        <v>2442</v>
      </c>
      <c r="AJ431" s="474" t="s">
        <v>1777</v>
      </c>
      <c r="AK431" s="494" t="s">
        <v>50</v>
      </c>
      <c r="AL431" s="474">
        <v>93308</v>
      </c>
      <c r="AM431" s="474" t="s">
        <v>52</v>
      </c>
      <c r="AN431" s="474" t="s">
        <v>1074</v>
      </c>
      <c r="AO431" s="474"/>
      <c r="AP431" s="486"/>
      <c r="AQ431" s="486" t="s">
        <v>37</v>
      </c>
      <c r="AR431" s="486"/>
      <c r="AS431" s="495"/>
      <c r="AT431" s="495"/>
      <c r="AU431" s="378"/>
      <c r="AV431" s="478"/>
    </row>
    <row r="432" spans="1:48" s="471" customFormat="1" ht="15" customHeight="1">
      <c r="A432" s="472"/>
      <c r="B432" s="514">
        <v>44557</v>
      </c>
      <c r="C432" s="472"/>
      <c r="D432" s="512" t="s">
        <v>2322</v>
      </c>
      <c r="E432" s="501" t="s">
        <v>2726</v>
      </c>
      <c r="F432" s="501"/>
      <c r="G432" s="501">
        <v>2022</v>
      </c>
      <c r="H432" s="501" t="s">
        <v>1676</v>
      </c>
      <c r="I432" s="512" t="s">
        <v>1676</v>
      </c>
      <c r="J432" s="502"/>
      <c r="K432" s="503" t="s">
        <v>4413</v>
      </c>
      <c r="L432" s="501" t="s">
        <v>2459</v>
      </c>
      <c r="M432" s="504">
        <v>44545</v>
      </c>
      <c r="N432" s="504">
        <v>44785</v>
      </c>
      <c r="O432" s="504"/>
      <c r="P432" s="370"/>
      <c r="Q432" s="502"/>
      <c r="R432" s="502"/>
      <c r="S432" s="501" t="s">
        <v>1563</v>
      </c>
      <c r="T432" s="501">
        <v>60</v>
      </c>
      <c r="U432" s="371">
        <v>49401140</v>
      </c>
      <c r="V432" s="501" t="s">
        <v>2482</v>
      </c>
      <c r="W432" s="501">
        <v>400</v>
      </c>
      <c r="X432" s="505">
        <v>768</v>
      </c>
      <c r="Y432" s="477">
        <f t="shared" si="93"/>
        <v>307200</v>
      </c>
      <c r="Z432" s="478">
        <v>0.52500000000000002</v>
      </c>
      <c r="AA432" s="492">
        <f t="shared" si="91"/>
        <v>161280</v>
      </c>
      <c r="AB432" s="480"/>
      <c r="AC432" s="481">
        <f t="shared" si="92"/>
        <v>0</v>
      </c>
      <c r="AD432" s="490"/>
      <c r="AE432" s="482"/>
      <c r="AF432" s="493">
        <f t="shared" si="94"/>
        <v>161280</v>
      </c>
      <c r="AG432" s="474" t="s">
        <v>1071</v>
      </c>
      <c r="AH432" s="474"/>
      <c r="AI432" s="483" t="s">
        <v>2442</v>
      </c>
      <c r="AJ432" s="474" t="s">
        <v>1777</v>
      </c>
      <c r="AK432" s="494" t="s">
        <v>50</v>
      </c>
      <c r="AL432" s="474">
        <v>93308</v>
      </c>
      <c r="AM432" s="474" t="s">
        <v>52</v>
      </c>
      <c r="AN432" s="474" t="s">
        <v>1074</v>
      </c>
      <c r="AO432" s="474"/>
      <c r="AP432" s="486"/>
      <c r="AQ432" s="486" t="s">
        <v>37</v>
      </c>
      <c r="AR432" s="486"/>
      <c r="AS432" s="495"/>
      <c r="AT432" s="495"/>
      <c r="AU432" s="378"/>
      <c r="AV432" s="478"/>
    </row>
    <row r="433" spans="1:48" s="471" customFormat="1" ht="15" customHeight="1">
      <c r="A433" s="472"/>
      <c r="B433" s="514">
        <v>44557</v>
      </c>
      <c r="C433" s="472"/>
      <c r="D433" s="512" t="s">
        <v>2322</v>
      </c>
      <c r="E433" s="501" t="s">
        <v>2726</v>
      </c>
      <c r="F433" s="501"/>
      <c r="G433" s="501">
        <v>2022</v>
      </c>
      <c r="H433" s="501" t="s">
        <v>1676</v>
      </c>
      <c r="I433" s="512" t="s">
        <v>1676</v>
      </c>
      <c r="J433" s="502"/>
      <c r="K433" s="503" t="s">
        <v>4414</v>
      </c>
      <c r="L433" s="501" t="s">
        <v>2459</v>
      </c>
      <c r="M433" s="504">
        <v>44545</v>
      </c>
      <c r="N433" s="504">
        <v>44782</v>
      </c>
      <c r="O433" s="504"/>
      <c r="P433" s="370"/>
      <c r="Q433" s="502"/>
      <c r="R433" s="502"/>
      <c r="S433" s="501" t="s">
        <v>1563</v>
      </c>
      <c r="T433" s="501">
        <v>60</v>
      </c>
      <c r="U433" s="371">
        <v>49401140</v>
      </c>
      <c r="V433" s="501" t="s">
        <v>2482</v>
      </c>
      <c r="W433" s="501">
        <v>400</v>
      </c>
      <c r="X433" s="505">
        <v>768</v>
      </c>
      <c r="Y433" s="477">
        <f t="shared" si="93"/>
        <v>307200</v>
      </c>
      <c r="Z433" s="478">
        <v>0.52500000000000002</v>
      </c>
      <c r="AA433" s="492">
        <f t="shared" si="91"/>
        <v>161280</v>
      </c>
      <c r="AB433" s="480"/>
      <c r="AC433" s="481">
        <f t="shared" si="92"/>
        <v>0</v>
      </c>
      <c r="AD433" s="490"/>
      <c r="AE433" s="482"/>
      <c r="AF433" s="493">
        <f t="shared" si="94"/>
        <v>161280</v>
      </c>
      <c r="AG433" s="474" t="s">
        <v>1071</v>
      </c>
      <c r="AH433" s="474"/>
      <c r="AI433" s="483" t="s">
        <v>2442</v>
      </c>
      <c r="AJ433" s="474" t="s">
        <v>1777</v>
      </c>
      <c r="AK433" s="494" t="s">
        <v>50</v>
      </c>
      <c r="AL433" s="474">
        <v>93308</v>
      </c>
      <c r="AM433" s="474" t="s">
        <v>52</v>
      </c>
      <c r="AN433" s="474" t="s">
        <v>1074</v>
      </c>
      <c r="AO433" s="474"/>
      <c r="AP433" s="486"/>
      <c r="AQ433" s="486" t="s">
        <v>37</v>
      </c>
      <c r="AR433" s="486"/>
      <c r="AS433" s="495"/>
      <c r="AT433" s="495"/>
      <c r="AU433" s="378"/>
      <c r="AV433" s="478"/>
    </row>
    <row r="434" spans="1:48" s="471" customFormat="1" ht="15" customHeight="1">
      <c r="A434" s="472"/>
      <c r="B434" s="514">
        <v>44557</v>
      </c>
      <c r="C434" s="472"/>
      <c r="D434" s="512" t="s">
        <v>2322</v>
      </c>
      <c r="E434" s="501" t="s">
        <v>2726</v>
      </c>
      <c r="F434" s="501"/>
      <c r="G434" s="501">
        <v>2022</v>
      </c>
      <c r="H434" s="501" t="s">
        <v>1676</v>
      </c>
      <c r="I434" s="512" t="s">
        <v>1676</v>
      </c>
      <c r="J434" s="502"/>
      <c r="K434" s="503" t="s">
        <v>4415</v>
      </c>
      <c r="L434" s="501" t="s">
        <v>2459</v>
      </c>
      <c r="M434" s="504">
        <v>44545</v>
      </c>
      <c r="N434" s="504">
        <v>44788</v>
      </c>
      <c r="O434" s="504"/>
      <c r="P434" s="370"/>
      <c r="Q434" s="502"/>
      <c r="R434" s="502"/>
      <c r="S434" s="501" t="s">
        <v>1563</v>
      </c>
      <c r="T434" s="501">
        <v>60</v>
      </c>
      <c r="U434" s="371">
        <v>49401140</v>
      </c>
      <c r="V434" s="501" t="s">
        <v>2482</v>
      </c>
      <c r="W434" s="501">
        <v>400</v>
      </c>
      <c r="X434" s="505">
        <v>768</v>
      </c>
      <c r="Y434" s="477">
        <f t="shared" si="93"/>
        <v>307200</v>
      </c>
      <c r="Z434" s="478">
        <v>0.52500000000000002</v>
      </c>
      <c r="AA434" s="492">
        <f t="shared" si="91"/>
        <v>161280</v>
      </c>
      <c r="AB434" s="480"/>
      <c r="AC434" s="481">
        <f t="shared" si="92"/>
        <v>0</v>
      </c>
      <c r="AD434" s="490"/>
      <c r="AE434" s="482"/>
      <c r="AF434" s="493">
        <f t="shared" si="94"/>
        <v>161280</v>
      </c>
      <c r="AG434" s="474" t="s">
        <v>1071</v>
      </c>
      <c r="AH434" s="474"/>
      <c r="AI434" s="483" t="s">
        <v>2442</v>
      </c>
      <c r="AJ434" s="474" t="s">
        <v>1777</v>
      </c>
      <c r="AK434" s="494" t="s">
        <v>50</v>
      </c>
      <c r="AL434" s="474">
        <v>93308</v>
      </c>
      <c r="AM434" s="474" t="s">
        <v>52</v>
      </c>
      <c r="AN434" s="474" t="s">
        <v>1074</v>
      </c>
      <c r="AO434" s="474"/>
      <c r="AP434" s="486"/>
      <c r="AQ434" s="486" t="s">
        <v>37</v>
      </c>
      <c r="AR434" s="486"/>
      <c r="AS434" s="495"/>
      <c r="AT434" s="495"/>
      <c r="AU434" s="378"/>
      <c r="AV434" s="478"/>
    </row>
    <row r="435" spans="1:48" s="471" customFormat="1" ht="15" customHeight="1">
      <c r="A435" s="472"/>
      <c r="B435" s="514">
        <v>44557</v>
      </c>
      <c r="C435" s="472"/>
      <c r="D435" s="512" t="s">
        <v>2322</v>
      </c>
      <c r="E435" s="501" t="s">
        <v>2726</v>
      </c>
      <c r="F435" s="501"/>
      <c r="G435" s="501">
        <v>2022</v>
      </c>
      <c r="H435" s="501" t="s">
        <v>1676</v>
      </c>
      <c r="I435" s="512" t="s">
        <v>1676</v>
      </c>
      <c r="J435" s="502"/>
      <c r="K435" s="503" t="s">
        <v>4416</v>
      </c>
      <c r="L435" s="501" t="s">
        <v>2459</v>
      </c>
      <c r="M435" s="504">
        <v>44545</v>
      </c>
      <c r="N435" s="504">
        <v>44806</v>
      </c>
      <c r="O435" s="504"/>
      <c r="P435" s="370"/>
      <c r="Q435" s="502"/>
      <c r="R435" s="502"/>
      <c r="S435" s="501" t="s">
        <v>1563</v>
      </c>
      <c r="T435" s="501">
        <v>60</v>
      </c>
      <c r="U435" s="371">
        <v>49401140</v>
      </c>
      <c r="V435" s="501" t="s">
        <v>2482</v>
      </c>
      <c r="W435" s="501">
        <v>400</v>
      </c>
      <c r="X435" s="505">
        <v>768</v>
      </c>
      <c r="Y435" s="477">
        <f t="shared" si="93"/>
        <v>307200</v>
      </c>
      <c r="Z435" s="478">
        <v>0.52500000000000002</v>
      </c>
      <c r="AA435" s="492">
        <f t="shared" si="91"/>
        <v>161280</v>
      </c>
      <c r="AB435" s="480"/>
      <c r="AC435" s="481">
        <f t="shared" si="92"/>
        <v>0</v>
      </c>
      <c r="AD435" s="490"/>
      <c r="AE435" s="482"/>
      <c r="AF435" s="493">
        <f t="shared" si="94"/>
        <v>161280</v>
      </c>
      <c r="AG435" s="474" t="s">
        <v>1071</v>
      </c>
      <c r="AH435" s="474"/>
      <c r="AI435" s="483" t="s">
        <v>2442</v>
      </c>
      <c r="AJ435" s="474" t="s">
        <v>1777</v>
      </c>
      <c r="AK435" s="494" t="s">
        <v>50</v>
      </c>
      <c r="AL435" s="474">
        <v>93308</v>
      </c>
      <c r="AM435" s="474" t="s">
        <v>52</v>
      </c>
      <c r="AN435" s="474" t="s">
        <v>1074</v>
      </c>
      <c r="AO435" s="474"/>
      <c r="AP435" s="486"/>
      <c r="AQ435" s="486" t="s">
        <v>37</v>
      </c>
      <c r="AR435" s="486"/>
      <c r="AS435" s="495"/>
      <c r="AT435" s="495"/>
      <c r="AU435" s="378"/>
      <c r="AV435" s="478"/>
    </row>
    <row r="436" spans="1:48" s="471" customFormat="1" ht="15" customHeight="1">
      <c r="A436" s="472"/>
      <c r="B436" s="514">
        <v>44557</v>
      </c>
      <c r="C436" s="472"/>
      <c r="D436" s="512" t="s">
        <v>2322</v>
      </c>
      <c r="E436" s="501" t="s">
        <v>2726</v>
      </c>
      <c r="F436" s="501"/>
      <c r="G436" s="501">
        <v>2022</v>
      </c>
      <c r="H436" s="501" t="s">
        <v>1676</v>
      </c>
      <c r="I436" s="512" t="s">
        <v>1676</v>
      </c>
      <c r="J436" s="502"/>
      <c r="K436" s="503" t="s">
        <v>4417</v>
      </c>
      <c r="L436" s="501" t="s">
        <v>2459</v>
      </c>
      <c r="M436" s="504">
        <v>44545</v>
      </c>
      <c r="N436" s="504">
        <v>44809</v>
      </c>
      <c r="O436" s="504"/>
      <c r="P436" s="370"/>
      <c r="Q436" s="502"/>
      <c r="R436" s="502"/>
      <c r="S436" s="501" t="s">
        <v>1563</v>
      </c>
      <c r="T436" s="501">
        <v>60</v>
      </c>
      <c r="U436" s="371">
        <v>49401140</v>
      </c>
      <c r="V436" s="501" t="s">
        <v>2482</v>
      </c>
      <c r="W436" s="501">
        <v>400</v>
      </c>
      <c r="X436" s="505">
        <v>768</v>
      </c>
      <c r="Y436" s="477">
        <f t="shared" si="93"/>
        <v>307200</v>
      </c>
      <c r="Z436" s="478">
        <v>0.52500000000000002</v>
      </c>
      <c r="AA436" s="492">
        <f t="shared" si="91"/>
        <v>161280</v>
      </c>
      <c r="AB436" s="480"/>
      <c r="AC436" s="481">
        <f t="shared" si="92"/>
        <v>0</v>
      </c>
      <c r="AD436" s="490"/>
      <c r="AE436" s="482"/>
      <c r="AF436" s="493">
        <f t="shared" si="94"/>
        <v>161280</v>
      </c>
      <c r="AG436" s="474" t="s">
        <v>1071</v>
      </c>
      <c r="AH436" s="474"/>
      <c r="AI436" s="483" t="s">
        <v>2442</v>
      </c>
      <c r="AJ436" s="474" t="s">
        <v>1777</v>
      </c>
      <c r="AK436" s="494" t="s">
        <v>50</v>
      </c>
      <c r="AL436" s="474">
        <v>93308</v>
      </c>
      <c r="AM436" s="474" t="s">
        <v>52</v>
      </c>
      <c r="AN436" s="474" t="s">
        <v>1074</v>
      </c>
      <c r="AO436" s="474"/>
      <c r="AP436" s="486"/>
      <c r="AQ436" s="486" t="s">
        <v>37</v>
      </c>
      <c r="AR436" s="486"/>
      <c r="AS436" s="495"/>
      <c r="AT436" s="495"/>
      <c r="AU436" s="378"/>
      <c r="AV436" s="478"/>
    </row>
    <row r="437" spans="1:48" s="471" customFormat="1" ht="15" customHeight="1">
      <c r="A437" s="472"/>
      <c r="B437" s="514">
        <v>44557</v>
      </c>
      <c r="C437" s="472"/>
      <c r="D437" s="512" t="s">
        <v>2322</v>
      </c>
      <c r="E437" s="501" t="s">
        <v>2726</v>
      </c>
      <c r="F437" s="501"/>
      <c r="G437" s="501">
        <v>2022</v>
      </c>
      <c r="H437" s="501" t="s">
        <v>1676</v>
      </c>
      <c r="I437" s="512" t="s">
        <v>1676</v>
      </c>
      <c r="J437" s="502"/>
      <c r="K437" s="503" t="s">
        <v>4418</v>
      </c>
      <c r="L437" s="501" t="s">
        <v>2459</v>
      </c>
      <c r="M437" s="504">
        <v>44545</v>
      </c>
      <c r="N437" s="504">
        <v>44813</v>
      </c>
      <c r="O437" s="504"/>
      <c r="P437" s="370"/>
      <c r="Q437" s="502"/>
      <c r="R437" s="502"/>
      <c r="S437" s="501" t="s">
        <v>1563</v>
      </c>
      <c r="T437" s="501">
        <v>60</v>
      </c>
      <c r="U437" s="371">
        <v>49401140</v>
      </c>
      <c r="V437" s="501" t="s">
        <v>2482</v>
      </c>
      <c r="W437" s="501">
        <v>400</v>
      </c>
      <c r="X437" s="505">
        <v>768</v>
      </c>
      <c r="Y437" s="477">
        <f t="shared" si="93"/>
        <v>307200</v>
      </c>
      <c r="Z437" s="478">
        <v>0.52500000000000002</v>
      </c>
      <c r="AA437" s="492">
        <f t="shared" si="91"/>
        <v>161280</v>
      </c>
      <c r="AB437" s="480"/>
      <c r="AC437" s="481">
        <f t="shared" si="92"/>
        <v>0</v>
      </c>
      <c r="AD437" s="490"/>
      <c r="AE437" s="482"/>
      <c r="AF437" s="493">
        <f t="shared" si="94"/>
        <v>161280</v>
      </c>
      <c r="AG437" s="474" t="s">
        <v>1071</v>
      </c>
      <c r="AH437" s="474"/>
      <c r="AI437" s="483" t="s">
        <v>2442</v>
      </c>
      <c r="AJ437" s="474" t="s">
        <v>1777</v>
      </c>
      <c r="AK437" s="494" t="s">
        <v>50</v>
      </c>
      <c r="AL437" s="474">
        <v>93308</v>
      </c>
      <c r="AM437" s="474" t="s">
        <v>52</v>
      </c>
      <c r="AN437" s="474" t="s">
        <v>1074</v>
      </c>
      <c r="AO437" s="474"/>
      <c r="AP437" s="486"/>
      <c r="AQ437" s="486" t="s">
        <v>37</v>
      </c>
      <c r="AR437" s="486"/>
      <c r="AS437" s="495"/>
      <c r="AT437" s="495"/>
      <c r="AU437" s="378"/>
      <c r="AV437" s="478"/>
    </row>
    <row r="438" spans="1:48" s="471" customFormat="1" ht="15" customHeight="1">
      <c r="A438" s="472"/>
      <c r="B438" s="514">
        <v>44557</v>
      </c>
      <c r="C438" s="472"/>
      <c r="D438" s="512" t="s">
        <v>2322</v>
      </c>
      <c r="E438" s="501" t="s">
        <v>2726</v>
      </c>
      <c r="F438" s="501"/>
      <c r="G438" s="501">
        <v>2022</v>
      </c>
      <c r="H438" s="501" t="s">
        <v>1676</v>
      </c>
      <c r="I438" s="512" t="s">
        <v>1676</v>
      </c>
      <c r="J438" s="502"/>
      <c r="K438" s="503" t="s">
        <v>4419</v>
      </c>
      <c r="L438" s="501" t="s">
        <v>2459</v>
      </c>
      <c r="M438" s="504">
        <v>44545</v>
      </c>
      <c r="N438" s="504">
        <v>44815</v>
      </c>
      <c r="O438" s="504"/>
      <c r="P438" s="370"/>
      <c r="Q438" s="502"/>
      <c r="R438" s="502"/>
      <c r="S438" s="501" t="s">
        <v>1563</v>
      </c>
      <c r="T438" s="501">
        <v>60</v>
      </c>
      <c r="U438" s="371">
        <v>49401140</v>
      </c>
      <c r="V438" s="501" t="s">
        <v>2482</v>
      </c>
      <c r="W438" s="501">
        <v>400</v>
      </c>
      <c r="X438" s="505">
        <v>768</v>
      </c>
      <c r="Y438" s="477">
        <f t="shared" si="93"/>
        <v>307200</v>
      </c>
      <c r="Z438" s="478">
        <v>0.52500000000000002</v>
      </c>
      <c r="AA438" s="492">
        <f t="shared" si="91"/>
        <v>161280</v>
      </c>
      <c r="AB438" s="480"/>
      <c r="AC438" s="481">
        <f t="shared" si="92"/>
        <v>0</v>
      </c>
      <c r="AD438" s="490"/>
      <c r="AE438" s="482"/>
      <c r="AF438" s="493">
        <f t="shared" si="94"/>
        <v>161280</v>
      </c>
      <c r="AG438" s="474" t="s">
        <v>1071</v>
      </c>
      <c r="AH438" s="474"/>
      <c r="AI438" s="483" t="s">
        <v>2442</v>
      </c>
      <c r="AJ438" s="474" t="s">
        <v>1777</v>
      </c>
      <c r="AK438" s="494" t="s">
        <v>50</v>
      </c>
      <c r="AL438" s="474">
        <v>93308</v>
      </c>
      <c r="AM438" s="474" t="s">
        <v>52</v>
      </c>
      <c r="AN438" s="474" t="s">
        <v>1074</v>
      </c>
      <c r="AO438" s="474"/>
      <c r="AP438" s="486"/>
      <c r="AQ438" s="486" t="s">
        <v>37</v>
      </c>
      <c r="AR438" s="486"/>
      <c r="AS438" s="495"/>
      <c r="AT438" s="495"/>
      <c r="AU438" s="378"/>
      <c r="AV438" s="478"/>
    </row>
    <row r="439" spans="1:48" s="471" customFormat="1" ht="15" customHeight="1">
      <c r="A439" s="472"/>
      <c r="B439" s="514">
        <v>44557</v>
      </c>
      <c r="C439" s="472"/>
      <c r="D439" s="512" t="s">
        <v>2322</v>
      </c>
      <c r="E439" s="501" t="s">
        <v>2726</v>
      </c>
      <c r="F439" s="501"/>
      <c r="G439" s="501">
        <v>2022</v>
      </c>
      <c r="H439" s="501" t="s">
        <v>1676</v>
      </c>
      <c r="I439" s="512" t="s">
        <v>1676</v>
      </c>
      <c r="J439" s="502"/>
      <c r="K439" s="503" t="s">
        <v>4420</v>
      </c>
      <c r="L439" s="501" t="s">
        <v>2459</v>
      </c>
      <c r="M439" s="504">
        <v>44545</v>
      </c>
      <c r="N439" s="504">
        <v>44819</v>
      </c>
      <c r="O439" s="504"/>
      <c r="P439" s="370"/>
      <c r="Q439" s="502"/>
      <c r="R439" s="502"/>
      <c r="S439" s="501" t="s">
        <v>1563</v>
      </c>
      <c r="T439" s="501">
        <v>60</v>
      </c>
      <c r="U439" s="371">
        <v>49401140</v>
      </c>
      <c r="V439" s="501" t="s">
        <v>2482</v>
      </c>
      <c r="W439" s="501">
        <v>400</v>
      </c>
      <c r="X439" s="505">
        <v>768</v>
      </c>
      <c r="Y439" s="477">
        <f t="shared" si="93"/>
        <v>307200</v>
      </c>
      <c r="Z439" s="478">
        <v>0.52500000000000002</v>
      </c>
      <c r="AA439" s="492">
        <f t="shared" si="91"/>
        <v>161280</v>
      </c>
      <c r="AB439" s="480"/>
      <c r="AC439" s="481">
        <f t="shared" si="92"/>
        <v>0</v>
      </c>
      <c r="AD439" s="490"/>
      <c r="AE439" s="482"/>
      <c r="AF439" s="493">
        <f t="shared" si="94"/>
        <v>161280</v>
      </c>
      <c r="AG439" s="474" t="s">
        <v>1071</v>
      </c>
      <c r="AH439" s="474"/>
      <c r="AI439" s="483" t="s">
        <v>2442</v>
      </c>
      <c r="AJ439" s="474" t="s">
        <v>1777</v>
      </c>
      <c r="AK439" s="494" t="s">
        <v>50</v>
      </c>
      <c r="AL439" s="474">
        <v>93308</v>
      </c>
      <c r="AM439" s="474" t="s">
        <v>52</v>
      </c>
      <c r="AN439" s="474" t="s">
        <v>1074</v>
      </c>
      <c r="AO439" s="474"/>
      <c r="AP439" s="486"/>
      <c r="AQ439" s="486" t="s">
        <v>37</v>
      </c>
      <c r="AR439" s="486"/>
      <c r="AS439" s="495"/>
      <c r="AT439" s="495"/>
      <c r="AU439" s="378"/>
      <c r="AV439" s="478"/>
    </row>
    <row r="440" spans="1:48" s="471" customFormat="1" ht="15" customHeight="1">
      <c r="A440" s="472"/>
      <c r="B440" s="514">
        <v>44557</v>
      </c>
      <c r="C440" s="472"/>
      <c r="D440" s="512" t="s">
        <v>2322</v>
      </c>
      <c r="E440" s="501" t="s">
        <v>2726</v>
      </c>
      <c r="F440" s="501"/>
      <c r="G440" s="501">
        <v>2022</v>
      </c>
      <c r="H440" s="501" t="s">
        <v>1676</v>
      </c>
      <c r="I440" s="512" t="s">
        <v>1676</v>
      </c>
      <c r="J440" s="502"/>
      <c r="K440" s="503" t="s">
        <v>4421</v>
      </c>
      <c r="L440" s="501" t="s">
        <v>2459</v>
      </c>
      <c r="M440" s="504">
        <v>44545</v>
      </c>
      <c r="N440" s="504">
        <v>44835</v>
      </c>
      <c r="O440" s="504"/>
      <c r="P440" s="370"/>
      <c r="Q440" s="502"/>
      <c r="R440" s="502"/>
      <c r="S440" s="501" t="s">
        <v>1563</v>
      </c>
      <c r="T440" s="501">
        <v>60</v>
      </c>
      <c r="U440" s="371">
        <v>49401140</v>
      </c>
      <c r="V440" s="501" t="s">
        <v>2482</v>
      </c>
      <c r="W440" s="501">
        <v>400</v>
      </c>
      <c r="X440" s="505">
        <v>768</v>
      </c>
      <c r="Y440" s="477">
        <f t="shared" si="93"/>
        <v>307200</v>
      </c>
      <c r="Z440" s="478">
        <v>0.52500000000000002</v>
      </c>
      <c r="AA440" s="492">
        <f t="shared" si="91"/>
        <v>161280</v>
      </c>
      <c r="AB440" s="480"/>
      <c r="AC440" s="481">
        <f t="shared" si="92"/>
        <v>0</v>
      </c>
      <c r="AD440" s="490"/>
      <c r="AE440" s="482"/>
      <c r="AF440" s="493">
        <f t="shared" si="94"/>
        <v>161280</v>
      </c>
      <c r="AG440" s="474" t="s">
        <v>1071</v>
      </c>
      <c r="AH440" s="474"/>
      <c r="AI440" s="483" t="s">
        <v>2442</v>
      </c>
      <c r="AJ440" s="474" t="s">
        <v>1777</v>
      </c>
      <c r="AK440" s="494" t="s">
        <v>50</v>
      </c>
      <c r="AL440" s="474">
        <v>93308</v>
      </c>
      <c r="AM440" s="474" t="s">
        <v>52</v>
      </c>
      <c r="AN440" s="474" t="s">
        <v>1074</v>
      </c>
      <c r="AO440" s="474"/>
      <c r="AP440" s="486"/>
      <c r="AQ440" s="486" t="s">
        <v>37</v>
      </c>
      <c r="AR440" s="486"/>
      <c r="AS440" s="495"/>
      <c r="AT440" s="495"/>
      <c r="AU440" s="378"/>
      <c r="AV440" s="478"/>
    </row>
    <row r="441" spans="1:48" s="471" customFormat="1" ht="15" customHeight="1">
      <c r="A441" s="472"/>
      <c r="B441" s="514">
        <v>44557</v>
      </c>
      <c r="C441" s="472"/>
      <c r="D441" s="512" t="s">
        <v>2322</v>
      </c>
      <c r="E441" s="501" t="s">
        <v>2726</v>
      </c>
      <c r="F441" s="501"/>
      <c r="G441" s="501">
        <v>2022</v>
      </c>
      <c r="H441" s="501" t="s">
        <v>1676</v>
      </c>
      <c r="I441" s="512" t="s">
        <v>1676</v>
      </c>
      <c r="J441" s="502"/>
      <c r="K441" s="503" t="s">
        <v>4422</v>
      </c>
      <c r="L441" s="501" t="s">
        <v>2459</v>
      </c>
      <c r="M441" s="504">
        <v>44545</v>
      </c>
      <c r="N441" s="504">
        <v>44837</v>
      </c>
      <c r="O441" s="504"/>
      <c r="P441" s="370"/>
      <c r="Q441" s="502"/>
      <c r="R441" s="502"/>
      <c r="S441" s="501" t="s">
        <v>1563</v>
      </c>
      <c r="T441" s="501">
        <v>60</v>
      </c>
      <c r="U441" s="371">
        <v>49401140</v>
      </c>
      <c r="V441" s="501" t="s">
        <v>2482</v>
      </c>
      <c r="W441" s="501">
        <v>400</v>
      </c>
      <c r="X441" s="505">
        <v>768</v>
      </c>
      <c r="Y441" s="477">
        <f t="shared" si="93"/>
        <v>307200</v>
      </c>
      <c r="Z441" s="478">
        <v>0.52500000000000002</v>
      </c>
      <c r="AA441" s="492">
        <f t="shared" si="91"/>
        <v>161280</v>
      </c>
      <c r="AB441" s="480"/>
      <c r="AC441" s="481">
        <f t="shared" si="92"/>
        <v>0</v>
      </c>
      <c r="AD441" s="490"/>
      <c r="AE441" s="482"/>
      <c r="AF441" s="493">
        <f t="shared" si="94"/>
        <v>161280</v>
      </c>
      <c r="AG441" s="474" t="s">
        <v>1071</v>
      </c>
      <c r="AH441" s="474"/>
      <c r="AI441" s="483" t="s">
        <v>2442</v>
      </c>
      <c r="AJ441" s="474" t="s">
        <v>1777</v>
      </c>
      <c r="AK441" s="494" t="s">
        <v>50</v>
      </c>
      <c r="AL441" s="474">
        <v>93308</v>
      </c>
      <c r="AM441" s="474" t="s">
        <v>52</v>
      </c>
      <c r="AN441" s="474" t="s">
        <v>1074</v>
      </c>
      <c r="AO441" s="474"/>
      <c r="AP441" s="486"/>
      <c r="AQ441" s="486" t="s">
        <v>37</v>
      </c>
      <c r="AR441" s="486"/>
      <c r="AS441" s="495"/>
      <c r="AT441" s="495"/>
      <c r="AU441" s="378"/>
      <c r="AV441" s="478"/>
    </row>
    <row r="442" spans="1:48" s="471" customFormat="1" ht="15" customHeight="1">
      <c r="A442" s="472"/>
      <c r="B442" s="514">
        <v>44557</v>
      </c>
      <c r="C442" s="472"/>
      <c r="D442" s="512" t="s">
        <v>2322</v>
      </c>
      <c r="E442" s="501" t="s">
        <v>2726</v>
      </c>
      <c r="F442" s="501"/>
      <c r="G442" s="501">
        <v>2022</v>
      </c>
      <c r="H442" s="501" t="s">
        <v>1676</v>
      </c>
      <c r="I442" s="512" t="s">
        <v>1676</v>
      </c>
      <c r="J442" s="502"/>
      <c r="K442" s="503" t="s">
        <v>4423</v>
      </c>
      <c r="L442" s="501" t="s">
        <v>2459</v>
      </c>
      <c r="M442" s="504">
        <v>44545</v>
      </c>
      <c r="N442" s="504">
        <v>44840</v>
      </c>
      <c r="O442" s="504"/>
      <c r="P442" s="370"/>
      <c r="Q442" s="502"/>
      <c r="R442" s="502"/>
      <c r="S442" s="501" t="s">
        <v>1563</v>
      </c>
      <c r="T442" s="501">
        <v>60</v>
      </c>
      <c r="U442" s="371">
        <v>49401140</v>
      </c>
      <c r="V442" s="501" t="s">
        <v>2482</v>
      </c>
      <c r="W442" s="501">
        <v>400</v>
      </c>
      <c r="X442" s="505">
        <v>768</v>
      </c>
      <c r="Y442" s="477">
        <f t="shared" si="93"/>
        <v>307200</v>
      </c>
      <c r="Z442" s="478">
        <v>0.52500000000000002</v>
      </c>
      <c r="AA442" s="492">
        <f t="shared" si="91"/>
        <v>161280</v>
      </c>
      <c r="AB442" s="480"/>
      <c r="AC442" s="481">
        <f t="shared" si="92"/>
        <v>0</v>
      </c>
      <c r="AD442" s="490"/>
      <c r="AE442" s="482"/>
      <c r="AF442" s="493">
        <f t="shared" si="94"/>
        <v>161280</v>
      </c>
      <c r="AG442" s="474" t="s">
        <v>1071</v>
      </c>
      <c r="AH442" s="474"/>
      <c r="AI442" s="483" t="s">
        <v>2442</v>
      </c>
      <c r="AJ442" s="474" t="s">
        <v>1777</v>
      </c>
      <c r="AK442" s="494" t="s">
        <v>50</v>
      </c>
      <c r="AL442" s="474">
        <v>93308</v>
      </c>
      <c r="AM442" s="474" t="s">
        <v>52</v>
      </c>
      <c r="AN442" s="474" t="s">
        <v>1074</v>
      </c>
      <c r="AO442" s="474"/>
      <c r="AP442" s="486"/>
      <c r="AQ442" s="486" t="s">
        <v>37</v>
      </c>
      <c r="AR442" s="486"/>
      <c r="AS442" s="495"/>
      <c r="AT442" s="495"/>
      <c r="AU442" s="378"/>
      <c r="AV442" s="478"/>
    </row>
    <row r="443" spans="1:48" s="471" customFormat="1" ht="15" customHeight="1">
      <c r="A443" s="472"/>
      <c r="B443" s="514">
        <v>44557</v>
      </c>
      <c r="C443" s="472"/>
      <c r="D443" s="512" t="s">
        <v>2322</v>
      </c>
      <c r="E443" s="501" t="s">
        <v>2726</v>
      </c>
      <c r="F443" s="501"/>
      <c r="G443" s="501">
        <v>2022</v>
      </c>
      <c r="H443" s="501" t="s">
        <v>1676</v>
      </c>
      <c r="I443" s="512" t="s">
        <v>1676</v>
      </c>
      <c r="J443" s="502"/>
      <c r="K443" s="503" t="s">
        <v>4424</v>
      </c>
      <c r="L443" s="501" t="s">
        <v>2459</v>
      </c>
      <c r="M443" s="504">
        <v>44545</v>
      </c>
      <c r="N443" s="504">
        <v>44844</v>
      </c>
      <c r="O443" s="504"/>
      <c r="P443" s="370"/>
      <c r="Q443" s="502"/>
      <c r="R443" s="502"/>
      <c r="S443" s="501" t="s">
        <v>1563</v>
      </c>
      <c r="T443" s="501">
        <v>60</v>
      </c>
      <c r="U443" s="371">
        <v>49401140</v>
      </c>
      <c r="V443" s="501" t="s">
        <v>2482</v>
      </c>
      <c r="W443" s="501">
        <v>400</v>
      </c>
      <c r="X443" s="505">
        <v>768</v>
      </c>
      <c r="Y443" s="477">
        <f t="shared" si="93"/>
        <v>307200</v>
      </c>
      <c r="Z443" s="478">
        <v>0.52500000000000002</v>
      </c>
      <c r="AA443" s="492">
        <f t="shared" ref="AA443:AA506" si="96">Z443*Y443</f>
        <v>161280</v>
      </c>
      <c r="AB443" s="480"/>
      <c r="AC443" s="481">
        <f t="shared" si="92"/>
        <v>0</v>
      </c>
      <c r="AD443" s="490"/>
      <c r="AE443" s="482"/>
      <c r="AF443" s="493">
        <f t="shared" si="94"/>
        <v>161280</v>
      </c>
      <c r="AG443" s="474" t="s">
        <v>1071</v>
      </c>
      <c r="AH443" s="474"/>
      <c r="AI443" s="483" t="s">
        <v>2442</v>
      </c>
      <c r="AJ443" s="474" t="s">
        <v>1777</v>
      </c>
      <c r="AK443" s="494" t="s">
        <v>50</v>
      </c>
      <c r="AL443" s="474">
        <v>93308</v>
      </c>
      <c r="AM443" s="474" t="s">
        <v>52</v>
      </c>
      <c r="AN443" s="474" t="s">
        <v>1074</v>
      </c>
      <c r="AO443" s="474"/>
      <c r="AP443" s="486"/>
      <c r="AQ443" s="486" t="s">
        <v>37</v>
      </c>
      <c r="AR443" s="486"/>
      <c r="AS443" s="495"/>
      <c r="AT443" s="495"/>
      <c r="AU443" s="378"/>
      <c r="AV443" s="478"/>
    </row>
    <row r="444" spans="1:48" s="471" customFormat="1" ht="15" customHeight="1">
      <c r="A444" s="472"/>
      <c r="B444" s="514">
        <v>44557</v>
      </c>
      <c r="C444" s="472"/>
      <c r="D444" s="512" t="s">
        <v>2322</v>
      </c>
      <c r="E444" s="501" t="s">
        <v>2726</v>
      </c>
      <c r="F444" s="501"/>
      <c r="G444" s="501">
        <v>2022</v>
      </c>
      <c r="H444" s="501" t="s">
        <v>1676</v>
      </c>
      <c r="I444" s="512" t="s">
        <v>1676</v>
      </c>
      <c r="J444" s="502"/>
      <c r="K444" s="503" t="s">
        <v>4425</v>
      </c>
      <c r="L444" s="501" t="s">
        <v>2459</v>
      </c>
      <c r="M444" s="504">
        <v>44545</v>
      </c>
      <c r="N444" s="504">
        <v>44844</v>
      </c>
      <c r="O444" s="504"/>
      <c r="P444" s="370"/>
      <c r="Q444" s="502"/>
      <c r="R444" s="502"/>
      <c r="S444" s="501" t="s">
        <v>1563</v>
      </c>
      <c r="T444" s="501">
        <v>60</v>
      </c>
      <c r="U444" s="371">
        <v>49201132</v>
      </c>
      <c r="V444" s="501" t="s">
        <v>986</v>
      </c>
      <c r="W444" s="501">
        <v>360</v>
      </c>
      <c r="X444" s="505">
        <v>832</v>
      </c>
      <c r="Y444" s="477">
        <f t="shared" si="93"/>
        <v>299520</v>
      </c>
      <c r="Z444" s="478">
        <v>0.505</v>
      </c>
      <c r="AA444" s="492">
        <f t="shared" si="96"/>
        <v>151257.60000000001</v>
      </c>
      <c r="AB444" s="480"/>
      <c r="AC444" s="481">
        <f t="shared" si="92"/>
        <v>0</v>
      </c>
      <c r="AD444" s="490"/>
      <c r="AE444" s="482"/>
      <c r="AF444" s="493">
        <f t="shared" si="94"/>
        <v>151257.60000000001</v>
      </c>
      <c r="AG444" s="474" t="s">
        <v>1071</v>
      </c>
      <c r="AH444" s="474"/>
      <c r="AI444" s="483" t="s">
        <v>2442</v>
      </c>
      <c r="AJ444" s="474" t="s">
        <v>1777</v>
      </c>
      <c r="AK444" s="494" t="s">
        <v>50</v>
      </c>
      <c r="AL444" s="474">
        <v>93308</v>
      </c>
      <c r="AM444" s="474" t="s">
        <v>52</v>
      </c>
      <c r="AN444" s="474" t="s">
        <v>1074</v>
      </c>
      <c r="AO444" s="474"/>
      <c r="AP444" s="486"/>
      <c r="AQ444" s="486" t="s">
        <v>37</v>
      </c>
      <c r="AR444" s="486"/>
      <c r="AS444" s="495"/>
      <c r="AT444" s="495"/>
      <c r="AU444" s="378"/>
      <c r="AV444" s="478"/>
    </row>
    <row r="445" spans="1:48" s="471" customFormat="1" ht="15" customHeight="1">
      <c r="A445" s="472"/>
      <c r="B445" s="514">
        <v>44557</v>
      </c>
      <c r="C445" s="472"/>
      <c r="D445" s="512" t="s">
        <v>2322</v>
      </c>
      <c r="E445" s="501" t="s">
        <v>2726</v>
      </c>
      <c r="F445" s="501"/>
      <c r="G445" s="501">
        <v>2022</v>
      </c>
      <c r="H445" s="501" t="s">
        <v>1676</v>
      </c>
      <c r="I445" s="512" t="s">
        <v>1676</v>
      </c>
      <c r="J445" s="502"/>
      <c r="K445" s="503" t="s">
        <v>4426</v>
      </c>
      <c r="L445" s="501" t="s">
        <v>2459</v>
      </c>
      <c r="M445" s="504">
        <v>44545</v>
      </c>
      <c r="N445" s="504">
        <v>44847</v>
      </c>
      <c r="O445" s="504"/>
      <c r="P445" s="370"/>
      <c r="Q445" s="502"/>
      <c r="R445" s="502"/>
      <c r="S445" s="501" t="s">
        <v>1563</v>
      </c>
      <c r="T445" s="501">
        <v>60</v>
      </c>
      <c r="U445" s="371">
        <v>49401140</v>
      </c>
      <c r="V445" s="501" t="s">
        <v>2482</v>
      </c>
      <c r="W445" s="501">
        <v>400</v>
      </c>
      <c r="X445" s="505">
        <v>768</v>
      </c>
      <c r="Y445" s="477">
        <f t="shared" si="93"/>
        <v>307200</v>
      </c>
      <c r="Z445" s="478">
        <v>0.52500000000000002</v>
      </c>
      <c r="AA445" s="492">
        <f t="shared" si="96"/>
        <v>161280</v>
      </c>
      <c r="AB445" s="480"/>
      <c r="AC445" s="481">
        <f t="shared" si="92"/>
        <v>0</v>
      </c>
      <c r="AD445" s="490"/>
      <c r="AE445" s="482"/>
      <c r="AF445" s="493">
        <f t="shared" si="94"/>
        <v>161280</v>
      </c>
      <c r="AG445" s="474" t="s">
        <v>1071</v>
      </c>
      <c r="AH445" s="474"/>
      <c r="AI445" s="483" t="s">
        <v>2442</v>
      </c>
      <c r="AJ445" s="474" t="s">
        <v>1777</v>
      </c>
      <c r="AK445" s="494" t="s">
        <v>50</v>
      </c>
      <c r="AL445" s="474">
        <v>93308</v>
      </c>
      <c r="AM445" s="474" t="s">
        <v>52</v>
      </c>
      <c r="AN445" s="474" t="s">
        <v>1074</v>
      </c>
      <c r="AO445" s="474"/>
      <c r="AP445" s="486"/>
      <c r="AQ445" s="486" t="s">
        <v>37</v>
      </c>
      <c r="AR445" s="486"/>
      <c r="AS445" s="495"/>
      <c r="AT445" s="495"/>
      <c r="AU445" s="378"/>
      <c r="AV445" s="478"/>
    </row>
    <row r="446" spans="1:48" s="471" customFormat="1" ht="15" customHeight="1">
      <c r="A446" s="472"/>
      <c r="B446" s="514">
        <v>44557</v>
      </c>
      <c r="C446" s="472"/>
      <c r="D446" s="512" t="s">
        <v>2322</v>
      </c>
      <c r="E446" s="501" t="s">
        <v>2726</v>
      </c>
      <c r="F446" s="501"/>
      <c r="G446" s="501">
        <v>2022</v>
      </c>
      <c r="H446" s="501" t="s">
        <v>1676</v>
      </c>
      <c r="I446" s="512" t="s">
        <v>1676</v>
      </c>
      <c r="J446" s="502"/>
      <c r="K446" s="503" t="s">
        <v>4427</v>
      </c>
      <c r="L446" s="501" t="s">
        <v>2459</v>
      </c>
      <c r="M446" s="504">
        <v>44545</v>
      </c>
      <c r="N446" s="504">
        <v>44850</v>
      </c>
      <c r="O446" s="504"/>
      <c r="P446" s="370"/>
      <c r="Q446" s="502"/>
      <c r="R446" s="502"/>
      <c r="S446" s="501" t="s">
        <v>1563</v>
      </c>
      <c r="T446" s="501">
        <v>60</v>
      </c>
      <c r="U446" s="371">
        <v>49401140</v>
      </c>
      <c r="V446" s="501" t="s">
        <v>2855</v>
      </c>
      <c r="W446" s="501">
        <v>400</v>
      </c>
      <c r="X446" s="505">
        <v>768</v>
      </c>
      <c r="Y446" s="477">
        <f t="shared" si="93"/>
        <v>307200</v>
      </c>
      <c r="Z446" s="478">
        <v>0.52500000000000002</v>
      </c>
      <c r="AA446" s="492">
        <f t="shared" si="96"/>
        <v>161280</v>
      </c>
      <c r="AB446" s="480"/>
      <c r="AC446" s="481">
        <f t="shared" si="92"/>
        <v>0</v>
      </c>
      <c r="AD446" s="490"/>
      <c r="AE446" s="482"/>
      <c r="AF446" s="493">
        <f t="shared" si="94"/>
        <v>161280</v>
      </c>
      <c r="AG446" s="474" t="s">
        <v>1071</v>
      </c>
      <c r="AH446" s="474"/>
      <c r="AI446" s="483">
        <v>60</v>
      </c>
      <c r="AJ446" s="474" t="s">
        <v>1777</v>
      </c>
      <c r="AK446" s="494" t="s">
        <v>50</v>
      </c>
      <c r="AL446" s="474">
        <v>93308</v>
      </c>
      <c r="AM446" s="474" t="s">
        <v>52</v>
      </c>
      <c r="AN446" s="474" t="s">
        <v>1074</v>
      </c>
      <c r="AO446" s="474"/>
      <c r="AP446" s="486"/>
      <c r="AQ446" s="486" t="s">
        <v>37</v>
      </c>
      <c r="AR446" s="486"/>
      <c r="AS446" s="495"/>
      <c r="AT446" s="495"/>
      <c r="AU446" s="378"/>
      <c r="AV446" s="478"/>
    </row>
    <row r="447" spans="1:48" s="471" customFormat="1" ht="15" customHeight="1">
      <c r="A447" s="472"/>
      <c r="B447" s="514">
        <v>44557</v>
      </c>
      <c r="C447" s="472"/>
      <c r="D447" s="512" t="s">
        <v>2322</v>
      </c>
      <c r="E447" s="501" t="s">
        <v>2726</v>
      </c>
      <c r="F447" s="501"/>
      <c r="G447" s="501">
        <v>2022</v>
      </c>
      <c r="H447" s="501" t="s">
        <v>1676</v>
      </c>
      <c r="I447" s="512" t="s">
        <v>1676</v>
      </c>
      <c r="J447" s="502"/>
      <c r="K447" s="503" t="s">
        <v>4428</v>
      </c>
      <c r="L447" s="501" t="s">
        <v>2459</v>
      </c>
      <c r="M447" s="504">
        <v>44545</v>
      </c>
      <c r="N447" s="504">
        <v>44876</v>
      </c>
      <c r="O447" s="504"/>
      <c r="P447" s="370"/>
      <c r="Q447" s="502"/>
      <c r="R447" s="502"/>
      <c r="S447" s="501" t="s">
        <v>1563</v>
      </c>
      <c r="T447" s="501">
        <v>60</v>
      </c>
      <c r="U447" s="371">
        <v>49401140</v>
      </c>
      <c r="V447" s="501" t="s">
        <v>2482</v>
      </c>
      <c r="W447" s="501">
        <v>400</v>
      </c>
      <c r="X447" s="505">
        <v>768</v>
      </c>
      <c r="Y447" s="477">
        <f t="shared" si="93"/>
        <v>307200</v>
      </c>
      <c r="Z447" s="478">
        <v>0.52500000000000002</v>
      </c>
      <c r="AA447" s="492">
        <f t="shared" si="96"/>
        <v>161280</v>
      </c>
      <c r="AB447" s="480"/>
      <c r="AC447" s="481">
        <f t="shared" si="92"/>
        <v>0</v>
      </c>
      <c r="AD447" s="490"/>
      <c r="AE447" s="482"/>
      <c r="AF447" s="493">
        <f t="shared" si="94"/>
        <v>161280</v>
      </c>
      <c r="AG447" s="474" t="s">
        <v>1071</v>
      </c>
      <c r="AH447" s="474"/>
      <c r="AI447" s="483" t="s">
        <v>2442</v>
      </c>
      <c r="AJ447" s="474" t="s">
        <v>1777</v>
      </c>
      <c r="AK447" s="494" t="s">
        <v>50</v>
      </c>
      <c r="AL447" s="474">
        <v>93308</v>
      </c>
      <c r="AM447" s="474" t="s">
        <v>52</v>
      </c>
      <c r="AN447" s="474" t="s">
        <v>1074</v>
      </c>
      <c r="AO447" s="474"/>
      <c r="AP447" s="486"/>
      <c r="AQ447" s="486" t="s">
        <v>37</v>
      </c>
      <c r="AR447" s="486"/>
      <c r="AS447" s="495"/>
      <c r="AT447" s="495"/>
      <c r="AU447" s="378"/>
      <c r="AV447" s="478"/>
    </row>
    <row r="448" spans="1:48" s="471" customFormat="1" ht="15" customHeight="1">
      <c r="A448" s="472"/>
      <c r="B448" s="514">
        <v>44557</v>
      </c>
      <c r="C448" s="472"/>
      <c r="D448" s="512" t="s">
        <v>2322</v>
      </c>
      <c r="E448" s="501" t="s">
        <v>2726</v>
      </c>
      <c r="F448" s="501"/>
      <c r="G448" s="501">
        <v>2022</v>
      </c>
      <c r="H448" s="501" t="s">
        <v>1676</v>
      </c>
      <c r="I448" s="512" t="s">
        <v>1676</v>
      </c>
      <c r="J448" s="502"/>
      <c r="K448" s="503" t="s">
        <v>4429</v>
      </c>
      <c r="L448" s="501" t="s">
        <v>2459</v>
      </c>
      <c r="M448" s="504">
        <v>44545</v>
      </c>
      <c r="N448" s="504">
        <v>44896</v>
      </c>
      <c r="O448" s="504"/>
      <c r="P448" s="370"/>
      <c r="Q448" s="502"/>
      <c r="R448" s="502"/>
      <c r="S448" s="501" t="s">
        <v>1563</v>
      </c>
      <c r="T448" s="501">
        <v>60</v>
      </c>
      <c r="U448" s="371">
        <v>49401140</v>
      </c>
      <c r="V448" s="501" t="s">
        <v>2482</v>
      </c>
      <c r="W448" s="501">
        <v>400</v>
      </c>
      <c r="X448" s="505">
        <v>768</v>
      </c>
      <c r="Y448" s="477">
        <f t="shared" si="93"/>
        <v>307200</v>
      </c>
      <c r="Z448" s="478">
        <v>0.52500000000000002</v>
      </c>
      <c r="AA448" s="492">
        <f t="shared" si="96"/>
        <v>161280</v>
      </c>
      <c r="AB448" s="480"/>
      <c r="AC448" s="481">
        <f t="shared" si="92"/>
        <v>0</v>
      </c>
      <c r="AD448" s="490"/>
      <c r="AE448" s="482"/>
      <c r="AF448" s="493">
        <f t="shared" si="94"/>
        <v>161280</v>
      </c>
      <c r="AG448" s="474" t="s">
        <v>1071</v>
      </c>
      <c r="AH448" s="474"/>
      <c r="AI448" s="483" t="s">
        <v>2442</v>
      </c>
      <c r="AJ448" s="474" t="s">
        <v>1777</v>
      </c>
      <c r="AK448" s="494" t="s">
        <v>50</v>
      </c>
      <c r="AL448" s="474">
        <v>93308</v>
      </c>
      <c r="AM448" s="474" t="s">
        <v>52</v>
      </c>
      <c r="AN448" s="474" t="s">
        <v>1074</v>
      </c>
      <c r="AO448" s="474"/>
      <c r="AP448" s="486"/>
      <c r="AQ448" s="486" t="s">
        <v>37</v>
      </c>
      <c r="AR448" s="486"/>
      <c r="AS448" s="495"/>
      <c r="AT448" s="495"/>
      <c r="AU448" s="378"/>
      <c r="AV448" s="478"/>
    </row>
    <row r="449" spans="1:48" s="471" customFormat="1" ht="15" customHeight="1">
      <c r="A449" s="472"/>
      <c r="B449" s="514">
        <v>44557</v>
      </c>
      <c r="C449" s="472"/>
      <c r="D449" s="512" t="s">
        <v>2322</v>
      </c>
      <c r="E449" s="501" t="s">
        <v>2726</v>
      </c>
      <c r="F449" s="501"/>
      <c r="G449" s="501">
        <v>2022</v>
      </c>
      <c r="H449" s="501" t="s">
        <v>1676</v>
      </c>
      <c r="I449" s="512" t="s">
        <v>1676</v>
      </c>
      <c r="J449" s="502"/>
      <c r="K449" s="503" t="s">
        <v>4430</v>
      </c>
      <c r="L449" s="501" t="s">
        <v>2459</v>
      </c>
      <c r="M449" s="504">
        <v>44545</v>
      </c>
      <c r="N449" s="504">
        <v>44898</v>
      </c>
      <c r="O449" s="504"/>
      <c r="P449" s="370"/>
      <c r="Q449" s="502"/>
      <c r="R449" s="502"/>
      <c r="S449" s="501" t="s">
        <v>1563</v>
      </c>
      <c r="T449" s="501">
        <v>60</v>
      </c>
      <c r="U449" s="371">
        <v>49401140</v>
      </c>
      <c r="V449" s="501" t="s">
        <v>2482</v>
      </c>
      <c r="W449" s="501">
        <v>400</v>
      </c>
      <c r="X449" s="505">
        <v>768</v>
      </c>
      <c r="Y449" s="477">
        <f t="shared" si="93"/>
        <v>307200</v>
      </c>
      <c r="Z449" s="478">
        <v>0.52500000000000002</v>
      </c>
      <c r="AA449" s="492">
        <f t="shared" si="96"/>
        <v>161280</v>
      </c>
      <c r="AB449" s="480"/>
      <c r="AC449" s="481">
        <f t="shared" ref="AC449:AC512" si="97">AB449*Y449</f>
        <v>0</v>
      </c>
      <c r="AD449" s="490"/>
      <c r="AE449" s="482"/>
      <c r="AF449" s="493">
        <f t="shared" si="94"/>
        <v>161280</v>
      </c>
      <c r="AG449" s="474" t="s">
        <v>1071</v>
      </c>
      <c r="AH449" s="474"/>
      <c r="AI449" s="483" t="s">
        <v>2442</v>
      </c>
      <c r="AJ449" s="474" t="s">
        <v>1777</v>
      </c>
      <c r="AK449" s="494" t="s">
        <v>50</v>
      </c>
      <c r="AL449" s="474">
        <v>93308</v>
      </c>
      <c r="AM449" s="474" t="s">
        <v>52</v>
      </c>
      <c r="AN449" s="474" t="s">
        <v>1074</v>
      </c>
      <c r="AO449" s="474"/>
      <c r="AP449" s="486"/>
      <c r="AQ449" s="486" t="s">
        <v>37</v>
      </c>
      <c r="AR449" s="486"/>
      <c r="AS449" s="495"/>
      <c r="AT449" s="495"/>
      <c r="AU449" s="378"/>
      <c r="AV449" s="478"/>
    </row>
    <row r="450" spans="1:48" s="471" customFormat="1" ht="15" customHeight="1">
      <c r="A450" s="472"/>
      <c r="B450" s="514">
        <v>44557</v>
      </c>
      <c r="C450" s="472"/>
      <c r="D450" s="512" t="s">
        <v>2322</v>
      </c>
      <c r="E450" s="501" t="s">
        <v>2726</v>
      </c>
      <c r="F450" s="501"/>
      <c r="G450" s="501">
        <v>2022</v>
      </c>
      <c r="H450" s="501" t="s">
        <v>1676</v>
      </c>
      <c r="I450" s="512" t="s">
        <v>1676</v>
      </c>
      <c r="J450" s="502"/>
      <c r="K450" s="503" t="s">
        <v>4431</v>
      </c>
      <c r="L450" s="501" t="s">
        <v>2459</v>
      </c>
      <c r="M450" s="504">
        <v>44545</v>
      </c>
      <c r="N450" s="504">
        <v>44901</v>
      </c>
      <c r="O450" s="504"/>
      <c r="P450" s="370"/>
      <c r="Q450" s="502"/>
      <c r="R450" s="502"/>
      <c r="S450" s="501" t="s">
        <v>1563</v>
      </c>
      <c r="T450" s="501">
        <v>60</v>
      </c>
      <c r="U450" s="371">
        <v>49401140</v>
      </c>
      <c r="V450" s="501" t="s">
        <v>2482</v>
      </c>
      <c r="W450" s="501">
        <v>400</v>
      </c>
      <c r="X450" s="505">
        <v>768</v>
      </c>
      <c r="Y450" s="477">
        <f t="shared" si="93"/>
        <v>307200</v>
      </c>
      <c r="Z450" s="478">
        <v>0.52500000000000002</v>
      </c>
      <c r="AA450" s="492">
        <f t="shared" si="96"/>
        <v>161280</v>
      </c>
      <c r="AB450" s="480"/>
      <c r="AC450" s="481">
        <f t="shared" si="97"/>
        <v>0</v>
      </c>
      <c r="AD450" s="490"/>
      <c r="AE450" s="482"/>
      <c r="AF450" s="493">
        <f t="shared" si="94"/>
        <v>161280</v>
      </c>
      <c r="AG450" s="474" t="s">
        <v>1071</v>
      </c>
      <c r="AH450" s="474"/>
      <c r="AI450" s="483" t="s">
        <v>2442</v>
      </c>
      <c r="AJ450" s="474" t="s">
        <v>1777</v>
      </c>
      <c r="AK450" s="494" t="s">
        <v>50</v>
      </c>
      <c r="AL450" s="474">
        <v>93308</v>
      </c>
      <c r="AM450" s="474" t="s">
        <v>52</v>
      </c>
      <c r="AN450" s="474" t="s">
        <v>1074</v>
      </c>
      <c r="AO450" s="474"/>
      <c r="AP450" s="486"/>
      <c r="AQ450" s="486" t="s">
        <v>37</v>
      </c>
      <c r="AR450" s="486"/>
      <c r="AS450" s="495"/>
      <c r="AT450" s="495"/>
      <c r="AU450" s="378"/>
      <c r="AV450" s="478"/>
    </row>
    <row r="451" spans="1:48" s="471" customFormat="1" ht="15" customHeight="1">
      <c r="A451" s="472"/>
      <c r="B451" s="514">
        <v>44557</v>
      </c>
      <c r="C451" s="472"/>
      <c r="D451" s="512" t="s">
        <v>2322</v>
      </c>
      <c r="E451" s="501" t="s">
        <v>2726</v>
      </c>
      <c r="F451" s="501"/>
      <c r="G451" s="501">
        <v>2022</v>
      </c>
      <c r="H451" s="501" t="s">
        <v>1676</v>
      </c>
      <c r="I451" s="512" t="s">
        <v>1676</v>
      </c>
      <c r="J451" s="502"/>
      <c r="K451" s="503" t="s">
        <v>4432</v>
      </c>
      <c r="L451" s="501" t="s">
        <v>2459</v>
      </c>
      <c r="M451" s="504">
        <v>44545</v>
      </c>
      <c r="N451" s="504">
        <v>44782</v>
      </c>
      <c r="O451" s="504"/>
      <c r="P451" s="370"/>
      <c r="Q451" s="502"/>
      <c r="R451" s="502"/>
      <c r="S451" s="501" t="s">
        <v>1563</v>
      </c>
      <c r="T451" s="501">
        <v>60</v>
      </c>
      <c r="U451" s="371">
        <v>49401140</v>
      </c>
      <c r="V451" s="501" t="s">
        <v>2482</v>
      </c>
      <c r="W451" s="501">
        <v>400</v>
      </c>
      <c r="X451" s="505">
        <v>768</v>
      </c>
      <c r="Y451" s="477">
        <f t="shared" si="93"/>
        <v>307200</v>
      </c>
      <c r="Z451" s="478">
        <v>0.52500000000000002</v>
      </c>
      <c r="AA451" s="492">
        <f t="shared" si="96"/>
        <v>161280</v>
      </c>
      <c r="AB451" s="480"/>
      <c r="AC451" s="481">
        <f t="shared" si="97"/>
        <v>0</v>
      </c>
      <c r="AD451" s="490"/>
      <c r="AE451" s="482"/>
      <c r="AF451" s="493">
        <f t="shared" si="94"/>
        <v>161280</v>
      </c>
      <c r="AG451" s="474" t="s">
        <v>1071</v>
      </c>
      <c r="AH451" s="474"/>
      <c r="AI451" s="483" t="s">
        <v>2442</v>
      </c>
      <c r="AJ451" s="474" t="s">
        <v>1777</v>
      </c>
      <c r="AK451" s="494" t="s">
        <v>50</v>
      </c>
      <c r="AL451" s="474">
        <v>93308</v>
      </c>
      <c r="AM451" s="474" t="s">
        <v>52</v>
      </c>
      <c r="AN451" s="474" t="s">
        <v>1074</v>
      </c>
      <c r="AO451" s="474"/>
      <c r="AP451" s="486"/>
      <c r="AQ451" s="486"/>
      <c r="AR451" s="486"/>
      <c r="AS451" s="495"/>
      <c r="AT451" s="495"/>
      <c r="AU451" s="378"/>
      <c r="AV451" s="478"/>
    </row>
    <row r="452" spans="1:48" s="471" customFormat="1" ht="15" customHeight="1">
      <c r="A452" s="472"/>
      <c r="B452" s="514">
        <v>44557</v>
      </c>
      <c r="C452" s="472"/>
      <c r="D452" s="512" t="s">
        <v>2322</v>
      </c>
      <c r="E452" s="501" t="s">
        <v>2726</v>
      </c>
      <c r="F452" s="501"/>
      <c r="G452" s="501">
        <v>2022</v>
      </c>
      <c r="H452" s="501" t="s">
        <v>1676</v>
      </c>
      <c r="I452" s="512" t="s">
        <v>1676</v>
      </c>
      <c r="J452" s="502"/>
      <c r="K452" s="503" t="s">
        <v>4433</v>
      </c>
      <c r="L452" s="501" t="s">
        <v>2459</v>
      </c>
      <c r="M452" s="504">
        <v>44545</v>
      </c>
      <c r="N452" s="504">
        <v>44908</v>
      </c>
      <c r="O452" s="504"/>
      <c r="P452" s="370"/>
      <c r="Q452" s="502"/>
      <c r="R452" s="502"/>
      <c r="S452" s="501" t="s">
        <v>1563</v>
      </c>
      <c r="T452" s="501">
        <v>60</v>
      </c>
      <c r="U452" s="371">
        <v>49401140</v>
      </c>
      <c r="V452" s="501" t="s">
        <v>2482</v>
      </c>
      <c r="W452" s="501">
        <v>400</v>
      </c>
      <c r="X452" s="505">
        <v>768</v>
      </c>
      <c r="Y452" s="477">
        <f t="shared" si="93"/>
        <v>307200</v>
      </c>
      <c r="Z452" s="478">
        <v>0.52500000000000002</v>
      </c>
      <c r="AA452" s="492">
        <f t="shared" si="96"/>
        <v>161280</v>
      </c>
      <c r="AB452" s="480"/>
      <c r="AC452" s="481">
        <f t="shared" si="97"/>
        <v>0</v>
      </c>
      <c r="AD452" s="490"/>
      <c r="AE452" s="482"/>
      <c r="AF452" s="493">
        <f t="shared" si="94"/>
        <v>161280</v>
      </c>
      <c r="AG452" s="474" t="s">
        <v>1071</v>
      </c>
      <c r="AH452" s="474"/>
      <c r="AI452" s="483" t="s">
        <v>2442</v>
      </c>
      <c r="AJ452" s="474" t="s">
        <v>1777</v>
      </c>
      <c r="AK452" s="494" t="s">
        <v>50</v>
      </c>
      <c r="AL452" s="474">
        <v>93308</v>
      </c>
      <c r="AM452" s="474" t="s">
        <v>52</v>
      </c>
      <c r="AN452" s="474" t="s">
        <v>1074</v>
      </c>
      <c r="AO452" s="474"/>
      <c r="AP452" s="486"/>
      <c r="AQ452" s="486" t="s">
        <v>37</v>
      </c>
      <c r="AR452" s="486"/>
      <c r="AS452" s="495"/>
      <c r="AT452" s="495"/>
      <c r="AU452" s="378"/>
      <c r="AV452" s="478"/>
    </row>
    <row r="453" spans="1:48" s="471" customFormat="1" ht="15" customHeight="1">
      <c r="A453" s="472"/>
      <c r="B453" s="514">
        <v>44522</v>
      </c>
      <c r="C453" s="472"/>
      <c r="D453" s="512" t="s">
        <v>2322</v>
      </c>
      <c r="E453" s="501" t="s">
        <v>2726</v>
      </c>
      <c r="F453" s="501"/>
      <c r="G453" s="501">
        <v>2022</v>
      </c>
      <c r="H453" s="501" t="s">
        <v>1676</v>
      </c>
      <c r="I453" s="512" t="s">
        <v>1676</v>
      </c>
      <c r="J453" s="502"/>
      <c r="K453" s="503" t="s">
        <v>4434</v>
      </c>
      <c r="L453" s="501" t="s">
        <v>2459</v>
      </c>
      <c r="M453" s="504">
        <v>44505</v>
      </c>
      <c r="N453" s="504">
        <v>44727</v>
      </c>
      <c r="O453" s="504"/>
      <c r="P453" s="370"/>
      <c r="Q453" s="502"/>
      <c r="R453" s="502"/>
      <c r="S453" s="501" t="s">
        <v>1563</v>
      </c>
      <c r="T453" s="501">
        <v>60</v>
      </c>
      <c r="U453" s="371">
        <v>49401140</v>
      </c>
      <c r="V453" s="501" t="s">
        <v>973</v>
      </c>
      <c r="W453" s="501">
        <v>400</v>
      </c>
      <c r="X453" s="505">
        <v>768</v>
      </c>
      <c r="Y453" s="477">
        <f t="shared" si="93"/>
        <v>307200</v>
      </c>
      <c r="Z453" s="478">
        <f>210/400</f>
        <v>0.52500000000000002</v>
      </c>
      <c r="AA453" s="492">
        <f t="shared" si="96"/>
        <v>161280</v>
      </c>
      <c r="AB453" s="480"/>
      <c r="AC453" s="481">
        <f t="shared" si="97"/>
        <v>0</v>
      </c>
      <c r="AD453" s="490"/>
      <c r="AE453" s="482"/>
      <c r="AF453" s="493">
        <f t="shared" si="94"/>
        <v>161280</v>
      </c>
      <c r="AG453" s="474" t="s">
        <v>1071</v>
      </c>
      <c r="AH453" s="474"/>
      <c r="AI453" s="483" t="s">
        <v>2442</v>
      </c>
      <c r="AJ453" s="474" t="s">
        <v>2472</v>
      </c>
      <c r="AK453" s="494" t="s">
        <v>1133</v>
      </c>
      <c r="AL453" s="474" t="s">
        <v>2578</v>
      </c>
      <c r="AM453" s="474" t="s">
        <v>52</v>
      </c>
      <c r="AN453" s="474"/>
      <c r="AO453" s="474"/>
      <c r="AP453" s="486"/>
      <c r="AQ453" s="486" t="s">
        <v>37</v>
      </c>
      <c r="AR453" s="486"/>
      <c r="AS453" s="495"/>
      <c r="AT453" s="495"/>
      <c r="AU453" s="378"/>
      <c r="AV453" s="478"/>
    </row>
    <row r="454" spans="1:48" s="471" customFormat="1" ht="15" customHeight="1">
      <c r="A454" s="472"/>
      <c r="B454" s="514">
        <v>44522</v>
      </c>
      <c r="C454" s="472"/>
      <c r="D454" s="512" t="s">
        <v>2322</v>
      </c>
      <c r="E454" s="501" t="s">
        <v>2726</v>
      </c>
      <c r="F454" s="501"/>
      <c r="G454" s="501">
        <v>2022</v>
      </c>
      <c r="H454" s="501" t="s">
        <v>1676</v>
      </c>
      <c r="I454" s="512" t="s">
        <v>1676</v>
      </c>
      <c r="J454" s="502"/>
      <c r="K454" s="503" t="s">
        <v>4435</v>
      </c>
      <c r="L454" s="501" t="s">
        <v>2459</v>
      </c>
      <c r="M454" s="504">
        <v>44505</v>
      </c>
      <c r="N454" s="504">
        <v>44658</v>
      </c>
      <c r="O454" s="504"/>
      <c r="P454" s="370"/>
      <c r="Q454" s="502"/>
      <c r="R454" s="502"/>
      <c r="S454" s="501" t="s">
        <v>1563</v>
      </c>
      <c r="T454" s="501">
        <v>60</v>
      </c>
      <c r="U454" s="371">
        <v>49201132</v>
      </c>
      <c r="V454" s="501" t="s">
        <v>986</v>
      </c>
      <c r="W454" s="501">
        <v>360</v>
      </c>
      <c r="X454" s="505">
        <v>832</v>
      </c>
      <c r="Y454" s="477">
        <f t="shared" si="93"/>
        <v>299520</v>
      </c>
      <c r="Z454" s="478">
        <f t="shared" ref="Z454:Z459" si="98">181.8/360</f>
        <v>0.505</v>
      </c>
      <c r="AA454" s="492">
        <f t="shared" si="96"/>
        <v>151257.60000000001</v>
      </c>
      <c r="AB454" s="480"/>
      <c r="AC454" s="481">
        <f t="shared" si="97"/>
        <v>0</v>
      </c>
      <c r="AD454" s="490"/>
      <c r="AE454" s="482"/>
      <c r="AF454" s="493">
        <f t="shared" si="94"/>
        <v>151257.60000000001</v>
      </c>
      <c r="AG454" s="474" t="s">
        <v>1071</v>
      </c>
      <c r="AH454" s="474"/>
      <c r="AI454" s="483" t="s">
        <v>2442</v>
      </c>
      <c r="AJ454" s="474" t="s">
        <v>2472</v>
      </c>
      <c r="AK454" s="494" t="s">
        <v>1133</v>
      </c>
      <c r="AL454" s="474" t="s">
        <v>2578</v>
      </c>
      <c r="AM454" s="474" t="s">
        <v>52</v>
      </c>
      <c r="AN454" s="474"/>
      <c r="AO454" s="474"/>
      <c r="AP454" s="486"/>
      <c r="AQ454" s="486" t="s">
        <v>37</v>
      </c>
      <c r="AR454" s="486"/>
      <c r="AS454" s="495"/>
      <c r="AT454" s="495"/>
      <c r="AU454" s="378"/>
      <c r="AV454" s="478"/>
    </row>
    <row r="455" spans="1:48" s="471" customFormat="1" ht="15" customHeight="1">
      <c r="A455" s="472"/>
      <c r="B455" s="514">
        <v>44522</v>
      </c>
      <c r="C455" s="472"/>
      <c r="D455" s="512" t="s">
        <v>2322</v>
      </c>
      <c r="E455" s="501" t="s">
        <v>2726</v>
      </c>
      <c r="F455" s="501"/>
      <c r="G455" s="501">
        <v>2022</v>
      </c>
      <c r="H455" s="501" t="s">
        <v>1676</v>
      </c>
      <c r="I455" s="512" t="s">
        <v>1676</v>
      </c>
      <c r="J455" s="502"/>
      <c r="K455" s="503" t="s">
        <v>4436</v>
      </c>
      <c r="L455" s="501" t="s">
        <v>2459</v>
      </c>
      <c r="M455" s="504">
        <v>44505</v>
      </c>
      <c r="N455" s="504">
        <v>44666</v>
      </c>
      <c r="O455" s="504"/>
      <c r="P455" s="370"/>
      <c r="Q455" s="502"/>
      <c r="R455" s="502"/>
      <c r="S455" s="501" t="s">
        <v>1563</v>
      </c>
      <c r="T455" s="501">
        <v>60</v>
      </c>
      <c r="U455" s="371">
        <v>49201132</v>
      </c>
      <c r="V455" s="501" t="s">
        <v>986</v>
      </c>
      <c r="W455" s="501">
        <v>360</v>
      </c>
      <c r="X455" s="505">
        <v>832</v>
      </c>
      <c r="Y455" s="477">
        <f t="shared" si="93"/>
        <v>299520</v>
      </c>
      <c r="Z455" s="478">
        <f t="shared" si="98"/>
        <v>0.505</v>
      </c>
      <c r="AA455" s="492">
        <f t="shared" si="96"/>
        <v>151257.60000000001</v>
      </c>
      <c r="AB455" s="480"/>
      <c r="AC455" s="481">
        <f t="shared" si="97"/>
        <v>0</v>
      </c>
      <c r="AD455" s="490"/>
      <c r="AE455" s="482"/>
      <c r="AF455" s="493">
        <f t="shared" si="94"/>
        <v>151257.60000000001</v>
      </c>
      <c r="AG455" s="474" t="s">
        <v>1071</v>
      </c>
      <c r="AH455" s="474"/>
      <c r="AI455" s="483" t="s">
        <v>2442</v>
      </c>
      <c r="AJ455" s="474" t="s">
        <v>2472</v>
      </c>
      <c r="AK455" s="494" t="s">
        <v>1133</v>
      </c>
      <c r="AL455" s="474" t="s">
        <v>2578</v>
      </c>
      <c r="AM455" s="474" t="s">
        <v>52</v>
      </c>
      <c r="AN455" s="474"/>
      <c r="AO455" s="474"/>
      <c r="AP455" s="486"/>
      <c r="AQ455" s="486" t="s">
        <v>37</v>
      </c>
      <c r="AR455" s="486"/>
      <c r="AS455" s="495"/>
      <c r="AT455" s="495"/>
      <c r="AU455" s="378"/>
      <c r="AV455" s="478"/>
    </row>
    <row r="456" spans="1:48" s="471" customFormat="1" ht="15" customHeight="1">
      <c r="A456" s="472"/>
      <c r="B456" s="514">
        <v>44522</v>
      </c>
      <c r="C456" s="472"/>
      <c r="D456" s="512" t="s">
        <v>2322</v>
      </c>
      <c r="E456" s="501" t="s">
        <v>2726</v>
      </c>
      <c r="F456" s="501"/>
      <c r="G456" s="501">
        <v>2022</v>
      </c>
      <c r="H456" s="501" t="s">
        <v>1676</v>
      </c>
      <c r="I456" s="512" t="s">
        <v>1676</v>
      </c>
      <c r="J456" s="502"/>
      <c r="K456" s="503" t="s">
        <v>4437</v>
      </c>
      <c r="L456" s="501" t="s">
        <v>2459</v>
      </c>
      <c r="M456" s="504">
        <v>44505</v>
      </c>
      <c r="N456" s="504">
        <v>44685</v>
      </c>
      <c r="O456" s="504"/>
      <c r="P456" s="370"/>
      <c r="Q456" s="502"/>
      <c r="R456" s="502"/>
      <c r="S456" s="501" t="s">
        <v>1563</v>
      </c>
      <c r="T456" s="501">
        <v>60</v>
      </c>
      <c r="U456" s="371">
        <v>49201132</v>
      </c>
      <c r="V456" s="501" t="s">
        <v>986</v>
      </c>
      <c r="W456" s="501">
        <v>360</v>
      </c>
      <c r="X456" s="505">
        <v>832</v>
      </c>
      <c r="Y456" s="477">
        <f t="shared" si="93"/>
        <v>299520</v>
      </c>
      <c r="Z456" s="478">
        <f t="shared" si="98"/>
        <v>0.505</v>
      </c>
      <c r="AA456" s="492">
        <f t="shared" si="96"/>
        <v>151257.60000000001</v>
      </c>
      <c r="AB456" s="480"/>
      <c r="AC456" s="481">
        <f t="shared" si="97"/>
        <v>0</v>
      </c>
      <c r="AD456" s="490"/>
      <c r="AE456" s="482"/>
      <c r="AF456" s="493">
        <f t="shared" si="94"/>
        <v>151257.60000000001</v>
      </c>
      <c r="AG456" s="474" t="s">
        <v>1071</v>
      </c>
      <c r="AH456" s="474"/>
      <c r="AI456" s="483" t="s">
        <v>2442</v>
      </c>
      <c r="AJ456" s="474" t="s">
        <v>2472</v>
      </c>
      <c r="AK456" s="494" t="s">
        <v>1133</v>
      </c>
      <c r="AL456" s="474" t="s">
        <v>2578</v>
      </c>
      <c r="AM456" s="474" t="s">
        <v>52</v>
      </c>
      <c r="AN456" s="474"/>
      <c r="AO456" s="474"/>
      <c r="AP456" s="486"/>
      <c r="AQ456" s="486" t="s">
        <v>37</v>
      </c>
      <c r="AR456" s="486"/>
      <c r="AS456" s="495"/>
      <c r="AT456" s="495"/>
      <c r="AU456" s="378"/>
      <c r="AV456" s="478"/>
    </row>
    <row r="457" spans="1:48" s="471" customFormat="1" ht="15" customHeight="1">
      <c r="A457" s="472"/>
      <c r="B457" s="514">
        <v>44522</v>
      </c>
      <c r="C457" s="472"/>
      <c r="D457" s="512" t="s">
        <v>2322</v>
      </c>
      <c r="E457" s="501" t="s">
        <v>2726</v>
      </c>
      <c r="F457" s="501"/>
      <c r="G457" s="501">
        <v>2022</v>
      </c>
      <c r="H457" s="501" t="s">
        <v>1676</v>
      </c>
      <c r="I457" s="512" t="s">
        <v>1676</v>
      </c>
      <c r="J457" s="502"/>
      <c r="K457" s="503" t="s">
        <v>4438</v>
      </c>
      <c r="L457" s="501" t="s">
        <v>2459</v>
      </c>
      <c r="M457" s="504">
        <v>44505</v>
      </c>
      <c r="N457" s="504">
        <v>44693</v>
      </c>
      <c r="O457" s="504"/>
      <c r="P457" s="370"/>
      <c r="Q457" s="502"/>
      <c r="R457" s="502"/>
      <c r="S457" s="501" t="s">
        <v>1563</v>
      </c>
      <c r="T457" s="501">
        <v>60</v>
      </c>
      <c r="U457" s="371">
        <v>49201132</v>
      </c>
      <c r="V457" s="501" t="s">
        <v>986</v>
      </c>
      <c r="W457" s="501">
        <v>360</v>
      </c>
      <c r="X457" s="505">
        <v>832</v>
      </c>
      <c r="Y457" s="477">
        <f t="shared" si="93"/>
        <v>299520</v>
      </c>
      <c r="Z457" s="478">
        <f t="shared" si="98"/>
        <v>0.505</v>
      </c>
      <c r="AA457" s="492">
        <f t="shared" si="96"/>
        <v>151257.60000000001</v>
      </c>
      <c r="AB457" s="480"/>
      <c r="AC457" s="481">
        <f t="shared" si="97"/>
        <v>0</v>
      </c>
      <c r="AD457" s="490"/>
      <c r="AE457" s="482"/>
      <c r="AF457" s="493">
        <f t="shared" si="94"/>
        <v>151257.60000000001</v>
      </c>
      <c r="AG457" s="474" t="s">
        <v>1071</v>
      </c>
      <c r="AH457" s="474"/>
      <c r="AI457" s="483" t="s">
        <v>2442</v>
      </c>
      <c r="AJ457" s="474" t="s">
        <v>2472</v>
      </c>
      <c r="AK457" s="494" t="s">
        <v>1133</v>
      </c>
      <c r="AL457" s="474" t="s">
        <v>2578</v>
      </c>
      <c r="AM457" s="474" t="s">
        <v>52</v>
      </c>
      <c r="AN457" s="474"/>
      <c r="AO457" s="474"/>
      <c r="AP457" s="486"/>
      <c r="AQ457" s="486" t="s">
        <v>37</v>
      </c>
      <c r="AR457" s="486"/>
      <c r="AS457" s="495"/>
      <c r="AT457" s="495"/>
      <c r="AU457" s="378"/>
      <c r="AV457" s="478"/>
    </row>
    <row r="458" spans="1:48" s="471" customFormat="1" ht="15" customHeight="1">
      <c r="A458" s="472"/>
      <c r="B458" s="514">
        <v>44522</v>
      </c>
      <c r="C458" s="472"/>
      <c r="D458" s="512" t="s">
        <v>2322</v>
      </c>
      <c r="E458" s="501" t="s">
        <v>2726</v>
      </c>
      <c r="F458" s="501"/>
      <c r="G458" s="501">
        <v>2022</v>
      </c>
      <c r="H458" s="501" t="s">
        <v>1676</v>
      </c>
      <c r="I458" s="512" t="s">
        <v>1676</v>
      </c>
      <c r="J458" s="502"/>
      <c r="K458" s="503" t="s">
        <v>4439</v>
      </c>
      <c r="L458" s="501" t="s">
        <v>2459</v>
      </c>
      <c r="M458" s="504">
        <v>44505</v>
      </c>
      <c r="N458" s="504">
        <v>44719</v>
      </c>
      <c r="O458" s="504"/>
      <c r="P458" s="370"/>
      <c r="Q458" s="502"/>
      <c r="R458" s="502"/>
      <c r="S458" s="501" t="s">
        <v>1563</v>
      </c>
      <c r="T458" s="501">
        <v>60</v>
      </c>
      <c r="U458" s="371">
        <v>49201132</v>
      </c>
      <c r="V458" s="501" t="s">
        <v>986</v>
      </c>
      <c r="W458" s="501">
        <v>360</v>
      </c>
      <c r="X458" s="505">
        <v>832</v>
      </c>
      <c r="Y458" s="477">
        <f t="shared" si="93"/>
        <v>299520</v>
      </c>
      <c r="Z458" s="478">
        <f t="shared" si="98"/>
        <v>0.505</v>
      </c>
      <c r="AA458" s="492">
        <f t="shared" si="96"/>
        <v>151257.60000000001</v>
      </c>
      <c r="AB458" s="480"/>
      <c r="AC458" s="481">
        <f t="shared" si="97"/>
        <v>0</v>
      </c>
      <c r="AD458" s="490"/>
      <c r="AE458" s="482"/>
      <c r="AF458" s="493">
        <f t="shared" si="94"/>
        <v>151257.60000000001</v>
      </c>
      <c r="AG458" s="474" t="s">
        <v>1071</v>
      </c>
      <c r="AH458" s="474"/>
      <c r="AI458" s="483" t="s">
        <v>2442</v>
      </c>
      <c r="AJ458" s="474" t="s">
        <v>2472</v>
      </c>
      <c r="AK458" s="494" t="s">
        <v>1133</v>
      </c>
      <c r="AL458" s="474" t="s">
        <v>2578</v>
      </c>
      <c r="AM458" s="474" t="s">
        <v>52</v>
      </c>
      <c r="AN458" s="474"/>
      <c r="AO458" s="474"/>
      <c r="AP458" s="486"/>
      <c r="AQ458" s="486" t="s">
        <v>37</v>
      </c>
      <c r="AR458" s="486"/>
      <c r="AS458" s="495"/>
      <c r="AT458" s="495"/>
      <c r="AU458" s="378"/>
      <c r="AV458" s="478"/>
    </row>
    <row r="459" spans="1:48" s="471" customFormat="1" ht="15" customHeight="1">
      <c r="A459" s="472"/>
      <c r="B459" s="514">
        <v>44522</v>
      </c>
      <c r="C459" s="472"/>
      <c r="D459" s="512" t="s">
        <v>2322</v>
      </c>
      <c r="E459" s="501" t="s">
        <v>2726</v>
      </c>
      <c r="F459" s="501"/>
      <c r="G459" s="501">
        <v>2022</v>
      </c>
      <c r="H459" s="501" t="s">
        <v>1676</v>
      </c>
      <c r="I459" s="512" t="s">
        <v>1676</v>
      </c>
      <c r="J459" s="502"/>
      <c r="K459" s="503" t="s">
        <v>4440</v>
      </c>
      <c r="L459" s="501" t="s">
        <v>2459</v>
      </c>
      <c r="M459" s="504">
        <v>44505</v>
      </c>
      <c r="N459" s="504">
        <v>44724</v>
      </c>
      <c r="O459" s="504"/>
      <c r="P459" s="370"/>
      <c r="Q459" s="502"/>
      <c r="R459" s="502"/>
      <c r="S459" s="501" t="s">
        <v>1563</v>
      </c>
      <c r="T459" s="501">
        <v>60</v>
      </c>
      <c r="U459" s="371">
        <v>49201132</v>
      </c>
      <c r="V459" s="501" t="s">
        <v>986</v>
      </c>
      <c r="W459" s="501">
        <v>360</v>
      </c>
      <c r="X459" s="505">
        <v>832</v>
      </c>
      <c r="Y459" s="477">
        <f t="shared" si="93"/>
        <v>299520</v>
      </c>
      <c r="Z459" s="478">
        <f t="shared" si="98"/>
        <v>0.505</v>
      </c>
      <c r="AA459" s="492">
        <f t="shared" si="96"/>
        <v>151257.60000000001</v>
      </c>
      <c r="AB459" s="480"/>
      <c r="AC459" s="481">
        <f t="shared" si="97"/>
        <v>0</v>
      </c>
      <c r="AD459" s="490"/>
      <c r="AE459" s="482"/>
      <c r="AF459" s="493">
        <f t="shared" si="94"/>
        <v>151257.60000000001</v>
      </c>
      <c r="AG459" s="474" t="s">
        <v>1071</v>
      </c>
      <c r="AH459" s="474"/>
      <c r="AI459" s="483" t="s">
        <v>2442</v>
      </c>
      <c r="AJ459" s="474" t="s">
        <v>2472</v>
      </c>
      <c r="AK459" s="494" t="s">
        <v>1133</v>
      </c>
      <c r="AL459" s="474" t="s">
        <v>2578</v>
      </c>
      <c r="AM459" s="474" t="s">
        <v>52</v>
      </c>
      <c r="AN459" s="474"/>
      <c r="AO459" s="474"/>
      <c r="AP459" s="486"/>
      <c r="AQ459" s="486" t="s">
        <v>37</v>
      </c>
      <c r="AR459" s="486"/>
      <c r="AS459" s="495"/>
      <c r="AT459" s="495"/>
      <c r="AU459" s="378"/>
      <c r="AV459" s="478"/>
    </row>
    <row r="460" spans="1:48" s="471" customFormat="1" ht="15" customHeight="1">
      <c r="A460" s="472"/>
      <c r="B460" s="514">
        <v>44599</v>
      </c>
      <c r="C460" s="472"/>
      <c r="D460" s="512" t="s">
        <v>2322</v>
      </c>
      <c r="E460" s="501" t="s">
        <v>2726</v>
      </c>
      <c r="F460" s="501"/>
      <c r="G460" s="501">
        <v>2022</v>
      </c>
      <c r="H460" s="501" t="s">
        <v>1676</v>
      </c>
      <c r="I460" s="512" t="s">
        <v>1676</v>
      </c>
      <c r="J460" s="502"/>
      <c r="K460" s="503" t="s">
        <v>4441</v>
      </c>
      <c r="L460" s="501" t="s">
        <v>2459</v>
      </c>
      <c r="M460" s="504">
        <v>44596</v>
      </c>
      <c r="N460" s="504">
        <v>44719</v>
      </c>
      <c r="O460" s="504"/>
      <c r="P460" s="370"/>
      <c r="Q460" s="502"/>
      <c r="R460" s="502"/>
      <c r="S460" s="501" t="s">
        <v>1563</v>
      </c>
      <c r="T460" s="501">
        <v>60</v>
      </c>
      <c r="U460" s="371">
        <v>49403140</v>
      </c>
      <c r="V460" s="501" t="s">
        <v>973</v>
      </c>
      <c r="W460" s="501">
        <v>400</v>
      </c>
      <c r="X460" s="505">
        <v>768</v>
      </c>
      <c r="Y460" s="477">
        <f t="shared" si="93"/>
        <v>307200</v>
      </c>
      <c r="Z460" s="478">
        <f>222/400</f>
        <v>0.55500000000000005</v>
      </c>
      <c r="AA460" s="492">
        <f t="shared" si="96"/>
        <v>170496.00000000003</v>
      </c>
      <c r="AB460" s="480"/>
      <c r="AC460" s="481">
        <f t="shared" si="97"/>
        <v>0</v>
      </c>
      <c r="AD460" s="490"/>
      <c r="AE460" s="482"/>
      <c r="AF460" s="493">
        <f t="shared" si="94"/>
        <v>170496.00000000003</v>
      </c>
      <c r="AG460" s="474" t="s">
        <v>1071</v>
      </c>
      <c r="AH460" s="474"/>
      <c r="AI460" s="483" t="s">
        <v>4442</v>
      </c>
      <c r="AJ460" s="474" t="s">
        <v>2510</v>
      </c>
      <c r="AK460" s="494" t="s">
        <v>1144</v>
      </c>
      <c r="AL460" s="474">
        <v>75069</v>
      </c>
      <c r="AM460" s="474" t="s">
        <v>52</v>
      </c>
      <c r="AN460" s="474"/>
      <c r="AO460" s="474"/>
      <c r="AP460" s="486"/>
      <c r="AQ460" s="486" t="s">
        <v>37</v>
      </c>
      <c r="AR460" s="486"/>
      <c r="AS460" s="495"/>
      <c r="AT460" s="495"/>
      <c r="AU460" s="378"/>
      <c r="AV460" s="478"/>
    </row>
    <row r="461" spans="1:48" s="471" customFormat="1" ht="15" customHeight="1">
      <c r="A461" s="472"/>
      <c r="B461" s="514">
        <v>44557</v>
      </c>
      <c r="C461" s="472"/>
      <c r="D461" s="512" t="s">
        <v>2322</v>
      </c>
      <c r="E461" s="501" t="s">
        <v>2726</v>
      </c>
      <c r="F461" s="501"/>
      <c r="G461" s="501">
        <v>2022</v>
      </c>
      <c r="H461" s="501" t="s">
        <v>1676</v>
      </c>
      <c r="I461" s="512" t="s">
        <v>1676</v>
      </c>
      <c r="J461" s="502"/>
      <c r="K461" s="503" t="s">
        <v>4443</v>
      </c>
      <c r="L461" s="501" t="s">
        <v>2459</v>
      </c>
      <c r="M461" s="504">
        <v>44544</v>
      </c>
      <c r="N461" s="504">
        <v>44744</v>
      </c>
      <c r="O461" s="504"/>
      <c r="P461" s="370"/>
      <c r="Q461" s="502"/>
      <c r="R461" s="502"/>
      <c r="S461" s="501" t="s">
        <v>1563</v>
      </c>
      <c r="T461" s="501">
        <v>60</v>
      </c>
      <c r="U461" s="371">
        <v>49401140</v>
      </c>
      <c r="V461" s="501" t="s">
        <v>2482</v>
      </c>
      <c r="W461" s="501">
        <v>400</v>
      </c>
      <c r="X461" s="505">
        <v>768</v>
      </c>
      <c r="Y461" s="477">
        <f t="shared" si="93"/>
        <v>307200</v>
      </c>
      <c r="Z461" s="478">
        <v>0.52500000000000002</v>
      </c>
      <c r="AA461" s="492">
        <f t="shared" si="96"/>
        <v>161280</v>
      </c>
      <c r="AB461" s="480"/>
      <c r="AC461" s="481">
        <f t="shared" si="97"/>
        <v>0</v>
      </c>
      <c r="AD461" s="490"/>
      <c r="AE461" s="482"/>
      <c r="AF461" s="493">
        <f t="shared" si="94"/>
        <v>161280</v>
      </c>
      <c r="AG461" s="474" t="s">
        <v>1071</v>
      </c>
      <c r="AH461" s="474"/>
      <c r="AI461" s="483" t="s">
        <v>2442</v>
      </c>
      <c r="AJ461" s="474" t="s">
        <v>2472</v>
      </c>
      <c r="AK461" s="494" t="s">
        <v>1133</v>
      </c>
      <c r="AL461" s="474">
        <v>85008</v>
      </c>
      <c r="AM461" s="474" t="s">
        <v>52</v>
      </c>
      <c r="AN461" s="474" t="s">
        <v>1074</v>
      </c>
      <c r="AO461" s="474"/>
      <c r="AP461" s="486"/>
      <c r="AQ461" s="486" t="s">
        <v>37</v>
      </c>
      <c r="AR461" s="486"/>
      <c r="AS461" s="495"/>
      <c r="AT461" s="495"/>
      <c r="AU461" s="378"/>
      <c r="AV461" s="478"/>
    </row>
    <row r="462" spans="1:48" s="471" customFormat="1" ht="15" customHeight="1">
      <c r="A462" s="472"/>
      <c r="B462" s="514">
        <v>44557</v>
      </c>
      <c r="C462" s="472"/>
      <c r="D462" s="512" t="s">
        <v>2322</v>
      </c>
      <c r="E462" s="501" t="s">
        <v>2726</v>
      </c>
      <c r="F462" s="501"/>
      <c r="G462" s="501">
        <v>2022</v>
      </c>
      <c r="H462" s="501" t="s">
        <v>1676</v>
      </c>
      <c r="I462" s="512" t="s">
        <v>1676</v>
      </c>
      <c r="J462" s="502"/>
      <c r="K462" s="503" t="s">
        <v>4444</v>
      </c>
      <c r="L462" s="501" t="s">
        <v>2459</v>
      </c>
      <c r="M462" s="504">
        <v>44544</v>
      </c>
      <c r="N462" s="504">
        <v>44744</v>
      </c>
      <c r="O462" s="504"/>
      <c r="P462" s="370"/>
      <c r="Q462" s="502"/>
      <c r="R462" s="502"/>
      <c r="S462" s="501" t="s">
        <v>1563</v>
      </c>
      <c r="T462" s="501">
        <v>60</v>
      </c>
      <c r="U462" s="371">
        <v>49201132</v>
      </c>
      <c r="V462" s="501" t="s">
        <v>986</v>
      </c>
      <c r="W462" s="501">
        <v>360</v>
      </c>
      <c r="X462" s="505">
        <v>832</v>
      </c>
      <c r="Y462" s="477">
        <f t="shared" si="93"/>
        <v>299520</v>
      </c>
      <c r="Z462" s="478">
        <v>0.505</v>
      </c>
      <c r="AA462" s="492">
        <f t="shared" si="96"/>
        <v>151257.60000000001</v>
      </c>
      <c r="AB462" s="480"/>
      <c r="AC462" s="481">
        <f t="shared" si="97"/>
        <v>0</v>
      </c>
      <c r="AD462" s="490"/>
      <c r="AE462" s="482"/>
      <c r="AF462" s="493">
        <f t="shared" si="94"/>
        <v>151257.60000000001</v>
      </c>
      <c r="AG462" s="474" t="s">
        <v>1071</v>
      </c>
      <c r="AH462" s="474"/>
      <c r="AI462" s="483" t="s">
        <v>2442</v>
      </c>
      <c r="AJ462" s="474" t="s">
        <v>2472</v>
      </c>
      <c r="AK462" s="494" t="s">
        <v>1133</v>
      </c>
      <c r="AL462" s="474">
        <v>85008</v>
      </c>
      <c r="AM462" s="474" t="s">
        <v>52</v>
      </c>
      <c r="AN462" s="474" t="s">
        <v>1074</v>
      </c>
      <c r="AO462" s="474"/>
      <c r="AP462" s="486"/>
      <c r="AQ462" s="486" t="s">
        <v>37</v>
      </c>
      <c r="AR462" s="486"/>
      <c r="AS462" s="495"/>
      <c r="AT462" s="495"/>
      <c r="AU462" s="378"/>
      <c r="AV462" s="478"/>
    </row>
    <row r="463" spans="1:48" s="471" customFormat="1" ht="15" customHeight="1">
      <c r="A463" s="472"/>
      <c r="B463" s="514">
        <v>44557</v>
      </c>
      <c r="C463" s="472"/>
      <c r="D463" s="512" t="s">
        <v>2322</v>
      </c>
      <c r="E463" s="501" t="s">
        <v>2726</v>
      </c>
      <c r="F463" s="501"/>
      <c r="G463" s="501">
        <v>2022</v>
      </c>
      <c r="H463" s="501" t="s">
        <v>1676</v>
      </c>
      <c r="I463" s="512" t="s">
        <v>1676</v>
      </c>
      <c r="J463" s="502"/>
      <c r="K463" s="503" t="s">
        <v>4445</v>
      </c>
      <c r="L463" s="501" t="s">
        <v>2459</v>
      </c>
      <c r="M463" s="504">
        <v>44544</v>
      </c>
      <c r="N463" s="504">
        <v>44747</v>
      </c>
      <c r="O463" s="504"/>
      <c r="P463" s="370"/>
      <c r="Q463" s="502"/>
      <c r="R463" s="502"/>
      <c r="S463" s="501" t="s">
        <v>1563</v>
      </c>
      <c r="T463" s="501">
        <v>60</v>
      </c>
      <c r="U463" s="371">
        <v>49401140</v>
      </c>
      <c r="V463" s="501" t="s">
        <v>2482</v>
      </c>
      <c r="W463" s="501">
        <v>400</v>
      </c>
      <c r="X463" s="505">
        <v>768</v>
      </c>
      <c r="Y463" s="477">
        <f t="shared" si="93"/>
        <v>307200</v>
      </c>
      <c r="Z463" s="478">
        <v>0.52500000000000002</v>
      </c>
      <c r="AA463" s="492">
        <f t="shared" si="96"/>
        <v>161280</v>
      </c>
      <c r="AB463" s="480"/>
      <c r="AC463" s="481">
        <f t="shared" si="97"/>
        <v>0</v>
      </c>
      <c r="AD463" s="490"/>
      <c r="AE463" s="482"/>
      <c r="AF463" s="493">
        <f t="shared" si="94"/>
        <v>161280</v>
      </c>
      <c r="AG463" s="474" t="s">
        <v>1071</v>
      </c>
      <c r="AH463" s="474"/>
      <c r="AI463" s="483" t="s">
        <v>2442</v>
      </c>
      <c r="AJ463" s="474" t="s">
        <v>2472</v>
      </c>
      <c r="AK463" s="494" t="s">
        <v>1133</v>
      </c>
      <c r="AL463" s="474">
        <v>85008</v>
      </c>
      <c r="AM463" s="474" t="s">
        <v>52</v>
      </c>
      <c r="AN463" s="474" t="s">
        <v>1074</v>
      </c>
      <c r="AO463" s="474"/>
      <c r="AP463" s="486"/>
      <c r="AQ463" s="486" t="s">
        <v>37</v>
      </c>
      <c r="AR463" s="486"/>
      <c r="AS463" s="495"/>
      <c r="AT463" s="495"/>
      <c r="AU463" s="378"/>
      <c r="AV463" s="478"/>
    </row>
    <row r="464" spans="1:48" s="471" customFormat="1" ht="15" customHeight="1">
      <c r="A464" s="472"/>
      <c r="B464" s="514">
        <v>44557</v>
      </c>
      <c r="C464" s="472"/>
      <c r="D464" s="512" t="s">
        <v>2322</v>
      </c>
      <c r="E464" s="501" t="s">
        <v>2726</v>
      </c>
      <c r="F464" s="501"/>
      <c r="G464" s="501">
        <v>2022</v>
      </c>
      <c r="H464" s="501" t="s">
        <v>1676</v>
      </c>
      <c r="I464" s="512" t="s">
        <v>1676</v>
      </c>
      <c r="J464" s="502"/>
      <c r="K464" s="503" t="s">
        <v>4446</v>
      </c>
      <c r="L464" s="501" t="s">
        <v>2459</v>
      </c>
      <c r="M464" s="504">
        <v>44544</v>
      </c>
      <c r="N464" s="504">
        <v>44750</v>
      </c>
      <c r="O464" s="504"/>
      <c r="P464" s="370"/>
      <c r="Q464" s="502"/>
      <c r="R464" s="502"/>
      <c r="S464" s="501" t="s">
        <v>1563</v>
      </c>
      <c r="T464" s="501">
        <v>60</v>
      </c>
      <c r="U464" s="371">
        <v>49401140</v>
      </c>
      <c r="V464" s="501" t="s">
        <v>2482</v>
      </c>
      <c r="W464" s="501">
        <v>400</v>
      </c>
      <c r="X464" s="505">
        <v>768</v>
      </c>
      <c r="Y464" s="477">
        <f t="shared" si="93"/>
        <v>307200</v>
      </c>
      <c r="Z464" s="478">
        <v>0.52500000000000002</v>
      </c>
      <c r="AA464" s="492">
        <f t="shared" si="96"/>
        <v>161280</v>
      </c>
      <c r="AB464" s="480"/>
      <c r="AC464" s="481">
        <f t="shared" si="97"/>
        <v>0</v>
      </c>
      <c r="AD464" s="490"/>
      <c r="AE464" s="482"/>
      <c r="AF464" s="493">
        <f t="shared" si="94"/>
        <v>161280</v>
      </c>
      <c r="AG464" s="474" t="s">
        <v>1071</v>
      </c>
      <c r="AH464" s="474"/>
      <c r="AI464" s="483" t="s">
        <v>2442</v>
      </c>
      <c r="AJ464" s="474" t="s">
        <v>2472</v>
      </c>
      <c r="AK464" s="494" t="s">
        <v>1133</v>
      </c>
      <c r="AL464" s="474">
        <v>85008</v>
      </c>
      <c r="AM464" s="474" t="s">
        <v>52</v>
      </c>
      <c r="AN464" s="474" t="s">
        <v>1074</v>
      </c>
      <c r="AO464" s="474"/>
      <c r="AP464" s="486"/>
      <c r="AQ464" s="486" t="s">
        <v>37</v>
      </c>
      <c r="AR464" s="486"/>
      <c r="AS464" s="495"/>
      <c r="AT464" s="495"/>
      <c r="AU464" s="378"/>
      <c r="AV464" s="478"/>
    </row>
    <row r="465" spans="1:48" s="471" customFormat="1" ht="15" customHeight="1">
      <c r="A465" s="472"/>
      <c r="B465" s="514">
        <v>44557</v>
      </c>
      <c r="C465" s="472"/>
      <c r="D465" s="512" t="s">
        <v>2322</v>
      </c>
      <c r="E465" s="501" t="s">
        <v>2726</v>
      </c>
      <c r="F465" s="501"/>
      <c r="G465" s="501">
        <v>2022</v>
      </c>
      <c r="H465" s="501" t="s">
        <v>1676</v>
      </c>
      <c r="I465" s="512" t="s">
        <v>1676</v>
      </c>
      <c r="J465" s="502"/>
      <c r="K465" s="503" t="s">
        <v>4447</v>
      </c>
      <c r="L465" s="501" t="s">
        <v>2459</v>
      </c>
      <c r="M465" s="504">
        <v>44544</v>
      </c>
      <c r="N465" s="504">
        <v>44753</v>
      </c>
      <c r="O465" s="504"/>
      <c r="P465" s="370"/>
      <c r="Q465" s="502"/>
      <c r="R465" s="502"/>
      <c r="S465" s="501" t="s">
        <v>1563</v>
      </c>
      <c r="T465" s="501">
        <v>60</v>
      </c>
      <c r="U465" s="371">
        <v>49401140</v>
      </c>
      <c r="V465" s="501" t="s">
        <v>2482</v>
      </c>
      <c r="W465" s="501">
        <v>400</v>
      </c>
      <c r="X465" s="505">
        <v>768</v>
      </c>
      <c r="Y465" s="477">
        <f t="shared" si="93"/>
        <v>307200</v>
      </c>
      <c r="Z465" s="478">
        <v>0.52500000000000002</v>
      </c>
      <c r="AA465" s="492">
        <f t="shared" si="96"/>
        <v>161280</v>
      </c>
      <c r="AB465" s="480"/>
      <c r="AC465" s="481">
        <f t="shared" si="97"/>
        <v>0</v>
      </c>
      <c r="AD465" s="490"/>
      <c r="AE465" s="482"/>
      <c r="AF465" s="493">
        <f t="shared" si="94"/>
        <v>161280</v>
      </c>
      <c r="AG465" s="474" t="s">
        <v>1071</v>
      </c>
      <c r="AH465" s="474"/>
      <c r="AI465" s="483" t="s">
        <v>2442</v>
      </c>
      <c r="AJ465" s="474" t="s">
        <v>2472</v>
      </c>
      <c r="AK465" s="494" t="s">
        <v>1133</v>
      </c>
      <c r="AL465" s="474">
        <v>85008</v>
      </c>
      <c r="AM465" s="474" t="s">
        <v>52</v>
      </c>
      <c r="AN465" s="474" t="s">
        <v>1074</v>
      </c>
      <c r="AO465" s="474"/>
      <c r="AP465" s="486"/>
      <c r="AQ465" s="486" t="s">
        <v>37</v>
      </c>
      <c r="AR465" s="486"/>
      <c r="AS465" s="495"/>
      <c r="AT465" s="495"/>
      <c r="AU465" s="378"/>
      <c r="AV465" s="478"/>
    </row>
    <row r="466" spans="1:48" s="471" customFormat="1" ht="15" customHeight="1">
      <c r="A466" s="472"/>
      <c r="B466" s="514">
        <v>44557</v>
      </c>
      <c r="C466" s="472"/>
      <c r="D466" s="512" t="s">
        <v>2322</v>
      </c>
      <c r="E466" s="501" t="s">
        <v>2726</v>
      </c>
      <c r="F466" s="501"/>
      <c r="G466" s="501">
        <v>2022</v>
      </c>
      <c r="H466" s="501" t="s">
        <v>1676</v>
      </c>
      <c r="I466" s="512" t="s">
        <v>1676</v>
      </c>
      <c r="J466" s="502"/>
      <c r="K466" s="503" t="s">
        <v>4448</v>
      </c>
      <c r="L466" s="501" t="s">
        <v>2459</v>
      </c>
      <c r="M466" s="504">
        <v>44544</v>
      </c>
      <c r="N466" s="504">
        <v>44756</v>
      </c>
      <c r="O466" s="504"/>
      <c r="P466" s="370"/>
      <c r="Q466" s="502"/>
      <c r="R466" s="502"/>
      <c r="S466" s="501" t="s">
        <v>1563</v>
      </c>
      <c r="T466" s="501">
        <v>60</v>
      </c>
      <c r="U466" s="371">
        <v>49401140</v>
      </c>
      <c r="V466" s="501" t="s">
        <v>2482</v>
      </c>
      <c r="W466" s="501">
        <v>400</v>
      </c>
      <c r="X466" s="505">
        <v>768</v>
      </c>
      <c r="Y466" s="477">
        <f t="shared" si="93"/>
        <v>307200</v>
      </c>
      <c r="Z466" s="478">
        <v>0.52500000000000002</v>
      </c>
      <c r="AA466" s="492">
        <f t="shared" si="96"/>
        <v>161280</v>
      </c>
      <c r="AB466" s="480"/>
      <c r="AC466" s="481">
        <f t="shared" si="97"/>
        <v>0</v>
      </c>
      <c r="AD466" s="490"/>
      <c r="AE466" s="482"/>
      <c r="AF466" s="493">
        <f t="shared" si="94"/>
        <v>161280</v>
      </c>
      <c r="AG466" s="474" t="s">
        <v>1071</v>
      </c>
      <c r="AH466" s="474"/>
      <c r="AI466" s="483" t="s">
        <v>2442</v>
      </c>
      <c r="AJ466" s="474" t="s">
        <v>2472</v>
      </c>
      <c r="AK466" s="494" t="s">
        <v>1133</v>
      </c>
      <c r="AL466" s="474">
        <v>85008</v>
      </c>
      <c r="AM466" s="474" t="s">
        <v>52</v>
      </c>
      <c r="AN466" s="474" t="s">
        <v>1074</v>
      </c>
      <c r="AO466" s="474"/>
      <c r="AP466" s="486"/>
      <c r="AQ466" s="486" t="s">
        <v>37</v>
      </c>
      <c r="AR466" s="486"/>
      <c r="AS466" s="495"/>
      <c r="AT466" s="495"/>
      <c r="AU466" s="378"/>
      <c r="AV466" s="478"/>
    </row>
    <row r="467" spans="1:48" s="471" customFormat="1" ht="15" customHeight="1">
      <c r="A467" s="472"/>
      <c r="B467" s="514">
        <v>44557</v>
      </c>
      <c r="C467" s="472"/>
      <c r="D467" s="512" t="s">
        <v>2322</v>
      </c>
      <c r="E467" s="501" t="s">
        <v>2726</v>
      </c>
      <c r="F467" s="501"/>
      <c r="G467" s="501">
        <v>2022</v>
      </c>
      <c r="H467" s="501" t="s">
        <v>1676</v>
      </c>
      <c r="I467" s="512" t="s">
        <v>1676</v>
      </c>
      <c r="J467" s="502"/>
      <c r="K467" s="503" t="s">
        <v>4449</v>
      </c>
      <c r="L467" s="501" t="s">
        <v>2459</v>
      </c>
      <c r="M467" s="504">
        <v>44545</v>
      </c>
      <c r="N467" s="504">
        <v>44757</v>
      </c>
      <c r="O467" s="504"/>
      <c r="P467" s="370"/>
      <c r="Q467" s="502"/>
      <c r="R467" s="502"/>
      <c r="S467" s="501" t="s">
        <v>1563</v>
      </c>
      <c r="T467" s="501">
        <v>60</v>
      </c>
      <c r="U467" s="371">
        <v>49201132</v>
      </c>
      <c r="V467" s="501" t="s">
        <v>986</v>
      </c>
      <c r="W467" s="501">
        <v>360</v>
      </c>
      <c r="X467" s="505">
        <v>832</v>
      </c>
      <c r="Y467" s="477">
        <f t="shared" si="93"/>
        <v>299520</v>
      </c>
      <c r="Z467" s="478">
        <v>0.505</v>
      </c>
      <c r="AA467" s="492">
        <f t="shared" si="96"/>
        <v>151257.60000000001</v>
      </c>
      <c r="AB467" s="480"/>
      <c r="AC467" s="481">
        <f t="shared" si="97"/>
        <v>0</v>
      </c>
      <c r="AD467" s="490"/>
      <c r="AE467" s="482"/>
      <c r="AF467" s="493">
        <f t="shared" si="94"/>
        <v>151257.60000000001</v>
      </c>
      <c r="AG467" s="474" t="s">
        <v>1071</v>
      </c>
      <c r="AH467" s="474"/>
      <c r="AI467" s="483" t="s">
        <v>2442</v>
      </c>
      <c r="AJ467" s="474" t="s">
        <v>2472</v>
      </c>
      <c r="AK467" s="494" t="s">
        <v>1133</v>
      </c>
      <c r="AL467" s="474">
        <v>85008</v>
      </c>
      <c r="AM467" s="474" t="s">
        <v>52</v>
      </c>
      <c r="AN467" s="474" t="s">
        <v>1074</v>
      </c>
      <c r="AO467" s="474"/>
      <c r="AP467" s="486"/>
      <c r="AQ467" s="486" t="s">
        <v>37</v>
      </c>
      <c r="AR467" s="486"/>
      <c r="AS467" s="495"/>
      <c r="AT467" s="495"/>
      <c r="AU467" s="378"/>
      <c r="AV467" s="478"/>
    </row>
    <row r="468" spans="1:48" s="471" customFormat="1" ht="15" customHeight="1">
      <c r="A468" s="472"/>
      <c r="B468" s="514">
        <v>44557</v>
      </c>
      <c r="C468" s="472"/>
      <c r="D468" s="512" t="s">
        <v>2322</v>
      </c>
      <c r="E468" s="501" t="s">
        <v>2726</v>
      </c>
      <c r="F468" s="501"/>
      <c r="G468" s="501">
        <v>2022</v>
      </c>
      <c r="H468" s="501" t="s">
        <v>1676</v>
      </c>
      <c r="I468" s="512" t="s">
        <v>1676</v>
      </c>
      <c r="J468" s="502"/>
      <c r="K468" s="503" t="s">
        <v>4450</v>
      </c>
      <c r="L468" s="501" t="s">
        <v>2459</v>
      </c>
      <c r="M468" s="504">
        <v>44545</v>
      </c>
      <c r="N468" s="504">
        <v>44759</v>
      </c>
      <c r="O468" s="504"/>
      <c r="P468" s="370"/>
      <c r="Q468" s="502"/>
      <c r="R468" s="502"/>
      <c r="S468" s="501" t="s">
        <v>1563</v>
      </c>
      <c r="T468" s="501">
        <v>60</v>
      </c>
      <c r="U468" s="371">
        <v>49401140</v>
      </c>
      <c r="V468" s="501" t="s">
        <v>2482</v>
      </c>
      <c r="W468" s="501">
        <v>400</v>
      </c>
      <c r="X468" s="505">
        <v>768</v>
      </c>
      <c r="Y468" s="477">
        <f t="shared" si="93"/>
        <v>307200</v>
      </c>
      <c r="Z468" s="478">
        <v>0.52500000000000002</v>
      </c>
      <c r="AA468" s="492">
        <f t="shared" si="96"/>
        <v>161280</v>
      </c>
      <c r="AB468" s="480"/>
      <c r="AC468" s="481">
        <f t="shared" si="97"/>
        <v>0</v>
      </c>
      <c r="AD468" s="490"/>
      <c r="AE468" s="482"/>
      <c r="AF468" s="493">
        <f t="shared" si="94"/>
        <v>161280</v>
      </c>
      <c r="AG468" s="474" t="s">
        <v>1071</v>
      </c>
      <c r="AH468" s="474"/>
      <c r="AI468" s="483" t="s">
        <v>2442</v>
      </c>
      <c r="AJ468" s="474" t="s">
        <v>2472</v>
      </c>
      <c r="AK468" s="494" t="s">
        <v>1133</v>
      </c>
      <c r="AL468" s="474">
        <v>85008</v>
      </c>
      <c r="AM468" s="474" t="s">
        <v>52</v>
      </c>
      <c r="AN468" s="474" t="s">
        <v>1074</v>
      </c>
      <c r="AO468" s="474"/>
      <c r="AP468" s="486"/>
      <c r="AQ468" s="486" t="s">
        <v>37</v>
      </c>
      <c r="AR468" s="486"/>
      <c r="AS468" s="495"/>
      <c r="AT468" s="495"/>
      <c r="AU468" s="378"/>
      <c r="AV468" s="478"/>
    </row>
    <row r="469" spans="1:48" s="471" customFormat="1" ht="15" customHeight="1">
      <c r="A469" s="472"/>
      <c r="B469" s="514">
        <v>44557</v>
      </c>
      <c r="C469" s="472"/>
      <c r="D469" s="512" t="s">
        <v>2322</v>
      </c>
      <c r="E469" s="501" t="s">
        <v>2726</v>
      </c>
      <c r="F469" s="501"/>
      <c r="G469" s="501">
        <v>2022</v>
      </c>
      <c r="H469" s="501" t="s">
        <v>1676</v>
      </c>
      <c r="I469" s="512" t="s">
        <v>1676</v>
      </c>
      <c r="J469" s="502"/>
      <c r="K469" s="503" t="s">
        <v>4451</v>
      </c>
      <c r="L469" s="501" t="s">
        <v>2459</v>
      </c>
      <c r="M469" s="504">
        <v>44545</v>
      </c>
      <c r="N469" s="504">
        <v>44762</v>
      </c>
      <c r="O469" s="504"/>
      <c r="P469" s="370"/>
      <c r="Q469" s="502"/>
      <c r="R469" s="502"/>
      <c r="S469" s="501" t="s">
        <v>1563</v>
      </c>
      <c r="T469" s="501">
        <v>60</v>
      </c>
      <c r="U469" s="371">
        <v>49401140</v>
      </c>
      <c r="V469" s="501" t="s">
        <v>2482</v>
      </c>
      <c r="W469" s="501">
        <v>400</v>
      </c>
      <c r="X469" s="505">
        <v>768</v>
      </c>
      <c r="Y469" s="477">
        <f t="shared" si="93"/>
        <v>307200</v>
      </c>
      <c r="Z469" s="478">
        <v>0.52500000000000002</v>
      </c>
      <c r="AA469" s="492">
        <f t="shared" si="96"/>
        <v>161280</v>
      </c>
      <c r="AB469" s="480"/>
      <c r="AC469" s="481">
        <f t="shared" si="97"/>
        <v>0</v>
      </c>
      <c r="AD469" s="490"/>
      <c r="AE469" s="482"/>
      <c r="AF469" s="493">
        <f t="shared" si="94"/>
        <v>161280</v>
      </c>
      <c r="AG469" s="474" t="s">
        <v>1071</v>
      </c>
      <c r="AH469" s="474"/>
      <c r="AI469" s="483" t="s">
        <v>2442</v>
      </c>
      <c r="AJ469" s="474" t="s">
        <v>2472</v>
      </c>
      <c r="AK469" s="494" t="s">
        <v>1133</v>
      </c>
      <c r="AL469" s="474">
        <v>85008</v>
      </c>
      <c r="AM469" s="474" t="s">
        <v>52</v>
      </c>
      <c r="AN469" s="474" t="s">
        <v>1074</v>
      </c>
      <c r="AO469" s="474"/>
      <c r="AP469" s="486"/>
      <c r="AQ469" s="486" t="s">
        <v>37</v>
      </c>
      <c r="AR469" s="486"/>
      <c r="AS469" s="495"/>
      <c r="AT469" s="495"/>
      <c r="AU469" s="378"/>
      <c r="AV469" s="478"/>
    </row>
    <row r="470" spans="1:48" s="471" customFormat="1" ht="15" customHeight="1">
      <c r="A470" s="472"/>
      <c r="B470" s="514">
        <v>44557</v>
      </c>
      <c r="C470" s="472"/>
      <c r="D470" s="512" t="s">
        <v>2322</v>
      </c>
      <c r="E470" s="501" t="s">
        <v>2726</v>
      </c>
      <c r="F470" s="501"/>
      <c r="G470" s="501">
        <v>2022</v>
      </c>
      <c r="H470" s="501" t="s">
        <v>1676</v>
      </c>
      <c r="I470" s="512" t="s">
        <v>1676</v>
      </c>
      <c r="J470" s="502"/>
      <c r="K470" s="503" t="s">
        <v>4452</v>
      </c>
      <c r="L470" s="501" t="s">
        <v>2459</v>
      </c>
      <c r="M470" s="504">
        <v>44545</v>
      </c>
      <c r="N470" s="504">
        <v>44764</v>
      </c>
      <c r="O470" s="504"/>
      <c r="P470" s="370"/>
      <c r="Q470" s="502"/>
      <c r="R470" s="502"/>
      <c r="S470" s="501" t="s">
        <v>1563</v>
      </c>
      <c r="T470" s="501">
        <v>60</v>
      </c>
      <c r="U470" s="371">
        <v>49401140</v>
      </c>
      <c r="V470" s="501" t="s">
        <v>2482</v>
      </c>
      <c r="W470" s="501">
        <v>400</v>
      </c>
      <c r="X470" s="505">
        <v>768</v>
      </c>
      <c r="Y470" s="477">
        <f t="shared" ref="Y470:Y533" si="99">X470*W470</f>
        <v>307200</v>
      </c>
      <c r="Z470" s="478">
        <v>0.52500000000000002</v>
      </c>
      <c r="AA470" s="492">
        <f t="shared" si="96"/>
        <v>161280</v>
      </c>
      <c r="AB470" s="480"/>
      <c r="AC470" s="481">
        <f t="shared" si="97"/>
        <v>0</v>
      </c>
      <c r="AD470" s="490"/>
      <c r="AE470" s="482"/>
      <c r="AF470" s="493">
        <f t="shared" ref="AF470:AF533" si="100">AA470+AE470</f>
        <v>161280</v>
      </c>
      <c r="AG470" s="474" t="s">
        <v>1071</v>
      </c>
      <c r="AH470" s="474"/>
      <c r="AI470" s="483" t="s">
        <v>2442</v>
      </c>
      <c r="AJ470" s="474" t="s">
        <v>2472</v>
      </c>
      <c r="AK470" s="494" t="s">
        <v>1133</v>
      </c>
      <c r="AL470" s="474">
        <v>85008</v>
      </c>
      <c r="AM470" s="474" t="s">
        <v>52</v>
      </c>
      <c r="AN470" s="474" t="s">
        <v>1074</v>
      </c>
      <c r="AO470" s="474"/>
      <c r="AP470" s="486"/>
      <c r="AQ470" s="486" t="s">
        <v>37</v>
      </c>
      <c r="AR470" s="486"/>
      <c r="AS470" s="495"/>
      <c r="AT470" s="495"/>
      <c r="AU470" s="378"/>
      <c r="AV470" s="478"/>
    </row>
    <row r="471" spans="1:48" s="471" customFormat="1" ht="15" customHeight="1">
      <c r="A471" s="472"/>
      <c r="B471" s="514">
        <v>44557</v>
      </c>
      <c r="C471" s="472"/>
      <c r="D471" s="512" t="s">
        <v>2322</v>
      </c>
      <c r="E471" s="501" t="s">
        <v>2726</v>
      </c>
      <c r="F471" s="501"/>
      <c r="G471" s="501">
        <v>2022</v>
      </c>
      <c r="H471" s="501" t="s">
        <v>1676</v>
      </c>
      <c r="I471" s="512" t="s">
        <v>1676</v>
      </c>
      <c r="J471" s="502"/>
      <c r="K471" s="503" t="s">
        <v>4453</v>
      </c>
      <c r="L471" s="501" t="s">
        <v>2459</v>
      </c>
      <c r="M471" s="504">
        <v>44545</v>
      </c>
      <c r="N471" s="504">
        <v>44775</v>
      </c>
      <c r="O471" s="504"/>
      <c r="P471" s="370"/>
      <c r="Q471" s="502"/>
      <c r="R471" s="502"/>
      <c r="S471" s="501" t="s">
        <v>1563</v>
      </c>
      <c r="T471" s="501">
        <v>60</v>
      </c>
      <c r="U471" s="371">
        <v>49401140</v>
      </c>
      <c r="V471" s="501" t="s">
        <v>2482</v>
      </c>
      <c r="W471" s="501">
        <v>400</v>
      </c>
      <c r="X471" s="505">
        <v>768</v>
      </c>
      <c r="Y471" s="477">
        <f t="shared" si="99"/>
        <v>307200</v>
      </c>
      <c r="Z471" s="478">
        <v>0.52500000000000002</v>
      </c>
      <c r="AA471" s="492">
        <f t="shared" si="96"/>
        <v>161280</v>
      </c>
      <c r="AB471" s="480"/>
      <c r="AC471" s="481">
        <f t="shared" si="97"/>
        <v>0</v>
      </c>
      <c r="AD471" s="490"/>
      <c r="AE471" s="482"/>
      <c r="AF471" s="493">
        <f t="shared" si="100"/>
        <v>161280</v>
      </c>
      <c r="AG471" s="474" t="s">
        <v>1071</v>
      </c>
      <c r="AH471" s="474"/>
      <c r="AI471" s="483" t="s">
        <v>2442</v>
      </c>
      <c r="AJ471" s="474" t="s">
        <v>2472</v>
      </c>
      <c r="AK471" s="494" t="s">
        <v>1133</v>
      </c>
      <c r="AL471" s="474">
        <v>85008</v>
      </c>
      <c r="AM471" s="474" t="s">
        <v>52</v>
      </c>
      <c r="AN471" s="474" t="s">
        <v>1074</v>
      </c>
      <c r="AO471" s="474"/>
      <c r="AP471" s="486"/>
      <c r="AQ471" s="486" t="s">
        <v>37</v>
      </c>
      <c r="AR471" s="486"/>
      <c r="AS471" s="495"/>
      <c r="AT471" s="495"/>
      <c r="AU471" s="378"/>
      <c r="AV471" s="478"/>
    </row>
    <row r="472" spans="1:48" s="471" customFormat="1" ht="15" customHeight="1">
      <c r="A472" s="472"/>
      <c r="B472" s="514">
        <v>44557</v>
      </c>
      <c r="C472" s="472"/>
      <c r="D472" s="512" t="s">
        <v>2322</v>
      </c>
      <c r="E472" s="501" t="s">
        <v>2726</v>
      </c>
      <c r="F472" s="501"/>
      <c r="G472" s="501">
        <v>2022</v>
      </c>
      <c r="H472" s="501" t="s">
        <v>1676</v>
      </c>
      <c r="I472" s="512" t="s">
        <v>1676</v>
      </c>
      <c r="J472" s="502"/>
      <c r="K472" s="503" t="s">
        <v>4454</v>
      </c>
      <c r="L472" s="501" t="s">
        <v>2459</v>
      </c>
      <c r="M472" s="504">
        <v>44545</v>
      </c>
      <c r="N472" s="504">
        <v>44775</v>
      </c>
      <c r="O472" s="504"/>
      <c r="P472" s="370"/>
      <c r="Q472" s="502"/>
      <c r="R472" s="502"/>
      <c r="S472" s="501" t="s">
        <v>1563</v>
      </c>
      <c r="T472" s="501">
        <v>60</v>
      </c>
      <c r="U472" s="371">
        <v>49201132</v>
      </c>
      <c r="V472" s="501" t="s">
        <v>986</v>
      </c>
      <c r="W472" s="501">
        <v>360</v>
      </c>
      <c r="X472" s="505">
        <v>832</v>
      </c>
      <c r="Y472" s="477">
        <f t="shared" si="99"/>
        <v>299520</v>
      </c>
      <c r="Z472" s="478">
        <v>0.505</v>
      </c>
      <c r="AA472" s="492">
        <f t="shared" si="96"/>
        <v>151257.60000000001</v>
      </c>
      <c r="AB472" s="480"/>
      <c r="AC472" s="481">
        <f t="shared" si="97"/>
        <v>0</v>
      </c>
      <c r="AD472" s="490"/>
      <c r="AE472" s="482"/>
      <c r="AF472" s="493">
        <f t="shared" si="100"/>
        <v>151257.60000000001</v>
      </c>
      <c r="AG472" s="474" t="s">
        <v>1071</v>
      </c>
      <c r="AH472" s="474"/>
      <c r="AI472" s="483" t="s">
        <v>2442</v>
      </c>
      <c r="AJ472" s="474" t="s">
        <v>2472</v>
      </c>
      <c r="AK472" s="494" t="s">
        <v>1133</v>
      </c>
      <c r="AL472" s="474">
        <v>85008</v>
      </c>
      <c r="AM472" s="474" t="s">
        <v>52</v>
      </c>
      <c r="AN472" s="474" t="s">
        <v>1074</v>
      </c>
      <c r="AO472" s="474"/>
      <c r="AP472" s="486"/>
      <c r="AQ472" s="486" t="s">
        <v>37</v>
      </c>
      <c r="AR472" s="486"/>
      <c r="AS472" s="495"/>
      <c r="AT472" s="495"/>
      <c r="AU472" s="378"/>
      <c r="AV472" s="478"/>
    </row>
    <row r="473" spans="1:48" s="471" customFormat="1" ht="15" customHeight="1">
      <c r="A473" s="472"/>
      <c r="B473" s="514">
        <v>44557</v>
      </c>
      <c r="C473" s="472"/>
      <c r="D473" s="512" t="s">
        <v>2322</v>
      </c>
      <c r="E473" s="501" t="s">
        <v>2726</v>
      </c>
      <c r="F473" s="501"/>
      <c r="G473" s="501">
        <v>2022</v>
      </c>
      <c r="H473" s="501" t="s">
        <v>1676</v>
      </c>
      <c r="I473" s="512" t="s">
        <v>1676</v>
      </c>
      <c r="J473" s="502"/>
      <c r="K473" s="503" t="s">
        <v>4455</v>
      </c>
      <c r="L473" s="501" t="s">
        <v>2459</v>
      </c>
      <c r="M473" s="504">
        <v>44545</v>
      </c>
      <c r="N473" s="504">
        <v>44778</v>
      </c>
      <c r="O473" s="504"/>
      <c r="P473" s="370"/>
      <c r="Q473" s="502"/>
      <c r="R473" s="502"/>
      <c r="S473" s="501" t="s">
        <v>1563</v>
      </c>
      <c r="T473" s="501">
        <v>60</v>
      </c>
      <c r="U473" s="371">
        <v>49401140</v>
      </c>
      <c r="V473" s="501" t="s">
        <v>2482</v>
      </c>
      <c r="W473" s="501">
        <v>400</v>
      </c>
      <c r="X473" s="505">
        <v>768</v>
      </c>
      <c r="Y473" s="477">
        <f t="shared" si="99"/>
        <v>307200</v>
      </c>
      <c r="Z473" s="478">
        <v>0.52500000000000002</v>
      </c>
      <c r="AA473" s="492">
        <f t="shared" si="96"/>
        <v>161280</v>
      </c>
      <c r="AB473" s="480"/>
      <c r="AC473" s="481">
        <f t="shared" si="97"/>
        <v>0</v>
      </c>
      <c r="AD473" s="490"/>
      <c r="AE473" s="482"/>
      <c r="AF473" s="493">
        <f t="shared" si="100"/>
        <v>161280</v>
      </c>
      <c r="AG473" s="474" t="s">
        <v>1071</v>
      </c>
      <c r="AH473" s="474"/>
      <c r="AI473" s="483" t="s">
        <v>2442</v>
      </c>
      <c r="AJ473" s="474" t="s">
        <v>2472</v>
      </c>
      <c r="AK473" s="494" t="s">
        <v>1133</v>
      </c>
      <c r="AL473" s="474">
        <v>85008</v>
      </c>
      <c r="AM473" s="474" t="s">
        <v>52</v>
      </c>
      <c r="AN473" s="474" t="s">
        <v>1074</v>
      </c>
      <c r="AO473" s="474"/>
      <c r="AP473" s="486"/>
      <c r="AQ473" s="486" t="s">
        <v>37</v>
      </c>
      <c r="AR473" s="486"/>
      <c r="AS473" s="495"/>
      <c r="AT473" s="495"/>
      <c r="AU473" s="378"/>
      <c r="AV473" s="478"/>
    </row>
    <row r="474" spans="1:48" s="471" customFormat="1" ht="15" customHeight="1">
      <c r="A474" s="472"/>
      <c r="B474" s="514">
        <v>44557</v>
      </c>
      <c r="C474" s="472"/>
      <c r="D474" s="512" t="s">
        <v>2322</v>
      </c>
      <c r="E474" s="501" t="s">
        <v>2726</v>
      </c>
      <c r="F474" s="501"/>
      <c r="G474" s="501">
        <v>2022</v>
      </c>
      <c r="H474" s="501" t="s">
        <v>1676</v>
      </c>
      <c r="I474" s="512" t="s">
        <v>1676</v>
      </c>
      <c r="J474" s="502"/>
      <c r="K474" s="503" t="s">
        <v>4456</v>
      </c>
      <c r="L474" s="501" t="s">
        <v>2459</v>
      </c>
      <c r="M474" s="504">
        <v>44545</v>
      </c>
      <c r="N474" s="504">
        <v>44781</v>
      </c>
      <c r="O474" s="504"/>
      <c r="P474" s="370"/>
      <c r="Q474" s="502"/>
      <c r="R474" s="502"/>
      <c r="S474" s="501" t="s">
        <v>1563</v>
      </c>
      <c r="T474" s="501">
        <v>60</v>
      </c>
      <c r="U474" s="371">
        <v>49401140</v>
      </c>
      <c r="V474" s="501" t="s">
        <v>2482</v>
      </c>
      <c r="W474" s="501">
        <v>400</v>
      </c>
      <c r="X474" s="505">
        <v>768</v>
      </c>
      <c r="Y474" s="477">
        <f t="shared" si="99"/>
        <v>307200</v>
      </c>
      <c r="Z474" s="478">
        <v>0.52500000000000002</v>
      </c>
      <c r="AA474" s="492">
        <f t="shared" si="96"/>
        <v>161280</v>
      </c>
      <c r="AB474" s="480"/>
      <c r="AC474" s="481">
        <f t="shared" si="97"/>
        <v>0</v>
      </c>
      <c r="AD474" s="490"/>
      <c r="AE474" s="482"/>
      <c r="AF474" s="493">
        <f t="shared" si="100"/>
        <v>161280</v>
      </c>
      <c r="AG474" s="474" t="s">
        <v>1071</v>
      </c>
      <c r="AH474" s="474"/>
      <c r="AI474" s="483" t="s">
        <v>2442</v>
      </c>
      <c r="AJ474" s="474" t="s">
        <v>2472</v>
      </c>
      <c r="AK474" s="494" t="s">
        <v>1133</v>
      </c>
      <c r="AL474" s="474">
        <v>85008</v>
      </c>
      <c r="AM474" s="474" t="s">
        <v>52</v>
      </c>
      <c r="AN474" s="474" t="s">
        <v>1074</v>
      </c>
      <c r="AO474" s="474"/>
      <c r="AP474" s="486"/>
      <c r="AQ474" s="486" t="s">
        <v>37</v>
      </c>
      <c r="AR474" s="486"/>
      <c r="AS474" s="495"/>
      <c r="AT474" s="495"/>
      <c r="AU474" s="378"/>
      <c r="AV474" s="478"/>
    </row>
    <row r="475" spans="1:48" s="471" customFormat="1" ht="15" customHeight="1">
      <c r="A475" s="472"/>
      <c r="B475" s="514">
        <v>44557</v>
      </c>
      <c r="C475" s="472"/>
      <c r="D475" s="512" t="s">
        <v>2322</v>
      </c>
      <c r="E475" s="501" t="s">
        <v>2726</v>
      </c>
      <c r="F475" s="501"/>
      <c r="G475" s="501">
        <v>2022</v>
      </c>
      <c r="H475" s="501" t="s">
        <v>1676</v>
      </c>
      <c r="I475" s="512" t="s">
        <v>1676</v>
      </c>
      <c r="J475" s="502"/>
      <c r="K475" s="503" t="s">
        <v>4457</v>
      </c>
      <c r="L475" s="501" t="s">
        <v>2459</v>
      </c>
      <c r="M475" s="504">
        <v>44545</v>
      </c>
      <c r="N475" s="504">
        <v>44784</v>
      </c>
      <c r="O475" s="504"/>
      <c r="P475" s="370"/>
      <c r="Q475" s="502"/>
      <c r="R475" s="502"/>
      <c r="S475" s="501" t="s">
        <v>1563</v>
      </c>
      <c r="T475" s="501">
        <v>60</v>
      </c>
      <c r="U475" s="371">
        <v>49401140</v>
      </c>
      <c r="V475" s="501" t="s">
        <v>2482</v>
      </c>
      <c r="W475" s="501">
        <v>400</v>
      </c>
      <c r="X475" s="505">
        <v>768</v>
      </c>
      <c r="Y475" s="477">
        <f t="shared" si="99"/>
        <v>307200</v>
      </c>
      <c r="Z475" s="478">
        <v>0.52500000000000002</v>
      </c>
      <c r="AA475" s="492">
        <f t="shared" si="96"/>
        <v>161280</v>
      </c>
      <c r="AB475" s="480"/>
      <c r="AC475" s="481">
        <f t="shared" si="97"/>
        <v>0</v>
      </c>
      <c r="AD475" s="490"/>
      <c r="AE475" s="482"/>
      <c r="AF475" s="493">
        <f t="shared" si="100"/>
        <v>161280</v>
      </c>
      <c r="AG475" s="474" t="s">
        <v>1071</v>
      </c>
      <c r="AH475" s="474"/>
      <c r="AI475" s="483" t="s">
        <v>2442</v>
      </c>
      <c r="AJ475" s="474" t="s">
        <v>2472</v>
      </c>
      <c r="AK475" s="494" t="s">
        <v>1133</v>
      </c>
      <c r="AL475" s="474">
        <v>85008</v>
      </c>
      <c r="AM475" s="474" t="s">
        <v>52</v>
      </c>
      <c r="AN475" s="474" t="s">
        <v>1074</v>
      </c>
      <c r="AO475" s="474"/>
      <c r="AP475" s="486"/>
      <c r="AQ475" s="486" t="s">
        <v>37</v>
      </c>
      <c r="AR475" s="486"/>
      <c r="AS475" s="495"/>
      <c r="AT475" s="495"/>
      <c r="AU475" s="378"/>
      <c r="AV475" s="478"/>
    </row>
    <row r="476" spans="1:48" s="471" customFormat="1" ht="15" customHeight="1">
      <c r="A476" s="472"/>
      <c r="B476" s="514">
        <v>44557</v>
      </c>
      <c r="C476" s="472"/>
      <c r="D476" s="512" t="s">
        <v>2322</v>
      </c>
      <c r="E476" s="501" t="s">
        <v>2726</v>
      </c>
      <c r="F476" s="501"/>
      <c r="G476" s="501">
        <v>2022</v>
      </c>
      <c r="H476" s="501" t="s">
        <v>1676</v>
      </c>
      <c r="I476" s="512" t="s">
        <v>1676</v>
      </c>
      <c r="J476" s="502"/>
      <c r="K476" s="503" t="s">
        <v>4458</v>
      </c>
      <c r="L476" s="501" t="s">
        <v>2459</v>
      </c>
      <c r="M476" s="504">
        <v>44545</v>
      </c>
      <c r="N476" s="504">
        <v>44787</v>
      </c>
      <c r="O476" s="504"/>
      <c r="P476" s="370"/>
      <c r="Q476" s="502"/>
      <c r="R476" s="502"/>
      <c r="S476" s="501" t="s">
        <v>1563</v>
      </c>
      <c r="T476" s="501">
        <v>60</v>
      </c>
      <c r="U476" s="371">
        <v>49401140</v>
      </c>
      <c r="V476" s="501" t="s">
        <v>2482</v>
      </c>
      <c r="W476" s="501">
        <v>400</v>
      </c>
      <c r="X476" s="505">
        <v>768</v>
      </c>
      <c r="Y476" s="477">
        <f t="shared" si="99"/>
        <v>307200</v>
      </c>
      <c r="Z476" s="478">
        <v>0.52500000000000002</v>
      </c>
      <c r="AA476" s="492">
        <f t="shared" si="96"/>
        <v>161280</v>
      </c>
      <c r="AB476" s="480"/>
      <c r="AC476" s="481">
        <f t="shared" si="97"/>
        <v>0</v>
      </c>
      <c r="AD476" s="490"/>
      <c r="AE476" s="482"/>
      <c r="AF476" s="493">
        <f t="shared" si="100"/>
        <v>161280</v>
      </c>
      <c r="AG476" s="474" t="s">
        <v>1071</v>
      </c>
      <c r="AH476" s="474"/>
      <c r="AI476" s="483" t="s">
        <v>2442</v>
      </c>
      <c r="AJ476" s="474" t="s">
        <v>2472</v>
      </c>
      <c r="AK476" s="494" t="s">
        <v>1133</v>
      </c>
      <c r="AL476" s="474">
        <v>85008</v>
      </c>
      <c r="AM476" s="474" t="s">
        <v>52</v>
      </c>
      <c r="AN476" s="474" t="s">
        <v>1074</v>
      </c>
      <c r="AO476" s="474"/>
      <c r="AP476" s="486"/>
      <c r="AQ476" s="486" t="s">
        <v>37</v>
      </c>
      <c r="AR476" s="486"/>
      <c r="AS476" s="495"/>
      <c r="AT476" s="495"/>
      <c r="AU476" s="378"/>
      <c r="AV476" s="478"/>
    </row>
    <row r="477" spans="1:48" s="471" customFormat="1" ht="15" customHeight="1">
      <c r="A477" s="472"/>
      <c r="B477" s="514">
        <v>44557</v>
      </c>
      <c r="C477" s="472"/>
      <c r="D477" s="512" t="s">
        <v>2322</v>
      </c>
      <c r="E477" s="501" t="s">
        <v>2726</v>
      </c>
      <c r="F477" s="501"/>
      <c r="G477" s="501">
        <v>2022</v>
      </c>
      <c r="H477" s="501" t="s">
        <v>1676</v>
      </c>
      <c r="I477" s="512" t="s">
        <v>1676</v>
      </c>
      <c r="J477" s="502"/>
      <c r="K477" s="503" t="s">
        <v>4459</v>
      </c>
      <c r="L477" s="501" t="s">
        <v>2459</v>
      </c>
      <c r="M477" s="504">
        <v>44545</v>
      </c>
      <c r="N477" s="504">
        <v>44778</v>
      </c>
      <c r="O477" s="504"/>
      <c r="P477" s="370"/>
      <c r="Q477" s="502"/>
      <c r="R477" s="502"/>
      <c r="S477" s="501" t="s">
        <v>1563</v>
      </c>
      <c r="T477" s="501">
        <v>60</v>
      </c>
      <c r="U477" s="371">
        <v>49201132</v>
      </c>
      <c r="V477" s="501" t="s">
        <v>986</v>
      </c>
      <c r="W477" s="501">
        <v>360</v>
      </c>
      <c r="X477" s="505">
        <v>832</v>
      </c>
      <c r="Y477" s="477">
        <f t="shared" si="99"/>
        <v>299520</v>
      </c>
      <c r="Z477" s="478">
        <v>0.505</v>
      </c>
      <c r="AA477" s="492">
        <f t="shared" si="96"/>
        <v>151257.60000000001</v>
      </c>
      <c r="AB477" s="480"/>
      <c r="AC477" s="481">
        <f t="shared" si="97"/>
        <v>0</v>
      </c>
      <c r="AD477" s="490"/>
      <c r="AE477" s="482"/>
      <c r="AF477" s="493">
        <f t="shared" si="100"/>
        <v>151257.60000000001</v>
      </c>
      <c r="AG477" s="474" t="s">
        <v>1071</v>
      </c>
      <c r="AH477" s="474"/>
      <c r="AI477" s="483" t="s">
        <v>2442</v>
      </c>
      <c r="AJ477" s="474" t="s">
        <v>2472</v>
      </c>
      <c r="AK477" s="494" t="s">
        <v>1133</v>
      </c>
      <c r="AL477" s="474">
        <v>85008</v>
      </c>
      <c r="AM477" s="474" t="s">
        <v>52</v>
      </c>
      <c r="AN477" s="474" t="s">
        <v>1074</v>
      </c>
      <c r="AO477" s="474"/>
      <c r="AP477" s="486"/>
      <c r="AQ477" s="486" t="s">
        <v>37</v>
      </c>
      <c r="AR477" s="486"/>
      <c r="AS477" s="495"/>
      <c r="AT477" s="495"/>
      <c r="AU477" s="378"/>
      <c r="AV477" s="478"/>
    </row>
    <row r="478" spans="1:48" s="471" customFormat="1" ht="15" customHeight="1">
      <c r="A478" s="472"/>
      <c r="B478" s="514">
        <v>44557</v>
      </c>
      <c r="C478" s="472"/>
      <c r="D478" s="512" t="s">
        <v>2322</v>
      </c>
      <c r="E478" s="501" t="s">
        <v>2726</v>
      </c>
      <c r="F478" s="501"/>
      <c r="G478" s="501">
        <v>2022</v>
      </c>
      <c r="H478" s="501" t="s">
        <v>1676</v>
      </c>
      <c r="I478" s="512" t="s">
        <v>1676</v>
      </c>
      <c r="J478" s="502"/>
      <c r="K478" s="503" t="s">
        <v>4460</v>
      </c>
      <c r="L478" s="501" t="s">
        <v>2459</v>
      </c>
      <c r="M478" s="504">
        <v>44545</v>
      </c>
      <c r="N478" s="504">
        <v>44791</v>
      </c>
      <c r="O478" s="504"/>
      <c r="P478" s="370"/>
      <c r="Q478" s="502"/>
      <c r="R478" s="502"/>
      <c r="S478" s="501" t="s">
        <v>1563</v>
      </c>
      <c r="T478" s="501">
        <v>60</v>
      </c>
      <c r="U478" s="371">
        <v>49401140</v>
      </c>
      <c r="V478" s="501" t="s">
        <v>2482</v>
      </c>
      <c r="W478" s="501">
        <v>400</v>
      </c>
      <c r="X478" s="505">
        <v>768</v>
      </c>
      <c r="Y478" s="477">
        <f t="shared" si="99"/>
        <v>307200</v>
      </c>
      <c r="Z478" s="478">
        <v>0.52500000000000002</v>
      </c>
      <c r="AA478" s="492">
        <f t="shared" si="96"/>
        <v>161280</v>
      </c>
      <c r="AB478" s="480"/>
      <c r="AC478" s="481">
        <f t="shared" si="97"/>
        <v>0</v>
      </c>
      <c r="AD478" s="490"/>
      <c r="AE478" s="482"/>
      <c r="AF478" s="493">
        <f t="shared" si="100"/>
        <v>161280</v>
      </c>
      <c r="AG478" s="474" t="s">
        <v>1071</v>
      </c>
      <c r="AH478" s="474"/>
      <c r="AI478" s="483" t="s">
        <v>2442</v>
      </c>
      <c r="AJ478" s="474" t="s">
        <v>2472</v>
      </c>
      <c r="AK478" s="494" t="s">
        <v>1133</v>
      </c>
      <c r="AL478" s="474">
        <v>85008</v>
      </c>
      <c r="AM478" s="474" t="s">
        <v>52</v>
      </c>
      <c r="AN478" s="474" t="s">
        <v>1074</v>
      </c>
      <c r="AO478" s="474"/>
      <c r="AP478" s="486"/>
      <c r="AQ478" s="486" t="s">
        <v>37</v>
      </c>
      <c r="AR478" s="486"/>
      <c r="AS478" s="495"/>
      <c r="AT478" s="495"/>
      <c r="AU478" s="378"/>
      <c r="AV478" s="478"/>
    </row>
    <row r="479" spans="1:48" s="471" customFormat="1" ht="15" customHeight="1">
      <c r="A479" s="472"/>
      <c r="B479" s="514">
        <v>44557</v>
      </c>
      <c r="C479" s="472"/>
      <c r="D479" s="512" t="s">
        <v>2322</v>
      </c>
      <c r="E479" s="501" t="s">
        <v>2726</v>
      </c>
      <c r="F479" s="501"/>
      <c r="G479" s="501">
        <v>2022</v>
      </c>
      <c r="H479" s="501" t="s">
        <v>1676</v>
      </c>
      <c r="I479" s="512" t="s">
        <v>1676</v>
      </c>
      <c r="J479" s="502"/>
      <c r="K479" s="503" t="s">
        <v>4461</v>
      </c>
      <c r="L479" s="501" t="s">
        <v>2459</v>
      </c>
      <c r="M479" s="504">
        <v>44545</v>
      </c>
      <c r="N479" s="504">
        <v>44793</v>
      </c>
      <c r="O479" s="504"/>
      <c r="P479" s="370"/>
      <c r="Q479" s="502"/>
      <c r="R479" s="502"/>
      <c r="S479" s="501" t="s">
        <v>1563</v>
      </c>
      <c r="T479" s="501">
        <v>60</v>
      </c>
      <c r="U479" s="371">
        <v>49401140</v>
      </c>
      <c r="V479" s="501" t="s">
        <v>2482</v>
      </c>
      <c r="W479" s="501">
        <v>400</v>
      </c>
      <c r="X479" s="505">
        <v>768</v>
      </c>
      <c r="Y479" s="477">
        <f t="shared" si="99"/>
        <v>307200</v>
      </c>
      <c r="Z479" s="478">
        <v>0.52500000000000002</v>
      </c>
      <c r="AA479" s="492">
        <f t="shared" si="96"/>
        <v>161280</v>
      </c>
      <c r="AB479" s="480"/>
      <c r="AC479" s="481">
        <f t="shared" si="97"/>
        <v>0</v>
      </c>
      <c r="AD479" s="490"/>
      <c r="AE479" s="482"/>
      <c r="AF479" s="493">
        <f t="shared" si="100"/>
        <v>161280</v>
      </c>
      <c r="AG479" s="474" t="s">
        <v>1071</v>
      </c>
      <c r="AH479" s="474"/>
      <c r="AI479" s="483" t="s">
        <v>2442</v>
      </c>
      <c r="AJ479" s="474" t="s">
        <v>2472</v>
      </c>
      <c r="AK479" s="494" t="s">
        <v>1133</v>
      </c>
      <c r="AL479" s="474">
        <v>85008</v>
      </c>
      <c r="AM479" s="474" t="s">
        <v>52</v>
      </c>
      <c r="AN479" s="474" t="s">
        <v>1074</v>
      </c>
      <c r="AO479" s="474"/>
      <c r="AP479" s="486"/>
      <c r="AQ479" s="486" t="s">
        <v>37</v>
      </c>
      <c r="AR479" s="486"/>
      <c r="AS479" s="495"/>
      <c r="AT479" s="495"/>
      <c r="AU479" s="378"/>
      <c r="AV479" s="478"/>
    </row>
    <row r="480" spans="1:48" s="471" customFormat="1" ht="15" customHeight="1">
      <c r="A480" s="472"/>
      <c r="B480" s="514">
        <v>44557</v>
      </c>
      <c r="C480" s="472"/>
      <c r="D480" s="512" t="s">
        <v>2322</v>
      </c>
      <c r="E480" s="501" t="s">
        <v>2726</v>
      </c>
      <c r="F480" s="501"/>
      <c r="G480" s="501">
        <v>2022</v>
      </c>
      <c r="H480" s="501" t="s">
        <v>1676</v>
      </c>
      <c r="I480" s="512" t="s">
        <v>1676</v>
      </c>
      <c r="J480" s="502"/>
      <c r="K480" s="503" t="s">
        <v>4462</v>
      </c>
      <c r="L480" s="501" t="s">
        <v>2459</v>
      </c>
      <c r="M480" s="504">
        <v>44545</v>
      </c>
      <c r="N480" s="504">
        <v>44795</v>
      </c>
      <c r="O480" s="504"/>
      <c r="P480" s="370"/>
      <c r="Q480" s="502"/>
      <c r="R480" s="502"/>
      <c r="S480" s="501" t="s">
        <v>1563</v>
      </c>
      <c r="T480" s="501">
        <v>60</v>
      </c>
      <c r="U480" s="371">
        <v>49401140</v>
      </c>
      <c r="V480" s="501" t="s">
        <v>2482</v>
      </c>
      <c r="W480" s="501">
        <v>400</v>
      </c>
      <c r="X480" s="505">
        <v>768</v>
      </c>
      <c r="Y480" s="477">
        <f t="shared" si="99"/>
        <v>307200</v>
      </c>
      <c r="Z480" s="478">
        <v>0.52500000000000002</v>
      </c>
      <c r="AA480" s="492">
        <f t="shared" si="96"/>
        <v>161280</v>
      </c>
      <c r="AB480" s="480"/>
      <c r="AC480" s="481">
        <f t="shared" si="97"/>
        <v>0</v>
      </c>
      <c r="AD480" s="490"/>
      <c r="AE480" s="482"/>
      <c r="AF480" s="493">
        <f t="shared" si="100"/>
        <v>161280</v>
      </c>
      <c r="AG480" s="474" t="s">
        <v>1071</v>
      </c>
      <c r="AH480" s="474"/>
      <c r="AI480" s="483" t="s">
        <v>2442</v>
      </c>
      <c r="AJ480" s="474" t="s">
        <v>2472</v>
      </c>
      <c r="AK480" s="494" t="s">
        <v>1133</v>
      </c>
      <c r="AL480" s="474">
        <v>85008</v>
      </c>
      <c r="AM480" s="474" t="s">
        <v>52</v>
      </c>
      <c r="AN480" s="474" t="s">
        <v>1074</v>
      </c>
      <c r="AO480" s="474"/>
      <c r="AP480" s="486"/>
      <c r="AQ480" s="486" t="s">
        <v>37</v>
      </c>
      <c r="AR480" s="486"/>
      <c r="AS480" s="495"/>
      <c r="AT480" s="495"/>
      <c r="AU480" s="378"/>
      <c r="AV480" s="478"/>
    </row>
    <row r="481" spans="1:48" s="471" customFormat="1" ht="15" customHeight="1">
      <c r="A481" s="472"/>
      <c r="B481" s="514">
        <v>44557</v>
      </c>
      <c r="C481" s="472"/>
      <c r="D481" s="512" t="s">
        <v>2322</v>
      </c>
      <c r="E481" s="501" t="s">
        <v>2726</v>
      </c>
      <c r="F481" s="501"/>
      <c r="G481" s="501">
        <v>2022</v>
      </c>
      <c r="H481" s="501" t="s">
        <v>1676</v>
      </c>
      <c r="I481" s="512" t="s">
        <v>1676</v>
      </c>
      <c r="J481" s="502"/>
      <c r="K481" s="503" t="s">
        <v>4463</v>
      </c>
      <c r="L481" s="501" t="s">
        <v>2459</v>
      </c>
      <c r="M481" s="504">
        <v>44545</v>
      </c>
      <c r="N481" s="504">
        <v>44798</v>
      </c>
      <c r="O481" s="504"/>
      <c r="P481" s="370"/>
      <c r="Q481" s="502"/>
      <c r="R481" s="502"/>
      <c r="S481" s="501" t="s">
        <v>1563</v>
      </c>
      <c r="T481" s="501">
        <v>60</v>
      </c>
      <c r="U481" s="371">
        <v>49401140</v>
      </c>
      <c r="V481" s="501" t="s">
        <v>2482</v>
      </c>
      <c r="W481" s="501">
        <v>400</v>
      </c>
      <c r="X481" s="505">
        <v>768</v>
      </c>
      <c r="Y481" s="477">
        <f t="shared" si="99"/>
        <v>307200</v>
      </c>
      <c r="Z481" s="478">
        <v>0.52500000000000002</v>
      </c>
      <c r="AA481" s="492">
        <f t="shared" si="96"/>
        <v>161280</v>
      </c>
      <c r="AB481" s="480"/>
      <c r="AC481" s="481">
        <f t="shared" si="97"/>
        <v>0</v>
      </c>
      <c r="AD481" s="490"/>
      <c r="AE481" s="482"/>
      <c r="AF481" s="493">
        <f t="shared" si="100"/>
        <v>161280</v>
      </c>
      <c r="AG481" s="474" t="s">
        <v>1071</v>
      </c>
      <c r="AH481" s="474"/>
      <c r="AI481" s="483" t="s">
        <v>2442</v>
      </c>
      <c r="AJ481" s="474" t="s">
        <v>2472</v>
      </c>
      <c r="AK481" s="494" t="s">
        <v>1133</v>
      </c>
      <c r="AL481" s="474">
        <v>85008</v>
      </c>
      <c r="AM481" s="474" t="s">
        <v>52</v>
      </c>
      <c r="AN481" s="474" t="s">
        <v>1074</v>
      </c>
      <c r="AO481" s="474"/>
      <c r="AP481" s="486"/>
      <c r="AQ481" s="486" t="s">
        <v>37</v>
      </c>
      <c r="AR481" s="486"/>
      <c r="AS481" s="495"/>
      <c r="AT481" s="495"/>
      <c r="AU481" s="378"/>
      <c r="AV481" s="478"/>
    </row>
    <row r="482" spans="1:48" s="471" customFormat="1" ht="15" customHeight="1">
      <c r="A482" s="472"/>
      <c r="B482" s="514">
        <v>44557</v>
      </c>
      <c r="C482" s="472"/>
      <c r="D482" s="512" t="s">
        <v>2322</v>
      </c>
      <c r="E482" s="501" t="s">
        <v>2726</v>
      </c>
      <c r="F482" s="501"/>
      <c r="G482" s="501">
        <v>2022</v>
      </c>
      <c r="H482" s="501" t="s">
        <v>1676</v>
      </c>
      <c r="I482" s="512" t="s">
        <v>1676</v>
      </c>
      <c r="J482" s="502"/>
      <c r="K482" s="503" t="s">
        <v>4464</v>
      </c>
      <c r="L482" s="501" t="s">
        <v>2459</v>
      </c>
      <c r="M482" s="504">
        <v>44545</v>
      </c>
      <c r="N482" s="504">
        <v>44806</v>
      </c>
      <c r="O482" s="504"/>
      <c r="P482" s="370"/>
      <c r="Q482" s="502"/>
      <c r="R482" s="502"/>
      <c r="S482" s="501" t="s">
        <v>1563</v>
      </c>
      <c r="T482" s="501">
        <v>60</v>
      </c>
      <c r="U482" s="371">
        <v>49401140</v>
      </c>
      <c r="V482" s="501" t="s">
        <v>2482</v>
      </c>
      <c r="W482" s="501">
        <v>400</v>
      </c>
      <c r="X482" s="505">
        <v>768</v>
      </c>
      <c r="Y482" s="477">
        <f t="shared" si="99"/>
        <v>307200</v>
      </c>
      <c r="Z482" s="478">
        <v>0.52500000000000002</v>
      </c>
      <c r="AA482" s="492">
        <f t="shared" si="96"/>
        <v>161280</v>
      </c>
      <c r="AB482" s="480"/>
      <c r="AC482" s="481">
        <f t="shared" si="97"/>
        <v>0</v>
      </c>
      <c r="AD482" s="490"/>
      <c r="AE482" s="482"/>
      <c r="AF482" s="493">
        <f t="shared" si="100"/>
        <v>161280</v>
      </c>
      <c r="AG482" s="474" t="s">
        <v>1071</v>
      </c>
      <c r="AH482" s="474"/>
      <c r="AI482" s="483" t="s">
        <v>2442</v>
      </c>
      <c r="AJ482" s="474" t="s">
        <v>2472</v>
      </c>
      <c r="AK482" s="494" t="s">
        <v>1133</v>
      </c>
      <c r="AL482" s="474">
        <v>85008</v>
      </c>
      <c r="AM482" s="474" t="s">
        <v>52</v>
      </c>
      <c r="AN482" s="474" t="s">
        <v>1074</v>
      </c>
      <c r="AO482" s="474"/>
      <c r="AP482" s="486"/>
      <c r="AQ482" s="486" t="s">
        <v>37</v>
      </c>
      <c r="AR482" s="486"/>
      <c r="AS482" s="495"/>
      <c r="AT482" s="495"/>
      <c r="AU482" s="378"/>
      <c r="AV482" s="478"/>
    </row>
    <row r="483" spans="1:48" s="471" customFormat="1" ht="15" customHeight="1">
      <c r="A483" s="472"/>
      <c r="B483" s="514">
        <v>44557</v>
      </c>
      <c r="C483" s="472"/>
      <c r="D483" s="512" t="s">
        <v>2322</v>
      </c>
      <c r="E483" s="501" t="s">
        <v>2726</v>
      </c>
      <c r="F483" s="501"/>
      <c r="G483" s="501">
        <v>2022</v>
      </c>
      <c r="H483" s="501" t="s">
        <v>1676</v>
      </c>
      <c r="I483" s="512" t="s">
        <v>1676</v>
      </c>
      <c r="J483" s="502"/>
      <c r="K483" s="503" t="s">
        <v>4465</v>
      </c>
      <c r="L483" s="501" t="s">
        <v>2459</v>
      </c>
      <c r="M483" s="504">
        <v>44545</v>
      </c>
      <c r="N483" s="504">
        <v>44806</v>
      </c>
      <c r="O483" s="504"/>
      <c r="P483" s="370"/>
      <c r="Q483" s="502"/>
      <c r="R483" s="502"/>
      <c r="S483" s="501" t="s">
        <v>1563</v>
      </c>
      <c r="T483" s="501">
        <v>60</v>
      </c>
      <c r="U483" s="371">
        <v>49201132</v>
      </c>
      <c r="V483" s="501" t="s">
        <v>986</v>
      </c>
      <c r="W483" s="501">
        <v>360</v>
      </c>
      <c r="X483" s="505">
        <v>832</v>
      </c>
      <c r="Y483" s="477">
        <f t="shared" si="99"/>
        <v>299520</v>
      </c>
      <c r="Z483" s="478">
        <v>0.505</v>
      </c>
      <c r="AA483" s="492">
        <f t="shared" si="96"/>
        <v>151257.60000000001</v>
      </c>
      <c r="AB483" s="480"/>
      <c r="AC483" s="481">
        <f t="shared" si="97"/>
        <v>0</v>
      </c>
      <c r="AD483" s="490"/>
      <c r="AE483" s="482"/>
      <c r="AF483" s="493">
        <f t="shared" si="100"/>
        <v>151257.60000000001</v>
      </c>
      <c r="AG483" s="474" t="s">
        <v>1071</v>
      </c>
      <c r="AH483" s="474"/>
      <c r="AI483" s="483" t="s">
        <v>2442</v>
      </c>
      <c r="AJ483" s="474" t="s">
        <v>2472</v>
      </c>
      <c r="AK483" s="494" t="s">
        <v>1133</v>
      </c>
      <c r="AL483" s="474">
        <v>85008</v>
      </c>
      <c r="AM483" s="474" t="s">
        <v>52</v>
      </c>
      <c r="AN483" s="474" t="s">
        <v>1074</v>
      </c>
      <c r="AO483" s="474"/>
      <c r="AP483" s="486"/>
      <c r="AQ483" s="486" t="s">
        <v>37</v>
      </c>
      <c r="AR483" s="486"/>
      <c r="AS483" s="495"/>
      <c r="AT483" s="495"/>
      <c r="AU483" s="378"/>
      <c r="AV483" s="478"/>
    </row>
    <row r="484" spans="1:48" s="471" customFormat="1" ht="15" customHeight="1">
      <c r="A484" s="472"/>
      <c r="B484" s="514">
        <v>44557</v>
      </c>
      <c r="C484" s="472"/>
      <c r="D484" s="512" t="s">
        <v>2322</v>
      </c>
      <c r="E484" s="501" t="s">
        <v>2726</v>
      </c>
      <c r="F484" s="501"/>
      <c r="G484" s="501">
        <v>2022</v>
      </c>
      <c r="H484" s="501" t="s">
        <v>1676</v>
      </c>
      <c r="I484" s="512" t="s">
        <v>1676</v>
      </c>
      <c r="J484" s="502"/>
      <c r="K484" s="503" t="s">
        <v>4466</v>
      </c>
      <c r="L484" s="501" t="s">
        <v>2459</v>
      </c>
      <c r="M484" s="504">
        <v>44545</v>
      </c>
      <c r="N484" s="504">
        <v>44809</v>
      </c>
      <c r="O484" s="504"/>
      <c r="P484" s="370"/>
      <c r="Q484" s="502"/>
      <c r="R484" s="502"/>
      <c r="S484" s="501" t="s">
        <v>1563</v>
      </c>
      <c r="T484" s="501">
        <v>60</v>
      </c>
      <c r="U484" s="371">
        <v>49401140</v>
      </c>
      <c r="V484" s="501" t="s">
        <v>2482</v>
      </c>
      <c r="W484" s="501">
        <v>400</v>
      </c>
      <c r="X484" s="505">
        <v>768</v>
      </c>
      <c r="Y484" s="477">
        <f t="shared" si="99"/>
        <v>307200</v>
      </c>
      <c r="Z484" s="478">
        <v>0.52500000000000002</v>
      </c>
      <c r="AA484" s="492">
        <f t="shared" si="96"/>
        <v>161280</v>
      </c>
      <c r="AB484" s="480"/>
      <c r="AC484" s="481">
        <f t="shared" si="97"/>
        <v>0</v>
      </c>
      <c r="AD484" s="490"/>
      <c r="AE484" s="482"/>
      <c r="AF484" s="493">
        <f t="shared" si="100"/>
        <v>161280</v>
      </c>
      <c r="AG484" s="474" t="s">
        <v>1071</v>
      </c>
      <c r="AH484" s="474"/>
      <c r="AI484" s="483" t="s">
        <v>2442</v>
      </c>
      <c r="AJ484" s="474" t="s">
        <v>2472</v>
      </c>
      <c r="AK484" s="494" t="s">
        <v>1133</v>
      </c>
      <c r="AL484" s="474">
        <v>85008</v>
      </c>
      <c r="AM484" s="474" t="s">
        <v>52</v>
      </c>
      <c r="AN484" s="474" t="s">
        <v>1074</v>
      </c>
      <c r="AO484" s="474"/>
      <c r="AP484" s="486"/>
      <c r="AQ484" s="486" t="s">
        <v>37</v>
      </c>
      <c r="AR484" s="486"/>
      <c r="AS484" s="495"/>
      <c r="AT484" s="495"/>
      <c r="AU484" s="378"/>
      <c r="AV484" s="478"/>
    </row>
    <row r="485" spans="1:48" s="471" customFormat="1" ht="15" customHeight="1">
      <c r="A485" s="472"/>
      <c r="B485" s="514">
        <v>44557</v>
      </c>
      <c r="C485" s="472"/>
      <c r="D485" s="512" t="s">
        <v>2322</v>
      </c>
      <c r="E485" s="501" t="s">
        <v>2726</v>
      </c>
      <c r="F485" s="501"/>
      <c r="G485" s="501">
        <v>2022</v>
      </c>
      <c r="H485" s="501" t="s">
        <v>1676</v>
      </c>
      <c r="I485" s="512" t="s">
        <v>1676</v>
      </c>
      <c r="J485" s="502"/>
      <c r="K485" s="503" t="s">
        <v>4467</v>
      </c>
      <c r="L485" s="501" t="s">
        <v>2459</v>
      </c>
      <c r="M485" s="504">
        <v>44545</v>
      </c>
      <c r="N485" s="504">
        <v>44812</v>
      </c>
      <c r="O485" s="504"/>
      <c r="P485" s="370"/>
      <c r="Q485" s="502"/>
      <c r="R485" s="502"/>
      <c r="S485" s="501" t="s">
        <v>1563</v>
      </c>
      <c r="T485" s="501">
        <v>60</v>
      </c>
      <c r="U485" s="371">
        <v>49401140</v>
      </c>
      <c r="V485" s="501" t="s">
        <v>2482</v>
      </c>
      <c r="W485" s="501">
        <v>400</v>
      </c>
      <c r="X485" s="505">
        <v>768</v>
      </c>
      <c r="Y485" s="477">
        <f t="shared" si="99"/>
        <v>307200</v>
      </c>
      <c r="Z485" s="478">
        <v>0.52500000000000002</v>
      </c>
      <c r="AA485" s="492">
        <f t="shared" si="96"/>
        <v>161280</v>
      </c>
      <c r="AB485" s="480"/>
      <c r="AC485" s="481">
        <f t="shared" si="97"/>
        <v>0</v>
      </c>
      <c r="AD485" s="490"/>
      <c r="AE485" s="482"/>
      <c r="AF485" s="493">
        <f t="shared" si="100"/>
        <v>161280</v>
      </c>
      <c r="AG485" s="474" t="s">
        <v>1071</v>
      </c>
      <c r="AH485" s="474"/>
      <c r="AI485" s="483" t="s">
        <v>2442</v>
      </c>
      <c r="AJ485" s="474" t="s">
        <v>2472</v>
      </c>
      <c r="AK485" s="494" t="s">
        <v>1133</v>
      </c>
      <c r="AL485" s="474">
        <v>85008</v>
      </c>
      <c r="AM485" s="474" t="s">
        <v>52</v>
      </c>
      <c r="AN485" s="474" t="s">
        <v>1074</v>
      </c>
      <c r="AO485" s="474"/>
      <c r="AP485" s="486"/>
      <c r="AQ485" s="486" t="s">
        <v>37</v>
      </c>
      <c r="AR485" s="486"/>
      <c r="AS485" s="495"/>
      <c r="AT485" s="495"/>
      <c r="AU485" s="378"/>
      <c r="AV485" s="478"/>
    </row>
    <row r="486" spans="1:48" s="471" customFormat="1" ht="15" customHeight="1">
      <c r="A486" s="472"/>
      <c r="B486" s="514">
        <v>44557</v>
      </c>
      <c r="C486" s="472"/>
      <c r="D486" s="512" t="s">
        <v>2322</v>
      </c>
      <c r="E486" s="501" t="s">
        <v>2726</v>
      </c>
      <c r="F486" s="501"/>
      <c r="G486" s="501">
        <v>2022</v>
      </c>
      <c r="H486" s="501" t="s">
        <v>1676</v>
      </c>
      <c r="I486" s="512" t="s">
        <v>1676</v>
      </c>
      <c r="J486" s="502"/>
      <c r="K486" s="503" t="s">
        <v>4468</v>
      </c>
      <c r="L486" s="501" t="s">
        <v>2459</v>
      </c>
      <c r="M486" s="504">
        <v>44545</v>
      </c>
      <c r="N486" s="504">
        <v>44815</v>
      </c>
      <c r="O486" s="504"/>
      <c r="P486" s="370"/>
      <c r="Q486" s="502"/>
      <c r="R486" s="502"/>
      <c r="S486" s="501" t="s">
        <v>1563</v>
      </c>
      <c r="T486" s="501">
        <v>60</v>
      </c>
      <c r="U486" s="371">
        <v>49401140</v>
      </c>
      <c r="V486" s="501" t="s">
        <v>2482</v>
      </c>
      <c r="W486" s="501">
        <v>400</v>
      </c>
      <c r="X486" s="505">
        <v>768</v>
      </c>
      <c r="Y486" s="477">
        <f t="shared" si="99"/>
        <v>307200</v>
      </c>
      <c r="Z486" s="478">
        <v>0.52500000000000002</v>
      </c>
      <c r="AA486" s="492">
        <f t="shared" si="96"/>
        <v>161280</v>
      </c>
      <c r="AB486" s="480"/>
      <c r="AC486" s="481">
        <f t="shared" si="97"/>
        <v>0</v>
      </c>
      <c r="AD486" s="490"/>
      <c r="AE486" s="482"/>
      <c r="AF486" s="493">
        <f t="shared" si="100"/>
        <v>161280</v>
      </c>
      <c r="AG486" s="474" t="s">
        <v>1071</v>
      </c>
      <c r="AH486" s="474"/>
      <c r="AI486" s="483" t="s">
        <v>2442</v>
      </c>
      <c r="AJ486" s="474" t="s">
        <v>2472</v>
      </c>
      <c r="AK486" s="494" t="s">
        <v>1133</v>
      </c>
      <c r="AL486" s="474">
        <v>85008</v>
      </c>
      <c r="AM486" s="474" t="s">
        <v>52</v>
      </c>
      <c r="AN486" s="474" t="s">
        <v>1074</v>
      </c>
      <c r="AO486" s="474"/>
      <c r="AP486" s="486"/>
      <c r="AQ486" s="486" t="s">
        <v>37</v>
      </c>
      <c r="AR486" s="486"/>
      <c r="AS486" s="495"/>
      <c r="AT486" s="495"/>
      <c r="AU486" s="378"/>
      <c r="AV486" s="478"/>
    </row>
    <row r="487" spans="1:48" s="471" customFormat="1" ht="15" customHeight="1">
      <c r="A487" s="472"/>
      <c r="B487" s="514">
        <v>44557</v>
      </c>
      <c r="C487" s="472"/>
      <c r="D487" s="512" t="s">
        <v>2322</v>
      </c>
      <c r="E487" s="501" t="s">
        <v>2726</v>
      </c>
      <c r="F487" s="501"/>
      <c r="G487" s="501">
        <v>2022</v>
      </c>
      <c r="H487" s="501" t="s">
        <v>1676</v>
      </c>
      <c r="I487" s="512" t="s">
        <v>1676</v>
      </c>
      <c r="J487" s="502"/>
      <c r="K487" s="503" t="s">
        <v>4469</v>
      </c>
      <c r="L487" s="501" t="s">
        <v>2459</v>
      </c>
      <c r="M487" s="504">
        <v>44545</v>
      </c>
      <c r="N487" s="504">
        <v>44818</v>
      </c>
      <c r="O487" s="504"/>
      <c r="P487" s="370"/>
      <c r="Q487" s="502"/>
      <c r="R487" s="502"/>
      <c r="S487" s="501" t="s">
        <v>1563</v>
      </c>
      <c r="T487" s="501">
        <v>60</v>
      </c>
      <c r="U487" s="371">
        <v>49401140</v>
      </c>
      <c r="V487" s="501" t="s">
        <v>2482</v>
      </c>
      <c r="W487" s="501">
        <v>400</v>
      </c>
      <c r="X487" s="505">
        <v>768</v>
      </c>
      <c r="Y487" s="477">
        <f t="shared" si="99"/>
        <v>307200</v>
      </c>
      <c r="Z487" s="478">
        <v>0.52500000000000002</v>
      </c>
      <c r="AA487" s="492">
        <f t="shared" si="96"/>
        <v>161280</v>
      </c>
      <c r="AB487" s="480"/>
      <c r="AC487" s="481">
        <f t="shared" si="97"/>
        <v>0</v>
      </c>
      <c r="AD487" s="490"/>
      <c r="AE487" s="482"/>
      <c r="AF487" s="493">
        <f t="shared" si="100"/>
        <v>161280</v>
      </c>
      <c r="AG487" s="474" t="s">
        <v>1071</v>
      </c>
      <c r="AH487" s="474"/>
      <c r="AI487" s="483" t="s">
        <v>2442</v>
      </c>
      <c r="AJ487" s="474" t="s">
        <v>2472</v>
      </c>
      <c r="AK487" s="494" t="s">
        <v>1133</v>
      </c>
      <c r="AL487" s="474">
        <v>85008</v>
      </c>
      <c r="AM487" s="474" t="s">
        <v>52</v>
      </c>
      <c r="AN487" s="474" t="s">
        <v>1074</v>
      </c>
      <c r="AO487" s="474"/>
      <c r="AP487" s="486"/>
      <c r="AQ487" s="486" t="s">
        <v>37</v>
      </c>
      <c r="AR487" s="486"/>
      <c r="AS487" s="495"/>
      <c r="AT487" s="495"/>
      <c r="AU487" s="378"/>
      <c r="AV487" s="478"/>
    </row>
    <row r="488" spans="1:48" s="471" customFormat="1" ht="15" customHeight="1">
      <c r="A488" s="472"/>
      <c r="B488" s="514">
        <v>44557</v>
      </c>
      <c r="C488" s="472"/>
      <c r="D488" s="512" t="s">
        <v>2322</v>
      </c>
      <c r="E488" s="501" t="s">
        <v>2726</v>
      </c>
      <c r="F488" s="501"/>
      <c r="G488" s="501">
        <v>2022</v>
      </c>
      <c r="H488" s="501" t="s">
        <v>1676</v>
      </c>
      <c r="I488" s="512" t="s">
        <v>1676</v>
      </c>
      <c r="J488" s="502"/>
      <c r="K488" s="503" t="s">
        <v>4470</v>
      </c>
      <c r="L488" s="501" t="s">
        <v>2459</v>
      </c>
      <c r="M488" s="504">
        <v>44545</v>
      </c>
      <c r="N488" s="504">
        <v>44819</v>
      </c>
      <c r="O488" s="504"/>
      <c r="P488" s="370"/>
      <c r="Q488" s="502"/>
      <c r="R488" s="502"/>
      <c r="S488" s="501" t="s">
        <v>1563</v>
      </c>
      <c r="T488" s="501">
        <v>60</v>
      </c>
      <c r="U488" s="371">
        <v>49201132</v>
      </c>
      <c r="V488" s="501" t="s">
        <v>986</v>
      </c>
      <c r="W488" s="501">
        <v>360</v>
      </c>
      <c r="X488" s="505">
        <v>832</v>
      </c>
      <c r="Y488" s="477">
        <f t="shared" si="99"/>
        <v>299520</v>
      </c>
      <c r="Z488" s="478">
        <v>0.505</v>
      </c>
      <c r="AA488" s="492">
        <f t="shared" si="96"/>
        <v>151257.60000000001</v>
      </c>
      <c r="AB488" s="480"/>
      <c r="AC488" s="481">
        <f t="shared" si="97"/>
        <v>0</v>
      </c>
      <c r="AD488" s="490"/>
      <c r="AE488" s="482"/>
      <c r="AF488" s="493">
        <f t="shared" si="100"/>
        <v>151257.60000000001</v>
      </c>
      <c r="AG488" s="474" t="s">
        <v>1071</v>
      </c>
      <c r="AH488" s="474"/>
      <c r="AI488" s="483" t="s">
        <v>2442</v>
      </c>
      <c r="AJ488" s="474" t="s">
        <v>2472</v>
      </c>
      <c r="AK488" s="494" t="s">
        <v>1133</v>
      </c>
      <c r="AL488" s="474">
        <v>85008</v>
      </c>
      <c r="AM488" s="474" t="s">
        <v>52</v>
      </c>
      <c r="AN488" s="474" t="s">
        <v>1074</v>
      </c>
      <c r="AO488" s="474"/>
      <c r="AP488" s="486"/>
      <c r="AQ488" s="486" t="s">
        <v>37</v>
      </c>
      <c r="AR488" s="486"/>
      <c r="AS488" s="495"/>
      <c r="AT488" s="495"/>
      <c r="AU488" s="378"/>
      <c r="AV488" s="478"/>
    </row>
    <row r="489" spans="1:48" s="471" customFormat="1" ht="15" customHeight="1">
      <c r="A489" s="472"/>
      <c r="B489" s="514">
        <v>44557</v>
      </c>
      <c r="C489" s="472"/>
      <c r="D489" s="512" t="s">
        <v>2322</v>
      </c>
      <c r="E489" s="501" t="s">
        <v>2726</v>
      </c>
      <c r="F489" s="501"/>
      <c r="G489" s="501">
        <v>2022</v>
      </c>
      <c r="H489" s="501" t="s">
        <v>1676</v>
      </c>
      <c r="I489" s="512" t="s">
        <v>1676</v>
      </c>
      <c r="J489" s="502"/>
      <c r="K489" s="503" t="s">
        <v>4471</v>
      </c>
      <c r="L489" s="501" t="s">
        <v>2459</v>
      </c>
      <c r="M489" s="504">
        <v>44545</v>
      </c>
      <c r="N489" s="504">
        <v>44823</v>
      </c>
      <c r="O489" s="504"/>
      <c r="P489" s="370"/>
      <c r="Q489" s="502"/>
      <c r="R489" s="502"/>
      <c r="S489" s="501" t="s">
        <v>1563</v>
      </c>
      <c r="T489" s="501">
        <v>60</v>
      </c>
      <c r="U489" s="371">
        <v>49401140</v>
      </c>
      <c r="V489" s="501" t="s">
        <v>2482</v>
      </c>
      <c r="W489" s="501">
        <v>400</v>
      </c>
      <c r="X489" s="505">
        <v>768</v>
      </c>
      <c r="Y489" s="477">
        <f t="shared" si="99"/>
        <v>307200</v>
      </c>
      <c r="Z489" s="478">
        <v>0.52500000000000002</v>
      </c>
      <c r="AA489" s="492">
        <f t="shared" si="96"/>
        <v>161280</v>
      </c>
      <c r="AB489" s="480"/>
      <c r="AC489" s="481">
        <f t="shared" si="97"/>
        <v>0</v>
      </c>
      <c r="AD489" s="490"/>
      <c r="AE489" s="482"/>
      <c r="AF489" s="493">
        <f t="shared" si="100"/>
        <v>161280</v>
      </c>
      <c r="AG489" s="474" t="s">
        <v>1071</v>
      </c>
      <c r="AH489" s="474"/>
      <c r="AI489" s="483" t="s">
        <v>2442</v>
      </c>
      <c r="AJ489" s="474" t="s">
        <v>2472</v>
      </c>
      <c r="AK489" s="494" t="s">
        <v>1133</v>
      </c>
      <c r="AL489" s="474">
        <v>85008</v>
      </c>
      <c r="AM489" s="474" t="s">
        <v>52</v>
      </c>
      <c r="AN489" s="474" t="s">
        <v>1074</v>
      </c>
      <c r="AO489" s="474"/>
      <c r="AP489" s="486"/>
      <c r="AQ489" s="486" t="s">
        <v>37</v>
      </c>
      <c r="AR489" s="486"/>
      <c r="AS489" s="495"/>
      <c r="AT489" s="495"/>
      <c r="AU489" s="378"/>
      <c r="AV489" s="478"/>
    </row>
    <row r="490" spans="1:48" s="471" customFormat="1" ht="15" customHeight="1">
      <c r="A490" s="472"/>
      <c r="B490" s="514">
        <v>44557</v>
      </c>
      <c r="C490" s="472"/>
      <c r="D490" s="512" t="s">
        <v>2322</v>
      </c>
      <c r="E490" s="501" t="s">
        <v>2726</v>
      </c>
      <c r="F490" s="501"/>
      <c r="G490" s="501">
        <v>2022</v>
      </c>
      <c r="H490" s="501" t="s">
        <v>1676</v>
      </c>
      <c r="I490" s="512" t="s">
        <v>1676</v>
      </c>
      <c r="J490" s="502"/>
      <c r="K490" s="503" t="s">
        <v>4472</v>
      </c>
      <c r="L490" s="501" t="s">
        <v>2459</v>
      </c>
      <c r="M490" s="504">
        <v>44545</v>
      </c>
      <c r="N490" s="504">
        <v>44824</v>
      </c>
      <c r="O490" s="504"/>
      <c r="P490" s="370"/>
      <c r="Q490" s="502"/>
      <c r="R490" s="502"/>
      <c r="S490" s="501" t="s">
        <v>1563</v>
      </c>
      <c r="T490" s="501">
        <v>60</v>
      </c>
      <c r="U490" s="371">
        <v>49401140</v>
      </c>
      <c r="V490" s="501" t="s">
        <v>2482</v>
      </c>
      <c r="W490" s="501">
        <v>400</v>
      </c>
      <c r="X490" s="505">
        <v>768</v>
      </c>
      <c r="Y490" s="477">
        <f t="shared" si="99"/>
        <v>307200</v>
      </c>
      <c r="Z490" s="478">
        <v>0.52500000000000002</v>
      </c>
      <c r="AA490" s="492">
        <f t="shared" si="96"/>
        <v>161280</v>
      </c>
      <c r="AB490" s="480"/>
      <c r="AC490" s="481">
        <f t="shared" si="97"/>
        <v>0</v>
      </c>
      <c r="AD490" s="490"/>
      <c r="AE490" s="482"/>
      <c r="AF490" s="493">
        <f t="shared" si="100"/>
        <v>161280</v>
      </c>
      <c r="AG490" s="474" t="s">
        <v>1071</v>
      </c>
      <c r="AH490" s="474"/>
      <c r="AI490" s="483" t="s">
        <v>2442</v>
      </c>
      <c r="AJ490" s="474" t="s">
        <v>2472</v>
      </c>
      <c r="AK490" s="494" t="s">
        <v>1133</v>
      </c>
      <c r="AL490" s="474">
        <v>85008</v>
      </c>
      <c r="AM490" s="474" t="s">
        <v>52</v>
      </c>
      <c r="AN490" s="474" t="s">
        <v>1074</v>
      </c>
      <c r="AO490" s="474"/>
      <c r="AP490" s="486"/>
      <c r="AQ490" s="486" t="s">
        <v>37</v>
      </c>
      <c r="AR490" s="486"/>
      <c r="AS490" s="495"/>
      <c r="AT490" s="495"/>
      <c r="AU490" s="378"/>
      <c r="AV490" s="478"/>
    </row>
    <row r="491" spans="1:48" s="471" customFormat="1" ht="15" customHeight="1">
      <c r="A491" s="472"/>
      <c r="B491" s="514">
        <v>44557</v>
      </c>
      <c r="C491" s="472"/>
      <c r="D491" s="512" t="s">
        <v>2322</v>
      </c>
      <c r="E491" s="501" t="s">
        <v>2726</v>
      </c>
      <c r="F491" s="501"/>
      <c r="G491" s="501">
        <v>2022</v>
      </c>
      <c r="H491" s="501" t="s">
        <v>1676</v>
      </c>
      <c r="I491" s="512" t="s">
        <v>1676</v>
      </c>
      <c r="J491" s="502"/>
      <c r="K491" s="503" t="s">
        <v>4473</v>
      </c>
      <c r="L491" s="501" t="s">
        <v>2459</v>
      </c>
      <c r="M491" s="504">
        <v>44545</v>
      </c>
      <c r="N491" s="504">
        <v>44826</v>
      </c>
      <c r="O491" s="504"/>
      <c r="P491" s="370"/>
      <c r="Q491" s="502"/>
      <c r="R491" s="502"/>
      <c r="S491" s="501" t="s">
        <v>1563</v>
      </c>
      <c r="T491" s="501">
        <v>60</v>
      </c>
      <c r="U491" s="371">
        <v>49401140</v>
      </c>
      <c r="V491" s="501" t="s">
        <v>2482</v>
      </c>
      <c r="W491" s="501">
        <v>400</v>
      </c>
      <c r="X491" s="505">
        <v>768</v>
      </c>
      <c r="Y491" s="477">
        <f t="shared" si="99"/>
        <v>307200</v>
      </c>
      <c r="Z491" s="478">
        <v>0.52500000000000002</v>
      </c>
      <c r="AA491" s="492">
        <f t="shared" si="96"/>
        <v>161280</v>
      </c>
      <c r="AB491" s="480"/>
      <c r="AC491" s="481">
        <f t="shared" si="97"/>
        <v>0</v>
      </c>
      <c r="AD491" s="490"/>
      <c r="AE491" s="482"/>
      <c r="AF491" s="493">
        <f t="shared" si="100"/>
        <v>161280</v>
      </c>
      <c r="AG491" s="474" t="s">
        <v>1071</v>
      </c>
      <c r="AH491" s="474"/>
      <c r="AI491" s="483" t="s">
        <v>2442</v>
      </c>
      <c r="AJ491" s="474" t="s">
        <v>2472</v>
      </c>
      <c r="AK491" s="494" t="s">
        <v>1133</v>
      </c>
      <c r="AL491" s="474">
        <v>85008</v>
      </c>
      <c r="AM491" s="474" t="s">
        <v>52</v>
      </c>
      <c r="AN491" s="474" t="s">
        <v>1074</v>
      </c>
      <c r="AO491" s="474"/>
      <c r="AP491" s="486"/>
      <c r="AQ491" s="486" t="s">
        <v>37</v>
      </c>
      <c r="AR491" s="486"/>
      <c r="AS491" s="495"/>
      <c r="AT491" s="495"/>
      <c r="AU491" s="378"/>
      <c r="AV491" s="478"/>
    </row>
    <row r="492" spans="1:48" s="471" customFormat="1" ht="15" customHeight="1">
      <c r="A492" s="472"/>
      <c r="B492" s="514">
        <v>44557</v>
      </c>
      <c r="C492" s="472"/>
      <c r="D492" s="512" t="s">
        <v>2322</v>
      </c>
      <c r="E492" s="501" t="s">
        <v>2726</v>
      </c>
      <c r="F492" s="501"/>
      <c r="G492" s="501">
        <v>2022</v>
      </c>
      <c r="H492" s="501" t="s">
        <v>1676</v>
      </c>
      <c r="I492" s="512" t="s">
        <v>1676</v>
      </c>
      <c r="J492" s="502"/>
      <c r="K492" s="503" t="s">
        <v>4474</v>
      </c>
      <c r="L492" s="501" t="s">
        <v>2459</v>
      </c>
      <c r="M492" s="504">
        <v>44545</v>
      </c>
      <c r="N492" s="504">
        <v>44835</v>
      </c>
      <c r="O492" s="504"/>
      <c r="P492" s="370"/>
      <c r="Q492" s="502"/>
      <c r="R492" s="502"/>
      <c r="S492" s="501" t="s">
        <v>1563</v>
      </c>
      <c r="T492" s="501">
        <v>60</v>
      </c>
      <c r="U492" s="371">
        <v>49401140</v>
      </c>
      <c r="V492" s="501" t="s">
        <v>2482</v>
      </c>
      <c r="W492" s="501">
        <v>400</v>
      </c>
      <c r="X492" s="505">
        <v>768</v>
      </c>
      <c r="Y492" s="477">
        <f t="shared" si="99"/>
        <v>307200</v>
      </c>
      <c r="Z492" s="478">
        <v>0.52500000000000002</v>
      </c>
      <c r="AA492" s="492">
        <f t="shared" si="96"/>
        <v>161280</v>
      </c>
      <c r="AB492" s="480"/>
      <c r="AC492" s="481">
        <f t="shared" si="97"/>
        <v>0</v>
      </c>
      <c r="AD492" s="490"/>
      <c r="AE492" s="482"/>
      <c r="AF492" s="493">
        <f t="shared" si="100"/>
        <v>161280</v>
      </c>
      <c r="AG492" s="474" t="s">
        <v>1071</v>
      </c>
      <c r="AH492" s="474"/>
      <c r="AI492" s="483" t="s">
        <v>2442</v>
      </c>
      <c r="AJ492" s="474" t="s">
        <v>2472</v>
      </c>
      <c r="AK492" s="494" t="s">
        <v>1133</v>
      </c>
      <c r="AL492" s="474">
        <v>85008</v>
      </c>
      <c r="AM492" s="474" t="s">
        <v>52</v>
      </c>
      <c r="AN492" s="474" t="s">
        <v>1074</v>
      </c>
      <c r="AO492" s="474"/>
      <c r="AP492" s="486"/>
      <c r="AQ492" s="486" t="s">
        <v>37</v>
      </c>
      <c r="AR492" s="486"/>
      <c r="AS492" s="495"/>
      <c r="AT492" s="495"/>
      <c r="AU492" s="378"/>
      <c r="AV492" s="478"/>
    </row>
    <row r="493" spans="1:48" s="471" customFormat="1" ht="15" customHeight="1">
      <c r="A493" s="472"/>
      <c r="B493" s="514">
        <v>44557</v>
      </c>
      <c r="C493" s="472"/>
      <c r="D493" s="512" t="s">
        <v>2322</v>
      </c>
      <c r="E493" s="501" t="s">
        <v>2726</v>
      </c>
      <c r="F493" s="501"/>
      <c r="G493" s="501">
        <v>2022</v>
      </c>
      <c r="H493" s="501" t="s">
        <v>1676</v>
      </c>
      <c r="I493" s="512" t="s">
        <v>1676</v>
      </c>
      <c r="J493" s="502"/>
      <c r="K493" s="503" t="s">
        <v>4475</v>
      </c>
      <c r="L493" s="501" t="s">
        <v>2459</v>
      </c>
      <c r="M493" s="504">
        <v>44545</v>
      </c>
      <c r="N493" s="504">
        <v>44835</v>
      </c>
      <c r="O493" s="504"/>
      <c r="P493" s="370"/>
      <c r="Q493" s="502"/>
      <c r="R493" s="502"/>
      <c r="S493" s="501" t="s">
        <v>1563</v>
      </c>
      <c r="T493" s="501">
        <v>60</v>
      </c>
      <c r="U493" s="371">
        <v>49201132</v>
      </c>
      <c r="V493" s="501" t="s">
        <v>986</v>
      </c>
      <c r="W493" s="501">
        <v>360</v>
      </c>
      <c r="X493" s="505">
        <v>832</v>
      </c>
      <c r="Y493" s="477">
        <f t="shared" si="99"/>
        <v>299520</v>
      </c>
      <c r="Z493" s="478">
        <v>0.505</v>
      </c>
      <c r="AA493" s="492">
        <f t="shared" si="96"/>
        <v>151257.60000000001</v>
      </c>
      <c r="AB493" s="480"/>
      <c r="AC493" s="481">
        <f t="shared" si="97"/>
        <v>0</v>
      </c>
      <c r="AD493" s="490"/>
      <c r="AE493" s="482"/>
      <c r="AF493" s="493">
        <f t="shared" si="100"/>
        <v>151257.60000000001</v>
      </c>
      <c r="AG493" s="474" t="s">
        <v>1071</v>
      </c>
      <c r="AH493" s="474"/>
      <c r="AI493" s="483" t="s">
        <v>2442</v>
      </c>
      <c r="AJ493" s="474" t="s">
        <v>2472</v>
      </c>
      <c r="AK493" s="494" t="s">
        <v>1133</v>
      </c>
      <c r="AL493" s="474">
        <v>85008</v>
      </c>
      <c r="AM493" s="474" t="s">
        <v>52</v>
      </c>
      <c r="AN493" s="474" t="s">
        <v>1074</v>
      </c>
      <c r="AO493" s="474"/>
      <c r="AP493" s="486"/>
      <c r="AQ493" s="486" t="s">
        <v>37</v>
      </c>
      <c r="AR493" s="486"/>
      <c r="AS493" s="495"/>
      <c r="AT493" s="495"/>
      <c r="AU493" s="378"/>
      <c r="AV493" s="478"/>
    </row>
    <row r="494" spans="1:48" s="471" customFormat="1" ht="15" customHeight="1">
      <c r="A494" s="472"/>
      <c r="B494" s="514">
        <v>44557</v>
      </c>
      <c r="C494" s="472"/>
      <c r="D494" s="512" t="s">
        <v>2322</v>
      </c>
      <c r="E494" s="501" t="s">
        <v>2726</v>
      </c>
      <c r="F494" s="501"/>
      <c r="G494" s="501">
        <v>2022</v>
      </c>
      <c r="H494" s="501" t="s">
        <v>1676</v>
      </c>
      <c r="I494" s="512" t="s">
        <v>1676</v>
      </c>
      <c r="J494" s="502"/>
      <c r="K494" s="503" t="s">
        <v>4476</v>
      </c>
      <c r="L494" s="501" t="s">
        <v>2459</v>
      </c>
      <c r="M494" s="504">
        <v>44545</v>
      </c>
      <c r="N494" s="504">
        <v>44837</v>
      </c>
      <c r="O494" s="504"/>
      <c r="P494" s="370"/>
      <c r="Q494" s="502"/>
      <c r="R494" s="502"/>
      <c r="S494" s="501" t="s">
        <v>1563</v>
      </c>
      <c r="T494" s="501">
        <v>60</v>
      </c>
      <c r="U494" s="371">
        <v>49401140</v>
      </c>
      <c r="V494" s="501" t="s">
        <v>2482</v>
      </c>
      <c r="W494" s="501">
        <v>400</v>
      </c>
      <c r="X494" s="505">
        <v>768</v>
      </c>
      <c r="Y494" s="477">
        <f t="shared" si="99"/>
        <v>307200</v>
      </c>
      <c r="Z494" s="478">
        <v>0.52500000000000002</v>
      </c>
      <c r="AA494" s="492">
        <f t="shared" si="96"/>
        <v>161280</v>
      </c>
      <c r="AB494" s="480"/>
      <c r="AC494" s="481">
        <f t="shared" si="97"/>
        <v>0</v>
      </c>
      <c r="AD494" s="490"/>
      <c r="AE494" s="482"/>
      <c r="AF494" s="493">
        <f t="shared" si="100"/>
        <v>161280</v>
      </c>
      <c r="AG494" s="474" t="s">
        <v>1071</v>
      </c>
      <c r="AH494" s="474"/>
      <c r="AI494" s="483" t="s">
        <v>2442</v>
      </c>
      <c r="AJ494" s="474" t="s">
        <v>2472</v>
      </c>
      <c r="AK494" s="494" t="s">
        <v>1133</v>
      </c>
      <c r="AL494" s="474">
        <v>85008</v>
      </c>
      <c r="AM494" s="474" t="s">
        <v>52</v>
      </c>
      <c r="AN494" s="474" t="s">
        <v>1074</v>
      </c>
      <c r="AO494" s="474"/>
      <c r="AP494" s="486"/>
      <c r="AQ494" s="486" t="s">
        <v>37</v>
      </c>
      <c r="AR494" s="486"/>
      <c r="AS494" s="495"/>
      <c r="AT494" s="495"/>
      <c r="AU494" s="378"/>
      <c r="AV494" s="478"/>
    </row>
    <row r="495" spans="1:48" s="471" customFormat="1" ht="15" customHeight="1">
      <c r="A495" s="472"/>
      <c r="B495" s="514">
        <v>44557</v>
      </c>
      <c r="C495" s="472"/>
      <c r="D495" s="512" t="s">
        <v>2322</v>
      </c>
      <c r="E495" s="501" t="s">
        <v>2726</v>
      </c>
      <c r="F495" s="501"/>
      <c r="G495" s="501">
        <v>2022</v>
      </c>
      <c r="H495" s="501" t="s">
        <v>1676</v>
      </c>
      <c r="I495" s="512" t="s">
        <v>1676</v>
      </c>
      <c r="J495" s="502"/>
      <c r="K495" s="503" t="s">
        <v>4477</v>
      </c>
      <c r="L495" s="501" t="s">
        <v>2459</v>
      </c>
      <c r="M495" s="504">
        <v>44545</v>
      </c>
      <c r="N495" s="504">
        <v>44839</v>
      </c>
      <c r="O495" s="504"/>
      <c r="P495" s="370"/>
      <c r="Q495" s="502"/>
      <c r="R495" s="502"/>
      <c r="S495" s="501" t="s">
        <v>1563</v>
      </c>
      <c r="T495" s="501">
        <v>60</v>
      </c>
      <c r="U495" s="371">
        <v>49401140</v>
      </c>
      <c r="V495" s="501" t="s">
        <v>2482</v>
      </c>
      <c r="W495" s="501">
        <v>400</v>
      </c>
      <c r="X495" s="505">
        <v>768</v>
      </c>
      <c r="Y495" s="477">
        <f t="shared" si="99"/>
        <v>307200</v>
      </c>
      <c r="Z495" s="478">
        <v>0.52500000000000002</v>
      </c>
      <c r="AA495" s="492">
        <f t="shared" si="96"/>
        <v>161280</v>
      </c>
      <c r="AB495" s="480"/>
      <c r="AC495" s="481">
        <f t="shared" si="97"/>
        <v>0</v>
      </c>
      <c r="AD495" s="490"/>
      <c r="AE495" s="482"/>
      <c r="AF495" s="493">
        <f t="shared" si="100"/>
        <v>161280</v>
      </c>
      <c r="AG495" s="474" t="s">
        <v>1071</v>
      </c>
      <c r="AH495" s="474"/>
      <c r="AI495" s="483" t="s">
        <v>2442</v>
      </c>
      <c r="AJ495" s="474" t="s">
        <v>2472</v>
      </c>
      <c r="AK495" s="494" t="s">
        <v>1133</v>
      </c>
      <c r="AL495" s="474">
        <v>85008</v>
      </c>
      <c r="AM495" s="474" t="s">
        <v>52</v>
      </c>
      <c r="AN495" s="474" t="s">
        <v>1074</v>
      </c>
      <c r="AO495" s="474"/>
      <c r="AP495" s="486"/>
      <c r="AQ495" s="486" t="s">
        <v>37</v>
      </c>
      <c r="AR495" s="486"/>
      <c r="AS495" s="495"/>
      <c r="AT495" s="495"/>
      <c r="AU495" s="378"/>
      <c r="AV495" s="478"/>
    </row>
    <row r="496" spans="1:48" s="471" customFormat="1" ht="15" customHeight="1">
      <c r="A496" s="472"/>
      <c r="B496" s="514">
        <v>44557</v>
      </c>
      <c r="C496" s="472"/>
      <c r="D496" s="512" t="s">
        <v>2322</v>
      </c>
      <c r="E496" s="501" t="s">
        <v>2726</v>
      </c>
      <c r="F496" s="501"/>
      <c r="G496" s="501">
        <v>2022</v>
      </c>
      <c r="H496" s="501" t="s">
        <v>1676</v>
      </c>
      <c r="I496" s="512" t="s">
        <v>1676</v>
      </c>
      <c r="J496" s="502"/>
      <c r="K496" s="503" t="s">
        <v>4478</v>
      </c>
      <c r="L496" s="501" t="s">
        <v>2459</v>
      </c>
      <c r="M496" s="504">
        <v>44545</v>
      </c>
      <c r="N496" s="504">
        <v>44842</v>
      </c>
      <c r="O496" s="504"/>
      <c r="P496" s="370"/>
      <c r="Q496" s="502"/>
      <c r="R496" s="502"/>
      <c r="S496" s="501" t="s">
        <v>1563</v>
      </c>
      <c r="T496" s="501">
        <v>60</v>
      </c>
      <c r="U496" s="371">
        <v>49401140</v>
      </c>
      <c r="V496" s="501" t="s">
        <v>2482</v>
      </c>
      <c r="W496" s="501">
        <v>400</v>
      </c>
      <c r="X496" s="505">
        <v>768</v>
      </c>
      <c r="Y496" s="477">
        <f t="shared" si="99"/>
        <v>307200</v>
      </c>
      <c r="Z496" s="478">
        <v>0.52500000000000002</v>
      </c>
      <c r="AA496" s="492">
        <f t="shared" si="96"/>
        <v>161280</v>
      </c>
      <c r="AB496" s="480"/>
      <c r="AC496" s="481">
        <f t="shared" si="97"/>
        <v>0</v>
      </c>
      <c r="AD496" s="490"/>
      <c r="AE496" s="482"/>
      <c r="AF496" s="493">
        <f t="shared" si="100"/>
        <v>161280</v>
      </c>
      <c r="AG496" s="474" t="s">
        <v>1071</v>
      </c>
      <c r="AH496" s="474"/>
      <c r="AI496" s="483" t="s">
        <v>2442</v>
      </c>
      <c r="AJ496" s="474" t="s">
        <v>2472</v>
      </c>
      <c r="AK496" s="494" t="s">
        <v>1133</v>
      </c>
      <c r="AL496" s="474">
        <v>85008</v>
      </c>
      <c r="AM496" s="474" t="s">
        <v>52</v>
      </c>
      <c r="AN496" s="474" t="s">
        <v>1074</v>
      </c>
      <c r="AO496" s="474"/>
      <c r="AP496" s="486"/>
      <c r="AQ496" s="486" t="s">
        <v>37</v>
      </c>
      <c r="AR496" s="486"/>
      <c r="AS496" s="495"/>
      <c r="AT496" s="495"/>
      <c r="AU496" s="378"/>
      <c r="AV496" s="478"/>
    </row>
    <row r="497" spans="1:48" s="471" customFormat="1" ht="15" customHeight="1">
      <c r="A497" s="472"/>
      <c r="B497" s="514">
        <v>44557</v>
      </c>
      <c r="C497" s="472"/>
      <c r="D497" s="512" t="s">
        <v>2322</v>
      </c>
      <c r="E497" s="501" t="s">
        <v>2726</v>
      </c>
      <c r="F497" s="501"/>
      <c r="G497" s="501">
        <v>2022</v>
      </c>
      <c r="H497" s="501" t="s">
        <v>1676</v>
      </c>
      <c r="I497" s="512" t="s">
        <v>1676</v>
      </c>
      <c r="J497" s="502"/>
      <c r="K497" s="503" t="s">
        <v>4479</v>
      </c>
      <c r="L497" s="501" t="s">
        <v>2459</v>
      </c>
      <c r="M497" s="504">
        <v>44545</v>
      </c>
      <c r="N497" s="504">
        <v>44845</v>
      </c>
      <c r="O497" s="504"/>
      <c r="P497" s="370"/>
      <c r="Q497" s="502"/>
      <c r="R497" s="502"/>
      <c r="S497" s="501" t="s">
        <v>1563</v>
      </c>
      <c r="T497" s="501">
        <v>60</v>
      </c>
      <c r="U497" s="371">
        <v>49401140</v>
      </c>
      <c r="V497" s="501" t="s">
        <v>2482</v>
      </c>
      <c r="W497" s="501">
        <v>400</v>
      </c>
      <c r="X497" s="505">
        <v>768</v>
      </c>
      <c r="Y497" s="477">
        <f t="shared" si="99"/>
        <v>307200</v>
      </c>
      <c r="Z497" s="478">
        <v>0.52500000000000002</v>
      </c>
      <c r="AA497" s="492">
        <f t="shared" si="96"/>
        <v>161280</v>
      </c>
      <c r="AB497" s="480"/>
      <c r="AC497" s="481">
        <f t="shared" si="97"/>
        <v>0</v>
      </c>
      <c r="AD497" s="490"/>
      <c r="AE497" s="482"/>
      <c r="AF497" s="493">
        <f t="shared" si="100"/>
        <v>161280</v>
      </c>
      <c r="AG497" s="474" t="s">
        <v>1071</v>
      </c>
      <c r="AH497" s="474"/>
      <c r="AI497" s="483" t="s">
        <v>2442</v>
      </c>
      <c r="AJ497" s="474" t="s">
        <v>2472</v>
      </c>
      <c r="AK497" s="494" t="s">
        <v>1133</v>
      </c>
      <c r="AL497" s="474">
        <v>85008</v>
      </c>
      <c r="AM497" s="474" t="s">
        <v>52</v>
      </c>
      <c r="AN497" s="474" t="s">
        <v>1074</v>
      </c>
      <c r="AO497" s="474"/>
      <c r="AP497" s="486"/>
      <c r="AQ497" s="486" t="s">
        <v>37</v>
      </c>
      <c r="AR497" s="486"/>
      <c r="AS497" s="495"/>
      <c r="AT497" s="495"/>
      <c r="AU497" s="378"/>
      <c r="AV497" s="478"/>
    </row>
    <row r="498" spans="1:48" s="471" customFormat="1" ht="15" customHeight="1">
      <c r="A498" s="472"/>
      <c r="B498" s="514">
        <v>44557</v>
      </c>
      <c r="C498" s="472"/>
      <c r="D498" s="512" t="s">
        <v>2322</v>
      </c>
      <c r="E498" s="501" t="s">
        <v>2726</v>
      </c>
      <c r="F498" s="501"/>
      <c r="G498" s="501">
        <v>2022</v>
      </c>
      <c r="H498" s="501" t="s">
        <v>1676</v>
      </c>
      <c r="I498" s="512" t="s">
        <v>1676</v>
      </c>
      <c r="J498" s="502"/>
      <c r="K498" s="503" t="s">
        <v>4480</v>
      </c>
      <c r="L498" s="501" t="s">
        <v>2459</v>
      </c>
      <c r="M498" s="504">
        <v>44545</v>
      </c>
      <c r="N498" s="504">
        <v>44847</v>
      </c>
      <c r="O498" s="504"/>
      <c r="P498" s="370"/>
      <c r="Q498" s="502"/>
      <c r="R498" s="502"/>
      <c r="S498" s="501" t="s">
        <v>1563</v>
      </c>
      <c r="T498" s="501">
        <v>60</v>
      </c>
      <c r="U498" s="371">
        <v>49201132</v>
      </c>
      <c r="V498" s="501" t="s">
        <v>986</v>
      </c>
      <c r="W498" s="501">
        <v>360</v>
      </c>
      <c r="X498" s="505">
        <v>832</v>
      </c>
      <c r="Y498" s="477">
        <f t="shared" si="99"/>
        <v>299520</v>
      </c>
      <c r="Z498" s="478">
        <v>0.505</v>
      </c>
      <c r="AA498" s="492">
        <f t="shared" si="96"/>
        <v>151257.60000000001</v>
      </c>
      <c r="AB498" s="480"/>
      <c r="AC498" s="481">
        <f t="shared" si="97"/>
        <v>0</v>
      </c>
      <c r="AD498" s="490"/>
      <c r="AE498" s="482"/>
      <c r="AF498" s="493">
        <f t="shared" si="100"/>
        <v>151257.60000000001</v>
      </c>
      <c r="AG498" s="474" t="s">
        <v>1071</v>
      </c>
      <c r="AH498" s="474"/>
      <c r="AI498" s="483" t="s">
        <v>2442</v>
      </c>
      <c r="AJ498" s="474" t="s">
        <v>2472</v>
      </c>
      <c r="AK498" s="494" t="s">
        <v>1133</v>
      </c>
      <c r="AL498" s="474">
        <v>85008</v>
      </c>
      <c r="AM498" s="474" t="s">
        <v>52</v>
      </c>
      <c r="AN498" s="474" t="s">
        <v>1074</v>
      </c>
      <c r="AO498" s="474"/>
      <c r="AP498" s="486"/>
      <c r="AQ498" s="486" t="s">
        <v>37</v>
      </c>
      <c r="AR498" s="486"/>
      <c r="AS498" s="495"/>
      <c r="AT498" s="495"/>
      <c r="AU498" s="378"/>
      <c r="AV498" s="478"/>
    </row>
    <row r="499" spans="1:48" s="471" customFormat="1" ht="15" customHeight="1">
      <c r="A499" s="472"/>
      <c r="B499" s="514">
        <v>44557</v>
      </c>
      <c r="C499" s="472"/>
      <c r="D499" s="512" t="s">
        <v>2322</v>
      </c>
      <c r="E499" s="501" t="s">
        <v>2726</v>
      </c>
      <c r="F499" s="501"/>
      <c r="G499" s="501">
        <v>2022</v>
      </c>
      <c r="H499" s="501" t="s">
        <v>1676</v>
      </c>
      <c r="I499" s="512" t="s">
        <v>1676</v>
      </c>
      <c r="J499" s="502"/>
      <c r="K499" s="503" t="s">
        <v>4481</v>
      </c>
      <c r="L499" s="501" t="s">
        <v>2459</v>
      </c>
      <c r="M499" s="504">
        <v>44545</v>
      </c>
      <c r="N499" s="504">
        <v>44848</v>
      </c>
      <c r="O499" s="504"/>
      <c r="P499" s="370"/>
      <c r="Q499" s="502"/>
      <c r="R499" s="502"/>
      <c r="S499" s="501" t="s">
        <v>1563</v>
      </c>
      <c r="T499" s="501">
        <v>60</v>
      </c>
      <c r="U499" s="371">
        <v>49401140</v>
      </c>
      <c r="V499" s="501" t="s">
        <v>2482</v>
      </c>
      <c r="W499" s="501">
        <v>400</v>
      </c>
      <c r="X499" s="505">
        <v>768</v>
      </c>
      <c r="Y499" s="477">
        <f t="shared" si="99"/>
        <v>307200</v>
      </c>
      <c r="Z499" s="478">
        <v>0.52500000000000002</v>
      </c>
      <c r="AA499" s="492">
        <f t="shared" si="96"/>
        <v>161280</v>
      </c>
      <c r="AB499" s="480"/>
      <c r="AC499" s="481">
        <f t="shared" si="97"/>
        <v>0</v>
      </c>
      <c r="AD499" s="490"/>
      <c r="AE499" s="482"/>
      <c r="AF499" s="493">
        <f t="shared" si="100"/>
        <v>161280</v>
      </c>
      <c r="AG499" s="474" t="s">
        <v>1071</v>
      </c>
      <c r="AH499" s="474"/>
      <c r="AI499" s="483" t="s">
        <v>2442</v>
      </c>
      <c r="AJ499" s="474" t="s">
        <v>2472</v>
      </c>
      <c r="AK499" s="494" t="s">
        <v>1133</v>
      </c>
      <c r="AL499" s="474">
        <v>85008</v>
      </c>
      <c r="AM499" s="474" t="s">
        <v>52</v>
      </c>
      <c r="AN499" s="474" t="s">
        <v>1074</v>
      </c>
      <c r="AO499" s="474"/>
      <c r="AP499" s="486"/>
      <c r="AQ499" s="486" t="s">
        <v>37</v>
      </c>
      <c r="AR499" s="486"/>
      <c r="AS499" s="495"/>
      <c r="AT499" s="495"/>
      <c r="AU499" s="378"/>
      <c r="AV499" s="478"/>
    </row>
    <row r="500" spans="1:48" s="471" customFormat="1" ht="15" customHeight="1">
      <c r="A500" s="472"/>
      <c r="B500" s="514">
        <v>44557</v>
      </c>
      <c r="C500" s="472"/>
      <c r="D500" s="512" t="s">
        <v>2322</v>
      </c>
      <c r="E500" s="501" t="s">
        <v>2726</v>
      </c>
      <c r="F500" s="501"/>
      <c r="G500" s="501">
        <v>2022</v>
      </c>
      <c r="H500" s="501" t="s">
        <v>1676</v>
      </c>
      <c r="I500" s="512" t="s">
        <v>1676</v>
      </c>
      <c r="J500" s="502"/>
      <c r="K500" s="503" t="s">
        <v>4482</v>
      </c>
      <c r="L500" s="501" t="s">
        <v>2459</v>
      </c>
      <c r="M500" s="504">
        <v>44545</v>
      </c>
      <c r="N500" s="504">
        <v>44850</v>
      </c>
      <c r="O500" s="504"/>
      <c r="P500" s="370"/>
      <c r="Q500" s="502"/>
      <c r="R500" s="502"/>
      <c r="S500" s="501" t="s">
        <v>1563</v>
      </c>
      <c r="T500" s="501">
        <v>60</v>
      </c>
      <c r="U500" s="371">
        <v>49401140</v>
      </c>
      <c r="V500" s="501" t="s">
        <v>2855</v>
      </c>
      <c r="W500" s="501">
        <v>400</v>
      </c>
      <c r="X500" s="505">
        <v>768</v>
      </c>
      <c r="Y500" s="477">
        <f t="shared" si="99"/>
        <v>307200</v>
      </c>
      <c r="Z500" s="478">
        <v>0.52500000000000002</v>
      </c>
      <c r="AA500" s="492">
        <f t="shared" si="96"/>
        <v>161280</v>
      </c>
      <c r="AB500" s="480"/>
      <c r="AC500" s="481">
        <f t="shared" si="97"/>
        <v>0</v>
      </c>
      <c r="AD500" s="490"/>
      <c r="AE500" s="482"/>
      <c r="AF500" s="493">
        <f t="shared" si="100"/>
        <v>161280</v>
      </c>
      <c r="AG500" s="474" t="s">
        <v>1071</v>
      </c>
      <c r="AH500" s="474"/>
      <c r="AI500" s="483">
        <v>60</v>
      </c>
      <c r="AJ500" s="474" t="s">
        <v>2472</v>
      </c>
      <c r="AK500" s="494" t="s">
        <v>1133</v>
      </c>
      <c r="AL500" s="474">
        <v>85008</v>
      </c>
      <c r="AM500" s="474" t="s">
        <v>52</v>
      </c>
      <c r="AN500" s="474" t="s">
        <v>1074</v>
      </c>
      <c r="AO500" s="474"/>
      <c r="AP500" s="486"/>
      <c r="AQ500" s="486" t="s">
        <v>37</v>
      </c>
      <c r="AR500" s="486"/>
      <c r="AS500" s="495"/>
      <c r="AT500" s="495"/>
      <c r="AU500" s="378"/>
      <c r="AV500" s="478"/>
    </row>
    <row r="501" spans="1:48" s="471" customFormat="1" ht="15" customHeight="1">
      <c r="A501" s="472"/>
      <c r="B501" s="514">
        <v>44557</v>
      </c>
      <c r="C501" s="472"/>
      <c r="D501" s="512" t="s">
        <v>2322</v>
      </c>
      <c r="E501" s="501" t="s">
        <v>2726</v>
      </c>
      <c r="F501" s="501"/>
      <c r="G501" s="501">
        <v>2022</v>
      </c>
      <c r="H501" s="501" t="s">
        <v>1676</v>
      </c>
      <c r="I501" s="512" t="s">
        <v>1676</v>
      </c>
      <c r="J501" s="502"/>
      <c r="K501" s="503" t="s">
        <v>4483</v>
      </c>
      <c r="L501" s="501" t="s">
        <v>2459</v>
      </c>
      <c r="M501" s="504">
        <v>44545</v>
      </c>
      <c r="N501" s="504">
        <v>44853</v>
      </c>
      <c r="O501" s="504"/>
      <c r="P501" s="370"/>
      <c r="Q501" s="502"/>
      <c r="R501" s="502"/>
      <c r="S501" s="501" t="s">
        <v>1563</v>
      </c>
      <c r="T501" s="501">
        <v>60</v>
      </c>
      <c r="U501" s="371">
        <v>49401140</v>
      </c>
      <c r="V501" s="501" t="s">
        <v>2482</v>
      </c>
      <c r="W501" s="501">
        <v>400</v>
      </c>
      <c r="X501" s="505">
        <v>768</v>
      </c>
      <c r="Y501" s="477">
        <f t="shared" si="99"/>
        <v>307200</v>
      </c>
      <c r="Z501" s="478">
        <v>0.52500000000000002</v>
      </c>
      <c r="AA501" s="492">
        <f t="shared" si="96"/>
        <v>161280</v>
      </c>
      <c r="AB501" s="480"/>
      <c r="AC501" s="481">
        <f t="shared" si="97"/>
        <v>0</v>
      </c>
      <c r="AD501" s="490"/>
      <c r="AE501" s="482"/>
      <c r="AF501" s="493">
        <f t="shared" si="100"/>
        <v>161280</v>
      </c>
      <c r="AG501" s="474" t="s">
        <v>1071</v>
      </c>
      <c r="AH501" s="474"/>
      <c r="AI501" s="483" t="s">
        <v>2442</v>
      </c>
      <c r="AJ501" s="474" t="s">
        <v>2472</v>
      </c>
      <c r="AK501" s="494" t="s">
        <v>1133</v>
      </c>
      <c r="AL501" s="474">
        <v>85008</v>
      </c>
      <c r="AM501" s="474" t="s">
        <v>52</v>
      </c>
      <c r="AN501" s="474" t="s">
        <v>1074</v>
      </c>
      <c r="AO501" s="474"/>
      <c r="AP501" s="486"/>
      <c r="AQ501" s="486" t="s">
        <v>37</v>
      </c>
      <c r="AR501" s="486"/>
      <c r="AS501" s="495"/>
      <c r="AT501" s="495"/>
      <c r="AU501" s="378"/>
      <c r="AV501" s="478"/>
    </row>
    <row r="502" spans="1:48" s="471" customFormat="1" ht="15" customHeight="1">
      <c r="A502" s="472"/>
      <c r="B502" s="514">
        <v>44557</v>
      </c>
      <c r="C502" s="472"/>
      <c r="D502" s="512" t="s">
        <v>2322</v>
      </c>
      <c r="E502" s="501" t="s">
        <v>2726</v>
      </c>
      <c r="F502" s="501"/>
      <c r="G502" s="501">
        <v>2022</v>
      </c>
      <c r="H502" s="501" t="s">
        <v>1676</v>
      </c>
      <c r="I502" s="512" t="s">
        <v>1676</v>
      </c>
      <c r="J502" s="502"/>
      <c r="K502" s="503" t="s">
        <v>4484</v>
      </c>
      <c r="L502" s="501" t="s">
        <v>2459</v>
      </c>
      <c r="M502" s="504">
        <v>44545</v>
      </c>
      <c r="N502" s="504">
        <v>44855</v>
      </c>
      <c r="O502" s="504"/>
      <c r="P502" s="370"/>
      <c r="Q502" s="502"/>
      <c r="R502" s="502"/>
      <c r="S502" s="501" t="s">
        <v>1563</v>
      </c>
      <c r="T502" s="501">
        <v>60</v>
      </c>
      <c r="U502" s="371">
        <v>49401140</v>
      </c>
      <c r="V502" s="501" t="s">
        <v>2482</v>
      </c>
      <c r="W502" s="501">
        <v>400</v>
      </c>
      <c r="X502" s="505">
        <v>768</v>
      </c>
      <c r="Y502" s="477">
        <f t="shared" si="99"/>
        <v>307200</v>
      </c>
      <c r="Z502" s="478">
        <v>0.52500000000000002</v>
      </c>
      <c r="AA502" s="492">
        <f t="shared" si="96"/>
        <v>161280</v>
      </c>
      <c r="AB502" s="480"/>
      <c r="AC502" s="481">
        <f t="shared" si="97"/>
        <v>0</v>
      </c>
      <c r="AD502" s="490"/>
      <c r="AE502" s="482"/>
      <c r="AF502" s="493">
        <f t="shared" si="100"/>
        <v>161280</v>
      </c>
      <c r="AG502" s="474" t="s">
        <v>1071</v>
      </c>
      <c r="AH502" s="474"/>
      <c r="AI502" s="483" t="s">
        <v>2442</v>
      </c>
      <c r="AJ502" s="474" t="s">
        <v>2472</v>
      </c>
      <c r="AK502" s="494" t="s">
        <v>1133</v>
      </c>
      <c r="AL502" s="474">
        <v>85008</v>
      </c>
      <c r="AM502" s="474" t="s">
        <v>52</v>
      </c>
      <c r="AN502" s="474" t="s">
        <v>1074</v>
      </c>
      <c r="AO502" s="474"/>
      <c r="AP502" s="486"/>
      <c r="AQ502" s="486" t="s">
        <v>37</v>
      </c>
      <c r="AR502" s="486"/>
      <c r="AS502" s="495"/>
      <c r="AT502" s="495"/>
      <c r="AU502" s="378"/>
      <c r="AV502" s="478"/>
    </row>
    <row r="503" spans="1:48" s="471" customFormat="1" ht="15" customHeight="1">
      <c r="A503" s="472"/>
      <c r="B503" s="514">
        <v>44557</v>
      </c>
      <c r="C503" s="472"/>
      <c r="D503" s="512" t="s">
        <v>2322</v>
      </c>
      <c r="E503" s="501" t="s">
        <v>2726</v>
      </c>
      <c r="F503" s="501"/>
      <c r="G503" s="501">
        <v>2022</v>
      </c>
      <c r="H503" s="501" t="s">
        <v>1676</v>
      </c>
      <c r="I503" s="512" t="s">
        <v>1676</v>
      </c>
      <c r="J503" s="502"/>
      <c r="K503" s="503" t="s">
        <v>4485</v>
      </c>
      <c r="L503" s="501" t="s">
        <v>2459</v>
      </c>
      <c r="M503" s="504">
        <v>44545</v>
      </c>
      <c r="N503" s="504">
        <v>44866</v>
      </c>
      <c r="O503" s="504"/>
      <c r="P503" s="370"/>
      <c r="Q503" s="502"/>
      <c r="R503" s="502"/>
      <c r="S503" s="501" t="s">
        <v>1563</v>
      </c>
      <c r="T503" s="501">
        <v>60</v>
      </c>
      <c r="U503" s="371">
        <v>49401140</v>
      </c>
      <c r="V503" s="501" t="s">
        <v>2482</v>
      </c>
      <c r="W503" s="501">
        <v>400</v>
      </c>
      <c r="X503" s="505">
        <v>768</v>
      </c>
      <c r="Y503" s="477">
        <f t="shared" si="99"/>
        <v>307200</v>
      </c>
      <c r="Z503" s="478">
        <v>0.52500000000000002</v>
      </c>
      <c r="AA503" s="492">
        <f t="shared" si="96"/>
        <v>161280</v>
      </c>
      <c r="AB503" s="480"/>
      <c r="AC503" s="481">
        <f t="shared" si="97"/>
        <v>0</v>
      </c>
      <c r="AD503" s="490"/>
      <c r="AE503" s="482"/>
      <c r="AF503" s="493">
        <f t="shared" si="100"/>
        <v>161280</v>
      </c>
      <c r="AG503" s="474" t="s">
        <v>1071</v>
      </c>
      <c r="AH503" s="474"/>
      <c r="AI503" s="483" t="s">
        <v>2442</v>
      </c>
      <c r="AJ503" s="474" t="s">
        <v>2472</v>
      </c>
      <c r="AK503" s="494" t="s">
        <v>1133</v>
      </c>
      <c r="AL503" s="474">
        <v>85008</v>
      </c>
      <c r="AM503" s="474" t="s">
        <v>52</v>
      </c>
      <c r="AN503" s="474" t="s">
        <v>1074</v>
      </c>
      <c r="AO503" s="474"/>
      <c r="AP503" s="486"/>
      <c r="AQ503" s="486" t="s">
        <v>37</v>
      </c>
      <c r="AR503" s="486"/>
      <c r="AS503" s="495"/>
      <c r="AT503" s="495"/>
      <c r="AU503" s="378"/>
      <c r="AV503" s="478"/>
    </row>
    <row r="504" spans="1:48" s="471" customFormat="1" ht="15" customHeight="1">
      <c r="A504" s="472"/>
      <c r="B504" s="514">
        <v>44557</v>
      </c>
      <c r="C504" s="472"/>
      <c r="D504" s="512" t="s">
        <v>2322</v>
      </c>
      <c r="E504" s="501" t="s">
        <v>2726</v>
      </c>
      <c r="F504" s="501"/>
      <c r="G504" s="501">
        <v>2022</v>
      </c>
      <c r="H504" s="501" t="s">
        <v>1676</v>
      </c>
      <c r="I504" s="512" t="s">
        <v>1676</v>
      </c>
      <c r="J504" s="502"/>
      <c r="K504" s="503" t="s">
        <v>4486</v>
      </c>
      <c r="L504" s="501" t="s">
        <v>2459</v>
      </c>
      <c r="M504" s="504">
        <v>44545</v>
      </c>
      <c r="N504" s="504">
        <v>44866</v>
      </c>
      <c r="O504" s="504"/>
      <c r="P504" s="370"/>
      <c r="Q504" s="502"/>
      <c r="R504" s="502"/>
      <c r="S504" s="501" t="s">
        <v>1563</v>
      </c>
      <c r="T504" s="501">
        <v>60</v>
      </c>
      <c r="U504" s="371">
        <v>49201132</v>
      </c>
      <c r="V504" s="501" t="s">
        <v>986</v>
      </c>
      <c r="W504" s="501">
        <v>360</v>
      </c>
      <c r="X504" s="505">
        <v>832</v>
      </c>
      <c r="Y504" s="477">
        <f t="shared" si="99"/>
        <v>299520</v>
      </c>
      <c r="Z504" s="478">
        <v>0.505</v>
      </c>
      <c r="AA504" s="492">
        <f t="shared" si="96"/>
        <v>151257.60000000001</v>
      </c>
      <c r="AB504" s="480"/>
      <c r="AC504" s="481">
        <f t="shared" si="97"/>
        <v>0</v>
      </c>
      <c r="AD504" s="490"/>
      <c r="AE504" s="482"/>
      <c r="AF504" s="493">
        <f t="shared" si="100"/>
        <v>151257.60000000001</v>
      </c>
      <c r="AG504" s="474" t="s">
        <v>1071</v>
      </c>
      <c r="AH504" s="474"/>
      <c r="AI504" s="483" t="s">
        <v>2442</v>
      </c>
      <c r="AJ504" s="474" t="s">
        <v>2472</v>
      </c>
      <c r="AK504" s="494" t="s">
        <v>1133</v>
      </c>
      <c r="AL504" s="474">
        <v>85008</v>
      </c>
      <c r="AM504" s="474" t="s">
        <v>52</v>
      </c>
      <c r="AN504" s="474" t="s">
        <v>1074</v>
      </c>
      <c r="AO504" s="474"/>
      <c r="AP504" s="486"/>
      <c r="AQ504" s="486" t="s">
        <v>37</v>
      </c>
      <c r="AR504" s="486"/>
      <c r="AS504" s="495"/>
      <c r="AT504" s="495"/>
      <c r="AU504" s="378"/>
      <c r="AV504" s="478"/>
    </row>
    <row r="505" spans="1:48" s="471" customFormat="1" ht="15" customHeight="1">
      <c r="A505" s="472"/>
      <c r="B505" s="514">
        <v>44557</v>
      </c>
      <c r="C505" s="472"/>
      <c r="D505" s="512" t="s">
        <v>2322</v>
      </c>
      <c r="E505" s="501" t="s">
        <v>2726</v>
      </c>
      <c r="F505" s="501"/>
      <c r="G505" s="501">
        <v>2022</v>
      </c>
      <c r="H505" s="501" t="s">
        <v>1676</v>
      </c>
      <c r="I505" s="512" t="s">
        <v>1676</v>
      </c>
      <c r="J505" s="502"/>
      <c r="K505" s="503" t="s">
        <v>4487</v>
      </c>
      <c r="L505" s="501" t="s">
        <v>2459</v>
      </c>
      <c r="M505" s="504">
        <v>44545</v>
      </c>
      <c r="N505" s="504">
        <v>44868</v>
      </c>
      <c r="O505" s="504"/>
      <c r="P505" s="370"/>
      <c r="Q505" s="502"/>
      <c r="R505" s="502"/>
      <c r="S505" s="501" t="s">
        <v>1563</v>
      </c>
      <c r="T505" s="501">
        <v>60</v>
      </c>
      <c r="U505" s="371">
        <v>49401140</v>
      </c>
      <c r="V505" s="501" t="s">
        <v>2482</v>
      </c>
      <c r="W505" s="501">
        <v>400</v>
      </c>
      <c r="X505" s="505">
        <v>768</v>
      </c>
      <c r="Y505" s="477">
        <f t="shared" si="99"/>
        <v>307200</v>
      </c>
      <c r="Z505" s="478">
        <v>0.52500000000000002</v>
      </c>
      <c r="AA505" s="492">
        <f t="shared" si="96"/>
        <v>161280</v>
      </c>
      <c r="AB505" s="480"/>
      <c r="AC505" s="481">
        <f t="shared" si="97"/>
        <v>0</v>
      </c>
      <c r="AD505" s="490"/>
      <c r="AE505" s="482"/>
      <c r="AF505" s="493">
        <f t="shared" si="100"/>
        <v>161280</v>
      </c>
      <c r="AG505" s="474" t="s">
        <v>1071</v>
      </c>
      <c r="AH505" s="474"/>
      <c r="AI505" s="483" t="s">
        <v>2442</v>
      </c>
      <c r="AJ505" s="474" t="s">
        <v>2472</v>
      </c>
      <c r="AK505" s="494" t="s">
        <v>1133</v>
      </c>
      <c r="AL505" s="474">
        <v>85008</v>
      </c>
      <c r="AM505" s="474" t="s">
        <v>52</v>
      </c>
      <c r="AN505" s="474" t="s">
        <v>1074</v>
      </c>
      <c r="AO505" s="474"/>
      <c r="AP505" s="486"/>
      <c r="AQ505" s="486" t="s">
        <v>37</v>
      </c>
      <c r="AR505" s="486"/>
      <c r="AS505" s="495"/>
      <c r="AT505" s="495"/>
      <c r="AU505" s="378"/>
      <c r="AV505" s="478"/>
    </row>
    <row r="506" spans="1:48" s="471" customFormat="1" ht="15" customHeight="1">
      <c r="A506" s="472"/>
      <c r="B506" s="514">
        <v>44557</v>
      </c>
      <c r="C506" s="472"/>
      <c r="D506" s="512" t="s">
        <v>2322</v>
      </c>
      <c r="E506" s="501" t="s">
        <v>2726</v>
      </c>
      <c r="F506" s="501"/>
      <c r="G506" s="501">
        <v>2022</v>
      </c>
      <c r="H506" s="501" t="s">
        <v>1676</v>
      </c>
      <c r="I506" s="512" t="s">
        <v>1676</v>
      </c>
      <c r="J506" s="502"/>
      <c r="K506" s="503" t="s">
        <v>4488</v>
      </c>
      <c r="L506" s="501" t="s">
        <v>2459</v>
      </c>
      <c r="M506" s="504">
        <v>44545</v>
      </c>
      <c r="N506" s="504">
        <v>44871</v>
      </c>
      <c r="O506" s="504"/>
      <c r="P506" s="370"/>
      <c r="Q506" s="502"/>
      <c r="R506" s="502"/>
      <c r="S506" s="501" t="s">
        <v>1563</v>
      </c>
      <c r="T506" s="501">
        <v>60</v>
      </c>
      <c r="U506" s="371">
        <v>49201132</v>
      </c>
      <c r="V506" s="501" t="s">
        <v>986</v>
      </c>
      <c r="W506" s="501">
        <v>360</v>
      </c>
      <c r="X506" s="505">
        <v>832</v>
      </c>
      <c r="Y506" s="477">
        <f t="shared" si="99"/>
        <v>299520</v>
      </c>
      <c r="Z506" s="478">
        <v>0.505</v>
      </c>
      <c r="AA506" s="492">
        <f t="shared" si="96"/>
        <v>151257.60000000001</v>
      </c>
      <c r="AB506" s="480"/>
      <c r="AC506" s="481">
        <f t="shared" si="97"/>
        <v>0</v>
      </c>
      <c r="AD506" s="490"/>
      <c r="AE506" s="482"/>
      <c r="AF506" s="493">
        <f t="shared" si="100"/>
        <v>151257.60000000001</v>
      </c>
      <c r="AG506" s="474" t="s">
        <v>1071</v>
      </c>
      <c r="AH506" s="474"/>
      <c r="AI506" s="483" t="s">
        <v>2442</v>
      </c>
      <c r="AJ506" s="474" t="s">
        <v>2472</v>
      </c>
      <c r="AK506" s="494" t="s">
        <v>1133</v>
      </c>
      <c r="AL506" s="474">
        <v>85008</v>
      </c>
      <c r="AM506" s="474" t="s">
        <v>52</v>
      </c>
      <c r="AN506" s="474" t="s">
        <v>1074</v>
      </c>
      <c r="AO506" s="474"/>
      <c r="AP506" s="486"/>
      <c r="AQ506" s="486" t="s">
        <v>37</v>
      </c>
      <c r="AR506" s="486"/>
      <c r="AS506" s="495"/>
      <c r="AT506" s="495"/>
      <c r="AU506" s="378"/>
      <c r="AV506" s="478"/>
    </row>
    <row r="507" spans="1:48" s="471" customFormat="1" ht="15" customHeight="1">
      <c r="A507" s="472"/>
      <c r="B507" s="514">
        <v>44557</v>
      </c>
      <c r="C507" s="472"/>
      <c r="D507" s="512" t="s">
        <v>2322</v>
      </c>
      <c r="E507" s="501" t="s">
        <v>2726</v>
      </c>
      <c r="F507" s="501"/>
      <c r="G507" s="501">
        <v>2022</v>
      </c>
      <c r="H507" s="501" t="s">
        <v>1676</v>
      </c>
      <c r="I507" s="512" t="s">
        <v>1676</v>
      </c>
      <c r="J507" s="502"/>
      <c r="K507" s="503" t="s">
        <v>4489</v>
      </c>
      <c r="L507" s="501" t="s">
        <v>2459</v>
      </c>
      <c r="M507" s="504">
        <v>44545</v>
      </c>
      <c r="N507" s="504">
        <v>44873</v>
      </c>
      <c r="O507" s="504"/>
      <c r="P507" s="370"/>
      <c r="Q507" s="502"/>
      <c r="R507" s="502"/>
      <c r="S507" s="501" t="s">
        <v>1563</v>
      </c>
      <c r="T507" s="501">
        <v>60</v>
      </c>
      <c r="U507" s="371">
        <v>49401140</v>
      </c>
      <c r="V507" s="501" t="s">
        <v>2482</v>
      </c>
      <c r="W507" s="501">
        <v>400</v>
      </c>
      <c r="X507" s="505">
        <v>768</v>
      </c>
      <c r="Y507" s="477">
        <f t="shared" si="99"/>
        <v>307200</v>
      </c>
      <c r="Z507" s="478">
        <v>0.52500000000000002</v>
      </c>
      <c r="AA507" s="492">
        <f t="shared" ref="AA507:AA570" si="101">Z507*Y507</f>
        <v>161280</v>
      </c>
      <c r="AB507" s="480"/>
      <c r="AC507" s="481">
        <f t="shared" si="97"/>
        <v>0</v>
      </c>
      <c r="AD507" s="490"/>
      <c r="AE507" s="482"/>
      <c r="AF507" s="493">
        <f t="shared" si="100"/>
        <v>161280</v>
      </c>
      <c r="AG507" s="474" t="s">
        <v>1071</v>
      </c>
      <c r="AH507" s="474"/>
      <c r="AI507" s="483" t="s">
        <v>2442</v>
      </c>
      <c r="AJ507" s="474" t="s">
        <v>2472</v>
      </c>
      <c r="AK507" s="494" t="s">
        <v>1133</v>
      </c>
      <c r="AL507" s="474">
        <v>85008</v>
      </c>
      <c r="AM507" s="474" t="s">
        <v>52</v>
      </c>
      <c r="AN507" s="474" t="s">
        <v>1074</v>
      </c>
      <c r="AO507" s="474"/>
      <c r="AP507" s="486"/>
      <c r="AQ507" s="486" t="s">
        <v>37</v>
      </c>
      <c r="AR507" s="486"/>
      <c r="AS507" s="495"/>
      <c r="AT507" s="495"/>
      <c r="AU507" s="378"/>
      <c r="AV507" s="478"/>
    </row>
    <row r="508" spans="1:48" s="471" customFormat="1" ht="15" customHeight="1">
      <c r="A508" s="472"/>
      <c r="B508" s="514">
        <v>44557</v>
      </c>
      <c r="C508" s="472"/>
      <c r="D508" s="512" t="s">
        <v>2322</v>
      </c>
      <c r="E508" s="501" t="s">
        <v>2726</v>
      </c>
      <c r="F508" s="501"/>
      <c r="G508" s="501">
        <v>2022</v>
      </c>
      <c r="H508" s="501" t="s">
        <v>1676</v>
      </c>
      <c r="I508" s="512" t="s">
        <v>1676</v>
      </c>
      <c r="J508" s="502"/>
      <c r="K508" s="503" t="s">
        <v>4490</v>
      </c>
      <c r="L508" s="501" t="s">
        <v>2459</v>
      </c>
      <c r="M508" s="504">
        <v>44545</v>
      </c>
      <c r="N508" s="504">
        <v>44876</v>
      </c>
      <c r="O508" s="504"/>
      <c r="P508" s="370"/>
      <c r="Q508" s="502"/>
      <c r="R508" s="502"/>
      <c r="S508" s="501" t="s">
        <v>1563</v>
      </c>
      <c r="T508" s="501">
        <v>60</v>
      </c>
      <c r="U508" s="371">
        <v>49401140</v>
      </c>
      <c r="V508" s="501" t="s">
        <v>2482</v>
      </c>
      <c r="W508" s="501">
        <v>400</v>
      </c>
      <c r="X508" s="505">
        <v>768</v>
      </c>
      <c r="Y508" s="477">
        <f t="shared" si="99"/>
        <v>307200</v>
      </c>
      <c r="Z508" s="478">
        <v>0.52500000000000002</v>
      </c>
      <c r="AA508" s="492">
        <f t="shared" si="101"/>
        <v>161280</v>
      </c>
      <c r="AB508" s="480"/>
      <c r="AC508" s="481">
        <f t="shared" si="97"/>
        <v>0</v>
      </c>
      <c r="AD508" s="490"/>
      <c r="AE508" s="482"/>
      <c r="AF508" s="493">
        <f t="shared" si="100"/>
        <v>161280</v>
      </c>
      <c r="AG508" s="474" t="s">
        <v>1071</v>
      </c>
      <c r="AH508" s="474"/>
      <c r="AI508" s="483" t="s">
        <v>2442</v>
      </c>
      <c r="AJ508" s="474" t="s">
        <v>2472</v>
      </c>
      <c r="AK508" s="494" t="s">
        <v>1133</v>
      </c>
      <c r="AL508" s="474">
        <v>85008</v>
      </c>
      <c r="AM508" s="474" t="s">
        <v>52</v>
      </c>
      <c r="AN508" s="474" t="s">
        <v>1074</v>
      </c>
      <c r="AO508" s="474"/>
      <c r="AP508" s="486"/>
      <c r="AQ508" s="486" t="s">
        <v>37</v>
      </c>
      <c r="AR508" s="486"/>
      <c r="AS508" s="495"/>
      <c r="AT508" s="495"/>
      <c r="AU508" s="378"/>
      <c r="AV508" s="478"/>
    </row>
    <row r="509" spans="1:48" s="471" customFormat="1" ht="15" customHeight="1">
      <c r="A509" s="472"/>
      <c r="B509" s="514">
        <v>44557</v>
      </c>
      <c r="C509" s="472"/>
      <c r="D509" s="512" t="s">
        <v>2322</v>
      </c>
      <c r="E509" s="501" t="s">
        <v>2726</v>
      </c>
      <c r="F509" s="501"/>
      <c r="G509" s="501">
        <v>2022</v>
      </c>
      <c r="H509" s="501" t="s">
        <v>1676</v>
      </c>
      <c r="I509" s="512" t="s">
        <v>1676</v>
      </c>
      <c r="J509" s="502"/>
      <c r="K509" s="503" t="s">
        <v>4491</v>
      </c>
      <c r="L509" s="501" t="s">
        <v>2459</v>
      </c>
      <c r="M509" s="504">
        <v>44545</v>
      </c>
      <c r="N509" s="504">
        <v>44884</v>
      </c>
      <c r="O509" s="504"/>
      <c r="P509" s="370"/>
      <c r="Q509" s="502"/>
      <c r="R509" s="502"/>
      <c r="S509" s="501" t="s">
        <v>1563</v>
      </c>
      <c r="T509" s="501">
        <v>60</v>
      </c>
      <c r="U509" s="371">
        <v>49401140</v>
      </c>
      <c r="V509" s="501" t="s">
        <v>973</v>
      </c>
      <c r="W509" s="501">
        <v>400</v>
      </c>
      <c r="X509" s="505">
        <v>768</v>
      </c>
      <c r="Y509" s="477">
        <f t="shared" si="99"/>
        <v>307200</v>
      </c>
      <c r="Z509" s="478">
        <v>0.52500000000000002</v>
      </c>
      <c r="AA509" s="492">
        <f t="shared" si="101"/>
        <v>161280</v>
      </c>
      <c r="AB509" s="480"/>
      <c r="AC509" s="481">
        <f t="shared" si="97"/>
        <v>0</v>
      </c>
      <c r="AD509" s="490"/>
      <c r="AE509" s="482"/>
      <c r="AF509" s="493">
        <f t="shared" si="100"/>
        <v>161280</v>
      </c>
      <c r="AG509" s="474" t="s">
        <v>1071</v>
      </c>
      <c r="AH509" s="474"/>
      <c r="AI509" s="483">
        <v>60</v>
      </c>
      <c r="AJ509" s="474" t="s">
        <v>2472</v>
      </c>
      <c r="AK509" s="494" t="s">
        <v>1133</v>
      </c>
      <c r="AL509" s="474">
        <v>85008</v>
      </c>
      <c r="AM509" s="474" t="s">
        <v>52</v>
      </c>
      <c r="AN509" s="474" t="s">
        <v>1074</v>
      </c>
      <c r="AO509" s="474"/>
      <c r="AP509" s="486"/>
      <c r="AQ509" s="486" t="s">
        <v>37</v>
      </c>
      <c r="AR509" s="486"/>
      <c r="AS509" s="495"/>
      <c r="AT509" s="495"/>
      <c r="AU509" s="378"/>
      <c r="AV509" s="478"/>
    </row>
    <row r="510" spans="1:48" s="471" customFormat="1" ht="15" customHeight="1">
      <c r="A510" s="472"/>
      <c r="B510" s="514">
        <v>44557</v>
      </c>
      <c r="C510" s="472"/>
      <c r="D510" s="512" t="s">
        <v>2322</v>
      </c>
      <c r="E510" s="501" t="s">
        <v>2726</v>
      </c>
      <c r="F510" s="501"/>
      <c r="G510" s="501">
        <v>2022</v>
      </c>
      <c r="H510" s="501" t="s">
        <v>1676</v>
      </c>
      <c r="I510" s="512" t="s">
        <v>1676</v>
      </c>
      <c r="J510" s="502"/>
      <c r="K510" s="503" t="s">
        <v>4492</v>
      </c>
      <c r="L510" s="501" t="s">
        <v>2459</v>
      </c>
      <c r="M510" s="504">
        <v>44545</v>
      </c>
      <c r="N510" s="504">
        <v>44886</v>
      </c>
      <c r="O510" s="504"/>
      <c r="P510" s="370"/>
      <c r="Q510" s="502"/>
      <c r="R510" s="502"/>
      <c r="S510" s="501" t="s">
        <v>1563</v>
      </c>
      <c r="T510" s="501">
        <v>60</v>
      </c>
      <c r="U510" s="371">
        <v>49401140</v>
      </c>
      <c r="V510" s="501" t="s">
        <v>2482</v>
      </c>
      <c r="W510" s="501">
        <v>400</v>
      </c>
      <c r="X510" s="505">
        <v>768</v>
      </c>
      <c r="Y510" s="477">
        <f t="shared" si="99"/>
        <v>307200</v>
      </c>
      <c r="Z510" s="478">
        <v>0.52500000000000002</v>
      </c>
      <c r="AA510" s="492">
        <f t="shared" si="101"/>
        <v>161280</v>
      </c>
      <c r="AB510" s="480"/>
      <c r="AC510" s="481">
        <f t="shared" si="97"/>
        <v>0</v>
      </c>
      <c r="AD510" s="490"/>
      <c r="AE510" s="482"/>
      <c r="AF510" s="493">
        <f t="shared" si="100"/>
        <v>161280</v>
      </c>
      <c r="AG510" s="474" t="s">
        <v>1071</v>
      </c>
      <c r="AH510" s="474"/>
      <c r="AI510" s="483" t="s">
        <v>2442</v>
      </c>
      <c r="AJ510" s="474" t="s">
        <v>2472</v>
      </c>
      <c r="AK510" s="494" t="s">
        <v>1133</v>
      </c>
      <c r="AL510" s="474">
        <v>85008</v>
      </c>
      <c r="AM510" s="474" t="s">
        <v>52</v>
      </c>
      <c r="AN510" s="474" t="s">
        <v>1074</v>
      </c>
      <c r="AO510" s="474"/>
      <c r="AP510" s="486"/>
      <c r="AQ510" s="486" t="s">
        <v>37</v>
      </c>
      <c r="AR510" s="486"/>
      <c r="AS510" s="495"/>
      <c r="AT510" s="495"/>
      <c r="AU510" s="378"/>
      <c r="AV510" s="478"/>
    </row>
    <row r="511" spans="1:48" s="471" customFormat="1" ht="15" customHeight="1">
      <c r="A511" s="472"/>
      <c r="B511" s="514">
        <v>44557</v>
      </c>
      <c r="C511" s="472"/>
      <c r="D511" s="512" t="s">
        <v>2322</v>
      </c>
      <c r="E511" s="501" t="s">
        <v>2726</v>
      </c>
      <c r="F511" s="501"/>
      <c r="G511" s="501">
        <v>2022</v>
      </c>
      <c r="H511" s="501" t="s">
        <v>1676</v>
      </c>
      <c r="I511" s="512" t="s">
        <v>1676</v>
      </c>
      <c r="J511" s="502"/>
      <c r="K511" s="503" t="s">
        <v>4493</v>
      </c>
      <c r="L511" s="501" t="s">
        <v>2459</v>
      </c>
      <c r="M511" s="504">
        <v>44545</v>
      </c>
      <c r="N511" s="504">
        <v>44888</v>
      </c>
      <c r="O511" s="504"/>
      <c r="P511" s="370"/>
      <c r="Q511" s="502"/>
      <c r="R511" s="502"/>
      <c r="S511" s="501" t="s">
        <v>1563</v>
      </c>
      <c r="T511" s="501">
        <v>60</v>
      </c>
      <c r="U511" s="371">
        <v>49401140</v>
      </c>
      <c r="V511" s="501" t="s">
        <v>2482</v>
      </c>
      <c r="W511" s="501">
        <v>400</v>
      </c>
      <c r="X511" s="505">
        <v>768</v>
      </c>
      <c r="Y511" s="477">
        <f t="shared" si="99"/>
        <v>307200</v>
      </c>
      <c r="Z511" s="478">
        <v>0.52500000000000002</v>
      </c>
      <c r="AA511" s="492">
        <f t="shared" si="101"/>
        <v>161280</v>
      </c>
      <c r="AB511" s="480"/>
      <c r="AC511" s="481">
        <f t="shared" si="97"/>
        <v>0</v>
      </c>
      <c r="AD511" s="490"/>
      <c r="AE511" s="482"/>
      <c r="AF511" s="493">
        <f t="shared" si="100"/>
        <v>161280</v>
      </c>
      <c r="AG511" s="474" t="s">
        <v>1071</v>
      </c>
      <c r="AH511" s="474"/>
      <c r="AI511" s="483" t="s">
        <v>2442</v>
      </c>
      <c r="AJ511" s="474" t="s">
        <v>2472</v>
      </c>
      <c r="AK511" s="494" t="s">
        <v>1133</v>
      </c>
      <c r="AL511" s="474">
        <v>85008</v>
      </c>
      <c r="AM511" s="474" t="s">
        <v>52</v>
      </c>
      <c r="AN511" s="474" t="s">
        <v>1074</v>
      </c>
      <c r="AO511" s="474"/>
      <c r="AP511" s="486"/>
      <c r="AQ511" s="486" t="s">
        <v>37</v>
      </c>
      <c r="AR511" s="486"/>
      <c r="AS511" s="495"/>
      <c r="AT511" s="495"/>
      <c r="AU511" s="378"/>
      <c r="AV511" s="478"/>
    </row>
    <row r="512" spans="1:48" s="471" customFormat="1" ht="15" customHeight="1">
      <c r="A512" s="472"/>
      <c r="B512" s="514">
        <v>44557</v>
      </c>
      <c r="C512" s="472"/>
      <c r="D512" s="512" t="s">
        <v>2322</v>
      </c>
      <c r="E512" s="501" t="s">
        <v>2726</v>
      </c>
      <c r="F512" s="501"/>
      <c r="G512" s="501">
        <v>2022</v>
      </c>
      <c r="H512" s="501" t="s">
        <v>1676</v>
      </c>
      <c r="I512" s="512" t="s">
        <v>1676</v>
      </c>
      <c r="J512" s="502"/>
      <c r="K512" s="503" t="s">
        <v>4494</v>
      </c>
      <c r="L512" s="501" t="s">
        <v>2459</v>
      </c>
      <c r="M512" s="504">
        <v>44545</v>
      </c>
      <c r="N512" s="504">
        <v>44898</v>
      </c>
      <c r="O512" s="504"/>
      <c r="P512" s="370"/>
      <c r="Q512" s="502"/>
      <c r="R512" s="502"/>
      <c r="S512" s="501" t="s">
        <v>1563</v>
      </c>
      <c r="T512" s="501">
        <v>60</v>
      </c>
      <c r="U512" s="371">
        <v>49401140</v>
      </c>
      <c r="V512" s="501" t="s">
        <v>2482</v>
      </c>
      <c r="W512" s="501">
        <v>400</v>
      </c>
      <c r="X512" s="505">
        <v>768</v>
      </c>
      <c r="Y512" s="477">
        <f t="shared" si="99"/>
        <v>307200</v>
      </c>
      <c r="Z512" s="478">
        <v>0.52500000000000002</v>
      </c>
      <c r="AA512" s="492">
        <f t="shared" si="101"/>
        <v>161280</v>
      </c>
      <c r="AB512" s="480"/>
      <c r="AC512" s="481">
        <f t="shared" si="97"/>
        <v>0</v>
      </c>
      <c r="AD512" s="490"/>
      <c r="AE512" s="482"/>
      <c r="AF512" s="493">
        <f t="shared" si="100"/>
        <v>161280</v>
      </c>
      <c r="AG512" s="474" t="s">
        <v>1071</v>
      </c>
      <c r="AH512" s="474"/>
      <c r="AI512" s="483" t="s">
        <v>2442</v>
      </c>
      <c r="AJ512" s="474" t="s">
        <v>2472</v>
      </c>
      <c r="AK512" s="494" t="s">
        <v>1133</v>
      </c>
      <c r="AL512" s="474">
        <v>85008</v>
      </c>
      <c r="AM512" s="474" t="s">
        <v>52</v>
      </c>
      <c r="AN512" s="474" t="s">
        <v>1074</v>
      </c>
      <c r="AO512" s="474"/>
      <c r="AP512" s="486"/>
      <c r="AQ512" s="486" t="s">
        <v>37</v>
      </c>
      <c r="AR512" s="486"/>
      <c r="AS512" s="495"/>
      <c r="AT512" s="495"/>
      <c r="AU512" s="378"/>
      <c r="AV512" s="478"/>
    </row>
    <row r="513" spans="1:48" s="471" customFormat="1" ht="15" customHeight="1">
      <c r="A513" s="472"/>
      <c r="B513" s="514">
        <v>44557</v>
      </c>
      <c r="C513" s="472"/>
      <c r="D513" s="512" t="s">
        <v>2322</v>
      </c>
      <c r="E513" s="501" t="s">
        <v>2726</v>
      </c>
      <c r="F513" s="501"/>
      <c r="G513" s="501">
        <v>2022</v>
      </c>
      <c r="H513" s="501" t="s">
        <v>1676</v>
      </c>
      <c r="I513" s="512" t="s">
        <v>1676</v>
      </c>
      <c r="J513" s="502"/>
      <c r="K513" s="503" t="s">
        <v>4495</v>
      </c>
      <c r="L513" s="501" t="s">
        <v>2459</v>
      </c>
      <c r="M513" s="504">
        <v>44545</v>
      </c>
      <c r="N513" s="504">
        <v>44899</v>
      </c>
      <c r="O513" s="504"/>
      <c r="P513" s="370"/>
      <c r="Q513" s="502"/>
      <c r="R513" s="502"/>
      <c r="S513" s="501" t="s">
        <v>1563</v>
      </c>
      <c r="T513" s="501">
        <v>60</v>
      </c>
      <c r="U513" s="371">
        <v>49201132</v>
      </c>
      <c r="V513" s="501" t="s">
        <v>986</v>
      </c>
      <c r="W513" s="501">
        <v>360</v>
      </c>
      <c r="X513" s="505">
        <v>832</v>
      </c>
      <c r="Y513" s="477">
        <f t="shared" si="99"/>
        <v>299520</v>
      </c>
      <c r="Z513" s="478">
        <v>0.505</v>
      </c>
      <c r="AA513" s="492">
        <f t="shared" si="101"/>
        <v>151257.60000000001</v>
      </c>
      <c r="AB513" s="480"/>
      <c r="AC513" s="481">
        <f t="shared" ref="AC513:AC576" si="102">AB513*Y513</f>
        <v>0</v>
      </c>
      <c r="AD513" s="490"/>
      <c r="AE513" s="482"/>
      <c r="AF513" s="493">
        <f t="shared" si="100"/>
        <v>151257.60000000001</v>
      </c>
      <c r="AG513" s="474" t="s">
        <v>1071</v>
      </c>
      <c r="AH513" s="474"/>
      <c r="AI513" s="483" t="s">
        <v>2442</v>
      </c>
      <c r="AJ513" s="474" t="s">
        <v>2472</v>
      </c>
      <c r="AK513" s="494" t="s">
        <v>1133</v>
      </c>
      <c r="AL513" s="474">
        <v>85008</v>
      </c>
      <c r="AM513" s="474" t="s">
        <v>52</v>
      </c>
      <c r="AN513" s="474" t="s">
        <v>1074</v>
      </c>
      <c r="AO513" s="474"/>
      <c r="AP513" s="486"/>
      <c r="AQ513" s="486" t="s">
        <v>37</v>
      </c>
      <c r="AR513" s="486"/>
      <c r="AS513" s="495"/>
      <c r="AT513" s="495"/>
      <c r="AU513" s="378"/>
      <c r="AV513" s="478"/>
    </row>
    <row r="514" spans="1:48" s="471" customFormat="1" ht="15" customHeight="1">
      <c r="A514" s="472"/>
      <c r="B514" s="514">
        <v>44557</v>
      </c>
      <c r="C514" s="472"/>
      <c r="D514" s="512" t="s">
        <v>2322</v>
      </c>
      <c r="E514" s="501" t="s">
        <v>2726</v>
      </c>
      <c r="F514" s="501"/>
      <c r="G514" s="501">
        <v>2022</v>
      </c>
      <c r="H514" s="501" t="s">
        <v>1676</v>
      </c>
      <c r="I514" s="512" t="s">
        <v>1676</v>
      </c>
      <c r="J514" s="502"/>
      <c r="K514" s="503" t="s">
        <v>4496</v>
      </c>
      <c r="L514" s="501" t="s">
        <v>2459</v>
      </c>
      <c r="M514" s="504">
        <v>44545</v>
      </c>
      <c r="N514" s="504">
        <v>44900</v>
      </c>
      <c r="O514" s="504"/>
      <c r="P514" s="370"/>
      <c r="Q514" s="502"/>
      <c r="R514" s="502"/>
      <c r="S514" s="501" t="s">
        <v>1563</v>
      </c>
      <c r="T514" s="501">
        <v>60</v>
      </c>
      <c r="U514" s="371">
        <v>49401140</v>
      </c>
      <c r="V514" s="501" t="s">
        <v>2482</v>
      </c>
      <c r="W514" s="501">
        <v>400</v>
      </c>
      <c r="X514" s="505">
        <v>768</v>
      </c>
      <c r="Y514" s="477">
        <f t="shared" si="99"/>
        <v>307200</v>
      </c>
      <c r="Z514" s="478">
        <v>0.52500000000000002</v>
      </c>
      <c r="AA514" s="492">
        <f t="shared" si="101"/>
        <v>161280</v>
      </c>
      <c r="AB514" s="480"/>
      <c r="AC514" s="481">
        <f t="shared" si="102"/>
        <v>0</v>
      </c>
      <c r="AD514" s="490"/>
      <c r="AE514" s="482"/>
      <c r="AF514" s="493">
        <f t="shared" si="100"/>
        <v>161280</v>
      </c>
      <c r="AG514" s="474" t="s">
        <v>1071</v>
      </c>
      <c r="AH514" s="474"/>
      <c r="AI514" s="483" t="s">
        <v>2442</v>
      </c>
      <c r="AJ514" s="474" t="s">
        <v>2472</v>
      </c>
      <c r="AK514" s="494" t="s">
        <v>1133</v>
      </c>
      <c r="AL514" s="474">
        <v>85008</v>
      </c>
      <c r="AM514" s="474" t="s">
        <v>52</v>
      </c>
      <c r="AN514" s="474" t="s">
        <v>1074</v>
      </c>
      <c r="AO514" s="474"/>
      <c r="AP514" s="486"/>
      <c r="AQ514" s="486" t="s">
        <v>37</v>
      </c>
      <c r="AR514" s="486"/>
      <c r="AS514" s="495"/>
      <c r="AT514" s="495"/>
      <c r="AU514" s="378"/>
      <c r="AV514" s="478"/>
    </row>
    <row r="515" spans="1:48" s="471" customFormat="1" ht="15" customHeight="1">
      <c r="A515" s="472"/>
      <c r="B515" s="514">
        <v>44557</v>
      </c>
      <c r="C515" s="472"/>
      <c r="D515" s="512" t="s">
        <v>2322</v>
      </c>
      <c r="E515" s="501" t="s">
        <v>2726</v>
      </c>
      <c r="F515" s="501"/>
      <c r="G515" s="501">
        <v>2022</v>
      </c>
      <c r="H515" s="501" t="s">
        <v>1676</v>
      </c>
      <c r="I515" s="512" t="s">
        <v>1676</v>
      </c>
      <c r="J515" s="502"/>
      <c r="K515" s="503" t="s">
        <v>4497</v>
      </c>
      <c r="L515" s="501" t="s">
        <v>2459</v>
      </c>
      <c r="M515" s="504">
        <v>44545</v>
      </c>
      <c r="N515" s="504">
        <v>44906</v>
      </c>
      <c r="O515" s="504"/>
      <c r="P515" s="370"/>
      <c r="Q515" s="502"/>
      <c r="R515" s="502"/>
      <c r="S515" s="501" t="s">
        <v>1563</v>
      </c>
      <c r="T515" s="501">
        <v>60</v>
      </c>
      <c r="U515" s="371">
        <v>49401140</v>
      </c>
      <c r="V515" s="501" t="s">
        <v>2482</v>
      </c>
      <c r="W515" s="501">
        <v>400</v>
      </c>
      <c r="X515" s="505">
        <v>768</v>
      </c>
      <c r="Y515" s="477">
        <f t="shared" si="99"/>
        <v>307200</v>
      </c>
      <c r="Z515" s="478">
        <v>0.52500000000000002</v>
      </c>
      <c r="AA515" s="492">
        <f t="shared" si="101"/>
        <v>161280</v>
      </c>
      <c r="AB515" s="480"/>
      <c r="AC515" s="481">
        <f t="shared" si="102"/>
        <v>0</v>
      </c>
      <c r="AD515" s="490"/>
      <c r="AE515" s="482"/>
      <c r="AF515" s="493">
        <f t="shared" si="100"/>
        <v>161280</v>
      </c>
      <c r="AG515" s="474" t="s">
        <v>1071</v>
      </c>
      <c r="AH515" s="474"/>
      <c r="AI515" s="483" t="s">
        <v>2442</v>
      </c>
      <c r="AJ515" s="474" t="s">
        <v>2472</v>
      </c>
      <c r="AK515" s="494" t="s">
        <v>1133</v>
      </c>
      <c r="AL515" s="474">
        <v>85008</v>
      </c>
      <c r="AM515" s="474" t="s">
        <v>52</v>
      </c>
      <c r="AN515" s="474" t="s">
        <v>1074</v>
      </c>
      <c r="AO515" s="474"/>
      <c r="AP515" s="486"/>
      <c r="AQ515" s="486" t="s">
        <v>37</v>
      </c>
      <c r="AR515" s="486"/>
      <c r="AS515" s="495"/>
      <c r="AT515" s="495"/>
      <c r="AU515" s="378"/>
      <c r="AV515" s="478"/>
    </row>
    <row r="516" spans="1:48" s="471" customFormat="1" ht="15" customHeight="1">
      <c r="A516" s="472"/>
      <c r="B516" s="514">
        <v>44557</v>
      </c>
      <c r="C516" s="472"/>
      <c r="D516" s="512" t="s">
        <v>2322</v>
      </c>
      <c r="E516" s="501" t="s">
        <v>2726</v>
      </c>
      <c r="F516" s="501"/>
      <c r="G516" s="501">
        <v>2022</v>
      </c>
      <c r="H516" s="501" t="s">
        <v>1676</v>
      </c>
      <c r="I516" s="512" t="s">
        <v>1676</v>
      </c>
      <c r="J516" s="502"/>
      <c r="K516" s="503" t="s">
        <v>4498</v>
      </c>
      <c r="L516" s="501" t="s">
        <v>2459</v>
      </c>
      <c r="M516" s="504">
        <v>44545</v>
      </c>
      <c r="N516" s="504">
        <v>44911</v>
      </c>
      <c r="O516" s="504"/>
      <c r="P516" s="370"/>
      <c r="Q516" s="502"/>
      <c r="R516" s="502"/>
      <c r="S516" s="501" t="s">
        <v>1563</v>
      </c>
      <c r="T516" s="501">
        <v>60</v>
      </c>
      <c r="U516" s="371">
        <v>49401140</v>
      </c>
      <c r="V516" s="501" t="s">
        <v>2482</v>
      </c>
      <c r="W516" s="501">
        <v>400</v>
      </c>
      <c r="X516" s="505">
        <v>768</v>
      </c>
      <c r="Y516" s="477">
        <f t="shared" si="99"/>
        <v>307200</v>
      </c>
      <c r="Z516" s="478">
        <v>0.52500000000000002</v>
      </c>
      <c r="AA516" s="492">
        <f t="shared" si="101"/>
        <v>161280</v>
      </c>
      <c r="AB516" s="480"/>
      <c r="AC516" s="481">
        <f t="shared" si="102"/>
        <v>0</v>
      </c>
      <c r="AD516" s="490"/>
      <c r="AE516" s="482"/>
      <c r="AF516" s="493">
        <f t="shared" si="100"/>
        <v>161280</v>
      </c>
      <c r="AG516" s="474" t="s">
        <v>1071</v>
      </c>
      <c r="AH516" s="474"/>
      <c r="AI516" s="483" t="s">
        <v>2442</v>
      </c>
      <c r="AJ516" s="474" t="s">
        <v>2472</v>
      </c>
      <c r="AK516" s="494" t="s">
        <v>1133</v>
      </c>
      <c r="AL516" s="474">
        <v>85008</v>
      </c>
      <c r="AM516" s="474" t="s">
        <v>52</v>
      </c>
      <c r="AN516" s="474" t="s">
        <v>1074</v>
      </c>
      <c r="AO516" s="474"/>
      <c r="AP516" s="486"/>
      <c r="AQ516" s="486" t="s">
        <v>37</v>
      </c>
      <c r="AR516" s="486"/>
      <c r="AS516" s="495"/>
      <c r="AT516" s="495"/>
      <c r="AU516" s="378"/>
      <c r="AV516" s="478"/>
    </row>
    <row r="517" spans="1:48" s="471" customFormat="1" ht="15" customHeight="1">
      <c r="A517" s="472"/>
      <c r="B517" s="514">
        <v>44557</v>
      </c>
      <c r="C517" s="472"/>
      <c r="D517" s="512" t="s">
        <v>2322</v>
      </c>
      <c r="E517" s="501" t="s">
        <v>2726</v>
      </c>
      <c r="F517" s="501"/>
      <c r="G517" s="501">
        <v>2022</v>
      </c>
      <c r="H517" s="501" t="s">
        <v>1676</v>
      </c>
      <c r="I517" s="512" t="s">
        <v>1676</v>
      </c>
      <c r="J517" s="502"/>
      <c r="K517" s="503" t="s">
        <v>4499</v>
      </c>
      <c r="L517" s="501" t="s">
        <v>2459</v>
      </c>
      <c r="M517" s="504">
        <v>44545</v>
      </c>
      <c r="N517" s="504">
        <v>44914</v>
      </c>
      <c r="O517" s="504"/>
      <c r="P517" s="370"/>
      <c r="Q517" s="502"/>
      <c r="R517" s="502"/>
      <c r="S517" s="501" t="s">
        <v>1563</v>
      </c>
      <c r="T517" s="501">
        <v>60</v>
      </c>
      <c r="U517" s="371">
        <v>49401140</v>
      </c>
      <c r="V517" s="501" t="s">
        <v>2482</v>
      </c>
      <c r="W517" s="501">
        <v>400</v>
      </c>
      <c r="X517" s="505">
        <v>768</v>
      </c>
      <c r="Y517" s="477">
        <f t="shared" si="99"/>
        <v>307200</v>
      </c>
      <c r="Z517" s="478">
        <v>0.52500000000000002</v>
      </c>
      <c r="AA517" s="492">
        <f t="shared" si="101"/>
        <v>161280</v>
      </c>
      <c r="AB517" s="480"/>
      <c r="AC517" s="481">
        <f t="shared" si="102"/>
        <v>0</v>
      </c>
      <c r="AD517" s="490"/>
      <c r="AE517" s="482"/>
      <c r="AF517" s="493">
        <f t="shared" si="100"/>
        <v>161280</v>
      </c>
      <c r="AG517" s="474" t="s">
        <v>1071</v>
      </c>
      <c r="AH517" s="474"/>
      <c r="AI517" s="483" t="s">
        <v>2442</v>
      </c>
      <c r="AJ517" s="474" t="s">
        <v>2472</v>
      </c>
      <c r="AK517" s="494" t="s">
        <v>1133</v>
      </c>
      <c r="AL517" s="474">
        <v>85008</v>
      </c>
      <c r="AM517" s="474" t="s">
        <v>52</v>
      </c>
      <c r="AN517" s="474" t="s">
        <v>1074</v>
      </c>
      <c r="AO517" s="474"/>
      <c r="AP517" s="486"/>
      <c r="AQ517" s="486" t="s">
        <v>37</v>
      </c>
      <c r="AR517" s="486"/>
      <c r="AS517" s="495"/>
      <c r="AT517" s="495"/>
      <c r="AU517" s="378"/>
      <c r="AV517" s="478"/>
    </row>
    <row r="518" spans="1:48" s="471" customFormat="1" ht="15" customHeight="1">
      <c r="A518" s="472"/>
      <c r="B518" s="514">
        <v>44557</v>
      </c>
      <c r="C518" s="472"/>
      <c r="D518" s="512" t="s">
        <v>2322</v>
      </c>
      <c r="E518" s="501" t="s">
        <v>2726</v>
      </c>
      <c r="F518" s="501"/>
      <c r="G518" s="501">
        <v>2022</v>
      </c>
      <c r="H518" s="501" t="s">
        <v>1676</v>
      </c>
      <c r="I518" s="512" t="s">
        <v>1676</v>
      </c>
      <c r="J518" s="502"/>
      <c r="K518" s="503" t="s">
        <v>4500</v>
      </c>
      <c r="L518" s="501" t="s">
        <v>2459</v>
      </c>
      <c r="M518" s="504">
        <v>44545</v>
      </c>
      <c r="N518" s="504">
        <v>44916</v>
      </c>
      <c r="O518" s="504"/>
      <c r="P518" s="370"/>
      <c r="Q518" s="502"/>
      <c r="R518" s="502"/>
      <c r="S518" s="501" t="s">
        <v>1563</v>
      </c>
      <c r="T518" s="501">
        <v>60</v>
      </c>
      <c r="U518" s="371">
        <v>49401140</v>
      </c>
      <c r="V518" s="501" t="s">
        <v>2482</v>
      </c>
      <c r="W518" s="501">
        <v>400</v>
      </c>
      <c r="X518" s="505">
        <v>768</v>
      </c>
      <c r="Y518" s="477">
        <f t="shared" si="99"/>
        <v>307200</v>
      </c>
      <c r="Z518" s="478">
        <v>0.52500000000000002</v>
      </c>
      <c r="AA518" s="492">
        <f t="shared" si="101"/>
        <v>161280</v>
      </c>
      <c r="AB518" s="480"/>
      <c r="AC518" s="481">
        <f t="shared" si="102"/>
        <v>0</v>
      </c>
      <c r="AD518" s="490"/>
      <c r="AE518" s="482"/>
      <c r="AF518" s="493">
        <f t="shared" si="100"/>
        <v>161280</v>
      </c>
      <c r="AG518" s="474" t="s">
        <v>1071</v>
      </c>
      <c r="AH518" s="474"/>
      <c r="AI518" s="483" t="s">
        <v>2442</v>
      </c>
      <c r="AJ518" s="474" t="s">
        <v>2472</v>
      </c>
      <c r="AK518" s="494" t="s">
        <v>1133</v>
      </c>
      <c r="AL518" s="474">
        <v>85008</v>
      </c>
      <c r="AM518" s="474" t="s">
        <v>52</v>
      </c>
      <c r="AN518" s="474" t="s">
        <v>1074</v>
      </c>
      <c r="AO518" s="474"/>
      <c r="AP518" s="486"/>
      <c r="AQ518" s="486" t="s">
        <v>37</v>
      </c>
      <c r="AR518" s="486"/>
      <c r="AS518" s="495"/>
      <c r="AT518" s="495"/>
      <c r="AU518" s="378"/>
      <c r="AV518" s="478"/>
    </row>
    <row r="519" spans="1:48" s="471" customFormat="1" ht="15" customHeight="1">
      <c r="A519" s="472"/>
      <c r="B519" s="514">
        <v>44522</v>
      </c>
      <c r="C519" s="472"/>
      <c r="D519" s="512" t="s">
        <v>2322</v>
      </c>
      <c r="E519" s="501" t="s">
        <v>2726</v>
      </c>
      <c r="F519" s="501"/>
      <c r="G519" s="501">
        <v>2022</v>
      </c>
      <c r="H519" s="501" t="s">
        <v>1676</v>
      </c>
      <c r="I519" s="512" t="s">
        <v>1676</v>
      </c>
      <c r="J519" s="502"/>
      <c r="K519" s="503" t="s">
        <v>4501</v>
      </c>
      <c r="L519" s="501" t="s">
        <v>2459</v>
      </c>
      <c r="M519" s="504">
        <v>44518</v>
      </c>
      <c r="N519" s="504">
        <v>44658</v>
      </c>
      <c r="O519" s="504"/>
      <c r="P519" s="370"/>
      <c r="Q519" s="502"/>
      <c r="R519" s="502"/>
      <c r="S519" s="501" t="s">
        <v>1563</v>
      </c>
      <c r="T519" s="501">
        <v>60</v>
      </c>
      <c r="U519" s="371">
        <v>49401140</v>
      </c>
      <c r="V519" s="501" t="s">
        <v>973</v>
      </c>
      <c r="W519" s="501">
        <v>400</v>
      </c>
      <c r="X519" s="505">
        <v>768</v>
      </c>
      <c r="Y519" s="477">
        <f t="shared" si="99"/>
        <v>307200</v>
      </c>
      <c r="Z519" s="478">
        <f t="shared" ref="Z519:Z524" si="103">210/400</f>
        <v>0.52500000000000002</v>
      </c>
      <c r="AA519" s="492">
        <f t="shared" si="101"/>
        <v>161280</v>
      </c>
      <c r="AB519" s="480"/>
      <c r="AC519" s="481">
        <f t="shared" si="102"/>
        <v>0</v>
      </c>
      <c r="AD519" s="490"/>
      <c r="AE519" s="482"/>
      <c r="AF519" s="493">
        <f t="shared" si="100"/>
        <v>161280</v>
      </c>
      <c r="AG519" s="474" t="s">
        <v>1071</v>
      </c>
      <c r="AH519" s="474"/>
      <c r="AI519" s="483" t="s">
        <v>2442</v>
      </c>
      <c r="AJ519" s="474" t="s">
        <v>1384</v>
      </c>
      <c r="AK519" s="494" t="s">
        <v>1144</v>
      </c>
      <c r="AL519" s="474">
        <v>77040</v>
      </c>
      <c r="AM519" s="474" t="s">
        <v>52</v>
      </c>
      <c r="AN519" s="474"/>
      <c r="AO519" s="474"/>
      <c r="AP519" s="486"/>
      <c r="AQ519" s="486"/>
      <c r="AR519" s="486"/>
      <c r="AS519" s="495"/>
      <c r="AT519" s="495"/>
      <c r="AU519" s="378"/>
      <c r="AV519" s="478"/>
    </row>
    <row r="520" spans="1:48" s="471" customFormat="1" ht="15" customHeight="1">
      <c r="A520" s="472"/>
      <c r="B520" s="514">
        <v>44522</v>
      </c>
      <c r="C520" s="472"/>
      <c r="D520" s="512" t="s">
        <v>2322</v>
      </c>
      <c r="E520" s="501" t="s">
        <v>2726</v>
      </c>
      <c r="F520" s="501"/>
      <c r="G520" s="501">
        <v>2022</v>
      </c>
      <c r="H520" s="501" t="s">
        <v>1676</v>
      </c>
      <c r="I520" s="512" t="s">
        <v>1676</v>
      </c>
      <c r="J520" s="502"/>
      <c r="K520" s="503" t="s">
        <v>4502</v>
      </c>
      <c r="L520" s="501" t="s">
        <v>2459</v>
      </c>
      <c r="M520" s="504">
        <v>44518</v>
      </c>
      <c r="N520" s="504">
        <v>44665</v>
      </c>
      <c r="O520" s="504"/>
      <c r="P520" s="370"/>
      <c r="Q520" s="502"/>
      <c r="R520" s="502"/>
      <c r="S520" s="501" t="s">
        <v>1563</v>
      </c>
      <c r="T520" s="501">
        <v>60</v>
      </c>
      <c r="U520" s="371">
        <v>49401140</v>
      </c>
      <c r="V520" s="501" t="s">
        <v>973</v>
      </c>
      <c r="W520" s="501">
        <v>400</v>
      </c>
      <c r="X520" s="505">
        <v>768</v>
      </c>
      <c r="Y520" s="477">
        <f t="shared" si="99"/>
        <v>307200</v>
      </c>
      <c r="Z520" s="478">
        <f t="shared" si="103"/>
        <v>0.52500000000000002</v>
      </c>
      <c r="AA520" s="492">
        <f t="shared" si="101"/>
        <v>161280</v>
      </c>
      <c r="AB520" s="480"/>
      <c r="AC520" s="481">
        <f t="shared" si="102"/>
        <v>0</v>
      </c>
      <c r="AD520" s="490"/>
      <c r="AE520" s="482"/>
      <c r="AF520" s="493">
        <f t="shared" si="100"/>
        <v>161280</v>
      </c>
      <c r="AG520" s="474" t="s">
        <v>1071</v>
      </c>
      <c r="AH520" s="474"/>
      <c r="AI520" s="483" t="s">
        <v>2442</v>
      </c>
      <c r="AJ520" s="474" t="s">
        <v>1384</v>
      </c>
      <c r="AK520" s="494" t="s">
        <v>1144</v>
      </c>
      <c r="AL520" s="474">
        <v>77040</v>
      </c>
      <c r="AM520" s="474" t="s">
        <v>52</v>
      </c>
      <c r="AN520" s="474"/>
      <c r="AO520" s="474"/>
      <c r="AP520" s="486"/>
      <c r="AQ520" s="486"/>
      <c r="AR520" s="486"/>
      <c r="AS520" s="495"/>
      <c r="AT520" s="495"/>
      <c r="AU520" s="378"/>
      <c r="AV520" s="478"/>
    </row>
    <row r="521" spans="1:48" s="471" customFormat="1" ht="15" customHeight="1">
      <c r="A521" s="472"/>
      <c r="B521" s="514">
        <v>44522</v>
      </c>
      <c r="C521" s="472"/>
      <c r="D521" s="512" t="s">
        <v>2322</v>
      </c>
      <c r="E521" s="501" t="s">
        <v>2726</v>
      </c>
      <c r="F521" s="501"/>
      <c r="G521" s="501">
        <v>2022</v>
      </c>
      <c r="H521" s="501" t="s">
        <v>1676</v>
      </c>
      <c r="I521" s="512" t="s">
        <v>1676</v>
      </c>
      <c r="J521" s="502"/>
      <c r="K521" s="503" t="s">
        <v>4503</v>
      </c>
      <c r="L521" s="501" t="s">
        <v>2459</v>
      </c>
      <c r="M521" s="504">
        <v>44518</v>
      </c>
      <c r="N521" s="504">
        <v>44688</v>
      </c>
      <c r="O521" s="504"/>
      <c r="P521" s="370"/>
      <c r="Q521" s="502"/>
      <c r="R521" s="502"/>
      <c r="S521" s="501" t="s">
        <v>1563</v>
      </c>
      <c r="T521" s="501">
        <v>60</v>
      </c>
      <c r="U521" s="371">
        <v>49401140</v>
      </c>
      <c r="V521" s="501" t="s">
        <v>973</v>
      </c>
      <c r="W521" s="501">
        <v>400</v>
      </c>
      <c r="X521" s="505">
        <v>768</v>
      </c>
      <c r="Y521" s="477">
        <f t="shared" si="99"/>
        <v>307200</v>
      </c>
      <c r="Z521" s="478">
        <f t="shared" si="103"/>
        <v>0.52500000000000002</v>
      </c>
      <c r="AA521" s="492">
        <f t="shared" si="101"/>
        <v>161280</v>
      </c>
      <c r="AB521" s="480"/>
      <c r="AC521" s="481">
        <f t="shared" si="102"/>
        <v>0</v>
      </c>
      <c r="AD521" s="490"/>
      <c r="AE521" s="482"/>
      <c r="AF521" s="493">
        <f t="shared" si="100"/>
        <v>161280</v>
      </c>
      <c r="AG521" s="474" t="s">
        <v>1071</v>
      </c>
      <c r="AH521" s="474"/>
      <c r="AI521" s="483" t="s">
        <v>2442</v>
      </c>
      <c r="AJ521" s="474" t="s">
        <v>1384</v>
      </c>
      <c r="AK521" s="494" t="s">
        <v>1144</v>
      </c>
      <c r="AL521" s="474">
        <v>77040</v>
      </c>
      <c r="AM521" s="474" t="s">
        <v>52</v>
      </c>
      <c r="AN521" s="474"/>
      <c r="AO521" s="474"/>
      <c r="AP521" s="486"/>
      <c r="AQ521" s="486"/>
      <c r="AR521" s="486"/>
      <c r="AS521" s="495"/>
      <c r="AT521" s="495"/>
      <c r="AU521" s="378"/>
      <c r="AV521" s="478"/>
    </row>
    <row r="522" spans="1:48" s="471" customFormat="1" ht="15" customHeight="1">
      <c r="A522" s="472"/>
      <c r="B522" s="514">
        <v>44522</v>
      </c>
      <c r="C522" s="472"/>
      <c r="D522" s="512" t="s">
        <v>2322</v>
      </c>
      <c r="E522" s="501" t="s">
        <v>2726</v>
      </c>
      <c r="F522" s="501"/>
      <c r="G522" s="501">
        <v>2022</v>
      </c>
      <c r="H522" s="501" t="s">
        <v>1676</v>
      </c>
      <c r="I522" s="512" t="s">
        <v>1676</v>
      </c>
      <c r="J522" s="502"/>
      <c r="K522" s="503" t="s">
        <v>4504</v>
      </c>
      <c r="L522" s="501" t="s">
        <v>2459</v>
      </c>
      <c r="M522" s="504">
        <v>44518</v>
      </c>
      <c r="N522" s="504">
        <v>44695</v>
      </c>
      <c r="O522" s="504"/>
      <c r="P522" s="370"/>
      <c r="Q522" s="502"/>
      <c r="R522" s="502"/>
      <c r="S522" s="501" t="s">
        <v>1563</v>
      </c>
      <c r="T522" s="501">
        <v>60</v>
      </c>
      <c r="U522" s="371">
        <v>49401140</v>
      </c>
      <c r="V522" s="501" t="s">
        <v>973</v>
      </c>
      <c r="W522" s="501">
        <v>400</v>
      </c>
      <c r="X522" s="505">
        <v>768</v>
      </c>
      <c r="Y522" s="477">
        <f t="shared" si="99"/>
        <v>307200</v>
      </c>
      <c r="Z522" s="478">
        <f t="shared" si="103"/>
        <v>0.52500000000000002</v>
      </c>
      <c r="AA522" s="492">
        <f t="shared" si="101"/>
        <v>161280</v>
      </c>
      <c r="AB522" s="480"/>
      <c r="AC522" s="481">
        <f t="shared" si="102"/>
        <v>0</v>
      </c>
      <c r="AD522" s="490"/>
      <c r="AE522" s="482"/>
      <c r="AF522" s="493">
        <f t="shared" si="100"/>
        <v>161280</v>
      </c>
      <c r="AG522" s="474" t="s">
        <v>1071</v>
      </c>
      <c r="AH522" s="474"/>
      <c r="AI522" s="483" t="s">
        <v>2442</v>
      </c>
      <c r="AJ522" s="474" t="s">
        <v>1384</v>
      </c>
      <c r="AK522" s="494" t="s">
        <v>1144</v>
      </c>
      <c r="AL522" s="474">
        <v>77040</v>
      </c>
      <c r="AM522" s="474" t="s">
        <v>52</v>
      </c>
      <c r="AN522" s="474"/>
      <c r="AO522" s="474"/>
      <c r="AP522" s="486"/>
      <c r="AQ522" s="486"/>
      <c r="AR522" s="486"/>
      <c r="AS522" s="495"/>
      <c r="AT522" s="495"/>
      <c r="AU522" s="378"/>
      <c r="AV522" s="478"/>
    </row>
    <row r="523" spans="1:48" s="471" customFormat="1" ht="15" customHeight="1">
      <c r="A523" s="472"/>
      <c r="B523" s="514">
        <v>44522</v>
      </c>
      <c r="C523" s="472"/>
      <c r="D523" s="512" t="s">
        <v>2322</v>
      </c>
      <c r="E523" s="501" t="s">
        <v>2726</v>
      </c>
      <c r="F523" s="501"/>
      <c r="G523" s="501">
        <v>2022</v>
      </c>
      <c r="H523" s="501" t="s">
        <v>1676</v>
      </c>
      <c r="I523" s="512" t="s">
        <v>1676</v>
      </c>
      <c r="J523" s="502"/>
      <c r="K523" s="503" t="s">
        <v>4505</v>
      </c>
      <c r="L523" s="501" t="s">
        <v>2459</v>
      </c>
      <c r="M523" s="504">
        <v>44518</v>
      </c>
      <c r="N523" s="504">
        <v>44719</v>
      </c>
      <c r="O523" s="504"/>
      <c r="P523" s="370"/>
      <c r="Q523" s="502"/>
      <c r="R523" s="502"/>
      <c r="S523" s="501" t="s">
        <v>1563</v>
      </c>
      <c r="T523" s="501">
        <v>60</v>
      </c>
      <c r="U523" s="371">
        <v>49401140</v>
      </c>
      <c r="V523" s="501" t="s">
        <v>973</v>
      </c>
      <c r="W523" s="501">
        <v>400</v>
      </c>
      <c r="X523" s="505">
        <v>768</v>
      </c>
      <c r="Y523" s="477">
        <f t="shared" si="99"/>
        <v>307200</v>
      </c>
      <c r="Z523" s="478">
        <f t="shared" si="103"/>
        <v>0.52500000000000002</v>
      </c>
      <c r="AA523" s="492">
        <f t="shared" si="101"/>
        <v>161280</v>
      </c>
      <c r="AB523" s="480"/>
      <c r="AC523" s="481">
        <f t="shared" si="102"/>
        <v>0</v>
      </c>
      <c r="AD523" s="490"/>
      <c r="AE523" s="482"/>
      <c r="AF523" s="493">
        <f t="shared" si="100"/>
        <v>161280</v>
      </c>
      <c r="AG523" s="474" t="s">
        <v>1071</v>
      </c>
      <c r="AH523" s="474"/>
      <c r="AI523" s="483" t="s">
        <v>2442</v>
      </c>
      <c r="AJ523" s="474" t="s">
        <v>1384</v>
      </c>
      <c r="AK523" s="494" t="s">
        <v>1144</v>
      </c>
      <c r="AL523" s="474">
        <v>77040</v>
      </c>
      <c r="AM523" s="474" t="s">
        <v>52</v>
      </c>
      <c r="AN523" s="474"/>
      <c r="AO523" s="474"/>
      <c r="AP523" s="486"/>
      <c r="AQ523" s="486"/>
      <c r="AR523" s="486"/>
      <c r="AS523" s="495"/>
      <c r="AT523" s="495"/>
      <c r="AU523" s="378"/>
      <c r="AV523" s="478"/>
    </row>
    <row r="524" spans="1:48" s="471" customFormat="1" ht="15" customHeight="1">
      <c r="A524" s="472"/>
      <c r="B524" s="514">
        <v>44522</v>
      </c>
      <c r="C524" s="472"/>
      <c r="D524" s="512" t="s">
        <v>2322</v>
      </c>
      <c r="E524" s="501" t="s">
        <v>2726</v>
      </c>
      <c r="F524" s="501"/>
      <c r="G524" s="501">
        <v>2022</v>
      </c>
      <c r="H524" s="501" t="s">
        <v>1676</v>
      </c>
      <c r="I524" s="512" t="s">
        <v>1676</v>
      </c>
      <c r="J524" s="502"/>
      <c r="K524" s="503" t="s">
        <v>4506</v>
      </c>
      <c r="L524" s="501" t="s">
        <v>2459</v>
      </c>
      <c r="M524" s="504">
        <v>44518</v>
      </c>
      <c r="N524" s="504">
        <v>44726</v>
      </c>
      <c r="O524" s="504"/>
      <c r="P524" s="370"/>
      <c r="Q524" s="502"/>
      <c r="R524" s="502"/>
      <c r="S524" s="501" t="s">
        <v>1563</v>
      </c>
      <c r="T524" s="501">
        <v>60</v>
      </c>
      <c r="U524" s="371">
        <v>49401140</v>
      </c>
      <c r="V524" s="501" t="s">
        <v>973</v>
      </c>
      <c r="W524" s="501">
        <v>400</v>
      </c>
      <c r="X524" s="505">
        <v>768</v>
      </c>
      <c r="Y524" s="477">
        <f t="shared" si="99"/>
        <v>307200</v>
      </c>
      <c r="Z524" s="478">
        <f t="shared" si="103"/>
        <v>0.52500000000000002</v>
      </c>
      <c r="AA524" s="492">
        <f t="shared" si="101"/>
        <v>161280</v>
      </c>
      <c r="AB524" s="480"/>
      <c r="AC524" s="481">
        <f t="shared" si="102"/>
        <v>0</v>
      </c>
      <c r="AD524" s="490"/>
      <c r="AE524" s="482"/>
      <c r="AF524" s="493">
        <f t="shared" si="100"/>
        <v>161280</v>
      </c>
      <c r="AG524" s="474" t="s">
        <v>1071</v>
      </c>
      <c r="AH524" s="474"/>
      <c r="AI524" s="483" t="s">
        <v>2442</v>
      </c>
      <c r="AJ524" s="474" t="s">
        <v>1384</v>
      </c>
      <c r="AK524" s="494" t="s">
        <v>1144</v>
      </c>
      <c r="AL524" s="474">
        <v>77040</v>
      </c>
      <c r="AM524" s="474" t="s">
        <v>52</v>
      </c>
      <c r="AN524" s="474"/>
      <c r="AO524" s="474"/>
      <c r="AP524" s="486"/>
      <c r="AQ524" s="486"/>
      <c r="AR524" s="486"/>
      <c r="AS524" s="495"/>
      <c r="AT524" s="495"/>
      <c r="AU524" s="378"/>
      <c r="AV524" s="478"/>
    </row>
    <row r="525" spans="1:48" s="471" customFormat="1" ht="15" customHeight="1">
      <c r="A525" s="472"/>
      <c r="B525" s="514">
        <v>44557</v>
      </c>
      <c r="C525" s="472"/>
      <c r="D525" s="512" t="s">
        <v>2322</v>
      </c>
      <c r="E525" s="501" t="s">
        <v>2726</v>
      </c>
      <c r="F525" s="501"/>
      <c r="G525" s="501">
        <v>2022</v>
      </c>
      <c r="H525" s="501" t="s">
        <v>1676</v>
      </c>
      <c r="I525" s="512" t="s">
        <v>1676</v>
      </c>
      <c r="J525" s="502"/>
      <c r="K525" s="503" t="s">
        <v>4507</v>
      </c>
      <c r="L525" s="501" t="s">
        <v>2459</v>
      </c>
      <c r="M525" s="504">
        <v>44545</v>
      </c>
      <c r="N525" s="504">
        <v>44744</v>
      </c>
      <c r="O525" s="504"/>
      <c r="P525" s="370"/>
      <c r="Q525" s="502"/>
      <c r="R525" s="502"/>
      <c r="S525" s="501" t="s">
        <v>1563</v>
      </c>
      <c r="T525" s="501">
        <v>60</v>
      </c>
      <c r="U525" s="371">
        <v>49401140</v>
      </c>
      <c r="V525" s="501" t="s">
        <v>973</v>
      </c>
      <c r="W525" s="501">
        <v>400</v>
      </c>
      <c r="X525" s="505">
        <v>768</v>
      </c>
      <c r="Y525" s="477">
        <f t="shared" si="99"/>
        <v>307200</v>
      </c>
      <c r="Z525" s="478">
        <v>0.52500000000000002</v>
      </c>
      <c r="AA525" s="492">
        <f t="shared" si="101"/>
        <v>161280</v>
      </c>
      <c r="AB525" s="480"/>
      <c r="AC525" s="481">
        <f t="shared" si="102"/>
        <v>0</v>
      </c>
      <c r="AD525" s="490"/>
      <c r="AE525" s="482"/>
      <c r="AF525" s="493">
        <f t="shared" si="100"/>
        <v>161280</v>
      </c>
      <c r="AG525" s="474" t="s">
        <v>1071</v>
      </c>
      <c r="AH525" s="474"/>
      <c r="AI525" s="483">
        <v>60</v>
      </c>
      <c r="AJ525" s="474" t="s">
        <v>1384</v>
      </c>
      <c r="AK525" s="494" t="s">
        <v>1144</v>
      </c>
      <c r="AL525" s="474">
        <v>77040</v>
      </c>
      <c r="AM525" s="474" t="s">
        <v>52</v>
      </c>
      <c r="AN525" s="474" t="s">
        <v>1074</v>
      </c>
      <c r="AO525" s="474"/>
      <c r="AP525" s="486"/>
      <c r="AQ525" s="486" t="s">
        <v>37</v>
      </c>
      <c r="AR525" s="486"/>
      <c r="AS525" s="495"/>
      <c r="AT525" s="495"/>
      <c r="AU525" s="378"/>
      <c r="AV525" s="478"/>
    </row>
    <row r="526" spans="1:48" s="471" customFormat="1" ht="15" customHeight="1">
      <c r="A526" s="472"/>
      <c r="B526" s="514">
        <v>44557</v>
      </c>
      <c r="C526" s="472"/>
      <c r="D526" s="512" t="s">
        <v>2322</v>
      </c>
      <c r="E526" s="501" t="s">
        <v>2726</v>
      </c>
      <c r="F526" s="501"/>
      <c r="G526" s="501">
        <v>2022</v>
      </c>
      <c r="H526" s="501" t="s">
        <v>1676</v>
      </c>
      <c r="I526" s="512" t="s">
        <v>1676</v>
      </c>
      <c r="J526" s="502"/>
      <c r="K526" s="503" t="s">
        <v>4508</v>
      </c>
      <c r="L526" s="501" t="s">
        <v>2459</v>
      </c>
      <c r="M526" s="504">
        <v>44545</v>
      </c>
      <c r="N526" s="504">
        <v>44757</v>
      </c>
      <c r="O526" s="504"/>
      <c r="P526" s="370"/>
      <c r="Q526" s="502"/>
      <c r="R526" s="502"/>
      <c r="S526" s="501" t="s">
        <v>1563</v>
      </c>
      <c r="T526" s="501">
        <v>60</v>
      </c>
      <c r="U526" s="371">
        <v>49401140</v>
      </c>
      <c r="V526" s="501" t="s">
        <v>2855</v>
      </c>
      <c r="W526" s="501">
        <v>400</v>
      </c>
      <c r="X526" s="505">
        <v>768</v>
      </c>
      <c r="Y526" s="477">
        <f t="shared" si="99"/>
        <v>307200</v>
      </c>
      <c r="Z526" s="478">
        <v>0.52500000000000002</v>
      </c>
      <c r="AA526" s="492">
        <f t="shared" si="101"/>
        <v>161280</v>
      </c>
      <c r="AB526" s="480"/>
      <c r="AC526" s="481">
        <f t="shared" si="102"/>
        <v>0</v>
      </c>
      <c r="AD526" s="490"/>
      <c r="AE526" s="482"/>
      <c r="AF526" s="493">
        <f t="shared" si="100"/>
        <v>161280</v>
      </c>
      <c r="AG526" s="474" t="s">
        <v>1071</v>
      </c>
      <c r="AH526" s="474"/>
      <c r="AI526" s="483">
        <v>60</v>
      </c>
      <c r="AJ526" s="474" t="s">
        <v>1384</v>
      </c>
      <c r="AK526" s="494" t="s">
        <v>1144</v>
      </c>
      <c r="AL526" s="474">
        <v>77040</v>
      </c>
      <c r="AM526" s="474" t="s">
        <v>52</v>
      </c>
      <c r="AN526" s="474" t="s">
        <v>1074</v>
      </c>
      <c r="AO526" s="474"/>
      <c r="AP526" s="486"/>
      <c r="AQ526" s="486" t="s">
        <v>37</v>
      </c>
      <c r="AR526" s="486"/>
      <c r="AS526" s="495"/>
      <c r="AT526" s="495"/>
      <c r="AU526" s="378"/>
      <c r="AV526" s="478"/>
    </row>
    <row r="527" spans="1:48" s="471" customFormat="1" ht="15" customHeight="1">
      <c r="A527" s="472"/>
      <c r="B527" s="514">
        <v>44557</v>
      </c>
      <c r="C527" s="472"/>
      <c r="D527" s="512" t="s">
        <v>2322</v>
      </c>
      <c r="E527" s="501" t="s">
        <v>2726</v>
      </c>
      <c r="F527" s="501"/>
      <c r="G527" s="501">
        <v>2022</v>
      </c>
      <c r="H527" s="501" t="s">
        <v>1676</v>
      </c>
      <c r="I527" s="512" t="s">
        <v>1676</v>
      </c>
      <c r="J527" s="502"/>
      <c r="K527" s="503" t="s">
        <v>4509</v>
      </c>
      <c r="L527" s="501" t="s">
        <v>2459</v>
      </c>
      <c r="M527" s="504">
        <v>44545</v>
      </c>
      <c r="N527" s="504">
        <v>44775</v>
      </c>
      <c r="O527" s="504"/>
      <c r="P527" s="370"/>
      <c r="Q527" s="502"/>
      <c r="R527" s="502"/>
      <c r="S527" s="501" t="s">
        <v>1563</v>
      </c>
      <c r="T527" s="501">
        <v>60</v>
      </c>
      <c r="U527" s="371">
        <v>49401140</v>
      </c>
      <c r="V527" s="501" t="s">
        <v>2855</v>
      </c>
      <c r="W527" s="501">
        <v>400</v>
      </c>
      <c r="X527" s="505">
        <v>768</v>
      </c>
      <c r="Y527" s="477">
        <f t="shared" si="99"/>
        <v>307200</v>
      </c>
      <c r="Z527" s="478">
        <v>0.52500000000000002</v>
      </c>
      <c r="AA527" s="492">
        <f t="shared" si="101"/>
        <v>161280</v>
      </c>
      <c r="AB527" s="480"/>
      <c r="AC527" s="481">
        <f t="shared" si="102"/>
        <v>0</v>
      </c>
      <c r="AD527" s="490"/>
      <c r="AE527" s="482"/>
      <c r="AF527" s="493">
        <f t="shared" si="100"/>
        <v>161280</v>
      </c>
      <c r="AG527" s="474" t="s">
        <v>1071</v>
      </c>
      <c r="AH527" s="474"/>
      <c r="AI527" s="483">
        <v>60</v>
      </c>
      <c r="AJ527" s="474" t="s">
        <v>1384</v>
      </c>
      <c r="AK527" s="494" t="s">
        <v>1144</v>
      </c>
      <c r="AL527" s="474">
        <v>77040</v>
      </c>
      <c r="AM527" s="474" t="s">
        <v>52</v>
      </c>
      <c r="AN527" s="474" t="s">
        <v>1074</v>
      </c>
      <c r="AO527" s="474"/>
      <c r="AP527" s="486"/>
      <c r="AQ527" s="486" t="s">
        <v>37</v>
      </c>
      <c r="AR527" s="486"/>
      <c r="AS527" s="495"/>
      <c r="AT527" s="495"/>
      <c r="AU527" s="378"/>
      <c r="AV527" s="478"/>
    </row>
    <row r="528" spans="1:48" s="471" customFormat="1" ht="15" customHeight="1">
      <c r="A528" s="472"/>
      <c r="B528" s="514">
        <v>44557</v>
      </c>
      <c r="C528" s="472"/>
      <c r="D528" s="512" t="s">
        <v>2322</v>
      </c>
      <c r="E528" s="501" t="s">
        <v>2726</v>
      </c>
      <c r="F528" s="501"/>
      <c r="G528" s="501">
        <v>2022</v>
      </c>
      <c r="H528" s="501" t="s">
        <v>1676</v>
      </c>
      <c r="I528" s="512" t="s">
        <v>1676</v>
      </c>
      <c r="J528" s="502"/>
      <c r="K528" s="503" t="s">
        <v>4510</v>
      </c>
      <c r="L528" s="501" t="s">
        <v>2459</v>
      </c>
      <c r="M528" s="504">
        <v>44545</v>
      </c>
      <c r="N528" s="504">
        <v>44788</v>
      </c>
      <c r="O528" s="504"/>
      <c r="P528" s="370"/>
      <c r="Q528" s="502"/>
      <c r="R528" s="502"/>
      <c r="S528" s="501" t="s">
        <v>1563</v>
      </c>
      <c r="T528" s="501">
        <v>60</v>
      </c>
      <c r="U528" s="371">
        <v>49401140</v>
      </c>
      <c r="V528" s="501" t="s">
        <v>2855</v>
      </c>
      <c r="W528" s="501">
        <v>400</v>
      </c>
      <c r="X528" s="505">
        <v>768</v>
      </c>
      <c r="Y528" s="477">
        <f t="shared" si="99"/>
        <v>307200</v>
      </c>
      <c r="Z528" s="478">
        <v>0.52500000000000002</v>
      </c>
      <c r="AA528" s="492">
        <f t="shared" si="101"/>
        <v>161280</v>
      </c>
      <c r="AB528" s="480"/>
      <c r="AC528" s="481">
        <f t="shared" si="102"/>
        <v>0</v>
      </c>
      <c r="AD528" s="490"/>
      <c r="AE528" s="482"/>
      <c r="AF528" s="493">
        <f t="shared" si="100"/>
        <v>161280</v>
      </c>
      <c r="AG528" s="474" t="s">
        <v>1071</v>
      </c>
      <c r="AH528" s="474"/>
      <c r="AI528" s="483">
        <v>60</v>
      </c>
      <c r="AJ528" s="474" t="s">
        <v>1384</v>
      </c>
      <c r="AK528" s="494" t="s">
        <v>1144</v>
      </c>
      <c r="AL528" s="474">
        <v>77040</v>
      </c>
      <c r="AM528" s="474" t="s">
        <v>52</v>
      </c>
      <c r="AN528" s="474" t="s">
        <v>1074</v>
      </c>
      <c r="AO528" s="474"/>
      <c r="AP528" s="486"/>
      <c r="AQ528" s="486" t="s">
        <v>37</v>
      </c>
      <c r="AR528" s="486"/>
      <c r="AS528" s="495"/>
      <c r="AT528" s="495"/>
      <c r="AU528" s="378"/>
      <c r="AV528" s="478"/>
    </row>
    <row r="529" spans="1:48" s="471" customFormat="1" ht="15" customHeight="1">
      <c r="A529" s="472"/>
      <c r="B529" s="514">
        <v>44557</v>
      </c>
      <c r="C529" s="472"/>
      <c r="D529" s="512" t="s">
        <v>2322</v>
      </c>
      <c r="E529" s="501" t="s">
        <v>2726</v>
      </c>
      <c r="F529" s="501"/>
      <c r="G529" s="501">
        <v>2022</v>
      </c>
      <c r="H529" s="501" t="s">
        <v>1676</v>
      </c>
      <c r="I529" s="512" t="s">
        <v>1676</v>
      </c>
      <c r="J529" s="502"/>
      <c r="K529" s="503" t="s">
        <v>4511</v>
      </c>
      <c r="L529" s="501" t="s">
        <v>2459</v>
      </c>
      <c r="M529" s="504">
        <v>44545</v>
      </c>
      <c r="N529" s="504">
        <v>44806</v>
      </c>
      <c r="O529" s="504"/>
      <c r="P529" s="370"/>
      <c r="Q529" s="502"/>
      <c r="R529" s="502"/>
      <c r="S529" s="501" t="s">
        <v>1563</v>
      </c>
      <c r="T529" s="501">
        <v>60</v>
      </c>
      <c r="U529" s="371">
        <v>49401140</v>
      </c>
      <c r="V529" s="501" t="s">
        <v>2855</v>
      </c>
      <c r="W529" s="501">
        <v>400</v>
      </c>
      <c r="X529" s="505">
        <v>768</v>
      </c>
      <c r="Y529" s="477">
        <f t="shared" si="99"/>
        <v>307200</v>
      </c>
      <c r="Z529" s="478">
        <v>0.52500000000000002</v>
      </c>
      <c r="AA529" s="492">
        <f t="shared" si="101"/>
        <v>161280</v>
      </c>
      <c r="AB529" s="480"/>
      <c r="AC529" s="481">
        <f t="shared" si="102"/>
        <v>0</v>
      </c>
      <c r="AD529" s="490"/>
      <c r="AE529" s="482"/>
      <c r="AF529" s="493">
        <f t="shared" si="100"/>
        <v>161280</v>
      </c>
      <c r="AG529" s="474" t="s">
        <v>1071</v>
      </c>
      <c r="AH529" s="474"/>
      <c r="AI529" s="483">
        <v>60</v>
      </c>
      <c r="AJ529" s="474" t="s">
        <v>1384</v>
      </c>
      <c r="AK529" s="494" t="s">
        <v>1144</v>
      </c>
      <c r="AL529" s="474">
        <v>77040</v>
      </c>
      <c r="AM529" s="474" t="s">
        <v>52</v>
      </c>
      <c r="AN529" s="474" t="s">
        <v>1074</v>
      </c>
      <c r="AO529" s="474"/>
      <c r="AP529" s="486"/>
      <c r="AQ529" s="486" t="s">
        <v>37</v>
      </c>
      <c r="AR529" s="486"/>
      <c r="AS529" s="495"/>
      <c r="AT529" s="495"/>
      <c r="AU529" s="378"/>
      <c r="AV529" s="478"/>
    </row>
    <row r="530" spans="1:48" s="471" customFormat="1" ht="15" customHeight="1">
      <c r="A530" s="472"/>
      <c r="B530" s="514">
        <v>44557</v>
      </c>
      <c r="C530" s="472"/>
      <c r="D530" s="512" t="s">
        <v>2322</v>
      </c>
      <c r="E530" s="501" t="s">
        <v>2726</v>
      </c>
      <c r="F530" s="501"/>
      <c r="G530" s="501">
        <v>2022</v>
      </c>
      <c r="H530" s="501" t="s">
        <v>1676</v>
      </c>
      <c r="I530" s="512" t="s">
        <v>1676</v>
      </c>
      <c r="J530" s="502"/>
      <c r="K530" s="503" t="s">
        <v>4512</v>
      </c>
      <c r="L530" s="501" t="s">
        <v>2459</v>
      </c>
      <c r="M530" s="504">
        <v>44545</v>
      </c>
      <c r="N530" s="504">
        <v>44819</v>
      </c>
      <c r="O530" s="504"/>
      <c r="P530" s="370"/>
      <c r="Q530" s="502"/>
      <c r="R530" s="502"/>
      <c r="S530" s="501" t="s">
        <v>1563</v>
      </c>
      <c r="T530" s="501">
        <v>60</v>
      </c>
      <c r="U530" s="371">
        <v>49401140</v>
      </c>
      <c r="V530" s="501" t="s">
        <v>2855</v>
      </c>
      <c r="W530" s="501">
        <v>400</v>
      </c>
      <c r="X530" s="505">
        <v>768</v>
      </c>
      <c r="Y530" s="477">
        <f t="shared" si="99"/>
        <v>307200</v>
      </c>
      <c r="Z530" s="478">
        <v>0.52500000000000002</v>
      </c>
      <c r="AA530" s="492">
        <f t="shared" si="101"/>
        <v>161280</v>
      </c>
      <c r="AB530" s="480"/>
      <c r="AC530" s="481">
        <f t="shared" si="102"/>
        <v>0</v>
      </c>
      <c r="AD530" s="490"/>
      <c r="AE530" s="482"/>
      <c r="AF530" s="493">
        <f t="shared" si="100"/>
        <v>161280</v>
      </c>
      <c r="AG530" s="474" t="s">
        <v>1071</v>
      </c>
      <c r="AH530" s="474"/>
      <c r="AI530" s="483">
        <v>60</v>
      </c>
      <c r="AJ530" s="474" t="s">
        <v>1384</v>
      </c>
      <c r="AK530" s="494" t="s">
        <v>1144</v>
      </c>
      <c r="AL530" s="474">
        <v>77040</v>
      </c>
      <c r="AM530" s="474" t="s">
        <v>52</v>
      </c>
      <c r="AN530" s="474" t="s">
        <v>1074</v>
      </c>
      <c r="AO530" s="474"/>
      <c r="AP530" s="486"/>
      <c r="AQ530" s="486" t="s">
        <v>37</v>
      </c>
      <c r="AR530" s="486"/>
      <c r="AS530" s="495"/>
      <c r="AT530" s="495"/>
      <c r="AU530" s="378"/>
      <c r="AV530" s="478"/>
    </row>
    <row r="531" spans="1:48" s="471" customFormat="1" ht="15" customHeight="1">
      <c r="A531" s="472"/>
      <c r="B531" s="514">
        <v>44557</v>
      </c>
      <c r="C531" s="472"/>
      <c r="D531" s="512" t="s">
        <v>2322</v>
      </c>
      <c r="E531" s="501" t="s">
        <v>2726</v>
      </c>
      <c r="F531" s="501"/>
      <c r="G531" s="501">
        <v>2022</v>
      </c>
      <c r="H531" s="501" t="s">
        <v>1676</v>
      </c>
      <c r="I531" s="512" t="s">
        <v>1676</v>
      </c>
      <c r="J531" s="502"/>
      <c r="K531" s="503" t="s">
        <v>4513</v>
      </c>
      <c r="L531" s="501" t="s">
        <v>2459</v>
      </c>
      <c r="M531" s="504">
        <v>44545</v>
      </c>
      <c r="N531" s="504">
        <v>44835</v>
      </c>
      <c r="O531" s="504"/>
      <c r="P531" s="370"/>
      <c r="Q531" s="502"/>
      <c r="R531" s="502"/>
      <c r="S531" s="501" t="s">
        <v>1563</v>
      </c>
      <c r="T531" s="501">
        <v>60</v>
      </c>
      <c r="U531" s="371">
        <v>49401140</v>
      </c>
      <c r="V531" s="501" t="s">
        <v>2855</v>
      </c>
      <c r="W531" s="501">
        <v>400</v>
      </c>
      <c r="X531" s="505">
        <v>768</v>
      </c>
      <c r="Y531" s="477">
        <f t="shared" si="99"/>
        <v>307200</v>
      </c>
      <c r="Z531" s="478">
        <v>0.52500000000000002</v>
      </c>
      <c r="AA531" s="492">
        <f t="shared" si="101"/>
        <v>161280</v>
      </c>
      <c r="AB531" s="480"/>
      <c r="AC531" s="481">
        <f t="shared" si="102"/>
        <v>0</v>
      </c>
      <c r="AD531" s="490"/>
      <c r="AE531" s="482"/>
      <c r="AF531" s="493">
        <f t="shared" si="100"/>
        <v>161280</v>
      </c>
      <c r="AG531" s="474" t="s">
        <v>1071</v>
      </c>
      <c r="AH531" s="474"/>
      <c r="AI531" s="483">
        <v>60</v>
      </c>
      <c r="AJ531" s="474" t="s">
        <v>1384</v>
      </c>
      <c r="AK531" s="494" t="s">
        <v>1144</v>
      </c>
      <c r="AL531" s="474">
        <v>77040</v>
      </c>
      <c r="AM531" s="474" t="s">
        <v>52</v>
      </c>
      <c r="AN531" s="474" t="s">
        <v>1074</v>
      </c>
      <c r="AO531" s="474"/>
      <c r="AP531" s="486"/>
      <c r="AQ531" s="486" t="s">
        <v>37</v>
      </c>
      <c r="AR531" s="486"/>
      <c r="AS531" s="495"/>
      <c r="AT531" s="495"/>
      <c r="AU531" s="378"/>
      <c r="AV531" s="478"/>
    </row>
    <row r="532" spans="1:48" s="471" customFormat="1" ht="15" customHeight="1">
      <c r="A532" s="472"/>
      <c r="B532" s="514">
        <v>44557</v>
      </c>
      <c r="C532" s="472"/>
      <c r="D532" s="512" t="s">
        <v>2322</v>
      </c>
      <c r="E532" s="501" t="s">
        <v>2726</v>
      </c>
      <c r="F532" s="501"/>
      <c r="G532" s="501">
        <v>2022</v>
      </c>
      <c r="H532" s="501" t="s">
        <v>1676</v>
      </c>
      <c r="I532" s="512" t="s">
        <v>1676</v>
      </c>
      <c r="J532" s="502"/>
      <c r="K532" s="503" t="s">
        <v>4514</v>
      </c>
      <c r="L532" s="501" t="s">
        <v>2459</v>
      </c>
      <c r="M532" s="504">
        <v>44545</v>
      </c>
      <c r="N532" s="504">
        <v>44847</v>
      </c>
      <c r="O532" s="504"/>
      <c r="P532" s="370"/>
      <c r="Q532" s="502"/>
      <c r="R532" s="502"/>
      <c r="S532" s="501" t="s">
        <v>1563</v>
      </c>
      <c r="T532" s="501">
        <v>60</v>
      </c>
      <c r="U532" s="371">
        <v>49401140</v>
      </c>
      <c r="V532" s="501" t="s">
        <v>2855</v>
      </c>
      <c r="W532" s="501">
        <v>400</v>
      </c>
      <c r="X532" s="505">
        <v>768</v>
      </c>
      <c r="Y532" s="477">
        <f t="shared" si="99"/>
        <v>307200</v>
      </c>
      <c r="Z532" s="478">
        <v>0.52500000000000002</v>
      </c>
      <c r="AA532" s="492">
        <f t="shared" si="101"/>
        <v>161280</v>
      </c>
      <c r="AB532" s="480"/>
      <c r="AC532" s="481">
        <f t="shared" si="102"/>
        <v>0</v>
      </c>
      <c r="AD532" s="490"/>
      <c r="AE532" s="482"/>
      <c r="AF532" s="493">
        <f t="shared" si="100"/>
        <v>161280</v>
      </c>
      <c r="AG532" s="474" t="s">
        <v>1071</v>
      </c>
      <c r="AH532" s="474"/>
      <c r="AI532" s="483">
        <v>60</v>
      </c>
      <c r="AJ532" s="474" t="s">
        <v>1384</v>
      </c>
      <c r="AK532" s="494" t="s">
        <v>1144</v>
      </c>
      <c r="AL532" s="474">
        <v>77040</v>
      </c>
      <c r="AM532" s="474" t="s">
        <v>52</v>
      </c>
      <c r="AN532" s="474" t="s">
        <v>1074</v>
      </c>
      <c r="AO532" s="474"/>
      <c r="AP532" s="486"/>
      <c r="AQ532" s="486" t="s">
        <v>37</v>
      </c>
      <c r="AR532" s="486"/>
      <c r="AS532" s="495"/>
      <c r="AT532" s="495"/>
      <c r="AU532" s="378"/>
      <c r="AV532" s="478"/>
    </row>
    <row r="533" spans="1:48" s="471" customFormat="1" ht="15" customHeight="1">
      <c r="A533" s="472"/>
      <c r="B533" s="514">
        <v>44557</v>
      </c>
      <c r="C533" s="472"/>
      <c r="D533" s="512" t="s">
        <v>2322</v>
      </c>
      <c r="E533" s="501" t="s">
        <v>2726</v>
      </c>
      <c r="F533" s="501"/>
      <c r="G533" s="501">
        <v>2022</v>
      </c>
      <c r="H533" s="501" t="s">
        <v>1676</v>
      </c>
      <c r="I533" s="512" t="s">
        <v>1676</v>
      </c>
      <c r="J533" s="502"/>
      <c r="K533" s="503" t="s">
        <v>4515</v>
      </c>
      <c r="L533" s="501" t="s">
        <v>2459</v>
      </c>
      <c r="M533" s="504">
        <v>44545</v>
      </c>
      <c r="N533" s="504">
        <v>44866</v>
      </c>
      <c r="O533" s="504"/>
      <c r="P533" s="370"/>
      <c r="Q533" s="502"/>
      <c r="R533" s="502"/>
      <c r="S533" s="501" t="s">
        <v>1563</v>
      </c>
      <c r="T533" s="501">
        <v>60</v>
      </c>
      <c r="U533" s="371">
        <v>49401140</v>
      </c>
      <c r="V533" s="501" t="s">
        <v>2855</v>
      </c>
      <c r="W533" s="501">
        <v>400</v>
      </c>
      <c r="X533" s="505">
        <v>768</v>
      </c>
      <c r="Y533" s="477">
        <f t="shared" si="99"/>
        <v>307200</v>
      </c>
      <c r="Z533" s="478">
        <v>0.52500000000000002</v>
      </c>
      <c r="AA533" s="492">
        <f t="shared" si="101"/>
        <v>161280</v>
      </c>
      <c r="AB533" s="480"/>
      <c r="AC533" s="481">
        <f t="shared" si="102"/>
        <v>0</v>
      </c>
      <c r="AD533" s="490"/>
      <c r="AE533" s="482"/>
      <c r="AF533" s="493">
        <f t="shared" si="100"/>
        <v>161280</v>
      </c>
      <c r="AG533" s="474" t="s">
        <v>1071</v>
      </c>
      <c r="AH533" s="474"/>
      <c r="AI533" s="483">
        <v>60</v>
      </c>
      <c r="AJ533" s="474" t="s">
        <v>1384</v>
      </c>
      <c r="AK533" s="494" t="s">
        <v>1144</v>
      </c>
      <c r="AL533" s="474">
        <v>77040</v>
      </c>
      <c r="AM533" s="474" t="s">
        <v>52</v>
      </c>
      <c r="AN533" s="474" t="s">
        <v>1074</v>
      </c>
      <c r="AO533" s="474"/>
      <c r="AP533" s="486"/>
      <c r="AQ533" s="486" t="s">
        <v>37</v>
      </c>
      <c r="AR533" s="486"/>
      <c r="AS533" s="495"/>
      <c r="AT533" s="495"/>
      <c r="AU533" s="378"/>
      <c r="AV533" s="478"/>
    </row>
    <row r="534" spans="1:48" s="471" customFormat="1" ht="15" customHeight="1">
      <c r="A534" s="472"/>
      <c r="B534" s="514">
        <v>44557</v>
      </c>
      <c r="C534" s="472"/>
      <c r="D534" s="512" t="s">
        <v>2322</v>
      </c>
      <c r="E534" s="501" t="s">
        <v>2726</v>
      </c>
      <c r="F534" s="501"/>
      <c r="G534" s="501">
        <v>2022</v>
      </c>
      <c r="H534" s="501" t="s">
        <v>1676</v>
      </c>
      <c r="I534" s="512" t="s">
        <v>1676</v>
      </c>
      <c r="J534" s="502"/>
      <c r="K534" s="503" t="s">
        <v>4516</v>
      </c>
      <c r="L534" s="501" t="s">
        <v>2459</v>
      </c>
      <c r="M534" s="504">
        <v>44545</v>
      </c>
      <c r="N534" s="504">
        <v>44871</v>
      </c>
      <c r="O534" s="504"/>
      <c r="P534" s="370"/>
      <c r="Q534" s="502"/>
      <c r="R534" s="502"/>
      <c r="S534" s="501" t="s">
        <v>1563</v>
      </c>
      <c r="T534" s="501">
        <v>60</v>
      </c>
      <c r="U534" s="371">
        <v>49401140</v>
      </c>
      <c r="V534" s="501" t="s">
        <v>2855</v>
      </c>
      <c r="W534" s="501">
        <v>400</v>
      </c>
      <c r="X534" s="505">
        <v>768</v>
      </c>
      <c r="Y534" s="477">
        <f t="shared" ref="Y534:Y597" si="104">X534*W534</f>
        <v>307200</v>
      </c>
      <c r="Z534" s="478">
        <v>0.52500000000000002</v>
      </c>
      <c r="AA534" s="492">
        <f t="shared" si="101"/>
        <v>161280</v>
      </c>
      <c r="AB534" s="480"/>
      <c r="AC534" s="481">
        <f t="shared" si="102"/>
        <v>0</v>
      </c>
      <c r="AD534" s="490"/>
      <c r="AE534" s="482"/>
      <c r="AF534" s="493">
        <f t="shared" ref="AF534:AF597" si="105">AA534+AE534</f>
        <v>161280</v>
      </c>
      <c r="AG534" s="474" t="s">
        <v>1071</v>
      </c>
      <c r="AH534" s="474"/>
      <c r="AI534" s="483">
        <v>60</v>
      </c>
      <c r="AJ534" s="474" t="s">
        <v>1384</v>
      </c>
      <c r="AK534" s="494" t="s">
        <v>1144</v>
      </c>
      <c r="AL534" s="474">
        <v>77040</v>
      </c>
      <c r="AM534" s="474" t="s">
        <v>52</v>
      </c>
      <c r="AN534" s="474" t="s">
        <v>1074</v>
      </c>
      <c r="AO534" s="474"/>
      <c r="AP534" s="486"/>
      <c r="AQ534" s="486" t="s">
        <v>37</v>
      </c>
      <c r="AR534" s="486"/>
      <c r="AS534" s="495"/>
      <c r="AT534" s="495"/>
      <c r="AU534" s="378"/>
      <c r="AV534" s="478"/>
    </row>
    <row r="535" spans="1:48" s="471" customFormat="1" ht="15" customHeight="1">
      <c r="A535" s="472"/>
      <c r="B535" s="514">
        <v>44557</v>
      </c>
      <c r="C535" s="472"/>
      <c r="D535" s="512" t="s">
        <v>2322</v>
      </c>
      <c r="E535" s="501" t="s">
        <v>2726</v>
      </c>
      <c r="F535" s="501"/>
      <c r="G535" s="501">
        <v>2022</v>
      </c>
      <c r="H535" s="501" t="s">
        <v>1676</v>
      </c>
      <c r="I535" s="512" t="s">
        <v>1676</v>
      </c>
      <c r="J535" s="502"/>
      <c r="K535" s="503" t="s">
        <v>4517</v>
      </c>
      <c r="L535" s="501" t="s">
        <v>2459</v>
      </c>
      <c r="M535" s="504">
        <v>44545</v>
      </c>
      <c r="N535" s="504">
        <v>44880</v>
      </c>
      <c r="O535" s="504"/>
      <c r="P535" s="370"/>
      <c r="Q535" s="502"/>
      <c r="R535" s="502"/>
      <c r="S535" s="501" t="s">
        <v>1563</v>
      </c>
      <c r="T535" s="501">
        <v>60</v>
      </c>
      <c r="U535" s="371">
        <v>49401140</v>
      </c>
      <c r="V535" s="501" t="s">
        <v>2855</v>
      </c>
      <c r="W535" s="501">
        <v>400</v>
      </c>
      <c r="X535" s="505">
        <v>768</v>
      </c>
      <c r="Y535" s="477">
        <f t="shared" si="104"/>
        <v>307200</v>
      </c>
      <c r="Z535" s="478">
        <v>0.52500000000000002</v>
      </c>
      <c r="AA535" s="492">
        <f t="shared" si="101"/>
        <v>161280</v>
      </c>
      <c r="AB535" s="480"/>
      <c r="AC535" s="481">
        <f t="shared" si="102"/>
        <v>0</v>
      </c>
      <c r="AD535" s="490"/>
      <c r="AE535" s="482"/>
      <c r="AF535" s="493">
        <f t="shared" si="105"/>
        <v>161280</v>
      </c>
      <c r="AG535" s="474" t="s">
        <v>1071</v>
      </c>
      <c r="AH535" s="474"/>
      <c r="AI535" s="483">
        <v>60</v>
      </c>
      <c r="AJ535" s="474" t="s">
        <v>1384</v>
      </c>
      <c r="AK535" s="494" t="s">
        <v>1144</v>
      </c>
      <c r="AL535" s="474">
        <v>77040</v>
      </c>
      <c r="AM535" s="474" t="s">
        <v>52</v>
      </c>
      <c r="AN535" s="474" t="s">
        <v>1074</v>
      </c>
      <c r="AO535" s="474"/>
      <c r="AP535" s="486"/>
      <c r="AQ535" s="486" t="s">
        <v>37</v>
      </c>
      <c r="AR535" s="486"/>
      <c r="AS535" s="495"/>
      <c r="AT535" s="495"/>
      <c r="AU535" s="378"/>
      <c r="AV535" s="478"/>
    </row>
    <row r="536" spans="1:48" s="471" customFormat="1" ht="15" customHeight="1">
      <c r="A536" s="472"/>
      <c r="B536" s="514">
        <v>44557</v>
      </c>
      <c r="C536" s="472"/>
      <c r="D536" s="512" t="s">
        <v>2322</v>
      </c>
      <c r="E536" s="501" t="s">
        <v>2726</v>
      </c>
      <c r="F536" s="501"/>
      <c r="G536" s="501">
        <v>2022</v>
      </c>
      <c r="H536" s="501" t="s">
        <v>1676</v>
      </c>
      <c r="I536" s="512" t="s">
        <v>1676</v>
      </c>
      <c r="J536" s="502"/>
      <c r="K536" s="503" t="s">
        <v>4518</v>
      </c>
      <c r="L536" s="501" t="s">
        <v>2459</v>
      </c>
      <c r="M536" s="504">
        <v>44545</v>
      </c>
      <c r="N536" s="504">
        <v>44899</v>
      </c>
      <c r="O536" s="504"/>
      <c r="P536" s="370"/>
      <c r="Q536" s="502"/>
      <c r="R536" s="502"/>
      <c r="S536" s="501" t="s">
        <v>1563</v>
      </c>
      <c r="T536" s="501">
        <v>60</v>
      </c>
      <c r="U536" s="371">
        <v>49401140</v>
      </c>
      <c r="V536" s="501" t="s">
        <v>2855</v>
      </c>
      <c r="W536" s="501">
        <v>400</v>
      </c>
      <c r="X536" s="505">
        <v>768</v>
      </c>
      <c r="Y536" s="477">
        <f t="shared" si="104"/>
        <v>307200</v>
      </c>
      <c r="Z536" s="478">
        <v>0.52500000000000002</v>
      </c>
      <c r="AA536" s="492">
        <f t="shared" si="101"/>
        <v>161280</v>
      </c>
      <c r="AB536" s="480"/>
      <c r="AC536" s="481">
        <f t="shared" si="102"/>
        <v>0</v>
      </c>
      <c r="AD536" s="490"/>
      <c r="AE536" s="482"/>
      <c r="AF536" s="493">
        <f t="shared" si="105"/>
        <v>161280</v>
      </c>
      <c r="AG536" s="474" t="s">
        <v>1071</v>
      </c>
      <c r="AH536" s="474"/>
      <c r="AI536" s="483">
        <v>60</v>
      </c>
      <c r="AJ536" s="474" t="s">
        <v>1384</v>
      </c>
      <c r="AK536" s="494" t="s">
        <v>1144</v>
      </c>
      <c r="AL536" s="474">
        <v>77040</v>
      </c>
      <c r="AM536" s="474" t="s">
        <v>52</v>
      </c>
      <c r="AN536" s="474" t="s">
        <v>1074</v>
      </c>
      <c r="AO536" s="474"/>
      <c r="AP536" s="486"/>
      <c r="AQ536" s="486" t="s">
        <v>37</v>
      </c>
      <c r="AR536" s="486"/>
      <c r="AS536" s="495"/>
      <c r="AT536" s="495"/>
      <c r="AU536" s="378"/>
      <c r="AV536" s="478"/>
    </row>
    <row r="537" spans="1:48" s="471" customFormat="1" ht="15" customHeight="1">
      <c r="A537" s="472"/>
      <c r="B537" s="514">
        <v>44557</v>
      </c>
      <c r="C537" s="472"/>
      <c r="D537" s="512" t="s">
        <v>2322</v>
      </c>
      <c r="E537" s="501" t="s">
        <v>2726</v>
      </c>
      <c r="F537" s="501"/>
      <c r="G537" s="501">
        <v>2022</v>
      </c>
      <c r="H537" s="501" t="s">
        <v>1676</v>
      </c>
      <c r="I537" s="512" t="s">
        <v>1676</v>
      </c>
      <c r="J537" s="502"/>
      <c r="K537" s="503" t="s">
        <v>4519</v>
      </c>
      <c r="L537" s="501" t="s">
        <v>2459</v>
      </c>
      <c r="M537" s="504">
        <v>44545</v>
      </c>
      <c r="N537" s="504">
        <v>44908</v>
      </c>
      <c r="O537" s="504"/>
      <c r="P537" s="370"/>
      <c r="Q537" s="502"/>
      <c r="R537" s="502"/>
      <c r="S537" s="501" t="s">
        <v>1563</v>
      </c>
      <c r="T537" s="501">
        <v>60</v>
      </c>
      <c r="U537" s="371">
        <v>49401140</v>
      </c>
      <c r="V537" s="501" t="s">
        <v>2482</v>
      </c>
      <c r="W537" s="501">
        <v>400</v>
      </c>
      <c r="X537" s="505">
        <v>768</v>
      </c>
      <c r="Y537" s="477">
        <f t="shared" si="104"/>
        <v>307200</v>
      </c>
      <c r="Z537" s="478">
        <v>0.52500000000000002</v>
      </c>
      <c r="AA537" s="492">
        <f t="shared" si="101"/>
        <v>161280</v>
      </c>
      <c r="AB537" s="480"/>
      <c r="AC537" s="481">
        <f t="shared" si="102"/>
        <v>0</v>
      </c>
      <c r="AD537" s="490"/>
      <c r="AE537" s="482"/>
      <c r="AF537" s="493">
        <f t="shared" si="105"/>
        <v>161280</v>
      </c>
      <c r="AG537" s="474" t="s">
        <v>1071</v>
      </c>
      <c r="AH537" s="474"/>
      <c r="AI537" s="483" t="s">
        <v>2442</v>
      </c>
      <c r="AJ537" s="474" t="s">
        <v>1384</v>
      </c>
      <c r="AK537" s="494" t="s">
        <v>1144</v>
      </c>
      <c r="AL537" s="474">
        <v>77040</v>
      </c>
      <c r="AM537" s="474" t="s">
        <v>52</v>
      </c>
      <c r="AN537" s="474" t="s">
        <v>1074</v>
      </c>
      <c r="AO537" s="474"/>
      <c r="AP537" s="486"/>
      <c r="AQ537" s="486" t="s">
        <v>37</v>
      </c>
      <c r="AR537" s="486"/>
      <c r="AS537" s="495"/>
      <c r="AT537" s="495"/>
      <c r="AU537" s="378"/>
      <c r="AV537" s="478"/>
    </row>
    <row r="538" spans="1:48" s="471" customFormat="1" ht="15" customHeight="1">
      <c r="A538" s="472"/>
      <c r="B538" s="514">
        <v>44522</v>
      </c>
      <c r="C538" s="472"/>
      <c r="D538" s="512" t="s">
        <v>2322</v>
      </c>
      <c r="E538" s="501" t="s">
        <v>2726</v>
      </c>
      <c r="F538" s="501"/>
      <c r="G538" s="501">
        <v>2022</v>
      </c>
      <c r="H538" s="501" t="s">
        <v>1676</v>
      </c>
      <c r="I538" s="512" t="s">
        <v>1676</v>
      </c>
      <c r="J538" s="502"/>
      <c r="K538" s="503" t="s">
        <v>4520</v>
      </c>
      <c r="L538" s="501" t="s">
        <v>2459</v>
      </c>
      <c r="M538" s="504">
        <v>44509</v>
      </c>
      <c r="N538" s="504">
        <v>44571</v>
      </c>
      <c r="O538" s="504"/>
      <c r="P538" s="370"/>
      <c r="Q538" s="502"/>
      <c r="R538" s="502"/>
      <c r="S538" s="501" t="s">
        <v>1563</v>
      </c>
      <c r="T538" s="501">
        <v>60</v>
      </c>
      <c r="U538" s="371">
        <v>49401140</v>
      </c>
      <c r="V538" s="501" t="s">
        <v>973</v>
      </c>
      <c r="W538" s="501">
        <v>400</v>
      </c>
      <c r="X538" s="505">
        <v>768</v>
      </c>
      <c r="Y538" s="477">
        <f t="shared" si="104"/>
        <v>307200</v>
      </c>
      <c r="Z538" s="478">
        <f>210/400</f>
        <v>0.52500000000000002</v>
      </c>
      <c r="AA538" s="492">
        <f t="shared" si="101"/>
        <v>161280</v>
      </c>
      <c r="AB538" s="480"/>
      <c r="AC538" s="481">
        <f t="shared" si="102"/>
        <v>0</v>
      </c>
      <c r="AD538" s="490"/>
      <c r="AE538" s="482"/>
      <c r="AF538" s="493">
        <f t="shared" si="105"/>
        <v>161280</v>
      </c>
      <c r="AG538" s="474" t="s">
        <v>1071</v>
      </c>
      <c r="AH538" s="474"/>
      <c r="AI538" s="483" t="s">
        <v>2442</v>
      </c>
      <c r="AJ538" s="474" t="s">
        <v>2366</v>
      </c>
      <c r="AK538" s="494" t="s">
        <v>1395</v>
      </c>
      <c r="AL538" s="474">
        <v>89120</v>
      </c>
      <c r="AM538" s="474" t="s">
        <v>52</v>
      </c>
      <c r="AN538" s="474"/>
      <c r="AO538" s="474"/>
      <c r="AP538" s="486"/>
      <c r="AQ538" s="486" t="s">
        <v>37</v>
      </c>
      <c r="AR538" s="486"/>
      <c r="AS538" s="495"/>
      <c r="AT538" s="495"/>
      <c r="AU538" s="378"/>
      <c r="AV538" s="478"/>
    </row>
    <row r="539" spans="1:48" s="471" customFormat="1" ht="15" customHeight="1">
      <c r="A539" s="472"/>
      <c r="B539" s="514">
        <v>44557</v>
      </c>
      <c r="C539" s="472"/>
      <c r="D539" s="512" t="s">
        <v>2322</v>
      </c>
      <c r="E539" s="501" t="s">
        <v>2726</v>
      </c>
      <c r="F539" s="501"/>
      <c r="G539" s="501">
        <v>2022</v>
      </c>
      <c r="H539" s="501" t="s">
        <v>1676</v>
      </c>
      <c r="I539" s="512" t="s">
        <v>1676</v>
      </c>
      <c r="J539" s="502"/>
      <c r="K539" s="503" t="s">
        <v>4521</v>
      </c>
      <c r="L539" s="501" t="s">
        <v>2459</v>
      </c>
      <c r="M539" s="504">
        <v>44545</v>
      </c>
      <c r="N539" s="504">
        <v>44809</v>
      </c>
      <c r="O539" s="504"/>
      <c r="P539" s="370"/>
      <c r="Q539" s="502"/>
      <c r="R539" s="502"/>
      <c r="S539" s="501" t="s">
        <v>1563</v>
      </c>
      <c r="T539" s="501">
        <v>60</v>
      </c>
      <c r="U539" s="371">
        <v>49401140</v>
      </c>
      <c r="V539" s="501" t="s">
        <v>2482</v>
      </c>
      <c r="W539" s="501">
        <v>400</v>
      </c>
      <c r="X539" s="505">
        <v>768</v>
      </c>
      <c r="Y539" s="477">
        <f t="shared" si="104"/>
        <v>307200</v>
      </c>
      <c r="Z539" s="478">
        <v>0.52500000000000002</v>
      </c>
      <c r="AA539" s="492">
        <f t="shared" si="101"/>
        <v>161280</v>
      </c>
      <c r="AB539" s="480"/>
      <c r="AC539" s="481">
        <f t="shared" si="102"/>
        <v>0</v>
      </c>
      <c r="AD539" s="490"/>
      <c r="AE539" s="482"/>
      <c r="AF539" s="493">
        <f t="shared" si="105"/>
        <v>161280</v>
      </c>
      <c r="AG539" s="474" t="s">
        <v>1071</v>
      </c>
      <c r="AH539" s="474"/>
      <c r="AI539" s="483" t="s">
        <v>2442</v>
      </c>
      <c r="AJ539" s="474" t="s">
        <v>2366</v>
      </c>
      <c r="AK539" s="494" t="s">
        <v>1395</v>
      </c>
      <c r="AL539" s="474">
        <v>89120</v>
      </c>
      <c r="AM539" s="474" t="s">
        <v>52</v>
      </c>
      <c r="AN539" s="474" t="s">
        <v>1074</v>
      </c>
      <c r="AO539" s="474"/>
      <c r="AP539" s="486"/>
      <c r="AQ539" s="486" t="s">
        <v>37</v>
      </c>
      <c r="AR539" s="486"/>
      <c r="AS539" s="495"/>
      <c r="AT539" s="495"/>
      <c r="AU539" s="378"/>
      <c r="AV539" s="478"/>
    </row>
    <row r="540" spans="1:48" s="471" customFormat="1" ht="15" customHeight="1">
      <c r="A540" s="472"/>
      <c r="B540" s="514">
        <v>44557</v>
      </c>
      <c r="C540" s="472"/>
      <c r="D540" s="512" t="s">
        <v>2322</v>
      </c>
      <c r="E540" s="501" t="s">
        <v>2726</v>
      </c>
      <c r="F540" s="501"/>
      <c r="G540" s="501">
        <v>2022</v>
      </c>
      <c r="H540" s="501" t="s">
        <v>1676</v>
      </c>
      <c r="I540" s="512" t="s">
        <v>1676</v>
      </c>
      <c r="J540" s="502"/>
      <c r="K540" s="503" t="s">
        <v>4522</v>
      </c>
      <c r="L540" s="501" t="s">
        <v>2459</v>
      </c>
      <c r="M540" s="504">
        <v>44545</v>
      </c>
      <c r="N540" s="504">
        <v>44839</v>
      </c>
      <c r="O540" s="504"/>
      <c r="P540" s="370"/>
      <c r="Q540" s="502"/>
      <c r="R540" s="502"/>
      <c r="S540" s="501" t="s">
        <v>1563</v>
      </c>
      <c r="T540" s="501">
        <v>60</v>
      </c>
      <c r="U540" s="371">
        <v>49401140</v>
      </c>
      <c r="V540" s="501" t="s">
        <v>2482</v>
      </c>
      <c r="W540" s="501">
        <v>400</v>
      </c>
      <c r="X540" s="505">
        <v>768</v>
      </c>
      <c r="Y540" s="477">
        <f t="shared" si="104"/>
        <v>307200</v>
      </c>
      <c r="Z540" s="478">
        <v>0.52500000000000002</v>
      </c>
      <c r="AA540" s="492">
        <f t="shared" si="101"/>
        <v>161280</v>
      </c>
      <c r="AB540" s="480"/>
      <c r="AC540" s="481">
        <f t="shared" si="102"/>
        <v>0</v>
      </c>
      <c r="AD540" s="490"/>
      <c r="AE540" s="482"/>
      <c r="AF540" s="493">
        <f t="shared" si="105"/>
        <v>161280</v>
      </c>
      <c r="AG540" s="474" t="s">
        <v>1071</v>
      </c>
      <c r="AH540" s="474"/>
      <c r="AI540" s="483" t="s">
        <v>2442</v>
      </c>
      <c r="AJ540" s="474" t="s">
        <v>2366</v>
      </c>
      <c r="AK540" s="494" t="s">
        <v>1395</v>
      </c>
      <c r="AL540" s="474">
        <v>89120</v>
      </c>
      <c r="AM540" s="474" t="s">
        <v>52</v>
      </c>
      <c r="AN540" s="474" t="s">
        <v>1074</v>
      </c>
      <c r="AO540" s="474"/>
      <c r="AP540" s="486"/>
      <c r="AQ540" s="486" t="s">
        <v>37</v>
      </c>
      <c r="AR540" s="486"/>
      <c r="AS540" s="495"/>
      <c r="AT540" s="495"/>
      <c r="AU540" s="378"/>
      <c r="AV540" s="478"/>
    </row>
    <row r="541" spans="1:48" s="471" customFormat="1" ht="15" customHeight="1">
      <c r="A541" s="472"/>
      <c r="B541" s="514">
        <v>44557</v>
      </c>
      <c r="C541" s="472"/>
      <c r="D541" s="512" t="s">
        <v>2322</v>
      </c>
      <c r="E541" s="501" t="s">
        <v>2726</v>
      </c>
      <c r="F541" s="501"/>
      <c r="G541" s="501">
        <v>2022</v>
      </c>
      <c r="H541" s="501" t="s">
        <v>1676</v>
      </c>
      <c r="I541" s="512" t="s">
        <v>1676</v>
      </c>
      <c r="J541" s="502"/>
      <c r="K541" s="503" t="s">
        <v>4523</v>
      </c>
      <c r="L541" s="501" t="s">
        <v>2459</v>
      </c>
      <c r="M541" s="504">
        <v>44545</v>
      </c>
      <c r="N541" s="504">
        <v>44870</v>
      </c>
      <c r="O541" s="504"/>
      <c r="P541" s="370"/>
      <c r="Q541" s="502"/>
      <c r="R541" s="502"/>
      <c r="S541" s="501" t="s">
        <v>1563</v>
      </c>
      <c r="T541" s="501">
        <v>60</v>
      </c>
      <c r="U541" s="371">
        <v>49401140</v>
      </c>
      <c r="V541" s="501" t="s">
        <v>2482</v>
      </c>
      <c r="W541" s="501">
        <v>400</v>
      </c>
      <c r="X541" s="505">
        <v>768</v>
      </c>
      <c r="Y541" s="477">
        <f t="shared" si="104"/>
        <v>307200</v>
      </c>
      <c r="Z541" s="478">
        <v>0.52500000000000002</v>
      </c>
      <c r="AA541" s="492">
        <f t="shared" si="101"/>
        <v>161280</v>
      </c>
      <c r="AB541" s="480"/>
      <c r="AC541" s="481">
        <f t="shared" si="102"/>
        <v>0</v>
      </c>
      <c r="AD541" s="490"/>
      <c r="AE541" s="482"/>
      <c r="AF541" s="493">
        <f t="shared" si="105"/>
        <v>161280</v>
      </c>
      <c r="AG541" s="474" t="s">
        <v>1071</v>
      </c>
      <c r="AH541" s="474"/>
      <c r="AI541" s="483" t="s">
        <v>2442</v>
      </c>
      <c r="AJ541" s="474" t="s">
        <v>2366</v>
      </c>
      <c r="AK541" s="494" t="s">
        <v>1395</v>
      </c>
      <c r="AL541" s="474">
        <v>89120</v>
      </c>
      <c r="AM541" s="474" t="s">
        <v>52</v>
      </c>
      <c r="AN541" s="474" t="s">
        <v>1074</v>
      </c>
      <c r="AO541" s="474"/>
      <c r="AP541" s="486"/>
      <c r="AQ541" s="486" t="s">
        <v>37</v>
      </c>
      <c r="AR541" s="486"/>
      <c r="AS541" s="495"/>
      <c r="AT541" s="495"/>
      <c r="AU541" s="378"/>
      <c r="AV541" s="478"/>
    </row>
    <row r="542" spans="1:48" s="471" customFormat="1" ht="15" customHeight="1">
      <c r="A542" s="472"/>
      <c r="B542" s="514"/>
      <c r="C542" s="472"/>
      <c r="D542" s="512" t="s">
        <v>2322</v>
      </c>
      <c r="E542" s="501" t="s">
        <v>2726</v>
      </c>
      <c r="F542" s="501"/>
      <c r="G542" s="501">
        <v>2022</v>
      </c>
      <c r="H542" s="501" t="s">
        <v>1676</v>
      </c>
      <c r="I542" s="512" t="s">
        <v>1676</v>
      </c>
      <c r="J542" s="502"/>
      <c r="K542" s="503" t="s">
        <v>4524</v>
      </c>
      <c r="L542" s="501" t="s">
        <v>2459</v>
      </c>
      <c r="M542" s="504">
        <v>44545</v>
      </c>
      <c r="N542" s="504">
        <v>44809</v>
      </c>
      <c r="O542" s="504"/>
      <c r="P542" s="370"/>
      <c r="Q542" s="502"/>
      <c r="R542" s="502"/>
      <c r="S542" s="501" t="s">
        <v>1563</v>
      </c>
      <c r="T542" s="501">
        <v>60</v>
      </c>
      <c r="U542" s="371">
        <v>49401140</v>
      </c>
      <c r="V542" s="501" t="s">
        <v>973</v>
      </c>
      <c r="W542" s="501">
        <v>400</v>
      </c>
      <c r="X542" s="505">
        <v>768</v>
      </c>
      <c r="Y542" s="477">
        <f t="shared" si="104"/>
        <v>307200</v>
      </c>
      <c r="Z542" s="478">
        <f>210/400</f>
        <v>0.52500000000000002</v>
      </c>
      <c r="AA542" s="479">
        <f t="shared" si="101"/>
        <v>161280</v>
      </c>
      <c r="AB542" s="480"/>
      <c r="AC542" s="481">
        <f t="shared" si="102"/>
        <v>0</v>
      </c>
      <c r="AD542" s="490"/>
      <c r="AE542" s="482"/>
      <c r="AF542" s="493">
        <f t="shared" si="105"/>
        <v>161280</v>
      </c>
      <c r="AG542" s="474" t="s">
        <v>1071</v>
      </c>
      <c r="AH542" s="474"/>
      <c r="AI542" s="483">
        <v>60</v>
      </c>
      <c r="AJ542" s="474" t="s">
        <v>2353</v>
      </c>
      <c r="AK542" s="494" t="s">
        <v>50</v>
      </c>
      <c r="AL542" s="474">
        <v>90620</v>
      </c>
      <c r="AM542" s="474" t="s">
        <v>52</v>
      </c>
      <c r="AN542" s="474"/>
      <c r="AO542" s="474"/>
      <c r="AP542" s="486"/>
      <c r="AQ542" s="486" t="s">
        <v>37</v>
      </c>
      <c r="AR542" s="486"/>
      <c r="AS542" s="495"/>
      <c r="AT542" s="495"/>
      <c r="AU542" s="378"/>
      <c r="AV542" s="478"/>
    </row>
    <row r="543" spans="1:48" s="471" customFormat="1" ht="15" customHeight="1">
      <c r="A543" s="472"/>
      <c r="B543" s="514"/>
      <c r="C543" s="472"/>
      <c r="D543" s="512" t="s">
        <v>2322</v>
      </c>
      <c r="E543" s="501" t="s">
        <v>2726</v>
      </c>
      <c r="F543" s="501"/>
      <c r="G543" s="501">
        <v>2022</v>
      </c>
      <c r="H543" s="501" t="s">
        <v>1676</v>
      </c>
      <c r="I543" s="512" t="s">
        <v>1676</v>
      </c>
      <c r="J543" s="502"/>
      <c r="K543" s="503" t="s">
        <v>4525</v>
      </c>
      <c r="L543" s="501" t="s">
        <v>2459</v>
      </c>
      <c r="M543" s="504">
        <v>44545</v>
      </c>
      <c r="N543" s="504">
        <v>44900</v>
      </c>
      <c r="O543" s="504"/>
      <c r="P543" s="370"/>
      <c r="Q543" s="502"/>
      <c r="R543" s="502"/>
      <c r="S543" s="501" t="s">
        <v>1563</v>
      </c>
      <c r="T543" s="501">
        <v>60</v>
      </c>
      <c r="U543" s="371">
        <v>49401140</v>
      </c>
      <c r="V543" s="501" t="s">
        <v>973</v>
      </c>
      <c r="W543" s="501">
        <v>400</v>
      </c>
      <c r="X543" s="505">
        <v>768</v>
      </c>
      <c r="Y543" s="477">
        <f t="shared" si="104"/>
        <v>307200</v>
      </c>
      <c r="Z543" s="478">
        <f>210/400</f>
        <v>0.52500000000000002</v>
      </c>
      <c r="AA543" s="479">
        <f t="shared" si="101"/>
        <v>161280</v>
      </c>
      <c r="AB543" s="480"/>
      <c r="AC543" s="481">
        <f t="shared" si="102"/>
        <v>0</v>
      </c>
      <c r="AD543" s="490"/>
      <c r="AE543" s="482"/>
      <c r="AF543" s="493">
        <f t="shared" si="105"/>
        <v>161280</v>
      </c>
      <c r="AG543" s="474" t="s">
        <v>1071</v>
      </c>
      <c r="AH543" s="474"/>
      <c r="AI543" s="483">
        <v>60</v>
      </c>
      <c r="AJ543" s="474" t="s">
        <v>2353</v>
      </c>
      <c r="AK543" s="494" t="s">
        <v>50</v>
      </c>
      <c r="AL543" s="474">
        <v>90621</v>
      </c>
      <c r="AM543" s="474" t="s">
        <v>52</v>
      </c>
      <c r="AN543" s="474"/>
      <c r="AO543" s="474"/>
      <c r="AP543" s="486"/>
      <c r="AQ543" s="486" t="s">
        <v>37</v>
      </c>
      <c r="AR543" s="486"/>
      <c r="AS543" s="495"/>
      <c r="AT543" s="495"/>
      <c r="AU543" s="378"/>
      <c r="AV543" s="478"/>
    </row>
    <row r="544" spans="1:48" s="471" customFormat="1" ht="15" customHeight="1">
      <c r="A544" s="472"/>
      <c r="B544" s="514"/>
      <c r="C544" s="472"/>
      <c r="D544" s="512" t="s">
        <v>2322</v>
      </c>
      <c r="E544" s="501" t="s">
        <v>2726</v>
      </c>
      <c r="F544" s="501"/>
      <c r="G544" s="501">
        <v>2022</v>
      </c>
      <c r="H544" s="501" t="s">
        <v>1676</v>
      </c>
      <c r="I544" s="512" t="s">
        <v>1676</v>
      </c>
      <c r="J544" s="502"/>
      <c r="K544" s="503" t="s">
        <v>4526</v>
      </c>
      <c r="L544" s="501" t="s">
        <v>2459</v>
      </c>
      <c r="M544" s="504">
        <v>44545</v>
      </c>
      <c r="N544" s="504">
        <v>44888</v>
      </c>
      <c r="O544" s="504"/>
      <c r="P544" s="370"/>
      <c r="Q544" s="502"/>
      <c r="R544" s="502"/>
      <c r="S544" s="501" t="s">
        <v>1563</v>
      </c>
      <c r="T544" s="501">
        <v>60</v>
      </c>
      <c r="U544" s="371">
        <v>49401140</v>
      </c>
      <c r="V544" s="501" t="s">
        <v>973</v>
      </c>
      <c r="W544" s="501">
        <v>400</v>
      </c>
      <c r="X544" s="505">
        <v>768</v>
      </c>
      <c r="Y544" s="477">
        <f t="shared" si="104"/>
        <v>307200</v>
      </c>
      <c r="Z544" s="478">
        <f>210/400</f>
        <v>0.52500000000000002</v>
      </c>
      <c r="AA544" s="479">
        <f t="shared" si="101"/>
        <v>161280</v>
      </c>
      <c r="AB544" s="480"/>
      <c r="AC544" s="481">
        <f t="shared" si="102"/>
        <v>0</v>
      </c>
      <c r="AD544" s="490"/>
      <c r="AE544" s="482"/>
      <c r="AF544" s="493">
        <f t="shared" si="105"/>
        <v>161280</v>
      </c>
      <c r="AG544" s="474" t="s">
        <v>1071</v>
      </c>
      <c r="AH544" s="474"/>
      <c r="AI544" s="483">
        <v>60</v>
      </c>
      <c r="AJ544" s="474" t="s">
        <v>2472</v>
      </c>
      <c r="AK544" s="494" t="s">
        <v>1133</v>
      </c>
      <c r="AL544" s="474">
        <v>85008</v>
      </c>
      <c r="AM544" s="474" t="s">
        <v>52</v>
      </c>
      <c r="AN544" s="474"/>
      <c r="AO544" s="474"/>
      <c r="AP544" s="486"/>
      <c r="AQ544" s="486" t="s">
        <v>37</v>
      </c>
      <c r="AR544" s="486"/>
      <c r="AS544" s="495"/>
      <c r="AT544" s="495"/>
      <c r="AU544" s="378"/>
      <c r="AV544" s="478"/>
    </row>
    <row r="545" spans="1:48" s="471" customFormat="1" ht="15" customHeight="1">
      <c r="A545" s="472"/>
      <c r="B545" s="514"/>
      <c r="C545" s="472"/>
      <c r="D545" s="512" t="s">
        <v>2322</v>
      </c>
      <c r="E545" s="501" t="s">
        <v>2726</v>
      </c>
      <c r="F545" s="501"/>
      <c r="G545" s="501">
        <v>2022</v>
      </c>
      <c r="H545" s="501" t="s">
        <v>1676</v>
      </c>
      <c r="I545" s="512" t="s">
        <v>1676</v>
      </c>
      <c r="J545" s="502"/>
      <c r="K545" s="503" t="s">
        <v>4527</v>
      </c>
      <c r="L545" s="501" t="s">
        <v>2459</v>
      </c>
      <c r="M545" s="504">
        <v>44545</v>
      </c>
      <c r="N545" s="504">
        <v>44849</v>
      </c>
      <c r="O545" s="504"/>
      <c r="P545" s="370"/>
      <c r="Q545" s="502"/>
      <c r="R545" s="502"/>
      <c r="S545" s="501" t="s">
        <v>1563</v>
      </c>
      <c r="T545" s="501">
        <v>60</v>
      </c>
      <c r="U545" s="371"/>
      <c r="V545" s="501" t="s">
        <v>1223</v>
      </c>
      <c r="W545" s="501">
        <v>360</v>
      </c>
      <c r="X545" s="505">
        <v>832</v>
      </c>
      <c r="Y545" s="477">
        <f t="shared" si="104"/>
        <v>299520</v>
      </c>
      <c r="Z545" s="478">
        <f>284.4/360</f>
        <v>0.78999999999999992</v>
      </c>
      <c r="AA545" s="479">
        <f t="shared" si="101"/>
        <v>236620.79999999999</v>
      </c>
      <c r="AB545" s="480"/>
      <c r="AC545" s="481">
        <f t="shared" si="102"/>
        <v>0</v>
      </c>
      <c r="AD545" s="490"/>
      <c r="AE545" s="482"/>
      <c r="AF545" s="493">
        <f t="shared" si="105"/>
        <v>236620.79999999999</v>
      </c>
      <c r="AG545" s="474" t="s">
        <v>1071</v>
      </c>
      <c r="AH545" s="474"/>
      <c r="AI545" s="483">
        <v>60</v>
      </c>
      <c r="AJ545" s="474" t="s">
        <v>2461</v>
      </c>
      <c r="AK545" s="494" t="s">
        <v>1823</v>
      </c>
      <c r="AL545" s="474">
        <v>97210</v>
      </c>
      <c r="AM545" s="474" t="s">
        <v>52</v>
      </c>
      <c r="AN545" s="474"/>
      <c r="AO545" s="474"/>
      <c r="AP545" s="486"/>
      <c r="AQ545" s="486" t="s">
        <v>37</v>
      </c>
      <c r="AR545" s="486"/>
      <c r="AS545" s="495"/>
      <c r="AT545" s="495"/>
      <c r="AU545" s="378"/>
      <c r="AV545" s="478"/>
    </row>
    <row r="546" spans="1:48" s="471" customFormat="1" ht="15" customHeight="1">
      <c r="A546" s="472"/>
      <c r="B546" s="514"/>
      <c r="C546" s="472"/>
      <c r="D546" s="512" t="s">
        <v>2322</v>
      </c>
      <c r="E546" s="501" t="s">
        <v>2726</v>
      </c>
      <c r="F546" s="501"/>
      <c r="G546" s="501">
        <v>2022</v>
      </c>
      <c r="H546" s="501" t="s">
        <v>1676</v>
      </c>
      <c r="I546" s="512" t="s">
        <v>1676</v>
      </c>
      <c r="J546" s="502"/>
      <c r="K546" s="503" t="s">
        <v>4528</v>
      </c>
      <c r="L546" s="501" t="s">
        <v>2459</v>
      </c>
      <c r="M546" s="504">
        <v>44545</v>
      </c>
      <c r="N546" s="504">
        <v>44602</v>
      </c>
      <c r="O546" s="504"/>
      <c r="P546" s="370"/>
      <c r="Q546" s="502"/>
      <c r="R546" s="502"/>
      <c r="S546" s="501" t="s">
        <v>1563</v>
      </c>
      <c r="T546" s="501">
        <v>60</v>
      </c>
      <c r="U546" s="371"/>
      <c r="V546" s="501" t="s">
        <v>1223</v>
      </c>
      <c r="W546" s="501">
        <v>360</v>
      </c>
      <c r="X546" s="505">
        <v>832</v>
      </c>
      <c r="Y546" s="477">
        <f t="shared" si="104"/>
        <v>299520</v>
      </c>
      <c r="Z546" s="478">
        <f>284.4/360</f>
        <v>0.78999999999999992</v>
      </c>
      <c r="AA546" s="479">
        <f t="shared" si="101"/>
        <v>236620.79999999999</v>
      </c>
      <c r="AB546" s="480"/>
      <c r="AC546" s="481">
        <f t="shared" si="102"/>
        <v>0</v>
      </c>
      <c r="AD546" s="490"/>
      <c r="AE546" s="482"/>
      <c r="AF546" s="493">
        <f t="shared" si="105"/>
        <v>236620.79999999999</v>
      </c>
      <c r="AG546" s="474" t="s">
        <v>1071</v>
      </c>
      <c r="AH546" s="474"/>
      <c r="AI546" s="483">
        <v>61</v>
      </c>
      <c r="AJ546" s="474" t="s">
        <v>2461</v>
      </c>
      <c r="AK546" s="494" t="s">
        <v>1823</v>
      </c>
      <c r="AL546" s="474">
        <v>97211</v>
      </c>
      <c r="AM546" s="474" t="s">
        <v>52</v>
      </c>
      <c r="AN546" s="474"/>
      <c r="AO546" s="474"/>
      <c r="AP546" s="486"/>
      <c r="AQ546" s="486" t="s">
        <v>37</v>
      </c>
      <c r="AR546" s="486"/>
      <c r="AS546" s="495"/>
      <c r="AT546" s="495"/>
      <c r="AU546" s="378"/>
      <c r="AV546" s="478"/>
    </row>
    <row r="547" spans="1:48" s="471" customFormat="1" ht="15" customHeight="1">
      <c r="A547" s="472"/>
      <c r="B547" s="514">
        <v>44522</v>
      </c>
      <c r="C547" s="472"/>
      <c r="D547" s="512" t="s">
        <v>2322</v>
      </c>
      <c r="E547" s="501" t="s">
        <v>2726</v>
      </c>
      <c r="F547" s="501"/>
      <c r="G547" s="501">
        <v>2022</v>
      </c>
      <c r="H547" s="501" t="s">
        <v>1676</v>
      </c>
      <c r="I547" s="512" t="s">
        <v>1676</v>
      </c>
      <c r="J547" s="502"/>
      <c r="K547" s="503" t="s">
        <v>4529</v>
      </c>
      <c r="L547" s="501" t="s">
        <v>2459</v>
      </c>
      <c r="M547" s="504">
        <v>44518</v>
      </c>
      <c r="N547" s="504">
        <v>44721</v>
      </c>
      <c r="O547" s="504"/>
      <c r="P547" s="370"/>
      <c r="Q547" s="502"/>
      <c r="R547" s="502"/>
      <c r="S547" s="501" t="s">
        <v>1563</v>
      </c>
      <c r="T547" s="501">
        <v>60</v>
      </c>
      <c r="U547" s="371">
        <v>49401140</v>
      </c>
      <c r="V547" s="501" t="s">
        <v>973</v>
      </c>
      <c r="W547" s="501">
        <v>400</v>
      </c>
      <c r="X547" s="505">
        <v>768</v>
      </c>
      <c r="Y547" s="477">
        <f t="shared" si="104"/>
        <v>307200</v>
      </c>
      <c r="Z547" s="478">
        <f t="shared" ref="Z547:Z555" si="106">222/400</f>
        <v>0.55500000000000005</v>
      </c>
      <c r="AA547" s="492">
        <f t="shared" si="101"/>
        <v>170496.00000000003</v>
      </c>
      <c r="AB547" s="480"/>
      <c r="AC547" s="481">
        <f t="shared" si="102"/>
        <v>0</v>
      </c>
      <c r="AD547" s="490"/>
      <c r="AE547" s="482"/>
      <c r="AF547" s="493">
        <f t="shared" si="105"/>
        <v>170496.00000000003</v>
      </c>
      <c r="AG547" s="474" t="s">
        <v>1071</v>
      </c>
      <c r="AH547" s="474"/>
      <c r="AI547" s="483" t="s">
        <v>2442</v>
      </c>
      <c r="AJ547" s="474" t="s">
        <v>2384</v>
      </c>
      <c r="AK547" s="494" t="s">
        <v>1144</v>
      </c>
      <c r="AL547" s="474">
        <v>75063</v>
      </c>
      <c r="AM547" s="474" t="s">
        <v>52</v>
      </c>
      <c r="AN547" s="474"/>
      <c r="AO547" s="474"/>
      <c r="AP547" s="486"/>
      <c r="AQ547" s="486"/>
      <c r="AR547" s="486"/>
      <c r="AS547" s="495"/>
      <c r="AT547" s="495"/>
      <c r="AU547" s="378"/>
      <c r="AV547" s="478"/>
    </row>
    <row r="548" spans="1:48" s="471" customFormat="1" ht="15" customHeight="1">
      <c r="A548" s="472"/>
      <c r="B548" s="514">
        <v>44522</v>
      </c>
      <c r="C548" s="472"/>
      <c r="D548" s="512" t="s">
        <v>2322</v>
      </c>
      <c r="E548" s="501" t="s">
        <v>2726</v>
      </c>
      <c r="F548" s="501"/>
      <c r="G548" s="501">
        <v>2022</v>
      </c>
      <c r="H548" s="501" t="s">
        <v>1676</v>
      </c>
      <c r="I548" s="512" t="s">
        <v>1676</v>
      </c>
      <c r="J548" s="502"/>
      <c r="K548" s="503" t="s">
        <v>4530</v>
      </c>
      <c r="L548" s="501" t="s">
        <v>2459</v>
      </c>
      <c r="M548" s="504">
        <v>44505</v>
      </c>
      <c r="N548" s="504">
        <v>44722</v>
      </c>
      <c r="O548" s="504"/>
      <c r="P548" s="370"/>
      <c r="Q548" s="502"/>
      <c r="R548" s="502"/>
      <c r="S548" s="501" t="s">
        <v>1563</v>
      </c>
      <c r="T548" s="501">
        <v>60</v>
      </c>
      <c r="U548" s="371">
        <v>49401140</v>
      </c>
      <c r="V548" s="501" t="s">
        <v>2482</v>
      </c>
      <c r="W548" s="501">
        <v>400</v>
      </c>
      <c r="X548" s="505">
        <v>768</v>
      </c>
      <c r="Y548" s="477">
        <f t="shared" si="104"/>
        <v>307200</v>
      </c>
      <c r="Z548" s="478">
        <f t="shared" si="106"/>
        <v>0.55500000000000005</v>
      </c>
      <c r="AA548" s="492">
        <f t="shared" si="101"/>
        <v>170496.00000000003</v>
      </c>
      <c r="AB548" s="480"/>
      <c r="AC548" s="481">
        <f t="shared" si="102"/>
        <v>0</v>
      </c>
      <c r="AD548" s="490"/>
      <c r="AE548" s="482"/>
      <c r="AF548" s="493">
        <f t="shared" si="105"/>
        <v>170496.00000000003</v>
      </c>
      <c r="AG548" s="474" t="s">
        <v>1071</v>
      </c>
      <c r="AH548" s="474"/>
      <c r="AI548" s="483" t="s">
        <v>2442</v>
      </c>
      <c r="AJ548" s="474" t="s">
        <v>1777</v>
      </c>
      <c r="AK548" s="494" t="s">
        <v>50</v>
      </c>
      <c r="AL548" s="474" t="s">
        <v>1990</v>
      </c>
      <c r="AM548" s="474" t="s">
        <v>52</v>
      </c>
      <c r="AN548" s="474"/>
      <c r="AO548" s="474"/>
      <c r="AP548" s="486"/>
      <c r="AQ548" s="486" t="s">
        <v>37</v>
      </c>
      <c r="AR548" s="486"/>
      <c r="AS548" s="495"/>
      <c r="AT548" s="495"/>
      <c r="AU548" s="378"/>
      <c r="AV548" s="478"/>
    </row>
    <row r="549" spans="1:48" s="471" customFormat="1" ht="15" customHeight="1">
      <c r="A549" s="472"/>
      <c r="B549" s="514">
        <v>44522</v>
      </c>
      <c r="C549" s="472"/>
      <c r="D549" s="512" t="s">
        <v>2322</v>
      </c>
      <c r="E549" s="501" t="s">
        <v>2726</v>
      </c>
      <c r="F549" s="501"/>
      <c r="G549" s="501">
        <v>2022</v>
      </c>
      <c r="H549" s="501" t="s">
        <v>1676</v>
      </c>
      <c r="I549" s="512" t="s">
        <v>1676</v>
      </c>
      <c r="J549" s="502"/>
      <c r="K549" s="503" t="s">
        <v>4531</v>
      </c>
      <c r="L549" s="501" t="s">
        <v>2459</v>
      </c>
      <c r="M549" s="504">
        <v>44505</v>
      </c>
      <c r="N549" s="504">
        <v>44722</v>
      </c>
      <c r="O549" s="504"/>
      <c r="P549" s="370"/>
      <c r="Q549" s="502"/>
      <c r="R549" s="502"/>
      <c r="S549" s="501" t="s">
        <v>1563</v>
      </c>
      <c r="T549" s="501">
        <v>60</v>
      </c>
      <c r="U549" s="371">
        <v>49401140</v>
      </c>
      <c r="V549" s="501" t="s">
        <v>973</v>
      </c>
      <c r="W549" s="501">
        <v>400</v>
      </c>
      <c r="X549" s="505">
        <v>768</v>
      </c>
      <c r="Y549" s="477">
        <f t="shared" si="104"/>
        <v>307200</v>
      </c>
      <c r="Z549" s="478">
        <f t="shared" si="106"/>
        <v>0.55500000000000005</v>
      </c>
      <c r="AA549" s="492">
        <f t="shared" si="101"/>
        <v>170496.00000000003</v>
      </c>
      <c r="AB549" s="480"/>
      <c r="AC549" s="481">
        <f t="shared" si="102"/>
        <v>0</v>
      </c>
      <c r="AD549" s="490"/>
      <c r="AE549" s="482"/>
      <c r="AF549" s="493">
        <f t="shared" si="105"/>
        <v>170496.00000000003</v>
      </c>
      <c r="AG549" s="474" t="s">
        <v>1071</v>
      </c>
      <c r="AH549" s="474"/>
      <c r="AI549" s="483" t="s">
        <v>2442</v>
      </c>
      <c r="AJ549" s="474" t="s">
        <v>2472</v>
      </c>
      <c r="AK549" s="494" t="s">
        <v>1133</v>
      </c>
      <c r="AL549" s="474" t="s">
        <v>2578</v>
      </c>
      <c r="AM549" s="474" t="s">
        <v>52</v>
      </c>
      <c r="AN549" s="474"/>
      <c r="AO549" s="474"/>
      <c r="AP549" s="486"/>
      <c r="AQ549" s="486" t="s">
        <v>37</v>
      </c>
      <c r="AR549" s="486"/>
      <c r="AS549" s="495"/>
      <c r="AT549" s="495"/>
      <c r="AU549" s="378"/>
      <c r="AV549" s="478"/>
    </row>
    <row r="550" spans="1:48" s="471" customFormat="1" ht="15" customHeight="1">
      <c r="A550" s="472"/>
      <c r="B550" s="514">
        <v>44599</v>
      </c>
      <c r="C550" s="472"/>
      <c r="D550" s="512" t="s">
        <v>2322</v>
      </c>
      <c r="E550" s="501" t="s">
        <v>2726</v>
      </c>
      <c r="F550" s="501"/>
      <c r="G550" s="501">
        <v>2022</v>
      </c>
      <c r="H550" s="501" t="s">
        <v>1676</v>
      </c>
      <c r="I550" s="512" t="s">
        <v>1676</v>
      </c>
      <c r="J550" s="502"/>
      <c r="K550" s="503" t="s">
        <v>4532</v>
      </c>
      <c r="L550" s="501" t="s">
        <v>2459</v>
      </c>
      <c r="M550" s="504">
        <v>44596</v>
      </c>
      <c r="N550" s="504">
        <v>44722</v>
      </c>
      <c r="O550" s="504"/>
      <c r="P550" s="370"/>
      <c r="Q550" s="502"/>
      <c r="R550" s="502"/>
      <c r="S550" s="501" t="s">
        <v>1563</v>
      </c>
      <c r="T550" s="501">
        <v>60</v>
      </c>
      <c r="U550" s="371">
        <v>49403140</v>
      </c>
      <c r="V550" s="501" t="s">
        <v>973</v>
      </c>
      <c r="W550" s="501">
        <v>400</v>
      </c>
      <c r="X550" s="505">
        <v>768</v>
      </c>
      <c r="Y550" s="477">
        <f t="shared" si="104"/>
        <v>307200</v>
      </c>
      <c r="Z550" s="478">
        <f t="shared" si="106"/>
        <v>0.55500000000000005</v>
      </c>
      <c r="AA550" s="492">
        <f t="shared" si="101"/>
        <v>170496.00000000003</v>
      </c>
      <c r="AB550" s="480"/>
      <c r="AC550" s="481">
        <f t="shared" si="102"/>
        <v>0</v>
      </c>
      <c r="AD550" s="490"/>
      <c r="AE550" s="482"/>
      <c r="AF550" s="493">
        <f t="shared" si="105"/>
        <v>170496.00000000003</v>
      </c>
      <c r="AG550" s="474" t="s">
        <v>1071</v>
      </c>
      <c r="AH550" s="474"/>
      <c r="AI550" s="483" t="s">
        <v>4533</v>
      </c>
      <c r="AJ550" s="474" t="s">
        <v>2510</v>
      </c>
      <c r="AK550" s="494" t="s">
        <v>1144</v>
      </c>
      <c r="AL550" s="474">
        <v>75070</v>
      </c>
      <c r="AM550" s="474" t="s">
        <v>52</v>
      </c>
      <c r="AN550" s="474"/>
      <c r="AO550" s="474"/>
      <c r="AP550" s="486"/>
      <c r="AQ550" s="486" t="s">
        <v>37</v>
      </c>
      <c r="AR550" s="486"/>
      <c r="AS550" s="495"/>
      <c r="AT550" s="495"/>
      <c r="AU550" s="378"/>
      <c r="AV550" s="478"/>
    </row>
    <row r="551" spans="1:48" s="471" customFormat="1" ht="15" customHeight="1">
      <c r="A551" s="472"/>
      <c r="B551" s="514">
        <v>44599</v>
      </c>
      <c r="C551" s="472"/>
      <c r="D551" s="512" t="s">
        <v>2322</v>
      </c>
      <c r="E551" s="501" t="s">
        <v>2726</v>
      </c>
      <c r="F551" s="501"/>
      <c r="G551" s="501">
        <v>2022</v>
      </c>
      <c r="H551" s="501" t="s">
        <v>1676</v>
      </c>
      <c r="I551" s="512" t="s">
        <v>1676</v>
      </c>
      <c r="J551" s="502"/>
      <c r="K551" s="503" t="s">
        <v>4534</v>
      </c>
      <c r="L551" s="501" t="s">
        <v>2459</v>
      </c>
      <c r="M551" s="504">
        <v>44596</v>
      </c>
      <c r="N551" s="504">
        <v>44724</v>
      </c>
      <c r="O551" s="504"/>
      <c r="P551" s="370"/>
      <c r="Q551" s="502"/>
      <c r="R551" s="502"/>
      <c r="S551" s="501" t="s">
        <v>1563</v>
      </c>
      <c r="T551" s="501">
        <v>60</v>
      </c>
      <c r="U551" s="371">
        <v>49403140</v>
      </c>
      <c r="V551" s="501" t="s">
        <v>973</v>
      </c>
      <c r="W551" s="501">
        <v>400</v>
      </c>
      <c r="X551" s="505">
        <v>768</v>
      </c>
      <c r="Y551" s="477">
        <f t="shared" si="104"/>
        <v>307200</v>
      </c>
      <c r="Z551" s="478">
        <f t="shared" si="106"/>
        <v>0.55500000000000005</v>
      </c>
      <c r="AA551" s="492">
        <f t="shared" si="101"/>
        <v>170496.00000000003</v>
      </c>
      <c r="AB551" s="480"/>
      <c r="AC551" s="481">
        <f t="shared" si="102"/>
        <v>0</v>
      </c>
      <c r="AD551" s="490"/>
      <c r="AE551" s="482"/>
      <c r="AF551" s="493">
        <f t="shared" si="105"/>
        <v>170496.00000000003</v>
      </c>
      <c r="AG551" s="474" t="s">
        <v>1071</v>
      </c>
      <c r="AH551" s="474"/>
      <c r="AI551" s="483" t="s">
        <v>4535</v>
      </c>
      <c r="AJ551" s="474" t="s">
        <v>2510</v>
      </c>
      <c r="AK551" s="494" t="s">
        <v>1144</v>
      </c>
      <c r="AL551" s="474">
        <v>75071</v>
      </c>
      <c r="AM551" s="474" t="s">
        <v>52</v>
      </c>
      <c r="AN551" s="474"/>
      <c r="AO551" s="474"/>
      <c r="AP551" s="486"/>
      <c r="AQ551" s="486" t="s">
        <v>37</v>
      </c>
      <c r="AR551" s="486"/>
      <c r="AS551" s="495"/>
      <c r="AT551" s="495"/>
      <c r="AU551" s="378"/>
      <c r="AV551" s="478"/>
    </row>
    <row r="552" spans="1:48" s="471" customFormat="1" ht="15" customHeight="1">
      <c r="A552" s="472"/>
      <c r="B552" s="514">
        <v>44522</v>
      </c>
      <c r="C552" s="472"/>
      <c r="D552" s="512" t="s">
        <v>2322</v>
      </c>
      <c r="E552" s="501" t="s">
        <v>2726</v>
      </c>
      <c r="F552" s="501"/>
      <c r="G552" s="501">
        <v>2022</v>
      </c>
      <c r="H552" s="501" t="s">
        <v>1676</v>
      </c>
      <c r="I552" s="512" t="s">
        <v>1676</v>
      </c>
      <c r="J552" s="502"/>
      <c r="K552" s="503" t="s">
        <v>4536</v>
      </c>
      <c r="L552" s="501" t="s">
        <v>2459</v>
      </c>
      <c r="M552" s="504">
        <v>44518</v>
      </c>
      <c r="N552" s="504">
        <v>44725</v>
      </c>
      <c r="O552" s="504"/>
      <c r="P552" s="370"/>
      <c r="Q552" s="502"/>
      <c r="R552" s="502"/>
      <c r="S552" s="501" t="s">
        <v>1563</v>
      </c>
      <c r="T552" s="501">
        <v>60</v>
      </c>
      <c r="U552" s="371">
        <v>49401140</v>
      </c>
      <c r="V552" s="501" t="s">
        <v>973</v>
      </c>
      <c r="W552" s="501">
        <v>400</v>
      </c>
      <c r="X552" s="505">
        <v>768</v>
      </c>
      <c r="Y552" s="477">
        <f t="shared" si="104"/>
        <v>307200</v>
      </c>
      <c r="Z552" s="478">
        <f t="shared" si="106"/>
        <v>0.55500000000000005</v>
      </c>
      <c r="AA552" s="492">
        <f t="shared" si="101"/>
        <v>170496.00000000003</v>
      </c>
      <c r="AB552" s="480"/>
      <c r="AC552" s="481">
        <f t="shared" si="102"/>
        <v>0</v>
      </c>
      <c r="AD552" s="490"/>
      <c r="AE552" s="482"/>
      <c r="AF552" s="493">
        <f t="shared" si="105"/>
        <v>170496.00000000003</v>
      </c>
      <c r="AG552" s="474" t="s">
        <v>1071</v>
      </c>
      <c r="AH552" s="474"/>
      <c r="AI552" s="483" t="s">
        <v>2442</v>
      </c>
      <c r="AJ552" s="474" t="s">
        <v>2384</v>
      </c>
      <c r="AK552" s="494" t="s">
        <v>1144</v>
      </c>
      <c r="AL552" s="474">
        <v>75063</v>
      </c>
      <c r="AM552" s="474" t="s">
        <v>52</v>
      </c>
      <c r="AN552" s="474"/>
      <c r="AO552" s="474"/>
      <c r="AP552" s="486"/>
      <c r="AQ552" s="486"/>
      <c r="AR552" s="486"/>
      <c r="AS552" s="495"/>
      <c r="AT552" s="495"/>
      <c r="AU552" s="378"/>
      <c r="AV552" s="478"/>
    </row>
    <row r="553" spans="1:48" s="471" customFormat="1" ht="15" customHeight="1">
      <c r="A553" s="472"/>
      <c r="B553" s="514">
        <v>44557</v>
      </c>
      <c r="C553" s="472"/>
      <c r="D553" s="512" t="s">
        <v>2322</v>
      </c>
      <c r="E553" s="501" t="s">
        <v>2726</v>
      </c>
      <c r="F553" s="501"/>
      <c r="G553" s="501">
        <v>2022</v>
      </c>
      <c r="H553" s="501" t="s">
        <v>1676</v>
      </c>
      <c r="I553" s="512" t="s">
        <v>1676</v>
      </c>
      <c r="J553" s="502"/>
      <c r="K553" s="503" t="s">
        <v>4537</v>
      </c>
      <c r="L553" s="501" t="s">
        <v>2459</v>
      </c>
      <c r="M553" s="504">
        <v>44545</v>
      </c>
      <c r="N553" s="504">
        <v>44727</v>
      </c>
      <c r="O553" s="504"/>
      <c r="P553" s="370"/>
      <c r="Q553" s="502"/>
      <c r="R553" s="502"/>
      <c r="S553" s="501" t="s">
        <v>1563</v>
      </c>
      <c r="T553" s="501">
        <v>60</v>
      </c>
      <c r="U553" s="371">
        <v>49401140</v>
      </c>
      <c r="V553" s="501" t="s">
        <v>973</v>
      </c>
      <c r="W553" s="501">
        <v>400</v>
      </c>
      <c r="X553" s="505">
        <v>768</v>
      </c>
      <c r="Y553" s="477">
        <f t="shared" si="104"/>
        <v>307200</v>
      </c>
      <c r="Z553" s="478">
        <f t="shared" si="106"/>
        <v>0.55500000000000005</v>
      </c>
      <c r="AA553" s="492">
        <f t="shared" si="101"/>
        <v>170496.00000000003</v>
      </c>
      <c r="AB553" s="480"/>
      <c r="AC553" s="481">
        <f t="shared" si="102"/>
        <v>0</v>
      </c>
      <c r="AD553" s="490"/>
      <c r="AE553" s="482"/>
      <c r="AF553" s="493">
        <f t="shared" si="105"/>
        <v>170496.00000000003</v>
      </c>
      <c r="AG553" s="474" t="s">
        <v>1071</v>
      </c>
      <c r="AH553" s="474"/>
      <c r="AI553" s="483">
        <v>60</v>
      </c>
      <c r="AJ553" s="474" t="s">
        <v>2384</v>
      </c>
      <c r="AK553" s="494" t="s">
        <v>1144</v>
      </c>
      <c r="AL553" s="474">
        <v>75063</v>
      </c>
      <c r="AM553" s="474" t="s">
        <v>52</v>
      </c>
      <c r="AN553" s="474" t="s">
        <v>1074</v>
      </c>
      <c r="AO553" s="474"/>
      <c r="AP553" s="486"/>
      <c r="AQ553" s="486" t="s">
        <v>37</v>
      </c>
      <c r="AR553" s="486"/>
      <c r="AS553" s="495"/>
      <c r="AT553" s="495"/>
      <c r="AU553" s="378"/>
      <c r="AV553" s="478"/>
    </row>
    <row r="554" spans="1:48" s="471" customFormat="1" ht="15" customHeight="1">
      <c r="A554" s="472"/>
      <c r="B554" s="514">
        <v>44522</v>
      </c>
      <c r="C554" s="472"/>
      <c r="D554" s="512" t="s">
        <v>2322</v>
      </c>
      <c r="E554" s="501" t="s">
        <v>2726</v>
      </c>
      <c r="F554" s="501"/>
      <c r="G554" s="501">
        <v>2022</v>
      </c>
      <c r="H554" s="501" t="s">
        <v>1676</v>
      </c>
      <c r="I554" s="512" t="s">
        <v>1676</v>
      </c>
      <c r="J554" s="502"/>
      <c r="K554" s="503" t="s">
        <v>4538</v>
      </c>
      <c r="L554" s="501" t="s">
        <v>2459</v>
      </c>
      <c r="M554" s="504">
        <v>44505</v>
      </c>
      <c r="N554" s="504">
        <v>44727</v>
      </c>
      <c r="O554" s="504"/>
      <c r="P554" s="370"/>
      <c r="Q554" s="502"/>
      <c r="R554" s="502"/>
      <c r="S554" s="501" t="s">
        <v>1563</v>
      </c>
      <c r="T554" s="501">
        <v>60</v>
      </c>
      <c r="U554" s="371">
        <v>49401140</v>
      </c>
      <c r="V554" s="501" t="s">
        <v>973</v>
      </c>
      <c r="W554" s="501">
        <v>400</v>
      </c>
      <c r="X554" s="505">
        <v>768</v>
      </c>
      <c r="Y554" s="477">
        <f t="shared" si="104"/>
        <v>307200</v>
      </c>
      <c r="Z554" s="478">
        <f t="shared" si="106"/>
        <v>0.55500000000000005</v>
      </c>
      <c r="AA554" s="492">
        <f t="shared" si="101"/>
        <v>170496.00000000003</v>
      </c>
      <c r="AB554" s="480"/>
      <c r="AC554" s="481">
        <f t="shared" si="102"/>
        <v>0</v>
      </c>
      <c r="AD554" s="490"/>
      <c r="AE554" s="482"/>
      <c r="AF554" s="493">
        <f t="shared" si="105"/>
        <v>170496.00000000003</v>
      </c>
      <c r="AG554" s="474" t="s">
        <v>1071</v>
      </c>
      <c r="AH554" s="474"/>
      <c r="AI554" s="483" t="s">
        <v>2442</v>
      </c>
      <c r="AJ554" s="474" t="s">
        <v>1777</v>
      </c>
      <c r="AK554" s="494" t="s">
        <v>50</v>
      </c>
      <c r="AL554" s="474" t="s">
        <v>1990</v>
      </c>
      <c r="AM554" s="474" t="s">
        <v>52</v>
      </c>
      <c r="AN554" s="474"/>
      <c r="AO554" s="474"/>
      <c r="AP554" s="486"/>
      <c r="AQ554" s="486" t="s">
        <v>37</v>
      </c>
      <c r="AR554" s="486"/>
      <c r="AS554" s="495"/>
      <c r="AT554" s="495"/>
      <c r="AU554" s="378"/>
      <c r="AV554" s="478"/>
    </row>
    <row r="555" spans="1:48" s="471" customFormat="1" ht="15" customHeight="1">
      <c r="A555" s="472"/>
      <c r="B555" s="514">
        <v>44522</v>
      </c>
      <c r="C555" s="472"/>
      <c r="D555" s="512" t="s">
        <v>2322</v>
      </c>
      <c r="E555" s="501" t="s">
        <v>2726</v>
      </c>
      <c r="F555" s="501"/>
      <c r="G555" s="501">
        <v>2022</v>
      </c>
      <c r="H555" s="501" t="s">
        <v>1676</v>
      </c>
      <c r="I555" s="512" t="s">
        <v>1676</v>
      </c>
      <c r="J555" s="502"/>
      <c r="K555" s="503" t="s">
        <v>4539</v>
      </c>
      <c r="L555" s="501" t="s">
        <v>2459</v>
      </c>
      <c r="M555" s="504">
        <v>44505</v>
      </c>
      <c r="N555" s="504">
        <v>44731</v>
      </c>
      <c r="O555" s="504"/>
      <c r="P555" s="370"/>
      <c r="Q555" s="502"/>
      <c r="R555" s="502"/>
      <c r="S555" s="501" t="s">
        <v>1563</v>
      </c>
      <c r="T555" s="501">
        <v>60</v>
      </c>
      <c r="U555" s="371">
        <v>49401140</v>
      </c>
      <c r="V555" s="501" t="s">
        <v>973</v>
      </c>
      <c r="W555" s="501">
        <v>400</v>
      </c>
      <c r="X555" s="505">
        <v>768</v>
      </c>
      <c r="Y555" s="477">
        <f t="shared" si="104"/>
        <v>307200</v>
      </c>
      <c r="Z555" s="478">
        <f t="shared" si="106"/>
        <v>0.55500000000000005</v>
      </c>
      <c r="AA555" s="492">
        <f t="shared" si="101"/>
        <v>170496.00000000003</v>
      </c>
      <c r="AB555" s="480"/>
      <c r="AC555" s="481">
        <f t="shared" si="102"/>
        <v>0</v>
      </c>
      <c r="AD555" s="490"/>
      <c r="AE555" s="482"/>
      <c r="AF555" s="493">
        <f t="shared" si="105"/>
        <v>170496.00000000003</v>
      </c>
      <c r="AG555" s="474" t="s">
        <v>1071</v>
      </c>
      <c r="AH555" s="474"/>
      <c r="AI555" s="483" t="s">
        <v>2442</v>
      </c>
      <c r="AJ555" s="474" t="s">
        <v>1777</v>
      </c>
      <c r="AK555" s="494" t="s">
        <v>50</v>
      </c>
      <c r="AL555" s="474" t="s">
        <v>1990</v>
      </c>
      <c r="AM555" s="474" t="s">
        <v>52</v>
      </c>
      <c r="AN555" s="474"/>
      <c r="AO555" s="474"/>
      <c r="AP555" s="486"/>
      <c r="AQ555" s="486" t="s">
        <v>37</v>
      </c>
      <c r="AR555" s="486"/>
      <c r="AS555" s="495"/>
      <c r="AT555" s="495"/>
      <c r="AU555" s="378"/>
      <c r="AV555" s="478"/>
    </row>
    <row r="556" spans="1:48" s="471" customFormat="1" ht="15" customHeight="1">
      <c r="A556" s="472"/>
      <c r="B556" s="514">
        <v>44557</v>
      </c>
      <c r="C556" s="472"/>
      <c r="D556" s="512" t="s">
        <v>2322</v>
      </c>
      <c r="E556" s="501" t="s">
        <v>2726</v>
      </c>
      <c r="F556" s="501"/>
      <c r="G556" s="501">
        <v>2022</v>
      </c>
      <c r="H556" s="501" t="s">
        <v>1676</v>
      </c>
      <c r="I556" s="512" t="s">
        <v>1676</v>
      </c>
      <c r="J556" s="502"/>
      <c r="K556" s="503" t="s">
        <v>4540</v>
      </c>
      <c r="L556" s="501" t="s">
        <v>2551</v>
      </c>
      <c r="M556" s="504">
        <v>44545</v>
      </c>
      <c r="N556" s="504">
        <v>44847</v>
      </c>
      <c r="O556" s="504"/>
      <c r="P556" s="370"/>
      <c r="Q556" s="502"/>
      <c r="R556" s="502"/>
      <c r="S556" s="501" t="s">
        <v>1563</v>
      </c>
      <c r="T556" s="501">
        <v>60</v>
      </c>
      <c r="U556" s="371">
        <v>49401140</v>
      </c>
      <c r="V556" s="501" t="s">
        <v>973</v>
      </c>
      <c r="W556" s="501">
        <v>400</v>
      </c>
      <c r="X556" s="505">
        <v>768</v>
      </c>
      <c r="Y556" s="477">
        <f t="shared" si="104"/>
        <v>307200</v>
      </c>
      <c r="Z556" s="478">
        <f t="shared" ref="Z556:Z564" si="107">210/400</f>
        <v>0.52500000000000002</v>
      </c>
      <c r="AA556" s="492">
        <f t="shared" si="101"/>
        <v>161280</v>
      </c>
      <c r="AB556" s="480"/>
      <c r="AC556" s="481">
        <f t="shared" si="102"/>
        <v>0</v>
      </c>
      <c r="AD556" s="490"/>
      <c r="AE556" s="482"/>
      <c r="AF556" s="493">
        <f t="shared" si="105"/>
        <v>161280</v>
      </c>
      <c r="AG556" s="474" t="s">
        <v>1071</v>
      </c>
      <c r="AH556" s="474"/>
      <c r="AI556" s="483" t="s">
        <v>2442</v>
      </c>
      <c r="AJ556" s="474" t="s">
        <v>2621</v>
      </c>
      <c r="AK556" s="494" t="s">
        <v>1144</v>
      </c>
      <c r="AL556" s="474">
        <v>78216</v>
      </c>
      <c r="AM556" s="474" t="s">
        <v>52</v>
      </c>
      <c r="AN556" s="474"/>
      <c r="AO556" s="474"/>
      <c r="AP556" s="486"/>
      <c r="AQ556" s="486" t="s">
        <v>37</v>
      </c>
      <c r="AR556" s="486"/>
      <c r="AS556" s="495"/>
      <c r="AT556" s="495"/>
      <c r="AU556" s="378"/>
      <c r="AV556" s="478"/>
    </row>
    <row r="557" spans="1:48" s="471" customFormat="1" ht="15" customHeight="1">
      <c r="A557" s="472"/>
      <c r="B557" s="514">
        <v>44557</v>
      </c>
      <c r="C557" s="472"/>
      <c r="D557" s="512" t="s">
        <v>2322</v>
      </c>
      <c r="E557" s="501" t="s">
        <v>2726</v>
      </c>
      <c r="F557" s="501"/>
      <c r="G557" s="501">
        <v>2022</v>
      </c>
      <c r="H557" s="501" t="s">
        <v>1676</v>
      </c>
      <c r="I557" s="512" t="s">
        <v>1676</v>
      </c>
      <c r="J557" s="502"/>
      <c r="K557" s="503" t="s">
        <v>4541</v>
      </c>
      <c r="L557" s="501" t="s">
        <v>2551</v>
      </c>
      <c r="M557" s="504">
        <v>44545</v>
      </c>
      <c r="N557" s="504">
        <v>44907</v>
      </c>
      <c r="O557" s="504"/>
      <c r="P557" s="370"/>
      <c r="Q557" s="502"/>
      <c r="R557" s="502"/>
      <c r="S557" s="501" t="s">
        <v>1563</v>
      </c>
      <c r="T557" s="501">
        <v>60</v>
      </c>
      <c r="U557" s="371">
        <v>49401140</v>
      </c>
      <c r="V557" s="501" t="s">
        <v>973</v>
      </c>
      <c r="W557" s="501">
        <v>400</v>
      </c>
      <c r="X557" s="505">
        <v>768</v>
      </c>
      <c r="Y557" s="477">
        <f t="shared" si="104"/>
        <v>307200</v>
      </c>
      <c r="Z557" s="478">
        <f t="shared" si="107"/>
        <v>0.52500000000000002</v>
      </c>
      <c r="AA557" s="492">
        <f t="shared" si="101"/>
        <v>161280</v>
      </c>
      <c r="AB557" s="480"/>
      <c r="AC557" s="481">
        <f t="shared" si="102"/>
        <v>0</v>
      </c>
      <c r="AD557" s="490"/>
      <c r="AE557" s="482"/>
      <c r="AF557" s="493">
        <f t="shared" si="105"/>
        <v>161280</v>
      </c>
      <c r="AG557" s="474" t="s">
        <v>1071</v>
      </c>
      <c r="AH557" s="474"/>
      <c r="AI557" s="483" t="s">
        <v>2442</v>
      </c>
      <c r="AJ557" s="474" t="s">
        <v>2621</v>
      </c>
      <c r="AK557" s="494" t="s">
        <v>1144</v>
      </c>
      <c r="AL557" s="474">
        <v>78216</v>
      </c>
      <c r="AM557" s="474" t="s">
        <v>52</v>
      </c>
      <c r="AN557" s="474"/>
      <c r="AO557" s="474"/>
      <c r="AP557" s="486"/>
      <c r="AQ557" s="486" t="s">
        <v>37</v>
      </c>
      <c r="AR557" s="486"/>
      <c r="AS557" s="495"/>
      <c r="AT557" s="495"/>
      <c r="AU557" s="378"/>
      <c r="AV557" s="478"/>
    </row>
    <row r="558" spans="1:48" s="471" customFormat="1" ht="15" customHeight="1">
      <c r="A558" s="472"/>
      <c r="B558" s="514">
        <v>44557</v>
      </c>
      <c r="C558" s="472"/>
      <c r="D558" s="512" t="s">
        <v>2322</v>
      </c>
      <c r="E558" s="501" t="s">
        <v>2726</v>
      </c>
      <c r="F558" s="501"/>
      <c r="G558" s="501">
        <v>2022</v>
      </c>
      <c r="H558" s="501" t="s">
        <v>1676</v>
      </c>
      <c r="I558" s="512" t="s">
        <v>1676</v>
      </c>
      <c r="J558" s="502"/>
      <c r="K558" s="503" t="s">
        <v>4542</v>
      </c>
      <c r="L558" s="501" t="s">
        <v>2551</v>
      </c>
      <c r="M558" s="504">
        <v>44545</v>
      </c>
      <c r="N558" s="504">
        <v>44908</v>
      </c>
      <c r="O558" s="504"/>
      <c r="P558" s="370"/>
      <c r="Q558" s="502"/>
      <c r="R558" s="502"/>
      <c r="S558" s="501" t="s">
        <v>1563</v>
      </c>
      <c r="T558" s="501">
        <v>60</v>
      </c>
      <c r="U558" s="371">
        <v>49401140</v>
      </c>
      <c r="V558" s="501" t="s">
        <v>973</v>
      </c>
      <c r="W558" s="501">
        <v>400</v>
      </c>
      <c r="X558" s="505">
        <v>768</v>
      </c>
      <c r="Y558" s="477">
        <f t="shared" si="104"/>
        <v>307200</v>
      </c>
      <c r="Z558" s="478">
        <f t="shared" si="107"/>
        <v>0.52500000000000002</v>
      </c>
      <c r="AA558" s="492">
        <f t="shared" si="101"/>
        <v>161280</v>
      </c>
      <c r="AB558" s="480"/>
      <c r="AC558" s="481">
        <f t="shared" si="102"/>
        <v>0</v>
      </c>
      <c r="AD558" s="490"/>
      <c r="AE558" s="482"/>
      <c r="AF558" s="493">
        <f t="shared" si="105"/>
        <v>161280</v>
      </c>
      <c r="AG558" s="474" t="s">
        <v>1071</v>
      </c>
      <c r="AH558" s="474"/>
      <c r="AI558" s="483" t="s">
        <v>2442</v>
      </c>
      <c r="AJ558" s="474" t="s">
        <v>2621</v>
      </c>
      <c r="AK558" s="494" t="s">
        <v>1144</v>
      </c>
      <c r="AL558" s="474">
        <v>78216</v>
      </c>
      <c r="AM558" s="474" t="s">
        <v>52</v>
      </c>
      <c r="AN558" s="474"/>
      <c r="AO558" s="474"/>
      <c r="AP558" s="486"/>
      <c r="AQ558" s="486" t="s">
        <v>37</v>
      </c>
      <c r="AR558" s="486"/>
      <c r="AS558" s="495"/>
      <c r="AT558" s="495"/>
      <c r="AU558" s="378"/>
      <c r="AV558" s="478"/>
    </row>
    <row r="559" spans="1:48" s="471" customFormat="1" ht="15" customHeight="1">
      <c r="A559" s="472"/>
      <c r="B559" s="514">
        <v>44557</v>
      </c>
      <c r="C559" s="472"/>
      <c r="D559" s="512" t="s">
        <v>2322</v>
      </c>
      <c r="E559" s="501" t="s">
        <v>2726</v>
      </c>
      <c r="F559" s="501"/>
      <c r="G559" s="501">
        <v>2022</v>
      </c>
      <c r="H559" s="501" t="s">
        <v>1676</v>
      </c>
      <c r="I559" s="512" t="s">
        <v>1676</v>
      </c>
      <c r="J559" s="502"/>
      <c r="K559" s="503" t="s">
        <v>4543</v>
      </c>
      <c r="L559" s="501" t="s">
        <v>2551</v>
      </c>
      <c r="M559" s="504">
        <v>44545</v>
      </c>
      <c r="N559" s="504">
        <v>44911</v>
      </c>
      <c r="O559" s="504"/>
      <c r="P559" s="370"/>
      <c r="Q559" s="502"/>
      <c r="R559" s="502"/>
      <c r="S559" s="501" t="s">
        <v>1563</v>
      </c>
      <c r="T559" s="501">
        <v>60</v>
      </c>
      <c r="U559" s="371">
        <v>49401140</v>
      </c>
      <c r="V559" s="501" t="s">
        <v>973</v>
      </c>
      <c r="W559" s="501">
        <v>400</v>
      </c>
      <c r="X559" s="505">
        <v>768</v>
      </c>
      <c r="Y559" s="477">
        <f t="shared" si="104"/>
        <v>307200</v>
      </c>
      <c r="Z559" s="478">
        <f t="shared" si="107"/>
        <v>0.52500000000000002</v>
      </c>
      <c r="AA559" s="492">
        <f t="shared" si="101"/>
        <v>161280</v>
      </c>
      <c r="AB559" s="480"/>
      <c r="AC559" s="481">
        <f t="shared" si="102"/>
        <v>0</v>
      </c>
      <c r="AD559" s="490"/>
      <c r="AE559" s="482"/>
      <c r="AF559" s="493">
        <f t="shared" si="105"/>
        <v>161280</v>
      </c>
      <c r="AG559" s="474" t="s">
        <v>1071</v>
      </c>
      <c r="AH559" s="474"/>
      <c r="AI559" s="483" t="s">
        <v>2442</v>
      </c>
      <c r="AJ559" s="474" t="s">
        <v>2621</v>
      </c>
      <c r="AK559" s="494" t="s">
        <v>1144</v>
      </c>
      <c r="AL559" s="474">
        <v>78216</v>
      </c>
      <c r="AM559" s="474" t="s">
        <v>52</v>
      </c>
      <c r="AN559" s="474"/>
      <c r="AO559" s="474"/>
      <c r="AP559" s="486"/>
      <c r="AQ559" s="486" t="s">
        <v>37</v>
      </c>
      <c r="AR559" s="486"/>
      <c r="AS559" s="495"/>
      <c r="AT559" s="495"/>
      <c r="AU559" s="378"/>
      <c r="AV559" s="478"/>
    </row>
    <row r="560" spans="1:48" s="471" customFormat="1" ht="15" customHeight="1">
      <c r="A560" s="472"/>
      <c r="B560" s="514">
        <v>44557</v>
      </c>
      <c r="C560" s="472"/>
      <c r="D560" s="512" t="s">
        <v>2322</v>
      </c>
      <c r="E560" s="501" t="s">
        <v>2726</v>
      </c>
      <c r="F560" s="501"/>
      <c r="G560" s="501">
        <v>2022</v>
      </c>
      <c r="H560" s="501" t="s">
        <v>1676</v>
      </c>
      <c r="I560" s="512" t="s">
        <v>1676</v>
      </c>
      <c r="J560" s="502"/>
      <c r="K560" s="503" t="s">
        <v>4544</v>
      </c>
      <c r="L560" s="501" t="s">
        <v>2551</v>
      </c>
      <c r="M560" s="504">
        <v>44545</v>
      </c>
      <c r="N560" s="504">
        <v>44901</v>
      </c>
      <c r="O560" s="504"/>
      <c r="P560" s="370"/>
      <c r="Q560" s="502"/>
      <c r="R560" s="502"/>
      <c r="S560" s="501" t="s">
        <v>1563</v>
      </c>
      <c r="T560" s="501">
        <v>60</v>
      </c>
      <c r="U560" s="371">
        <v>49401140</v>
      </c>
      <c r="V560" s="501" t="s">
        <v>973</v>
      </c>
      <c r="W560" s="501">
        <v>400</v>
      </c>
      <c r="X560" s="505">
        <v>768</v>
      </c>
      <c r="Y560" s="477">
        <f t="shared" si="104"/>
        <v>307200</v>
      </c>
      <c r="Z560" s="478">
        <f t="shared" si="107"/>
        <v>0.52500000000000002</v>
      </c>
      <c r="AA560" s="492">
        <f t="shared" si="101"/>
        <v>161280</v>
      </c>
      <c r="AB560" s="480"/>
      <c r="AC560" s="481">
        <f t="shared" si="102"/>
        <v>0</v>
      </c>
      <c r="AD560" s="490"/>
      <c r="AE560" s="482"/>
      <c r="AF560" s="493">
        <f t="shared" si="105"/>
        <v>161280</v>
      </c>
      <c r="AG560" s="474" t="s">
        <v>1071</v>
      </c>
      <c r="AH560" s="474"/>
      <c r="AI560" s="483" t="s">
        <v>2442</v>
      </c>
      <c r="AJ560" s="474" t="s">
        <v>2384</v>
      </c>
      <c r="AK560" s="494" t="s">
        <v>1144</v>
      </c>
      <c r="AL560" s="474">
        <v>75063</v>
      </c>
      <c r="AM560" s="474" t="s">
        <v>52</v>
      </c>
      <c r="AN560" s="474"/>
      <c r="AO560" s="474"/>
      <c r="AP560" s="486"/>
      <c r="AQ560" s="486" t="s">
        <v>37</v>
      </c>
      <c r="AR560" s="486"/>
      <c r="AS560" s="495"/>
      <c r="AT560" s="495"/>
      <c r="AU560" s="378"/>
      <c r="AV560" s="478"/>
    </row>
    <row r="561" spans="1:48" s="471" customFormat="1" ht="15" customHeight="1">
      <c r="A561" s="472"/>
      <c r="B561" s="514">
        <v>44557</v>
      </c>
      <c r="C561" s="472"/>
      <c r="D561" s="512" t="s">
        <v>2322</v>
      </c>
      <c r="E561" s="501" t="s">
        <v>2726</v>
      </c>
      <c r="F561" s="501"/>
      <c r="G561" s="501">
        <v>2022</v>
      </c>
      <c r="H561" s="501" t="s">
        <v>1676</v>
      </c>
      <c r="I561" s="512" t="s">
        <v>1676</v>
      </c>
      <c r="J561" s="502"/>
      <c r="K561" s="503" t="s">
        <v>4545</v>
      </c>
      <c r="L561" s="501" t="s">
        <v>2551</v>
      </c>
      <c r="M561" s="504">
        <v>44545</v>
      </c>
      <c r="N561" s="504">
        <v>44907</v>
      </c>
      <c r="O561" s="504"/>
      <c r="P561" s="370"/>
      <c r="Q561" s="502"/>
      <c r="R561" s="502"/>
      <c r="S561" s="501" t="s">
        <v>1563</v>
      </c>
      <c r="T561" s="501">
        <v>60</v>
      </c>
      <c r="U561" s="371">
        <v>49401140</v>
      </c>
      <c r="V561" s="501" t="s">
        <v>973</v>
      </c>
      <c r="W561" s="501">
        <v>400</v>
      </c>
      <c r="X561" s="505">
        <v>768</v>
      </c>
      <c r="Y561" s="477">
        <f t="shared" si="104"/>
        <v>307200</v>
      </c>
      <c r="Z561" s="478">
        <f t="shared" si="107"/>
        <v>0.52500000000000002</v>
      </c>
      <c r="AA561" s="492">
        <f t="shared" si="101"/>
        <v>161280</v>
      </c>
      <c r="AB561" s="480"/>
      <c r="AC561" s="481">
        <f t="shared" si="102"/>
        <v>0</v>
      </c>
      <c r="AD561" s="490"/>
      <c r="AE561" s="482"/>
      <c r="AF561" s="493">
        <f t="shared" si="105"/>
        <v>161280</v>
      </c>
      <c r="AG561" s="474" t="s">
        <v>1071</v>
      </c>
      <c r="AH561" s="474"/>
      <c r="AI561" s="483" t="s">
        <v>2442</v>
      </c>
      <c r="AJ561" s="474" t="s">
        <v>2384</v>
      </c>
      <c r="AK561" s="494" t="s">
        <v>1144</v>
      </c>
      <c r="AL561" s="474">
        <v>75063</v>
      </c>
      <c r="AM561" s="474" t="s">
        <v>52</v>
      </c>
      <c r="AN561" s="474"/>
      <c r="AO561" s="474"/>
      <c r="AP561" s="486"/>
      <c r="AQ561" s="486" t="s">
        <v>37</v>
      </c>
      <c r="AR561" s="486"/>
      <c r="AS561" s="495"/>
      <c r="AT561" s="495"/>
      <c r="AU561" s="378"/>
      <c r="AV561" s="478"/>
    </row>
    <row r="562" spans="1:48" s="471" customFormat="1" ht="15" customHeight="1">
      <c r="A562" s="472"/>
      <c r="B562" s="514">
        <v>44557</v>
      </c>
      <c r="C562" s="472"/>
      <c r="D562" s="512" t="s">
        <v>2322</v>
      </c>
      <c r="E562" s="501" t="s">
        <v>2726</v>
      </c>
      <c r="F562" s="501"/>
      <c r="G562" s="501">
        <v>2022</v>
      </c>
      <c r="H562" s="501" t="s">
        <v>1676</v>
      </c>
      <c r="I562" s="512" t="s">
        <v>1676</v>
      </c>
      <c r="J562" s="502"/>
      <c r="K562" s="503" t="s">
        <v>4546</v>
      </c>
      <c r="L562" s="501" t="s">
        <v>2551</v>
      </c>
      <c r="M562" s="504">
        <v>44545</v>
      </c>
      <c r="N562" s="504">
        <v>44908</v>
      </c>
      <c r="O562" s="504"/>
      <c r="P562" s="370"/>
      <c r="Q562" s="502"/>
      <c r="R562" s="502"/>
      <c r="S562" s="501" t="s">
        <v>1563</v>
      </c>
      <c r="T562" s="501">
        <v>60</v>
      </c>
      <c r="U562" s="371">
        <v>49401140</v>
      </c>
      <c r="V562" s="501" t="s">
        <v>973</v>
      </c>
      <c r="W562" s="501">
        <v>400</v>
      </c>
      <c r="X562" s="505">
        <v>768</v>
      </c>
      <c r="Y562" s="477">
        <f t="shared" si="104"/>
        <v>307200</v>
      </c>
      <c r="Z562" s="478">
        <f t="shared" si="107"/>
        <v>0.52500000000000002</v>
      </c>
      <c r="AA562" s="492">
        <f t="shared" si="101"/>
        <v>161280</v>
      </c>
      <c r="AB562" s="480"/>
      <c r="AC562" s="481">
        <f t="shared" si="102"/>
        <v>0</v>
      </c>
      <c r="AD562" s="490"/>
      <c r="AE562" s="482"/>
      <c r="AF562" s="493">
        <f t="shared" si="105"/>
        <v>161280</v>
      </c>
      <c r="AG562" s="474" t="s">
        <v>1071</v>
      </c>
      <c r="AH562" s="474"/>
      <c r="AI562" s="483" t="s">
        <v>2442</v>
      </c>
      <c r="AJ562" s="474" t="s">
        <v>2384</v>
      </c>
      <c r="AK562" s="494" t="s">
        <v>1144</v>
      </c>
      <c r="AL562" s="474">
        <v>75063</v>
      </c>
      <c r="AM562" s="474" t="s">
        <v>52</v>
      </c>
      <c r="AN562" s="474"/>
      <c r="AO562" s="474"/>
      <c r="AP562" s="486"/>
      <c r="AQ562" s="486" t="s">
        <v>37</v>
      </c>
      <c r="AR562" s="486"/>
      <c r="AS562" s="495"/>
      <c r="AT562" s="495"/>
      <c r="AU562" s="378"/>
      <c r="AV562" s="478"/>
    </row>
    <row r="563" spans="1:48" s="471" customFormat="1" ht="15" customHeight="1">
      <c r="A563" s="472"/>
      <c r="B563" s="514">
        <v>44557</v>
      </c>
      <c r="C563" s="472"/>
      <c r="D563" s="512" t="s">
        <v>2322</v>
      </c>
      <c r="E563" s="501" t="s">
        <v>2726</v>
      </c>
      <c r="F563" s="501"/>
      <c r="G563" s="501">
        <v>2022</v>
      </c>
      <c r="H563" s="501" t="s">
        <v>1676</v>
      </c>
      <c r="I563" s="512" t="s">
        <v>1676</v>
      </c>
      <c r="J563" s="502"/>
      <c r="K563" s="503" t="s">
        <v>4547</v>
      </c>
      <c r="L563" s="501" t="s">
        <v>2551</v>
      </c>
      <c r="M563" s="504">
        <v>44544</v>
      </c>
      <c r="N563" s="504">
        <v>44744</v>
      </c>
      <c r="O563" s="504"/>
      <c r="P563" s="370"/>
      <c r="Q563" s="502"/>
      <c r="R563" s="502"/>
      <c r="S563" s="501" t="s">
        <v>1563</v>
      </c>
      <c r="T563" s="501">
        <v>60</v>
      </c>
      <c r="U563" s="371">
        <v>49401140</v>
      </c>
      <c r="V563" s="501" t="s">
        <v>973</v>
      </c>
      <c r="W563" s="501">
        <v>400</v>
      </c>
      <c r="X563" s="505">
        <v>768</v>
      </c>
      <c r="Y563" s="477">
        <f t="shared" si="104"/>
        <v>307200</v>
      </c>
      <c r="Z563" s="478">
        <f t="shared" si="107"/>
        <v>0.52500000000000002</v>
      </c>
      <c r="AA563" s="492">
        <f t="shared" si="101"/>
        <v>161280</v>
      </c>
      <c r="AB563" s="480"/>
      <c r="AC563" s="481">
        <f t="shared" si="102"/>
        <v>0</v>
      </c>
      <c r="AD563" s="490"/>
      <c r="AE563" s="482"/>
      <c r="AF563" s="493">
        <f t="shared" si="105"/>
        <v>161280</v>
      </c>
      <c r="AG563" s="474" t="s">
        <v>1071</v>
      </c>
      <c r="AH563" s="474"/>
      <c r="AI563" s="483" t="s">
        <v>2442</v>
      </c>
      <c r="AJ563" s="474" t="s">
        <v>1790</v>
      </c>
      <c r="AK563" s="494" t="s">
        <v>50</v>
      </c>
      <c r="AL563" s="474">
        <v>95834</v>
      </c>
      <c r="AM563" s="474" t="s">
        <v>52</v>
      </c>
      <c r="AN563" s="474"/>
      <c r="AO563" s="474"/>
      <c r="AP563" s="486"/>
      <c r="AQ563" s="486" t="s">
        <v>37</v>
      </c>
      <c r="AR563" s="486"/>
      <c r="AS563" s="495"/>
      <c r="AT563" s="495"/>
      <c r="AU563" s="378"/>
      <c r="AV563" s="478"/>
    </row>
    <row r="564" spans="1:48" s="471" customFormat="1" ht="15" customHeight="1">
      <c r="A564" s="472"/>
      <c r="B564" s="514">
        <v>44557</v>
      </c>
      <c r="C564" s="472"/>
      <c r="D564" s="512" t="s">
        <v>2322</v>
      </c>
      <c r="E564" s="501" t="s">
        <v>2726</v>
      </c>
      <c r="F564" s="501"/>
      <c r="G564" s="501">
        <v>2022</v>
      </c>
      <c r="H564" s="501" t="s">
        <v>1676</v>
      </c>
      <c r="I564" s="512" t="s">
        <v>1676</v>
      </c>
      <c r="J564" s="502"/>
      <c r="K564" s="503" t="s">
        <v>4548</v>
      </c>
      <c r="L564" s="501" t="s">
        <v>2551</v>
      </c>
      <c r="M564" s="504">
        <v>44544</v>
      </c>
      <c r="N564" s="504">
        <v>44751</v>
      </c>
      <c r="O564" s="504"/>
      <c r="P564" s="370"/>
      <c r="Q564" s="502"/>
      <c r="R564" s="502"/>
      <c r="S564" s="501" t="s">
        <v>1563</v>
      </c>
      <c r="T564" s="501">
        <v>60</v>
      </c>
      <c r="U564" s="371">
        <v>49401140</v>
      </c>
      <c r="V564" s="501" t="s">
        <v>973</v>
      </c>
      <c r="W564" s="501">
        <v>400</v>
      </c>
      <c r="X564" s="505">
        <v>768</v>
      </c>
      <c r="Y564" s="477">
        <f t="shared" si="104"/>
        <v>307200</v>
      </c>
      <c r="Z564" s="478">
        <f t="shared" si="107"/>
        <v>0.52500000000000002</v>
      </c>
      <c r="AA564" s="492">
        <f t="shared" si="101"/>
        <v>161280</v>
      </c>
      <c r="AB564" s="480"/>
      <c r="AC564" s="481">
        <f t="shared" si="102"/>
        <v>0</v>
      </c>
      <c r="AD564" s="490"/>
      <c r="AE564" s="482"/>
      <c r="AF564" s="493">
        <f t="shared" si="105"/>
        <v>161280</v>
      </c>
      <c r="AG564" s="474" t="s">
        <v>1071</v>
      </c>
      <c r="AH564" s="474"/>
      <c r="AI564" s="483" t="s">
        <v>2442</v>
      </c>
      <c r="AJ564" s="474" t="s">
        <v>1790</v>
      </c>
      <c r="AK564" s="494" t="s">
        <v>50</v>
      </c>
      <c r="AL564" s="474">
        <v>95834</v>
      </c>
      <c r="AM564" s="474" t="s">
        <v>52</v>
      </c>
      <c r="AN564" s="474"/>
      <c r="AO564" s="474"/>
      <c r="AP564" s="486"/>
      <c r="AQ564" s="486" t="s">
        <v>37</v>
      </c>
      <c r="AR564" s="486"/>
      <c r="AS564" s="495"/>
      <c r="AT564" s="495"/>
      <c r="AU564" s="378"/>
      <c r="AV564" s="478"/>
    </row>
    <row r="565" spans="1:48" s="471" customFormat="1" ht="15" customHeight="1">
      <c r="A565" s="472"/>
      <c r="B565" s="514">
        <v>44557</v>
      </c>
      <c r="C565" s="472"/>
      <c r="D565" s="512" t="s">
        <v>2322</v>
      </c>
      <c r="E565" s="501" t="s">
        <v>2726</v>
      </c>
      <c r="F565" s="501"/>
      <c r="G565" s="501">
        <v>2022</v>
      </c>
      <c r="H565" s="501" t="s">
        <v>1676</v>
      </c>
      <c r="I565" s="512" t="s">
        <v>1676</v>
      </c>
      <c r="J565" s="502"/>
      <c r="K565" s="503" t="s">
        <v>4549</v>
      </c>
      <c r="L565" s="501" t="s">
        <v>2551</v>
      </c>
      <c r="M565" s="504">
        <v>44544</v>
      </c>
      <c r="N565" s="504">
        <v>44752</v>
      </c>
      <c r="O565" s="504"/>
      <c r="P565" s="370"/>
      <c r="Q565" s="502"/>
      <c r="R565" s="502"/>
      <c r="S565" s="501" t="s">
        <v>1563</v>
      </c>
      <c r="T565" s="501">
        <v>60</v>
      </c>
      <c r="U565" s="371">
        <v>49201132</v>
      </c>
      <c r="V565" s="501" t="s">
        <v>986</v>
      </c>
      <c r="W565" s="501">
        <v>360</v>
      </c>
      <c r="X565" s="505">
        <v>832</v>
      </c>
      <c r="Y565" s="477">
        <f t="shared" si="104"/>
        <v>299520</v>
      </c>
      <c r="Z565" s="478">
        <f>181.8/360</f>
        <v>0.505</v>
      </c>
      <c r="AA565" s="492">
        <f t="shared" si="101"/>
        <v>151257.60000000001</v>
      </c>
      <c r="AB565" s="480"/>
      <c r="AC565" s="481">
        <f t="shared" si="102"/>
        <v>0</v>
      </c>
      <c r="AD565" s="490"/>
      <c r="AE565" s="482"/>
      <c r="AF565" s="493">
        <f t="shared" si="105"/>
        <v>151257.60000000001</v>
      </c>
      <c r="AG565" s="474" t="s">
        <v>1071</v>
      </c>
      <c r="AH565" s="474"/>
      <c r="AI565" s="483" t="s">
        <v>2442</v>
      </c>
      <c r="AJ565" s="474" t="s">
        <v>1790</v>
      </c>
      <c r="AK565" s="494" t="s">
        <v>50</v>
      </c>
      <c r="AL565" s="474">
        <v>95834</v>
      </c>
      <c r="AM565" s="474" t="s">
        <v>52</v>
      </c>
      <c r="AN565" s="474"/>
      <c r="AO565" s="474"/>
      <c r="AP565" s="486"/>
      <c r="AQ565" s="486" t="s">
        <v>37</v>
      </c>
      <c r="AR565" s="486"/>
      <c r="AS565" s="495"/>
      <c r="AT565" s="495"/>
      <c r="AU565" s="378"/>
      <c r="AV565" s="478"/>
    </row>
    <row r="566" spans="1:48" s="471" customFormat="1" ht="15" customHeight="1">
      <c r="A566" s="472"/>
      <c r="B566" s="514">
        <v>44557</v>
      </c>
      <c r="C566" s="472"/>
      <c r="D566" s="512" t="s">
        <v>2322</v>
      </c>
      <c r="E566" s="501" t="s">
        <v>2726</v>
      </c>
      <c r="F566" s="501"/>
      <c r="G566" s="501">
        <v>2022</v>
      </c>
      <c r="H566" s="501" t="s">
        <v>1676</v>
      </c>
      <c r="I566" s="512" t="s">
        <v>1676</v>
      </c>
      <c r="J566" s="502"/>
      <c r="K566" s="503" t="s">
        <v>4550</v>
      </c>
      <c r="L566" s="501" t="s">
        <v>2551</v>
      </c>
      <c r="M566" s="504">
        <v>44544</v>
      </c>
      <c r="N566" s="504">
        <v>44757</v>
      </c>
      <c r="O566" s="504"/>
      <c r="P566" s="370"/>
      <c r="Q566" s="502"/>
      <c r="R566" s="502"/>
      <c r="S566" s="501" t="s">
        <v>1563</v>
      </c>
      <c r="T566" s="501">
        <v>60</v>
      </c>
      <c r="U566" s="371" t="s">
        <v>1109</v>
      </c>
      <c r="V566" s="501" t="s">
        <v>973</v>
      </c>
      <c r="W566" s="501">
        <v>400</v>
      </c>
      <c r="X566" s="505">
        <v>768</v>
      </c>
      <c r="Y566" s="477">
        <f t="shared" si="104"/>
        <v>307200</v>
      </c>
      <c r="Z566" s="478">
        <f>210/400</f>
        <v>0.52500000000000002</v>
      </c>
      <c r="AA566" s="492">
        <f t="shared" si="101"/>
        <v>161280</v>
      </c>
      <c r="AB566" s="480"/>
      <c r="AC566" s="481">
        <f t="shared" si="102"/>
        <v>0</v>
      </c>
      <c r="AD566" s="490"/>
      <c r="AE566" s="482"/>
      <c r="AF566" s="493">
        <f t="shared" si="105"/>
        <v>161280</v>
      </c>
      <c r="AG566" s="474" t="s">
        <v>1071</v>
      </c>
      <c r="AH566" s="474"/>
      <c r="AI566" s="483" t="s">
        <v>2442</v>
      </c>
      <c r="AJ566" s="474" t="s">
        <v>1790</v>
      </c>
      <c r="AK566" s="494" t="s">
        <v>50</v>
      </c>
      <c r="AL566" s="474">
        <v>95834</v>
      </c>
      <c r="AM566" s="474" t="s">
        <v>52</v>
      </c>
      <c r="AN566" s="474"/>
      <c r="AO566" s="474"/>
      <c r="AP566" s="486"/>
      <c r="AQ566" s="486" t="s">
        <v>37</v>
      </c>
      <c r="AR566" s="486"/>
      <c r="AS566" s="495"/>
      <c r="AT566" s="495"/>
      <c r="AU566" s="378"/>
      <c r="AV566" s="478"/>
    </row>
    <row r="567" spans="1:48" s="471" customFormat="1" ht="15" customHeight="1">
      <c r="A567" s="472"/>
      <c r="B567" s="514">
        <v>44557</v>
      </c>
      <c r="C567" s="472"/>
      <c r="D567" s="512" t="s">
        <v>2322</v>
      </c>
      <c r="E567" s="501" t="s">
        <v>2726</v>
      </c>
      <c r="F567" s="501"/>
      <c r="G567" s="501">
        <v>2022</v>
      </c>
      <c r="H567" s="501" t="s">
        <v>1676</v>
      </c>
      <c r="I567" s="512" t="s">
        <v>1676</v>
      </c>
      <c r="J567" s="502"/>
      <c r="K567" s="503" t="s">
        <v>4551</v>
      </c>
      <c r="L567" s="501" t="s">
        <v>2551</v>
      </c>
      <c r="M567" s="504">
        <v>44545</v>
      </c>
      <c r="N567" s="504">
        <v>44775</v>
      </c>
      <c r="O567" s="504"/>
      <c r="P567" s="370"/>
      <c r="Q567" s="502"/>
      <c r="R567" s="502"/>
      <c r="S567" s="501" t="s">
        <v>1563</v>
      </c>
      <c r="T567" s="501">
        <v>60</v>
      </c>
      <c r="U567" s="371">
        <v>49401140</v>
      </c>
      <c r="V567" s="501" t="s">
        <v>973</v>
      </c>
      <c r="W567" s="501">
        <v>400</v>
      </c>
      <c r="X567" s="505">
        <v>768</v>
      </c>
      <c r="Y567" s="477">
        <f t="shared" si="104"/>
        <v>307200</v>
      </c>
      <c r="Z567" s="478">
        <f>210/400</f>
        <v>0.52500000000000002</v>
      </c>
      <c r="AA567" s="492">
        <f t="shared" si="101"/>
        <v>161280</v>
      </c>
      <c r="AB567" s="480"/>
      <c r="AC567" s="481">
        <f t="shared" si="102"/>
        <v>0</v>
      </c>
      <c r="AD567" s="490"/>
      <c r="AE567" s="482"/>
      <c r="AF567" s="493">
        <f t="shared" si="105"/>
        <v>161280</v>
      </c>
      <c r="AG567" s="474" t="s">
        <v>1071</v>
      </c>
      <c r="AH567" s="474"/>
      <c r="AI567" s="483" t="s">
        <v>2442</v>
      </c>
      <c r="AJ567" s="474" t="s">
        <v>1790</v>
      </c>
      <c r="AK567" s="494" t="s">
        <v>50</v>
      </c>
      <c r="AL567" s="474">
        <v>95834</v>
      </c>
      <c r="AM567" s="474" t="s">
        <v>52</v>
      </c>
      <c r="AN567" s="474"/>
      <c r="AO567" s="474"/>
      <c r="AP567" s="486"/>
      <c r="AQ567" s="486" t="s">
        <v>37</v>
      </c>
      <c r="AR567" s="486"/>
      <c r="AS567" s="495"/>
      <c r="AT567" s="495"/>
      <c r="AU567" s="378"/>
      <c r="AV567" s="478"/>
    </row>
    <row r="568" spans="1:48" s="471" customFormat="1" ht="15" customHeight="1">
      <c r="A568" s="472"/>
      <c r="B568" s="514">
        <v>44557</v>
      </c>
      <c r="C568" s="472"/>
      <c r="D568" s="512" t="s">
        <v>2322</v>
      </c>
      <c r="E568" s="501" t="s">
        <v>2726</v>
      </c>
      <c r="F568" s="501"/>
      <c r="G568" s="501">
        <v>2022</v>
      </c>
      <c r="H568" s="501" t="s">
        <v>1676</v>
      </c>
      <c r="I568" s="512" t="s">
        <v>1676</v>
      </c>
      <c r="J568" s="502"/>
      <c r="K568" s="503" t="s">
        <v>4552</v>
      </c>
      <c r="L568" s="501" t="s">
        <v>2551</v>
      </c>
      <c r="M568" s="504">
        <v>44545</v>
      </c>
      <c r="N568" s="504">
        <v>44781</v>
      </c>
      <c r="O568" s="504"/>
      <c r="P568" s="370"/>
      <c r="Q568" s="502"/>
      <c r="R568" s="502"/>
      <c r="S568" s="501" t="s">
        <v>1563</v>
      </c>
      <c r="T568" s="501">
        <v>60</v>
      </c>
      <c r="U568" s="371">
        <v>49201132</v>
      </c>
      <c r="V568" s="501" t="s">
        <v>986</v>
      </c>
      <c r="W568" s="501">
        <v>360</v>
      </c>
      <c r="X568" s="505">
        <v>832</v>
      </c>
      <c r="Y568" s="477">
        <f t="shared" si="104"/>
        <v>299520</v>
      </c>
      <c r="Z568" s="478">
        <f>181.8/360</f>
        <v>0.505</v>
      </c>
      <c r="AA568" s="492">
        <f t="shared" si="101"/>
        <v>151257.60000000001</v>
      </c>
      <c r="AB568" s="480"/>
      <c r="AC568" s="481">
        <f t="shared" si="102"/>
        <v>0</v>
      </c>
      <c r="AD568" s="490"/>
      <c r="AE568" s="482"/>
      <c r="AF568" s="493">
        <f t="shared" si="105"/>
        <v>151257.60000000001</v>
      </c>
      <c r="AG568" s="474" t="s">
        <v>1071</v>
      </c>
      <c r="AH568" s="474"/>
      <c r="AI568" s="483" t="s">
        <v>2442</v>
      </c>
      <c r="AJ568" s="474" t="s">
        <v>2545</v>
      </c>
      <c r="AK568" s="494" t="s">
        <v>50</v>
      </c>
      <c r="AL568" s="474">
        <v>95834</v>
      </c>
      <c r="AM568" s="474" t="s">
        <v>52</v>
      </c>
      <c r="AN568" s="474"/>
      <c r="AO568" s="474"/>
      <c r="AP568" s="486"/>
      <c r="AQ568" s="486" t="s">
        <v>37</v>
      </c>
      <c r="AR568" s="486"/>
      <c r="AS568" s="495"/>
      <c r="AT568" s="495"/>
      <c r="AU568" s="378"/>
      <c r="AV568" s="478"/>
    </row>
    <row r="569" spans="1:48" s="471" customFormat="1" ht="15" customHeight="1">
      <c r="A569" s="472"/>
      <c r="B569" s="514">
        <v>44557</v>
      </c>
      <c r="C569" s="472"/>
      <c r="D569" s="512" t="s">
        <v>2322</v>
      </c>
      <c r="E569" s="501" t="s">
        <v>2726</v>
      </c>
      <c r="F569" s="501"/>
      <c r="G569" s="501">
        <v>2022</v>
      </c>
      <c r="H569" s="501" t="s">
        <v>1676</v>
      </c>
      <c r="I569" s="512" t="s">
        <v>1676</v>
      </c>
      <c r="J569" s="502"/>
      <c r="K569" s="503" t="s">
        <v>4553</v>
      </c>
      <c r="L569" s="501" t="s">
        <v>2551</v>
      </c>
      <c r="M569" s="504">
        <v>44544</v>
      </c>
      <c r="N569" s="504">
        <v>44782</v>
      </c>
      <c r="O569" s="504"/>
      <c r="P569" s="370"/>
      <c r="Q569" s="502"/>
      <c r="R569" s="502"/>
      <c r="S569" s="501" t="s">
        <v>1563</v>
      </c>
      <c r="T569" s="501">
        <v>60</v>
      </c>
      <c r="U569" s="371">
        <v>49401140</v>
      </c>
      <c r="V569" s="501" t="s">
        <v>973</v>
      </c>
      <c r="W569" s="501">
        <v>400</v>
      </c>
      <c r="X569" s="505">
        <v>768</v>
      </c>
      <c r="Y569" s="477">
        <f t="shared" si="104"/>
        <v>307200</v>
      </c>
      <c r="Z569" s="478">
        <f>210/400</f>
        <v>0.52500000000000002</v>
      </c>
      <c r="AA569" s="492">
        <f t="shared" si="101"/>
        <v>161280</v>
      </c>
      <c r="AB569" s="480"/>
      <c r="AC569" s="481">
        <f t="shared" si="102"/>
        <v>0</v>
      </c>
      <c r="AD569" s="490"/>
      <c r="AE569" s="482"/>
      <c r="AF569" s="493">
        <f t="shared" si="105"/>
        <v>161280</v>
      </c>
      <c r="AG569" s="474" t="s">
        <v>1071</v>
      </c>
      <c r="AH569" s="474"/>
      <c r="AI569" s="483" t="s">
        <v>2442</v>
      </c>
      <c r="AJ569" s="474" t="s">
        <v>1790</v>
      </c>
      <c r="AK569" s="494" t="s">
        <v>50</v>
      </c>
      <c r="AL569" s="474">
        <v>95834</v>
      </c>
      <c r="AM569" s="474" t="s">
        <v>52</v>
      </c>
      <c r="AN569" s="474"/>
      <c r="AO569" s="474"/>
      <c r="AP569" s="486"/>
      <c r="AQ569" s="486" t="s">
        <v>37</v>
      </c>
      <c r="AR569" s="486"/>
      <c r="AS569" s="495"/>
      <c r="AT569" s="495"/>
      <c r="AU569" s="378"/>
      <c r="AV569" s="478"/>
    </row>
    <row r="570" spans="1:48" s="471" customFormat="1" ht="15" customHeight="1">
      <c r="A570" s="472"/>
      <c r="B570" s="514">
        <v>44557</v>
      </c>
      <c r="C570" s="472"/>
      <c r="D570" s="512" t="s">
        <v>2322</v>
      </c>
      <c r="E570" s="501" t="s">
        <v>2726</v>
      </c>
      <c r="F570" s="501"/>
      <c r="G570" s="501">
        <v>2022</v>
      </c>
      <c r="H570" s="501" t="s">
        <v>1676</v>
      </c>
      <c r="I570" s="512" t="s">
        <v>1676</v>
      </c>
      <c r="J570" s="502"/>
      <c r="K570" s="503" t="s">
        <v>4554</v>
      </c>
      <c r="L570" s="501" t="s">
        <v>2551</v>
      </c>
      <c r="M570" s="504">
        <v>44544</v>
      </c>
      <c r="N570" s="504">
        <v>44788</v>
      </c>
      <c r="O570" s="504"/>
      <c r="P570" s="370"/>
      <c r="Q570" s="502"/>
      <c r="R570" s="502"/>
      <c r="S570" s="501" t="s">
        <v>1563</v>
      </c>
      <c r="T570" s="501">
        <v>60</v>
      </c>
      <c r="U570" s="371">
        <v>49401140</v>
      </c>
      <c r="V570" s="501" t="s">
        <v>973</v>
      </c>
      <c r="W570" s="501">
        <v>400</v>
      </c>
      <c r="X570" s="505">
        <v>768</v>
      </c>
      <c r="Y570" s="477">
        <f t="shared" si="104"/>
        <v>307200</v>
      </c>
      <c r="Z570" s="478">
        <f>210/400</f>
        <v>0.52500000000000002</v>
      </c>
      <c r="AA570" s="492">
        <f t="shared" si="101"/>
        <v>161280</v>
      </c>
      <c r="AB570" s="480"/>
      <c r="AC570" s="481">
        <f t="shared" si="102"/>
        <v>0</v>
      </c>
      <c r="AD570" s="490"/>
      <c r="AE570" s="482"/>
      <c r="AF570" s="493">
        <f t="shared" si="105"/>
        <v>161280</v>
      </c>
      <c r="AG570" s="474" t="s">
        <v>1071</v>
      </c>
      <c r="AH570" s="474"/>
      <c r="AI570" s="483" t="s">
        <v>2442</v>
      </c>
      <c r="AJ570" s="474" t="s">
        <v>1790</v>
      </c>
      <c r="AK570" s="494" t="s">
        <v>50</v>
      </c>
      <c r="AL570" s="474">
        <v>95834</v>
      </c>
      <c r="AM570" s="474" t="s">
        <v>52</v>
      </c>
      <c r="AN570" s="474"/>
      <c r="AO570" s="474"/>
      <c r="AP570" s="486"/>
      <c r="AQ570" s="486" t="s">
        <v>37</v>
      </c>
      <c r="AR570" s="486"/>
      <c r="AS570" s="495"/>
      <c r="AT570" s="495"/>
      <c r="AU570" s="378"/>
      <c r="AV570" s="478"/>
    </row>
    <row r="571" spans="1:48" s="471" customFormat="1" ht="15" customHeight="1">
      <c r="A571" s="472"/>
      <c r="B571" s="514">
        <v>44557</v>
      </c>
      <c r="C571" s="472"/>
      <c r="D571" s="512" t="s">
        <v>2322</v>
      </c>
      <c r="E571" s="501" t="s">
        <v>2726</v>
      </c>
      <c r="F571" s="501"/>
      <c r="G571" s="501">
        <v>2022</v>
      </c>
      <c r="H571" s="501" t="s">
        <v>1676</v>
      </c>
      <c r="I571" s="512" t="s">
        <v>1676</v>
      </c>
      <c r="J571" s="502"/>
      <c r="K571" s="503" t="s">
        <v>4555</v>
      </c>
      <c r="L571" s="501" t="s">
        <v>2551</v>
      </c>
      <c r="M571" s="504">
        <v>44544</v>
      </c>
      <c r="N571" s="504">
        <v>44789</v>
      </c>
      <c r="O571" s="504"/>
      <c r="P571" s="370"/>
      <c r="Q571" s="502"/>
      <c r="R571" s="502"/>
      <c r="S571" s="501" t="s">
        <v>1563</v>
      </c>
      <c r="T571" s="501">
        <v>60</v>
      </c>
      <c r="U571" s="371">
        <v>49201132</v>
      </c>
      <c r="V571" s="501" t="s">
        <v>986</v>
      </c>
      <c r="W571" s="501">
        <v>360</v>
      </c>
      <c r="X571" s="505">
        <v>832</v>
      </c>
      <c r="Y571" s="477">
        <f t="shared" si="104"/>
        <v>299520</v>
      </c>
      <c r="Z571" s="478">
        <f>181.8/360</f>
        <v>0.505</v>
      </c>
      <c r="AA571" s="492">
        <f t="shared" ref="AA571:AA634" si="108">Z571*Y571</f>
        <v>151257.60000000001</v>
      </c>
      <c r="AB571" s="480"/>
      <c r="AC571" s="481">
        <f t="shared" si="102"/>
        <v>0</v>
      </c>
      <c r="AD571" s="490"/>
      <c r="AE571" s="482"/>
      <c r="AF571" s="493">
        <f t="shared" si="105"/>
        <v>151257.60000000001</v>
      </c>
      <c r="AG571" s="474" t="s">
        <v>1071</v>
      </c>
      <c r="AH571" s="474"/>
      <c r="AI571" s="483" t="s">
        <v>2442</v>
      </c>
      <c r="AJ571" s="474" t="s">
        <v>2545</v>
      </c>
      <c r="AK571" s="494" t="s">
        <v>50</v>
      </c>
      <c r="AL571" s="474">
        <v>95834</v>
      </c>
      <c r="AM571" s="474" t="s">
        <v>52</v>
      </c>
      <c r="AN571" s="474"/>
      <c r="AO571" s="474"/>
      <c r="AP571" s="486"/>
      <c r="AQ571" s="486" t="s">
        <v>37</v>
      </c>
      <c r="AR571" s="486"/>
      <c r="AS571" s="495"/>
      <c r="AT571" s="495"/>
      <c r="AU571" s="378"/>
      <c r="AV571" s="478"/>
    </row>
    <row r="572" spans="1:48" s="471" customFormat="1" ht="15" customHeight="1">
      <c r="A572" s="472"/>
      <c r="B572" s="514">
        <v>44557</v>
      </c>
      <c r="C572" s="472"/>
      <c r="D572" s="512" t="s">
        <v>2322</v>
      </c>
      <c r="E572" s="501" t="s">
        <v>2726</v>
      </c>
      <c r="F572" s="501"/>
      <c r="G572" s="501">
        <v>2022</v>
      </c>
      <c r="H572" s="501" t="s">
        <v>1676</v>
      </c>
      <c r="I572" s="512" t="s">
        <v>1676</v>
      </c>
      <c r="J572" s="502"/>
      <c r="K572" s="503" t="s">
        <v>4556</v>
      </c>
      <c r="L572" s="501" t="s">
        <v>2551</v>
      </c>
      <c r="M572" s="504">
        <v>44545</v>
      </c>
      <c r="N572" s="504">
        <v>44793</v>
      </c>
      <c r="O572" s="504"/>
      <c r="P572" s="370"/>
      <c r="Q572" s="502"/>
      <c r="R572" s="502"/>
      <c r="S572" s="501" t="s">
        <v>1563</v>
      </c>
      <c r="T572" s="501">
        <v>60</v>
      </c>
      <c r="U572" s="371">
        <v>49401140</v>
      </c>
      <c r="V572" s="501" t="s">
        <v>973</v>
      </c>
      <c r="W572" s="501">
        <v>400</v>
      </c>
      <c r="X572" s="505">
        <v>768</v>
      </c>
      <c r="Y572" s="477">
        <f t="shared" si="104"/>
        <v>307200</v>
      </c>
      <c r="Z572" s="478">
        <f>210/400</f>
        <v>0.52500000000000002</v>
      </c>
      <c r="AA572" s="492">
        <f t="shared" si="108"/>
        <v>161280</v>
      </c>
      <c r="AB572" s="480"/>
      <c r="AC572" s="481">
        <f t="shared" si="102"/>
        <v>0</v>
      </c>
      <c r="AD572" s="490"/>
      <c r="AE572" s="482"/>
      <c r="AF572" s="493">
        <f t="shared" si="105"/>
        <v>161280</v>
      </c>
      <c r="AG572" s="474" t="s">
        <v>1071</v>
      </c>
      <c r="AH572" s="474"/>
      <c r="AI572" s="483" t="s">
        <v>2442</v>
      </c>
      <c r="AJ572" s="474" t="s">
        <v>1790</v>
      </c>
      <c r="AK572" s="494" t="s">
        <v>50</v>
      </c>
      <c r="AL572" s="474">
        <v>95834</v>
      </c>
      <c r="AM572" s="474" t="s">
        <v>52</v>
      </c>
      <c r="AN572" s="474"/>
      <c r="AO572" s="474"/>
      <c r="AP572" s="486"/>
      <c r="AQ572" s="486" t="s">
        <v>37</v>
      </c>
      <c r="AR572" s="486"/>
      <c r="AS572" s="495"/>
      <c r="AT572" s="495"/>
      <c r="AU572" s="378"/>
      <c r="AV572" s="478"/>
    </row>
    <row r="573" spans="1:48" s="471" customFormat="1" ht="15" customHeight="1">
      <c r="A573" s="472"/>
      <c r="B573" s="514">
        <v>44557</v>
      </c>
      <c r="C573" s="472"/>
      <c r="D573" s="512" t="s">
        <v>2322</v>
      </c>
      <c r="E573" s="501" t="s">
        <v>2726</v>
      </c>
      <c r="F573" s="501"/>
      <c r="G573" s="501">
        <v>2022</v>
      </c>
      <c r="H573" s="501" t="s">
        <v>1676</v>
      </c>
      <c r="I573" s="512" t="s">
        <v>1676</v>
      </c>
      <c r="J573" s="502"/>
      <c r="K573" s="503" t="s">
        <v>4557</v>
      </c>
      <c r="L573" s="501" t="s">
        <v>2551</v>
      </c>
      <c r="M573" s="504">
        <v>44545</v>
      </c>
      <c r="N573" s="504">
        <v>44806</v>
      </c>
      <c r="O573" s="504"/>
      <c r="P573" s="370"/>
      <c r="Q573" s="502"/>
      <c r="R573" s="502"/>
      <c r="S573" s="501" t="s">
        <v>1563</v>
      </c>
      <c r="T573" s="501">
        <v>60</v>
      </c>
      <c r="U573" s="371">
        <v>49401140</v>
      </c>
      <c r="V573" s="501" t="s">
        <v>973</v>
      </c>
      <c r="W573" s="501">
        <v>400</v>
      </c>
      <c r="X573" s="505">
        <v>768</v>
      </c>
      <c r="Y573" s="477">
        <f t="shared" si="104"/>
        <v>307200</v>
      </c>
      <c r="Z573" s="478">
        <f>210/400</f>
        <v>0.52500000000000002</v>
      </c>
      <c r="AA573" s="492">
        <f t="shared" si="108"/>
        <v>161280</v>
      </c>
      <c r="AB573" s="480"/>
      <c r="AC573" s="481">
        <f t="shared" si="102"/>
        <v>0</v>
      </c>
      <c r="AD573" s="490"/>
      <c r="AE573" s="482"/>
      <c r="AF573" s="493">
        <f t="shared" si="105"/>
        <v>161280</v>
      </c>
      <c r="AG573" s="474" t="s">
        <v>1071</v>
      </c>
      <c r="AH573" s="474"/>
      <c r="AI573" s="483" t="s">
        <v>2442</v>
      </c>
      <c r="AJ573" s="474" t="s">
        <v>1790</v>
      </c>
      <c r="AK573" s="494" t="s">
        <v>50</v>
      </c>
      <c r="AL573" s="474">
        <v>95834</v>
      </c>
      <c r="AM573" s="474" t="s">
        <v>52</v>
      </c>
      <c r="AN573" s="474"/>
      <c r="AO573" s="474"/>
      <c r="AP573" s="486"/>
      <c r="AQ573" s="486" t="s">
        <v>37</v>
      </c>
      <c r="AR573" s="486"/>
      <c r="AS573" s="495"/>
      <c r="AT573" s="495"/>
      <c r="AU573" s="378"/>
      <c r="AV573" s="478"/>
    </row>
    <row r="574" spans="1:48" s="471" customFormat="1" ht="15" customHeight="1">
      <c r="A574" s="472"/>
      <c r="B574" s="514">
        <v>44557</v>
      </c>
      <c r="C574" s="472"/>
      <c r="D574" s="512" t="s">
        <v>2322</v>
      </c>
      <c r="E574" s="501" t="s">
        <v>2726</v>
      </c>
      <c r="F574" s="501"/>
      <c r="G574" s="501">
        <v>2022</v>
      </c>
      <c r="H574" s="501" t="s">
        <v>1676</v>
      </c>
      <c r="I574" s="512" t="s">
        <v>1676</v>
      </c>
      <c r="J574" s="502"/>
      <c r="K574" s="503" t="s">
        <v>4558</v>
      </c>
      <c r="L574" s="501" t="s">
        <v>2551</v>
      </c>
      <c r="M574" s="504">
        <v>44545</v>
      </c>
      <c r="N574" s="504">
        <v>44813</v>
      </c>
      <c r="O574" s="504"/>
      <c r="P574" s="370"/>
      <c r="Q574" s="502"/>
      <c r="R574" s="502"/>
      <c r="S574" s="501" t="s">
        <v>1563</v>
      </c>
      <c r="T574" s="501">
        <v>60</v>
      </c>
      <c r="U574" s="371">
        <v>49401140</v>
      </c>
      <c r="V574" s="501" t="s">
        <v>973</v>
      </c>
      <c r="W574" s="501">
        <v>400</v>
      </c>
      <c r="X574" s="505">
        <v>768</v>
      </c>
      <c r="Y574" s="477">
        <f t="shared" si="104"/>
        <v>307200</v>
      </c>
      <c r="Z574" s="478">
        <f>210/400</f>
        <v>0.52500000000000002</v>
      </c>
      <c r="AA574" s="492">
        <f t="shared" si="108"/>
        <v>161280</v>
      </c>
      <c r="AB574" s="480"/>
      <c r="AC574" s="481">
        <f t="shared" si="102"/>
        <v>0</v>
      </c>
      <c r="AD574" s="490"/>
      <c r="AE574" s="482"/>
      <c r="AF574" s="493">
        <f t="shared" si="105"/>
        <v>161280</v>
      </c>
      <c r="AG574" s="474" t="s">
        <v>1071</v>
      </c>
      <c r="AH574" s="474"/>
      <c r="AI574" s="483" t="s">
        <v>2442</v>
      </c>
      <c r="AJ574" s="474" t="s">
        <v>1790</v>
      </c>
      <c r="AK574" s="494" t="s">
        <v>50</v>
      </c>
      <c r="AL574" s="474">
        <v>95834</v>
      </c>
      <c r="AM574" s="474" t="s">
        <v>52</v>
      </c>
      <c r="AN574" s="474"/>
      <c r="AO574" s="474"/>
      <c r="AP574" s="486"/>
      <c r="AQ574" s="486" t="s">
        <v>37</v>
      </c>
      <c r="AR574" s="486"/>
      <c r="AS574" s="495"/>
      <c r="AT574" s="495"/>
      <c r="AU574" s="378"/>
      <c r="AV574" s="478"/>
    </row>
    <row r="575" spans="1:48" s="471" customFormat="1" ht="15" customHeight="1">
      <c r="A575" s="472"/>
      <c r="B575" s="514">
        <v>44557</v>
      </c>
      <c r="C575" s="472"/>
      <c r="D575" s="512" t="s">
        <v>2322</v>
      </c>
      <c r="E575" s="501" t="s">
        <v>2726</v>
      </c>
      <c r="F575" s="501"/>
      <c r="G575" s="501">
        <v>2022</v>
      </c>
      <c r="H575" s="501" t="s">
        <v>1676</v>
      </c>
      <c r="I575" s="512" t="s">
        <v>1676</v>
      </c>
      <c r="J575" s="502"/>
      <c r="K575" s="503" t="s">
        <v>4559</v>
      </c>
      <c r="L575" s="501" t="s">
        <v>2551</v>
      </c>
      <c r="M575" s="504">
        <v>44545</v>
      </c>
      <c r="N575" s="504">
        <v>44814</v>
      </c>
      <c r="O575" s="504"/>
      <c r="P575" s="370"/>
      <c r="Q575" s="502"/>
      <c r="R575" s="502"/>
      <c r="S575" s="501" t="s">
        <v>1563</v>
      </c>
      <c r="T575" s="501">
        <v>60</v>
      </c>
      <c r="U575" s="371">
        <v>49201132</v>
      </c>
      <c r="V575" s="501" t="s">
        <v>986</v>
      </c>
      <c r="W575" s="501">
        <v>360</v>
      </c>
      <c r="X575" s="505">
        <v>832</v>
      </c>
      <c r="Y575" s="477">
        <f t="shared" si="104"/>
        <v>299520</v>
      </c>
      <c r="Z575" s="478">
        <f>181.8/360</f>
        <v>0.505</v>
      </c>
      <c r="AA575" s="492">
        <f t="shared" si="108"/>
        <v>151257.60000000001</v>
      </c>
      <c r="AB575" s="480"/>
      <c r="AC575" s="481">
        <f t="shared" si="102"/>
        <v>0</v>
      </c>
      <c r="AD575" s="490"/>
      <c r="AE575" s="482"/>
      <c r="AF575" s="493">
        <f t="shared" si="105"/>
        <v>151257.60000000001</v>
      </c>
      <c r="AG575" s="474" t="s">
        <v>1071</v>
      </c>
      <c r="AH575" s="474"/>
      <c r="AI575" s="483" t="s">
        <v>2442</v>
      </c>
      <c r="AJ575" s="474" t="s">
        <v>1790</v>
      </c>
      <c r="AK575" s="494" t="s">
        <v>50</v>
      </c>
      <c r="AL575" s="474">
        <v>95834</v>
      </c>
      <c r="AM575" s="474" t="s">
        <v>52</v>
      </c>
      <c r="AN575" s="474"/>
      <c r="AO575" s="474"/>
      <c r="AP575" s="486"/>
      <c r="AQ575" s="486" t="s">
        <v>37</v>
      </c>
      <c r="AR575" s="486"/>
      <c r="AS575" s="495"/>
      <c r="AT575" s="495"/>
      <c r="AU575" s="378"/>
      <c r="AV575" s="478"/>
    </row>
    <row r="576" spans="1:48" s="471" customFormat="1" ht="15" customHeight="1">
      <c r="A576" s="472"/>
      <c r="B576" s="514">
        <v>44557</v>
      </c>
      <c r="C576" s="472"/>
      <c r="D576" s="512" t="s">
        <v>2322</v>
      </c>
      <c r="E576" s="501" t="s">
        <v>2726</v>
      </c>
      <c r="F576" s="501"/>
      <c r="G576" s="501">
        <v>2022</v>
      </c>
      <c r="H576" s="501" t="s">
        <v>1676</v>
      </c>
      <c r="I576" s="512" t="s">
        <v>1676</v>
      </c>
      <c r="J576" s="502"/>
      <c r="K576" s="503" t="s">
        <v>4560</v>
      </c>
      <c r="L576" s="501" t="s">
        <v>2551</v>
      </c>
      <c r="M576" s="504">
        <v>44545</v>
      </c>
      <c r="N576" s="504">
        <v>44819</v>
      </c>
      <c r="O576" s="504"/>
      <c r="P576" s="370"/>
      <c r="Q576" s="502"/>
      <c r="R576" s="502"/>
      <c r="S576" s="501" t="s">
        <v>1563</v>
      </c>
      <c r="T576" s="501">
        <v>60</v>
      </c>
      <c r="U576" s="371">
        <v>49401140</v>
      </c>
      <c r="V576" s="501" t="s">
        <v>973</v>
      </c>
      <c r="W576" s="501">
        <v>400</v>
      </c>
      <c r="X576" s="505">
        <v>768</v>
      </c>
      <c r="Y576" s="477">
        <f t="shared" si="104"/>
        <v>307200</v>
      </c>
      <c r="Z576" s="478">
        <f>210/400</f>
        <v>0.52500000000000002</v>
      </c>
      <c r="AA576" s="492">
        <f t="shared" si="108"/>
        <v>161280</v>
      </c>
      <c r="AB576" s="480"/>
      <c r="AC576" s="481">
        <f t="shared" si="102"/>
        <v>0</v>
      </c>
      <c r="AD576" s="490"/>
      <c r="AE576" s="482"/>
      <c r="AF576" s="493">
        <f t="shared" si="105"/>
        <v>161280</v>
      </c>
      <c r="AG576" s="474" t="s">
        <v>1071</v>
      </c>
      <c r="AH576" s="474"/>
      <c r="AI576" s="483" t="s">
        <v>2442</v>
      </c>
      <c r="AJ576" s="474" t="s">
        <v>1790</v>
      </c>
      <c r="AK576" s="494" t="s">
        <v>50</v>
      </c>
      <c r="AL576" s="474">
        <v>95834</v>
      </c>
      <c r="AM576" s="474" t="s">
        <v>52</v>
      </c>
      <c r="AN576" s="474"/>
      <c r="AO576" s="474"/>
      <c r="AP576" s="486"/>
      <c r="AQ576" s="486" t="s">
        <v>37</v>
      </c>
      <c r="AR576" s="486"/>
      <c r="AS576" s="495"/>
      <c r="AT576" s="495"/>
      <c r="AU576" s="378"/>
      <c r="AV576" s="478"/>
    </row>
    <row r="577" spans="1:48" s="471" customFormat="1" ht="15" customHeight="1">
      <c r="A577" s="472"/>
      <c r="B577" s="514">
        <v>44557</v>
      </c>
      <c r="C577" s="472"/>
      <c r="D577" s="512" t="s">
        <v>2322</v>
      </c>
      <c r="E577" s="501" t="s">
        <v>2726</v>
      </c>
      <c r="F577" s="501"/>
      <c r="G577" s="501">
        <v>2022</v>
      </c>
      <c r="H577" s="501" t="s">
        <v>1676</v>
      </c>
      <c r="I577" s="512" t="s">
        <v>1676</v>
      </c>
      <c r="J577" s="502"/>
      <c r="K577" s="503" t="s">
        <v>4561</v>
      </c>
      <c r="L577" s="501" t="s">
        <v>2551</v>
      </c>
      <c r="M577" s="504">
        <v>44545</v>
      </c>
      <c r="N577" s="504">
        <v>44835</v>
      </c>
      <c r="O577" s="504"/>
      <c r="P577" s="370"/>
      <c r="Q577" s="502"/>
      <c r="R577" s="502"/>
      <c r="S577" s="501" t="s">
        <v>1563</v>
      </c>
      <c r="T577" s="501">
        <v>60</v>
      </c>
      <c r="U577" s="371">
        <v>49401140</v>
      </c>
      <c r="V577" s="501" t="s">
        <v>973</v>
      </c>
      <c r="W577" s="501">
        <v>400</v>
      </c>
      <c r="X577" s="505">
        <v>768</v>
      </c>
      <c r="Y577" s="477">
        <f t="shared" si="104"/>
        <v>307200</v>
      </c>
      <c r="Z577" s="478">
        <f>210/400</f>
        <v>0.52500000000000002</v>
      </c>
      <c r="AA577" s="492">
        <f t="shared" si="108"/>
        <v>161280</v>
      </c>
      <c r="AB577" s="480"/>
      <c r="AC577" s="481">
        <f t="shared" ref="AC577:AC640" si="109">AB577*Y577</f>
        <v>0</v>
      </c>
      <c r="AD577" s="490"/>
      <c r="AE577" s="482"/>
      <c r="AF577" s="493">
        <f t="shared" si="105"/>
        <v>161280</v>
      </c>
      <c r="AG577" s="474" t="s">
        <v>1071</v>
      </c>
      <c r="AH577" s="474"/>
      <c r="AI577" s="483" t="s">
        <v>2442</v>
      </c>
      <c r="AJ577" s="474" t="s">
        <v>1790</v>
      </c>
      <c r="AK577" s="494" t="s">
        <v>50</v>
      </c>
      <c r="AL577" s="474">
        <v>95834</v>
      </c>
      <c r="AM577" s="474" t="s">
        <v>52</v>
      </c>
      <c r="AN577" s="474"/>
      <c r="AO577" s="474"/>
      <c r="AP577" s="486"/>
      <c r="AQ577" s="486" t="s">
        <v>37</v>
      </c>
      <c r="AR577" s="486"/>
      <c r="AS577" s="495"/>
      <c r="AT577" s="495"/>
      <c r="AU577" s="378"/>
      <c r="AV577" s="478"/>
    </row>
    <row r="578" spans="1:48" s="471" customFormat="1" ht="15" customHeight="1">
      <c r="A578" s="472"/>
      <c r="B578" s="514">
        <v>44557</v>
      </c>
      <c r="C578" s="472"/>
      <c r="D578" s="512" t="s">
        <v>2322</v>
      </c>
      <c r="E578" s="501" t="s">
        <v>2726</v>
      </c>
      <c r="F578" s="501"/>
      <c r="G578" s="501">
        <v>2022</v>
      </c>
      <c r="H578" s="501" t="s">
        <v>1676</v>
      </c>
      <c r="I578" s="512" t="s">
        <v>1676</v>
      </c>
      <c r="J578" s="502"/>
      <c r="K578" s="503" t="s">
        <v>4562</v>
      </c>
      <c r="L578" s="501" t="s">
        <v>2551</v>
      </c>
      <c r="M578" s="504">
        <v>44545</v>
      </c>
      <c r="N578" s="504">
        <v>44839</v>
      </c>
      <c r="O578" s="504"/>
      <c r="P578" s="370"/>
      <c r="Q578" s="502"/>
      <c r="R578" s="502"/>
      <c r="S578" s="501" t="s">
        <v>1563</v>
      </c>
      <c r="T578" s="501">
        <v>60</v>
      </c>
      <c r="U578" s="371">
        <v>49201132</v>
      </c>
      <c r="V578" s="501" t="s">
        <v>986</v>
      </c>
      <c r="W578" s="501">
        <v>360</v>
      </c>
      <c r="X578" s="505">
        <v>832</v>
      </c>
      <c r="Y578" s="477">
        <f t="shared" si="104"/>
        <v>299520</v>
      </c>
      <c r="Z578" s="478">
        <f>181.8/360</f>
        <v>0.505</v>
      </c>
      <c r="AA578" s="492">
        <f t="shared" si="108"/>
        <v>151257.60000000001</v>
      </c>
      <c r="AB578" s="480"/>
      <c r="AC578" s="481">
        <f t="shared" si="109"/>
        <v>0</v>
      </c>
      <c r="AD578" s="490"/>
      <c r="AE578" s="482"/>
      <c r="AF578" s="493">
        <f t="shared" si="105"/>
        <v>151257.60000000001</v>
      </c>
      <c r="AG578" s="474" t="s">
        <v>1071</v>
      </c>
      <c r="AH578" s="474"/>
      <c r="AI578" s="483" t="s">
        <v>2442</v>
      </c>
      <c r="AJ578" s="474" t="s">
        <v>1790</v>
      </c>
      <c r="AK578" s="494" t="s">
        <v>50</v>
      </c>
      <c r="AL578" s="474">
        <v>95834</v>
      </c>
      <c r="AM578" s="474" t="s">
        <v>52</v>
      </c>
      <c r="AN578" s="474"/>
      <c r="AO578" s="474"/>
      <c r="AP578" s="486"/>
      <c r="AQ578" s="486" t="s">
        <v>37</v>
      </c>
      <c r="AR578" s="486"/>
      <c r="AS578" s="495"/>
      <c r="AT578" s="495"/>
      <c r="AU578" s="378"/>
      <c r="AV578" s="478"/>
    </row>
    <row r="579" spans="1:48" s="471" customFormat="1" ht="15" customHeight="1">
      <c r="A579" s="472"/>
      <c r="B579" s="514">
        <v>44557</v>
      </c>
      <c r="C579" s="472"/>
      <c r="D579" s="512" t="s">
        <v>2322</v>
      </c>
      <c r="E579" s="501" t="s">
        <v>2726</v>
      </c>
      <c r="F579" s="501"/>
      <c r="G579" s="501">
        <v>2022</v>
      </c>
      <c r="H579" s="501" t="s">
        <v>1676</v>
      </c>
      <c r="I579" s="512" t="s">
        <v>1676</v>
      </c>
      <c r="J579" s="502"/>
      <c r="K579" s="503" t="s">
        <v>4563</v>
      </c>
      <c r="L579" s="501" t="s">
        <v>2551</v>
      </c>
      <c r="M579" s="504">
        <v>44545</v>
      </c>
      <c r="N579" s="504">
        <v>44840</v>
      </c>
      <c r="O579" s="504"/>
      <c r="P579" s="370"/>
      <c r="Q579" s="502"/>
      <c r="R579" s="502"/>
      <c r="S579" s="501" t="s">
        <v>1563</v>
      </c>
      <c r="T579" s="501">
        <v>60</v>
      </c>
      <c r="U579" s="371">
        <v>49401140</v>
      </c>
      <c r="V579" s="501" t="s">
        <v>973</v>
      </c>
      <c r="W579" s="501">
        <v>400</v>
      </c>
      <c r="X579" s="505">
        <v>768</v>
      </c>
      <c r="Y579" s="477">
        <f t="shared" si="104"/>
        <v>307200</v>
      </c>
      <c r="Z579" s="478">
        <f>210/400</f>
        <v>0.52500000000000002</v>
      </c>
      <c r="AA579" s="492">
        <f t="shared" si="108"/>
        <v>161280</v>
      </c>
      <c r="AB579" s="480"/>
      <c r="AC579" s="481">
        <f t="shared" si="109"/>
        <v>0</v>
      </c>
      <c r="AD579" s="490"/>
      <c r="AE579" s="482"/>
      <c r="AF579" s="493">
        <f t="shared" si="105"/>
        <v>161280</v>
      </c>
      <c r="AG579" s="474" t="s">
        <v>1071</v>
      </c>
      <c r="AH579" s="474"/>
      <c r="AI579" s="483" t="s">
        <v>2442</v>
      </c>
      <c r="AJ579" s="474" t="s">
        <v>1790</v>
      </c>
      <c r="AK579" s="494" t="s">
        <v>50</v>
      </c>
      <c r="AL579" s="474">
        <v>95834</v>
      </c>
      <c r="AM579" s="474" t="s">
        <v>52</v>
      </c>
      <c r="AN579" s="474"/>
      <c r="AO579" s="474"/>
      <c r="AP579" s="486"/>
      <c r="AQ579" s="486" t="s">
        <v>37</v>
      </c>
      <c r="AR579" s="486"/>
      <c r="AS579" s="495"/>
      <c r="AT579" s="495"/>
      <c r="AU579" s="378"/>
      <c r="AV579" s="478"/>
    </row>
    <row r="580" spans="1:48" s="471" customFormat="1" ht="15" customHeight="1">
      <c r="A580" s="472"/>
      <c r="B580" s="514">
        <v>44557</v>
      </c>
      <c r="C580" s="472"/>
      <c r="D580" s="512" t="s">
        <v>2322</v>
      </c>
      <c r="E580" s="501" t="s">
        <v>2726</v>
      </c>
      <c r="F580" s="501"/>
      <c r="G580" s="501">
        <v>2022</v>
      </c>
      <c r="H580" s="501" t="s">
        <v>1676</v>
      </c>
      <c r="I580" s="512" t="s">
        <v>1676</v>
      </c>
      <c r="J580" s="502"/>
      <c r="K580" s="503" t="s">
        <v>4564</v>
      </c>
      <c r="L580" s="501" t="s">
        <v>2551</v>
      </c>
      <c r="M580" s="504">
        <v>44545</v>
      </c>
      <c r="N580" s="504">
        <v>44844</v>
      </c>
      <c r="O580" s="504"/>
      <c r="P580" s="370"/>
      <c r="Q580" s="502"/>
      <c r="R580" s="502"/>
      <c r="S580" s="501" t="s">
        <v>1563</v>
      </c>
      <c r="T580" s="501">
        <v>60</v>
      </c>
      <c r="U580" s="371">
        <v>49401140</v>
      </c>
      <c r="V580" s="501" t="s">
        <v>973</v>
      </c>
      <c r="W580" s="501">
        <v>400</v>
      </c>
      <c r="X580" s="505">
        <v>768</v>
      </c>
      <c r="Y580" s="477">
        <f t="shared" si="104"/>
        <v>307200</v>
      </c>
      <c r="Z580" s="478">
        <f>210/400</f>
        <v>0.52500000000000002</v>
      </c>
      <c r="AA580" s="492">
        <f t="shared" si="108"/>
        <v>161280</v>
      </c>
      <c r="AB580" s="480"/>
      <c r="AC580" s="481">
        <f t="shared" si="109"/>
        <v>0</v>
      </c>
      <c r="AD580" s="490"/>
      <c r="AE580" s="482"/>
      <c r="AF580" s="493">
        <f t="shared" si="105"/>
        <v>161280</v>
      </c>
      <c r="AG580" s="474" t="s">
        <v>1071</v>
      </c>
      <c r="AH580" s="474"/>
      <c r="AI580" s="483" t="s">
        <v>2442</v>
      </c>
      <c r="AJ580" s="474" t="s">
        <v>1790</v>
      </c>
      <c r="AK580" s="494" t="s">
        <v>50</v>
      </c>
      <c r="AL580" s="474">
        <v>95834</v>
      </c>
      <c r="AM580" s="474" t="s">
        <v>52</v>
      </c>
      <c r="AN580" s="474"/>
      <c r="AO580" s="474"/>
      <c r="AP580" s="486"/>
      <c r="AQ580" s="486" t="s">
        <v>37</v>
      </c>
      <c r="AR580" s="486"/>
      <c r="AS580" s="495"/>
      <c r="AT580" s="495"/>
      <c r="AU580" s="378"/>
      <c r="AV580" s="478"/>
    </row>
    <row r="581" spans="1:48" s="471" customFormat="1" ht="15" customHeight="1">
      <c r="A581" s="472"/>
      <c r="B581" s="514">
        <v>44557</v>
      </c>
      <c r="C581" s="472"/>
      <c r="D581" s="512" t="s">
        <v>2322</v>
      </c>
      <c r="E581" s="501" t="s">
        <v>2726</v>
      </c>
      <c r="F581" s="501"/>
      <c r="G581" s="501">
        <v>2022</v>
      </c>
      <c r="H581" s="501" t="s">
        <v>1676</v>
      </c>
      <c r="I581" s="512" t="s">
        <v>1676</v>
      </c>
      <c r="J581" s="502"/>
      <c r="K581" s="503" t="s">
        <v>4565</v>
      </c>
      <c r="L581" s="501" t="s">
        <v>2551</v>
      </c>
      <c r="M581" s="504">
        <v>44545</v>
      </c>
      <c r="N581" s="504">
        <v>44847</v>
      </c>
      <c r="O581" s="504"/>
      <c r="P581" s="370"/>
      <c r="Q581" s="502"/>
      <c r="R581" s="502"/>
      <c r="S581" s="501" t="s">
        <v>1563</v>
      </c>
      <c r="T581" s="501">
        <v>60</v>
      </c>
      <c r="U581" s="371">
        <v>49401140</v>
      </c>
      <c r="V581" s="501" t="s">
        <v>973</v>
      </c>
      <c r="W581" s="501">
        <v>400</v>
      </c>
      <c r="X581" s="505">
        <v>768</v>
      </c>
      <c r="Y581" s="477">
        <f t="shared" si="104"/>
        <v>307200</v>
      </c>
      <c r="Z581" s="478">
        <f>210/400</f>
        <v>0.52500000000000002</v>
      </c>
      <c r="AA581" s="492">
        <f t="shared" si="108"/>
        <v>161280</v>
      </c>
      <c r="AB581" s="480"/>
      <c r="AC581" s="481">
        <f t="shared" si="109"/>
        <v>0</v>
      </c>
      <c r="AD581" s="490"/>
      <c r="AE581" s="482"/>
      <c r="AF581" s="493">
        <f t="shared" si="105"/>
        <v>161280</v>
      </c>
      <c r="AG581" s="474" t="s">
        <v>1071</v>
      </c>
      <c r="AH581" s="474"/>
      <c r="AI581" s="483" t="s">
        <v>2442</v>
      </c>
      <c r="AJ581" s="474" t="s">
        <v>1790</v>
      </c>
      <c r="AK581" s="494" t="s">
        <v>50</v>
      </c>
      <c r="AL581" s="474">
        <v>95834</v>
      </c>
      <c r="AM581" s="474" t="s">
        <v>52</v>
      </c>
      <c r="AN581" s="474"/>
      <c r="AO581" s="474"/>
      <c r="AP581" s="486"/>
      <c r="AQ581" s="486" t="s">
        <v>37</v>
      </c>
      <c r="AR581" s="486"/>
      <c r="AS581" s="495"/>
      <c r="AT581" s="495"/>
      <c r="AU581" s="378"/>
      <c r="AV581" s="478"/>
    </row>
    <row r="582" spans="1:48" s="471" customFormat="1" ht="15" customHeight="1">
      <c r="A582" s="472"/>
      <c r="B582" s="514">
        <v>44557</v>
      </c>
      <c r="C582" s="472"/>
      <c r="D582" s="512" t="s">
        <v>2322</v>
      </c>
      <c r="E582" s="501" t="s">
        <v>2726</v>
      </c>
      <c r="F582" s="501"/>
      <c r="G582" s="501">
        <v>2022</v>
      </c>
      <c r="H582" s="501" t="s">
        <v>1676</v>
      </c>
      <c r="I582" s="512" t="s">
        <v>1676</v>
      </c>
      <c r="J582" s="502"/>
      <c r="K582" s="503" t="s">
        <v>4566</v>
      </c>
      <c r="L582" s="501" t="s">
        <v>2551</v>
      </c>
      <c r="M582" s="504">
        <v>44545</v>
      </c>
      <c r="N582" s="504">
        <v>44870</v>
      </c>
      <c r="O582" s="504"/>
      <c r="P582" s="370"/>
      <c r="Q582" s="502"/>
      <c r="R582" s="502"/>
      <c r="S582" s="501" t="s">
        <v>1563</v>
      </c>
      <c r="T582" s="501">
        <v>60</v>
      </c>
      <c r="U582" s="371">
        <v>49201132</v>
      </c>
      <c r="V582" s="501" t="s">
        <v>986</v>
      </c>
      <c r="W582" s="501">
        <v>360</v>
      </c>
      <c r="X582" s="505">
        <v>832</v>
      </c>
      <c r="Y582" s="477">
        <f t="shared" si="104"/>
        <v>299520</v>
      </c>
      <c r="Z582" s="478">
        <f>181.8/360</f>
        <v>0.505</v>
      </c>
      <c r="AA582" s="492">
        <f t="shared" si="108"/>
        <v>151257.60000000001</v>
      </c>
      <c r="AB582" s="480"/>
      <c r="AC582" s="481">
        <f t="shared" si="109"/>
        <v>0</v>
      </c>
      <c r="AD582" s="490"/>
      <c r="AE582" s="482"/>
      <c r="AF582" s="493">
        <f t="shared" si="105"/>
        <v>151257.60000000001</v>
      </c>
      <c r="AG582" s="474" t="s">
        <v>1071</v>
      </c>
      <c r="AH582" s="474"/>
      <c r="AI582" s="483" t="s">
        <v>2442</v>
      </c>
      <c r="AJ582" s="474" t="s">
        <v>4328</v>
      </c>
      <c r="AK582" s="494" t="s">
        <v>50</v>
      </c>
      <c r="AL582" s="474">
        <v>95834</v>
      </c>
      <c r="AM582" s="474" t="s">
        <v>52</v>
      </c>
      <c r="AN582" s="474"/>
      <c r="AO582" s="474"/>
      <c r="AP582" s="486"/>
      <c r="AQ582" s="486" t="s">
        <v>37</v>
      </c>
      <c r="AR582" s="486"/>
      <c r="AS582" s="495"/>
      <c r="AT582" s="495"/>
      <c r="AU582" s="378"/>
      <c r="AV582" s="478"/>
    </row>
    <row r="583" spans="1:48" s="471" customFormat="1" ht="15" customHeight="1">
      <c r="A583" s="472"/>
      <c r="B583" s="514">
        <v>44557</v>
      </c>
      <c r="C583" s="472"/>
      <c r="D583" s="512" t="s">
        <v>2322</v>
      </c>
      <c r="E583" s="501" t="s">
        <v>2726</v>
      </c>
      <c r="F583" s="501"/>
      <c r="G583" s="501">
        <v>2022</v>
      </c>
      <c r="H583" s="501" t="s">
        <v>1676</v>
      </c>
      <c r="I583" s="512" t="s">
        <v>1676</v>
      </c>
      <c r="J583" s="502"/>
      <c r="K583" s="503" t="s">
        <v>4567</v>
      </c>
      <c r="L583" s="501" t="s">
        <v>2551</v>
      </c>
      <c r="M583" s="504">
        <v>44545</v>
      </c>
      <c r="N583" s="504">
        <v>44871</v>
      </c>
      <c r="O583" s="504"/>
      <c r="P583" s="370"/>
      <c r="Q583" s="502"/>
      <c r="R583" s="502"/>
      <c r="S583" s="501" t="s">
        <v>1563</v>
      </c>
      <c r="T583" s="501">
        <v>60</v>
      </c>
      <c r="U583" s="371">
        <v>49401140</v>
      </c>
      <c r="V583" s="501" t="s">
        <v>973</v>
      </c>
      <c r="W583" s="501">
        <v>400</v>
      </c>
      <c r="X583" s="505">
        <v>768</v>
      </c>
      <c r="Y583" s="477">
        <f t="shared" si="104"/>
        <v>307200</v>
      </c>
      <c r="Z583" s="478">
        <f>210/400</f>
        <v>0.52500000000000002</v>
      </c>
      <c r="AA583" s="492">
        <f t="shared" si="108"/>
        <v>161280</v>
      </c>
      <c r="AB583" s="480"/>
      <c r="AC583" s="481">
        <f t="shared" si="109"/>
        <v>0</v>
      </c>
      <c r="AD583" s="490"/>
      <c r="AE583" s="482"/>
      <c r="AF583" s="493">
        <f t="shared" si="105"/>
        <v>161280</v>
      </c>
      <c r="AG583" s="474" t="s">
        <v>1071</v>
      </c>
      <c r="AH583" s="474"/>
      <c r="AI583" s="483" t="s">
        <v>2442</v>
      </c>
      <c r="AJ583" s="474" t="s">
        <v>4328</v>
      </c>
      <c r="AK583" s="494" t="s">
        <v>50</v>
      </c>
      <c r="AL583" s="474">
        <v>95834</v>
      </c>
      <c r="AM583" s="474" t="s">
        <v>52</v>
      </c>
      <c r="AN583" s="474"/>
      <c r="AO583" s="474"/>
      <c r="AP583" s="486"/>
      <c r="AQ583" s="486" t="s">
        <v>37</v>
      </c>
      <c r="AR583" s="486"/>
      <c r="AS583" s="495"/>
      <c r="AT583" s="495"/>
      <c r="AU583" s="378"/>
      <c r="AV583" s="478"/>
    </row>
    <row r="584" spans="1:48" s="471" customFormat="1" ht="15" customHeight="1">
      <c r="A584" s="472"/>
      <c r="B584" s="514">
        <v>44557</v>
      </c>
      <c r="C584" s="472"/>
      <c r="D584" s="512" t="s">
        <v>2322</v>
      </c>
      <c r="E584" s="501" t="s">
        <v>2726</v>
      </c>
      <c r="F584" s="501"/>
      <c r="G584" s="501">
        <v>2022</v>
      </c>
      <c r="H584" s="501" t="s">
        <v>1676</v>
      </c>
      <c r="I584" s="512" t="s">
        <v>1676</v>
      </c>
      <c r="J584" s="502"/>
      <c r="K584" s="503" t="s">
        <v>4568</v>
      </c>
      <c r="L584" s="501" t="s">
        <v>2551</v>
      </c>
      <c r="M584" s="504">
        <v>44545</v>
      </c>
      <c r="N584" s="504">
        <v>44875</v>
      </c>
      <c r="O584" s="504"/>
      <c r="P584" s="370"/>
      <c r="Q584" s="502"/>
      <c r="R584" s="502"/>
      <c r="S584" s="501" t="s">
        <v>1563</v>
      </c>
      <c r="T584" s="501">
        <v>60</v>
      </c>
      <c r="U584" s="371">
        <v>49401140</v>
      </c>
      <c r="V584" s="501" t="s">
        <v>973</v>
      </c>
      <c r="W584" s="501">
        <v>400</v>
      </c>
      <c r="X584" s="505">
        <v>768</v>
      </c>
      <c r="Y584" s="477">
        <f t="shared" si="104"/>
        <v>307200</v>
      </c>
      <c r="Z584" s="478">
        <f>210/400</f>
        <v>0.52500000000000002</v>
      </c>
      <c r="AA584" s="492">
        <f t="shared" si="108"/>
        <v>161280</v>
      </c>
      <c r="AB584" s="480"/>
      <c r="AC584" s="481">
        <f t="shared" si="109"/>
        <v>0</v>
      </c>
      <c r="AD584" s="490"/>
      <c r="AE584" s="482"/>
      <c r="AF584" s="493">
        <f t="shared" si="105"/>
        <v>161280</v>
      </c>
      <c r="AG584" s="474" t="s">
        <v>1071</v>
      </c>
      <c r="AH584" s="474"/>
      <c r="AI584" s="483" t="s">
        <v>2442</v>
      </c>
      <c r="AJ584" s="474" t="s">
        <v>1790</v>
      </c>
      <c r="AK584" s="494" t="s">
        <v>50</v>
      </c>
      <c r="AL584" s="474">
        <v>95834</v>
      </c>
      <c r="AM584" s="474" t="s">
        <v>52</v>
      </c>
      <c r="AN584" s="474"/>
      <c r="AO584" s="474"/>
      <c r="AP584" s="486"/>
      <c r="AQ584" s="486" t="s">
        <v>37</v>
      </c>
      <c r="AR584" s="486"/>
      <c r="AS584" s="495"/>
      <c r="AT584" s="495"/>
      <c r="AU584" s="378"/>
      <c r="AV584" s="478"/>
    </row>
    <row r="585" spans="1:48" s="471" customFormat="1" ht="15" customHeight="1">
      <c r="A585" s="472"/>
      <c r="B585" s="514">
        <v>44557</v>
      </c>
      <c r="C585" s="472"/>
      <c r="D585" s="512" t="s">
        <v>2322</v>
      </c>
      <c r="E585" s="501" t="s">
        <v>2726</v>
      </c>
      <c r="F585" s="501"/>
      <c r="G585" s="501">
        <v>2022</v>
      </c>
      <c r="H585" s="501" t="s">
        <v>1676</v>
      </c>
      <c r="I585" s="512" t="s">
        <v>1676</v>
      </c>
      <c r="J585" s="502"/>
      <c r="K585" s="503" t="s">
        <v>4569</v>
      </c>
      <c r="L585" s="501" t="s">
        <v>2551</v>
      </c>
      <c r="M585" s="504">
        <v>44545</v>
      </c>
      <c r="N585" s="504">
        <v>44880</v>
      </c>
      <c r="O585" s="504"/>
      <c r="P585" s="370"/>
      <c r="Q585" s="502"/>
      <c r="R585" s="502"/>
      <c r="S585" s="501" t="s">
        <v>1563</v>
      </c>
      <c r="T585" s="501">
        <v>60</v>
      </c>
      <c r="U585" s="371">
        <v>49401140</v>
      </c>
      <c r="V585" s="501" t="s">
        <v>973</v>
      </c>
      <c r="W585" s="501">
        <v>400</v>
      </c>
      <c r="X585" s="505">
        <v>768</v>
      </c>
      <c r="Y585" s="477">
        <f t="shared" si="104"/>
        <v>307200</v>
      </c>
      <c r="Z585" s="478">
        <f>210/400</f>
        <v>0.52500000000000002</v>
      </c>
      <c r="AA585" s="492">
        <f t="shared" si="108"/>
        <v>161280</v>
      </c>
      <c r="AB585" s="480"/>
      <c r="AC585" s="481">
        <f t="shared" si="109"/>
        <v>0</v>
      </c>
      <c r="AD585" s="490"/>
      <c r="AE585" s="482"/>
      <c r="AF585" s="493">
        <f t="shared" si="105"/>
        <v>161280</v>
      </c>
      <c r="AG585" s="474" t="s">
        <v>1071</v>
      </c>
      <c r="AH585" s="474"/>
      <c r="AI585" s="483" t="s">
        <v>2442</v>
      </c>
      <c r="AJ585" s="474" t="s">
        <v>1790</v>
      </c>
      <c r="AK585" s="494" t="s">
        <v>50</v>
      </c>
      <c r="AL585" s="474">
        <v>95834</v>
      </c>
      <c r="AM585" s="474" t="s">
        <v>52</v>
      </c>
      <c r="AN585" s="474"/>
      <c r="AO585" s="474"/>
      <c r="AP585" s="486"/>
      <c r="AQ585" s="486" t="s">
        <v>37</v>
      </c>
      <c r="AR585" s="486"/>
      <c r="AS585" s="495"/>
      <c r="AT585" s="495"/>
      <c r="AU585" s="378"/>
      <c r="AV585" s="478"/>
    </row>
    <row r="586" spans="1:48" s="471" customFormat="1" ht="15" customHeight="1">
      <c r="A586" s="472"/>
      <c r="B586" s="514">
        <v>44557</v>
      </c>
      <c r="C586" s="472"/>
      <c r="D586" s="512" t="s">
        <v>2322</v>
      </c>
      <c r="E586" s="501" t="s">
        <v>2726</v>
      </c>
      <c r="F586" s="501"/>
      <c r="G586" s="501">
        <v>2022</v>
      </c>
      <c r="H586" s="501" t="s">
        <v>1676</v>
      </c>
      <c r="I586" s="512" t="s">
        <v>1676</v>
      </c>
      <c r="J586" s="502"/>
      <c r="K586" s="503" t="s">
        <v>4570</v>
      </c>
      <c r="L586" s="501" t="s">
        <v>2551</v>
      </c>
      <c r="M586" s="504">
        <v>44545</v>
      </c>
      <c r="N586" s="504">
        <v>44880</v>
      </c>
      <c r="O586" s="504"/>
      <c r="P586" s="370"/>
      <c r="Q586" s="502"/>
      <c r="R586" s="502"/>
      <c r="S586" s="501" t="s">
        <v>1563</v>
      </c>
      <c r="T586" s="501">
        <v>60</v>
      </c>
      <c r="U586" s="371">
        <v>49201132</v>
      </c>
      <c r="V586" s="501" t="s">
        <v>986</v>
      </c>
      <c r="W586" s="501">
        <v>360</v>
      </c>
      <c r="X586" s="505">
        <v>832</v>
      </c>
      <c r="Y586" s="477">
        <f t="shared" si="104"/>
        <v>299520</v>
      </c>
      <c r="Z586" s="478">
        <f>181.8/360</f>
        <v>0.505</v>
      </c>
      <c r="AA586" s="492">
        <f t="shared" si="108"/>
        <v>151257.60000000001</v>
      </c>
      <c r="AB586" s="480"/>
      <c r="AC586" s="481">
        <f t="shared" si="109"/>
        <v>0</v>
      </c>
      <c r="AD586" s="490"/>
      <c r="AE586" s="482"/>
      <c r="AF586" s="493">
        <f t="shared" si="105"/>
        <v>151257.60000000001</v>
      </c>
      <c r="AG586" s="474" t="s">
        <v>1071</v>
      </c>
      <c r="AH586" s="474"/>
      <c r="AI586" s="483" t="s">
        <v>2442</v>
      </c>
      <c r="AJ586" s="474" t="s">
        <v>4328</v>
      </c>
      <c r="AK586" s="494" t="s">
        <v>50</v>
      </c>
      <c r="AL586" s="474">
        <v>95834</v>
      </c>
      <c r="AM586" s="474" t="s">
        <v>52</v>
      </c>
      <c r="AN586" s="474"/>
      <c r="AO586" s="474"/>
      <c r="AP586" s="486"/>
      <c r="AQ586" s="486" t="s">
        <v>37</v>
      </c>
      <c r="AR586" s="486"/>
      <c r="AS586" s="495"/>
      <c r="AT586" s="495"/>
      <c r="AU586" s="378"/>
      <c r="AV586" s="478"/>
    </row>
    <row r="587" spans="1:48" s="471" customFormat="1" ht="15" customHeight="1">
      <c r="A587" s="472"/>
      <c r="B587" s="514">
        <v>44557</v>
      </c>
      <c r="C587" s="472"/>
      <c r="D587" s="512" t="s">
        <v>2322</v>
      </c>
      <c r="E587" s="501" t="s">
        <v>2726</v>
      </c>
      <c r="F587" s="501"/>
      <c r="G587" s="501">
        <v>2022</v>
      </c>
      <c r="H587" s="501" t="s">
        <v>1676</v>
      </c>
      <c r="I587" s="512" t="s">
        <v>1676</v>
      </c>
      <c r="J587" s="502"/>
      <c r="K587" s="503" t="s">
        <v>4571</v>
      </c>
      <c r="L587" s="501" t="s">
        <v>2551</v>
      </c>
      <c r="M587" s="504">
        <v>44545</v>
      </c>
      <c r="N587" s="504">
        <v>44885</v>
      </c>
      <c r="O587" s="504"/>
      <c r="P587" s="370"/>
      <c r="Q587" s="502"/>
      <c r="R587" s="502"/>
      <c r="S587" s="501" t="s">
        <v>1563</v>
      </c>
      <c r="T587" s="501">
        <v>60</v>
      </c>
      <c r="U587" s="371">
        <v>49401140</v>
      </c>
      <c r="V587" s="501" t="s">
        <v>973</v>
      </c>
      <c r="W587" s="501">
        <v>400</v>
      </c>
      <c r="X587" s="505">
        <v>768</v>
      </c>
      <c r="Y587" s="477">
        <f t="shared" si="104"/>
        <v>307200</v>
      </c>
      <c r="Z587" s="478">
        <f>210/400</f>
        <v>0.52500000000000002</v>
      </c>
      <c r="AA587" s="492">
        <f t="shared" si="108"/>
        <v>161280</v>
      </c>
      <c r="AB587" s="480"/>
      <c r="AC587" s="481">
        <f t="shared" si="109"/>
        <v>0</v>
      </c>
      <c r="AD587" s="490"/>
      <c r="AE587" s="482"/>
      <c r="AF587" s="493">
        <f t="shared" si="105"/>
        <v>161280</v>
      </c>
      <c r="AG587" s="474" t="s">
        <v>1071</v>
      </c>
      <c r="AH587" s="474"/>
      <c r="AI587" s="483" t="s">
        <v>2442</v>
      </c>
      <c r="AJ587" s="474" t="s">
        <v>1790</v>
      </c>
      <c r="AK587" s="494" t="s">
        <v>50</v>
      </c>
      <c r="AL587" s="474">
        <v>95834</v>
      </c>
      <c r="AM587" s="474" t="s">
        <v>52</v>
      </c>
      <c r="AN587" s="474"/>
      <c r="AO587" s="474"/>
      <c r="AP587" s="486"/>
      <c r="AQ587" s="486" t="s">
        <v>37</v>
      </c>
      <c r="AR587" s="486"/>
      <c r="AS587" s="495"/>
      <c r="AT587" s="495"/>
      <c r="AU587" s="378"/>
      <c r="AV587" s="478"/>
    </row>
    <row r="588" spans="1:48" s="471" customFormat="1" ht="15" customHeight="1">
      <c r="A588" s="472"/>
      <c r="B588" s="514">
        <v>44557</v>
      </c>
      <c r="C588" s="472"/>
      <c r="D588" s="512" t="s">
        <v>2322</v>
      </c>
      <c r="E588" s="501" t="s">
        <v>2726</v>
      </c>
      <c r="F588" s="501"/>
      <c r="G588" s="501">
        <v>2022</v>
      </c>
      <c r="H588" s="501" t="s">
        <v>1676</v>
      </c>
      <c r="I588" s="512" t="s">
        <v>1676</v>
      </c>
      <c r="J588" s="502"/>
      <c r="K588" s="503" t="s">
        <v>4572</v>
      </c>
      <c r="L588" s="501" t="s">
        <v>2551</v>
      </c>
      <c r="M588" s="504">
        <v>44545</v>
      </c>
      <c r="N588" s="504">
        <v>44899</v>
      </c>
      <c r="O588" s="504"/>
      <c r="P588" s="370"/>
      <c r="Q588" s="502"/>
      <c r="R588" s="502"/>
      <c r="S588" s="501" t="s">
        <v>1563</v>
      </c>
      <c r="T588" s="501">
        <v>60</v>
      </c>
      <c r="U588" s="371">
        <v>49401140</v>
      </c>
      <c r="V588" s="501" t="s">
        <v>973</v>
      </c>
      <c r="W588" s="501">
        <v>400</v>
      </c>
      <c r="X588" s="505">
        <v>768</v>
      </c>
      <c r="Y588" s="477">
        <f t="shared" si="104"/>
        <v>307200</v>
      </c>
      <c r="Z588" s="478">
        <f>210/400</f>
        <v>0.52500000000000002</v>
      </c>
      <c r="AA588" s="492">
        <f t="shared" si="108"/>
        <v>161280</v>
      </c>
      <c r="AB588" s="480"/>
      <c r="AC588" s="481">
        <f t="shared" si="109"/>
        <v>0</v>
      </c>
      <c r="AD588" s="490"/>
      <c r="AE588" s="482"/>
      <c r="AF588" s="493">
        <f t="shared" si="105"/>
        <v>161280</v>
      </c>
      <c r="AG588" s="474" t="s">
        <v>1071</v>
      </c>
      <c r="AH588" s="474"/>
      <c r="AI588" s="483" t="s">
        <v>2442</v>
      </c>
      <c r="AJ588" s="474" t="s">
        <v>1790</v>
      </c>
      <c r="AK588" s="494" t="s">
        <v>50</v>
      </c>
      <c r="AL588" s="474">
        <v>95834</v>
      </c>
      <c r="AM588" s="474" t="s">
        <v>52</v>
      </c>
      <c r="AN588" s="474"/>
      <c r="AO588" s="474"/>
      <c r="AP588" s="486"/>
      <c r="AQ588" s="486" t="s">
        <v>37</v>
      </c>
      <c r="AR588" s="486"/>
      <c r="AS588" s="495"/>
      <c r="AT588" s="495"/>
      <c r="AU588" s="378"/>
      <c r="AV588" s="478"/>
    </row>
    <row r="589" spans="1:48" s="471" customFormat="1" ht="15" customHeight="1">
      <c r="A589" s="472"/>
      <c r="B589" s="514">
        <v>44557</v>
      </c>
      <c r="C589" s="472"/>
      <c r="D589" s="512" t="s">
        <v>2322</v>
      </c>
      <c r="E589" s="501" t="s">
        <v>2726</v>
      </c>
      <c r="F589" s="501"/>
      <c r="G589" s="501">
        <v>2022</v>
      </c>
      <c r="H589" s="501" t="s">
        <v>1676</v>
      </c>
      <c r="I589" s="512" t="s">
        <v>1676</v>
      </c>
      <c r="J589" s="502"/>
      <c r="K589" s="503" t="s">
        <v>4573</v>
      </c>
      <c r="L589" s="501" t="s">
        <v>2551</v>
      </c>
      <c r="M589" s="504">
        <v>44545</v>
      </c>
      <c r="N589" s="504">
        <v>44900</v>
      </c>
      <c r="O589" s="504"/>
      <c r="P589" s="370"/>
      <c r="Q589" s="502"/>
      <c r="R589" s="502"/>
      <c r="S589" s="501" t="s">
        <v>1563</v>
      </c>
      <c r="T589" s="501">
        <v>60</v>
      </c>
      <c r="U589" s="371">
        <v>49201132</v>
      </c>
      <c r="V589" s="501" t="s">
        <v>986</v>
      </c>
      <c r="W589" s="501">
        <v>360</v>
      </c>
      <c r="X589" s="505">
        <v>832</v>
      </c>
      <c r="Y589" s="477">
        <f t="shared" si="104"/>
        <v>299520</v>
      </c>
      <c r="Z589" s="478">
        <f>181.8/360</f>
        <v>0.505</v>
      </c>
      <c r="AA589" s="492">
        <f t="shared" si="108"/>
        <v>151257.60000000001</v>
      </c>
      <c r="AB589" s="480"/>
      <c r="AC589" s="481">
        <f t="shared" si="109"/>
        <v>0</v>
      </c>
      <c r="AD589" s="490"/>
      <c r="AE589" s="482"/>
      <c r="AF589" s="493">
        <f t="shared" si="105"/>
        <v>151257.60000000001</v>
      </c>
      <c r="AG589" s="474" t="s">
        <v>1071</v>
      </c>
      <c r="AH589" s="474"/>
      <c r="AI589" s="483" t="s">
        <v>2442</v>
      </c>
      <c r="AJ589" s="474" t="s">
        <v>1790</v>
      </c>
      <c r="AK589" s="494" t="s">
        <v>50</v>
      </c>
      <c r="AL589" s="474">
        <v>95834</v>
      </c>
      <c r="AM589" s="474" t="s">
        <v>52</v>
      </c>
      <c r="AN589" s="474"/>
      <c r="AO589" s="474"/>
      <c r="AP589" s="486"/>
      <c r="AQ589" s="486" t="s">
        <v>37</v>
      </c>
      <c r="AR589" s="486"/>
      <c r="AS589" s="495"/>
      <c r="AT589" s="495"/>
      <c r="AU589" s="378"/>
      <c r="AV589" s="478"/>
    </row>
    <row r="590" spans="1:48" s="471" customFormat="1" ht="15" customHeight="1">
      <c r="A590" s="472"/>
      <c r="B590" s="514">
        <v>44557</v>
      </c>
      <c r="C590" s="472"/>
      <c r="D590" s="512" t="s">
        <v>2322</v>
      </c>
      <c r="E590" s="501" t="s">
        <v>2726</v>
      </c>
      <c r="F590" s="501"/>
      <c r="G590" s="501">
        <v>2022</v>
      </c>
      <c r="H590" s="501" t="s">
        <v>1676</v>
      </c>
      <c r="I590" s="512" t="s">
        <v>1676</v>
      </c>
      <c r="J590" s="502"/>
      <c r="K590" s="503" t="s">
        <v>4574</v>
      </c>
      <c r="L590" s="501" t="s">
        <v>2551</v>
      </c>
      <c r="M590" s="504">
        <v>44545</v>
      </c>
      <c r="N590" s="504">
        <v>44905</v>
      </c>
      <c r="O590" s="504"/>
      <c r="P590" s="370"/>
      <c r="Q590" s="502"/>
      <c r="R590" s="502"/>
      <c r="S590" s="501" t="s">
        <v>1563</v>
      </c>
      <c r="T590" s="501">
        <v>60</v>
      </c>
      <c r="U590" s="371">
        <v>49401140</v>
      </c>
      <c r="V590" s="501" t="s">
        <v>973</v>
      </c>
      <c r="W590" s="501">
        <v>400</v>
      </c>
      <c r="X590" s="505">
        <v>768</v>
      </c>
      <c r="Y590" s="477">
        <f t="shared" si="104"/>
        <v>307200</v>
      </c>
      <c r="Z590" s="478">
        <f>210/400</f>
        <v>0.52500000000000002</v>
      </c>
      <c r="AA590" s="492">
        <f t="shared" si="108"/>
        <v>161280</v>
      </c>
      <c r="AB590" s="480"/>
      <c r="AC590" s="481">
        <f t="shared" si="109"/>
        <v>0</v>
      </c>
      <c r="AD590" s="490"/>
      <c r="AE590" s="482"/>
      <c r="AF590" s="493">
        <f t="shared" si="105"/>
        <v>161280</v>
      </c>
      <c r="AG590" s="474" t="s">
        <v>1071</v>
      </c>
      <c r="AH590" s="474"/>
      <c r="AI590" s="483" t="s">
        <v>2442</v>
      </c>
      <c r="AJ590" s="474" t="s">
        <v>1790</v>
      </c>
      <c r="AK590" s="494" t="s">
        <v>50</v>
      </c>
      <c r="AL590" s="474">
        <v>95834</v>
      </c>
      <c r="AM590" s="474" t="s">
        <v>52</v>
      </c>
      <c r="AN590" s="474"/>
      <c r="AO590" s="474"/>
      <c r="AP590" s="486"/>
      <c r="AQ590" s="486" t="s">
        <v>37</v>
      </c>
      <c r="AR590" s="486"/>
      <c r="AS590" s="495"/>
      <c r="AT590" s="495"/>
      <c r="AU590" s="378"/>
      <c r="AV590" s="478"/>
    </row>
    <row r="591" spans="1:48" s="471" customFormat="1" ht="15" customHeight="1">
      <c r="A591" s="472"/>
      <c r="B591" s="514">
        <v>44557</v>
      </c>
      <c r="C591" s="472"/>
      <c r="D591" s="512" t="s">
        <v>2322</v>
      </c>
      <c r="E591" s="501" t="s">
        <v>2726</v>
      </c>
      <c r="F591" s="501"/>
      <c r="G591" s="501">
        <v>2022</v>
      </c>
      <c r="H591" s="501" t="s">
        <v>1676</v>
      </c>
      <c r="I591" s="512" t="s">
        <v>1676</v>
      </c>
      <c r="J591" s="502"/>
      <c r="K591" s="503" t="s">
        <v>4575</v>
      </c>
      <c r="L591" s="501" t="s">
        <v>2551</v>
      </c>
      <c r="M591" s="504">
        <v>44545</v>
      </c>
      <c r="N591" s="504">
        <v>44908</v>
      </c>
      <c r="O591" s="504"/>
      <c r="P591" s="370"/>
      <c r="Q591" s="502"/>
      <c r="R591" s="502"/>
      <c r="S591" s="501" t="s">
        <v>1563</v>
      </c>
      <c r="T591" s="501">
        <v>60</v>
      </c>
      <c r="U591" s="371">
        <v>49401140</v>
      </c>
      <c r="V591" s="501" t="s">
        <v>973</v>
      </c>
      <c r="W591" s="501">
        <v>400</v>
      </c>
      <c r="X591" s="505">
        <v>768</v>
      </c>
      <c r="Y591" s="477">
        <f t="shared" si="104"/>
        <v>307200</v>
      </c>
      <c r="Z591" s="478">
        <f>210/400</f>
        <v>0.52500000000000002</v>
      </c>
      <c r="AA591" s="492">
        <f t="shared" si="108"/>
        <v>161280</v>
      </c>
      <c r="AB591" s="480"/>
      <c r="AC591" s="481">
        <f t="shared" si="109"/>
        <v>0</v>
      </c>
      <c r="AD591" s="490"/>
      <c r="AE591" s="482"/>
      <c r="AF591" s="493">
        <f t="shared" si="105"/>
        <v>161280</v>
      </c>
      <c r="AG591" s="474" t="s">
        <v>1071</v>
      </c>
      <c r="AH591" s="474"/>
      <c r="AI591" s="483" t="s">
        <v>2442</v>
      </c>
      <c r="AJ591" s="474" t="s">
        <v>1790</v>
      </c>
      <c r="AK591" s="494" t="s">
        <v>50</v>
      </c>
      <c r="AL591" s="474">
        <v>95834</v>
      </c>
      <c r="AM591" s="474" t="s">
        <v>52</v>
      </c>
      <c r="AN591" s="474"/>
      <c r="AO591" s="474"/>
      <c r="AP591" s="486"/>
      <c r="AQ591" s="486" t="s">
        <v>37</v>
      </c>
      <c r="AR591" s="486"/>
      <c r="AS591" s="495"/>
      <c r="AT591" s="495"/>
      <c r="AU591" s="378"/>
      <c r="AV591" s="478"/>
    </row>
    <row r="592" spans="1:48" s="471" customFormat="1" ht="15" customHeight="1">
      <c r="A592" s="472"/>
      <c r="B592" s="514">
        <v>44522</v>
      </c>
      <c r="C592" s="472"/>
      <c r="D592" s="512" t="s">
        <v>2322</v>
      </c>
      <c r="E592" s="501" t="s">
        <v>2726</v>
      </c>
      <c r="F592" s="501"/>
      <c r="G592" s="501">
        <v>2022</v>
      </c>
      <c r="H592" s="501" t="s">
        <v>1676</v>
      </c>
      <c r="I592" s="512" t="s">
        <v>1676</v>
      </c>
      <c r="J592" s="502"/>
      <c r="K592" s="503" t="s">
        <v>4576</v>
      </c>
      <c r="L592" s="501" t="s">
        <v>2459</v>
      </c>
      <c r="M592" s="504">
        <v>44505</v>
      </c>
      <c r="N592" s="504">
        <v>44732</v>
      </c>
      <c r="O592" s="504"/>
      <c r="P592" s="370"/>
      <c r="Q592" s="502"/>
      <c r="R592" s="502"/>
      <c r="S592" s="501" t="s">
        <v>1563</v>
      </c>
      <c r="T592" s="501">
        <v>60</v>
      </c>
      <c r="U592" s="371">
        <v>49401140</v>
      </c>
      <c r="V592" s="501" t="s">
        <v>973</v>
      </c>
      <c r="W592" s="501">
        <v>400</v>
      </c>
      <c r="X592" s="505">
        <v>768</v>
      </c>
      <c r="Y592" s="477">
        <f t="shared" si="104"/>
        <v>307200</v>
      </c>
      <c r="Z592" s="478">
        <f>222/400</f>
        <v>0.55500000000000005</v>
      </c>
      <c r="AA592" s="492">
        <f t="shared" si="108"/>
        <v>170496.00000000003</v>
      </c>
      <c r="AB592" s="480"/>
      <c r="AC592" s="481">
        <f t="shared" si="109"/>
        <v>0</v>
      </c>
      <c r="AD592" s="490"/>
      <c r="AE592" s="482"/>
      <c r="AF592" s="493">
        <f t="shared" si="105"/>
        <v>170496.00000000003</v>
      </c>
      <c r="AG592" s="474" t="s">
        <v>1071</v>
      </c>
      <c r="AH592" s="474"/>
      <c r="AI592" s="483" t="s">
        <v>2442</v>
      </c>
      <c r="AJ592" s="474" t="s">
        <v>2472</v>
      </c>
      <c r="AK592" s="494" t="s">
        <v>1133</v>
      </c>
      <c r="AL592" s="474" t="s">
        <v>2578</v>
      </c>
      <c r="AM592" s="474" t="s">
        <v>52</v>
      </c>
      <c r="AN592" s="474"/>
      <c r="AO592" s="474"/>
      <c r="AP592" s="486"/>
      <c r="AQ592" s="486" t="s">
        <v>37</v>
      </c>
      <c r="AR592" s="486"/>
      <c r="AS592" s="495"/>
      <c r="AT592" s="495"/>
      <c r="AU592" s="378"/>
      <c r="AV592" s="478"/>
    </row>
    <row r="593" spans="1:48" s="471" customFormat="1" ht="15" customHeight="1">
      <c r="A593" s="472"/>
      <c r="B593" s="514">
        <v>44557</v>
      </c>
      <c r="C593" s="472"/>
      <c r="D593" s="512" t="s">
        <v>2322</v>
      </c>
      <c r="E593" s="501" t="s">
        <v>2726</v>
      </c>
      <c r="F593" s="501"/>
      <c r="G593" s="501">
        <v>2022</v>
      </c>
      <c r="H593" s="501" t="s">
        <v>1676</v>
      </c>
      <c r="I593" s="512" t="s">
        <v>1676</v>
      </c>
      <c r="J593" s="502"/>
      <c r="K593" s="503" t="s">
        <v>4577</v>
      </c>
      <c r="L593" s="501" t="s">
        <v>2551</v>
      </c>
      <c r="M593" s="504">
        <v>44544</v>
      </c>
      <c r="N593" s="504">
        <v>44686</v>
      </c>
      <c r="O593" s="504"/>
      <c r="P593" s="370"/>
      <c r="Q593" s="502"/>
      <c r="R593" s="502"/>
      <c r="S593" s="501" t="s">
        <v>1563</v>
      </c>
      <c r="T593" s="501">
        <v>60</v>
      </c>
      <c r="U593" s="371">
        <v>49401140</v>
      </c>
      <c r="V593" s="501" t="s">
        <v>973</v>
      </c>
      <c r="W593" s="501">
        <v>400</v>
      </c>
      <c r="X593" s="505">
        <v>768</v>
      </c>
      <c r="Y593" s="477">
        <f t="shared" si="104"/>
        <v>307200</v>
      </c>
      <c r="Z593" s="478">
        <f t="shared" ref="Z593:Z602" si="110">210/400</f>
        <v>0.52500000000000002</v>
      </c>
      <c r="AA593" s="492">
        <f t="shared" si="108"/>
        <v>161280</v>
      </c>
      <c r="AB593" s="480"/>
      <c r="AC593" s="481">
        <f t="shared" si="109"/>
        <v>0</v>
      </c>
      <c r="AD593" s="490"/>
      <c r="AE593" s="482"/>
      <c r="AF593" s="493">
        <f t="shared" si="105"/>
        <v>161280</v>
      </c>
      <c r="AG593" s="474" t="s">
        <v>1071</v>
      </c>
      <c r="AH593" s="474"/>
      <c r="AI593" s="483" t="s">
        <v>2442</v>
      </c>
      <c r="AJ593" s="474" t="s">
        <v>1860</v>
      </c>
      <c r="AK593" s="494" t="s">
        <v>50</v>
      </c>
      <c r="AL593" s="474">
        <v>93722</v>
      </c>
      <c r="AM593" s="474" t="s">
        <v>52</v>
      </c>
      <c r="AN593" s="474"/>
      <c r="AO593" s="474"/>
      <c r="AP593" s="486"/>
      <c r="AQ593" s="486" t="s">
        <v>37</v>
      </c>
      <c r="AR593" s="486"/>
      <c r="AS593" s="495"/>
      <c r="AT593" s="495"/>
      <c r="AU593" s="378"/>
      <c r="AV593" s="478"/>
    </row>
    <row r="594" spans="1:48" s="471" customFormat="1" ht="15" customHeight="1">
      <c r="A594" s="472"/>
      <c r="B594" s="514">
        <v>44557</v>
      </c>
      <c r="C594" s="472"/>
      <c r="D594" s="512" t="s">
        <v>2322</v>
      </c>
      <c r="E594" s="501" t="s">
        <v>2726</v>
      </c>
      <c r="F594" s="501"/>
      <c r="G594" s="501">
        <v>2022</v>
      </c>
      <c r="H594" s="501" t="s">
        <v>1676</v>
      </c>
      <c r="I594" s="512" t="s">
        <v>1676</v>
      </c>
      <c r="J594" s="502"/>
      <c r="K594" s="503" t="s">
        <v>4578</v>
      </c>
      <c r="L594" s="501" t="s">
        <v>2551</v>
      </c>
      <c r="M594" s="504">
        <v>44544</v>
      </c>
      <c r="N594" s="504">
        <v>44752</v>
      </c>
      <c r="O594" s="504"/>
      <c r="P594" s="370"/>
      <c r="Q594" s="502"/>
      <c r="R594" s="502"/>
      <c r="S594" s="501" t="s">
        <v>1563</v>
      </c>
      <c r="T594" s="501">
        <v>60</v>
      </c>
      <c r="U594" s="371">
        <v>49401140</v>
      </c>
      <c r="V594" s="501" t="s">
        <v>973</v>
      </c>
      <c r="W594" s="501">
        <v>400</v>
      </c>
      <c r="X594" s="505">
        <v>768</v>
      </c>
      <c r="Y594" s="477">
        <f t="shared" si="104"/>
        <v>307200</v>
      </c>
      <c r="Z594" s="478">
        <f t="shared" si="110"/>
        <v>0.52500000000000002</v>
      </c>
      <c r="AA594" s="492">
        <f t="shared" si="108"/>
        <v>161280</v>
      </c>
      <c r="AB594" s="480"/>
      <c r="AC594" s="481">
        <f t="shared" si="109"/>
        <v>0</v>
      </c>
      <c r="AD594" s="490"/>
      <c r="AE594" s="482"/>
      <c r="AF594" s="493">
        <f t="shared" si="105"/>
        <v>161280</v>
      </c>
      <c r="AG594" s="474" t="s">
        <v>1071</v>
      </c>
      <c r="AH594" s="474"/>
      <c r="AI594" s="483" t="s">
        <v>2442</v>
      </c>
      <c r="AJ594" s="474" t="s">
        <v>1860</v>
      </c>
      <c r="AK594" s="494" t="s">
        <v>50</v>
      </c>
      <c r="AL594" s="474">
        <v>93722</v>
      </c>
      <c r="AM594" s="474" t="s">
        <v>52</v>
      </c>
      <c r="AN594" s="474"/>
      <c r="AO594" s="474"/>
      <c r="AP594" s="486"/>
      <c r="AQ594" s="486" t="s">
        <v>37</v>
      </c>
      <c r="AR594" s="486"/>
      <c r="AS594" s="495"/>
      <c r="AT594" s="495"/>
      <c r="AU594" s="378"/>
      <c r="AV594" s="478"/>
    </row>
    <row r="595" spans="1:48" s="471" customFormat="1" ht="15" customHeight="1">
      <c r="A595" s="472"/>
      <c r="B595" s="514">
        <v>44557</v>
      </c>
      <c r="C595" s="472"/>
      <c r="D595" s="512" t="s">
        <v>2322</v>
      </c>
      <c r="E595" s="501" t="s">
        <v>2726</v>
      </c>
      <c r="F595" s="501"/>
      <c r="G595" s="501">
        <v>2022</v>
      </c>
      <c r="H595" s="501" t="s">
        <v>1676</v>
      </c>
      <c r="I595" s="512" t="s">
        <v>1676</v>
      </c>
      <c r="J595" s="502"/>
      <c r="K595" s="503" t="s">
        <v>4579</v>
      </c>
      <c r="L595" s="501" t="s">
        <v>2551</v>
      </c>
      <c r="M595" s="504">
        <v>44544</v>
      </c>
      <c r="N595" s="504">
        <v>44781</v>
      </c>
      <c r="O595" s="504"/>
      <c r="P595" s="370"/>
      <c r="Q595" s="502"/>
      <c r="R595" s="502"/>
      <c r="S595" s="501" t="s">
        <v>1563</v>
      </c>
      <c r="T595" s="501">
        <v>60</v>
      </c>
      <c r="U595" s="371">
        <v>49401140</v>
      </c>
      <c r="V595" s="501" t="s">
        <v>973</v>
      </c>
      <c r="W595" s="501">
        <v>400</v>
      </c>
      <c r="X595" s="505">
        <v>768</v>
      </c>
      <c r="Y595" s="477">
        <f t="shared" si="104"/>
        <v>307200</v>
      </c>
      <c r="Z595" s="478">
        <f t="shared" si="110"/>
        <v>0.52500000000000002</v>
      </c>
      <c r="AA595" s="492">
        <f t="shared" si="108"/>
        <v>161280</v>
      </c>
      <c r="AB595" s="480"/>
      <c r="AC595" s="481">
        <f t="shared" si="109"/>
        <v>0</v>
      </c>
      <c r="AD595" s="490"/>
      <c r="AE595" s="482"/>
      <c r="AF595" s="493">
        <f t="shared" si="105"/>
        <v>161280</v>
      </c>
      <c r="AG595" s="474" t="s">
        <v>1071</v>
      </c>
      <c r="AH595" s="474"/>
      <c r="AI595" s="483" t="s">
        <v>2442</v>
      </c>
      <c r="AJ595" s="474" t="s">
        <v>1860</v>
      </c>
      <c r="AK595" s="494" t="s">
        <v>50</v>
      </c>
      <c r="AL595" s="474">
        <v>93722</v>
      </c>
      <c r="AM595" s="474" t="s">
        <v>52</v>
      </c>
      <c r="AN595" s="474"/>
      <c r="AO595" s="474"/>
      <c r="AP595" s="486"/>
      <c r="AQ595" s="486" t="s">
        <v>37</v>
      </c>
      <c r="AR595" s="486"/>
      <c r="AS595" s="495"/>
      <c r="AT595" s="495"/>
      <c r="AU595" s="378"/>
      <c r="AV595" s="478"/>
    </row>
    <row r="596" spans="1:48" s="471" customFormat="1" ht="15" customHeight="1">
      <c r="A596" s="472"/>
      <c r="B596" s="514">
        <v>44557</v>
      </c>
      <c r="C596" s="472"/>
      <c r="D596" s="512" t="s">
        <v>2322</v>
      </c>
      <c r="E596" s="501" t="s">
        <v>2726</v>
      </c>
      <c r="F596" s="501"/>
      <c r="G596" s="501">
        <v>2022</v>
      </c>
      <c r="H596" s="501" t="s">
        <v>1676</v>
      </c>
      <c r="I596" s="512" t="s">
        <v>1676</v>
      </c>
      <c r="J596" s="502"/>
      <c r="K596" s="503" t="s">
        <v>4580</v>
      </c>
      <c r="L596" s="501" t="s">
        <v>2551</v>
      </c>
      <c r="M596" s="504">
        <v>44544</v>
      </c>
      <c r="N596" s="504">
        <v>44789</v>
      </c>
      <c r="O596" s="504"/>
      <c r="P596" s="370"/>
      <c r="Q596" s="502"/>
      <c r="R596" s="502"/>
      <c r="S596" s="501" t="s">
        <v>1563</v>
      </c>
      <c r="T596" s="501">
        <v>60</v>
      </c>
      <c r="U596" s="371">
        <v>49401140</v>
      </c>
      <c r="V596" s="501" t="s">
        <v>973</v>
      </c>
      <c r="W596" s="501">
        <v>400</v>
      </c>
      <c r="X596" s="505">
        <v>768</v>
      </c>
      <c r="Y596" s="477">
        <f t="shared" si="104"/>
        <v>307200</v>
      </c>
      <c r="Z596" s="478">
        <f t="shared" si="110"/>
        <v>0.52500000000000002</v>
      </c>
      <c r="AA596" s="492">
        <f t="shared" si="108"/>
        <v>161280</v>
      </c>
      <c r="AB596" s="480"/>
      <c r="AC596" s="481">
        <f t="shared" si="109"/>
        <v>0</v>
      </c>
      <c r="AD596" s="490"/>
      <c r="AE596" s="482"/>
      <c r="AF596" s="493">
        <f t="shared" si="105"/>
        <v>161280</v>
      </c>
      <c r="AG596" s="474" t="s">
        <v>1071</v>
      </c>
      <c r="AH596" s="474"/>
      <c r="AI596" s="483" t="s">
        <v>2442</v>
      </c>
      <c r="AJ596" s="474" t="s">
        <v>1860</v>
      </c>
      <c r="AK596" s="494" t="s">
        <v>50</v>
      </c>
      <c r="AL596" s="474">
        <v>93722</v>
      </c>
      <c r="AM596" s="474" t="s">
        <v>52</v>
      </c>
      <c r="AN596" s="474"/>
      <c r="AO596" s="474"/>
      <c r="AP596" s="486"/>
      <c r="AQ596" s="486" t="s">
        <v>37</v>
      </c>
      <c r="AR596" s="486"/>
      <c r="AS596" s="495"/>
      <c r="AT596" s="495"/>
      <c r="AU596" s="378"/>
      <c r="AV596" s="478"/>
    </row>
    <row r="597" spans="1:48" s="471" customFormat="1" ht="15" customHeight="1">
      <c r="A597" s="472"/>
      <c r="B597" s="514">
        <v>44557</v>
      </c>
      <c r="C597" s="472"/>
      <c r="D597" s="512" t="s">
        <v>2322</v>
      </c>
      <c r="E597" s="501" t="s">
        <v>2726</v>
      </c>
      <c r="F597" s="501"/>
      <c r="G597" s="501">
        <v>2022</v>
      </c>
      <c r="H597" s="501" t="s">
        <v>1676</v>
      </c>
      <c r="I597" s="512" t="s">
        <v>1676</v>
      </c>
      <c r="J597" s="502"/>
      <c r="K597" s="503" t="s">
        <v>4581</v>
      </c>
      <c r="L597" s="501" t="s">
        <v>2551</v>
      </c>
      <c r="M597" s="504">
        <v>44545</v>
      </c>
      <c r="N597" s="504">
        <v>44814</v>
      </c>
      <c r="O597" s="504"/>
      <c r="P597" s="370"/>
      <c r="Q597" s="502"/>
      <c r="R597" s="502"/>
      <c r="S597" s="501" t="s">
        <v>1563</v>
      </c>
      <c r="T597" s="501">
        <v>60</v>
      </c>
      <c r="U597" s="371">
        <v>49401140</v>
      </c>
      <c r="V597" s="501" t="s">
        <v>973</v>
      </c>
      <c r="W597" s="501">
        <v>400</v>
      </c>
      <c r="X597" s="505">
        <v>768</v>
      </c>
      <c r="Y597" s="477">
        <f t="shared" si="104"/>
        <v>307200</v>
      </c>
      <c r="Z597" s="478">
        <f t="shared" si="110"/>
        <v>0.52500000000000002</v>
      </c>
      <c r="AA597" s="492">
        <f t="shared" si="108"/>
        <v>161280</v>
      </c>
      <c r="AB597" s="480"/>
      <c r="AC597" s="481">
        <f t="shared" si="109"/>
        <v>0</v>
      </c>
      <c r="AD597" s="490"/>
      <c r="AE597" s="482"/>
      <c r="AF597" s="493">
        <f t="shared" si="105"/>
        <v>161280</v>
      </c>
      <c r="AG597" s="474" t="s">
        <v>1071</v>
      </c>
      <c r="AH597" s="474"/>
      <c r="AI597" s="483" t="s">
        <v>2442</v>
      </c>
      <c r="AJ597" s="474" t="s">
        <v>1860</v>
      </c>
      <c r="AK597" s="494" t="s">
        <v>50</v>
      </c>
      <c r="AL597" s="474">
        <v>93722</v>
      </c>
      <c r="AM597" s="474" t="s">
        <v>52</v>
      </c>
      <c r="AN597" s="474"/>
      <c r="AO597" s="474"/>
      <c r="AP597" s="486"/>
      <c r="AQ597" s="486" t="s">
        <v>37</v>
      </c>
      <c r="AR597" s="486"/>
      <c r="AS597" s="495"/>
      <c r="AT597" s="495"/>
      <c r="AU597" s="378"/>
      <c r="AV597" s="478"/>
    </row>
    <row r="598" spans="1:48" s="471" customFormat="1" ht="15" customHeight="1">
      <c r="A598" s="472"/>
      <c r="B598" s="514">
        <v>44557</v>
      </c>
      <c r="C598" s="472"/>
      <c r="D598" s="512" t="s">
        <v>2322</v>
      </c>
      <c r="E598" s="501" t="s">
        <v>2726</v>
      </c>
      <c r="F598" s="501"/>
      <c r="G598" s="501">
        <v>2022</v>
      </c>
      <c r="H598" s="501" t="s">
        <v>1676</v>
      </c>
      <c r="I598" s="512" t="s">
        <v>1676</v>
      </c>
      <c r="J598" s="502"/>
      <c r="K598" s="503" t="s">
        <v>4582</v>
      </c>
      <c r="L598" s="501" t="s">
        <v>2551</v>
      </c>
      <c r="M598" s="504">
        <v>44545</v>
      </c>
      <c r="N598" s="504">
        <v>44839</v>
      </c>
      <c r="O598" s="504"/>
      <c r="P598" s="370"/>
      <c r="Q598" s="502"/>
      <c r="R598" s="502"/>
      <c r="S598" s="501" t="s">
        <v>1563</v>
      </c>
      <c r="T598" s="501">
        <v>60</v>
      </c>
      <c r="U598" s="371">
        <v>49401140</v>
      </c>
      <c r="V598" s="501" t="s">
        <v>973</v>
      </c>
      <c r="W598" s="501">
        <v>400</v>
      </c>
      <c r="X598" s="505">
        <v>768</v>
      </c>
      <c r="Y598" s="477">
        <f t="shared" ref="Y598:Y661" si="111">X598*W598</f>
        <v>307200</v>
      </c>
      <c r="Z598" s="478">
        <f t="shared" si="110"/>
        <v>0.52500000000000002</v>
      </c>
      <c r="AA598" s="492">
        <f t="shared" si="108"/>
        <v>161280</v>
      </c>
      <c r="AB598" s="480"/>
      <c r="AC598" s="481">
        <f t="shared" si="109"/>
        <v>0</v>
      </c>
      <c r="AD598" s="490"/>
      <c r="AE598" s="482"/>
      <c r="AF598" s="493">
        <f t="shared" ref="AF598:AF661" si="112">AA598+AE598</f>
        <v>161280</v>
      </c>
      <c r="AG598" s="474" t="s">
        <v>1071</v>
      </c>
      <c r="AH598" s="474"/>
      <c r="AI598" s="483" t="s">
        <v>2442</v>
      </c>
      <c r="AJ598" s="474" t="s">
        <v>1860</v>
      </c>
      <c r="AK598" s="494" t="s">
        <v>50</v>
      </c>
      <c r="AL598" s="474">
        <v>93722</v>
      </c>
      <c r="AM598" s="474" t="s">
        <v>52</v>
      </c>
      <c r="AN598" s="474"/>
      <c r="AO598" s="474"/>
      <c r="AP598" s="486"/>
      <c r="AQ598" s="486" t="s">
        <v>37</v>
      </c>
      <c r="AR598" s="486"/>
      <c r="AS598" s="495"/>
      <c r="AT598" s="495"/>
      <c r="AU598" s="378"/>
      <c r="AV598" s="478"/>
    </row>
    <row r="599" spans="1:48" s="471" customFormat="1" ht="15" customHeight="1">
      <c r="A599" s="472"/>
      <c r="B599" s="514">
        <v>44557</v>
      </c>
      <c r="C599" s="472"/>
      <c r="D599" s="512" t="s">
        <v>2322</v>
      </c>
      <c r="E599" s="501" t="s">
        <v>2726</v>
      </c>
      <c r="F599" s="501"/>
      <c r="G599" s="501">
        <v>2022</v>
      </c>
      <c r="H599" s="501" t="s">
        <v>1676</v>
      </c>
      <c r="I599" s="512" t="s">
        <v>1676</v>
      </c>
      <c r="J599" s="502"/>
      <c r="K599" s="503" t="s">
        <v>4583</v>
      </c>
      <c r="L599" s="501" t="s">
        <v>2551</v>
      </c>
      <c r="M599" s="504">
        <v>44545</v>
      </c>
      <c r="N599" s="504">
        <v>44870</v>
      </c>
      <c r="O599" s="504"/>
      <c r="P599" s="370"/>
      <c r="Q599" s="502"/>
      <c r="R599" s="502"/>
      <c r="S599" s="501" t="s">
        <v>1563</v>
      </c>
      <c r="T599" s="501">
        <v>60</v>
      </c>
      <c r="U599" s="371">
        <v>49401140</v>
      </c>
      <c r="V599" s="501" t="s">
        <v>973</v>
      </c>
      <c r="W599" s="501">
        <v>400</v>
      </c>
      <c r="X599" s="505">
        <v>768</v>
      </c>
      <c r="Y599" s="477">
        <f t="shared" si="111"/>
        <v>307200</v>
      </c>
      <c r="Z599" s="478">
        <f t="shared" si="110"/>
        <v>0.52500000000000002</v>
      </c>
      <c r="AA599" s="492">
        <f t="shared" si="108"/>
        <v>161280</v>
      </c>
      <c r="AB599" s="480"/>
      <c r="AC599" s="481">
        <f t="shared" si="109"/>
        <v>0</v>
      </c>
      <c r="AD599" s="490"/>
      <c r="AE599" s="482"/>
      <c r="AF599" s="493">
        <f t="shared" si="112"/>
        <v>161280</v>
      </c>
      <c r="AG599" s="474" t="s">
        <v>1071</v>
      </c>
      <c r="AH599" s="474"/>
      <c r="AI599" s="483" t="s">
        <v>2442</v>
      </c>
      <c r="AJ599" s="474" t="s">
        <v>1860</v>
      </c>
      <c r="AK599" s="494" t="s">
        <v>50</v>
      </c>
      <c r="AL599" s="474">
        <v>93722</v>
      </c>
      <c r="AM599" s="474" t="s">
        <v>52</v>
      </c>
      <c r="AN599" s="474"/>
      <c r="AO599" s="474"/>
      <c r="AP599" s="486"/>
      <c r="AQ599" s="486" t="s">
        <v>37</v>
      </c>
      <c r="AR599" s="486"/>
      <c r="AS599" s="495"/>
      <c r="AT599" s="495"/>
      <c r="AU599" s="378"/>
      <c r="AV599" s="478"/>
    </row>
    <row r="600" spans="1:48" s="471" customFormat="1" ht="15" customHeight="1">
      <c r="A600" s="472"/>
      <c r="B600" s="514">
        <v>44557</v>
      </c>
      <c r="C600" s="472"/>
      <c r="D600" s="512" t="s">
        <v>2322</v>
      </c>
      <c r="E600" s="501" t="s">
        <v>2726</v>
      </c>
      <c r="F600" s="501"/>
      <c r="G600" s="501">
        <v>2022</v>
      </c>
      <c r="H600" s="501" t="s">
        <v>1676</v>
      </c>
      <c r="I600" s="512" t="s">
        <v>1676</v>
      </c>
      <c r="J600" s="502"/>
      <c r="K600" s="503" t="s">
        <v>4584</v>
      </c>
      <c r="L600" s="501" t="s">
        <v>2551</v>
      </c>
      <c r="M600" s="504">
        <v>44545</v>
      </c>
      <c r="N600" s="504">
        <v>44880</v>
      </c>
      <c r="O600" s="504"/>
      <c r="P600" s="370"/>
      <c r="Q600" s="502"/>
      <c r="R600" s="502"/>
      <c r="S600" s="501" t="s">
        <v>1563</v>
      </c>
      <c r="T600" s="501">
        <v>60</v>
      </c>
      <c r="U600" s="371">
        <v>49401140</v>
      </c>
      <c r="V600" s="501" t="s">
        <v>973</v>
      </c>
      <c r="W600" s="501">
        <v>400</v>
      </c>
      <c r="X600" s="505">
        <v>768</v>
      </c>
      <c r="Y600" s="477">
        <f t="shared" si="111"/>
        <v>307200</v>
      </c>
      <c r="Z600" s="478">
        <f t="shared" si="110"/>
        <v>0.52500000000000002</v>
      </c>
      <c r="AA600" s="492">
        <f t="shared" si="108"/>
        <v>161280</v>
      </c>
      <c r="AB600" s="480"/>
      <c r="AC600" s="481">
        <f t="shared" si="109"/>
        <v>0</v>
      </c>
      <c r="AD600" s="490"/>
      <c r="AE600" s="482"/>
      <c r="AF600" s="493">
        <f t="shared" si="112"/>
        <v>161280</v>
      </c>
      <c r="AG600" s="474" t="s">
        <v>1071</v>
      </c>
      <c r="AH600" s="474"/>
      <c r="AI600" s="483" t="s">
        <v>2442</v>
      </c>
      <c r="AJ600" s="474" t="s">
        <v>1860</v>
      </c>
      <c r="AK600" s="494" t="s">
        <v>50</v>
      </c>
      <c r="AL600" s="474">
        <v>93722</v>
      </c>
      <c r="AM600" s="474" t="s">
        <v>52</v>
      </c>
      <c r="AN600" s="474"/>
      <c r="AO600" s="474"/>
      <c r="AP600" s="486"/>
      <c r="AQ600" s="486" t="s">
        <v>37</v>
      </c>
      <c r="AR600" s="486"/>
      <c r="AS600" s="495"/>
      <c r="AT600" s="495"/>
      <c r="AU600" s="378"/>
      <c r="AV600" s="478"/>
    </row>
    <row r="601" spans="1:48" s="471" customFormat="1" ht="15" customHeight="1">
      <c r="A601" s="472"/>
      <c r="B601" s="514">
        <v>44557</v>
      </c>
      <c r="C601" s="472"/>
      <c r="D601" s="512" t="s">
        <v>2322</v>
      </c>
      <c r="E601" s="501" t="s">
        <v>2726</v>
      </c>
      <c r="F601" s="501"/>
      <c r="G601" s="501">
        <v>2022</v>
      </c>
      <c r="H601" s="501" t="s">
        <v>1676</v>
      </c>
      <c r="I601" s="512" t="s">
        <v>1676</v>
      </c>
      <c r="J601" s="502"/>
      <c r="K601" s="503" t="s">
        <v>4585</v>
      </c>
      <c r="L601" s="501" t="s">
        <v>2551</v>
      </c>
      <c r="M601" s="504">
        <v>44545</v>
      </c>
      <c r="N601" s="504">
        <v>44900</v>
      </c>
      <c r="O601" s="504"/>
      <c r="P601" s="370"/>
      <c r="Q601" s="502"/>
      <c r="R601" s="502"/>
      <c r="S601" s="501" t="s">
        <v>1563</v>
      </c>
      <c r="T601" s="501">
        <v>60</v>
      </c>
      <c r="U601" s="371">
        <v>49401140</v>
      </c>
      <c r="V601" s="501" t="s">
        <v>973</v>
      </c>
      <c r="W601" s="501">
        <v>400</v>
      </c>
      <c r="X601" s="505">
        <v>768</v>
      </c>
      <c r="Y601" s="477">
        <f t="shared" si="111"/>
        <v>307200</v>
      </c>
      <c r="Z601" s="478">
        <f t="shared" si="110"/>
        <v>0.52500000000000002</v>
      </c>
      <c r="AA601" s="492">
        <f t="shared" si="108"/>
        <v>161280</v>
      </c>
      <c r="AB601" s="480"/>
      <c r="AC601" s="481">
        <f t="shared" si="109"/>
        <v>0</v>
      </c>
      <c r="AD601" s="490"/>
      <c r="AE601" s="482"/>
      <c r="AF601" s="493">
        <f t="shared" si="112"/>
        <v>161280</v>
      </c>
      <c r="AG601" s="474" t="s">
        <v>1071</v>
      </c>
      <c r="AH601" s="474"/>
      <c r="AI601" s="483" t="s">
        <v>2442</v>
      </c>
      <c r="AJ601" s="474" t="s">
        <v>1860</v>
      </c>
      <c r="AK601" s="494" t="s">
        <v>50</v>
      </c>
      <c r="AL601" s="474">
        <v>93722</v>
      </c>
      <c r="AM601" s="474" t="s">
        <v>52</v>
      </c>
      <c r="AN601" s="474"/>
      <c r="AO601" s="474"/>
      <c r="AP601" s="486"/>
      <c r="AQ601" s="486" t="s">
        <v>37</v>
      </c>
      <c r="AR601" s="486"/>
      <c r="AS601" s="495"/>
      <c r="AT601" s="495"/>
      <c r="AU601" s="378"/>
      <c r="AV601" s="478"/>
    </row>
    <row r="602" spans="1:48" s="471" customFormat="1" ht="15" customHeight="1">
      <c r="A602" s="472"/>
      <c r="B602" s="514">
        <v>44557</v>
      </c>
      <c r="C602" s="472"/>
      <c r="D602" s="512" t="s">
        <v>2322</v>
      </c>
      <c r="E602" s="501" t="s">
        <v>2726</v>
      </c>
      <c r="F602" s="501"/>
      <c r="G602" s="501">
        <v>2022</v>
      </c>
      <c r="H602" s="501" t="s">
        <v>1676</v>
      </c>
      <c r="I602" s="512" t="s">
        <v>1676</v>
      </c>
      <c r="J602" s="502"/>
      <c r="K602" s="503" t="s">
        <v>4586</v>
      </c>
      <c r="L602" s="501" t="s">
        <v>2551</v>
      </c>
      <c r="M602" s="504">
        <v>44545</v>
      </c>
      <c r="N602" s="504">
        <v>44866</v>
      </c>
      <c r="O602" s="504"/>
      <c r="P602" s="370"/>
      <c r="Q602" s="502"/>
      <c r="R602" s="502"/>
      <c r="S602" s="501" t="s">
        <v>1563</v>
      </c>
      <c r="T602" s="501">
        <v>60</v>
      </c>
      <c r="U602" s="371">
        <v>49401140</v>
      </c>
      <c r="V602" s="501" t="s">
        <v>973</v>
      </c>
      <c r="W602" s="501">
        <v>400</v>
      </c>
      <c r="X602" s="505">
        <v>768</v>
      </c>
      <c r="Y602" s="477">
        <f t="shared" si="111"/>
        <v>307200</v>
      </c>
      <c r="Z602" s="478">
        <f t="shared" si="110"/>
        <v>0.52500000000000002</v>
      </c>
      <c r="AA602" s="492">
        <f t="shared" si="108"/>
        <v>161280</v>
      </c>
      <c r="AB602" s="480"/>
      <c r="AC602" s="481">
        <f t="shared" si="109"/>
        <v>0</v>
      </c>
      <c r="AD602" s="490"/>
      <c r="AE602" s="482"/>
      <c r="AF602" s="493">
        <f t="shared" si="112"/>
        <v>161280</v>
      </c>
      <c r="AG602" s="474" t="s">
        <v>1071</v>
      </c>
      <c r="AH602" s="474"/>
      <c r="AI602" s="483" t="s">
        <v>2442</v>
      </c>
      <c r="AJ602" s="474" t="s">
        <v>1790</v>
      </c>
      <c r="AK602" s="494" t="s">
        <v>50</v>
      </c>
      <c r="AL602" s="474">
        <v>95834</v>
      </c>
      <c r="AM602" s="474" t="s">
        <v>52</v>
      </c>
      <c r="AN602" s="474"/>
      <c r="AO602" s="474"/>
      <c r="AP602" s="486"/>
      <c r="AQ602" s="486" t="s">
        <v>37</v>
      </c>
      <c r="AR602" s="486"/>
      <c r="AS602" s="495"/>
      <c r="AT602" s="495"/>
      <c r="AU602" s="378"/>
      <c r="AV602" s="478"/>
    </row>
    <row r="603" spans="1:48" s="471" customFormat="1" ht="15" customHeight="1">
      <c r="A603" s="472"/>
      <c r="B603" s="514">
        <v>44557</v>
      </c>
      <c r="C603" s="472"/>
      <c r="D603" s="512" t="s">
        <v>2322</v>
      </c>
      <c r="E603" s="501" t="s">
        <v>2726</v>
      </c>
      <c r="F603" s="501"/>
      <c r="G603" s="501">
        <v>2022</v>
      </c>
      <c r="H603" s="501" t="s">
        <v>1676</v>
      </c>
      <c r="I603" s="512" t="s">
        <v>1676</v>
      </c>
      <c r="J603" s="502"/>
      <c r="K603" s="503" t="s">
        <v>4587</v>
      </c>
      <c r="L603" s="501" t="s">
        <v>2551</v>
      </c>
      <c r="M603" s="504">
        <v>44544</v>
      </c>
      <c r="N603" s="504">
        <v>44752</v>
      </c>
      <c r="O603" s="504"/>
      <c r="P603" s="370"/>
      <c r="Q603" s="502"/>
      <c r="R603" s="502"/>
      <c r="S603" s="501" t="s">
        <v>1563</v>
      </c>
      <c r="T603" s="501">
        <v>60</v>
      </c>
      <c r="U603" s="371">
        <v>49201132</v>
      </c>
      <c r="V603" s="501" t="s">
        <v>986</v>
      </c>
      <c r="W603" s="501">
        <v>360</v>
      </c>
      <c r="X603" s="505">
        <v>832</v>
      </c>
      <c r="Y603" s="477">
        <f t="shared" si="111"/>
        <v>299520</v>
      </c>
      <c r="Z603" s="478">
        <f>181.8/360</f>
        <v>0.505</v>
      </c>
      <c r="AA603" s="492">
        <f t="shared" si="108"/>
        <v>151257.60000000001</v>
      </c>
      <c r="AB603" s="480"/>
      <c r="AC603" s="481">
        <f t="shared" si="109"/>
        <v>0</v>
      </c>
      <c r="AD603" s="490"/>
      <c r="AE603" s="482"/>
      <c r="AF603" s="493">
        <f t="shared" si="112"/>
        <v>151257.60000000001</v>
      </c>
      <c r="AG603" s="474" t="s">
        <v>1071</v>
      </c>
      <c r="AH603" s="474"/>
      <c r="AI603" s="483" t="s">
        <v>2442</v>
      </c>
      <c r="AJ603" s="474" t="s">
        <v>1777</v>
      </c>
      <c r="AK603" s="494" t="s">
        <v>50</v>
      </c>
      <c r="AL603" s="474">
        <v>93308</v>
      </c>
      <c r="AM603" s="474" t="s">
        <v>52</v>
      </c>
      <c r="AN603" s="474"/>
      <c r="AO603" s="474"/>
      <c r="AP603" s="486"/>
      <c r="AQ603" s="486" t="s">
        <v>37</v>
      </c>
      <c r="AR603" s="486"/>
      <c r="AS603" s="495"/>
      <c r="AT603" s="495"/>
      <c r="AU603" s="378"/>
      <c r="AV603" s="478"/>
    </row>
    <row r="604" spans="1:48" s="471" customFormat="1" ht="15" customHeight="1">
      <c r="A604" s="472"/>
      <c r="B604" s="514">
        <v>44557</v>
      </c>
      <c r="C604" s="472"/>
      <c r="D604" s="512" t="s">
        <v>2322</v>
      </c>
      <c r="E604" s="501" t="s">
        <v>2726</v>
      </c>
      <c r="F604" s="501"/>
      <c r="G604" s="501">
        <v>2022</v>
      </c>
      <c r="H604" s="501" t="s">
        <v>1676</v>
      </c>
      <c r="I604" s="512" t="s">
        <v>1676</v>
      </c>
      <c r="J604" s="502"/>
      <c r="K604" s="503" t="s">
        <v>4588</v>
      </c>
      <c r="L604" s="501" t="s">
        <v>2551</v>
      </c>
      <c r="M604" s="504">
        <v>44544</v>
      </c>
      <c r="N604" s="504">
        <v>44754</v>
      </c>
      <c r="O604" s="504"/>
      <c r="P604" s="370"/>
      <c r="Q604" s="502"/>
      <c r="R604" s="502"/>
      <c r="S604" s="501" t="s">
        <v>1563</v>
      </c>
      <c r="T604" s="501">
        <v>60</v>
      </c>
      <c r="U604" s="371">
        <v>49401140</v>
      </c>
      <c r="V604" s="501" t="s">
        <v>973</v>
      </c>
      <c r="W604" s="501">
        <v>400</v>
      </c>
      <c r="X604" s="505">
        <v>768</v>
      </c>
      <c r="Y604" s="477">
        <f t="shared" si="111"/>
        <v>307200</v>
      </c>
      <c r="Z604" s="478">
        <f>210/400</f>
        <v>0.52500000000000002</v>
      </c>
      <c r="AA604" s="492">
        <f t="shared" si="108"/>
        <v>161280</v>
      </c>
      <c r="AB604" s="480"/>
      <c r="AC604" s="481">
        <f t="shared" si="109"/>
        <v>0</v>
      </c>
      <c r="AD604" s="490"/>
      <c r="AE604" s="482"/>
      <c r="AF604" s="493">
        <f t="shared" si="112"/>
        <v>161280</v>
      </c>
      <c r="AG604" s="474" t="s">
        <v>1071</v>
      </c>
      <c r="AH604" s="474"/>
      <c r="AI604" s="483" t="s">
        <v>2442</v>
      </c>
      <c r="AJ604" s="474" t="s">
        <v>1777</v>
      </c>
      <c r="AK604" s="494" t="s">
        <v>50</v>
      </c>
      <c r="AL604" s="474">
        <v>93308</v>
      </c>
      <c r="AM604" s="474" t="s">
        <v>52</v>
      </c>
      <c r="AN604" s="474"/>
      <c r="AO604" s="474"/>
      <c r="AP604" s="486"/>
      <c r="AQ604" s="486" t="s">
        <v>37</v>
      </c>
      <c r="AR604" s="486"/>
      <c r="AS604" s="495"/>
      <c r="AT604" s="495"/>
      <c r="AU604" s="378"/>
      <c r="AV604" s="478"/>
    </row>
    <row r="605" spans="1:48" s="471" customFormat="1" ht="15" customHeight="1">
      <c r="A605" s="472"/>
      <c r="B605" s="514">
        <v>44557</v>
      </c>
      <c r="C605" s="472"/>
      <c r="D605" s="512" t="s">
        <v>2322</v>
      </c>
      <c r="E605" s="501" t="s">
        <v>2726</v>
      </c>
      <c r="F605" s="501"/>
      <c r="G605" s="501">
        <v>2022</v>
      </c>
      <c r="H605" s="501" t="s">
        <v>1676</v>
      </c>
      <c r="I605" s="512" t="s">
        <v>1676</v>
      </c>
      <c r="J605" s="502"/>
      <c r="K605" s="503" t="s">
        <v>4589</v>
      </c>
      <c r="L605" s="501" t="s">
        <v>2551</v>
      </c>
      <c r="M605" s="504">
        <v>44544</v>
      </c>
      <c r="N605" s="504">
        <v>44757</v>
      </c>
      <c r="O605" s="504"/>
      <c r="P605" s="370"/>
      <c r="Q605" s="502"/>
      <c r="R605" s="502"/>
      <c r="S605" s="501" t="s">
        <v>1563</v>
      </c>
      <c r="T605" s="501">
        <v>60</v>
      </c>
      <c r="U605" s="371">
        <v>49401140</v>
      </c>
      <c r="V605" s="501" t="s">
        <v>973</v>
      </c>
      <c r="W605" s="501">
        <v>400</v>
      </c>
      <c r="X605" s="505">
        <v>768</v>
      </c>
      <c r="Y605" s="477">
        <f t="shared" si="111"/>
        <v>307200</v>
      </c>
      <c r="Z605" s="478">
        <f>210/400</f>
        <v>0.52500000000000002</v>
      </c>
      <c r="AA605" s="492">
        <f t="shared" si="108"/>
        <v>161280</v>
      </c>
      <c r="AB605" s="480"/>
      <c r="AC605" s="481">
        <f t="shared" si="109"/>
        <v>0</v>
      </c>
      <c r="AD605" s="490"/>
      <c r="AE605" s="482"/>
      <c r="AF605" s="493">
        <f t="shared" si="112"/>
        <v>161280</v>
      </c>
      <c r="AG605" s="474" t="s">
        <v>1071</v>
      </c>
      <c r="AH605" s="474"/>
      <c r="AI605" s="483" t="s">
        <v>2442</v>
      </c>
      <c r="AJ605" s="474" t="s">
        <v>1777</v>
      </c>
      <c r="AK605" s="494" t="s">
        <v>50</v>
      </c>
      <c r="AL605" s="474">
        <v>93308</v>
      </c>
      <c r="AM605" s="474" t="s">
        <v>52</v>
      </c>
      <c r="AN605" s="474"/>
      <c r="AO605" s="474"/>
      <c r="AP605" s="486"/>
      <c r="AQ605" s="486" t="s">
        <v>37</v>
      </c>
      <c r="AR605" s="486"/>
      <c r="AS605" s="495"/>
      <c r="AT605" s="495"/>
      <c r="AU605" s="378"/>
      <c r="AV605" s="478"/>
    </row>
    <row r="606" spans="1:48" s="471" customFormat="1" ht="15" customHeight="1">
      <c r="A606" s="472"/>
      <c r="B606" s="514">
        <v>44557</v>
      </c>
      <c r="C606" s="472"/>
      <c r="D606" s="512" t="s">
        <v>2322</v>
      </c>
      <c r="E606" s="501" t="s">
        <v>2726</v>
      </c>
      <c r="F606" s="501"/>
      <c r="G606" s="501">
        <v>2022</v>
      </c>
      <c r="H606" s="501" t="s">
        <v>1676</v>
      </c>
      <c r="I606" s="512" t="s">
        <v>1676</v>
      </c>
      <c r="J606" s="502"/>
      <c r="K606" s="503" t="s">
        <v>4590</v>
      </c>
      <c r="L606" s="501" t="s">
        <v>2551</v>
      </c>
      <c r="M606" s="504">
        <v>44545</v>
      </c>
      <c r="N606" s="504">
        <v>44866</v>
      </c>
      <c r="O606" s="504"/>
      <c r="P606" s="370"/>
      <c r="Q606" s="502"/>
      <c r="R606" s="502"/>
      <c r="S606" s="501" t="s">
        <v>1563</v>
      </c>
      <c r="T606" s="501">
        <v>60</v>
      </c>
      <c r="U606" s="371">
        <v>49401140</v>
      </c>
      <c r="V606" s="501" t="s">
        <v>973</v>
      </c>
      <c r="W606" s="501">
        <v>400</v>
      </c>
      <c r="X606" s="505">
        <v>768</v>
      </c>
      <c r="Y606" s="477">
        <f t="shared" si="111"/>
        <v>307200</v>
      </c>
      <c r="Z606" s="478">
        <f>210/400</f>
        <v>0.52500000000000002</v>
      </c>
      <c r="AA606" s="492">
        <f t="shared" si="108"/>
        <v>161280</v>
      </c>
      <c r="AB606" s="480"/>
      <c r="AC606" s="481">
        <f t="shared" si="109"/>
        <v>0</v>
      </c>
      <c r="AD606" s="490"/>
      <c r="AE606" s="482"/>
      <c r="AF606" s="493">
        <f t="shared" si="112"/>
        <v>161280</v>
      </c>
      <c r="AG606" s="474" t="s">
        <v>1071</v>
      </c>
      <c r="AH606" s="474"/>
      <c r="AI606" s="483" t="s">
        <v>2442</v>
      </c>
      <c r="AJ606" s="474" t="s">
        <v>1777</v>
      </c>
      <c r="AK606" s="494" t="s">
        <v>50</v>
      </c>
      <c r="AL606" s="474">
        <v>93308</v>
      </c>
      <c r="AM606" s="474" t="s">
        <v>52</v>
      </c>
      <c r="AN606" s="474"/>
      <c r="AO606" s="474"/>
      <c r="AP606" s="486"/>
      <c r="AQ606" s="486" t="s">
        <v>37</v>
      </c>
      <c r="AR606" s="486"/>
      <c r="AS606" s="495"/>
      <c r="AT606" s="495"/>
      <c r="AU606" s="378"/>
      <c r="AV606" s="478"/>
    </row>
    <row r="607" spans="1:48" s="471" customFormat="1" ht="15" customHeight="1">
      <c r="A607" s="472"/>
      <c r="B607" s="514">
        <v>44557</v>
      </c>
      <c r="C607" s="472"/>
      <c r="D607" s="512" t="s">
        <v>2322</v>
      </c>
      <c r="E607" s="501" t="s">
        <v>2726</v>
      </c>
      <c r="F607" s="501"/>
      <c r="G607" s="501">
        <v>2022</v>
      </c>
      <c r="H607" s="501" t="s">
        <v>1676</v>
      </c>
      <c r="I607" s="512" t="s">
        <v>1676</v>
      </c>
      <c r="J607" s="502"/>
      <c r="K607" s="503" t="s">
        <v>4591</v>
      </c>
      <c r="L607" s="501" t="s">
        <v>2551</v>
      </c>
      <c r="M607" s="504">
        <v>44545</v>
      </c>
      <c r="N607" s="504">
        <v>44868</v>
      </c>
      <c r="O607" s="504"/>
      <c r="P607" s="370"/>
      <c r="Q607" s="502"/>
      <c r="R607" s="502"/>
      <c r="S607" s="501" t="s">
        <v>1563</v>
      </c>
      <c r="T607" s="501">
        <v>60</v>
      </c>
      <c r="U607" s="371">
        <v>49401140</v>
      </c>
      <c r="V607" s="501" t="s">
        <v>973</v>
      </c>
      <c r="W607" s="501">
        <v>400</v>
      </c>
      <c r="X607" s="505">
        <v>768</v>
      </c>
      <c r="Y607" s="477">
        <f t="shared" si="111"/>
        <v>307200</v>
      </c>
      <c r="Z607" s="478">
        <f>210/400</f>
        <v>0.52500000000000002</v>
      </c>
      <c r="AA607" s="492">
        <f t="shared" si="108"/>
        <v>161280</v>
      </c>
      <c r="AB607" s="480"/>
      <c r="AC607" s="481">
        <f t="shared" si="109"/>
        <v>0</v>
      </c>
      <c r="AD607" s="490"/>
      <c r="AE607" s="482"/>
      <c r="AF607" s="493">
        <f t="shared" si="112"/>
        <v>161280</v>
      </c>
      <c r="AG607" s="474" t="s">
        <v>1071</v>
      </c>
      <c r="AH607" s="474"/>
      <c r="AI607" s="483" t="s">
        <v>2442</v>
      </c>
      <c r="AJ607" s="474" t="s">
        <v>1777</v>
      </c>
      <c r="AK607" s="494" t="s">
        <v>50</v>
      </c>
      <c r="AL607" s="474">
        <v>93308</v>
      </c>
      <c r="AM607" s="474" t="s">
        <v>52</v>
      </c>
      <c r="AN607" s="474"/>
      <c r="AO607" s="474"/>
      <c r="AP607" s="486"/>
      <c r="AQ607" s="486" t="s">
        <v>37</v>
      </c>
      <c r="AR607" s="486"/>
      <c r="AS607" s="495"/>
      <c r="AT607" s="495"/>
      <c r="AU607" s="378"/>
      <c r="AV607" s="478"/>
    </row>
    <row r="608" spans="1:48" s="471" customFormat="1" ht="15" customHeight="1">
      <c r="A608" s="472"/>
      <c r="B608" s="514">
        <v>44557</v>
      </c>
      <c r="C608" s="472"/>
      <c r="D608" s="512" t="s">
        <v>2322</v>
      </c>
      <c r="E608" s="501" t="s">
        <v>2726</v>
      </c>
      <c r="F608" s="501"/>
      <c r="G608" s="501">
        <v>2022</v>
      </c>
      <c r="H608" s="501" t="s">
        <v>1676</v>
      </c>
      <c r="I608" s="512" t="s">
        <v>1676</v>
      </c>
      <c r="J608" s="502"/>
      <c r="K608" s="503" t="s">
        <v>4592</v>
      </c>
      <c r="L608" s="501" t="s">
        <v>2551</v>
      </c>
      <c r="M608" s="504">
        <v>44545</v>
      </c>
      <c r="N608" s="504">
        <v>44871</v>
      </c>
      <c r="O608" s="504"/>
      <c r="P608" s="370"/>
      <c r="Q608" s="502"/>
      <c r="R608" s="502"/>
      <c r="S608" s="501" t="s">
        <v>1563</v>
      </c>
      <c r="T608" s="501">
        <v>60</v>
      </c>
      <c r="U608" s="371">
        <v>49401140</v>
      </c>
      <c r="V608" s="501" t="s">
        <v>973</v>
      </c>
      <c r="W608" s="501">
        <v>400</v>
      </c>
      <c r="X608" s="505">
        <v>768</v>
      </c>
      <c r="Y608" s="477">
        <f t="shared" si="111"/>
        <v>307200</v>
      </c>
      <c r="Z608" s="478">
        <f>210/400</f>
        <v>0.52500000000000002</v>
      </c>
      <c r="AA608" s="492">
        <f t="shared" si="108"/>
        <v>161280</v>
      </c>
      <c r="AB608" s="480"/>
      <c r="AC608" s="481">
        <f t="shared" si="109"/>
        <v>0</v>
      </c>
      <c r="AD608" s="490"/>
      <c r="AE608" s="482"/>
      <c r="AF608" s="493">
        <f t="shared" si="112"/>
        <v>161280</v>
      </c>
      <c r="AG608" s="474" t="s">
        <v>1071</v>
      </c>
      <c r="AH608" s="474"/>
      <c r="AI608" s="483" t="s">
        <v>2442</v>
      </c>
      <c r="AJ608" s="474" t="s">
        <v>1777</v>
      </c>
      <c r="AK608" s="494" t="s">
        <v>50</v>
      </c>
      <c r="AL608" s="474">
        <v>93308</v>
      </c>
      <c r="AM608" s="474" t="s">
        <v>52</v>
      </c>
      <c r="AN608" s="474"/>
      <c r="AO608" s="474"/>
      <c r="AP608" s="486"/>
      <c r="AQ608" s="486" t="s">
        <v>37</v>
      </c>
      <c r="AR608" s="486"/>
      <c r="AS608" s="495"/>
      <c r="AT608" s="495"/>
      <c r="AU608" s="378"/>
      <c r="AV608" s="478"/>
    </row>
    <row r="609" spans="1:48" s="471" customFormat="1" ht="15" customHeight="1">
      <c r="A609" s="472"/>
      <c r="B609" s="514">
        <v>44557</v>
      </c>
      <c r="C609" s="472"/>
      <c r="D609" s="512" t="s">
        <v>2322</v>
      </c>
      <c r="E609" s="501" t="s">
        <v>2726</v>
      </c>
      <c r="F609" s="501"/>
      <c r="G609" s="501">
        <v>2022</v>
      </c>
      <c r="H609" s="501" t="s">
        <v>1676</v>
      </c>
      <c r="I609" s="512" t="s">
        <v>1676</v>
      </c>
      <c r="J609" s="502"/>
      <c r="K609" s="503" t="s">
        <v>4593</v>
      </c>
      <c r="L609" s="501" t="s">
        <v>2551</v>
      </c>
      <c r="M609" s="504">
        <v>44545</v>
      </c>
      <c r="N609" s="504">
        <v>44875</v>
      </c>
      <c r="O609" s="504"/>
      <c r="P609" s="502"/>
      <c r="Q609" s="502"/>
      <c r="R609" s="502"/>
      <c r="S609" s="501" t="s">
        <v>1563</v>
      </c>
      <c r="T609" s="501">
        <v>60</v>
      </c>
      <c r="U609" s="501">
        <v>49201132</v>
      </c>
      <c r="V609" s="501" t="s">
        <v>986</v>
      </c>
      <c r="W609" s="501">
        <v>360</v>
      </c>
      <c r="X609" s="505">
        <v>832</v>
      </c>
      <c r="Y609" s="477">
        <f t="shared" si="111"/>
        <v>299520</v>
      </c>
      <c r="Z609" s="478">
        <f>181.8/360</f>
        <v>0.505</v>
      </c>
      <c r="AA609" s="492">
        <f t="shared" si="108"/>
        <v>151257.60000000001</v>
      </c>
      <c r="AB609" s="480"/>
      <c r="AC609" s="481">
        <f t="shared" si="109"/>
        <v>0</v>
      </c>
      <c r="AD609" s="490"/>
      <c r="AE609" s="482"/>
      <c r="AF609" s="493">
        <f t="shared" si="112"/>
        <v>151257.60000000001</v>
      </c>
      <c r="AG609" s="474" t="s">
        <v>1071</v>
      </c>
      <c r="AH609" s="474"/>
      <c r="AI609" s="483" t="s">
        <v>2442</v>
      </c>
      <c r="AJ609" s="474" t="s">
        <v>1777</v>
      </c>
      <c r="AK609" s="494" t="s">
        <v>50</v>
      </c>
      <c r="AL609" s="474">
        <v>93308</v>
      </c>
      <c r="AM609" s="474" t="s">
        <v>52</v>
      </c>
      <c r="AN609" s="474"/>
      <c r="AO609" s="474"/>
      <c r="AP609" s="486"/>
      <c r="AQ609" s="486" t="s">
        <v>37</v>
      </c>
      <c r="AR609" s="486"/>
      <c r="AS609" s="495"/>
      <c r="AT609" s="495"/>
      <c r="AU609" s="378"/>
      <c r="AV609" s="478"/>
    </row>
    <row r="610" spans="1:48" s="471" customFormat="1" ht="15" customHeight="1">
      <c r="A610" s="472"/>
      <c r="B610" s="514">
        <v>44557</v>
      </c>
      <c r="C610" s="472"/>
      <c r="D610" s="512" t="s">
        <v>2322</v>
      </c>
      <c r="E610" s="501" t="s">
        <v>2726</v>
      </c>
      <c r="F610" s="501"/>
      <c r="G610" s="501">
        <v>2022</v>
      </c>
      <c r="H610" s="501" t="s">
        <v>1676</v>
      </c>
      <c r="I610" s="512" t="s">
        <v>1676</v>
      </c>
      <c r="J610" s="502"/>
      <c r="K610" s="503" t="s">
        <v>4594</v>
      </c>
      <c r="L610" s="501" t="s">
        <v>2551</v>
      </c>
      <c r="M610" s="504">
        <v>44545</v>
      </c>
      <c r="N610" s="504">
        <v>44878</v>
      </c>
      <c r="O610" s="504"/>
      <c r="P610" s="502"/>
      <c r="Q610" s="502"/>
      <c r="R610" s="502"/>
      <c r="S610" s="501" t="s">
        <v>1563</v>
      </c>
      <c r="T610" s="501">
        <v>60</v>
      </c>
      <c r="U610" s="501">
        <v>49401140</v>
      </c>
      <c r="V610" s="501" t="s">
        <v>973</v>
      </c>
      <c r="W610" s="501">
        <v>400</v>
      </c>
      <c r="X610" s="505">
        <v>768</v>
      </c>
      <c r="Y610" s="477">
        <f t="shared" si="111"/>
        <v>307200</v>
      </c>
      <c r="Z610" s="478">
        <f t="shared" ref="Z610:Z616" si="113">210/400</f>
        <v>0.52500000000000002</v>
      </c>
      <c r="AA610" s="492">
        <f t="shared" si="108"/>
        <v>161280</v>
      </c>
      <c r="AB610" s="480"/>
      <c r="AC610" s="481">
        <f t="shared" si="109"/>
        <v>0</v>
      </c>
      <c r="AD610" s="490"/>
      <c r="AE610" s="482"/>
      <c r="AF610" s="493">
        <f t="shared" si="112"/>
        <v>161280</v>
      </c>
      <c r="AG610" s="474" t="s">
        <v>1071</v>
      </c>
      <c r="AH610" s="474"/>
      <c r="AI610" s="483" t="s">
        <v>2442</v>
      </c>
      <c r="AJ610" s="474" t="s">
        <v>1777</v>
      </c>
      <c r="AK610" s="494" t="s">
        <v>50</v>
      </c>
      <c r="AL610" s="474">
        <v>93308</v>
      </c>
      <c r="AM610" s="474" t="s">
        <v>52</v>
      </c>
      <c r="AN610" s="474"/>
      <c r="AO610" s="474"/>
      <c r="AP610" s="486"/>
      <c r="AQ610" s="486" t="s">
        <v>37</v>
      </c>
      <c r="AR610" s="486"/>
      <c r="AS610" s="495"/>
      <c r="AT610" s="495"/>
      <c r="AU610" s="378"/>
      <c r="AV610" s="478"/>
    </row>
    <row r="611" spans="1:48" s="471" customFormat="1" ht="15" customHeight="1">
      <c r="A611" s="364"/>
      <c r="B611" s="517">
        <v>44557</v>
      </c>
      <c r="C611" s="364"/>
      <c r="D611" s="366" t="s">
        <v>2322</v>
      </c>
      <c r="E611" s="501" t="s">
        <v>2726</v>
      </c>
      <c r="F611" s="365"/>
      <c r="G611" s="365">
        <v>2022</v>
      </c>
      <c r="H611" s="365" t="s">
        <v>1676</v>
      </c>
      <c r="I611" s="366" t="s">
        <v>1676</v>
      </c>
      <c r="J611" s="373"/>
      <c r="K611" s="374" t="s">
        <v>4595</v>
      </c>
      <c r="L611" s="365" t="s">
        <v>2551</v>
      </c>
      <c r="M611" s="375">
        <v>44545</v>
      </c>
      <c r="N611" s="375">
        <v>44881</v>
      </c>
      <c r="O611" s="504"/>
      <c r="P611" s="373"/>
      <c r="Q611" s="373"/>
      <c r="R611" s="373"/>
      <c r="S611" s="365" t="s">
        <v>1563</v>
      </c>
      <c r="T611" s="365">
        <v>60</v>
      </c>
      <c r="U611" s="501">
        <v>49401140</v>
      </c>
      <c r="V611" s="365" t="s">
        <v>973</v>
      </c>
      <c r="W611" s="365">
        <v>400</v>
      </c>
      <c r="X611" s="376">
        <v>768</v>
      </c>
      <c r="Y611" s="579">
        <f t="shared" si="111"/>
        <v>307200</v>
      </c>
      <c r="Z611" s="360">
        <f t="shared" si="113"/>
        <v>0.52500000000000002</v>
      </c>
      <c r="AA611" s="122">
        <f t="shared" si="108"/>
        <v>161280</v>
      </c>
      <c r="AB611" s="367"/>
      <c r="AC611" s="368">
        <f t="shared" si="109"/>
        <v>0</v>
      </c>
      <c r="AD611" s="361"/>
      <c r="AE611" s="358"/>
      <c r="AF611" s="57">
        <f t="shared" si="112"/>
        <v>161280</v>
      </c>
      <c r="AG611" s="357" t="s">
        <v>1071</v>
      </c>
      <c r="AH611" s="357"/>
      <c r="AI611" s="359" t="s">
        <v>2442</v>
      </c>
      <c r="AJ611" s="357" t="s">
        <v>1777</v>
      </c>
      <c r="AK611" s="362" t="s">
        <v>50</v>
      </c>
      <c r="AL611" s="357">
        <v>93308</v>
      </c>
      <c r="AM611" s="357" t="s">
        <v>52</v>
      </c>
      <c r="AN611" s="357"/>
      <c r="AO611" s="357"/>
      <c r="AP611" s="369"/>
      <c r="AQ611" s="369" t="s">
        <v>37</v>
      </c>
      <c r="AR611" s="369"/>
      <c r="AS611" s="363"/>
      <c r="AT611" s="363"/>
      <c r="AU611" s="363"/>
      <c r="AV611" s="360"/>
    </row>
    <row r="612" spans="1:48" s="471" customFormat="1" ht="15" customHeight="1">
      <c r="A612" s="472"/>
      <c r="B612" s="514">
        <v>44557</v>
      </c>
      <c r="C612" s="472"/>
      <c r="D612" s="512" t="s">
        <v>2322</v>
      </c>
      <c r="E612" s="501" t="s">
        <v>2726</v>
      </c>
      <c r="F612" s="501"/>
      <c r="G612" s="501">
        <v>2022</v>
      </c>
      <c r="H612" s="501" t="s">
        <v>1676</v>
      </c>
      <c r="I612" s="512" t="s">
        <v>1676</v>
      </c>
      <c r="J612" s="502"/>
      <c r="K612" s="503" t="s">
        <v>4596</v>
      </c>
      <c r="L612" s="501" t="s">
        <v>2551</v>
      </c>
      <c r="M612" s="504">
        <v>44545</v>
      </c>
      <c r="N612" s="504">
        <v>44885</v>
      </c>
      <c r="O612" s="504"/>
      <c r="P612" s="502"/>
      <c r="Q612" s="502"/>
      <c r="R612" s="502"/>
      <c r="S612" s="501" t="s">
        <v>1563</v>
      </c>
      <c r="T612" s="501">
        <v>60</v>
      </c>
      <c r="U612" s="501">
        <v>49401140</v>
      </c>
      <c r="V612" s="501" t="s">
        <v>973</v>
      </c>
      <c r="W612" s="501">
        <v>400</v>
      </c>
      <c r="X612" s="505">
        <v>768</v>
      </c>
      <c r="Y612" s="477">
        <f t="shared" si="111"/>
        <v>307200</v>
      </c>
      <c r="Z612" s="478">
        <f t="shared" si="113"/>
        <v>0.52500000000000002</v>
      </c>
      <c r="AA612" s="492">
        <f t="shared" si="108"/>
        <v>161280</v>
      </c>
      <c r="AB612" s="480"/>
      <c r="AC612" s="481">
        <f t="shared" si="109"/>
        <v>0</v>
      </c>
      <c r="AD612" s="490"/>
      <c r="AE612" s="482"/>
      <c r="AF612" s="493">
        <f t="shared" si="112"/>
        <v>161280</v>
      </c>
      <c r="AG612" s="474" t="s">
        <v>1071</v>
      </c>
      <c r="AH612" s="474"/>
      <c r="AI612" s="483" t="s">
        <v>2442</v>
      </c>
      <c r="AJ612" s="474" t="s">
        <v>1777</v>
      </c>
      <c r="AK612" s="494" t="s">
        <v>50</v>
      </c>
      <c r="AL612" s="474">
        <v>93308</v>
      </c>
      <c r="AM612" s="474" t="s">
        <v>52</v>
      </c>
      <c r="AN612" s="474"/>
      <c r="AO612" s="474"/>
      <c r="AP612" s="486"/>
      <c r="AQ612" s="486" t="s">
        <v>37</v>
      </c>
      <c r="AR612" s="486"/>
      <c r="AS612" s="495"/>
      <c r="AT612" s="495"/>
      <c r="AU612" s="495"/>
      <c r="AV612" s="478"/>
    </row>
    <row r="613" spans="1:48" s="471" customFormat="1" ht="15" customHeight="1">
      <c r="A613" s="472"/>
      <c r="B613" s="514">
        <v>44557</v>
      </c>
      <c r="C613" s="472"/>
      <c r="D613" s="512" t="s">
        <v>2322</v>
      </c>
      <c r="E613" s="501" t="s">
        <v>2726</v>
      </c>
      <c r="F613" s="501"/>
      <c r="G613" s="501">
        <v>2022</v>
      </c>
      <c r="H613" s="501" t="s">
        <v>1676</v>
      </c>
      <c r="I613" s="512" t="s">
        <v>1676</v>
      </c>
      <c r="J613" s="502"/>
      <c r="K613" s="503" t="s">
        <v>4597</v>
      </c>
      <c r="L613" s="501" t="s">
        <v>2551</v>
      </c>
      <c r="M613" s="504">
        <v>44545</v>
      </c>
      <c r="N613" s="504">
        <v>44907</v>
      </c>
      <c r="O613" s="504"/>
      <c r="P613" s="502"/>
      <c r="Q613" s="502"/>
      <c r="R613" s="502"/>
      <c r="S613" s="501" t="s">
        <v>1563</v>
      </c>
      <c r="T613" s="501">
        <v>60</v>
      </c>
      <c r="U613" s="501">
        <v>49401140</v>
      </c>
      <c r="V613" s="501" t="s">
        <v>973</v>
      </c>
      <c r="W613" s="501">
        <v>400</v>
      </c>
      <c r="X613" s="505">
        <v>768</v>
      </c>
      <c r="Y613" s="477">
        <f t="shared" si="111"/>
        <v>307200</v>
      </c>
      <c r="Z613" s="478">
        <f t="shared" si="113"/>
        <v>0.52500000000000002</v>
      </c>
      <c r="AA613" s="492">
        <f t="shared" si="108"/>
        <v>161280</v>
      </c>
      <c r="AB613" s="480"/>
      <c r="AC613" s="481">
        <f t="shared" si="109"/>
        <v>0</v>
      </c>
      <c r="AD613" s="490"/>
      <c r="AE613" s="482"/>
      <c r="AF613" s="493">
        <f t="shared" si="112"/>
        <v>161280</v>
      </c>
      <c r="AG613" s="474" t="s">
        <v>1071</v>
      </c>
      <c r="AH613" s="474"/>
      <c r="AI613" s="483" t="s">
        <v>2442</v>
      </c>
      <c r="AJ613" s="474" t="s">
        <v>1777</v>
      </c>
      <c r="AK613" s="494" t="s">
        <v>50</v>
      </c>
      <c r="AL613" s="474">
        <v>93308</v>
      </c>
      <c r="AM613" s="474" t="s">
        <v>52</v>
      </c>
      <c r="AN613" s="474"/>
      <c r="AO613" s="474"/>
      <c r="AP613" s="486"/>
      <c r="AQ613" s="486" t="s">
        <v>37</v>
      </c>
      <c r="AR613" s="486"/>
      <c r="AS613" s="495"/>
      <c r="AT613" s="495"/>
      <c r="AU613" s="495"/>
      <c r="AV613" s="478"/>
    </row>
    <row r="614" spans="1:48" s="471" customFormat="1" ht="15" customHeight="1">
      <c r="A614" s="472"/>
      <c r="B614" s="514">
        <v>44557</v>
      </c>
      <c r="C614" s="472"/>
      <c r="D614" s="512" t="s">
        <v>2322</v>
      </c>
      <c r="E614" s="501" t="s">
        <v>2726</v>
      </c>
      <c r="F614" s="501"/>
      <c r="G614" s="501">
        <v>2022</v>
      </c>
      <c r="H614" s="501" t="s">
        <v>1676</v>
      </c>
      <c r="I614" s="512" t="s">
        <v>1676</v>
      </c>
      <c r="J614" s="502"/>
      <c r="K614" s="503" t="s">
        <v>4598</v>
      </c>
      <c r="L614" s="501" t="s">
        <v>2551</v>
      </c>
      <c r="M614" s="504">
        <v>44545</v>
      </c>
      <c r="N614" s="504">
        <v>44857</v>
      </c>
      <c r="O614" s="504"/>
      <c r="P614" s="502"/>
      <c r="Q614" s="502"/>
      <c r="R614" s="502"/>
      <c r="S614" s="501" t="s">
        <v>1563</v>
      </c>
      <c r="T614" s="501">
        <v>60</v>
      </c>
      <c r="U614" s="501">
        <v>49401140</v>
      </c>
      <c r="V614" s="501" t="s">
        <v>973</v>
      </c>
      <c r="W614" s="501">
        <v>400</v>
      </c>
      <c r="X614" s="505">
        <v>768</v>
      </c>
      <c r="Y614" s="477">
        <f t="shared" si="111"/>
        <v>307200</v>
      </c>
      <c r="Z614" s="478">
        <f t="shared" si="113"/>
        <v>0.52500000000000002</v>
      </c>
      <c r="AA614" s="492">
        <f t="shared" si="108"/>
        <v>161280</v>
      </c>
      <c r="AB614" s="480"/>
      <c r="AC614" s="481">
        <f t="shared" si="109"/>
        <v>0</v>
      </c>
      <c r="AD614" s="490"/>
      <c r="AE614" s="482"/>
      <c r="AF614" s="493">
        <f t="shared" si="112"/>
        <v>161280</v>
      </c>
      <c r="AG614" s="474" t="s">
        <v>1071</v>
      </c>
      <c r="AH614" s="474"/>
      <c r="AI614" s="483" t="s">
        <v>2442</v>
      </c>
      <c r="AJ614" s="474" t="s">
        <v>2472</v>
      </c>
      <c r="AK614" s="494" t="s">
        <v>1133</v>
      </c>
      <c r="AL614" s="474">
        <v>85008</v>
      </c>
      <c r="AM614" s="474" t="s">
        <v>52</v>
      </c>
      <c r="AN614" s="474"/>
      <c r="AO614" s="474"/>
      <c r="AP614" s="486"/>
      <c r="AQ614" s="486" t="s">
        <v>37</v>
      </c>
      <c r="AR614" s="486"/>
      <c r="AS614" s="495"/>
      <c r="AT614" s="495"/>
      <c r="AU614" s="495"/>
      <c r="AV614" s="478"/>
    </row>
    <row r="615" spans="1:48" s="471" customFormat="1" ht="15" customHeight="1">
      <c r="A615" s="472"/>
      <c r="B615" s="514">
        <v>44557</v>
      </c>
      <c r="C615" s="472"/>
      <c r="D615" s="512" t="s">
        <v>2322</v>
      </c>
      <c r="E615" s="501" t="s">
        <v>2726</v>
      </c>
      <c r="F615" s="501"/>
      <c r="G615" s="501">
        <v>2022</v>
      </c>
      <c r="H615" s="501" t="s">
        <v>1676</v>
      </c>
      <c r="I615" s="512" t="s">
        <v>1676</v>
      </c>
      <c r="J615" s="502"/>
      <c r="K615" s="503" t="s">
        <v>4599</v>
      </c>
      <c r="L615" s="501" t="s">
        <v>2551</v>
      </c>
      <c r="M615" s="504">
        <v>44545</v>
      </c>
      <c r="N615" s="504">
        <v>44870</v>
      </c>
      <c r="O615" s="504"/>
      <c r="P615" s="502"/>
      <c r="Q615" s="502"/>
      <c r="R615" s="502"/>
      <c r="S615" s="501" t="s">
        <v>1563</v>
      </c>
      <c r="T615" s="501">
        <v>60</v>
      </c>
      <c r="U615" s="501">
        <v>49401140</v>
      </c>
      <c r="V615" s="501" t="s">
        <v>973</v>
      </c>
      <c r="W615" s="501">
        <v>400</v>
      </c>
      <c r="X615" s="505">
        <v>768</v>
      </c>
      <c r="Y615" s="477">
        <f t="shared" si="111"/>
        <v>307200</v>
      </c>
      <c r="Z615" s="478">
        <f t="shared" si="113"/>
        <v>0.52500000000000002</v>
      </c>
      <c r="AA615" s="492">
        <f t="shared" si="108"/>
        <v>161280</v>
      </c>
      <c r="AB615" s="480"/>
      <c r="AC615" s="481">
        <f t="shared" si="109"/>
        <v>0</v>
      </c>
      <c r="AD615" s="490"/>
      <c r="AE615" s="482"/>
      <c r="AF615" s="493">
        <f t="shared" si="112"/>
        <v>161280</v>
      </c>
      <c r="AG615" s="474" t="s">
        <v>1071</v>
      </c>
      <c r="AH615" s="474"/>
      <c r="AI615" s="483" t="s">
        <v>2442</v>
      </c>
      <c r="AJ615" s="474" t="s">
        <v>2472</v>
      </c>
      <c r="AK615" s="494" t="s">
        <v>1133</v>
      </c>
      <c r="AL615" s="474">
        <v>85008</v>
      </c>
      <c r="AM615" s="474" t="s">
        <v>52</v>
      </c>
      <c r="AN615" s="474"/>
      <c r="AO615" s="474"/>
      <c r="AP615" s="486"/>
      <c r="AQ615" s="486" t="s">
        <v>37</v>
      </c>
      <c r="AR615" s="486"/>
      <c r="AS615" s="495"/>
      <c r="AT615" s="495"/>
      <c r="AU615" s="495"/>
      <c r="AV615" s="478"/>
    </row>
    <row r="616" spans="1:48" s="471" customFormat="1" ht="15" customHeight="1">
      <c r="A616" s="472"/>
      <c r="B616" s="514">
        <v>44557</v>
      </c>
      <c r="C616" s="472"/>
      <c r="D616" s="512" t="s">
        <v>2322</v>
      </c>
      <c r="E616" s="501" t="s">
        <v>2726</v>
      </c>
      <c r="F616" s="501"/>
      <c r="G616" s="501">
        <v>2022</v>
      </c>
      <c r="H616" s="501" t="s">
        <v>1676</v>
      </c>
      <c r="I616" s="512" t="s">
        <v>1676</v>
      </c>
      <c r="J616" s="502"/>
      <c r="K616" s="503" t="s">
        <v>4600</v>
      </c>
      <c r="L616" s="501" t="s">
        <v>2551</v>
      </c>
      <c r="M616" s="504">
        <v>44545</v>
      </c>
      <c r="N616" s="504">
        <v>44879</v>
      </c>
      <c r="O616" s="504"/>
      <c r="P616" s="502"/>
      <c r="Q616" s="502"/>
      <c r="R616" s="502"/>
      <c r="S616" s="501" t="s">
        <v>1563</v>
      </c>
      <c r="T616" s="501">
        <v>60</v>
      </c>
      <c r="U616" s="501">
        <v>49401140</v>
      </c>
      <c r="V616" s="501" t="s">
        <v>973</v>
      </c>
      <c r="W616" s="501">
        <v>400</v>
      </c>
      <c r="X616" s="505">
        <v>768</v>
      </c>
      <c r="Y616" s="477">
        <f t="shared" si="111"/>
        <v>307200</v>
      </c>
      <c r="Z616" s="478">
        <f t="shared" si="113"/>
        <v>0.52500000000000002</v>
      </c>
      <c r="AA616" s="492">
        <f t="shared" si="108"/>
        <v>161280</v>
      </c>
      <c r="AB616" s="480"/>
      <c r="AC616" s="481">
        <f t="shared" si="109"/>
        <v>0</v>
      </c>
      <c r="AD616" s="490"/>
      <c r="AE616" s="482"/>
      <c r="AF616" s="493">
        <f t="shared" si="112"/>
        <v>161280</v>
      </c>
      <c r="AG616" s="474" t="s">
        <v>1071</v>
      </c>
      <c r="AH616" s="474"/>
      <c r="AI616" s="483" t="s">
        <v>2442</v>
      </c>
      <c r="AJ616" s="474" t="s">
        <v>2472</v>
      </c>
      <c r="AK616" s="494" t="s">
        <v>1133</v>
      </c>
      <c r="AL616" s="474">
        <v>85008</v>
      </c>
      <c r="AM616" s="474" t="s">
        <v>52</v>
      </c>
      <c r="AN616" s="474"/>
      <c r="AO616" s="474"/>
      <c r="AP616" s="486"/>
      <c r="AQ616" s="486" t="s">
        <v>37</v>
      </c>
      <c r="AR616" s="486"/>
      <c r="AS616" s="495"/>
      <c r="AT616" s="495"/>
      <c r="AU616" s="495"/>
      <c r="AV616" s="478"/>
    </row>
    <row r="617" spans="1:48" s="471" customFormat="1" ht="15" customHeight="1">
      <c r="A617" s="472"/>
      <c r="B617" s="514">
        <v>44557</v>
      </c>
      <c r="C617" s="472"/>
      <c r="D617" s="512" t="s">
        <v>2322</v>
      </c>
      <c r="E617" s="501" t="s">
        <v>2726</v>
      </c>
      <c r="F617" s="501"/>
      <c r="G617" s="501">
        <v>2022</v>
      </c>
      <c r="H617" s="501" t="s">
        <v>1676</v>
      </c>
      <c r="I617" s="512" t="s">
        <v>1676</v>
      </c>
      <c r="J617" s="502"/>
      <c r="K617" s="503" t="s">
        <v>4601</v>
      </c>
      <c r="L617" s="501" t="s">
        <v>2551</v>
      </c>
      <c r="M617" s="504">
        <v>44545</v>
      </c>
      <c r="N617" s="504">
        <v>44880</v>
      </c>
      <c r="O617" s="504"/>
      <c r="P617" s="502"/>
      <c r="Q617" s="502"/>
      <c r="R617" s="502"/>
      <c r="S617" s="501" t="s">
        <v>1563</v>
      </c>
      <c r="T617" s="501">
        <v>60</v>
      </c>
      <c r="U617" s="501">
        <v>49201132</v>
      </c>
      <c r="V617" s="501" t="s">
        <v>986</v>
      </c>
      <c r="W617" s="501">
        <v>360</v>
      </c>
      <c r="X617" s="505">
        <v>832</v>
      </c>
      <c r="Y617" s="477">
        <f t="shared" si="111"/>
        <v>299520</v>
      </c>
      <c r="Z617" s="478">
        <f>181.8/360</f>
        <v>0.505</v>
      </c>
      <c r="AA617" s="492">
        <f t="shared" si="108"/>
        <v>151257.60000000001</v>
      </c>
      <c r="AB617" s="480"/>
      <c r="AC617" s="481">
        <f t="shared" si="109"/>
        <v>0</v>
      </c>
      <c r="AD617" s="490"/>
      <c r="AE617" s="482"/>
      <c r="AF617" s="493">
        <f t="shared" si="112"/>
        <v>151257.60000000001</v>
      </c>
      <c r="AG617" s="474" t="s">
        <v>1071</v>
      </c>
      <c r="AH617" s="474"/>
      <c r="AI617" s="483" t="s">
        <v>2442</v>
      </c>
      <c r="AJ617" s="474" t="s">
        <v>2472</v>
      </c>
      <c r="AK617" s="494" t="s">
        <v>1133</v>
      </c>
      <c r="AL617" s="474">
        <v>85008</v>
      </c>
      <c r="AM617" s="474" t="s">
        <v>52</v>
      </c>
      <c r="AN617" s="474"/>
      <c r="AO617" s="474"/>
      <c r="AP617" s="486"/>
      <c r="AQ617" s="486" t="s">
        <v>37</v>
      </c>
      <c r="AR617" s="486"/>
      <c r="AS617" s="495"/>
      <c r="AT617" s="495"/>
      <c r="AU617" s="495"/>
      <c r="AV617" s="478"/>
    </row>
    <row r="618" spans="1:48" s="471" customFormat="1" ht="15" customHeight="1">
      <c r="A618" s="472"/>
      <c r="B618" s="514">
        <v>44557</v>
      </c>
      <c r="C618" s="472"/>
      <c r="D618" s="512" t="s">
        <v>2322</v>
      </c>
      <c r="E618" s="501" t="s">
        <v>2726</v>
      </c>
      <c r="F618" s="501"/>
      <c r="G618" s="501">
        <v>2022</v>
      </c>
      <c r="H618" s="501" t="s">
        <v>1676</v>
      </c>
      <c r="I618" s="512" t="s">
        <v>1676</v>
      </c>
      <c r="J618" s="502"/>
      <c r="K618" s="503" t="s">
        <v>4602</v>
      </c>
      <c r="L618" s="501" t="s">
        <v>2551</v>
      </c>
      <c r="M618" s="504">
        <v>44545</v>
      </c>
      <c r="N618" s="504">
        <v>44896</v>
      </c>
      <c r="O618" s="504"/>
      <c r="P618" s="502"/>
      <c r="Q618" s="502"/>
      <c r="R618" s="502"/>
      <c r="S618" s="501" t="s">
        <v>1563</v>
      </c>
      <c r="T618" s="501">
        <v>60</v>
      </c>
      <c r="U618" s="501">
        <v>49401140</v>
      </c>
      <c r="V618" s="501" t="s">
        <v>973</v>
      </c>
      <c r="W618" s="501">
        <v>400</v>
      </c>
      <c r="X618" s="505">
        <v>768</v>
      </c>
      <c r="Y618" s="477">
        <f t="shared" si="111"/>
        <v>307200</v>
      </c>
      <c r="Z618" s="478">
        <f>210/400</f>
        <v>0.52500000000000002</v>
      </c>
      <c r="AA618" s="492">
        <f t="shared" si="108"/>
        <v>161280</v>
      </c>
      <c r="AB618" s="480"/>
      <c r="AC618" s="481">
        <f t="shared" si="109"/>
        <v>0</v>
      </c>
      <c r="AD618" s="490"/>
      <c r="AE618" s="482"/>
      <c r="AF618" s="493">
        <f t="shared" si="112"/>
        <v>161280</v>
      </c>
      <c r="AG618" s="474" t="s">
        <v>1071</v>
      </c>
      <c r="AH618" s="474"/>
      <c r="AI618" s="483" t="s">
        <v>2442</v>
      </c>
      <c r="AJ618" s="474" t="s">
        <v>2472</v>
      </c>
      <c r="AK618" s="494" t="s">
        <v>1133</v>
      </c>
      <c r="AL618" s="474">
        <v>85008</v>
      </c>
      <c r="AM618" s="474" t="s">
        <v>52</v>
      </c>
      <c r="AN618" s="474"/>
      <c r="AO618" s="474"/>
      <c r="AP618" s="486"/>
      <c r="AQ618" s="486" t="s">
        <v>37</v>
      </c>
      <c r="AR618" s="486"/>
      <c r="AS618" s="495"/>
      <c r="AT618" s="495"/>
      <c r="AU618" s="495"/>
      <c r="AV618" s="478"/>
    </row>
    <row r="619" spans="1:48" s="471" customFormat="1" ht="15" customHeight="1">
      <c r="A619" s="472"/>
      <c r="B619" s="514">
        <v>44557</v>
      </c>
      <c r="C619" s="472"/>
      <c r="D619" s="512" t="s">
        <v>2322</v>
      </c>
      <c r="E619" s="501" t="s">
        <v>2726</v>
      </c>
      <c r="F619" s="501"/>
      <c r="G619" s="501">
        <v>2022</v>
      </c>
      <c r="H619" s="501" t="s">
        <v>1676</v>
      </c>
      <c r="I619" s="512" t="s">
        <v>1676</v>
      </c>
      <c r="J619" s="502"/>
      <c r="K619" s="503" t="s">
        <v>4603</v>
      </c>
      <c r="L619" s="501" t="s">
        <v>2551</v>
      </c>
      <c r="M619" s="504">
        <v>44545</v>
      </c>
      <c r="N619" s="504">
        <v>44903</v>
      </c>
      <c r="O619" s="504"/>
      <c r="P619" s="502"/>
      <c r="Q619" s="502"/>
      <c r="R619" s="502"/>
      <c r="S619" s="501" t="s">
        <v>1563</v>
      </c>
      <c r="T619" s="501">
        <v>60</v>
      </c>
      <c r="U619" s="501">
        <v>49401140</v>
      </c>
      <c r="V619" s="501" t="s">
        <v>973</v>
      </c>
      <c r="W619" s="501">
        <v>400</v>
      </c>
      <c r="X619" s="505">
        <v>768</v>
      </c>
      <c r="Y619" s="477">
        <f t="shared" si="111"/>
        <v>307200</v>
      </c>
      <c r="Z619" s="478">
        <f>210/400</f>
        <v>0.52500000000000002</v>
      </c>
      <c r="AA619" s="492">
        <f t="shared" si="108"/>
        <v>161280</v>
      </c>
      <c r="AB619" s="480"/>
      <c r="AC619" s="481">
        <f t="shared" si="109"/>
        <v>0</v>
      </c>
      <c r="AD619" s="490"/>
      <c r="AE619" s="482"/>
      <c r="AF619" s="493">
        <f t="shared" si="112"/>
        <v>161280</v>
      </c>
      <c r="AG619" s="474" t="s">
        <v>1071</v>
      </c>
      <c r="AH619" s="474"/>
      <c r="AI619" s="483" t="s">
        <v>2442</v>
      </c>
      <c r="AJ619" s="474" t="s">
        <v>2472</v>
      </c>
      <c r="AK619" s="494" t="s">
        <v>1133</v>
      </c>
      <c r="AL619" s="474">
        <v>85008</v>
      </c>
      <c r="AM619" s="474" t="s">
        <v>52</v>
      </c>
      <c r="AN619" s="474"/>
      <c r="AO619" s="474"/>
      <c r="AP619" s="486"/>
      <c r="AQ619" s="486" t="s">
        <v>37</v>
      </c>
      <c r="AR619" s="486"/>
      <c r="AS619" s="495"/>
      <c r="AT619" s="495"/>
      <c r="AU619" s="495"/>
      <c r="AV619" s="478"/>
    </row>
    <row r="620" spans="1:48" s="471" customFormat="1" ht="15" customHeight="1">
      <c r="A620" s="472"/>
      <c r="B620" s="514">
        <v>44557</v>
      </c>
      <c r="C620" s="472"/>
      <c r="D620" s="512" t="s">
        <v>2322</v>
      </c>
      <c r="E620" s="501" t="s">
        <v>2726</v>
      </c>
      <c r="F620" s="501"/>
      <c r="G620" s="501">
        <v>2022</v>
      </c>
      <c r="H620" s="501" t="s">
        <v>1676</v>
      </c>
      <c r="I620" s="512" t="s">
        <v>1676</v>
      </c>
      <c r="J620" s="502"/>
      <c r="K620" s="503" t="s">
        <v>4604</v>
      </c>
      <c r="L620" s="501" t="s">
        <v>2551</v>
      </c>
      <c r="M620" s="504">
        <v>44545</v>
      </c>
      <c r="N620" s="504">
        <v>44908</v>
      </c>
      <c r="O620" s="504"/>
      <c r="P620" s="502"/>
      <c r="Q620" s="502"/>
      <c r="R620" s="502"/>
      <c r="S620" s="501" t="s">
        <v>1563</v>
      </c>
      <c r="T620" s="501">
        <v>60</v>
      </c>
      <c r="U620" s="501">
        <v>49201132</v>
      </c>
      <c r="V620" s="501" t="s">
        <v>986</v>
      </c>
      <c r="W620" s="501">
        <v>360</v>
      </c>
      <c r="X620" s="505">
        <v>832</v>
      </c>
      <c r="Y620" s="477">
        <f t="shared" si="111"/>
        <v>299520</v>
      </c>
      <c r="Z620" s="478">
        <f>181.8/360</f>
        <v>0.505</v>
      </c>
      <c r="AA620" s="492">
        <f t="shared" si="108"/>
        <v>151257.60000000001</v>
      </c>
      <c r="AB620" s="480"/>
      <c r="AC620" s="481">
        <f t="shared" si="109"/>
        <v>0</v>
      </c>
      <c r="AD620" s="490"/>
      <c r="AE620" s="482"/>
      <c r="AF620" s="493">
        <f t="shared" si="112"/>
        <v>151257.60000000001</v>
      </c>
      <c r="AG620" s="474" t="s">
        <v>1071</v>
      </c>
      <c r="AH620" s="474"/>
      <c r="AI620" s="483" t="s">
        <v>2442</v>
      </c>
      <c r="AJ620" s="474" t="s">
        <v>2472</v>
      </c>
      <c r="AK620" s="494" t="s">
        <v>1133</v>
      </c>
      <c r="AL620" s="474">
        <v>85008</v>
      </c>
      <c r="AM620" s="474" t="s">
        <v>52</v>
      </c>
      <c r="AN620" s="474"/>
      <c r="AO620" s="474"/>
      <c r="AP620" s="486"/>
      <c r="AQ620" s="486" t="s">
        <v>37</v>
      </c>
      <c r="AR620" s="486"/>
      <c r="AS620" s="495"/>
      <c r="AT620" s="495"/>
      <c r="AU620" s="495"/>
      <c r="AV620" s="478"/>
    </row>
    <row r="621" spans="1:48" s="471" customFormat="1" ht="15" customHeight="1">
      <c r="A621" s="472"/>
      <c r="B621" s="514">
        <v>44557</v>
      </c>
      <c r="C621" s="472"/>
      <c r="D621" s="512" t="s">
        <v>2322</v>
      </c>
      <c r="E621" s="501" t="s">
        <v>2726</v>
      </c>
      <c r="F621" s="501"/>
      <c r="G621" s="501">
        <v>2022</v>
      </c>
      <c r="H621" s="501" t="s">
        <v>1676</v>
      </c>
      <c r="I621" s="512" t="s">
        <v>1676</v>
      </c>
      <c r="J621" s="502"/>
      <c r="K621" s="503" t="s">
        <v>4605</v>
      </c>
      <c r="L621" s="501" t="s">
        <v>2551</v>
      </c>
      <c r="M621" s="504">
        <v>44545</v>
      </c>
      <c r="N621" s="504">
        <v>44909</v>
      </c>
      <c r="O621" s="504"/>
      <c r="P621" s="502"/>
      <c r="Q621" s="502"/>
      <c r="R621" s="502"/>
      <c r="S621" s="501" t="s">
        <v>1563</v>
      </c>
      <c r="T621" s="501">
        <v>60</v>
      </c>
      <c r="U621" s="501">
        <v>49401140</v>
      </c>
      <c r="V621" s="501" t="s">
        <v>973</v>
      </c>
      <c r="W621" s="501">
        <v>400</v>
      </c>
      <c r="X621" s="505">
        <v>768</v>
      </c>
      <c r="Y621" s="477">
        <f t="shared" si="111"/>
        <v>307200</v>
      </c>
      <c r="Z621" s="478">
        <f>210/400</f>
        <v>0.52500000000000002</v>
      </c>
      <c r="AA621" s="492">
        <f t="shared" si="108"/>
        <v>161280</v>
      </c>
      <c r="AB621" s="480"/>
      <c r="AC621" s="481">
        <f t="shared" si="109"/>
        <v>0</v>
      </c>
      <c r="AD621" s="490"/>
      <c r="AE621" s="482"/>
      <c r="AF621" s="493">
        <f t="shared" si="112"/>
        <v>161280</v>
      </c>
      <c r="AG621" s="474" t="s">
        <v>1071</v>
      </c>
      <c r="AH621" s="474"/>
      <c r="AI621" s="483" t="s">
        <v>2442</v>
      </c>
      <c r="AJ621" s="474" t="s">
        <v>2472</v>
      </c>
      <c r="AK621" s="494" t="s">
        <v>1133</v>
      </c>
      <c r="AL621" s="474">
        <v>85508</v>
      </c>
      <c r="AM621" s="474" t="s">
        <v>52</v>
      </c>
      <c r="AN621" s="474"/>
      <c r="AO621" s="474"/>
      <c r="AP621" s="486"/>
      <c r="AQ621" s="486" t="s">
        <v>37</v>
      </c>
      <c r="AR621" s="486"/>
      <c r="AS621" s="495"/>
      <c r="AT621" s="495"/>
      <c r="AU621" s="495"/>
      <c r="AV621" s="478"/>
    </row>
    <row r="622" spans="1:48" s="471" customFormat="1" ht="15" customHeight="1">
      <c r="A622" s="472"/>
      <c r="B622" s="514">
        <v>44557</v>
      </c>
      <c r="C622" s="472"/>
      <c r="D622" s="512" t="s">
        <v>2322</v>
      </c>
      <c r="E622" s="501" t="s">
        <v>2726</v>
      </c>
      <c r="F622" s="501"/>
      <c r="G622" s="501">
        <v>2022</v>
      </c>
      <c r="H622" s="501" t="s">
        <v>1676</v>
      </c>
      <c r="I622" s="512" t="s">
        <v>1676</v>
      </c>
      <c r="J622" s="502"/>
      <c r="K622" s="503" t="s">
        <v>4606</v>
      </c>
      <c r="L622" s="501" t="s">
        <v>2551</v>
      </c>
      <c r="M622" s="504">
        <v>44545</v>
      </c>
      <c r="N622" s="504">
        <v>44918</v>
      </c>
      <c r="O622" s="504"/>
      <c r="P622" s="502"/>
      <c r="Q622" s="502"/>
      <c r="R622" s="502"/>
      <c r="S622" s="501" t="s">
        <v>1563</v>
      </c>
      <c r="T622" s="501">
        <v>60</v>
      </c>
      <c r="U622" s="501">
        <v>49401140</v>
      </c>
      <c r="V622" s="501" t="s">
        <v>973</v>
      </c>
      <c r="W622" s="501">
        <v>400</v>
      </c>
      <c r="X622" s="505">
        <v>768</v>
      </c>
      <c r="Y622" s="477">
        <f t="shared" si="111"/>
        <v>307200</v>
      </c>
      <c r="Z622" s="478">
        <f>210/400</f>
        <v>0.52500000000000002</v>
      </c>
      <c r="AA622" s="492">
        <f t="shared" si="108"/>
        <v>161280</v>
      </c>
      <c r="AB622" s="480"/>
      <c r="AC622" s="481">
        <f t="shared" si="109"/>
        <v>0</v>
      </c>
      <c r="AD622" s="490"/>
      <c r="AE622" s="482"/>
      <c r="AF622" s="493">
        <f t="shared" si="112"/>
        <v>161280</v>
      </c>
      <c r="AG622" s="474" t="s">
        <v>1071</v>
      </c>
      <c r="AH622" s="474"/>
      <c r="AI622" s="483" t="s">
        <v>2442</v>
      </c>
      <c r="AJ622" s="474" t="s">
        <v>2472</v>
      </c>
      <c r="AK622" s="494" t="s">
        <v>1133</v>
      </c>
      <c r="AL622" s="474">
        <v>85508</v>
      </c>
      <c r="AM622" s="474" t="s">
        <v>52</v>
      </c>
      <c r="AN622" s="474"/>
      <c r="AO622" s="474"/>
      <c r="AP622" s="486"/>
      <c r="AQ622" s="486" t="s">
        <v>37</v>
      </c>
      <c r="AR622" s="486"/>
      <c r="AS622" s="495"/>
      <c r="AT622" s="495"/>
      <c r="AU622" s="495"/>
      <c r="AV622" s="478"/>
    </row>
    <row r="623" spans="1:48" s="471" customFormat="1" ht="15" customHeight="1">
      <c r="A623" s="472"/>
      <c r="B623" s="514">
        <v>44557</v>
      </c>
      <c r="C623" s="472"/>
      <c r="D623" s="512" t="s">
        <v>2322</v>
      </c>
      <c r="E623" s="501" t="s">
        <v>2726</v>
      </c>
      <c r="F623" s="501"/>
      <c r="G623" s="501">
        <v>2022</v>
      </c>
      <c r="H623" s="501" t="s">
        <v>1676</v>
      </c>
      <c r="I623" s="512" t="s">
        <v>1676</v>
      </c>
      <c r="J623" s="502"/>
      <c r="K623" s="503" t="s">
        <v>4607</v>
      </c>
      <c r="L623" s="501" t="s">
        <v>2551</v>
      </c>
      <c r="M623" s="504">
        <v>44544</v>
      </c>
      <c r="N623" s="504">
        <v>44656</v>
      </c>
      <c r="O623" s="504"/>
      <c r="P623" s="502"/>
      <c r="Q623" s="502"/>
      <c r="R623" s="502"/>
      <c r="S623" s="501" t="s">
        <v>1563</v>
      </c>
      <c r="T623" s="501">
        <v>60</v>
      </c>
      <c r="U623" s="501">
        <v>49401140</v>
      </c>
      <c r="V623" s="501" t="s">
        <v>973</v>
      </c>
      <c r="W623" s="501">
        <v>400</v>
      </c>
      <c r="X623" s="505">
        <v>768</v>
      </c>
      <c r="Y623" s="477">
        <f t="shared" si="111"/>
        <v>307200</v>
      </c>
      <c r="Z623" s="478">
        <f>210/400</f>
        <v>0.52500000000000002</v>
      </c>
      <c r="AA623" s="492">
        <f t="shared" si="108"/>
        <v>161280</v>
      </c>
      <c r="AB623" s="480"/>
      <c r="AC623" s="481">
        <f t="shared" si="109"/>
        <v>0</v>
      </c>
      <c r="AD623" s="490"/>
      <c r="AE623" s="482"/>
      <c r="AF623" s="493">
        <f t="shared" si="112"/>
        <v>161280</v>
      </c>
      <c r="AG623" s="474" t="s">
        <v>1071</v>
      </c>
      <c r="AH623" s="474"/>
      <c r="AI623" s="483" t="s">
        <v>2442</v>
      </c>
      <c r="AJ623" s="474" t="s">
        <v>2366</v>
      </c>
      <c r="AK623" s="494" t="s">
        <v>1395</v>
      </c>
      <c r="AL623" s="474">
        <v>89120</v>
      </c>
      <c r="AM623" s="474" t="s">
        <v>52</v>
      </c>
      <c r="AN623" s="474"/>
      <c r="AO623" s="474"/>
      <c r="AP623" s="486"/>
      <c r="AQ623" s="486" t="s">
        <v>37</v>
      </c>
      <c r="AR623" s="486"/>
      <c r="AS623" s="495"/>
      <c r="AT623" s="495"/>
      <c r="AU623" s="495"/>
      <c r="AV623" s="478"/>
    </row>
    <row r="624" spans="1:48" s="471" customFormat="1" ht="15" customHeight="1">
      <c r="A624" s="472"/>
      <c r="B624" s="514">
        <v>44557</v>
      </c>
      <c r="C624" s="472"/>
      <c r="D624" s="512" t="s">
        <v>2322</v>
      </c>
      <c r="E624" s="501" t="s">
        <v>2726</v>
      </c>
      <c r="F624" s="501"/>
      <c r="G624" s="501">
        <v>2022</v>
      </c>
      <c r="H624" s="501" t="s">
        <v>1676</v>
      </c>
      <c r="I624" s="512" t="s">
        <v>1676</v>
      </c>
      <c r="J624" s="502"/>
      <c r="K624" s="503" t="s">
        <v>4608</v>
      </c>
      <c r="L624" s="501" t="s">
        <v>2551</v>
      </c>
      <c r="M624" s="504">
        <v>44544</v>
      </c>
      <c r="N624" s="504">
        <v>44747</v>
      </c>
      <c r="O624" s="504"/>
      <c r="P624" s="502"/>
      <c r="Q624" s="502"/>
      <c r="R624" s="502"/>
      <c r="S624" s="501" t="s">
        <v>1563</v>
      </c>
      <c r="T624" s="501">
        <v>60</v>
      </c>
      <c r="U624" s="501">
        <v>49401140</v>
      </c>
      <c r="V624" s="501" t="s">
        <v>973</v>
      </c>
      <c r="W624" s="501">
        <v>400</v>
      </c>
      <c r="X624" s="505">
        <v>768</v>
      </c>
      <c r="Y624" s="477">
        <f t="shared" si="111"/>
        <v>307200</v>
      </c>
      <c r="Z624" s="478">
        <f>210/400</f>
        <v>0.52500000000000002</v>
      </c>
      <c r="AA624" s="492">
        <f t="shared" si="108"/>
        <v>161280</v>
      </c>
      <c r="AB624" s="480"/>
      <c r="AC624" s="481">
        <f t="shared" si="109"/>
        <v>0</v>
      </c>
      <c r="AD624" s="490"/>
      <c r="AE624" s="482"/>
      <c r="AF624" s="493">
        <f t="shared" si="112"/>
        <v>161280</v>
      </c>
      <c r="AG624" s="474" t="s">
        <v>1071</v>
      </c>
      <c r="AH624" s="474"/>
      <c r="AI624" s="483" t="s">
        <v>2442</v>
      </c>
      <c r="AJ624" s="474" t="s">
        <v>2366</v>
      </c>
      <c r="AK624" s="494" t="s">
        <v>1395</v>
      </c>
      <c r="AL624" s="474">
        <v>89120</v>
      </c>
      <c r="AM624" s="474" t="s">
        <v>52</v>
      </c>
      <c r="AN624" s="474"/>
      <c r="AO624" s="474"/>
      <c r="AP624" s="486"/>
      <c r="AQ624" s="486" t="s">
        <v>37</v>
      </c>
      <c r="AR624" s="486"/>
      <c r="AS624" s="495"/>
      <c r="AT624" s="495"/>
      <c r="AU624" s="495"/>
      <c r="AV624" s="478"/>
    </row>
    <row r="625" spans="1:48" s="471" customFormat="1" ht="15" customHeight="1">
      <c r="A625" s="472"/>
      <c r="B625" s="514">
        <v>44557</v>
      </c>
      <c r="C625" s="472"/>
      <c r="D625" s="512" t="s">
        <v>2322</v>
      </c>
      <c r="E625" s="501" t="s">
        <v>2726</v>
      </c>
      <c r="F625" s="501"/>
      <c r="G625" s="501">
        <v>2022</v>
      </c>
      <c r="H625" s="501" t="s">
        <v>1676</v>
      </c>
      <c r="I625" s="512" t="s">
        <v>1676</v>
      </c>
      <c r="J625" s="502"/>
      <c r="K625" s="503" t="s">
        <v>4609</v>
      </c>
      <c r="L625" s="501" t="s">
        <v>2551</v>
      </c>
      <c r="M625" s="504">
        <v>44545</v>
      </c>
      <c r="N625" s="504">
        <v>44872</v>
      </c>
      <c r="O625" s="504"/>
      <c r="P625" s="502"/>
      <c r="Q625" s="502"/>
      <c r="R625" s="502"/>
      <c r="S625" s="501" t="s">
        <v>1563</v>
      </c>
      <c r="T625" s="501">
        <v>60</v>
      </c>
      <c r="U625" s="501">
        <v>49401140</v>
      </c>
      <c r="V625" s="501" t="s">
        <v>973</v>
      </c>
      <c r="W625" s="501">
        <v>400</v>
      </c>
      <c r="X625" s="505">
        <v>768</v>
      </c>
      <c r="Y625" s="477">
        <f t="shared" si="111"/>
        <v>307200</v>
      </c>
      <c r="Z625" s="478">
        <f>210/400</f>
        <v>0.52500000000000002</v>
      </c>
      <c r="AA625" s="492">
        <f t="shared" si="108"/>
        <v>161280</v>
      </c>
      <c r="AB625" s="480"/>
      <c r="AC625" s="481">
        <f t="shared" si="109"/>
        <v>0</v>
      </c>
      <c r="AD625" s="490"/>
      <c r="AE625" s="482"/>
      <c r="AF625" s="493">
        <f t="shared" si="112"/>
        <v>161280</v>
      </c>
      <c r="AG625" s="474" t="s">
        <v>1071</v>
      </c>
      <c r="AH625" s="474"/>
      <c r="AI625" s="483" t="s">
        <v>2442</v>
      </c>
      <c r="AJ625" s="474" t="s">
        <v>2366</v>
      </c>
      <c r="AK625" s="494" t="s">
        <v>1395</v>
      </c>
      <c r="AL625" s="474">
        <v>89120</v>
      </c>
      <c r="AM625" s="474" t="s">
        <v>52</v>
      </c>
      <c r="AN625" s="474"/>
      <c r="AO625" s="474"/>
      <c r="AP625" s="486"/>
      <c r="AQ625" s="486" t="s">
        <v>37</v>
      </c>
      <c r="AR625" s="486"/>
      <c r="AS625" s="495"/>
      <c r="AT625" s="495"/>
      <c r="AU625" s="495"/>
      <c r="AV625" s="478"/>
    </row>
    <row r="626" spans="1:48" s="471" customFormat="1" ht="15" customHeight="1">
      <c r="A626" s="472"/>
      <c r="B626" s="514">
        <v>44557</v>
      </c>
      <c r="C626" s="472"/>
      <c r="D626" s="512" t="s">
        <v>2322</v>
      </c>
      <c r="E626" s="501" t="s">
        <v>2789</v>
      </c>
      <c r="F626" s="501"/>
      <c r="G626" s="501">
        <v>2022</v>
      </c>
      <c r="H626" s="501" t="s">
        <v>1676</v>
      </c>
      <c r="I626" s="512" t="s">
        <v>1676</v>
      </c>
      <c r="J626" s="502"/>
      <c r="K626" s="503" t="s">
        <v>4610</v>
      </c>
      <c r="L626" s="501" t="s">
        <v>2459</v>
      </c>
      <c r="M626" s="504">
        <v>44545</v>
      </c>
      <c r="N626" s="504">
        <v>44854</v>
      </c>
      <c r="O626" s="504"/>
      <c r="P626" s="370"/>
      <c r="Q626" s="502"/>
      <c r="R626" s="502"/>
      <c r="S626" s="501" t="s">
        <v>1563</v>
      </c>
      <c r="T626" s="501">
        <v>60</v>
      </c>
      <c r="U626" s="371">
        <v>49401140</v>
      </c>
      <c r="V626" s="501" t="s">
        <v>2855</v>
      </c>
      <c r="W626" s="501">
        <v>400</v>
      </c>
      <c r="X626" s="505">
        <v>768</v>
      </c>
      <c r="Y626" s="477">
        <f t="shared" si="111"/>
        <v>307200</v>
      </c>
      <c r="Z626" s="478">
        <v>0.52500000000000002</v>
      </c>
      <c r="AA626" s="492">
        <f t="shared" si="108"/>
        <v>161280</v>
      </c>
      <c r="AB626" s="480"/>
      <c r="AC626" s="481">
        <f t="shared" si="109"/>
        <v>0</v>
      </c>
      <c r="AD626" s="490"/>
      <c r="AE626" s="482"/>
      <c r="AF626" s="493">
        <f t="shared" si="112"/>
        <v>161280</v>
      </c>
      <c r="AG626" s="474" t="s">
        <v>1071</v>
      </c>
      <c r="AH626" s="474"/>
      <c r="AI626" s="483">
        <v>60</v>
      </c>
      <c r="AJ626" s="474" t="s">
        <v>2621</v>
      </c>
      <c r="AK626" s="494" t="s">
        <v>1144</v>
      </c>
      <c r="AL626" s="474">
        <v>78216</v>
      </c>
      <c r="AM626" s="474" t="s">
        <v>52</v>
      </c>
      <c r="AN626" s="474" t="s">
        <v>1074</v>
      </c>
      <c r="AO626" s="474"/>
      <c r="AP626" s="486"/>
      <c r="AQ626" s="486" t="s">
        <v>37</v>
      </c>
      <c r="AR626" s="486"/>
      <c r="AS626" s="495"/>
      <c r="AT626" s="495"/>
      <c r="AU626" s="378"/>
      <c r="AV626" s="478"/>
    </row>
    <row r="627" spans="1:48" s="471" customFormat="1" ht="15" customHeight="1">
      <c r="A627" s="472"/>
      <c r="B627" s="514">
        <v>44557</v>
      </c>
      <c r="C627" s="472"/>
      <c r="D627" s="512" t="s">
        <v>2322</v>
      </c>
      <c r="E627" s="501" t="s">
        <v>2789</v>
      </c>
      <c r="F627" s="501"/>
      <c r="G627" s="501">
        <v>2022</v>
      </c>
      <c r="H627" s="501" t="s">
        <v>1676</v>
      </c>
      <c r="I627" s="512" t="s">
        <v>1676</v>
      </c>
      <c r="J627" s="502"/>
      <c r="K627" s="503" t="s">
        <v>4611</v>
      </c>
      <c r="L627" s="501" t="s">
        <v>2459</v>
      </c>
      <c r="M627" s="504">
        <v>44545</v>
      </c>
      <c r="N627" s="504">
        <v>44856</v>
      </c>
      <c r="O627" s="504"/>
      <c r="P627" s="370"/>
      <c r="Q627" s="502"/>
      <c r="R627" s="502"/>
      <c r="S627" s="501" t="s">
        <v>1563</v>
      </c>
      <c r="T627" s="501">
        <v>60</v>
      </c>
      <c r="U627" s="371">
        <v>49401140</v>
      </c>
      <c r="V627" s="501" t="s">
        <v>2855</v>
      </c>
      <c r="W627" s="501">
        <v>400</v>
      </c>
      <c r="X627" s="505">
        <v>768</v>
      </c>
      <c r="Y627" s="477">
        <f t="shared" si="111"/>
        <v>307200</v>
      </c>
      <c r="Z627" s="478">
        <v>0.52500000000000002</v>
      </c>
      <c r="AA627" s="492">
        <f t="shared" si="108"/>
        <v>161280</v>
      </c>
      <c r="AB627" s="480"/>
      <c r="AC627" s="481">
        <f t="shared" si="109"/>
        <v>0</v>
      </c>
      <c r="AD627" s="490"/>
      <c r="AE627" s="482"/>
      <c r="AF627" s="493">
        <f t="shared" si="112"/>
        <v>161280</v>
      </c>
      <c r="AG627" s="474" t="s">
        <v>1071</v>
      </c>
      <c r="AH627" s="474"/>
      <c r="AI627" s="483">
        <v>60</v>
      </c>
      <c r="AJ627" s="474" t="s">
        <v>2621</v>
      </c>
      <c r="AK627" s="494" t="s">
        <v>1144</v>
      </c>
      <c r="AL627" s="474">
        <v>78216</v>
      </c>
      <c r="AM627" s="474" t="s">
        <v>52</v>
      </c>
      <c r="AN627" s="474" t="s">
        <v>1074</v>
      </c>
      <c r="AO627" s="474"/>
      <c r="AP627" s="486"/>
      <c r="AQ627" s="486" t="s">
        <v>37</v>
      </c>
      <c r="AR627" s="486"/>
      <c r="AS627" s="495"/>
      <c r="AT627" s="495"/>
      <c r="AU627" s="378"/>
      <c r="AV627" s="478"/>
    </row>
    <row r="628" spans="1:48" s="471" customFormat="1" ht="15" customHeight="1">
      <c r="A628" s="472"/>
      <c r="B628" s="514">
        <v>44557</v>
      </c>
      <c r="C628" s="472"/>
      <c r="D628" s="512" t="s">
        <v>2322</v>
      </c>
      <c r="E628" s="501" t="s">
        <v>2789</v>
      </c>
      <c r="F628" s="501"/>
      <c r="G628" s="501">
        <v>2022</v>
      </c>
      <c r="H628" s="501" t="s">
        <v>1676</v>
      </c>
      <c r="I628" s="512" t="s">
        <v>1676</v>
      </c>
      <c r="J628" s="502"/>
      <c r="K628" s="503" t="s">
        <v>4612</v>
      </c>
      <c r="L628" s="501" t="s">
        <v>2459</v>
      </c>
      <c r="M628" s="504">
        <v>44545</v>
      </c>
      <c r="N628" s="504">
        <v>44866</v>
      </c>
      <c r="O628" s="504"/>
      <c r="P628" s="370"/>
      <c r="Q628" s="502"/>
      <c r="R628" s="502"/>
      <c r="S628" s="501" t="s">
        <v>1563</v>
      </c>
      <c r="T628" s="501">
        <v>60</v>
      </c>
      <c r="U628" s="371">
        <v>49401140</v>
      </c>
      <c r="V628" s="501" t="s">
        <v>2855</v>
      </c>
      <c r="W628" s="501">
        <v>400</v>
      </c>
      <c r="X628" s="505">
        <v>768</v>
      </c>
      <c r="Y628" s="477">
        <f>X628*W628</f>
        <v>307200</v>
      </c>
      <c r="Z628" s="478">
        <v>0.52500000000000002</v>
      </c>
      <c r="AA628" s="479">
        <f>Z628*Y628</f>
        <v>161280</v>
      </c>
      <c r="AB628" s="480"/>
      <c r="AC628" s="481">
        <f>AB628*Y628</f>
        <v>0</v>
      </c>
      <c r="AD628" s="490"/>
      <c r="AE628" s="482"/>
      <c r="AF628" s="493">
        <f>AA628+AE628</f>
        <v>161280</v>
      </c>
      <c r="AG628" s="474" t="s">
        <v>1071</v>
      </c>
      <c r="AH628" s="474"/>
      <c r="AI628" s="483">
        <v>60</v>
      </c>
      <c r="AJ628" s="474" t="s">
        <v>2621</v>
      </c>
      <c r="AK628" s="494" t="s">
        <v>1144</v>
      </c>
      <c r="AL628" s="474">
        <v>78216</v>
      </c>
      <c r="AM628" s="474" t="s">
        <v>52</v>
      </c>
      <c r="AN628" s="474" t="s">
        <v>1074</v>
      </c>
      <c r="AO628" s="474"/>
      <c r="AP628" s="486"/>
      <c r="AQ628" s="486" t="s">
        <v>37</v>
      </c>
      <c r="AR628" s="486"/>
      <c r="AS628" s="495"/>
      <c r="AT628" s="495"/>
      <c r="AU628" s="378"/>
      <c r="AV628" s="478"/>
    </row>
    <row r="629" spans="1:48" s="471" customFormat="1" ht="15" customHeight="1">
      <c r="A629" s="472"/>
      <c r="B629" s="514">
        <v>44557</v>
      </c>
      <c r="C629" s="472"/>
      <c r="D629" s="512" t="s">
        <v>2322</v>
      </c>
      <c r="E629" s="501" t="s">
        <v>2789</v>
      </c>
      <c r="F629" s="501"/>
      <c r="G629" s="501">
        <v>2022</v>
      </c>
      <c r="H629" s="501" t="s">
        <v>1676</v>
      </c>
      <c r="I629" s="512" t="s">
        <v>1676</v>
      </c>
      <c r="J629" s="502"/>
      <c r="K629" s="503" t="s">
        <v>5570</v>
      </c>
      <c r="L629" s="501" t="s">
        <v>2459</v>
      </c>
      <c r="M629" s="504">
        <v>44673</v>
      </c>
      <c r="N629" s="504">
        <v>44673</v>
      </c>
      <c r="O629" s="504"/>
      <c r="P629" s="370"/>
      <c r="Q629" s="502"/>
      <c r="R629" s="502"/>
      <c r="S629" s="501" t="s">
        <v>1563</v>
      </c>
      <c r="T629" s="501">
        <v>60</v>
      </c>
      <c r="U629" s="371">
        <v>49401140</v>
      </c>
      <c r="V629" s="501" t="s">
        <v>2855</v>
      </c>
      <c r="W629" s="501">
        <v>400</v>
      </c>
      <c r="X629" s="505">
        <v>768</v>
      </c>
      <c r="Y629" s="477">
        <f t="shared" si="111"/>
        <v>307200</v>
      </c>
      <c r="Z629" s="478">
        <f>197.86/400</f>
        <v>0.49465000000000003</v>
      </c>
      <c r="AA629" s="492">
        <f t="shared" si="108"/>
        <v>151956.48000000001</v>
      </c>
      <c r="AB629" s="480"/>
      <c r="AC629" s="481">
        <f t="shared" si="109"/>
        <v>0</v>
      </c>
      <c r="AD629" s="490"/>
      <c r="AE629" s="482"/>
      <c r="AF629" s="493">
        <f t="shared" si="112"/>
        <v>151956.48000000001</v>
      </c>
      <c r="AG629" s="474" t="s">
        <v>1071</v>
      </c>
      <c r="AH629" s="474"/>
      <c r="AI629" s="483">
        <v>60</v>
      </c>
      <c r="AJ629" s="474" t="s">
        <v>5571</v>
      </c>
      <c r="AK629" s="494" t="s">
        <v>1133</v>
      </c>
      <c r="AL629" s="474">
        <v>852262</v>
      </c>
      <c r="AM629" s="474" t="s">
        <v>52</v>
      </c>
      <c r="AN629" s="474" t="s">
        <v>1074</v>
      </c>
      <c r="AO629" s="474"/>
      <c r="AP629" s="486"/>
      <c r="AQ629" s="486" t="s">
        <v>37</v>
      </c>
      <c r="AR629" s="486"/>
      <c r="AS629" s="495"/>
      <c r="AT629" s="495"/>
      <c r="AU629" s="378"/>
      <c r="AV629" s="478"/>
    </row>
    <row r="630" spans="1:48" s="471" customFormat="1">
      <c r="A630" s="514"/>
      <c r="B630" s="514"/>
      <c r="C630" s="514"/>
      <c r="D630" s="512" t="s">
        <v>2322</v>
      </c>
      <c r="E630" s="501"/>
      <c r="F630" s="501"/>
      <c r="G630" s="501"/>
      <c r="H630" s="382"/>
      <c r="I630" s="512" t="s">
        <v>1676</v>
      </c>
      <c r="J630" s="502"/>
      <c r="K630" s="503" t="s">
        <v>4613</v>
      </c>
      <c r="L630" s="501" t="s">
        <v>2324</v>
      </c>
      <c r="M630" s="504">
        <v>44657</v>
      </c>
      <c r="N630" s="504">
        <v>44764</v>
      </c>
      <c r="O630" s="504"/>
      <c r="P630" s="502"/>
      <c r="Q630" s="502"/>
      <c r="R630" s="502"/>
      <c r="S630" s="501" t="s">
        <v>1563</v>
      </c>
      <c r="T630" s="501">
        <v>60</v>
      </c>
      <c r="U630" s="501" t="s">
        <v>1109</v>
      </c>
      <c r="V630" s="501" t="s">
        <v>2855</v>
      </c>
      <c r="W630" s="501">
        <v>400</v>
      </c>
      <c r="X630" s="505">
        <v>4160</v>
      </c>
      <c r="Y630" s="477">
        <f t="shared" si="111"/>
        <v>1664000</v>
      </c>
      <c r="Z630" s="478">
        <v>0.56000000000000005</v>
      </c>
      <c r="AA630" s="479">
        <f t="shared" si="108"/>
        <v>931840.00000000012</v>
      </c>
      <c r="AB630" s="479"/>
      <c r="AC630" s="481">
        <v>0</v>
      </c>
      <c r="AD630" s="490"/>
      <c r="AE630" s="482"/>
      <c r="AF630" s="493">
        <f t="shared" si="112"/>
        <v>931840.00000000012</v>
      </c>
      <c r="AG630" s="501" t="s">
        <v>47</v>
      </c>
      <c r="AH630" s="501"/>
      <c r="AI630" s="503" t="s">
        <v>2326</v>
      </c>
      <c r="AJ630" s="501" t="s">
        <v>4614</v>
      </c>
      <c r="AK630" s="509" t="s">
        <v>1347</v>
      </c>
      <c r="AL630" s="501">
        <v>17026</v>
      </c>
      <c r="AM630" s="501" t="s">
        <v>52</v>
      </c>
      <c r="AN630" s="501" t="s">
        <v>50</v>
      </c>
      <c r="AO630" s="474"/>
      <c r="AP630" s="486" t="s">
        <v>92</v>
      </c>
      <c r="AQ630" s="486" t="s">
        <v>37</v>
      </c>
      <c r="AR630" s="486"/>
      <c r="AS630" s="495" t="s">
        <v>1075</v>
      </c>
      <c r="AT630" s="495" t="s">
        <v>1075</v>
      </c>
      <c r="AU630" s="495" t="s">
        <v>1075</v>
      </c>
      <c r="AV630" s="478"/>
    </row>
    <row r="631" spans="1:48" s="471" customFormat="1">
      <c r="A631" s="514"/>
      <c r="B631" s="514"/>
      <c r="C631" s="514"/>
      <c r="D631" s="512" t="s">
        <v>2322</v>
      </c>
      <c r="E631" s="501"/>
      <c r="F631" s="501"/>
      <c r="G631" s="501"/>
      <c r="H631" s="382"/>
      <c r="I631" s="512" t="s">
        <v>1676</v>
      </c>
      <c r="J631" s="502"/>
      <c r="K631" s="503" t="s">
        <v>4615</v>
      </c>
      <c r="L631" s="501" t="s">
        <v>2324</v>
      </c>
      <c r="M631" s="504">
        <v>44657</v>
      </c>
      <c r="N631" s="504">
        <v>44795</v>
      </c>
      <c r="O631" s="504"/>
      <c r="P631" s="502"/>
      <c r="Q631" s="502"/>
      <c r="R631" s="502"/>
      <c r="S631" s="501" t="s">
        <v>1563</v>
      </c>
      <c r="T631" s="501">
        <v>60</v>
      </c>
      <c r="U631" s="501" t="s">
        <v>1109</v>
      </c>
      <c r="V631" s="501" t="s">
        <v>2855</v>
      </c>
      <c r="W631" s="501">
        <v>400</v>
      </c>
      <c r="X631" s="505">
        <v>4160</v>
      </c>
      <c r="Y631" s="477">
        <f t="shared" si="111"/>
        <v>1664000</v>
      </c>
      <c r="Z631" s="478">
        <v>0.56000000000000005</v>
      </c>
      <c r="AA631" s="479">
        <f t="shared" si="108"/>
        <v>931840.00000000012</v>
      </c>
      <c r="AB631" s="479"/>
      <c r="AC631" s="481">
        <v>0</v>
      </c>
      <c r="AD631" s="490"/>
      <c r="AE631" s="482"/>
      <c r="AF631" s="493">
        <f t="shared" si="112"/>
        <v>931840.00000000012</v>
      </c>
      <c r="AG631" s="501" t="s">
        <v>47</v>
      </c>
      <c r="AH631" s="501"/>
      <c r="AI631" s="503" t="s">
        <v>2326</v>
      </c>
      <c r="AJ631" s="501" t="s">
        <v>4614</v>
      </c>
      <c r="AK631" s="509" t="s">
        <v>1347</v>
      </c>
      <c r="AL631" s="501">
        <v>17026</v>
      </c>
      <c r="AM631" s="501" t="s">
        <v>52</v>
      </c>
      <c r="AN631" s="501" t="s">
        <v>50</v>
      </c>
      <c r="AO631" s="474"/>
      <c r="AP631" s="486" t="s">
        <v>92</v>
      </c>
      <c r="AQ631" s="486" t="s">
        <v>37</v>
      </c>
      <c r="AR631" s="486"/>
      <c r="AS631" s="495" t="s">
        <v>1075</v>
      </c>
      <c r="AT631" s="495" t="s">
        <v>1075</v>
      </c>
      <c r="AU631" s="495" t="s">
        <v>1075</v>
      </c>
      <c r="AV631" s="478"/>
    </row>
    <row r="632" spans="1:48" s="471" customFormat="1">
      <c r="A632" s="514"/>
      <c r="B632" s="514"/>
      <c r="C632" s="514"/>
      <c r="D632" s="512" t="s">
        <v>2322</v>
      </c>
      <c r="E632" s="501"/>
      <c r="F632" s="501"/>
      <c r="G632" s="501"/>
      <c r="H632" s="382"/>
      <c r="I632" s="512" t="s">
        <v>1676</v>
      </c>
      <c r="J632" s="502"/>
      <c r="K632" s="503" t="s">
        <v>4616</v>
      </c>
      <c r="L632" s="501" t="s">
        <v>2324</v>
      </c>
      <c r="M632" s="504">
        <v>44657</v>
      </c>
      <c r="N632" s="504">
        <v>44826</v>
      </c>
      <c r="O632" s="504"/>
      <c r="P632" s="502"/>
      <c r="Q632" s="502"/>
      <c r="R632" s="502"/>
      <c r="S632" s="501" t="s">
        <v>1563</v>
      </c>
      <c r="T632" s="501">
        <v>60</v>
      </c>
      <c r="U632" s="501" t="s">
        <v>1109</v>
      </c>
      <c r="V632" s="501" t="s">
        <v>2855</v>
      </c>
      <c r="W632" s="501">
        <v>400</v>
      </c>
      <c r="X632" s="505">
        <v>4160</v>
      </c>
      <c r="Y632" s="477">
        <f t="shared" si="111"/>
        <v>1664000</v>
      </c>
      <c r="Z632" s="478">
        <v>0.56000000000000005</v>
      </c>
      <c r="AA632" s="479">
        <f t="shared" si="108"/>
        <v>931840.00000000012</v>
      </c>
      <c r="AB632" s="479"/>
      <c r="AC632" s="481">
        <v>0</v>
      </c>
      <c r="AD632" s="490"/>
      <c r="AE632" s="482"/>
      <c r="AF632" s="493">
        <f t="shared" si="112"/>
        <v>931840.00000000012</v>
      </c>
      <c r="AG632" s="501" t="s">
        <v>47</v>
      </c>
      <c r="AH632" s="501"/>
      <c r="AI632" s="503" t="s">
        <v>2326</v>
      </c>
      <c r="AJ632" s="501" t="s">
        <v>4614</v>
      </c>
      <c r="AK632" s="509" t="s">
        <v>1347</v>
      </c>
      <c r="AL632" s="501">
        <v>17026</v>
      </c>
      <c r="AM632" s="501" t="s">
        <v>52</v>
      </c>
      <c r="AN632" s="501" t="s">
        <v>50</v>
      </c>
      <c r="AO632" s="474"/>
      <c r="AP632" s="486" t="s">
        <v>92</v>
      </c>
      <c r="AQ632" s="486" t="s">
        <v>37</v>
      </c>
      <c r="AR632" s="486"/>
      <c r="AS632" s="495" t="s">
        <v>1075</v>
      </c>
      <c r="AT632" s="495" t="s">
        <v>1075</v>
      </c>
      <c r="AU632" s="495" t="s">
        <v>1075</v>
      </c>
      <c r="AV632" s="478"/>
    </row>
    <row r="633" spans="1:48" s="471" customFormat="1">
      <c r="A633" s="514"/>
      <c r="B633" s="514"/>
      <c r="C633" s="514"/>
      <c r="D633" s="512" t="s">
        <v>2322</v>
      </c>
      <c r="E633" s="501"/>
      <c r="F633" s="501"/>
      <c r="G633" s="501"/>
      <c r="H633" s="382"/>
      <c r="I633" s="512" t="s">
        <v>1676</v>
      </c>
      <c r="J633" s="502"/>
      <c r="K633" s="503" t="s">
        <v>4617</v>
      </c>
      <c r="L633" s="501" t="s">
        <v>2324</v>
      </c>
      <c r="M633" s="504">
        <v>44657</v>
      </c>
      <c r="N633" s="504">
        <v>44856</v>
      </c>
      <c r="O633" s="504"/>
      <c r="P633" s="502"/>
      <c r="Q633" s="502"/>
      <c r="R633" s="502"/>
      <c r="S633" s="501" t="s">
        <v>1563</v>
      </c>
      <c r="T633" s="501">
        <v>60</v>
      </c>
      <c r="U633" s="501" t="s">
        <v>1109</v>
      </c>
      <c r="V633" s="501" t="s">
        <v>2855</v>
      </c>
      <c r="W633" s="501">
        <v>400</v>
      </c>
      <c r="X633" s="505">
        <v>4160</v>
      </c>
      <c r="Y633" s="477">
        <f t="shared" si="111"/>
        <v>1664000</v>
      </c>
      <c r="Z633" s="478">
        <v>0.56000000000000005</v>
      </c>
      <c r="AA633" s="479">
        <f t="shared" si="108"/>
        <v>931840.00000000012</v>
      </c>
      <c r="AB633" s="479"/>
      <c r="AC633" s="481">
        <v>0</v>
      </c>
      <c r="AD633" s="490"/>
      <c r="AE633" s="482"/>
      <c r="AF633" s="493">
        <f t="shared" si="112"/>
        <v>931840.00000000012</v>
      </c>
      <c r="AG633" s="501" t="s">
        <v>47</v>
      </c>
      <c r="AH633" s="501"/>
      <c r="AI633" s="503" t="s">
        <v>2326</v>
      </c>
      <c r="AJ633" s="501" t="s">
        <v>4614</v>
      </c>
      <c r="AK633" s="509" t="s">
        <v>1347</v>
      </c>
      <c r="AL633" s="501">
        <v>17026</v>
      </c>
      <c r="AM633" s="501" t="s">
        <v>52</v>
      </c>
      <c r="AN633" s="501" t="s">
        <v>50</v>
      </c>
      <c r="AO633" s="474"/>
      <c r="AP633" s="486" t="s">
        <v>92</v>
      </c>
      <c r="AQ633" s="486" t="s">
        <v>37</v>
      </c>
      <c r="AR633" s="486"/>
      <c r="AS633" s="495" t="s">
        <v>1075</v>
      </c>
      <c r="AT633" s="495" t="s">
        <v>1075</v>
      </c>
      <c r="AU633" s="495" t="s">
        <v>1075</v>
      </c>
      <c r="AV633" s="478"/>
    </row>
    <row r="634" spans="1:48" s="471" customFormat="1">
      <c r="A634" s="514"/>
      <c r="B634" s="514"/>
      <c r="C634" s="514"/>
      <c r="D634" s="512" t="s">
        <v>2322</v>
      </c>
      <c r="E634" s="501"/>
      <c r="F634" s="501"/>
      <c r="G634" s="501"/>
      <c r="H634" s="382"/>
      <c r="I634" s="512" t="s">
        <v>1676</v>
      </c>
      <c r="J634" s="502"/>
      <c r="K634" s="503" t="s">
        <v>4618</v>
      </c>
      <c r="L634" s="501" t="s">
        <v>2324</v>
      </c>
      <c r="M634" s="504">
        <v>44657</v>
      </c>
      <c r="N634" s="504">
        <v>44887</v>
      </c>
      <c r="O634" s="504"/>
      <c r="P634" s="502"/>
      <c r="Q634" s="502"/>
      <c r="R634" s="502"/>
      <c r="S634" s="501" t="s">
        <v>1563</v>
      </c>
      <c r="T634" s="501">
        <v>60</v>
      </c>
      <c r="U634" s="501" t="s">
        <v>1109</v>
      </c>
      <c r="V634" s="501" t="s">
        <v>2855</v>
      </c>
      <c r="W634" s="501">
        <v>400</v>
      </c>
      <c r="X634" s="505">
        <v>4992</v>
      </c>
      <c r="Y634" s="477">
        <f t="shared" si="111"/>
        <v>1996800</v>
      </c>
      <c r="Z634" s="478">
        <v>0.56000000000000005</v>
      </c>
      <c r="AA634" s="479">
        <f t="shared" si="108"/>
        <v>1118208</v>
      </c>
      <c r="AB634" s="479"/>
      <c r="AC634" s="481">
        <v>0</v>
      </c>
      <c r="AD634" s="490"/>
      <c r="AE634" s="482"/>
      <c r="AF634" s="493">
        <f t="shared" si="112"/>
        <v>1118208</v>
      </c>
      <c r="AG634" s="501" t="s">
        <v>47</v>
      </c>
      <c r="AH634" s="501"/>
      <c r="AI634" s="503" t="s">
        <v>2326</v>
      </c>
      <c r="AJ634" s="501" t="s">
        <v>4614</v>
      </c>
      <c r="AK634" s="509" t="s">
        <v>1347</v>
      </c>
      <c r="AL634" s="501">
        <v>17026</v>
      </c>
      <c r="AM634" s="501" t="s">
        <v>52</v>
      </c>
      <c r="AN634" s="501" t="s">
        <v>50</v>
      </c>
      <c r="AO634" s="474"/>
      <c r="AP634" s="486" t="s">
        <v>92</v>
      </c>
      <c r="AQ634" s="486" t="s">
        <v>37</v>
      </c>
      <c r="AR634" s="486"/>
      <c r="AS634" s="495" t="s">
        <v>1075</v>
      </c>
      <c r="AT634" s="495" t="s">
        <v>1075</v>
      </c>
      <c r="AU634" s="495" t="s">
        <v>1075</v>
      </c>
      <c r="AV634" s="478"/>
    </row>
    <row r="635" spans="1:48" s="471" customFormat="1">
      <c r="A635" s="514"/>
      <c r="B635" s="514"/>
      <c r="C635" s="514"/>
      <c r="D635" s="512" t="s">
        <v>2322</v>
      </c>
      <c r="E635" s="501"/>
      <c r="F635" s="501"/>
      <c r="G635" s="501"/>
      <c r="H635" s="382"/>
      <c r="I635" s="512" t="s">
        <v>1676</v>
      </c>
      <c r="J635" s="502"/>
      <c r="K635" s="503" t="s">
        <v>4619</v>
      </c>
      <c r="L635" s="501" t="s">
        <v>2324</v>
      </c>
      <c r="M635" s="504">
        <v>44657</v>
      </c>
      <c r="N635" s="504">
        <v>44917</v>
      </c>
      <c r="O635" s="504"/>
      <c r="P635" s="502"/>
      <c r="Q635" s="502"/>
      <c r="R635" s="502"/>
      <c r="S635" s="501" t="s">
        <v>1563</v>
      </c>
      <c r="T635" s="501">
        <v>60</v>
      </c>
      <c r="U635" s="501" t="s">
        <v>1109</v>
      </c>
      <c r="V635" s="501" t="s">
        <v>2855</v>
      </c>
      <c r="W635" s="501">
        <v>400</v>
      </c>
      <c r="X635" s="505">
        <v>4992</v>
      </c>
      <c r="Y635" s="477">
        <f t="shared" si="111"/>
        <v>1996800</v>
      </c>
      <c r="Z635" s="478">
        <v>0.56000000000000005</v>
      </c>
      <c r="AA635" s="479">
        <f t="shared" ref="AA635:AA697" si="114">Z635*Y635</f>
        <v>1118208</v>
      </c>
      <c r="AB635" s="479"/>
      <c r="AC635" s="481">
        <v>0</v>
      </c>
      <c r="AD635" s="490"/>
      <c r="AE635" s="482"/>
      <c r="AF635" s="493">
        <f t="shared" si="112"/>
        <v>1118208</v>
      </c>
      <c r="AG635" s="501" t="s">
        <v>47</v>
      </c>
      <c r="AH635" s="501"/>
      <c r="AI635" s="503" t="s">
        <v>2326</v>
      </c>
      <c r="AJ635" s="501" t="s">
        <v>4614</v>
      </c>
      <c r="AK635" s="509" t="s">
        <v>1347</v>
      </c>
      <c r="AL635" s="501">
        <v>17026</v>
      </c>
      <c r="AM635" s="501" t="s">
        <v>52</v>
      </c>
      <c r="AN635" s="501" t="s">
        <v>50</v>
      </c>
      <c r="AO635" s="474"/>
      <c r="AP635" s="486" t="s">
        <v>92</v>
      </c>
      <c r="AQ635" s="486" t="s">
        <v>37</v>
      </c>
      <c r="AR635" s="486"/>
      <c r="AS635" s="495" t="s">
        <v>1075</v>
      </c>
      <c r="AT635" s="495" t="s">
        <v>1075</v>
      </c>
      <c r="AU635" s="495" t="s">
        <v>1075</v>
      </c>
      <c r="AV635" s="478"/>
    </row>
    <row r="636" spans="1:48" s="471" customFormat="1">
      <c r="A636" s="514"/>
      <c r="B636" s="514"/>
      <c r="C636" s="514"/>
      <c r="D636" s="512" t="s">
        <v>2322</v>
      </c>
      <c r="E636" s="501"/>
      <c r="F636" s="501"/>
      <c r="G636" s="501"/>
      <c r="H636" s="382"/>
      <c r="I636" s="512" t="s">
        <v>1676</v>
      </c>
      <c r="J636" s="502"/>
      <c r="K636" s="503" t="s">
        <v>4620</v>
      </c>
      <c r="L636" s="501" t="s">
        <v>2324</v>
      </c>
      <c r="M636" s="504">
        <v>44657</v>
      </c>
      <c r="N636" s="504">
        <v>44866</v>
      </c>
      <c r="O636" s="504"/>
      <c r="P636" s="502"/>
      <c r="Q636" s="502"/>
      <c r="R636" s="502"/>
      <c r="S636" s="501" t="s">
        <v>1563</v>
      </c>
      <c r="T636" s="501">
        <v>72</v>
      </c>
      <c r="U636" s="501" t="s">
        <v>1109</v>
      </c>
      <c r="V636" s="501" t="s">
        <v>1002</v>
      </c>
      <c r="W636" s="501">
        <v>480</v>
      </c>
      <c r="X636" s="505">
        <v>2496</v>
      </c>
      <c r="Y636" s="477">
        <f t="shared" si="111"/>
        <v>1198080</v>
      </c>
      <c r="Z636" s="478">
        <v>0.495</v>
      </c>
      <c r="AA636" s="479">
        <f t="shared" si="114"/>
        <v>593049.59999999998</v>
      </c>
      <c r="AB636" s="479"/>
      <c r="AC636" s="481">
        <v>0</v>
      </c>
      <c r="AD636" s="490"/>
      <c r="AE636" s="482"/>
      <c r="AF636" s="493">
        <f t="shared" si="112"/>
        <v>593049.59999999998</v>
      </c>
      <c r="AG636" s="501" t="s">
        <v>47</v>
      </c>
      <c r="AH636" s="501"/>
      <c r="AI636" s="503" t="s">
        <v>2326</v>
      </c>
      <c r="AJ636" s="501" t="s">
        <v>2327</v>
      </c>
      <c r="AK636" s="509" t="s">
        <v>50</v>
      </c>
      <c r="AL636" s="501">
        <v>91730</v>
      </c>
      <c r="AM636" s="501" t="s">
        <v>52</v>
      </c>
      <c r="AN636" s="501" t="s">
        <v>50</v>
      </c>
      <c r="AO636" s="474"/>
      <c r="AP636" s="486" t="s">
        <v>92</v>
      </c>
      <c r="AQ636" s="486" t="s">
        <v>37</v>
      </c>
      <c r="AR636" s="486"/>
      <c r="AS636" s="495" t="s">
        <v>1075</v>
      </c>
      <c r="AT636" s="495" t="s">
        <v>1075</v>
      </c>
      <c r="AU636" s="495" t="s">
        <v>1075</v>
      </c>
      <c r="AV636" s="478"/>
    </row>
    <row r="637" spans="1:48" s="471" customFormat="1">
      <c r="A637" s="514"/>
      <c r="B637" s="514"/>
      <c r="C637" s="514"/>
      <c r="D637" s="512" t="s">
        <v>2322</v>
      </c>
      <c r="E637" s="501"/>
      <c r="F637" s="501"/>
      <c r="G637" s="501"/>
      <c r="H637" s="382"/>
      <c r="I637" s="512" t="s">
        <v>1676</v>
      </c>
      <c r="J637" s="502"/>
      <c r="K637" s="503" t="s">
        <v>4621</v>
      </c>
      <c r="L637" s="501" t="s">
        <v>2324</v>
      </c>
      <c r="M637" s="504">
        <v>44657</v>
      </c>
      <c r="N637" s="504">
        <v>44764</v>
      </c>
      <c r="O637" s="504"/>
      <c r="P637" s="502"/>
      <c r="Q637" s="502"/>
      <c r="R637" s="502"/>
      <c r="S637" s="501" t="s">
        <v>1563</v>
      </c>
      <c r="T637" s="501">
        <v>60</v>
      </c>
      <c r="U637" s="501" t="s">
        <v>1109</v>
      </c>
      <c r="V637" s="501" t="s">
        <v>2855</v>
      </c>
      <c r="W637" s="501">
        <v>400</v>
      </c>
      <c r="X637" s="505">
        <v>10816</v>
      </c>
      <c r="Y637" s="477">
        <f t="shared" si="111"/>
        <v>4326400</v>
      </c>
      <c r="Z637" s="478">
        <v>0.51</v>
      </c>
      <c r="AA637" s="479">
        <f t="shared" si="114"/>
        <v>2206464</v>
      </c>
      <c r="AB637" s="479"/>
      <c r="AC637" s="481">
        <v>0</v>
      </c>
      <c r="AD637" s="490"/>
      <c r="AE637" s="482"/>
      <c r="AF637" s="493">
        <f t="shared" si="112"/>
        <v>2206464</v>
      </c>
      <c r="AG637" s="501" t="s">
        <v>47</v>
      </c>
      <c r="AH637" s="501"/>
      <c r="AI637" s="503" t="s">
        <v>2326</v>
      </c>
      <c r="AJ637" s="501" t="s">
        <v>2327</v>
      </c>
      <c r="AK637" s="509" t="s">
        <v>50</v>
      </c>
      <c r="AL637" s="501">
        <v>91730</v>
      </c>
      <c r="AM637" s="501" t="s">
        <v>52</v>
      </c>
      <c r="AN637" s="501" t="s">
        <v>50</v>
      </c>
      <c r="AO637" s="474"/>
      <c r="AP637" s="486" t="s">
        <v>92</v>
      </c>
      <c r="AQ637" s="486" t="s">
        <v>37</v>
      </c>
      <c r="AR637" s="486"/>
      <c r="AS637" s="495" t="s">
        <v>1075</v>
      </c>
      <c r="AT637" s="495" t="s">
        <v>1075</v>
      </c>
      <c r="AU637" s="495" t="s">
        <v>1075</v>
      </c>
      <c r="AV637" s="478"/>
    </row>
    <row r="638" spans="1:48" s="471" customFormat="1">
      <c r="A638" s="514"/>
      <c r="B638" s="514"/>
      <c r="C638" s="514"/>
      <c r="D638" s="512" t="s">
        <v>2322</v>
      </c>
      <c r="E638" s="501"/>
      <c r="F638" s="501"/>
      <c r="G638" s="501"/>
      <c r="H638" s="382"/>
      <c r="I638" s="512" t="s">
        <v>1676</v>
      </c>
      <c r="J638" s="502"/>
      <c r="K638" s="503" t="s">
        <v>4622</v>
      </c>
      <c r="L638" s="501" t="s">
        <v>2324</v>
      </c>
      <c r="M638" s="504">
        <v>44657</v>
      </c>
      <c r="N638" s="504">
        <v>44795</v>
      </c>
      <c r="O638" s="504"/>
      <c r="P638" s="502"/>
      <c r="Q638" s="502"/>
      <c r="R638" s="502"/>
      <c r="S638" s="501" t="s">
        <v>1563</v>
      </c>
      <c r="T638" s="501">
        <v>60</v>
      </c>
      <c r="U638" s="501" t="s">
        <v>1109</v>
      </c>
      <c r="V638" s="501" t="s">
        <v>2855</v>
      </c>
      <c r="W638" s="501">
        <v>400</v>
      </c>
      <c r="X638" s="505">
        <v>10816</v>
      </c>
      <c r="Y638" s="477">
        <f t="shared" si="111"/>
        <v>4326400</v>
      </c>
      <c r="Z638" s="478">
        <v>0.51</v>
      </c>
      <c r="AA638" s="479">
        <f t="shared" si="114"/>
        <v>2206464</v>
      </c>
      <c r="AB638" s="479"/>
      <c r="AC638" s="481">
        <v>0</v>
      </c>
      <c r="AD638" s="490"/>
      <c r="AE638" s="482"/>
      <c r="AF638" s="493">
        <f t="shared" si="112"/>
        <v>2206464</v>
      </c>
      <c r="AG638" s="501" t="s">
        <v>47</v>
      </c>
      <c r="AH638" s="501"/>
      <c r="AI638" s="503" t="s">
        <v>2326</v>
      </c>
      <c r="AJ638" s="501" t="s">
        <v>2327</v>
      </c>
      <c r="AK638" s="509" t="s">
        <v>50</v>
      </c>
      <c r="AL638" s="501">
        <v>91730</v>
      </c>
      <c r="AM638" s="501" t="s">
        <v>52</v>
      </c>
      <c r="AN638" s="501" t="s">
        <v>50</v>
      </c>
      <c r="AO638" s="474"/>
      <c r="AP638" s="486" t="s">
        <v>92</v>
      </c>
      <c r="AQ638" s="486" t="s">
        <v>37</v>
      </c>
      <c r="AR638" s="486"/>
      <c r="AS638" s="495" t="s">
        <v>1075</v>
      </c>
      <c r="AT638" s="495" t="s">
        <v>1075</v>
      </c>
      <c r="AU638" s="495" t="s">
        <v>1075</v>
      </c>
      <c r="AV638" s="478"/>
    </row>
    <row r="639" spans="1:48" s="471" customFormat="1">
      <c r="A639" s="514"/>
      <c r="B639" s="514"/>
      <c r="C639" s="514"/>
      <c r="D639" s="512" t="s">
        <v>2322</v>
      </c>
      <c r="E639" s="501"/>
      <c r="F639" s="501"/>
      <c r="G639" s="501"/>
      <c r="H639" s="382"/>
      <c r="I639" s="512" t="s">
        <v>1676</v>
      </c>
      <c r="J639" s="502"/>
      <c r="K639" s="503" t="s">
        <v>4623</v>
      </c>
      <c r="L639" s="501" t="s">
        <v>2324</v>
      </c>
      <c r="M639" s="504">
        <v>44657</v>
      </c>
      <c r="N639" s="504">
        <v>44826</v>
      </c>
      <c r="O639" s="504"/>
      <c r="P639" s="502"/>
      <c r="Q639" s="502"/>
      <c r="R639" s="502"/>
      <c r="S639" s="501" t="s">
        <v>1563</v>
      </c>
      <c r="T639" s="501">
        <v>60</v>
      </c>
      <c r="U639" s="501" t="s">
        <v>1109</v>
      </c>
      <c r="V639" s="501" t="s">
        <v>2855</v>
      </c>
      <c r="W639" s="501">
        <v>400</v>
      </c>
      <c r="X639" s="505">
        <v>10816</v>
      </c>
      <c r="Y639" s="477">
        <f t="shared" si="111"/>
        <v>4326400</v>
      </c>
      <c r="Z639" s="478">
        <v>0.51</v>
      </c>
      <c r="AA639" s="479">
        <f t="shared" si="114"/>
        <v>2206464</v>
      </c>
      <c r="AB639" s="479"/>
      <c r="AC639" s="481">
        <v>0</v>
      </c>
      <c r="AD639" s="490"/>
      <c r="AE639" s="482"/>
      <c r="AF639" s="493">
        <f t="shared" si="112"/>
        <v>2206464</v>
      </c>
      <c r="AG639" s="501" t="s">
        <v>47</v>
      </c>
      <c r="AH639" s="501"/>
      <c r="AI639" s="503" t="s">
        <v>2326</v>
      </c>
      <c r="AJ639" s="501" t="s">
        <v>2327</v>
      </c>
      <c r="AK639" s="509" t="s">
        <v>50</v>
      </c>
      <c r="AL639" s="501">
        <v>91730</v>
      </c>
      <c r="AM639" s="501" t="s">
        <v>52</v>
      </c>
      <c r="AN639" s="501" t="s">
        <v>50</v>
      </c>
      <c r="AO639" s="474"/>
      <c r="AP639" s="486" t="s">
        <v>92</v>
      </c>
      <c r="AQ639" s="486" t="s">
        <v>37</v>
      </c>
      <c r="AR639" s="486"/>
      <c r="AS639" s="495" t="s">
        <v>1075</v>
      </c>
      <c r="AT639" s="495" t="s">
        <v>1075</v>
      </c>
      <c r="AU639" s="495" t="s">
        <v>1075</v>
      </c>
      <c r="AV639" s="478"/>
    </row>
    <row r="640" spans="1:48" s="471" customFormat="1">
      <c r="A640" s="514"/>
      <c r="B640" s="514"/>
      <c r="C640" s="514"/>
      <c r="D640" s="512" t="s">
        <v>2322</v>
      </c>
      <c r="E640" s="501"/>
      <c r="F640" s="501"/>
      <c r="G640" s="501"/>
      <c r="H640" s="382"/>
      <c r="I640" s="512" t="s">
        <v>1676</v>
      </c>
      <c r="J640" s="502"/>
      <c r="K640" s="503" t="s">
        <v>4624</v>
      </c>
      <c r="L640" s="501" t="s">
        <v>2324</v>
      </c>
      <c r="M640" s="504">
        <v>44657</v>
      </c>
      <c r="N640" s="504">
        <v>44856</v>
      </c>
      <c r="O640" s="504"/>
      <c r="P640" s="502"/>
      <c r="Q640" s="502"/>
      <c r="R640" s="502"/>
      <c r="S640" s="501" t="s">
        <v>1563</v>
      </c>
      <c r="T640" s="501">
        <v>60</v>
      </c>
      <c r="U640" s="501" t="s">
        <v>1109</v>
      </c>
      <c r="V640" s="501" t="s">
        <v>2855</v>
      </c>
      <c r="W640" s="501">
        <v>400</v>
      </c>
      <c r="X640" s="505">
        <v>10816</v>
      </c>
      <c r="Y640" s="477">
        <f t="shared" si="111"/>
        <v>4326400</v>
      </c>
      <c r="Z640" s="478">
        <v>0.51</v>
      </c>
      <c r="AA640" s="479">
        <f t="shared" si="114"/>
        <v>2206464</v>
      </c>
      <c r="AB640" s="479"/>
      <c r="AC640" s="481">
        <v>0</v>
      </c>
      <c r="AD640" s="490"/>
      <c r="AE640" s="482"/>
      <c r="AF640" s="493">
        <f t="shared" si="112"/>
        <v>2206464</v>
      </c>
      <c r="AG640" s="501" t="s">
        <v>47</v>
      </c>
      <c r="AH640" s="501"/>
      <c r="AI640" s="503" t="s">
        <v>2326</v>
      </c>
      <c r="AJ640" s="501" t="s">
        <v>2327</v>
      </c>
      <c r="AK640" s="509" t="s">
        <v>50</v>
      </c>
      <c r="AL640" s="501">
        <v>91730</v>
      </c>
      <c r="AM640" s="501" t="s">
        <v>52</v>
      </c>
      <c r="AN640" s="501" t="s">
        <v>50</v>
      </c>
      <c r="AO640" s="474"/>
      <c r="AP640" s="486" t="s">
        <v>92</v>
      </c>
      <c r="AQ640" s="486" t="s">
        <v>37</v>
      </c>
      <c r="AR640" s="486"/>
      <c r="AS640" s="495" t="s">
        <v>1075</v>
      </c>
      <c r="AT640" s="495" t="s">
        <v>1075</v>
      </c>
      <c r="AU640" s="495" t="s">
        <v>1075</v>
      </c>
      <c r="AV640" s="478"/>
    </row>
    <row r="641" spans="1:48" s="471" customFormat="1">
      <c r="A641" s="514"/>
      <c r="B641" s="514"/>
      <c r="C641" s="514"/>
      <c r="D641" s="512" t="s">
        <v>2322</v>
      </c>
      <c r="E641" s="501"/>
      <c r="F641" s="501"/>
      <c r="G641" s="501"/>
      <c r="H641" s="382"/>
      <c r="I641" s="512" t="s">
        <v>1676</v>
      </c>
      <c r="J641" s="502"/>
      <c r="K641" s="503" t="s">
        <v>4625</v>
      </c>
      <c r="L641" s="501" t="s">
        <v>2324</v>
      </c>
      <c r="M641" s="504">
        <v>44657</v>
      </c>
      <c r="N641" s="504">
        <v>44887</v>
      </c>
      <c r="O641" s="504"/>
      <c r="P641" s="502"/>
      <c r="Q641" s="502"/>
      <c r="R641" s="502"/>
      <c r="S641" s="501" t="s">
        <v>1563</v>
      </c>
      <c r="T641" s="501">
        <v>60</v>
      </c>
      <c r="U641" s="501" t="s">
        <v>1109</v>
      </c>
      <c r="V641" s="501" t="s">
        <v>2855</v>
      </c>
      <c r="W641" s="501">
        <v>400</v>
      </c>
      <c r="X641" s="505">
        <v>9984</v>
      </c>
      <c r="Y641" s="477">
        <f t="shared" si="111"/>
        <v>3993600</v>
      </c>
      <c r="Z641" s="478">
        <v>0.51</v>
      </c>
      <c r="AA641" s="479">
        <f t="shared" si="114"/>
        <v>2036736</v>
      </c>
      <c r="AB641" s="479"/>
      <c r="AC641" s="481">
        <v>0</v>
      </c>
      <c r="AD641" s="490"/>
      <c r="AE641" s="482"/>
      <c r="AF641" s="493">
        <f t="shared" si="112"/>
        <v>2036736</v>
      </c>
      <c r="AG641" s="501" t="s">
        <v>47</v>
      </c>
      <c r="AH641" s="501"/>
      <c r="AI641" s="503" t="s">
        <v>2326</v>
      </c>
      <c r="AJ641" s="501" t="s">
        <v>2327</v>
      </c>
      <c r="AK641" s="509" t="s">
        <v>50</v>
      </c>
      <c r="AL641" s="501">
        <v>91730</v>
      </c>
      <c r="AM641" s="501" t="s">
        <v>52</v>
      </c>
      <c r="AN641" s="501" t="s">
        <v>50</v>
      </c>
      <c r="AO641" s="474"/>
      <c r="AP641" s="486" t="s">
        <v>92</v>
      </c>
      <c r="AQ641" s="486" t="s">
        <v>37</v>
      </c>
      <c r="AR641" s="486"/>
      <c r="AS641" s="495" t="s">
        <v>1075</v>
      </c>
      <c r="AT641" s="495" t="s">
        <v>1075</v>
      </c>
      <c r="AU641" s="495" t="s">
        <v>1075</v>
      </c>
      <c r="AV641" s="478"/>
    </row>
    <row r="642" spans="1:48" s="471" customFormat="1">
      <c r="A642" s="514"/>
      <c r="B642" s="514"/>
      <c r="C642" s="514"/>
      <c r="D642" s="512" t="s">
        <v>2322</v>
      </c>
      <c r="E642" s="501"/>
      <c r="F642" s="501"/>
      <c r="G642" s="501"/>
      <c r="H642" s="382"/>
      <c r="I642" s="512" t="s">
        <v>1676</v>
      </c>
      <c r="J642" s="502"/>
      <c r="K642" s="503" t="s">
        <v>4626</v>
      </c>
      <c r="L642" s="501" t="s">
        <v>2324</v>
      </c>
      <c r="M642" s="504">
        <v>44657</v>
      </c>
      <c r="N642" s="504">
        <v>44887</v>
      </c>
      <c r="O642" s="504"/>
      <c r="P642" s="502"/>
      <c r="Q642" s="502"/>
      <c r="R642" s="502"/>
      <c r="S642" s="501" t="s">
        <v>1563</v>
      </c>
      <c r="T642" s="501">
        <v>60</v>
      </c>
      <c r="U642" s="501" t="s">
        <v>1109</v>
      </c>
      <c r="V642" s="501" t="s">
        <v>2855</v>
      </c>
      <c r="W642" s="501">
        <v>400</v>
      </c>
      <c r="X642" s="505">
        <v>9984</v>
      </c>
      <c r="Y642" s="477">
        <f t="shared" si="111"/>
        <v>3993600</v>
      </c>
      <c r="Z642" s="478">
        <v>0.51</v>
      </c>
      <c r="AA642" s="479">
        <f t="shared" si="114"/>
        <v>2036736</v>
      </c>
      <c r="AB642" s="479"/>
      <c r="AC642" s="481">
        <v>0</v>
      </c>
      <c r="AD642" s="490"/>
      <c r="AE642" s="482"/>
      <c r="AF642" s="493">
        <f t="shared" si="112"/>
        <v>2036736</v>
      </c>
      <c r="AG642" s="501" t="s">
        <v>47</v>
      </c>
      <c r="AH642" s="501"/>
      <c r="AI642" s="503" t="s">
        <v>2326</v>
      </c>
      <c r="AJ642" s="501" t="s">
        <v>2327</v>
      </c>
      <c r="AK642" s="509" t="s">
        <v>50</v>
      </c>
      <c r="AL642" s="501">
        <v>91730</v>
      </c>
      <c r="AM642" s="501" t="s">
        <v>52</v>
      </c>
      <c r="AN642" s="501" t="s">
        <v>50</v>
      </c>
      <c r="AO642" s="474"/>
      <c r="AP642" s="486" t="s">
        <v>92</v>
      </c>
      <c r="AQ642" s="486" t="s">
        <v>37</v>
      </c>
      <c r="AR642" s="486"/>
      <c r="AS642" s="495" t="s">
        <v>1075</v>
      </c>
      <c r="AT642" s="495" t="s">
        <v>1075</v>
      </c>
      <c r="AU642" s="495" t="s">
        <v>1075</v>
      </c>
      <c r="AV642" s="478"/>
    </row>
    <row r="643" spans="1:48" s="471" customFormat="1">
      <c r="A643" s="514"/>
      <c r="B643" s="514"/>
      <c r="C643" s="514"/>
      <c r="D643" s="512" t="s">
        <v>2322</v>
      </c>
      <c r="E643" s="501"/>
      <c r="F643" s="501"/>
      <c r="G643" s="501"/>
      <c r="H643" s="382"/>
      <c r="I643" s="512" t="s">
        <v>1676</v>
      </c>
      <c r="J643" s="502"/>
      <c r="K643" s="503" t="s">
        <v>4627</v>
      </c>
      <c r="L643" s="501" t="s">
        <v>2324</v>
      </c>
      <c r="M643" s="504">
        <v>44657</v>
      </c>
      <c r="N643" s="504">
        <v>44743</v>
      </c>
      <c r="O643" s="504"/>
      <c r="P643" s="502"/>
      <c r="Q643" s="502"/>
      <c r="R643" s="502"/>
      <c r="S643" s="501" t="s">
        <v>1563</v>
      </c>
      <c r="T643" s="501">
        <v>60</v>
      </c>
      <c r="U643" s="501" t="s">
        <v>1109</v>
      </c>
      <c r="V643" s="501" t="s">
        <v>2855</v>
      </c>
      <c r="W643" s="501">
        <v>400</v>
      </c>
      <c r="X643" s="505">
        <v>10816</v>
      </c>
      <c r="Y643" s="477">
        <f t="shared" si="111"/>
        <v>4326400</v>
      </c>
      <c r="Z643" s="478">
        <v>0.51</v>
      </c>
      <c r="AA643" s="479">
        <f t="shared" si="114"/>
        <v>2206464</v>
      </c>
      <c r="AB643" s="479"/>
      <c r="AC643" s="481">
        <v>0</v>
      </c>
      <c r="AD643" s="490"/>
      <c r="AE643" s="482"/>
      <c r="AF643" s="493">
        <f t="shared" si="112"/>
        <v>2206464</v>
      </c>
      <c r="AG643" s="501" t="s">
        <v>47</v>
      </c>
      <c r="AH643" s="501"/>
      <c r="AI643" s="503" t="s">
        <v>2326</v>
      </c>
      <c r="AJ643" s="501" t="s">
        <v>2327</v>
      </c>
      <c r="AK643" s="509" t="s">
        <v>50</v>
      </c>
      <c r="AL643" s="501">
        <v>91730</v>
      </c>
      <c r="AM643" s="501" t="s">
        <v>52</v>
      </c>
      <c r="AN643" s="501" t="s">
        <v>50</v>
      </c>
      <c r="AO643" s="474"/>
      <c r="AP643" s="486" t="s">
        <v>92</v>
      </c>
      <c r="AQ643" s="486" t="s">
        <v>37</v>
      </c>
      <c r="AR643" s="486"/>
      <c r="AS643" s="495" t="s">
        <v>1075</v>
      </c>
      <c r="AT643" s="495" t="s">
        <v>1075</v>
      </c>
      <c r="AU643" s="495" t="s">
        <v>1075</v>
      </c>
      <c r="AV643" s="478"/>
    </row>
    <row r="644" spans="1:48" s="471" customFormat="1">
      <c r="A644" s="514"/>
      <c r="B644" s="514"/>
      <c r="C644" s="514"/>
      <c r="D644" s="512" t="s">
        <v>2322</v>
      </c>
      <c r="E644" s="501"/>
      <c r="F644" s="501"/>
      <c r="G644" s="501"/>
      <c r="H644" s="382"/>
      <c r="I644" s="512" t="s">
        <v>1676</v>
      </c>
      <c r="J644" s="502"/>
      <c r="K644" s="503" t="s">
        <v>4628</v>
      </c>
      <c r="L644" s="501" t="s">
        <v>2324</v>
      </c>
      <c r="M644" s="504">
        <v>44657</v>
      </c>
      <c r="N644" s="504">
        <v>44774</v>
      </c>
      <c r="O644" s="504"/>
      <c r="P644" s="502"/>
      <c r="Q644" s="502"/>
      <c r="R644" s="502"/>
      <c r="S644" s="501" t="s">
        <v>1563</v>
      </c>
      <c r="T644" s="501">
        <v>60</v>
      </c>
      <c r="U644" s="501" t="s">
        <v>1109</v>
      </c>
      <c r="V644" s="501" t="s">
        <v>2855</v>
      </c>
      <c r="W644" s="501">
        <v>400</v>
      </c>
      <c r="X644" s="505">
        <v>10816</v>
      </c>
      <c r="Y644" s="477">
        <f t="shared" si="111"/>
        <v>4326400</v>
      </c>
      <c r="Z644" s="478">
        <v>0.51</v>
      </c>
      <c r="AA644" s="479">
        <f t="shared" si="114"/>
        <v>2206464</v>
      </c>
      <c r="AB644" s="479"/>
      <c r="AC644" s="481">
        <v>0</v>
      </c>
      <c r="AD644" s="490"/>
      <c r="AE644" s="482"/>
      <c r="AF644" s="493">
        <f t="shared" si="112"/>
        <v>2206464</v>
      </c>
      <c r="AG644" s="501" t="s">
        <v>47</v>
      </c>
      <c r="AH644" s="501"/>
      <c r="AI644" s="503" t="s">
        <v>2326</v>
      </c>
      <c r="AJ644" s="501" t="s">
        <v>2338</v>
      </c>
      <c r="AK644" s="509" t="s">
        <v>1347</v>
      </c>
      <c r="AL644" s="501">
        <v>17402</v>
      </c>
      <c r="AM644" s="501" t="s">
        <v>52</v>
      </c>
      <c r="AN644" s="501" t="s">
        <v>50</v>
      </c>
      <c r="AO644" s="474"/>
      <c r="AP644" s="486" t="s">
        <v>92</v>
      </c>
      <c r="AQ644" s="486" t="s">
        <v>37</v>
      </c>
      <c r="AR644" s="486"/>
      <c r="AS644" s="495" t="s">
        <v>1075</v>
      </c>
      <c r="AT644" s="495" t="s">
        <v>1075</v>
      </c>
      <c r="AU644" s="495" t="s">
        <v>1075</v>
      </c>
      <c r="AV644" s="478"/>
    </row>
    <row r="645" spans="1:48" s="471" customFormat="1">
      <c r="A645" s="514"/>
      <c r="B645" s="514"/>
      <c r="C645" s="514"/>
      <c r="D645" s="512" t="s">
        <v>2322</v>
      </c>
      <c r="E645" s="501"/>
      <c r="F645" s="501"/>
      <c r="G645" s="501"/>
      <c r="H645" s="382"/>
      <c r="I645" s="512" t="s">
        <v>1676</v>
      </c>
      <c r="J645" s="502"/>
      <c r="K645" s="503" t="s">
        <v>4629</v>
      </c>
      <c r="L645" s="501" t="s">
        <v>2324</v>
      </c>
      <c r="M645" s="504">
        <v>44657</v>
      </c>
      <c r="N645" s="504">
        <v>44805</v>
      </c>
      <c r="O645" s="504"/>
      <c r="P645" s="502"/>
      <c r="Q645" s="502"/>
      <c r="R645" s="502"/>
      <c r="S645" s="501" t="s">
        <v>1563</v>
      </c>
      <c r="T645" s="501">
        <v>60</v>
      </c>
      <c r="U645" s="501" t="s">
        <v>1109</v>
      </c>
      <c r="V645" s="501" t="s">
        <v>2855</v>
      </c>
      <c r="W645" s="501">
        <v>400</v>
      </c>
      <c r="X645" s="505">
        <v>10816</v>
      </c>
      <c r="Y645" s="477">
        <f t="shared" si="111"/>
        <v>4326400</v>
      </c>
      <c r="Z645" s="478">
        <v>0.51</v>
      </c>
      <c r="AA645" s="479">
        <f t="shared" si="114"/>
        <v>2206464</v>
      </c>
      <c r="AB645" s="479"/>
      <c r="AC645" s="481">
        <v>0</v>
      </c>
      <c r="AD645" s="490"/>
      <c r="AE645" s="482"/>
      <c r="AF645" s="493">
        <f t="shared" si="112"/>
        <v>2206464</v>
      </c>
      <c r="AG645" s="501" t="s">
        <v>47</v>
      </c>
      <c r="AH645" s="501"/>
      <c r="AI645" s="503" t="s">
        <v>2326</v>
      </c>
      <c r="AJ645" s="501" t="s">
        <v>2338</v>
      </c>
      <c r="AK645" s="509" t="s">
        <v>1347</v>
      </c>
      <c r="AL645" s="501">
        <v>17402</v>
      </c>
      <c r="AM645" s="501" t="s">
        <v>52</v>
      </c>
      <c r="AN645" s="501" t="s">
        <v>50</v>
      </c>
      <c r="AO645" s="474"/>
      <c r="AP645" s="486" t="s">
        <v>92</v>
      </c>
      <c r="AQ645" s="486" t="s">
        <v>37</v>
      </c>
      <c r="AR645" s="486"/>
      <c r="AS645" s="495" t="s">
        <v>1075</v>
      </c>
      <c r="AT645" s="495" t="s">
        <v>1075</v>
      </c>
      <c r="AU645" s="495" t="s">
        <v>1075</v>
      </c>
      <c r="AV645" s="478"/>
    </row>
    <row r="646" spans="1:48" s="471" customFormat="1">
      <c r="A646" s="514"/>
      <c r="B646" s="514"/>
      <c r="C646" s="514"/>
      <c r="D646" s="512" t="s">
        <v>2322</v>
      </c>
      <c r="E646" s="501"/>
      <c r="F646" s="501"/>
      <c r="G646" s="501"/>
      <c r="H646" s="382"/>
      <c r="I646" s="512" t="s">
        <v>1676</v>
      </c>
      <c r="J646" s="502"/>
      <c r="K646" s="503" t="s">
        <v>4630</v>
      </c>
      <c r="L646" s="501" t="s">
        <v>2324</v>
      </c>
      <c r="M646" s="504">
        <v>44657</v>
      </c>
      <c r="N646" s="504">
        <v>44835</v>
      </c>
      <c r="O646" s="504"/>
      <c r="P646" s="502"/>
      <c r="Q646" s="502"/>
      <c r="R646" s="502"/>
      <c r="S646" s="501" t="s">
        <v>1563</v>
      </c>
      <c r="T646" s="501">
        <v>60</v>
      </c>
      <c r="U646" s="501" t="s">
        <v>1109</v>
      </c>
      <c r="V646" s="501" t="s">
        <v>2855</v>
      </c>
      <c r="W646" s="501">
        <v>400</v>
      </c>
      <c r="X646" s="505">
        <v>10816</v>
      </c>
      <c r="Y646" s="477">
        <f t="shared" si="111"/>
        <v>4326400</v>
      </c>
      <c r="Z646" s="478">
        <v>0.51</v>
      </c>
      <c r="AA646" s="479">
        <f t="shared" si="114"/>
        <v>2206464</v>
      </c>
      <c r="AB646" s="479"/>
      <c r="AC646" s="481">
        <v>0</v>
      </c>
      <c r="AD646" s="490"/>
      <c r="AE646" s="482"/>
      <c r="AF646" s="493">
        <f t="shared" si="112"/>
        <v>2206464</v>
      </c>
      <c r="AG646" s="501" t="s">
        <v>47</v>
      </c>
      <c r="AH646" s="501"/>
      <c r="AI646" s="503" t="s">
        <v>2326</v>
      </c>
      <c r="AJ646" s="501" t="s">
        <v>2338</v>
      </c>
      <c r="AK646" s="509" t="s">
        <v>1347</v>
      </c>
      <c r="AL646" s="501">
        <v>17402</v>
      </c>
      <c r="AM646" s="501" t="s">
        <v>52</v>
      </c>
      <c r="AN646" s="501" t="s">
        <v>50</v>
      </c>
      <c r="AO646" s="474"/>
      <c r="AP646" s="486" t="s">
        <v>92</v>
      </c>
      <c r="AQ646" s="486" t="s">
        <v>37</v>
      </c>
      <c r="AR646" s="486"/>
      <c r="AS646" s="495" t="s">
        <v>1075</v>
      </c>
      <c r="AT646" s="495" t="s">
        <v>1075</v>
      </c>
      <c r="AU646" s="495" t="s">
        <v>1075</v>
      </c>
      <c r="AV646" s="478"/>
    </row>
    <row r="647" spans="1:48" s="471" customFormat="1">
      <c r="A647" s="514"/>
      <c r="B647" s="514"/>
      <c r="C647" s="514"/>
      <c r="D647" s="512" t="s">
        <v>2322</v>
      </c>
      <c r="E647" s="501"/>
      <c r="F647" s="501"/>
      <c r="G647" s="501"/>
      <c r="H647" s="382"/>
      <c r="I647" s="512" t="s">
        <v>1676</v>
      </c>
      <c r="J647" s="502"/>
      <c r="K647" s="503" t="s">
        <v>4631</v>
      </c>
      <c r="L647" s="501" t="s">
        <v>2324</v>
      </c>
      <c r="M647" s="504">
        <v>44657</v>
      </c>
      <c r="N647" s="504">
        <v>44866</v>
      </c>
      <c r="O647" s="504"/>
      <c r="P647" s="502"/>
      <c r="Q647" s="502"/>
      <c r="R647" s="502"/>
      <c r="S647" s="501" t="s">
        <v>1563</v>
      </c>
      <c r="T647" s="501">
        <v>60</v>
      </c>
      <c r="U647" s="501" t="s">
        <v>1109</v>
      </c>
      <c r="V647" s="501" t="s">
        <v>2855</v>
      </c>
      <c r="W647" s="501">
        <v>400</v>
      </c>
      <c r="X647" s="505">
        <v>10816</v>
      </c>
      <c r="Y647" s="477">
        <f t="shared" si="111"/>
        <v>4326400</v>
      </c>
      <c r="Z647" s="478">
        <v>0.51</v>
      </c>
      <c r="AA647" s="479">
        <f t="shared" si="114"/>
        <v>2206464</v>
      </c>
      <c r="AB647" s="479"/>
      <c r="AC647" s="481">
        <v>0</v>
      </c>
      <c r="AD647" s="490"/>
      <c r="AE647" s="482"/>
      <c r="AF647" s="493">
        <f t="shared" si="112"/>
        <v>2206464</v>
      </c>
      <c r="AG647" s="501" t="s">
        <v>47</v>
      </c>
      <c r="AH647" s="501"/>
      <c r="AI647" s="503" t="s">
        <v>2326</v>
      </c>
      <c r="AJ647" s="501" t="s">
        <v>2338</v>
      </c>
      <c r="AK647" s="509" t="s">
        <v>1347</v>
      </c>
      <c r="AL647" s="501">
        <v>17402</v>
      </c>
      <c r="AM647" s="501" t="s">
        <v>52</v>
      </c>
      <c r="AN647" s="501" t="s">
        <v>50</v>
      </c>
      <c r="AO647" s="474"/>
      <c r="AP647" s="486" t="s">
        <v>92</v>
      </c>
      <c r="AQ647" s="486" t="s">
        <v>37</v>
      </c>
      <c r="AR647" s="486"/>
      <c r="AS647" s="495" t="s">
        <v>1075</v>
      </c>
      <c r="AT647" s="495" t="s">
        <v>1075</v>
      </c>
      <c r="AU647" s="495" t="s">
        <v>1075</v>
      </c>
      <c r="AV647" s="478"/>
    </row>
    <row r="648" spans="1:48" s="471" customFormat="1">
      <c r="A648" s="514"/>
      <c r="B648" s="514"/>
      <c r="C648" s="514"/>
      <c r="D648" s="512" t="s">
        <v>2322</v>
      </c>
      <c r="E648" s="501"/>
      <c r="F648" s="501"/>
      <c r="G648" s="501"/>
      <c r="H648" s="382"/>
      <c r="I648" s="512" t="s">
        <v>1676</v>
      </c>
      <c r="J648" s="502"/>
      <c r="K648" s="503" t="s">
        <v>4632</v>
      </c>
      <c r="L648" s="501" t="s">
        <v>2324</v>
      </c>
      <c r="M648" s="504">
        <v>44657</v>
      </c>
      <c r="N648" s="504">
        <v>44896</v>
      </c>
      <c r="O648" s="504"/>
      <c r="P648" s="502"/>
      <c r="Q648" s="502"/>
      <c r="R648" s="502"/>
      <c r="S648" s="501" t="s">
        <v>1563</v>
      </c>
      <c r="T648" s="501">
        <v>60</v>
      </c>
      <c r="U648" s="501" t="s">
        <v>1109</v>
      </c>
      <c r="V648" s="501" t="s">
        <v>2855</v>
      </c>
      <c r="W648" s="501">
        <v>400</v>
      </c>
      <c r="X648" s="505">
        <v>10816</v>
      </c>
      <c r="Y648" s="477">
        <f t="shared" si="111"/>
        <v>4326400</v>
      </c>
      <c r="Z648" s="478">
        <v>0.51</v>
      </c>
      <c r="AA648" s="479">
        <f t="shared" si="114"/>
        <v>2206464</v>
      </c>
      <c r="AB648" s="479"/>
      <c r="AC648" s="481">
        <v>0</v>
      </c>
      <c r="AD648" s="490"/>
      <c r="AE648" s="482"/>
      <c r="AF648" s="493">
        <f t="shared" si="112"/>
        <v>2206464</v>
      </c>
      <c r="AG648" s="501" t="s">
        <v>47</v>
      </c>
      <c r="AH648" s="501"/>
      <c r="AI648" s="503" t="s">
        <v>2326</v>
      </c>
      <c r="AJ648" s="501" t="s">
        <v>2338</v>
      </c>
      <c r="AK648" s="509" t="s">
        <v>1347</v>
      </c>
      <c r="AL648" s="501">
        <v>17402</v>
      </c>
      <c r="AM648" s="501" t="s">
        <v>52</v>
      </c>
      <c r="AN648" s="501" t="s">
        <v>50</v>
      </c>
      <c r="AO648" s="474"/>
      <c r="AP648" s="486" t="s">
        <v>92</v>
      </c>
      <c r="AQ648" s="486" t="s">
        <v>37</v>
      </c>
      <c r="AR648" s="486"/>
      <c r="AS648" s="495" t="s">
        <v>1075</v>
      </c>
      <c r="AT648" s="495" t="s">
        <v>1075</v>
      </c>
      <c r="AU648" s="495" t="s">
        <v>1075</v>
      </c>
      <c r="AV648" s="478"/>
    </row>
    <row r="649" spans="1:48" s="471" customFormat="1">
      <c r="A649" s="514"/>
      <c r="B649" s="514"/>
      <c r="C649" s="514"/>
      <c r="D649" s="512" t="s">
        <v>2322</v>
      </c>
      <c r="E649" s="501"/>
      <c r="F649" s="501"/>
      <c r="G649" s="501"/>
      <c r="H649" s="382"/>
      <c r="I649" s="512" t="s">
        <v>1676</v>
      </c>
      <c r="J649" s="502"/>
      <c r="K649" s="503" t="s">
        <v>4633</v>
      </c>
      <c r="L649" s="501" t="s">
        <v>2324</v>
      </c>
      <c r="M649" s="504">
        <v>44657</v>
      </c>
      <c r="N649" s="504">
        <v>44743</v>
      </c>
      <c r="O649" s="504"/>
      <c r="P649" s="502"/>
      <c r="Q649" s="502"/>
      <c r="R649" s="502"/>
      <c r="S649" s="501" t="s">
        <v>1563</v>
      </c>
      <c r="T649" s="501">
        <v>60</v>
      </c>
      <c r="U649" s="501" t="s">
        <v>1109</v>
      </c>
      <c r="V649" s="501" t="s">
        <v>2855</v>
      </c>
      <c r="W649" s="501">
        <v>400</v>
      </c>
      <c r="X649" s="505">
        <v>6656</v>
      </c>
      <c r="Y649" s="477">
        <f t="shared" si="111"/>
        <v>2662400</v>
      </c>
      <c r="Z649" s="478">
        <v>0.56000000000000005</v>
      </c>
      <c r="AA649" s="479">
        <f t="shared" si="114"/>
        <v>1490944.0000000002</v>
      </c>
      <c r="AB649" s="479"/>
      <c r="AC649" s="481">
        <v>0</v>
      </c>
      <c r="AD649" s="490"/>
      <c r="AE649" s="482"/>
      <c r="AF649" s="493">
        <f t="shared" si="112"/>
        <v>1490944.0000000002</v>
      </c>
      <c r="AG649" s="501" t="s">
        <v>47</v>
      </c>
      <c r="AH649" s="501"/>
      <c r="AI649" s="503" t="s">
        <v>2326</v>
      </c>
      <c r="AJ649" s="501" t="s">
        <v>4634</v>
      </c>
      <c r="AK649" s="509" t="s">
        <v>50</v>
      </c>
      <c r="AL649" s="501">
        <v>93291</v>
      </c>
      <c r="AM649" s="501" t="s">
        <v>52</v>
      </c>
      <c r="AN649" s="501" t="s">
        <v>50</v>
      </c>
      <c r="AO649" s="474"/>
      <c r="AP649" s="486" t="s">
        <v>92</v>
      </c>
      <c r="AQ649" s="486" t="s">
        <v>37</v>
      </c>
      <c r="AR649" s="486"/>
      <c r="AS649" s="495" t="s">
        <v>1075</v>
      </c>
      <c r="AT649" s="495" t="s">
        <v>1075</v>
      </c>
      <c r="AU649" s="495" t="s">
        <v>1075</v>
      </c>
      <c r="AV649" s="478"/>
    </row>
    <row r="650" spans="1:48" s="471" customFormat="1">
      <c r="A650" s="514"/>
      <c r="B650" s="514"/>
      <c r="C650" s="514"/>
      <c r="D650" s="512" t="s">
        <v>2322</v>
      </c>
      <c r="E650" s="501"/>
      <c r="F650" s="501"/>
      <c r="G650" s="501"/>
      <c r="H650" s="382"/>
      <c r="I650" s="512" t="s">
        <v>1676</v>
      </c>
      <c r="J650" s="502"/>
      <c r="K650" s="503" t="s">
        <v>4635</v>
      </c>
      <c r="L650" s="501" t="s">
        <v>2324</v>
      </c>
      <c r="M650" s="504">
        <v>44657</v>
      </c>
      <c r="N650" s="504">
        <v>44774</v>
      </c>
      <c r="O650" s="504"/>
      <c r="P650" s="502"/>
      <c r="Q650" s="502"/>
      <c r="R650" s="502"/>
      <c r="S650" s="501" t="s">
        <v>1563</v>
      </c>
      <c r="T650" s="501">
        <v>60</v>
      </c>
      <c r="U650" s="501" t="s">
        <v>1109</v>
      </c>
      <c r="V650" s="501" t="s">
        <v>2855</v>
      </c>
      <c r="W650" s="501">
        <v>400</v>
      </c>
      <c r="X650" s="505">
        <v>8320</v>
      </c>
      <c r="Y650" s="477">
        <f t="shared" si="111"/>
        <v>3328000</v>
      </c>
      <c r="Z650" s="478">
        <v>0.56000000000000005</v>
      </c>
      <c r="AA650" s="479">
        <f t="shared" si="114"/>
        <v>1863680.0000000002</v>
      </c>
      <c r="AB650" s="479"/>
      <c r="AC650" s="481">
        <v>0</v>
      </c>
      <c r="AD650" s="490"/>
      <c r="AE650" s="482"/>
      <c r="AF650" s="493">
        <f t="shared" si="112"/>
        <v>1863680.0000000002</v>
      </c>
      <c r="AG650" s="501" t="s">
        <v>47</v>
      </c>
      <c r="AH650" s="501"/>
      <c r="AI650" s="503" t="s">
        <v>2326</v>
      </c>
      <c r="AJ650" s="501" t="s">
        <v>1844</v>
      </c>
      <c r="AK650" s="509" t="s">
        <v>50</v>
      </c>
      <c r="AL650" s="501">
        <v>93291</v>
      </c>
      <c r="AM650" s="501" t="s">
        <v>52</v>
      </c>
      <c r="AN650" s="501" t="s">
        <v>50</v>
      </c>
      <c r="AO650" s="474"/>
      <c r="AP650" s="486" t="s">
        <v>92</v>
      </c>
      <c r="AQ650" s="486" t="s">
        <v>37</v>
      </c>
      <c r="AR650" s="486"/>
      <c r="AS650" s="495" t="s">
        <v>1075</v>
      </c>
      <c r="AT650" s="495" t="s">
        <v>1075</v>
      </c>
      <c r="AU650" s="495" t="s">
        <v>1075</v>
      </c>
      <c r="AV650" s="478"/>
    </row>
    <row r="651" spans="1:48" s="471" customFormat="1">
      <c r="A651" s="514"/>
      <c r="B651" s="514"/>
      <c r="C651" s="514"/>
      <c r="D651" s="512" t="s">
        <v>2322</v>
      </c>
      <c r="E651" s="501"/>
      <c r="F651" s="501"/>
      <c r="G651" s="501"/>
      <c r="H651" s="382"/>
      <c r="I651" s="512" t="s">
        <v>1676</v>
      </c>
      <c r="J651" s="502"/>
      <c r="K651" s="503" t="s">
        <v>4636</v>
      </c>
      <c r="L651" s="501" t="s">
        <v>2324</v>
      </c>
      <c r="M651" s="504">
        <v>44657</v>
      </c>
      <c r="N651" s="504">
        <v>44805</v>
      </c>
      <c r="O651" s="504"/>
      <c r="P651" s="502"/>
      <c r="Q651" s="502"/>
      <c r="R651" s="502"/>
      <c r="S651" s="501" t="s">
        <v>1563</v>
      </c>
      <c r="T651" s="501">
        <v>60</v>
      </c>
      <c r="U651" s="501" t="s">
        <v>1109</v>
      </c>
      <c r="V651" s="501" t="s">
        <v>2855</v>
      </c>
      <c r="W651" s="501">
        <v>400</v>
      </c>
      <c r="X651" s="505">
        <v>8320</v>
      </c>
      <c r="Y651" s="477">
        <f t="shared" si="111"/>
        <v>3328000</v>
      </c>
      <c r="Z651" s="478">
        <v>0.56000000000000005</v>
      </c>
      <c r="AA651" s="479">
        <f t="shared" si="114"/>
        <v>1863680.0000000002</v>
      </c>
      <c r="AB651" s="479"/>
      <c r="AC651" s="481">
        <v>0</v>
      </c>
      <c r="AD651" s="490"/>
      <c r="AE651" s="482"/>
      <c r="AF651" s="493">
        <f t="shared" si="112"/>
        <v>1863680.0000000002</v>
      </c>
      <c r="AG651" s="501" t="s">
        <v>47</v>
      </c>
      <c r="AH651" s="501"/>
      <c r="AI651" s="503" t="s">
        <v>2326</v>
      </c>
      <c r="AJ651" s="501" t="s">
        <v>4634</v>
      </c>
      <c r="AK651" s="509" t="s">
        <v>50</v>
      </c>
      <c r="AL651" s="501">
        <v>93291</v>
      </c>
      <c r="AM651" s="501" t="s">
        <v>52</v>
      </c>
      <c r="AN651" s="501" t="s">
        <v>50</v>
      </c>
      <c r="AO651" s="474"/>
      <c r="AP651" s="486" t="s">
        <v>92</v>
      </c>
      <c r="AQ651" s="486" t="s">
        <v>37</v>
      </c>
      <c r="AR651" s="486"/>
      <c r="AS651" s="495" t="s">
        <v>1075</v>
      </c>
      <c r="AT651" s="495" t="s">
        <v>1075</v>
      </c>
      <c r="AU651" s="495" t="s">
        <v>1075</v>
      </c>
      <c r="AV651" s="478"/>
    </row>
    <row r="652" spans="1:48" s="471" customFormat="1">
      <c r="A652" s="514"/>
      <c r="B652" s="514"/>
      <c r="C652" s="514"/>
      <c r="D652" s="512" t="s">
        <v>2322</v>
      </c>
      <c r="E652" s="501"/>
      <c r="F652" s="501"/>
      <c r="G652" s="501"/>
      <c r="H652" s="382"/>
      <c r="I652" s="512" t="s">
        <v>1676</v>
      </c>
      <c r="J652" s="502"/>
      <c r="K652" s="503" t="s">
        <v>4637</v>
      </c>
      <c r="L652" s="501" t="s">
        <v>2324</v>
      </c>
      <c r="M652" s="504">
        <v>44657</v>
      </c>
      <c r="N652" s="504">
        <v>44835</v>
      </c>
      <c r="O652" s="504"/>
      <c r="P652" s="502"/>
      <c r="Q652" s="502"/>
      <c r="R652" s="502"/>
      <c r="S652" s="501" t="s">
        <v>1563</v>
      </c>
      <c r="T652" s="501">
        <v>60</v>
      </c>
      <c r="U652" s="501" t="s">
        <v>1109</v>
      </c>
      <c r="V652" s="501" t="s">
        <v>2855</v>
      </c>
      <c r="W652" s="501">
        <v>400</v>
      </c>
      <c r="X652" s="505">
        <v>8320</v>
      </c>
      <c r="Y652" s="477">
        <f t="shared" si="111"/>
        <v>3328000</v>
      </c>
      <c r="Z652" s="478">
        <v>0.56000000000000005</v>
      </c>
      <c r="AA652" s="479">
        <f t="shared" si="114"/>
        <v>1863680.0000000002</v>
      </c>
      <c r="AB652" s="479"/>
      <c r="AC652" s="481">
        <v>0</v>
      </c>
      <c r="AD652" s="490"/>
      <c r="AE652" s="482"/>
      <c r="AF652" s="493">
        <f t="shared" si="112"/>
        <v>1863680.0000000002</v>
      </c>
      <c r="AG652" s="501" t="s">
        <v>47</v>
      </c>
      <c r="AH652" s="501"/>
      <c r="AI652" s="503" t="s">
        <v>2326</v>
      </c>
      <c r="AJ652" s="501" t="s">
        <v>1844</v>
      </c>
      <c r="AK652" s="509" t="s">
        <v>50</v>
      </c>
      <c r="AL652" s="501">
        <v>93291</v>
      </c>
      <c r="AM652" s="501" t="s">
        <v>52</v>
      </c>
      <c r="AN652" s="501" t="s">
        <v>50</v>
      </c>
      <c r="AO652" s="474"/>
      <c r="AP652" s="486" t="s">
        <v>92</v>
      </c>
      <c r="AQ652" s="486" t="s">
        <v>37</v>
      </c>
      <c r="AR652" s="486"/>
      <c r="AS652" s="495" t="s">
        <v>1075</v>
      </c>
      <c r="AT652" s="495" t="s">
        <v>1075</v>
      </c>
      <c r="AU652" s="495" t="s">
        <v>1075</v>
      </c>
      <c r="AV652" s="478"/>
    </row>
    <row r="653" spans="1:48" s="471" customFormat="1">
      <c r="A653" s="514"/>
      <c r="B653" s="514"/>
      <c r="C653" s="514"/>
      <c r="D653" s="512" t="s">
        <v>2322</v>
      </c>
      <c r="E653" s="501"/>
      <c r="F653" s="501"/>
      <c r="G653" s="501"/>
      <c r="H653" s="382"/>
      <c r="I653" s="512" t="s">
        <v>1676</v>
      </c>
      <c r="J653" s="502"/>
      <c r="K653" s="503" t="s">
        <v>4638</v>
      </c>
      <c r="L653" s="501" t="s">
        <v>2324</v>
      </c>
      <c r="M653" s="504">
        <v>44657</v>
      </c>
      <c r="N653" s="504">
        <v>44866</v>
      </c>
      <c r="O653" s="504"/>
      <c r="P653" s="502"/>
      <c r="Q653" s="502"/>
      <c r="R653" s="502"/>
      <c r="S653" s="501" t="s">
        <v>1563</v>
      </c>
      <c r="T653" s="501">
        <v>60</v>
      </c>
      <c r="U653" s="501" t="s">
        <v>1109</v>
      </c>
      <c r="V653" s="501" t="s">
        <v>2855</v>
      </c>
      <c r="W653" s="501">
        <v>400</v>
      </c>
      <c r="X653" s="505">
        <v>8320</v>
      </c>
      <c r="Y653" s="477">
        <f t="shared" si="111"/>
        <v>3328000</v>
      </c>
      <c r="Z653" s="478">
        <v>0.56000000000000005</v>
      </c>
      <c r="AA653" s="479">
        <f t="shared" si="114"/>
        <v>1863680.0000000002</v>
      </c>
      <c r="AB653" s="479"/>
      <c r="AC653" s="481">
        <v>0</v>
      </c>
      <c r="AD653" s="490"/>
      <c r="AE653" s="482"/>
      <c r="AF653" s="493">
        <f t="shared" si="112"/>
        <v>1863680.0000000002</v>
      </c>
      <c r="AG653" s="501" t="s">
        <v>47</v>
      </c>
      <c r="AH653" s="501"/>
      <c r="AI653" s="503" t="s">
        <v>2326</v>
      </c>
      <c r="AJ653" s="501" t="s">
        <v>1844</v>
      </c>
      <c r="AK653" s="509" t="s">
        <v>50</v>
      </c>
      <c r="AL653" s="501">
        <v>93291</v>
      </c>
      <c r="AM653" s="501" t="s">
        <v>52</v>
      </c>
      <c r="AN653" s="501" t="s">
        <v>50</v>
      </c>
      <c r="AO653" s="474"/>
      <c r="AP653" s="486" t="s">
        <v>92</v>
      </c>
      <c r="AQ653" s="486" t="s">
        <v>37</v>
      </c>
      <c r="AR653" s="486"/>
      <c r="AS653" s="495" t="s">
        <v>1075</v>
      </c>
      <c r="AT653" s="495" t="s">
        <v>1075</v>
      </c>
      <c r="AU653" s="495" t="s">
        <v>1075</v>
      </c>
      <c r="AV653" s="478"/>
    </row>
    <row r="654" spans="1:48" s="471" customFormat="1">
      <c r="A654" s="514"/>
      <c r="B654" s="514"/>
      <c r="C654" s="514"/>
      <c r="D654" s="512" t="s">
        <v>2322</v>
      </c>
      <c r="E654" s="501"/>
      <c r="F654" s="501"/>
      <c r="G654" s="501"/>
      <c r="H654" s="382"/>
      <c r="I654" s="512" t="s">
        <v>1676</v>
      </c>
      <c r="J654" s="502"/>
      <c r="K654" s="503" t="s">
        <v>4639</v>
      </c>
      <c r="L654" s="501" t="s">
        <v>2324</v>
      </c>
      <c r="M654" s="504">
        <v>44657</v>
      </c>
      <c r="N654" s="504">
        <v>44896</v>
      </c>
      <c r="O654" s="504"/>
      <c r="P654" s="502"/>
      <c r="Q654" s="502"/>
      <c r="R654" s="502"/>
      <c r="S654" s="501" t="s">
        <v>1563</v>
      </c>
      <c r="T654" s="501">
        <v>60</v>
      </c>
      <c r="U654" s="501" t="s">
        <v>1109</v>
      </c>
      <c r="V654" s="501" t="s">
        <v>2855</v>
      </c>
      <c r="W654" s="501">
        <v>400</v>
      </c>
      <c r="X654" s="505">
        <v>8320</v>
      </c>
      <c r="Y654" s="477">
        <f t="shared" si="111"/>
        <v>3328000</v>
      </c>
      <c r="Z654" s="478">
        <v>0.56000000000000005</v>
      </c>
      <c r="AA654" s="479">
        <f t="shared" si="114"/>
        <v>1863680.0000000002</v>
      </c>
      <c r="AB654" s="479"/>
      <c r="AC654" s="481">
        <v>0</v>
      </c>
      <c r="AD654" s="490"/>
      <c r="AE654" s="482"/>
      <c r="AF654" s="493">
        <f t="shared" si="112"/>
        <v>1863680.0000000002</v>
      </c>
      <c r="AG654" s="501" t="s">
        <v>47</v>
      </c>
      <c r="AH654" s="501"/>
      <c r="AI654" s="503" t="s">
        <v>2326</v>
      </c>
      <c r="AJ654" s="501" t="s">
        <v>1844</v>
      </c>
      <c r="AK654" s="509" t="s">
        <v>50</v>
      </c>
      <c r="AL654" s="501">
        <v>93291</v>
      </c>
      <c r="AM654" s="501" t="s">
        <v>52</v>
      </c>
      <c r="AN654" s="501" t="s">
        <v>50</v>
      </c>
      <c r="AO654" s="474"/>
      <c r="AP654" s="486" t="s">
        <v>92</v>
      </c>
      <c r="AQ654" s="486" t="s">
        <v>37</v>
      </c>
      <c r="AR654" s="486"/>
      <c r="AS654" s="495" t="s">
        <v>1075</v>
      </c>
      <c r="AT654" s="495" t="s">
        <v>1075</v>
      </c>
      <c r="AU654" s="495" t="s">
        <v>1075</v>
      </c>
      <c r="AV654" s="478"/>
    </row>
    <row r="655" spans="1:48" s="471" customFormat="1">
      <c r="A655" s="514"/>
      <c r="B655" s="514"/>
      <c r="C655" s="514"/>
      <c r="D655" s="512" t="s">
        <v>2322</v>
      </c>
      <c r="E655" s="501"/>
      <c r="F655" s="501"/>
      <c r="G655" s="501"/>
      <c r="H655" s="382"/>
      <c r="I655" s="512" t="s">
        <v>1676</v>
      </c>
      <c r="J655" s="502"/>
      <c r="K655" s="503" t="s">
        <v>4640</v>
      </c>
      <c r="L655" s="501" t="s">
        <v>2324</v>
      </c>
      <c r="M655" s="504">
        <v>44657</v>
      </c>
      <c r="N655" s="504">
        <v>44743</v>
      </c>
      <c r="O655" s="504"/>
      <c r="P655" s="502"/>
      <c r="Q655" s="502"/>
      <c r="R655" s="502"/>
      <c r="S655" s="501" t="s">
        <v>1563</v>
      </c>
      <c r="T655" s="501">
        <v>60</v>
      </c>
      <c r="U655" s="501" t="s">
        <v>1109</v>
      </c>
      <c r="V655" s="501" t="s">
        <v>4641</v>
      </c>
      <c r="W655" s="501">
        <v>410</v>
      </c>
      <c r="X655" s="505">
        <v>12480</v>
      </c>
      <c r="Y655" s="477">
        <f t="shared" si="111"/>
        <v>5116800</v>
      </c>
      <c r="Z655" s="478">
        <v>0.51</v>
      </c>
      <c r="AA655" s="479">
        <f t="shared" si="114"/>
        <v>2609568</v>
      </c>
      <c r="AB655" s="479"/>
      <c r="AC655" s="481">
        <v>0</v>
      </c>
      <c r="AD655" s="490"/>
      <c r="AE655" s="482"/>
      <c r="AF655" s="493">
        <f t="shared" si="112"/>
        <v>2609568</v>
      </c>
      <c r="AG655" s="501" t="s">
        <v>47</v>
      </c>
      <c r="AH655" s="501"/>
      <c r="AI655" s="503" t="s">
        <v>2326</v>
      </c>
      <c r="AJ655" s="501" t="s">
        <v>2327</v>
      </c>
      <c r="AK655" s="509" t="s">
        <v>50</v>
      </c>
      <c r="AL655" s="501">
        <v>91730</v>
      </c>
      <c r="AM655" s="501" t="s">
        <v>52</v>
      </c>
      <c r="AN655" s="501" t="s">
        <v>50</v>
      </c>
      <c r="AO655" s="474"/>
      <c r="AP655" s="486" t="s">
        <v>92</v>
      </c>
      <c r="AQ655" s="486" t="s">
        <v>37</v>
      </c>
      <c r="AR655" s="486"/>
      <c r="AS655" s="495" t="s">
        <v>1075</v>
      </c>
      <c r="AT655" s="495" t="s">
        <v>1075</v>
      </c>
      <c r="AU655" s="495" t="s">
        <v>1075</v>
      </c>
      <c r="AV655" s="478"/>
    </row>
    <row r="656" spans="1:48" s="471" customFormat="1">
      <c r="A656" s="514"/>
      <c r="B656" s="514"/>
      <c r="C656" s="514"/>
      <c r="D656" s="512" t="s">
        <v>2322</v>
      </c>
      <c r="E656" s="501"/>
      <c r="F656" s="501"/>
      <c r="G656" s="501"/>
      <c r="H656" s="382"/>
      <c r="I656" s="512" t="s">
        <v>1676</v>
      </c>
      <c r="J656" s="502"/>
      <c r="K656" s="503" t="s">
        <v>4642</v>
      </c>
      <c r="L656" s="501" t="s">
        <v>2324</v>
      </c>
      <c r="M656" s="504">
        <v>44657</v>
      </c>
      <c r="N656" s="504">
        <v>44743</v>
      </c>
      <c r="O656" s="504"/>
      <c r="P656" s="502"/>
      <c r="Q656" s="502"/>
      <c r="R656" s="502"/>
      <c r="S656" s="501" t="s">
        <v>1563</v>
      </c>
      <c r="T656" s="501">
        <v>60</v>
      </c>
      <c r="U656" s="501" t="s">
        <v>1109</v>
      </c>
      <c r="V656" s="501" t="s">
        <v>4641</v>
      </c>
      <c r="W656" s="501">
        <v>410</v>
      </c>
      <c r="X656" s="505">
        <v>10816</v>
      </c>
      <c r="Y656" s="477">
        <f t="shared" si="111"/>
        <v>4434560</v>
      </c>
      <c r="Z656" s="478">
        <v>0.51</v>
      </c>
      <c r="AA656" s="479">
        <f t="shared" si="114"/>
        <v>2261625.6</v>
      </c>
      <c r="AB656" s="479"/>
      <c r="AC656" s="481">
        <v>0</v>
      </c>
      <c r="AD656" s="490"/>
      <c r="AE656" s="482"/>
      <c r="AF656" s="493">
        <f t="shared" si="112"/>
        <v>2261625.6</v>
      </c>
      <c r="AG656" s="501" t="s">
        <v>47</v>
      </c>
      <c r="AH656" s="501"/>
      <c r="AI656" s="503" t="s">
        <v>2326</v>
      </c>
      <c r="AJ656" s="501" t="s">
        <v>2327</v>
      </c>
      <c r="AK656" s="509" t="s">
        <v>50</v>
      </c>
      <c r="AL656" s="501">
        <v>91730</v>
      </c>
      <c r="AM656" s="501" t="s">
        <v>52</v>
      </c>
      <c r="AN656" s="501" t="s">
        <v>50</v>
      </c>
      <c r="AO656" s="474"/>
      <c r="AP656" s="486" t="s">
        <v>92</v>
      </c>
      <c r="AQ656" s="486" t="s">
        <v>37</v>
      </c>
      <c r="AR656" s="486"/>
      <c r="AS656" s="495" t="s">
        <v>1075</v>
      </c>
      <c r="AT656" s="495" t="s">
        <v>1075</v>
      </c>
      <c r="AU656" s="495" t="s">
        <v>1075</v>
      </c>
      <c r="AV656" s="478"/>
    </row>
    <row r="657" spans="1:48" s="471" customFormat="1">
      <c r="A657" s="514"/>
      <c r="B657" s="514"/>
      <c r="C657" s="514"/>
      <c r="D657" s="512" t="s">
        <v>2322</v>
      </c>
      <c r="E657" s="501"/>
      <c r="F657" s="501"/>
      <c r="G657" s="501"/>
      <c r="H657" s="382"/>
      <c r="I657" s="512" t="s">
        <v>1676</v>
      </c>
      <c r="J657" s="502"/>
      <c r="K657" s="503" t="s">
        <v>4643</v>
      </c>
      <c r="L657" s="501" t="s">
        <v>2324</v>
      </c>
      <c r="M657" s="504">
        <v>44657</v>
      </c>
      <c r="N657" s="504">
        <v>44774</v>
      </c>
      <c r="O657" s="504"/>
      <c r="P657" s="502"/>
      <c r="Q657" s="502"/>
      <c r="R657" s="502"/>
      <c r="S657" s="501" t="s">
        <v>1563</v>
      </c>
      <c r="T657" s="501">
        <v>60</v>
      </c>
      <c r="U657" s="501" t="s">
        <v>1109</v>
      </c>
      <c r="V657" s="501" t="s">
        <v>4641</v>
      </c>
      <c r="W657" s="501">
        <v>410</v>
      </c>
      <c r="X657" s="505">
        <v>12480</v>
      </c>
      <c r="Y657" s="477">
        <f t="shared" si="111"/>
        <v>5116800</v>
      </c>
      <c r="Z657" s="478">
        <v>0.51</v>
      </c>
      <c r="AA657" s="479">
        <f t="shared" si="114"/>
        <v>2609568</v>
      </c>
      <c r="AB657" s="479"/>
      <c r="AC657" s="481">
        <v>0</v>
      </c>
      <c r="AD657" s="490"/>
      <c r="AE657" s="482"/>
      <c r="AF657" s="493">
        <f t="shared" si="112"/>
        <v>2609568</v>
      </c>
      <c r="AG657" s="501" t="s">
        <v>47</v>
      </c>
      <c r="AH657" s="501"/>
      <c r="AI657" s="503" t="s">
        <v>2326</v>
      </c>
      <c r="AJ657" s="501" t="s">
        <v>2327</v>
      </c>
      <c r="AK657" s="509" t="s">
        <v>50</v>
      </c>
      <c r="AL657" s="501">
        <v>91730</v>
      </c>
      <c r="AM657" s="501" t="s">
        <v>52</v>
      </c>
      <c r="AN657" s="501" t="s">
        <v>50</v>
      </c>
      <c r="AO657" s="474"/>
      <c r="AP657" s="486" t="s">
        <v>92</v>
      </c>
      <c r="AQ657" s="486" t="s">
        <v>37</v>
      </c>
      <c r="AR657" s="486"/>
      <c r="AS657" s="495" t="s">
        <v>1075</v>
      </c>
      <c r="AT657" s="495" t="s">
        <v>1075</v>
      </c>
      <c r="AU657" s="495" t="s">
        <v>1075</v>
      </c>
      <c r="AV657" s="478"/>
    </row>
    <row r="658" spans="1:48" s="471" customFormat="1">
      <c r="A658" s="514"/>
      <c r="B658" s="514"/>
      <c r="C658" s="514"/>
      <c r="D658" s="512" t="s">
        <v>2322</v>
      </c>
      <c r="E658" s="501"/>
      <c r="F658" s="501"/>
      <c r="G658" s="501"/>
      <c r="H658" s="382"/>
      <c r="I658" s="512" t="s">
        <v>1676</v>
      </c>
      <c r="J658" s="502"/>
      <c r="K658" s="503" t="s">
        <v>4644</v>
      </c>
      <c r="L658" s="501" t="s">
        <v>2324</v>
      </c>
      <c r="M658" s="504">
        <v>44657</v>
      </c>
      <c r="N658" s="504">
        <v>44774</v>
      </c>
      <c r="O658" s="504"/>
      <c r="P658" s="502"/>
      <c r="Q658" s="502"/>
      <c r="R658" s="502"/>
      <c r="S658" s="501" t="s">
        <v>1563</v>
      </c>
      <c r="T658" s="501">
        <v>60</v>
      </c>
      <c r="U658" s="501" t="s">
        <v>1109</v>
      </c>
      <c r="V658" s="501" t="s">
        <v>4641</v>
      </c>
      <c r="W658" s="501">
        <v>410</v>
      </c>
      <c r="X658" s="505">
        <v>10816</v>
      </c>
      <c r="Y658" s="477">
        <f t="shared" si="111"/>
        <v>4434560</v>
      </c>
      <c r="Z658" s="478">
        <v>0.51</v>
      </c>
      <c r="AA658" s="479">
        <f t="shared" si="114"/>
        <v>2261625.6</v>
      </c>
      <c r="AB658" s="479"/>
      <c r="AC658" s="481">
        <v>0</v>
      </c>
      <c r="AD658" s="490"/>
      <c r="AE658" s="482"/>
      <c r="AF658" s="493">
        <f t="shared" si="112"/>
        <v>2261625.6</v>
      </c>
      <c r="AG658" s="501" t="s">
        <v>47</v>
      </c>
      <c r="AH658" s="501"/>
      <c r="AI658" s="503" t="s">
        <v>2326</v>
      </c>
      <c r="AJ658" s="501" t="s">
        <v>2327</v>
      </c>
      <c r="AK658" s="509" t="s">
        <v>50</v>
      </c>
      <c r="AL658" s="501">
        <v>91730</v>
      </c>
      <c r="AM658" s="501" t="s">
        <v>52</v>
      </c>
      <c r="AN658" s="501" t="s">
        <v>50</v>
      </c>
      <c r="AO658" s="474"/>
      <c r="AP658" s="486" t="s">
        <v>92</v>
      </c>
      <c r="AQ658" s="486" t="s">
        <v>37</v>
      </c>
      <c r="AR658" s="486"/>
      <c r="AS658" s="495" t="s">
        <v>1075</v>
      </c>
      <c r="AT658" s="495" t="s">
        <v>1075</v>
      </c>
      <c r="AU658" s="495" t="s">
        <v>1075</v>
      </c>
      <c r="AV658" s="478"/>
    </row>
    <row r="659" spans="1:48" s="471" customFormat="1">
      <c r="A659" s="514"/>
      <c r="B659" s="514"/>
      <c r="C659" s="514"/>
      <c r="D659" s="512" t="s">
        <v>2322</v>
      </c>
      <c r="E659" s="501"/>
      <c r="F659" s="501"/>
      <c r="G659" s="501"/>
      <c r="H659" s="382"/>
      <c r="I659" s="512" t="s">
        <v>1676</v>
      </c>
      <c r="J659" s="502"/>
      <c r="K659" s="503" t="s">
        <v>4645</v>
      </c>
      <c r="L659" s="501" t="s">
        <v>2324</v>
      </c>
      <c r="M659" s="504">
        <v>44657</v>
      </c>
      <c r="N659" s="504">
        <v>44805</v>
      </c>
      <c r="O659" s="504"/>
      <c r="P659" s="502"/>
      <c r="Q659" s="502"/>
      <c r="R659" s="502"/>
      <c r="S659" s="501" t="s">
        <v>1563</v>
      </c>
      <c r="T659" s="501">
        <v>60</v>
      </c>
      <c r="U659" s="501" t="s">
        <v>1109</v>
      </c>
      <c r="V659" s="501" t="s">
        <v>4641</v>
      </c>
      <c r="W659" s="501">
        <v>410</v>
      </c>
      <c r="X659" s="505">
        <v>12480</v>
      </c>
      <c r="Y659" s="477">
        <f t="shared" si="111"/>
        <v>5116800</v>
      </c>
      <c r="Z659" s="478">
        <v>0.51</v>
      </c>
      <c r="AA659" s="479">
        <f t="shared" si="114"/>
        <v>2609568</v>
      </c>
      <c r="AB659" s="479"/>
      <c r="AC659" s="481">
        <v>0</v>
      </c>
      <c r="AD659" s="490"/>
      <c r="AE659" s="482"/>
      <c r="AF659" s="493">
        <f t="shared" si="112"/>
        <v>2609568</v>
      </c>
      <c r="AG659" s="501" t="s">
        <v>47</v>
      </c>
      <c r="AH659" s="501"/>
      <c r="AI659" s="503" t="s">
        <v>2326</v>
      </c>
      <c r="AJ659" s="501" t="s">
        <v>2327</v>
      </c>
      <c r="AK659" s="509" t="s">
        <v>50</v>
      </c>
      <c r="AL659" s="501">
        <v>91730</v>
      </c>
      <c r="AM659" s="501" t="s">
        <v>52</v>
      </c>
      <c r="AN659" s="501" t="s">
        <v>50</v>
      </c>
      <c r="AO659" s="474"/>
      <c r="AP659" s="486" t="s">
        <v>92</v>
      </c>
      <c r="AQ659" s="486" t="s">
        <v>37</v>
      </c>
      <c r="AR659" s="486"/>
      <c r="AS659" s="495" t="s">
        <v>1075</v>
      </c>
      <c r="AT659" s="495" t="s">
        <v>1075</v>
      </c>
      <c r="AU659" s="495" t="s">
        <v>1075</v>
      </c>
      <c r="AV659" s="478"/>
    </row>
    <row r="660" spans="1:48" s="471" customFormat="1">
      <c r="A660" s="514"/>
      <c r="B660" s="514"/>
      <c r="C660" s="514"/>
      <c r="D660" s="512" t="s">
        <v>2322</v>
      </c>
      <c r="E660" s="501"/>
      <c r="F660" s="501"/>
      <c r="G660" s="501"/>
      <c r="H660" s="382"/>
      <c r="I660" s="512" t="s">
        <v>1676</v>
      </c>
      <c r="J660" s="502"/>
      <c r="K660" s="503" t="s">
        <v>4646</v>
      </c>
      <c r="L660" s="501" t="s">
        <v>2324</v>
      </c>
      <c r="M660" s="504">
        <v>44657</v>
      </c>
      <c r="N660" s="504">
        <v>44805</v>
      </c>
      <c r="O660" s="504"/>
      <c r="P660" s="502"/>
      <c r="Q660" s="502"/>
      <c r="R660" s="502"/>
      <c r="S660" s="501" t="s">
        <v>1563</v>
      </c>
      <c r="T660" s="501">
        <v>60</v>
      </c>
      <c r="U660" s="501" t="s">
        <v>1109</v>
      </c>
      <c r="V660" s="501" t="s">
        <v>4641</v>
      </c>
      <c r="W660" s="501">
        <v>410</v>
      </c>
      <c r="X660" s="505">
        <v>10816</v>
      </c>
      <c r="Y660" s="477">
        <f t="shared" si="111"/>
        <v>4434560</v>
      </c>
      <c r="Z660" s="478">
        <v>0.51</v>
      </c>
      <c r="AA660" s="479">
        <f t="shared" si="114"/>
        <v>2261625.6</v>
      </c>
      <c r="AB660" s="479"/>
      <c r="AC660" s="481">
        <v>0</v>
      </c>
      <c r="AD660" s="490"/>
      <c r="AE660" s="482"/>
      <c r="AF660" s="493">
        <f t="shared" si="112"/>
        <v>2261625.6</v>
      </c>
      <c r="AG660" s="501" t="s">
        <v>47</v>
      </c>
      <c r="AH660" s="501"/>
      <c r="AI660" s="503" t="s">
        <v>2326</v>
      </c>
      <c r="AJ660" s="501" t="s">
        <v>2327</v>
      </c>
      <c r="AK660" s="509" t="s">
        <v>50</v>
      </c>
      <c r="AL660" s="501">
        <v>91730</v>
      </c>
      <c r="AM660" s="501" t="s">
        <v>52</v>
      </c>
      <c r="AN660" s="501" t="s">
        <v>50</v>
      </c>
      <c r="AO660" s="474"/>
      <c r="AP660" s="486" t="s">
        <v>92</v>
      </c>
      <c r="AQ660" s="486" t="s">
        <v>37</v>
      </c>
      <c r="AR660" s="486"/>
      <c r="AS660" s="495" t="s">
        <v>1075</v>
      </c>
      <c r="AT660" s="495" t="s">
        <v>1075</v>
      </c>
      <c r="AU660" s="495" t="s">
        <v>1075</v>
      </c>
      <c r="AV660" s="478"/>
    </row>
    <row r="661" spans="1:48" s="471" customFormat="1">
      <c r="A661" s="514"/>
      <c r="B661" s="514"/>
      <c r="C661" s="514"/>
      <c r="D661" s="512" t="s">
        <v>2322</v>
      </c>
      <c r="E661" s="501"/>
      <c r="F661" s="501"/>
      <c r="G661" s="501"/>
      <c r="H661" s="382"/>
      <c r="I661" s="512" t="s">
        <v>1676</v>
      </c>
      <c r="J661" s="502"/>
      <c r="K661" s="503" t="s">
        <v>4647</v>
      </c>
      <c r="L661" s="501" t="s">
        <v>2324</v>
      </c>
      <c r="M661" s="504">
        <v>44657</v>
      </c>
      <c r="N661" s="504">
        <v>44835</v>
      </c>
      <c r="O661" s="504"/>
      <c r="P661" s="502"/>
      <c r="Q661" s="502"/>
      <c r="R661" s="502"/>
      <c r="S661" s="501" t="s">
        <v>1563</v>
      </c>
      <c r="T661" s="501">
        <v>60</v>
      </c>
      <c r="U661" s="501" t="s">
        <v>1109</v>
      </c>
      <c r="V661" s="501" t="s">
        <v>4641</v>
      </c>
      <c r="W661" s="501">
        <v>410</v>
      </c>
      <c r="X661" s="505">
        <v>12480</v>
      </c>
      <c r="Y661" s="477">
        <f t="shared" si="111"/>
        <v>5116800</v>
      </c>
      <c r="Z661" s="478">
        <v>0.51</v>
      </c>
      <c r="AA661" s="479">
        <f t="shared" si="114"/>
        <v>2609568</v>
      </c>
      <c r="AB661" s="479"/>
      <c r="AC661" s="481">
        <v>0</v>
      </c>
      <c r="AD661" s="490"/>
      <c r="AE661" s="482"/>
      <c r="AF661" s="493">
        <f t="shared" si="112"/>
        <v>2609568</v>
      </c>
      <c r="AG661" s="501" t="s">
        <v>47</v>
      </c>
      <c r="AH661" s="501"/>
      <c r="AI661" s="503" t="s">
        <v>2326</v>
      </c>
      <c r="AJ661" s="501" t="s">
        <v>2327</v>
      </c>
      <c r="AK661" s="509" t="s">
        <v>50</v>
      </c>
      <c r="AL661" s="501">
        <v>91730</v>
      </c>
      <c r="AM661" s="501" t="s">
        <v>52</v>
      </c>
      <c r="AN661" s="501" t="s">
        <v>50</v>
      </c>
      <c r="AO661" s="474"/>
      <c r="AP661" s="486" t="s">
        <v>92</v>
      </c>
      <c r="AQ661" s="486" t="s">
        <v>37</v>
      </c>
      <c r="AR661" s="486"/>
      <c r="AS661" s="495" t="s">
        <v>1075</v>
      </c>
      <c r="AT661" s="495" t="s">
        <v>1075</v>
      </c>
      <c r="AU661" s="495" t="s">
        <v>1075</v>
      </c>
      <c r="AV661" s="478"/>
    </row>
    <row r="662" spans="1:48" s="471" customFormat="1">
      <c r="A662" s="514"/>
      <c r="B662" s="514"/>
      <c r="C662" s="514"/>
      <c r="D662" s="512" t="s">
        <v>2322</v>
      </c>
      <c r="E662" s="501"/>
      <c r="F662" s="501"/>
      <c r="G662" s="501"/>
      <c r="H662" s="382"/>
      <c r="I662" s="512" t="s">
        <v>1676</v>
      </c>
      <c r="J662" s="502"/>
      <c r="K662" s="503" t="s">
        <v>4648</v>
      </c>
      <c r="L662" s="501" t="s">
        <v>2324</v>
      </c>
      <c r="M662" s="504">
        <v>44657</v>
      </c>
      <c r="N662" s="504">
        <v>44835</v>
      </c>
      <c r="O662" s="504"/>
      <c r="P662" s="502"/>
      <c r="Q662" s="502"/>
      <c r="R662" s="502"/>
      <c r="S662" s="501" t="s">
        <v>1563</v>
      </c>
      <c r="T662" s="501">
        <v>60</v>
      </c>
      <c r="U662" s="501" t="s">
        <v>1109</v>
      </c>
      <c r="V662" s="501" t="s">
        <v>4641</v>
      </c>
      <c r="W662" s="501">
        <v>410</v>
      </c>
      <c r="X662" s="505">
        <v>10816</v>
      </c>
      <c r="Y662" s="477">
        <f t="shared" ref="Y662:Y679" si="115">X662*W662</f>
        <v>4434560</v>
      </c>
      <c r="Z662" s="478">
        <v>0.51</v>
      </c>
      <c r="AA662" s="479">
        <f t="shared" si="114"/>
        <v>2261625.6</v>
      </c>
      <c r="AB662" s="479"/>
      <c r="AC662" s="481">
        <v>0</v>
      </c>
      <c r="AD662" s="490"/>
      <c r="AE662" s="482"/>
      <c r="AF662" s="493">
        <f t="shared" ref="AF662:AF697" si="116">AA662+AE662</f>
        <v>2261625.6</v>
      </c>
      <c r="AG662" s="501" t="s">
        <v>47</v>
      </c>
      <c r="AH662" s="501"/>
      <c r="AI662" s="503" t="s">
        <v>2326</v>
      </c>
      <c r="AJ662" s="501" t="s">
        <v>2327</v>
      </c>
      <c r="AK662" s="509" t="s">
        <v>50</v>
      </c>
      <c r="AL662" s="501">
        <v>91730</v>
      </c>
      <c r="AM662" s="501" t="s">
        <v>52</v>
      </c>
      <c r="AN662" s="501" t="s">
        <v>50</v>
      </c>
      <c r="AO662" s="474"/>
      <c r="AP662" s="486" t="s">
        <v>92</v>
      </c>
      <c r="AQ662" s="486" t="s">
        <v>37</v>
      </c>
      <c r="AR662" s="486"/>
      <c r="AS662" s="495" t="s">
        <v>1075</v>
      </c>
      <c r="AT662" s="495" t="s">
        <v>1075</v>
      </c>
      <c r="AU662" s="495" t="s">
        <v>1075</v>
      </c>
      <c r="AV662" s="478"/>
    </row>
    <row r="663" spans="1:48" s="471" customFormat="1">
      <c r="A663" s="514"/>
      <c r="B663" s="514"/>
      <c r="C663" s="514"/>
      <c r="D663" s="512" t="s">
        <v>2322</v>
      </c>
      <c r="E663" s="501"/>
      <c r="F663" s="501"/>
      <c r="G663" s="501"/>
      <c r="H663" s="382"/>
      <c r="I663" s="512" t="s">
        <v>1676</v>
      </c>
      <c r="J663" s="502"/>
      <c r="K663" s="503" t="s">
        <v>4649</v>
      </c>
      <c r="L663" s="501" t="s">
        <v>2324</v>
      </c>
      <c r="M663" s="504">
        <v>44657</v>
      </c>
      <c r="N663" s="504">
        <v>44835</v>
      </c>
      <c r="O663" s="504"/>
      <c r="P663" s="502"/>
      <c r="Q663" s="502"/>
      <c r="R663" s="502"/>
      <c r="S663" s="501" t="s">
        <v>1563</v>
      </c>
      <c r="T663" s="501">
        <v>60</v>
      </c>
      <c r="U663" s="501" t="s">
        <v>1109</v>
      </c>
      <c r="V663" s="501" t="s">
        <v>4641</v>
      </c>
      <c r="W663" s="501">
        <v>410</v>
      </c>
      <c r="X663" s="505">
        <v>12480</v>
      </c>
      <c r="Y663" s="477">
        <f t="shared" si="115"/>
        <v>5116800</v>
      </c>
      <c r="Z663" s="478">
        <v>0.51</v>
      </c>
      <c r="AA663" s="479">
        <f t="shared" si="114"/>
        <v>2609568</v>
      </c>
      <c r="AB663" s="479"/>
      <c r="AC663" s="481">
        <v>0</v>
      </c>
      <c r="AD663" s="490"/>
      <c r="AE663" s="482"/>
      <c r="AF663" s="493">
        <f t="shared" si="116"/>
        <v>2609568</v>
      </c>
      <c r="AG663" s="501" t="s">
        <v>47</v>
      </c>
      <c r="AH663" s="501"/>
      <c r="AI663" s="503" t="s">
        <v>2326</v>
      </c>
      <c r="AJ663" s="501" t="s">
        <v>2327</v>
      </c>
      <c r="AK663" s="509" t="s">
        <v>50</v>
      </c>
      <c r="AL663" s="501">
        <v>91730</v>
      </c>
      <c r="AM663" s="501" t="s">
        <v>52</v>
      </c>
      <c r="AN663" s="501" t="s">
        <v>50</v>
      </c>
      <c r="AO663" s="474"/>
      <c r="AP663" s="486" t="s">
        <v>92</v>
      </c>
      <c r="AQ663" s="486" t="s">
        <v>37</v>
      </c>
      <c r="AR663" s="486"/>
      <c r="AS663" s="495" t="s">
        <v>1075</v>
      </c>
      <c r="AT663" s="495" t="s">
        <v>1075</v>
      </c>
      <c r="AU663" s="495" t="s">
        <v>1075</v>
      </c>
      <c r="AV663" s="478"/>
    </row>
    <row r="664" spans="1:48" s="471" customFormat="1">
      <c r="A664" s="514"/>
      <c r="B664" s="514"/>
      <c r="C664" s="514"/>
      <c r="D664" s="512" t="s">
        <v>2322</v>
      </c>
      <c r="E664" s="501"/>
      <c r="F664" s="501"/>
      <c r="G664" s="501"/>
      <c r="H664" s="382"/>
      <c r="I664" s="512" t="s">
        <v>1676</v>
      </c>
      <c r="J664" s="502"/>
      <c r="K664" s="503" t="s">
        <v>4650</v>
      </c>
      <c r="L664" s="501" t="s">
        <v>2324</v>
      </c>
      <c r="M664" s="504">
        <v>44657</v>
      </c>
      <c r="N664" s="504">
        <v>44866</v>
      </c>
      <c r="O664" s="504"/>
      <c r="P664" s="502"/>
      <c r="Q664" s="502"/>
      <c r="R664" s="502"/>
      <c r="S664" s="501" t="s">
        <v>1563</v>
      </c>
      <c r="T664" s="501">
        <v>60</v>
      </c>
      <c r="U664" s="501" t="s">
        <v>1109</v>
      </c>
      <c r="V664" s="501" t="s">
        <v>4641</v>
      </c>
      <c r="W664" s="501">
        <v>410</v>
      </c>
      <c r="X664" s="505">
        <v>8320</v>
      </c>
      <c r="Y664" s="477">
        <f t="shared" si="115"/>
        <v>3411200</v>
      </c>
      <c r="Z664" s="478">
        <v>0.51</v>
      </c>
      <c r="AA664" s="479">
        <f t="shared" si="114"/>
        <v>1739712</v>
      </c>
      <c r="AB664" s="479"/>
      <c r="AC664" s="481">
        <v>0</v>
      </c>
      <c r="AD664" s="490"/>
      <c r="AE664" s="482"/>
      <c r="AF664" s="493">
        <f t="shared" si="116"/>
        <v>1739712</v>
      </c>
      <c r="AG664" s="501" t="s">
        <v>47</v>
      </c>
      <c r="AH664" s="501"/>
      <c r="AI664" s="503" t="s">
        <v>2326</v>
      </c>
      <c r="AJ664" s="501" t="s">
        <v>2327</v>
      </c>
      <c r="AK664" s="509" t="s">
        <v>50</v>
      </c>
      <c r="AL664" s="501">
        <v>91730</v>
      </c>
      <c r="AM664" s="501" t="s">
        <v>52</v>
      </c>
      <c r="AN664" s="501" t="s">
        <v>50</v>
      </c>
      <c r="AO664" s="474"/>
      <c r="AP664" s="486" t="s">
        <v>92</v>
      </c>
      <c r="AQ664" s="486" t="s">
        <v>37</v>
      </c>
      <c r="AR664" s="486"/>
      <c r="AS664" s="495" t="s">
        <v>1075</v>
      </c>
      <c r="AT664" s="495" t="s">
        <v>1075</v>
      </c>
      <c r="AU664" s="495" t="s">
        <v>1075</v>
      </c>
      <c r="AV664" s="478"/>
    </row>
    <row r="665" spans="1:48" s="471" customFormat="1">
      <c r="A665" s="514"/>
      <c r="B665" s="514"/>
      <c r="C665" s="514"/>
      <c r="D665" s="512" t="s">
        <v>2322</v>
      </c>
      <c r="E665" s="501"/>
      <c r="F665" s="501"/>
      <c r="G665" s="501"/>
      <c r="H665" s="382"/>
      <c r="I665" s="512" t="s">
        <v>1676</v>
      </c>
      <c r="J665" s="502"/>
      <c r="K665" s="503" t="s">
        <v>4651</v>
      </c>
      <c r="L665" s="501" t="s">
        <v>2324</v>
      </c>
      <c r="M665" s="504">
        <v>44657</v>
      </c>
      <c r="N665" s="504">
        <v>44896</v>
      </c>
      <c r="O665" s="504"/>
      <c r="P665" s="502"/>
      <c r="Q665" s="502"/>
      <c r="R665" s="502"/>
      <c r="S665" s="501" t="s">
        <v>1563</v>
      </c>
      <c r="T665" s="501">
        <v>60</v>
      </c>
      <c r="U665" s="501" t="s">
        <v>1109</v>
      </c>
      <c r="V665" s="501" t="s">
        <v>4641</v>
      </c>
      <c r="W665" s="501">
        <v>410</v>
      </c>
      <c r="X665" s="505">
        <v>12480</v>
      </c>
      <c r="Y665" s="477">
        <f t="shared" si="115"/>
        <v>5116800</v>
      </c>
      <c r="Z665" s="478">
        <v>0.51</v>
      </c>
      <c r="AA665" s="479">
        <f t="shared" si="114"/>
        <v>2609568</v>
      </c>
      <c r="AB665" s="479"/>
      <c r="AC665" s="481">
        <v>0</v>
      </c>
      <c r="AD665" s="490"/>
      <c r="AE665" s="482"/>
      <c r="AF665" s="493">
        <f t="shared" si="116"/>
        <v>2609568</v>
      </c>
      <c r="AG665" s="501" t="s">
        <v>47</v>
      </c>
      <c r="AH665" s="501"/>
      <c r="AI665" s="503" t="s">
        <v>2326</v>
      </c>
      <c r="AJ665" s="501" t="s">
        <v>2327</v>
      </c>
      <c r="AK665" s="509" t="s">
        <v>50</v>
      </c>
      <c r="AL665" s="501">
        <v>91730</v>
      </c>
      <c r="AM665" s="501" t="s">
        <v>52</v>
      </c>
      <c r="AN665" s="501" t="s">
        <v>50</v>
      </c>
      <c r="AO665" s="474"/>
      <c r="AP665" s="486" t="s">
        <v>92</v>
      </c>
      <c r="AQ665" s="486" t="s">
        <v>37</v>
      </c>
      <c r="AR665" s="486"/>
      <c r="AS665" s="495" t="s">
        <v>1075</v>
      </c>
      <c r="AT665" s="495" t="s">
        <v>1075</v>
      </c>
      <c r="AU665" s="495" t="s">
        <v>1075</v>
      </c>
      <c r="AV665" s="478"/>
    </row>
    <row r="666" spans="1:48" s="471" customFormat="1">
      <c r="A666" s="514"/>
      <c r="B666" s="514"/>
      <c r="C666" s="514"/>
      <c r="D666" s="512" t="s">
        <v>2322</v>
      </c>
      <c r="E666" s="501"/>
      <c r="F666" s="501"/>
      <c r="G666" s="501"/>
      <c r="H666" s="382"/>
      <c r="I666" s="512" t="s">
        <v>1676</v>
      </c>
      <c r="J666" s="502"/>
      <c r="K666" s="503" t="s">
        <v>4652</v>
      </c>
      <c r="L666" s="501" t="s">
        <v>2324</v>
      </c>
      <c r="M666" s="504">
        <v>44657</v>
      </c>
      <c r="N666" s="504">
        <v>44896</v>
      </c>
      <c r="O666" s="504"/>
      <c r="P666" s="502"/>
      <c r="Q666" s="502"/>
      <c r="R666" s="502"/>
      <c r="S666" s="501" t="s">
        <v>1563</v>
      </c>
      <c r="T666" s="501">
        <v>60</v>
      </c>
      <c r="U666" s="501" t="s">
        <v>1109</v>
      </c>
      <c r="V666" s="501" t="s">
        <v>4641</v>
      </c>
      <c r="W666" s="501">
        <v>410</v>
      </c>
      <c r="X666" s="505">
        <v>8320</v>
      </c>
      <c r="Y666" s="477">
        <f t="shared" si="115"/>
        <v>3411200</v>
      </c>
      <c r="Z666" s="478">
        <v>0.51</v>
      </c>
      <c r="AA666" s="479">
        <f t="shared" si="114"/>
        <v>1739712</v>
      </c>
      <c r="AB666" s="479"/>
      <c r="AC666" s="481">
        <v>0</v>
      </c>
      <c r="AD666" s="490"/>
      <c r="AE666" s="482"/>
      <c r="AF666" s="493">
        <f t="shared" si="116"/>
        <v>1739712</v>
      </c>
      <c r="AG666" s="501" t="s">
        <v>47</v>
      </c>
      <c r="AH666" s="501"/>
      <c r="AI666" s="503" t="s">
        <v>2326</v>
      </c>
      <c r="AJ666" s="501" t="s">
        <v>2327</v>
      </c>
      <c r="AK666" s="509" t="s">
        <v>50</v>
      </c>
      <c r="AL666" s="501">
        <v>91730</v>
      </c>
      <c r="AM666" s="501" t="s">
        <v>52</v>
      </c>
      <c r="AN666" s="501" t="s">
        <v>50</v>
      </c>
      <c r="AO666" s="474"/>
      <c r="AP666" s="486" t="s">
        <v>92</v>
      </c>
      <c r="AQ666" s="486" t="s">
        <v>37</v>
      </c>
      <c r="AR666" s="486"/>
      <c r="AS666" s="495" t="s">
        <v>1075</v>
      </c>
      <c r="AT666" s="495" t="s">
        <v>1075</v>
      </c>
      <c r="AU666" s="495" t="s">
        <v>1075</v>
      </c>
      <c r="AV666" s="478"/>
    </row>
    <row r="667" spans="1:48" s="471" customFormat="1">
      <c r="A667" s="514"/>
      <c r="B667" s="514"/>
      <c r="C667" s="514"/>
      <c r="D667" s="512" t="s">
        <v>2322</v>
      </c>
      <c r="E667" s="501"/>
      <c r="F667" s="501"/>
      <c r="G667" s="501"/>
      <c r="H667" s="382"/>
      <c r="I667" s="512" t="s">
        <v>1676</v>
      </c>
      <c r="J667" s="502"/>
      <c r="K667" s="503" t="s">
        <v>4653</v>
      </c>
      <c r="L667" s="501" t="s">
        <v>2324</v>
      </c>
      <c r="M667" s="504">
        <v>44657</v>
      </c>
      <c r="N667" s="504">
        <v>44743</v>
      </c>
      <c r="O667" s="504"/>
      <c r="P667" s="502"/>
      <c r="Q667" s="502"/>
      <c r="R667" s="502"/>
      <c r="S667" s="501" t="s">
        <v>1563</v>
      </c>
      <c r="T667" s="501">
        <v>60</v>
      </c>
      <c r="U667" s="501" t="s">
        <v>1109</v>
      </c>
      <c r="V667" s="501" t="s">
        <v>4641</v>
      </c>
      <c r="W667" s="501">
        <v>410</v>
      </c>
      <c r="X667" s="505">
        <v>9984</v>
      </c>
      <c r="Y667" s="477">
        <f t="shared" si="115"/>
        <v>4093440</v>
      </c>
      <c r="Z667" s="478">
        <v>0.51</v>
      </c>
      <c r="AA667" s="479">
        <f t="shared" si="114"/>
        <v>2087654.4000000001</v>
      </c>
      <c r="AB667" s="479"/>
      <c r="AC667" s="481">
        <v>0</v>
      </c>
      <c r="AD667" s="490"/>
      <c r="AE667" s="482"/>
      <c r="AF667" s="493">
        <f t="shared" si="116"/>
        <v>2087654.4000000001</v>
      </c>
      <c r="AG667" s="501" t="s">
        <v>47</v>
      </c>
      <c r="AH667" s="501"/>
      <c r="AI667" s="503" t="s">
        <v>2326</v>
      </c>
      <c r="AJ667" s="501" t="s">
        <v>2338</v>
      </c>
      <c r="AK667" s="509" t="s">
        <v>1347</v>
      </c>
      <c r="AL667" s="501">
        <v>17402</v>
      </c>
      <c r="AM667" s="501" t="s">
        <v>52</v>
      </c>
      <c r="AN667" s="501" t="s">
        <v>50</v>
      </c>
      <c r="AO667" s="474"/>
      <c r="AP667" s="486" t="s">
        <v>92</v>
      </c>
      <c r="AQ667" s="486" t="s">
        <v>37</v>
      </c>
      <c r="AR667" s="486"/>
      <c r="AS667" s="495" t="s">
        <v>1075</v>
      </c>
      <c r="AT667" s="495" t="s">
        <v>1075</v>
      </c>
      <c r="AU667" s="495" t="s">
        <v>1075</v>
      </c>
      <c r="AV667" s="478"/>
    </row>
    <row r="668" spans="1:48" s="471" customFormat="1">
      <c r="A668" s="514"/>
      <c r="B668" s="514"/>
      <c r="C668" s="514"/>
      <c r="D668" s="512" t="s">
        <v>2322</v>
      </c>
      <c r="E668" s="501"/>
      <c r="F668" s="501"/>
      <c r="G668" s="501"/>
      <c r="H668" s="382"/>
      <c r="I668" s="512" t="s">
        <v>1676</v>
      </c>
      <c r="J668" s="502"/>
      <c r="K668" s="503" t="s">
        <v>4654</v>
      </c>
      <c r="L668" s="501" t="s">
        <v>2324</v>
      </c>
      <c r="M668" s="504">
        <v>44657</v>
      </c>
      <c r="N668" s="504">
        <v>44774</v>
      </c>
      <c r="O668" s="504"/>
      <c r="P668" s="502"/>
      <c r="Q668" s="502"/>
      <c r="R668" s="502"/>
      <c r="S668" s="501" t="s">
        <v>1563</v>
      </c>
      <c r="T668" s="501">
        <v>60</v>
      </c>
      <c r="U668" s="501" t="s">
        <v>1109</v>
      </c>
      <c r="V668" s="501" t="s">
        <v>4641</v>
      </c>
      <c r="W668" s="501">
        <v>410</v>
      </c>
      <c r="X668" s="505">
        <v>9984</v>
      </c>
      <c r="Y668" s="477">
        <f t="shared" si="115"/>
        <v>4093440</v>
      </c>
      <c r="Z668" s="478">
        <v>0.51</v>
      </c>
      <c r="AA668" s="479">
        <f t="shared" si="114"/>
        <v>2087654.4000000001</v>
      </c>
      <c r="AB668" s="479"/>
      <c r="AC668" s="481">
        <v>0</v>
      </c>
      <c r="AD668" s="490"/>
      <c r="AE668" s="482"/>
      <c r="AF668" s="493">
        <f t="shared" si="116"/>
        <v>2087654.4000000001</v>
      </c>
      <c r="AG668" s="501" t="s">
        <v>47</v>
      </c>
      <c r="AH668" s="501"/>
      <c r="AI668" s="503" t="s">
        <v>2326</v>
      </c>
      <c r="AJ668" s="501" t="s">
        <v>2338</v>
      </c>
      <c r="AK668" s="509" t="s">
        <v>1347</v>
      </c>
      <c r="AL668" s="501">
        <v>17402</v>
      </c>
      <c r="AM668" s="501" t="s">
        <v>52</v>
      </c>
      <c r="AN668" s="501" t="s">
        <v>50</v>
      </c>
      <c r="AO668" s="474"/>
      <c r="AP668" s="486" t="s">
        <v>92</v>
      </c>
      <c r="AQ668" s="486" t="s">
        <v>37</v>
      </c>
      <c r="AR668" s="486"/>
      <c r="AS668" s="495" t="s">
        <v>1075</v>
      </c>
      <c r="AT668" s="495" t="s">
        <v>1075</v>
      </c>
      <c r="AU668" s="495" t="s">
        <v>1075</v>
      </c>
      <c r="AV668" s="478"/>
    </row>
    <row r="669" spans="1:48" s="471" customFormat="1">
      <c r="A669" s="514"/>
      <c r="B669" s="514"/>
      <c r="C669" s="514"/>
      <c r="D669" s="512" t="s">
        <v>2322</v>
      </c>
      <c r="E669" s="501"/>
      <c r="F669" s="501"/>
      <c r="G669" s="501"/>
      <c r="H669" s="382"/>
      <c r="I669" s="512" t="s">
        <v>1676</v>
      </c>
      <c r="J669" s="502"/>
      <c r="K669" s="503" t="s">
        <v>4655</v>
      </c>
      <c r="L669" s="501" t="s">
        <v>2324</v>
      </c>
      <c r="M669" s="504">
        <v>44657</v>
      </c>
      <c r="N669" s="504">
        <v>44805</v>
      </c>
      <c r="O669" s="504"/>
      <c r="P669" s="502"/>
      <c r="Q669" s="502"/>
      <c r="R669" s="502"/>
      <c r="S669" s="501" t="s">
        <v>1563</v>
      </c>
      <c r="T669" s="501">
        <v>60</v>
      </c>
      <c r="U669" s="501" t="s">
        <v>1109</v>
      </c>
      <c r="V669" s="501" t="s">
        <v>4641</v>
      </c>
      <c r="W669" s="501">
        <v>410</v>
      </c>
      <c r="X669" s="505">
        <v>9984</v>
      </c>
      <c r="Y669" s="477">
        <f t="shared" si="115"/>
        <v>4093440</v>
      </c>
      <c r="Z669" s="478">
        <v>0.51</v>
      </c>
      <c r="AA669" s="479">
        <f t="shared" si="114"/>
        <v>2087654.4000000001</v>
      </c>
      <c r="AB669" s="479"/>
      <c r="AC669" s="481">
        <v>0</v>
      </c>
      <c r="AD669" s="490"/>
      <c r="AE669" s="482"/>
      <c r="AF669" s="493">
        <f t="shared" si="116"/>
        <v>2087654.4000000001</v>
      </c>
      <c r="AG669" s="501" t="s">
        <v>47</v>
      </c>
      <c r="AH669" s="501"/>
      <c r="AI669" s="503" t="s">
        <v>2326</v>
      </c>
      <c r="AJ669" s="501" t="s">
        <v>2338</v>
      </c>
      <c r="AK669" s="509" t="s">
        <v>1347</v>
      </c>
      <c r="AL669" s="501">
        <v>17402</v>
      </c>
      <c r="AM669" s="501" t="s">
        <v>52</v>
      </c>
      <c r="AN669" s="501" t="s">
        <v>50</v>
      </c>
      <c r="AO669" s="474"/>
      <c r="AP669" s="486" t="s">
        <v>92</v>
      </c>
      <c r="AQ669" s="486" t="s">
        <v>37</v>
      </c>
      <c r="AR669" s="486"/>
      <c r="AS669" s="495" t="s">
        <v>1075</v>
      </c>
      <c r="AT669" s="495" t="s">
        <v>1075</v>
      </c>
      <c r="AU669" s="495" t="s">
        <v>1075</v>
      </c>
      <c r="AV669" s="478"/>
    </row>
    <row r="670" spans="1:48" s="471" customFormat="1">
      <c r="A670" s="514"/>
      <c r="B670" s="514"/>
      <c r="C670" s="514"/>
      <c r="D670" s="512" t="s">
        <v>2322</v>
      </c>
      <c r="E670" s="501"/>
      <c r="F670" s="501"/>
      <c r="G670" s="501"/>
      <c r="H670" s="382"/>
      <c r="I670" s="512" t="s">
        <v>1676</v>
      </c>
      <c r="J670" s="502"/>
      <c r="K670" s="503" t="s">
        <v>4656</v>
      </c>
      <c r="L670" s="501" t="s">
        <v>2324</v>
      </c>
      <c r="M670" s="504">
        <v>44657</v>
      </c>
      <c r="N670" s="504">
        <v>44835</v>
      </c>
      <c r="O670" s="504"/>
      <c r="P670" s="502"/>
      <c r="Q670" s="502"/>
      <c r="R670" s="502"/>
      <c r="S670" s="501" t="s">
        <v>1563</v>
      </c>
      <c r="T670" s="501">
        <v>60</v>
      </c>
      <c r="U670" s="501" t="s">
        <v>1109</v>
      </c>
      <c r="V670" s="501" t="s">
        <v>4641</v>
      </c>
      <c r="W670" s="501">
        <v>410</v>
      </c>
      <c r="X670" s="505">
        <v>9984</v>
      </c>
      <c r="Y670" s="477">
        <f t="shared" si="115"/>
        <v>4093440</v>
      </c>
      <c r="Z670" s="478">
        <v>0.51</v>
      </c>
      <c r="AA670" s="479">
        <f t="shared" si="114"/>
        <v>2087654.4000000001</v>
      </c>
      <c r="AB670" s="479"/>
      <c r="AC670" s="481">
        <v>0</v>
      </c>
      <c r="AD670" s="490"/>
      <c r="AE670" s="482"/>
      <c r="AF670" s="493">
        <f t="shared" si="116"/>
        <v>2087654.4000000001</v>
      </c>
      <c r="AG670" s="501" t="s">
        <v>47</v>
      </c>
      <c r="AH670" s="501"/>
      <c r="AI670" s="503" t="s">
        <v>2326</v>
      </c>
      <c r="AJ670" s="501" t="s">
        <v>2338</v>
      </c>
      <c r="AK670" s="509" t="s">
        <v>1347</v>
      </c>
      <c r="AL670" s="501">
        <v>17402</v>
      </c>
      <c r="AM670" s="501" t="s">
        <v>52</v>
      </c>
      <c r="AN670" s="501" t="s">
        <v>50</v>
      </c>
      <c r="AO670" s="474"/>
      <c r="AP670" s="486" t="s">
        <v>92</v>
      </c>
      <c r="AQ670" s="486" t="s">
        <v>37</v>
      </c>
      <c r="AR670" s="486"/>
      <c r="AS670" s="495" t="s">
        <v>1075</v>
      </c>
      <c r="AT670" s="495" t="s">
        <v>1075</v>
      </c>
      <c r="AU670" s="495" t="s">
        <v>1075</v>
      </c>
      <c r="AV670" s="478"/>
    </row>
    <row r="671" spans="1:48" s="471" customFormat="1">
      <c r="A671" s="514"/>
      <c r="B671" s="514"/>
      <c r="C671" s="514"/>
      <c r="D671" s="512" t="s">
        <v>2322</v>
      </c>
      <c r="E671" s="501"/>
      <c r="F671" s="501"/>
      <c r="G671" s="501"/>
      <c r="H671" s="382"/>
      <c r="I671" s="512" t="s">
        <v>1676</v>
      </c>
      <c r="J671" s="502"/>
      <c r="K671" s="503" t="s">
        <v>4657</v>
      </c>
      <c r="L671" s="501" t="s">
        <v>2324</v>
      </c>
      <c r="M671" s="504">
        <v>44657</v>
      </c>
      <c r="N671" s="504">
        <v>44866</v>
      </c>
      <c r="O671" s="504"/>
      <c r="P671" s="502"/>
      <c r="Q671" s="502"/>
      <c r="R671" s="502"/>
      <c r="S671" s="501" t="s">
        <v>1563</v>
      </c>
      <c r="T671" s="501">
        <v>60</v>
      </c>
      <c r="U671" s="501" t="s">
        <v>1109</v>
      </c>
      <c r="V671" s="501" t="s">
        <v>4641</v>
      </c>
      <c r="W671" s="501">
        <v>410</v>
      </c>
      <c r="X671" s="505">
        <v>9984</v>
      </c>
      <c r="Y671" s="477">
        <f t="shared" si="115"/>
        <v>4093440</v>
      </c>
      <c r="Z671" s="478">
        <v>0.51</v>
      </c>
      <c r="AA671" s="479">
        <f t="shared" si="114"/>
        <v>2087654.4000000001</v>
      </c>
      <c r="AB671" s="479"/>
      <c r="AC671" s="481">
        <v>0</v>
      </c>
      <c r="AD671" s="490"/>
      <c r="AE671" s="482"/>
      <c r="AF671" s="493">
        <f t="shared" si="116"/>
        <v>2087654.4000000001</v>
      </c>
      <c r="AG671" s="501" t="s">
        <v>47</v>
      </c>
      <c r="AH671" s="501"/>
      <c r="AI671" s="503" t="s">
        <v>2326</v>
      </c>
      <c r="AJ671" s="501" t="s">
        <v>2338</v>
      </c>
      <c r="AK671" s="509" t="s">
        <v>1347</v>
      </c>
      <c r="AL671" s="501">
        <v>17402</v>
      </c>
      <c r="AM671" s="501" t="s">
        <v>52</v>
      </c>
      <c r="AN671" s="501" t="s">
        <v>50</v>
      </c>
      <c r="AO671" s="474"/>
      <c r="AP671" s="486" t="s">
        <v>92</v>
      </c>
      <c r="AQ671" s="486" t="s">
        <v>37</v>
      </c>
      <c r="AR671" s="486"/>
      <c r="AS671" s="495" t="s">
        <v>1075</v>
      </c>
      <c r="AT671" s="495" t="s">
        <v>1075</v>
      </c>
      <c r="AU671" s="495" t="s">
        <v>1075</v>
      </c>
      <c r="AV671" s="478"/>
    </row>
    <row r="672" spans="1:48" s="471" customFormat="1">
      <c r="A672" s="514"/>
      <c r="B672" s="514"/>
      <c r="C672" s="514"/>
      <c r="D672" s="512" t="s">
        <v>2322</v>
      </c>
      <c r="E672" s="501"/>
      <c r="F672" s="501"/>
      <c r="G672" s="501"/>
      <c r="H672" s="382"/>
      <c r="I672" s="512" t="s">
        <v>1676</v>
      </c>
      <c r="J672" s="502"/>
      <c r="K672" s="503" t="s">
        <v>4658</v>
      </c>
      <c r="L672" s="501" t="s">
        <v>2324</v>
      </c>
      <c r="M672" s="504">
        <v>44657</v>
      </c>
      <c r="N672" s="504">
        <v>44896</v>
      </c>
      <c r="O672" s="504"/>
      <c r="P672" s="502"/>
      <c r="Q672" s="502"/>
      <c r="R672" s="502"/>
      <c r="S672" s="501" t="s">
        <v>1563</v>
      </c>
      <c r="T672" s="501">
        <v>60</v>
      </c>
      <c r="U672" s="501" t="s">
        <v>1109</v>
      </c>
      <c r="V672" s="501" t="s">
        <v>4641</v>
      </c>
      <c r="W672" s="501">
        <v>410</v>
      </c>
      <c r="X672" s="505">
        <v>9984</v>
      </c>
      <c r="Y672" s="477">
        <f t="shared" si="115"/>
        <v>4093440</v>
      </c>
      <c r="Z672" s="478">
        <v>0.51</v>
      </c>
      <c r="AA672" s="479">
        <f t="shared" si="114"/>
        <v>2087654.4000000001</v>
      </c>
      <c r="AB672" s="479"/>
      <c r="AC672" s="481">
        <v>0</v>
      </c>
      <c r="AD672" s="490"/>
      <c r="AE672" s="482"/>
      <c r="AF672" s="493">
        <f t="shared" si="116"/>
        <v>2087654.4000000001</v>
      </c>
      <c r="AG672" s="501" t="s">
        <v>47</v>
      </c>
      <c r="AH672" s="501"/>
      <c r="AI672" s="503" t="s">
        <v>2326</v>
      </c>
      <c r="AJ672" s="501" t="s">
        <v>2338</v>
      </c>
      <c r="AK672" s="509" t="s">
        <v>1347</v>
      </c>
      <c r="AL672" s="501">
        <v>17402</v>
      </c>
      <c r="AM672" s="501" t="s">
        <v>52</v>
      </c>
      <c r="AN672" s="501" t="s">
        <v>50</v>
      </c>
      <c r="AO672" s="474"/>
      <c r="AP672" s="486" t="s">
        <v>92</v>
      </c>
      <c r="AQ672" s="486" t="s">
        <v>37</v>
      </c>
      <c r="AR672" s="486"/>
      <c r="AS672" s="495" t="s">
        <v>1075</v>
      </c>
      <c r="AT672" s="495" t="s">
        <v>1075</v>
      </c>
      <c r="AU672" s="495" t="s">
        <v>1075</v>
      </c>
      <c r="AV672" s="478"/>
    </row>
    <row r="673" spans="1:48" s="471" customFormat="1">
      <c r="A673" s="514"/>
      <c r="B673" s="514"/>
      <c r="C673" s="514"/>
      <c r="D673" s="512" t="s">
        <v>2322</v>
      </c>
      <c r="E673" s="501" t="s">
        <v>4659</v>
      </c>
      <c r="F673" s="501"/>
      <c r="G673" s="501"/>
      <c r="H673" s="382"/>
      <c r="I673" s="512" t="s">
        <v>1676</v>
      </c>
      <c r="J673" s="502"/>
      <c r="K673" s="503" t="s">
        <v>4660</v>
      </c>
      <c r="L673" s="501" t="s">
        <v>2324</v>
      </c>
      <c r="M673" s="504">
        <v>44657</v>
      </c>
      <c r="N673" s="504">
        <v>44835</v>
      </c>
      <c r="O673" s="504"/>
      <c r="P673" s="502"/>
      <c r="Q673" s="502"/>
      <c r="R673" s="502"/>
      <c r="S673" s="501" t="s">
        <v>1563</v>
      </c>
      <c r="T673" s="501">
        <v>72</v>
      </c>
      <c r="U673" s="501" t="s">
        <v>1109</v>
      </c>
      <c r="V673" s="501" t="s">
        <v>1002</v>
      </c>
      <c r="W673" s="501">
        <v>480</v>
      </c>
      <c r="X673" s="505">
        <v>4992</v>
      </c>
      <c r="Y673" s="477">
        <f t="shared" si="115"/>
        <v>2396160</v>
      </c>
      <c r="Z673" s="478">
        <v>0.495</v>
      </c>
      <c r="AA673" s="479">
        <f t="shared" si="114"/>
        <v>1186099.2</v>
      </c>
      <c r="AB673" s="479"/>
      <c r="AC673" s="481">
        <v>0</v>
      </c>
      <c r="AD673" s="490"/>
      <c r="AE673" s="482"/>
      <c r="AF673" s="493">
        <f t="shared" si="116"/>
        <v>1186099.2</v>
      </c>
      <c r="AG673" s="501" t="s">
        <v>47</v>
      </c>
      <c r="AH673" s="501"/>
      <c r="AI673" s="503" t="s">
        <v>2326</v>
      </c>
      <c r="AJ673" s="501" t="s">
        <v>1844</v>
      </c>
      <c r="AK673" s="509" t="s">
        <v>50</v>
      </c>
      <c r="AL673" s="501">
        <v>93291</v>
      </c>
      <c r="AM673" s="501" t="s">
        <v>52</v>
      </c>
      <c r="AN673" s="501" t="s">
        <v>50</v>
      </c>
      <c r="AO673" s="474"/>
      <c r="AP673" s="486" t="s">
        <v>92</v>
      </c>
      <c r="AQ673" s="486" t="s">
        <v>37</v>
      </c>
      <c r="AR673" s="486"/>
      <c r="AS673" s="495" t="s">
        <v>1075</v>
      </c>
      <c r="AT673" s="495" t="s">
        <v>1075</v>
      </c>
      <c r="AU673" s="495" t="s">
        <v>1075</v>
      </c>
      <c r="AV673" s="478"/>
    </row>
    <row r="674" spans="1:48" s="471" customFormat="1" ht="15" customHeight="1">
      <c r="A674" s="472"/>
      <c r="B674" s="514"/>
      <c r="C674" s="472"/>
      <c r="D674" s="512" t="s">
        <v>2322</v>
      </c>
      <c r="E674" s="501" t="s">
        <v>4661</v>
      </c>
      <c r="F674" s="501"/>
      <c r="G674" s="501"/>
      <c r="H674" s="501"/>
      <c r="I674" s="512" t="s">
        <v>1676</v>
      </c>
      <c r="J674" s="502"/>
      <c r="K674" s="372" t="s">
        <v>4662</v>
      </c>
      <c r="L674" s="503" t="s">
        <v>1693</v>
      </c>
      <c r="M674" s="504">
        <v>44658</v>
      </c>
      <c r="N674" s="504">
        <v>44743</v>
      </c>
      <c r="O674" s="504"/>
      <c r="P674" s="370"/>
      <c r="Q674" s="502"/>
      <c r="R674" s="502"/>
      <c r="S674" s="501" t="s">
        <v>1563</v>
      </c>
      <c r="T674" s="501">
        <v>60</v>
      </c>
      <c r="U674" s="371">
        <v>49403140</v>
      </c>
      <c r="V674" s="501" t="s">
        <v>4641</v>
      </c>
      <c r="W674" s="501">
        <v>400</v>
      </c>
      <c r="X674" s="505">
        <v>2240</v>
      </c>
      <c r="Y674" s="477">
        <f t="shared" si="115"/>
        <v>896000</v>
      </c>
      <c r="Z674" s="478">
        <f t="shared" ref="Z674:Z678" si="117">220/400</f>
        <v>0.55000000000000004</v>
      </c>
      <c r="AA674" s="492">
        <f t="shared" si="114"/>
        <v>492800.00000000006</v>
      </c>
      <c r="AB674" s="480"/>
      <c r="AC674" s="481">
        <f t="shared" ref="AC674:AC679" si="118">AB674*Y674</f>
        <v>0</v>
      </c>
      <c r="AD674" s="490"/>
      <c r="AE674" s="482"/>
      <c r="AF674" s="493">
        <f t="shared" si="116"/>
        <v>492800.00000000006</v>
      </c>
      <c r="AG674" s="474" t="s">
        <v>1071</v>
      </c>
      <c r="AH674" s="474"/>
      <c r="AI674" s="483">
        <v>60</v>
      </c>
      <c r="AJ674" s="474" t="s">
        <v>1694</v>
      </c>
      <c r="AK674" s="494" t="s">
        <v>2321</v>
      </c>
      <c r="AL674" s="474">
        <v>92806</v>
      </c>
      <c r="AM674" s="474" t="s">
        <v>52</v>
      </c>
      <c r="AN674" s="474" t="s">
        <v>1074</v>
      </c>
      <c r="AO674" s="474"/>
      <c r="AP674" s="486"/>
      <c r="AQ674" s="486"/>
      <c r="AR674" s="478" t="s">
        <v>2367</v>
      </c>
      <c r="AS674" s="495"/>
      <c r="AT674" s="495"/>
      <c r="AU674" s="378"/>
      <c r="AV674" s="478"/>
    </row>
    <row r="675" spans="1:48" s="471" customFormat="1" ht="15" customHeight="1">
      <c r="A675" s="472"/>
      <c r="B675" s="514"/>
      <c r="C675" s="472"/>
      <c r="D675" s="512" t="s">
        <v>2322</v>
      </c>
      <c r="E675" s="501" t="s">
        <v>4661</v>
      </c>
      <c r="F675" s="501"/>
      <c r="G675" s="501"/>
      <c r="H675" s="501"/>
      <c r="I675" s="512" t="s">
        <v>1676</v>
      </c>
      <c r="J675" s="502"/>
      <c r="K675" s="372" t="s">
        <v>4663</v>
      </c>
      <c r="L675" s="503" t="s">
        <v>1693</v>
      </c>
      <c r="M675" s="504">
        <v>44658</v>
      </c>
      <c r="N675" s="504">
        <v>44713</v>
      </c>
      <c r="O675" s="504"/>
      <c r="P675" s="370"/>
      <c r="Q675" s="502"/>
      <c r="R675" s="502"/>
      <c r="S675" s="501" t="s">
        <v>1563</v>
      </c>
      <c r="T675" s="501">
        <v>60</v>
      </c>
      <c r="U675" s="371">
        <v>49403140</v>
      </c>
      <c r="V675" s="501" t="s">
        <v>4641</v>
      </c>
      <c r="W675" s="501">
        <v>400</v>
      </c>
      <c r="X675" s="505">
        <v>992</v>
      </c>
      <c r="Y675" s="477">
        <f t="shared" si="115"/>
        <v>396800</v>
      </c>
      <c r="Z675" s="478">
        <f t="shared" si="117"/>
        <v>0.55000000000000004</v>
      </c>
      <c r="AA675" s="492">
        <f t="shared" si="114"/>
        <v>218240.00000000003</v>
      </c>
      <c r="AB675" s="480"/>
      <c r="AC675" s="481">
        <f t="shared" si="118"/>
        <v>0</v>
      </c>
      <c r="AD675" s="490"/>
      <c r="AE675" s="482"/>
      <c r="AF675" s="493">
        <f t="shared" si="116"/>
        <v>218240.00000000003</v>
      </c>
      <c r="AG675" s="474" t="s">
        <v>1071</v>
      </c>
      <c r="AH675" s="474"/>
      <c r="AI675" s="483">
        <v>60</v>
      </c>
      <c r="AJ675" s="474" t="s">
        <v>1694</v>
      </c>
      <c r="AK675" s="494" t="s">
        <v>2321</v>
      </c>
      <c r="AL675" s="474">
        <v>92806</v>
      </c>
      <c r="AM675" s="474" t="s">
        <v>52</v>
      </c>
      <c r="AN675" s="474" t="s">
        <v>1074</v>
      </c>
      <c r="AO675" s="474"/>
      <c r="AP675" s="486"/>
      <c r="AQ675" s="486"/>
      <c r="AR675" s="478" t="s">
        <v>2367</v>
      </c>
      <c r="AS675" s="495"/>
      <c r="AT675" s="495"/>
      <c r="AU675" s="378"/>
      <c r="AV675" s="478"/>
    </row>
    <row r="676" spans="1:48" s="471" customFormat="1" ht="15" customHeight="1">
      <c r="A676" s="472"/>
      <c r="B676" s="514"/>
      <c r="C676" s="472"/>
      <c r="D676" s="512" t="s">
        <v>2322</v>
      </c>
      <c r="E676" s="501" t="s">
        <v>4661</v>
      </c>
      <c r="F676" s="501"/>
      <c r="G676" s="501"/>
      <c r="H676" s="501"/>
      <c r="I676" s="512" t="s">
        <v>1676</v>
      </c>
      <c r="J676" s="502"/>
      <c r="K676" s="372" t="s">
        <v>4664</v>
      </c>
      <c r="L676" s="503" t="s">
        <v>1693</v>
      </c>
      <c r="M676" s="504">
        <v>44658</v>
      </c>
      <c r="N676" s="504">
        <v>44837</v>
      </c>
      <c r="O676" s="504"/>
      <c r="P676" s="370"/>
      <c r="Q676" s="502"/>
      <c r="R676" s="502"/>
      <c r="S676" s="501" t="s">
        <v>1563</v>
      </c>
      <c r="T676" s="501">
        <v>60</v>
      </c>
      <c r="U676" s="371">
        <v>49403140</v>
      </c>
      <c r="V676" s="501" t="s">
        <v>4641</v>
      </c>
      <c r="W676" s="501">
        <v>400</v>
      </c>
      <c r="X676" s="505">
        <v>1536</v>
      </c>
      <c r="Y676" s="477">
        <f t="shared" si="115"/>
        <v>614400</v>
      </c>
      <c r="Z676" s="478">
        <f t="shared" si="117"/>
        <v>0.55000000000000004</v>
      </c>
      <c r="AA676" s="492">
        <f t="shared" si="114"/>
        <v>337920</v>
      </c>
      <c r="AB676" s="480"/>
      <c r="AC676" s="481">
        <f t="shared" si="118"/>
        <v>0</v>
      </c>
      <c r="AD676" s="490"/>
      <c r="AE676" s="482"/>
      <c r="AF676" s="493">
        <f t="shared" si="116"/>
        <v>337920</v>
      </c>
      <c r="AG676" s="474" t="s">
        <v>1071</v>
      </c>
      <c r="AH676" s="474"/>
      <c r="AI676" s="483">
        <v>60</v>
      </c>
      <c r="AJ676" s="474" t="s">
        <v>1694</v>
      </c>
      <c r="AK676" s="494" t="s">
        <v>2321</v>
      </c>
      <c r="AL676" s="474">
        <v>92806</v>
      </c>
      <c r="AM676" s="474" t="s">
        <v>52</v>
      </c>
      <c r="AN676" s="474" t="s">
        <v>1074</v>
      </c>
      <c r="AO676" s="474"/>
      <c r="AP676" s="486"/>
      <c r="AQ676" s="486"/>
      <c r="AR676" s="478" t="s">
        <v>2367</v>
      </c>
      <c r="AS676" s="495"/>
      <c r="AT676" s="495"/>
      <c r="AU676" s="378"/>
      <c r="AV676" s="478"/>
    </row>
    <row r="677" spans="1:48" s="471" customFormat="1" ht="15" customHeight="1">
      <c r="A677" s="472"/>
      <c r="B677" s="514"/>
      <c r="C677" s="472"/>
      <c r="D677" s="512" t="s">
        <v>2322</v>
      </c>
      <c r="E677" s="501" t="s">
        <v>4661</v>
      </c>
      <c r="F677" s="501"/>
      <c r="G677" s="501"/>
      <c r="H677" s="501"/>
      <c r="I677" s="512" t="s">
        <v>1676</v>
      </c>
      <c r="J677" s="502"/>
      <c r="K677" s="372" t="s">
        <v>4665</v>
      </c>
      <c r="L677" s="503" t="s">
        <v>1693</v>
      </c>
      <c r="M677" s="504">
        <v>44658</v>
      </c>
      <c r="N677" s="504">
        <v>44837</v>
      </c>
      <c r="O677" s="504"/>
      <c r="P677" s="370"/>
      <c r="Q677" s="502"/>
      <c r="R677" s="502"/>
      <c r="S677" s="501" t="s">
        <v>1563</v>
      </c>
      <c r="T677" s="501">
        <v>60</v>
      </c>
      <c r="U677" s="371">
        <v>49403140</v>
      </c>
      <c r="V677" s="501" t="s">
        <v>4641</v>
      </c>
      <c r="W677" s="501">
        <v>400</v>
      </c>
      <c r="X677" s="505">
        <v>1312</v>
      </c>
      <c r="Y677" s="477">
        <f t="shared" si="115"/>
        <v>524800</v>
      </c>
      <c r="Z677" s="478">
        <f t="shared" si="117"/>
        <v>0.55000000000000004</v>
      </c>
      <c r="AA677" s="492">
        <f t="shared" si="114"/>
        <v>288640</v>
      </c>
      <c r="AB677" s="480"/>
      <c r="AC677" s="481">
        <f t="shared" si="118"/>
        <v>0</v>
      </c>
      <c r="AD677" s="490"/>
      <c r="AE677" s="482"/>
      <c r="AF677" s="493">
        <f t="shared" si="116"/>
        <v>288640</v>
      </c>
      <c r="AG677" s="474" t="s">
        <v>1071</v>
      </c>
      <c r="AH677" s="474"/>
      <c r="AI677" s="483">
        <v>60</v>
      </c>
      <c r="AJ677" s="474" t="s">
        <v>1694</v>
      </c>
      <c r="AK677" s="494" t="s">
        <v>2321</v>
      </c>
      <c r="AL677" s="474">
        <v>92806</v>
      </c>
      <c r="AM677" s="474" t="s">
        <v>52</v>
      </c>
      <c r="AN677" s="474" t="s">
        <v>1074</v>
      </c>
      <c r="AO677" s="474"/>
      <c r="AP677" s="486"/>
      <c r="AQ677" s="486"/>
      <c r="AR677" s="478" t="s">
        <v>2367</v>
      </c>
      <c r="AS677" s="495"/>
      <c r="AT677" s="495"/>
      <c r="AU677" s="378"/>
      <c r="AV677" s="478"/>
    </row>
    <row r="678" spans="1:48" s="471" customFormat="1" ht="15" customHeight="1">
      <c r="A678" s="472"/>
      <c r="B678" s="514"/>
      <c r="C678" s="472"/>
      <c r="D678" s="512" t="s">
        <v>2322</v>
      </c>
      <c r="E678" s="501" t="s">
        <v>4661</v>
      </c>
      <c r="F678" s="501"/>
      <c r="G678" s="501"/>
      <c r="H678" s="501"/>
      <c r="I678" s="512" t="s">
        <v>1676</v>
      </c>
      <c r="J678" s="502"/>
      <c r="K678" s="372" t="s">
        <v>4666</v>
      </c>
      <c r="L678" s="503" t="s">
        <v>1693</v>
      </c>
      <c r="M678" s="504">
        <v>44658</v>
      </c>
      <c r="N678" s="504">
        <v>44837</v>
      </c>
      <c r="O678" s="504"/>
      <c r="P678" s="370"/>
      <c r="Q678" s="502"/>
      <c r="R678" s="502"/>
      <c r="S678" s="501" t="s">
        <v>1563</v>
      </c>
      <c r="T678" s="501">
        <v>60</v>
      </c>
      <c r="U678" s="371">
        <v>49403140</v>
      </c>
      <c r="V678" s="501" t="s">
        <v>4641</v>
      </c>
      <c r="W678" s="501">
        <v>400</v>
      </c>
      <c r="X678" s="505">
        <v>1728</v>
      </c>
      <c r="Y678" s="477">
        <f t="shared" si="115"/>
        <v>691200</v>
      </c>
      <c r="Z678" s="478">
        <f t="shared" si="117"/>
        <v>0.55000000000000004</v>
      </c>
      <c r="AA678" s="492">
        <f t="shared" si="114"/>
        <v>380160.00000000006</v>
      </c>
      <c r="AB678" s="480"/>
      <c r="AC678" s="481">
        <f t="shared" si="118"/>
        <v>0</v>
      </c>
      <c r="AD678" s="490"/>
      <c r="AE678" s="482"/>
      <c r="AF678" s="493">
        <f t="shared" si="116"/>
        <v>380160.00000000006</v>
      </c>
      <c r="AG678" s="474" t="s">
        <v>1071</v>
      </c>
      <c r="AH678" s="474"/>
      <c r="AI678" s="483">
        <v>60</v>
      </c>
      <c r="AJ678" s="474" t="s">
        <v>1694</v>
      </c>
      <c r="AK678" s="494" t="s">
        <v>2321</v>
      </c>
      <c r="AL678" s="474">
        <v>92806</v>
      </c>
      <c r="AM678" s="474" t="s">
        <v>52</v>
      </c>
      <c r="AN678" s="474" t="s">
        <v>1074</v>
      </c>
      <c r="AO678" s="474"/>
      <c r="AP678" s="486"/>
      <c r="AQ678" s="486"/>
      <c r="AR678" s="478" t="s">
        <v>2367</v>
      </c>
      <c r="AS678" s="495"/>
      <c r="AT678" s="495"/>
      <c r="AU678" s="378"/>
      <c r="AV678" s="478"/>
    </row>
    <row r="679" spans="1:48" s="471" customFormat="1" ht="15" customHeight="1">
      <c r="A679" s="472"/>
      <c r="B679" s="514"/>
      <c r="C679" s="472"/>
      <c r="D679" s="512" t="s">
        <v>2322</v>
      </c>
      <c r="E679" s="501"/>
      <c r="F679" s="501"/>
      <c r="G679" s="501"/>
      <c r="H679" s="501"/>
      <c r="I679" s="512" t="s">
        <v>1676</v>
      </c>
      <c r="J679" s="502"/>
      <c r="K679" s="372" t="s">
        <v>4667</v>
      </c>
      <c r="L679" s="503" t="s">
        <v>2359</v>
      </c>
      <c r="M679" s="504">
        <v>44658</v>
      </c>
      <c r="N679" s="504">
        <v>44683</v>
      </c>
      <c r="O679" s="504"/>
      <c r="P679" s="370"/>
      <c r="Q679" s="502"/>
      <c r="R679" s="502"/>
      <c r="S679" s="501" t="s">
        <v>1563</v>
      </c>
      <c r="T679" s="501">
        <v>60</v>
      </c>
      <c r="U679" s="371">
        <v>49403140</v>
      </c>
      <c r="V679" s="501" t="s">
        <v>4641</v>
      </c>
      <c r="W679" s="501">
        <v>400</v>
      </c>
      <c r="X679" s="505">
        <v>1952</v>
      </c>
      <c r="Y679" s="477">
        <f t="shared" si="115"/>
        <v>780800</v>
      </c>
      <c r="Z679" s="478">
        <f>220/400</f>
        <v>0.55000000000000004</v>
      </c>
      <c r="AA679" s="479">
        <f t="shared" si="114"/>
        <v>429440.00000000006</v>
      </c>
      <c r="AB679" s="480"/>
      <c r="AC679" s="481">
        <f t="shared" si="118"/>
        <v>0</v>
      </c>
      <c r="AD679" s="490"/>
      <c r="AE679" s="482"/>
      <c r="AF679" s="493">
        <f t="shared" si="116"/>
        <v>429440.00000000006</v>
      </c>
      <c r="AG679" s="474" t="s">
        <v>1071</v>
      </c>
      <c r="AH679" s="474"/>
      <c r="AI679" s="483">
        <v>60</v>
      </c>
      <c r="AJ679" s="474" t="s">
        <v>2390</v>
      </c>
      <c r="AK679" s="494" t="s">
        <v>2362</v>
      </c>
      <c r="AL679" s="474">
        <v>80223</v>
      </c>
      <c r="AM679" s="474" t="s">
        <v>52</v>
      </c>
      <c r="AN679" s="474" t="s">
        <v>1074</v>
      </c>
      <c r="AO679" s="474"/>
      <c r="AP679" s="486"/>
      <c r="AQ679" s="486"/>
      <c r="AR679" s="478" t="s">
        <v>2367</v>
      </c>
      <c r="AS679" s="495"/>
      <c r="AT679" s="495"/>
      <c r="AU679" s="378"/>
      <c r="AV679" s="478"/>
    </row>
    <row r="680" spans="1:48" s="471" customFormat="1">
      <c r="A680" s="472"/>
      <c r="B680" s="449">
        <v>44573</v>
      </c>
      <c r="C680" s="449" t="s">
        <v>1211</v>
      </c>
      <c r="D680" s="501" t="s">
        <v>2901</v>
      </c>
      <c r="E680" s="429" t="s">
        <v>4668</v>
      </c>
      <c r="F680" s="501"/>
      <c r="G680" s="501"/>
      <c r="H680" s="501"/>
      <c r="I680" s="501" t="s">
        <v>3004</v>
      </c>
      <c r="J680" s="513"/>
      <c r="K680" s="501" t="s">
        <v>4669</v>
      </c>
      <c r="L680" s="501" t="s">
        <v>2916</v>
      </c>
      <c r="M680" s="502">
        <v>44546</v>
      </c>
      <c r="N680" s="502">
        <v>44565</v>
      </c>
      <c r="O680" s="502"/>
      <c r="P680" s="502"/>
      <c r="Q680" s="502"/>
      <c r="R680" s="502"/>
      <c r="S680" s="501" t="s">
        <v>2904</v>
      </c>
      <c r="T680" s="501">
        <v>60</v>
      </c>
      <c r="U680" s="501">
        <v>49401140</v>
      </c>
      <c r="V680" s="501" t="s">
        <v>973</v>
      </c>
      <c r="W680" s="501">
        <v>400</v>
      </c>
      <c r="X680" s="505">
        <v>768</v>
      </c>
      <c r="Y680" s="491">
        <f t="shared" ref="Y680:Y697" si="119">W680*X680</f>
        <v>307200</v>
      </c>
      <c r="Z680" s="478">
        <v>0.55000000000000004</v>
      </c>
      <c r="AA680" s="492">
        <f t="shared" si="114"/>
        <v>168960</v>
      </c>
      <c r="AB680" s="492"/>
      <c r="AC680" s="446">
        <v>0</v>
      </c>
      <c r="AD680" s="490"/>
      <c r="AE680" s="482"/>
      <c r="AF680" s="580">
        <f t="shared" si="116"/>
        <v>168960</v>
      </c>
      <c r="AG680" s="474" t="s">
        <v>1071</v>
      </c>
      <c r="AH680" s="474"/>
      <c r="AI680" s="474">
        <v>60</v>
      </c>
      <c r="AJ680" s="484" t="s">
        <v>2922</v>
      </c>
      <c r="AK680" s="474" t="s">
        <v>2406</v>
      </c>
      <c r="AL680" s="483" t="s">
        <v>2968</v>
      </c>
      <c r="AM680" s="474" t="s">
        <v>52</v>
      </c>
      <c r="AN680" s="474" t="s">
        <v>1074</v>
      </c>
      <c r="AO680" s="474"/>
      <c r="AP680" s="482"/>
      <c r="AQ680" s="482" t="s">
        <v>37</v>
      </c>
      <c r="AR680" s="482" t="s">
        <v>1288</v>
      </c>
      <c r="AS680" s="472" t="s">
        <v>1076</v>
      </c>
      <c r="AT680" s="436" t="s">
        <v>1076</v>
      </c>
      <c r="AU680" s="436" t="s">
        <v>1076</v>
      </c>
      <c r="AV680" s="478">
        <v>0.49</v>
      </c>
    </row>
    <row r="681" spans="1:48" s="471" customFormat="1">
      <c r="A681" s="472"/>
      <c r="B681" s="449">
        <v>44573</v>
      </c>
      <c r="C681" s="449" t="s">
        <v>1211</v>
      </c>
      <c r="D681" s="501" t="s">
        <v>2901</v>
      </c>
      <c r="E681" s="429" t="s">
        <v>4668</v>
      </c>
      <c r="F681" s="501"/>
      <c r="G681" s="501"/>
      <c r="H681" s="501"/>
      <c r="I681" s="501" t="s">
        <v>3004</v>
      </c>
      <c r="J681" s="513"/>
      <c r="K681" s="501" t="s">
        <v>4670</v>
      </c>
      <c r="L681" s="501" t="s">
        <v>2916</v>
      </c>
      <c r="M681" s="502">
        <v>44546</v>
      </c>
      <c r="N681" s="502">
        <v>44572</v>
      </c>
      <c r="O681" s="502"/>
      <c r="P681" s="502"/>
      <c r="Q681" s="502"/>
      <c r="R681" s="502"/>
      <c r="S681" s="501" t="s">
        <v>2904</v>
      </c>
      <c r="T681" s="501">
        <v>60</v>
      </c>
      <c r="U681" s="501">
        <v>49401140</v>
      </c>
      <c r="V681" s="501" t="s">
        <v>973</v>
      </c>
      <c r="W681" s="501">
        <v>400</v>
      </c>
      <c r="X681" s="505">
        <v>768</v>
      </c>
      <c r="Y681" s="491">
        <f t="shared" si="119"/>
        <v>307200</v>
      </c>
      <c r="Z681" s="478">
        <v>0.55000000000000004</v>
      </c>
      <c r="AA681" s="492">
        <f t="shared" si="114"/>
        <v>168960</v>
      </c>
      <c r="AB681" s="492"/>
      <c r="AC681" s="446">
        <v>0</v>
      </c>
      <c r="AD681" s="490"/>
      <c r="AE681" s="482"/>
      <c r="AF681" s="580">
        <f t="shared" si="116"/>
        <v>168960</v>
      </c>
      <c r="AG681" s="474" t="s">
        <v>1071</v>
      </c>
      <c r="AH681" s="474"/>
      <c r="AI681" s="474">
        <v>60</v>
      </c>
      <c r="AJ681" s="484" t="s">
        <v>2922</v>
      </c>
      <c r="AK681" s="474" t="s">
        <v>2406</v>
      </c>
      <c r="AL681" s="483" t="s">
        <v>2968</v>
      </c>
      <c r="AM681" s="474" t="s">
        <v>52</v>
      </c>
      <c r="AN681" s="474" t="s">
        <v>1074</v>
      </c>
      <c r="AO681" s="474"/>
      <c r="AP681" s="482"/>
      <c r="AQ681" s="482" t="s">
        <v>37</v>
      </c>
      <c r="AR681" s="482" t="s">
        <v>1960</v>
      </c>
      <c r="AS681" s="472" t="s">
        <v>1076</v>
      </c>
      <c r="AT681" s="436" t="s">
        <v>1076</v>
      </c>
      <c r="AU681" s="436" t="s">
        <v>1076</v>
      </c>
      <c r="AV681" s="478">
        <v>0.49</v>
      </c>
    </row>
    <row r="682" spans="1:48" s="471" customFormat="1">
      <c r="A682" s="472"/>
      <c r="B682" s="449">
        <v>44573</v>
      </c>
      <c r="C682" s="449" t="s">
        <v>1211</v>
      </c>
      <c r="D682" s="501" t="s">
        <v>2901</v>
      </c>
      <c r="E682" s="429" t="s">
        <v>4668</v>
      </c>
      <c r="F682" s="501"/>
      <c r="G682" s="501"/>
      <c r="H682" s="501"/>
      <c r="I682" s="501" t="s">
        <v>3004</v>
      </c>
      <c r="J682" s="513"/>
      <c r="K682" s="501" t="s">
        <v>4671</v>
      </c>
      <c r="L682" s="501" t="s">
        <v>2916</v>
      </c>
      <c r="M682" s="502">
        <v>44546</v>
      </c>
      <c r="N682" s="502">
        <v>44600</v>
      </c>
      <c r="O682" s="502"/>
      <c r="P682" s="502"/>
      <c r="Q682" s="502"/>
      <c r="R682" s="502"/>
      <c r="S682" s="501" t="s">
        <v>2904</v>
      </c>
      <c r="T682" s="501">
        <v>60</v>
      </c>
      <c r="U682" s="501">
        <v>49401140</v>
      </c>
      <c r="V682" s="501" t="s">
        <v>973</v>
      </c>
      <c r="W682" s="501">
        <v>400</v>
      </c>
      <c r="X682" s="505">
        <v>768</v>
      </c>
      <c r="Y682" s="491">
        <f t="shared" si="119"/>
        <v>307200</v>
      </c>
      <c r="Z682" s="478">
        <v>0.55000000000000004</v>
      </c>
      <c r="AA682" s="492">
        <f t="shared" si="114"/>
        <v>168960</v>
      </c>
      <c r="AB682" s="492"/>
      <c r="AC682" s="446">
        <v>0</v>
      </c>
      <c r="AD682" s="490"/>
      <c r="AE682" s="482"/>
      <c r="AF682" s="580">
        <f t="shared" si="116"/>
        <v>168960</v>
      </c>
      <c r="AG682" s="474" t="s">
        <v>1071</v>
      </c>
      <c r="AH682" s="474"/>
      <c r="AI682" s="474">
        <v>60</v>
      </c>
      <c r="AJ682" s="484" t="s">
        <v>2922</v>
      </c>
      <c r="AK682" s="474" t="s">
        <v>2406</v>
      </c>
      <c r="AL682" s="483" t="s">
        <v>2968</v>
      </c>
      <c r="AM682" s="474" t="s">
        <v>52</v>
      </c>
      <c r="AN682" s="474" t="s">
        <v>1074</v>
      </c>
      <c r="AO682" s="474"/>
      <c r="AP682" s="482"/>
      <c r="AQ682" s="482" t="s">
        <v>37</v>
      </c>
      <c r="AR682" s="482" t="s">
        <v>1288</v>
      </c>
      <c r="AS682" s="472" t="s">
        <v>1076</v>
      </c>
      <c r="AT682" s="436" t="s">
        <v>1076</v>
      </c>
      <c r="AU682" s="436" t="s">
        <v>1076</v>
      </c>
      <c r="AV682" s="478">
        <v>0.49</v>
      </c>
    </row>
    <row r="683" spans="1:48" s="471" customFormat="1">
      <c r="A683" s="472"/>
      <c r="B683" s="449">
        <v>44573</v>
      </c>
      <c r="C683" s="449" t="s">
        <v>1211</v>
      </c>
      <c r="D683" s="501" t="s">
        <v>2901</v>
      </c>
      <c r="E683" s="429" t="s">
        <v>4668</v>
      </c>
      <c r="F683" s="501"/>
      <c r="G683" s="501"/>
      <c r="H683" s="501"/>
      <c r="I683" s="501" t="s">
        <v>3004</v>
      </c>
      <c r="J683" s="513"/>
      <c r="K683" s="501" t="s">
        <v>4672</v>
      </c>
      <c r="L683" s="501" t="s">
        <v>2916</v>
      </c>
      <c r="M683" s="502">
        <v>44546</v>
      </c>
      <c r="N683" s="502">
        <v>44607</v>
      </c>
      <c r="O683" s="502"/>
      <c r="P683" s="502"/>
      <c r="Q683" s="502"/>
      <c r="R683" s="502"/>
      <c r="S683" s="501" t="s">
        <v>2904</v>
      </c>
      <c r="T683" s="501">
        <v>60</v>
      </c>
      <c r="U683" s="501">
        <v>49401140</v>
      </c>
      <c r="V683" s="501" t="s">
        <v>973</v>
      </c>
      <c r="W683" s="501">
        <v>400</v>
      </c>
      <c r="X683" s="505">
        <v>768</v>
      </c>
      <c r="Y683" s="491">
        <f t="shared" si="119"/>
        <v>307200</v>
      </c>
      <c r="Z683" s="478">
        <v>0.55000000000000004</v>
      </c>
      <c r="AA683" s="492">
        <f t="shared" si="114"/>
        <v>168960</v>
      </c>
      <c r="AB683" s="492"/>
      <c r="AC683" s="446">
        <v>0</v>
      </c>
      <c r="AD683" s="490"/>
      <c r="AE683" s="482"/>
      <c r="AF683" s="580">
        <f t="shared" si="116"/>
        <v>168960</v>
      </c>
      <c r="AG683" s="474" t="s">
        <v>1071</v>
      </c>
      <c r="AH683" s="474"/>
      <c r="AI683" s="474">
        <v>60</v>
      </c>
      <c r="AJ683" s="484" t="s">
        <v>2922</v>
      </c>
      <c r="AK683" s="474" t="s">
        <v>2406</v>
      </c>
      <c r="AL683" s="483" t="s">
        <v>2968</v>
      </c>
      <c r="AM683" s="474" t="s">
        <v>52</v>
      </c>
      <c r="AN683" s="474" t="s">
        <v>1074</v>
      </c>
      <c r="AO683" s="474"/>
      <c r="AP683" s="482"/>
      <c r="AQ683" s="482" t="s">
        <v>37</v>
      </c>
      <c r="AR683" s="482" t="s">
        <v>1960</v>
      </c>
      <c r="AS683" s="472" t="s">
        <v>1076</v>
      </c>
      <c r="AT683" s="436" t="s">
        <v>1076</v>
      </c>
      <c r="AU683" s="436" t="s">
        <v>1076</v>
      </c>
      <c r="AV683" s="478">
        <v>0.49</v>
      </c>
    </row>
    <row r="684" spans="1:48" s="471" customFormat="1">
      <c r="A684" s="472"/>
      <c r="B684" s="449">
        <v>44573</v>
      </c>
      <c r="C684" s="449" t="s">
        <v>1211</v>
      </c>
      <c r="D684" s="501" t="s">
        <v>2901</v>
      </c>
      <c r="E684" s="429" t="s">
        <v>4668</v>
      </c>
      <c r="F684" s="501"/>
      <c r="G684" s="501"/>
      <c r="H684" s="501"/>
      <c r="I684" s="501" t="s">
        <v>3004</v>
      </c>
      <c r="J684" s="513"/>
      <c r="K684" s="501" t="s">
        <v>4673</v>
      </c>
      <c r="L684" s="501" t="s">
        <v>2916</v>
      </c>
      <c r="M684" s="502">
        <v>44546</v>
      </c>
      <c r="N684" s="502">
        <v>44628</v>
      </c>
      <c r="O684" s="502"/>
      <c r="P684" s="502"/>
      <c r="Q684" s="502"/>
      <c r="R684" s="502"/>
      <c r="S684" s="501" t="s">
        <v>2904</v>
      </c>
      <c r="T684" s="501">
        <v>60</v>
      </c>
      <c r="U684" s="501">
        <v>49401140</v>
      </c>
      <c r="V684" s="501" t="s">
        <v>973</v>
      </c>
      <c r="W684" s="501">
        <v>400</v>
      </c>
      <c r="X684" s="505">
        <v>768</v>
      </c>
      <c r="Y684" s="491">
        <f t="shared" si="119"/>
        <v>307200</v>
      </c>
      <c r="Z684" s="478">
        <v>0.55000000000000004</v>
      </c>
      <c r="AA684" s="492">
        <f t="shared" si="114"/>
        <v>168960</v>
      </c>
      <c r="AB684" s="492"/>
      <c r="AC684" s="446">
        <v>0</v>
      </c>
      <c r="AD684" s="490"/>
      <c r="AE684" s="482"/>
      <c r="AF684" s="580">
        <f t="shared" si="116"/>
        <v>168960</v>
      </c>
      <c r="AG684" s="474" t="s">
        <v>1071</v>
      </c>
      <c r="AH684" s="474"/>
      <c r="AI684" s="474">
        <v>60</v>
      </c>
      <c r="AJ684" s="484" t="s">
        <v>2922</v>
      </c>
      <c r="AK684" s="474" t="s">
        <v>2406</v>
      </c>
      <c r="AL684" s="483" t="s">
        <v>2968</v>
      </c>
      <c r="AM684" s="474" t="s">
        <v>52</v>
      </c>
      <c r="AN684" s="474" t="s">
        <v>1074</v>
      </c>
      <c r="AO684" s="474"/>
      <c r="AP684" s="482"/>
      <c r="AQ684" s="482" t="s">
        <v>37</v>
      </c>
      <c r="AR684" s="482" t="s">
        <v>1288</v>
      </c>
      <c r="AS684" s="472" t="s">
        <v>1076</v>
      </c>
      <c r="AT684" s="436" t="s">
        <v>1076</v>
      </c>
      <c r="AU684" s="436" t="s">
        <v>1076</v>
      </c>
      <c r="AV684" s="478">
        <v>0.49</v>
      </c>
    </row>
    <row r="685" spans="1:48" s="471" customFormat="1">
      <c r="A685" s="472"/>
      <c r="B685" s="449">
        <v>44573</v>
      </c>
      <c r="C685" s="449" t="s">
        <v>1211</v>
      </c>
      <c r="D685" s="501" t="s">
        <v>2901</v>
      </c>
      <c r="E685" s="429" t="s">
        <v>4668</v>
      </c>
      <c r="F685" s="501"/>
      <c r="G685" s="501"/>
      <c r="H685" s="501"/>
      <c r="I685" s="501" t="s">
        <v>3004</v>
      </c>
      <c r="J685" s="513"/>
      <c r="K685" s="501" t="s">
        <v>4674</v>
      </c>
      <c r="L685" s="501" t="s">
        <v>2916</v>
      </c>
      <c r="M685" s="502">
        <v>44546</v>
      </c>
      <c r="N685" s="502">
        <v>44635</v>
      </c>
      <c r="O685" s="502"/>
      <c r="P685" s="502"/>
      <c r="Q685" s="502"/>
      <c r="R685" s="502"/>
      <c r="S685" s="501" t="s">
        <v>2904</v>
      </c>
      <c r="T685" s="501">
        <v>60</v>
      </c>
      <c r="U685" s="501">
        <v>49401140</v>
      </c>
      <c r="V685" s="501" t="s">
        <v>973</v>
      </c>
      <c r="W685" s="501">
        <v>400</v>
      </c>
      <c r="X685" s="505">
        <v>768</v>
      </c>
      <c r="Y685" s="491">
        <f t="shared" si="119"/>
        <v>307200</v>
      </c>
      <c r="Z685" s="478">
        <v>0.55000000000000004</v>
      </c>
      <c r="AA685" s="492">
        <f t="shared" si="114"/>
        <v>168960</v>
      </c>
      <c r="AB685" s="492"/>
      <c r="AC685" s="446">
        <v>0</v>
      </c>
      <c r="AD685" s="490"/>
      <c r="AE685" s="482"/>
      <c r="AF685" s="580">
        <f t="shared" si="116"/>
        <v>168960</v>
      </c>
      <c r="AG685" s="474" t="s">
        <v>1071</v>
      </c>
      <c r="AH685" s="474"/>
      <c r="AI685" s="474">
        <v>60</v>
      </c>
      <c r="AJ685" s="484" t="s">
        <v>2922</v>
      </c>
      <c r="AK685" s="474" t="s">
        <v>2406</v>
      </c>
      <c r="AL685" s="483" t="s">
        <v>2968</v>
      </c>
      <c r="AM685" s="474" t="s">
        <v>52</v>
      </c>
      <c r="AN685" s="474" t="s">
        <v>1074</v>
      </c>
      <c r="AO685" s="474"/>
      <c r="AP685" s="482"/>
      <c r="AQ685" s="482" t="s">
        <v>37</v>
      </c>
      <c r="AR685" s="482" t="s">
        <v>1960</v>
      </c>
      <c r="AS685" s="472" t="s">
        <v>1076</v>
      </c>
      <c r="AT685" s="436" t="s">
        <v>1076</v>
      </c>
      <c r="AU685" s="436" t="s">
        <v>1076</v>
      </c>
      <c r="AV685" s="478">
        <v>0.49</v>
      </c>
    </row>
    <row r="686" spans="1:48" s="471" customFormat="1">
      <c r="A686" s="472"/>
      <c r="B686" s="449"/>
      <c r="C686" s="449"/>
      <c r="D686" s="501" t="s">
        <v>2901</v>
      </c>
      <c r="E686" s="429" t="s">
        <v>4675</v>
      </c>
      <c r="F686" s="501"/>
      <c r="G686" s="501"/>
      <c r="H686" s="501"/>
      <c r="I686" s="501" t="s">
        <v>3004</v>
      </c>
      <c r="J686" s="513"/>
      <c r="K686" s="501" t="s">
        <v>4676</v>
      </c>
      <c r="L686" s="501" t="s">
        <v>2916</v>
      </c>
      <c r="M686" s="502">
        <v>44537</v>
      </c>
      <c r="N686" s="502">
        <v>44655</v>
      </c>
      <c r="O686" s="502"/>
      <c r="P686" s="502"/>
      <c r="Q686" s="502"/>
      <c r="R686" s="502"/>
      <c r="S686" s="501" t="s">
        <v>2904</v>
      </c>
      <c r="T686" s="501">
        <v>60</v>
      </c>
      <c r="U686" s="501">
        <v>49401140</v>
      </c>
      <c r="V686" s="501" t="s">
        <v>973</v>
      </c>
      <c r="W686" s="501">
        <v>400</v>
      </c>
      <c r="X686" s="505">
        <v>3072</v>
      </c>
      <c r="Y686" s="491">
        <f t="shared" si="119"/>
        <v>1228800</v>
      </c>
      <c r="Z686" s="478">
        <v>0.55000000000000004</v>
      </c>
      <c r="AA686" s="492">
        <f t="shared" si="114"/>
        <v>675840</v>
      </c>
      <c r="AB686" s="492"/>
      <c r="AC686" s="446">
        <v>0</v>
      </c>
      <c r="AD686" s="490"/>
      <c r="AE686" s="482"/>
      <c r="AF686" s="580">
        <f t="shared" si="116"/>
        <v>675840</v>
      </c>
      <c r="AG686" s="474" t="s">
        <v>1071</v>
      </c>
      <c r="AH686" s="474"/>
      <c r="AI686" s="474">
        <v>60</v>
      </c>
      <c r="AJ686" s="484" t="s">
        <v>2922</v>
      </c>
      <c r="AK686" s="474" t="s">
        <v>2406</v>
      </c>
      <c r="AL686" s="483" t="s">
        <v>2923</v>
      </c>
      <c r="AM686" s="474" t="s">
        <v>52</v>
      </c>
      <c r="AN686" s="474" t="s">
        <v>1074</v>
      </c>
      <c r="AO686" s="474"/>
      <c r="AP686" s="482"/>
      <c r="AQ686" s="482" t="s">
        <v>37</v>
      </c>
      <c r="AR686" s="482" t="s">
        <v>1677</v>
      </c>
      <c r="AS686" s="472" t="s">
        <v>1076</v>
      </c>
      <c r="AT686" s="436" t="s">
        <v>1076</v>
      </c>
      <c r="AU686" s="436" t="s">
        <v>1076</v>
      </c>
      <c r="AV686" s="478">
        <v>0.45500000000000002</v>
      </c>
    </row>
    <row r="687" spans="1:48" s="471" customFormat="1" ht="13.9" customHeight="1">
      <c r="A687" s="430"/>
      <c r="B687" s="431">
        <v>44573</v>
      </c>
      <c r="C687" s="449" t="s">
        <v>1211</v>
      </c>
      <c r="D687" s="501" t="s">
        <v>2901</v>
      </c>
      <c r="E687" s="429" t="s">
        <v>3044</v>
      </c>
      <c r="F687" s="501"/>
      <c r="G687" s="501"/>
      <c r="H687" s="501"/>
      <c r="I687" s="501" t="s">
        <v>3004</v>
      </c>
      <c r="J687" s="513"/>
      <c r="K687" s="501" t="s">
        <v>4677</v>
      </c>
      <c r="L687" s="501" t="s">
        <v>2916</v>
      </c>
      <c r="M687" s="502">
        <v>44537</v>
      </c>
      <c r="N687" s="502">
        <v>44655</v>
      </c>
      <c r="O687" s="502"/>
      <c r="P687" s="502"/>
      <c r="Q687" s="502"/>
      <c r="R687" s="502"/>
      <c r="S687" s="501" t="s">
        <v>2904</v>
      </c>
      <c r="T687" s="501">
        <v>60</v>
      </c>
      <c r="U687" s="501">
        <v>49401140</v>
      </c>
      <c r="V687" s="501" t="s">
        <v>973</v>
      </c>
      <c r="W687" s="501">
        <v>400</v>
      </c>
      <c r="X687" s="505">
        <v>8448</v>
      </c>
      <c r="Y687" s="491">
        <f t="shared" si="119"/>
        <v>3379200</v>
      </c>
      <c r="Z687" s="478">
        <v>0.55000000000000004</v>
      </c>
      <c r="AA687" s="492">
        <f t="shared" si="114"/>
        <v>1858560.0000000002</v>
      </c>
      <c r="AB687" s="492"/>
      <c r="AC687" s="446">
        <v>0</v>
      </c>
      <c r="AD687" s="490"/>
      <c r="AE687" s="482"/>
      <c r="AF687" s="580">
        <f t="shared" si="116"/>
        <v>1858560.0000000002</v>
      </c>
      <c r="AG687" s="474" t="s">
        <v>1071</v>
      </c>
      <c r="AH687" s="474"/>
      <c r="AI687" s="474">
        <v>60</v>
      </c>
      <c r="AJ687" s="484" t="s">
        <v>2922</v>
      </c>
      <c r="AK687" s="474" t="s">
        <v>2406</v>
      </c>
      <c r="AL687" s="483" t="s">
        <v>2923</v>
      </c>
      <c r="AM687" s="474" t="s">
        <v>52</v>
      </c>
      <c r="AN687" s="474" t="s">
        <v>1074</v>
      </c>
      <c r="AO687" s="474"/>
      <c r="AP687" s="482"/>
      <c r="AQ687" s="482" t="s">
        <v>37</v>
      </c>
      <c r="AR687" s="482"/>
      <c r="AS687" s="472" t="s">
        <v>1076</v>
      </c>
      <c r="AT687" s="436" t="s">
        <v>1076</v>
      </c>
      <c r="AU687" s="436" t="s">
        <v>1076</v>
      </c>
      <c r="AV687" s="478"/>
    </row>
    <row r="688" spans="1:48" s="471" customFormat="1">
      <c r="A688" s="472"/>
      <c r="B688" s="449">
        <v>44573</v>
      </c>
      <c r="C688" s="449" t="s">
        <v>1211</v>
      </c>
      <c r="D688" s="501" t="s">
        <v>2901</v>
      </c>
      <c r="E688" s="429" t="s">
        <v>4668</v>
      </c>
      <c r="F688" s="501"/>
      <c r="G688" s="501"/>
      <c r="H688" s="501"/>
      <c r="I688" s="501" t="s">
        <v>3004</v>
      </c>
      <c r="J688" s="513"/>
      <c r="K688" s="501" t="s">
        <v>4678</v>
      </c>
      <c r="L688" s="501" t="s">
        <v>2916</v>
      </c>
      <c r="M688" s="502">
        <v>44546</v>
      </c>
      <c r="N688" s="502">
        <v>44656</v>
      </c>
      <c r="O688" s="502"/>
      <c r="P688" s="502"/>
      <c r="Q688" s="502"/>
      <c r="R688" s="502"/>
      <c r="S688" s="501" t="s">
        <v>2904</v>
      </c>
      <c r="T688" s="501">
        <v>60</v>
      </c>
      <c r="U688" s="501">
        <v>49401140</v>
      </c>
      <c r="V688" s="501" t="s">
        <v>973</v>
      </c>
      <c r="W688" s="501">
        <v>400</v>
      </c>
      <c r="X688" s="505">
        <v>768</v>
      </c>
      <c r="Y688" s="491">
        <f t="shared" si="119"/>
        <v>307200</v>
      </c>
      <c r="Z688" s="478">
        <v>0.55000000000000004</v>
      </c>
      <c r="AA688" s="492">
        <f t="shared" si="114"/>
        <v>168960</v>
      </c>
      <c r="AB688" s="492"/>
      <c r="AC688" s="446">
        <v>0</v>
      </c>
      <c r="AD688" s="490"/>
      <c r="AE688" s="482"/>
      <c r="AF688" s="580">
        <f t="shared" si="116"/>
        <v>168960</v>
      </c>
      <c r="AG688" s="474" t="s">
        <v>1071</v>
      </c>
      <c r="AH688" s="474"/>
      <c r="AI688" s="474">
        <v>60</v>
      </c>
      <c r="AJ688" s="484" t="s">
        <v>2922</v>
      </c>
      <c r="AK688" s="474" t="s">
        <v>2406</v>
      </c>
      <c r="AL688" s="483" t="s">
        <v>2968</v>
      </c>
      <c r="AM688" s="474" t="s">
        <v>52</v>
      </c>
      <c r="AN688" s="474" t="s">
        <v>1074</v>
      </c>
      <c r="AO688" s="474"/>
      <c r="AP688" s="482"/>
      <c r="AQ688" s="482" t="s">
        <v>37</v>
      </c>
      <c r="AR688" s="482" t="s">
        <v>1288</v>
      </c>
      <c r="AS688" s="472" t="s">
        <v>1076</v>
      </c>
      <c r="AT688" s="436" t="s">
        <v>1076</v>
      </c>
      <c r="AU688" s="436" t="s">
        <v>1076</v>
      </c>
      <c r="AV688" s="478">
        <v>0.49</v>
      </c>
    </row>
    <row r="689" spans="1:48" s="471" customFormat="1" ht="13.9" customHeight="1">
      <c r="A689" s="472"/>
      <c r="B689" s="449">
        <v>44573</v>
      </c>
      <c r="C689" s="449" t="s">
        <v>1211</v>
      </c>
      <c r="D689" s="501" t="s">
        <v>2901</v>
      </c>
      <c r="E689" s="429" t="s">
        <v>4668</v>
      </c>
      <c r="F689" s="501"/>
      <c r="G689" s="501"/>
      <c r="H689" s="501"/>
      <c r="I689" s="501" t="s">
        <v>3004</v>
      </c>
      <c r="J689" s="513"/>
      <c r="K689" s="501" t="s">
        <v>4679</v>
      </c>
      <c r="L689" s="501" t="s">
        <v>2916</v>
      </c>
      <c r="M689" s="502">
        <v>44546</v>
      </c>
      <c r="N689" s="502">
        <v>44663</v>
      </c>
      <c r="O689" s="502"/>
      <c r="P689" s="502"/>
      <c r="Q689" s="502"/>
      <c r="R689" s="502"/>
      <c r="S689" s="501" t="s">
        <v>2904</v>
      </c>
      <c r="T689" s="501">
        <v>60</v>
      </c>
      <c r="U689" s="501">
        <v>49401140</v>
      </c>
      <c r="V689" s="501" t="s">
        <v>973</v>
      </c>
      <c r="W689" s="501">
        <v>400</v>
      </c>
      <c r="X689" s="505">
        <v>768</v>
      </c>
      <c r="Y689" s="491">
        <f t="shared" si="119"/>
        <v>307200</v>
      </c>
      <c r="Z689" s="478">
        <v>0.55000000000000004</v>
      </c>
      <c r="AA689" s="492">
        <f t="shared" si="114"/>
        <v>168960</v>
      </c>
      <c r="AB689" s="492"/>
      <c r="AC689" s="446">
        <v>0</v>
      </c>
      <c r="AD689" s="490"/>
      <c r="AE689" s="482"/>
      <c r="AF689" s="580">
        <f t="shared" si="116"/>
        <v>168960</v>
      </c>
      <c r="AG689" s="474" t="s">
        <v>1071</v>
      </c>
      <c r="AH689" s="474"/>
      <c r="AI689" s="474">
        <v>60</v>
      </c>
      <c r="AJ689" s="484" t="s">
        <v>2922</v>
      </c>
      <c r="AK689" s="474" t="s">
        <v>2406</v>
      </c>
      <c r="AL689" s="483" t="s">
        <v>2968</v>
      </c>
      <c r="AM689" s="474" t="s">
        <v>52</v>
      </c>
      <c r="AN689" s="474" t="s">
        <v>1074</v>
      </c>
      <c r="AO689" s="474"/>
      <c r="AP689" s="482"/>
      <c r="AQ689" s="482" t="s">
        <v>37</v>
      </c>
      <c r="AR689" s="482" t="s">
        <v>1960</v>
      </c>
      <c r="AS689" s="472" t="s">
        <v>1076</v>
      </c>
      <c r="AT689" s="436" t="s">
        <v>1076</v>
      </c>
      <c r="AU689" s="436" t="s">
        <v>1076</v>
      </c>
      <c r="AV689" s="478">
        <v>0.49</v>
      </c>
    </row>
    <row r="690" spans="1:48" s="471" customFormat="1" ht="13.9" customHeight="1">
      <c r="A690" s="472"/>
      <c r="B690" s="449">
        <v>44573</v>
      </c>
      <c r="C690" s="449" t="s">
        <v>1211</v>
      </c>
      <c r="D690" s="501" t="s">
        <v>2901</v>
      </c>
      <c r="E690" s="429" t="s">
        <v>4668</v>
      </c>
      <c r="F690" s="501"/>
      <c r="G690" s="501"/>
      <c r="H690" s="501"/>
      <c r="I690" s="501" t="s">
        <v>3004</v>
      </c>
      <c r="J690" s="513"/>
      <c r="K690" s="501" t="s">
        <v>4680</v>
      </c>
      <c r="L690" s="501" t="s">
        <v>2916</v>
      </c>
      <c r="M690" s="502">
        <v>44546</v>
      </c>
      <c r="N690" s="502">
        <v>44684</v>
      </c>
      <c r="O690" s="502"/>
      <c r="P690" s="502"/>
      <c r="Q690" s="502"/>
      <c r="R690" s="502"/>
      <c r="S690" s="501" t="s">
        <v>2904</v>
      </c>
      <c r="T690" s="501">
        <v>60</v>
      </c>
      <c r="U690" s="501">
        <v>49401140</v>
      </c>
      <c r="V690" s="501" t="s">
        <v>973</v>
      </c>
      <c r="W690" s="501">
        <v>400</v>
      </c>
      <c r="X690" s="505">
        <v>768</v>
      </c>
      <c r="Y690" s="491">
        <f t="shared" si="119"/>
        <v>307200</v>
      </c>
      <c r="Z690" s="478">
        <v>0.55000000000000004</v>
      </c>
      <c r="AA690" s="492">
        <f t="shared" si="114"/>
        <v>168960</v>
      </c>
      <c r="AB690" s="492"/>
      <c r="AC690" s="446">
        <v>0</v>
      </c>
      <c r="AD690" s="490"/>
      <c r="AE690" s="482"/>
      <c r="AF690" s="580">
        <f t="shared" si="116"/>
        <v>168960</v>
      </c>
      <c r="AG690" s="474" t="s">
        <v>1071</v>
      </c>
      <c r="AH690" s="474"/>
      <c r="AI690" s="474">
        <v>60</v>
      </c>
      <c r="AJ690" s="484" t="s">
        <v>2922</v>
      </c>
      <c r="AK690" s="474" t="s">
        <v>2406</v>
      </c>
      <c r="AL690" s="483" t="s">
        <v>2968</v>
      </c>
      <c r="AM690" s="474" t="s">
        <v>52</v>
      </c>
      <c r="AN690" s="474" t="s">
        <v>1074</v>
      </c>
      <c r="AO690" s="474"/>
      <c r="AP690" s="482"/>
      <c r="AQ690" s="482" t="s">
        <v>37</v>
      </c>
      <c r="AR690" s="482" t="s">
        <v>1288</v>
      </c>
      <c r="AS690" s="472" t="s">
        <v>1076</v>
      </c>
      <c r="AT690" s="436" t="s">
        <v>1076</v>
      </c>
      <c r="AU690" s="436" t="s">
        <v>1076</v>
      </c>
      <c r="AV690" s="478">
        <v>0.49</v>
      </c>
    </row>
    <row r="691" spans="1:48" s="471" customFormat="1" ht="13.9" customHeight="1">
      <c r="A691" s="472"/>
      <c r="B691" s="449"/>
      <c r="C691" s="449"/>
      <c r="D691" s="501" t="s">
        <v>2901</v>
      </c>
      <c r="E691" s="429" t="s">
        <v>4681</v>
      </c>
      <c r="F691" s="501"/>
      <c r="G691" s="501"/>
      <c r="H691" s="501"/>
      <c r="I691" s="501" t="s">
        <v>3004</v>
      </c>
      <c r="J691" s="513"/>
      <c r="K691" s="501" t="s">
        <v>4682</v>
      </c>
      <c r="L691" s="501" t="s">
        <v>2916</v>
      </c>
      <c r="M691" s="502">
        <v>44537</v>
      </c>
      <c r="N691" s="502">
        <v>44685</v>
      </c>
      <c r="O691" s="502"/>
      <c r="P691" s="502"/>
      <c r="Q691" s="502"/>
      <c r="R691" s="502"/>
      <c r="S691" s="501" t="s">
        <v>2904</v>
      </c>
      <c r="T691" s="501">
        <v>60</v>
      </c>
      <c r="U691" s="501">
        <v>49401140</v>
      </c>
      <c r="V691" s="501" t="s">
        <v>973</v>
      </c>
      <c r="W691" s="501">
        <v>400</v>
      </c>
      <c r="X691" s="505">
        <v>3072</v>
      </c>
      <c r="Y691" s="491">
        <f t="shared" si="119"/>
        <v>1228800</v>
      </c>
      <c r="Z691" s="478">
        <v>0.55000000000000004</v>
      </c>
      <c r="AA691" s="492">
        <f t="shared" si="114"/>
        <v>675840</v>
      </c>
      <c r="AB691" s="492"/>
      <c r="AC691" s="446">
        <v>0</v>
      </c>
      <c r="AD691" s="490"/>
      <c r="AE691" s="482"/>
      <c r="AF691" s="580">
        <f t="shared" si="116"/>
        <v>675840</v>
      </c>
      <c r="AG691" s="474" t="s">
        <v>1071</v>
      </c>
      <c r="AH691" s="474"/>
      <c r="AI691" s="474">
        <v>60</v>
      </c>
      <c r="AJ691" s="484" t="s">
        <v>2922</v>
      </c>
      <c r="AK691" s="474" t="s">
        <v>2406</v>
      </c>
      <c r="AL691" s="483" t="s">
        <v>2923</v>
      </c>
      <c r="AM691" s="474" t="s">
        <v>52</v>
      </c>
      <c r="AN691" s="474" t="s">
        <v>1074</v>
      </c>
      <c r="AO691" s="474"/>
      <c r="AP691" s="482"/>
      <c r="AQ691" s="482" t="s">
        <v>37</v>
      </c>
      <c r="AR691" s="439" t="s">
        <v>1677</v>
      </c>
      <c r="AS691" s="472" t="s">
        <v>1076</v>
      </c>
      <c r="AT691" s="436" t="s">
        <v>1076</v>
      </c>
      <c r="AU691" s="436" t="s">
        <v>1076</v>
      </c>
      <c r="AV691" s="478">
        <v>0.45500000000000002</v>
      </c>
    </row>
    <row r="692" spans="1:48" s="471" customFormat="1">
      <c r="A692" s="472"/>
      <c r="B692" s="449">
        <v>44573</v>
      </c>
      <c r="C692" s="449" t="s">
        <v>1211</v>
      </c>
      <c r="D692" s="501" t="s">
        <v>2901</v>
      </c>
      <c r="E692" s="429" t="s">
        <v>3044</v>
      </c>
      <c r="F692" s="501"/>
      <c r="G692" s="501"/>
      <c r="H692" s="501"/>
      <c r="I692" s="501" t="s">
        <v>3004</v>
      </c>
      <c r="J692" s="513"/>
      <c r="K692" s="501" t="s">
        <v>4683</v>
      </c>
      <c r="L692" s="501" t="s">
        <v>2916</v>
      </c>
      <c r="M692" s="502">
        <v>44537</v>
      </c>
      <c r="N692" s="502">
        <v>44685</v>
      </c>
      <c r="O692" s="502"/>
      <c r="P692" s="502"/>
      <c r="Q692" s="502"/>
      <c r="R692" s="502"/>
      <c r="S692" s="501" t="s">
        <v>2904</v>
      </c>
      <c r="T692" s="501">
        <v>60</v>
      </c>
      <c r="U692" s="501">
        <v>49401140</v>
      </c>
      <c r="V692" s="501" t="s">
        <v>973</v>
      </c>
      <c r="W692" s="501">
        <v>400</v>
      </c>
      <c r="X692" s="505">
        <v>8448</v>
      </c>
      <c r="Y692" s="491">
        <f t="shared" si="119"/>
        <v>3379200</v>
      </c>
      <c r="Z692" s="478">
        <v>0.55000000000000004</v>
      </c>
      <c r="AA692" s="492">
        <f t="shared" si="114"/>
        <v>1858560.0000000002</v>
      </c>
      <c r="AB692" s="492"/>
      <c r="AC692" s="446">
        <v>0</v>
      </c>
      <c r="AD692" s="490"/>
      <c r="AE692" s="482"/>
      <c r="AF692" s="580">
        <f t="shared" si="116"/>
        <v>1858560.0000000002</v>
      </c>
      <c r="AG692" s="474" t="s">
        <v>1071</v>
      </c>
      <c r="AH692" s="474"/>
      <c r="AI692" s="474">
        <v>60</v>
      </c>
      <c r="AJ692" s="484" t="s">
        <v>2922</v>
      </c>
      <c r="AK692" s="474" t="s">
        <v>2406</v>
      </c>
      <c r="AL692" s="483" t="s">
        <v>2923</v>
      </c>
      <c r="AM692" s="474" t="s">
        <v>52</v>
      </c>
      <c r="AN692" s="474" t="s">
        <v>1074</v>
      </c>
      <c r="AO692" s="474"/>
      <c r="AP692" s="482"/>
      <c r="AQ692" s="482" t="s">
        <v>37</v>
      </c>
      <c r="AR692" s="482"/>
      <c r="AS692" s="472" t="s">
        <v>1076</v>
      </c>
      <c r="AT692" s="436" t="s">
        <v>1076</v>
      </c>
      <c r="AU692" s="436" t="s">
        <v>1076</v>
      </c>
      <c r="AV692" s="478"/>
    </row>
    <row r="693" spans="1:48" s="471" customFormat="1">
      <c r="A693" s="472"/>
      <c r="B693" s="449">
        <v>44573</v>
      </c>
      <c r="C693" s="449" t="s">
        <v>1211</v>
      </c>
      <c r="D693" s="501" t="s">
        <v>2901</v>
      </c>
      <c r="E693" s="429" t="s">
        <v>4668</v>
      </c>
      <c r="F693" s="501"/>
      <c r="G693" s="501"/>
      <c r="H693" s="501"/>
      <c r="I693" s="501" t="s">
        <v>3004</v>
      </c>
      <c r="J693" s="513"/>
      <c r="K693" s="501" t="s">
        <v>4684</v>
      </c>
      <c r="L693" s="501" t="s">
        <v>2916</v>
      </c>
      <c r="M693" s="502">
        <v>44546</v>
      </c>
      <c r="N693" s="502">
        <v>44691</v>
      </c>
      <c r="O693" s="502"/>
      <c r="P693" s="502"/>
      <c r="Q693" s="502"/>
      <c r="R693" s="502"/>
      <c r="S693" s="501" t="s">
        <v>2904</v>
      </c>
      <c r="T693" s="501">
        <v>60</v>
      </c>
      <c r="U693" s="501">
        <v>49401140</v>
      </c>
      <c r="V693" s="501" t="s">
        <v>973</v>
      </c>
      <c r="W693" s="501">
        <v>400</v>
      </c>
      <c r="X693" s="505">
        <v>768</v>
      </c>
      <c r="Y693" s="477">
        <f t="shared" si="119"/>
        <v>307200</v>
      </c>
      <c r="Z693" s="478">
        <v>0.55000000000000004</v>
      </c>
      <c r="AA693" s="479">
        <f t="shared" si="114"/>
        <v>168960</v>
      </c>
      <c r="AB693" s="479"/>
      <c r="AC693" s="446">
        <v>0</v>
      </c>
      <c r="AD693" s="490"/>
      <c r="AE693" s="482"/>
      <c r="AF693" s="580">
        <f t="shared" si="116"/>
        <v>168960</v>
      </c>
      <c r="AG693" s="474" t="s">
        <v>1071</v>
      </c>
      <c r="AH693" s="474"/>
      <c r="AI693" s="474">
        <v>60</v>
      </c>
      <c r="AJ693" s="484" t="s">
        <v>2922</v>
      </c>
      <c r="AK693" s="474" t="s">
        <v>2406</v>
      </c>
      <c r="AL693" s="483" t="s">
        <v>2968</v>
      </c>
      <c r="AM693" s="474" t="s">
        <v>52</v>
      </c>
      <c r="AN693" s="474" t="s">
        <v>1074</v>
      </c>
      <c r="AO693" s="474"/>
      <c r="AP693" s="482"/>
      <c r="AQ693" s="482" t="s">
        <v>37</v>
      </c>
      <c r="AR693" s="482" t="s">
        <v>1960</v>
      </c>
      <c r="AS693" s="472" t="s">
        <v>1076</v>
      </c>
      <c r="AT693" s="436" t="s">
        <v>1076</v>
      </c>
      <c r="AU693" s="436" t="s">
        <v>1076</v>
      </c>
      <c r="AV693" s="478">
        <v>0.49</v>
      </c>
    </row>
    <row r="694" spans="1:48" s="471" customFormat="1">
      <c r="A694" s="472"/>
      <c r="B694" s="449"/>
      <c r="C694" s="449"/>
      <c r="D694" s="501" t="s">
        <v>2901</v>
      </c>
      <c r="E694" s="429" t="s">
        <v>4685</v>
      </c>
      <c r="F694" s="501"/>
      <c r="G694" s="501"/>
      <c r="H694" s="501"/>
      <c r="I694" s="501" t="s">
        <v>3004</v>
      </c>
      <c r="J694" s="513"/>
      <c r="K694" s="501" t="s">
        <v>4686</v>
      </c>
      <c r="L694" s="501" t="s">
        <v>2916</v>
      </c>
      <c r="M694" s="502">
        <v>44537</v>
      </c>
      <c r="N694" s="502">
        <v>44716</v>
      </c>
      <c r="O694" s="502"/>
      <c r="P694" s="502"/>
      <c r="Q694" s="502"/>
      <c r="R694" s="502"/>
      <c r="S694" s="501" t="s">
        <v>2904</v>
      </c>
      <c r="T694" s="501">
        <v>60</v>
      </c>
      <c r="U694" s="501">
        <v>49401140</v>
      </c>
      <c r="V694" s="501" t="s">
        <v>973</v>
      </c>
      <c r="W694" s="501">
        <v>400</v>
      </c>
      <c r="X694" s="505">
        <v>3072</v>
      </c>
      <c r="Y694" s="491">
        <f t="shared" si="119"/>
        <v>1228800</v>
      </c>
      <c r="Z694" s="478">
        <v>0.55000000000000004</v>
      </c>
      <c r="AA694" s="492">
        <f t="shared" si="114"/>
        <v>675840</v>
      </c>
      <c r="AB694" s="492"/>
      <c r="AC694" s="446">
        <v>0</v>
      </c>
      <c r="AD694" s="490"/>
      <c r="AE694" s="482"/>
      <c r="AF694" s="580">
        <f t="shared" si="116"/>
        <v>675840</v>
      </c>
      <c r="AG694" s="474" t="s">
        <v>1071</v>
      </c>
      <c r="AH694" s="474"/>
      <c r="AI694" s="474">
        <v>60</v>
      </c>
      <c r="AJ694" s="484" t="s">
        <v>2922</v>
      </c>
      <c r="AK694" s="474" t="s">
        <v>2406</v>
      </c>
      <c r="AL694" s="483" t="s">
        <v>2923</v>
      </c>
      <c r="AM694" s="474" t="s">
        <v>52</v>
      </c>
      <c r="AN694" s="474" t="s">
        <v>1074</v>
      </c>
      <c r="AO694" s="474"/>
      <c r="AP694" s="482"/>
      <c r="AQ694" s="482" t="s">
        <v>37</v>
      </c>
      <c r="AR694" s="439" t="s">
        <v>1677</v>
      </c>
      <c r="AS694" s="472" t="s">
        <v>1076</v>
      </c>
      <c r="AT694" s="436" t="s">
        <v>1076</v>
      </c>
      <c r="AU694" s="436" t="s">
        <v>1076</v>
      </c>
      <c r="AV694" s="478">
        <v>0.45500000000000002</v>
      </c>
    </row>
    <row r="695" spans="1:48" s="471" customFormat="1">
      <c r="A695" s="472"/>
      <c r="B695" s="449">
        <v>44573</v>
      </c>
      <c r="C695" s="449" t="s">
        <v>1211</v>
      </c>
      <c r="D695" s="501" t="s">
        <v>2901</v>
      </c>
      <c r="E695" s="429" t="s">
        <v>3044</v>
      </c>
      <c r="F695" s="501"/>
      <c r="G695" s="501"/>
      <c r="H695" s="501"/>
      <c r="I695" s="501" t="s">
        <v>3004</v>
      </c>
      <c r="J695" s="513"/>
      <c r="K695" s="501" t="s">
        <v>4687</v>
      </c>
      <c r="L695" s="501" t="s">
        <v>2916</v>
      </c>
      <c r="M695" s="502">
        <v>44537</v>
      </c>
      <c r="N695" s="502">
        <v>44716</v>
      </c>
      <c r="O695" s="502"/>
      <c r="P695" s="502"/>
      <c r="Q695" s="502"/>
      <c r="R695" s="502"/>
      <c r="S695" s="501" t="s">
        <v>2904</v>
      </c>
      <c r="T695" s="501">
        <v>60</v>
      </c>
      <c r="U695" s="501">
        <v>49401140</v>
      </c>
      <c r="V695" s="501" t="s">
        <v>973</v>
      </c>
      <c r="W695" s="501">
        <v>400</v>
      </c>
      <c r="X695" s="505">
        <v>8448</v>
      </c>
      <c r="Y695" s="491">
        <f t="shared" si="119"/>
        <v>3379200</v>
      </c>
      <c r="Z695" s="478">
        <v>0.55000000000000004</v>
      </c>
      <c r="AA695" s="492">
        <f t="shared" si="114"/>
        <v>1858560.0000000002</v>
      </c>
      <c r="AB695" s="492"/>
      <c r="AC695" s="446">
        <v>0</v>
      </c>
      <c r="AD695" s="490"/>
      <c r="AE695" s="482"/>
      <c r="AF695" s="580">
        <f t="shared" si="116"/>
        <v>1858560.0000000002</v>
      </c>
      <c r="AG695" s="474" t="s">
        <v>1071</v>
      </c>
      <c r="AH695" s="474"/>
      <c r="AI695" s="474">
        <v>60</v>
      </c>
      <c r="AJ695" s="484" t="s">
        <v>2922</v>
      </c>
      <c r="AK695" s="474" t="s">
        <v>2406</v>
      </c>
      <c r="AL695" s="483" t="s">
        <v>2923</v>
      </c>
      <c r="AM695" s="474" t="s">
        <v>52</v>
      </c>
      <c r="AN695" s="474" t="s">
        <v>1074</v>
      </c>
      <c r="AO695" s="474"/>
      <c r="AP695" s="482"/>
      <c r="AQ695" s="482" t="s">
        <v>37</v>
      </c>
      <c r="AR695" s="482"/>
      <c r="AS695" s="472" t="s">
        <v>1076</v>
      </c>
      <c r="AT695" s="436" t="s">
        <v>1076</v>
      </c>
      <c r="AU695" s="436" t="s">
        <v>1076</v>
      </c>
      <c r="AV695" s="478"/>
    </row>
    <row r="696" spans="1:48" s="471" customFormat="1">
      <c r="A696" s="472"/>
      <c r="B696" s="449">
        <v>44573</v>
      </c>
      <c r="C696" s="449" t="s">
        <v>1211</v>
      </c>
      <c r="D696" s="501" t="s">
        <v>2901</v>
      </c>
      <c r="E696" s="429" t="s">
        <v>4668</v>
      </c>
      <c r="F696" s="501"/>
      <c r="G696" s="501"/>
      <c r="H696" s="501"/>
      <c r="I696" s="501" t="s">
        <v>3004</v>
      </c>
      <c r="J696" s="513"/>
      <c r="K696" s="501" t="s">
        <v>4688</v>
      </c>
      <c r="L696" s="501" t="s">
        <v>2916</v>
      </c>
      <c r="M696" s="502">
        <v>44546</v>
      </c>
      <c r="N696" s="502">
        <v>44719</v>
      </c>
      <c r="O696" s="502"/>
      <c r="P696" s="502"/>
      <c r="Q696" s="502"/>
      <c r="R696" s="502"/>
      <c r="S696" s="501" t="s">
        <v>2904</v>
      </c>
      <c r="T696" s="501">
        <v>60</v>
      </c>
      <c r="U696" s="501">
        <v>49401140</v>
      </c>
      <c r="V696" s="501" t="s">
        <v>973</v>
      </c>
      <c r="W696" s="501">
        <v>400</v>
      </c>
      <c r="X696" s="505">
        <v>768</v>
      </c>
      <c r="Y696" s="491">
        <f t="shared" si="119"/>
        <v>307200</v>
      </c>
      <c r="Z696" s="478">
        <v>0.55000000000000004</v>
      </c>
      <c r="AA696" s="492">
        <f t="shared" si="114"/>
        <v>168960</v>
      </c>
      <c r="AB696" s="492"/>
      <c r="AC696" s="446">
        <v>0</v>
      </c>
      <c r="AD696" s="490"/>
      <c r="AE696" s="482"/>
      <c r="AF696" s="580">
        <f t="shared" si="116"/>
        <v>168960</v>
      </c>
      <c r="AG696" s="474" t="s">
        <v>1071</v>
      </c>
      <c r="AH696" s="474"/>
      <c r="AI696" s="474">
        <v>60</v>
      </c>
      <c r="AJ696" s="484" t="s">
        <v>2922</v>
      </c>
      <c r="AK696" s="474" t="s">
        <v>2406</v>
      </c>
      <c r="AL696" s="483" t="s">
        <v>2968</v>
      </c>
      <c r="AM696" s="474" t="s">
        <v>52</v>
      </c>
      <c r="AN696" s="474" t="s">
        <v>1074</v>
      </c>
      <c r="AO696" s="474"/>
      <c r="AP696" s="482"/>
      <c r="AQ696" s="482" t="s">
        <v>37</v>
      </c>
      <c r="AR696" s="482" t="s">
        <v>1288</v>
      </c>
      <c r="AS696" s="472" t="s">
        <v>1076</v>
      </c>
      <c r="AT696" s="436" t="s">
        <v>1076</v>
      </c>
      <c r="AU696" s="436" t="s">
        <v>1076</v>
      </c>
      <c r="AV696" s="478">
        <v>0.49</v>
      </c>
    </row>
    <row r="697" spans="1:48" s="471" customFormat="1">
      <c r="A697" s="472"/>
      <c r="B697" s="449">
        <v>44573</v>
      </c>
      <c r="C697" s="449" t="s">
        <v>1211</v>
      </c>
      <c r="D697" s="501" t="s">
        <v>2901</v>
      </c>
      <c r="E697" s="429" t="s">
        <v>4668</v>
      </c>
      <c r="F697" s="501"/>
      <c r="G697" s="501"/>
      <c r="H697" s="501"/>
      <c r="I697" s="501" t="s">
        <v>3004</v>
      </c>
      <c r="J697" s="513"/>
      <c r="K697" s="501" t="s">
        <v>4689</v>
      </c>
      <c r="L697" s="501" t="s">
        <v>2916</v>
      </c>
      <c r="M697" s="502">
        <v>44546</v>
      </c>
      <c r="N697" s="502">
        <v>44726</v>
      </c>
      <c r="O697" s="502"/>
      <c r="P697" s="502"/>
      <c r="Q697" s="502"/>
      <c r="R697" s="502"/>
      <c r="S697" s="501" t="s">
        <v>2904</v>
      </c>
      <c r="T697" s="501">
        <v>60</v>
      </c>
      <c r="U697" s="501">
        <v>49401140</v>
      </c>
      <c r="V697" s="501" t="s">
        <v>973</v>
      </c>
      <c r="W697" s="501">
        <v>400</v>
      </c>
      <c r="X697" s="505">
        <v>768</v>
      </c>
      <c r="Y697" s="491">
        <f t="shared" si="119"/>
        <v>307200</v>
      </c>
      <c r="Z697" s="478">
        <v>0.55000000000000004</v>
      </c>
      <c r="AA697" s="492">
        <f t="shared" si="114"/>
        <v>168960</v>
      </c>
      <c r="AB697" s="492"/>
      <c r="AC697" s="446">
        <v>0</v>
      </c>
      <c r="AD697" s="490"/>
      <c r="AE697" s="482"/>
      <c r="AF697" s="580">
        <f t="shared" si="116"/>
        <v>168960</v>
      </c>
      <c r="AG697" s="474" t="s">
        <v>1071</v>
      </c>
      <c r="AH697" s="474"/>
      <c r="AI697" s="474">
        <v>60</v>
      </c>
      <c r="AJ697" s="484" t="s">
        <v>2922</v>
      </c>
      <c r="AK697" s="474" t="s">
        <v>2406</v>
      </c>
      <c r="AL697" s="483" t="s">
        <v>2968</v>
      </c>
      <c r="AM697" s="474" t="s">
        <v>52</v>
      </c>
      <c r="AN697" s="474" t="s">
        <v>1074</v>
      </c>
      <c r="AO697" s="474"/>
      <c r="AP697" s="482"/>
      <c r="AQ697" s="482" t="s">
        <v>37</v>
      </c>
      <c r="AR697" s="482" t="s">
        <v>1960</v>
      </c>
      <c r="AS697" s="472" t="s">
        <v>1076</v>
      </c>
      <c r="AT697" s="436" t="s">
        <v>1076</v>
      </c>
      <c r="AU697" s="436" t="s">
        <v>1076</v>
      </c>
      <c r="AV697" s="478">
        <v>0.49</v>
      </c>
    </row>
    <row r="698" spans="1:48" s="471" customFormat="1">
      <c r="A698" s="472"/>
      <c r="B698" s="449"/>
      <c r="C698" s="449"/>
      <c r="D698" s="501" t="s">
        <v>2901</v>
      </c>
      <c r="E698" s="429"/>
      <c r="F698" s="501"/>
      <c r="G698" s="501"/>
      <c r="H698" s="501"/>
      <c r="I698" s="501" t="s">
        <v>3004</v>
      </c>
      <c r="J698" s="513"/>
      <c r="K698" s="501" t="s">
        <v>4693</v>
      </c>
      <c r="L698" s="501" t="s">
        <v>3113</v>
      </c>
      <c r="M698" s="502">
        <v>44620</v>
      </c>
      <c r="N698" s="502">
        <v>44652</v>
      </c>
      <c r="O698" s="502"/>
      <c r="P698" s="502"/>
      <c r="Q698" s="502"/>
      <c r="R698" s="502"/>
      <c r="S698" s="501" t="s">
        <v>2904</v>
      </c>
      <c r="T698" s="501">
        <v>60</v>
      </c>
      <c r="U698" s="501">
        <v>49204132</v>
      </c>
      <c r="V698" s="501" t="s">
        <v>986</v>
      </c>
      <c r="W698" s="501">
        <v>360</v>
      </c>
      <c r="X698" s="505">
        <v>728</v>
      </c>
      <c r="Y698" s="491">
        <f>W698*X698</f>
        <v>262080</v>
      </c>
      <c r="Z698" s="478">
        <v>0.79</v>
      </c>
      <c r="AA698" s="492">
        <f>Z698*Y698</f>
        <v>207043.20000000001</v>
      </c>
      <c r="AB698" s="492"/>
      <c r="AC698" s="446">
        <v>0</v>
      </c>
      <c r="AD698" s="490"/>
      <c r="AE698" s="482"/>
      <c r="AF698" s="580">
        <f>AA698+AE698</f>
        <v>207043.20000000001</v>
      </c>
      <c r="AG698" s="474" t="s">
        <v>47</v>
      </c>
      <c r="AH698" s="474"/>
      <c r="AI698" s="474">
        <v>30</v>
      </c>
      <c r="AJ698" s="484" t="s">
        <v>3148</v>
      </c>
      <c r="AK698" s="474" t="s">
        <v>1117</v>
      </c>
      <c r="AL698" s="483" t="s">
        <v>3149</v>
      </c>
      <c r="AM698" s="474" t="s">
        <v>52</v>
      </c>
      <c r="AN698" s="474" t="s">
        <v>1074</v>
      </c>
      <c r="AO698" s="474"/>
      <c r="AP698" s="482"/>
      <c r="AQ698" s="482" t="s">
        <v>37</v>
      </c>
      <c r="AR698" s="482"/>
      <c r="AS698" s="472" t="s">
        <v>1076</v>
      </c>
      <c r="AT698" s="436" t="s">
        <v>1076</v>
      </c>
      <c r="AU698" s="436" t="s">
        <v>1076</v>
      </c>
      <c r="AV698" s="478">
        <v>0.73</v>
      </c>
    </row>
    <row r="699" spans="1:48" s="471" customFormat="1">
      <c r="A699" s="472"/>
      <c r="B699" s="449"/>
      <c r="C699" s="449"/>
      <c r="D699" s="501" t="s">
        <v>2901</v>
      </c>
      <c r="E699" s="429"/>
      <c r="F699" s="501"/>
      <c r="G699" s="501"/>
      <c r="H699" s="501"/>
      <c r="I699" s="501" t="s">
        <v>3004</v>
      </c>
      <c r="J699" s="513"/>
      <c r="K699" s="501" t="s">
        <v>4694</v>
      </c>
      <c r="L699" s="501" t="s">
        <v>3113</v>
      </c>
      <c r="M699" s="502">
        <v>44620</v>
      </c>
      <c r="N699" s="502">
        <v>44652</v>
      </c>
      <c r="O699" s="502"/>
      <c r="P699" s="502"/>
      <c r="Q699" s="502"/>
      <c r="R699" s="502"/>
      <c r="S699" s="501" t="s">
        <v>2904</v>
      </c>
      <c r="T699" s="501">
        <v>60</v>
      </c>
      <c r="U699" s="501">
        <v>49204132</v>
      </c>
      <c r="V699" s="501" t="s">
        <v>986</v>
      </c>
      <c r="W699" s="501">
        <v>360</v>
      </c>
      <c r="X699" s="505">
        <v>728</v>
      </c>
      <c r="Y699" s="491">
        <f>W699*X699</f>
        <v>262080</v>
      </c>
      <c r="Z699" s="478">
        <v>0.79</v>
      </c>
      <c r="AA699" s="492">
        <f>Z699*Y699</f>
        <v>207043.20000000001</v>
      </c>
      <c r="AB699" s="492"/>
      <c r="AC699" s="446">
        <v>0</v>
      </c>
      <c r="AD699" s="490"/>
      <c r="AE699" s="482"/>
      <c r="AF699" s="580">
        <f>AA699+AE699</f>
        <v>207043.20000000001</v>
      </c>
      <c r="AG699" s="474" t="s">
        <v>47</v>
      </c>
      <c r="AH699" s="474"/>
      <c r="AI699" s="474">
        <v>30</v>
      </c>
      <c r="AJ699" s="484" t="s">
        <v>3148</v>
      </c>
      <c r="AK699" s="474" t="s">
        <v>1117</v>
      </c>
      <c r="AL699" s="483" t="s">
        <v>3149</v>
      </c>
      <c r="AM699" s="474" t="s">
        <v>52</v>
      </c>
      <c r="AN699" s="474" t="s">
        <v>1074</v>
      </c>
      <c r="AO699" s="474"/>
      <c r="AP699" s="482"/>
      <c r="AQ699" s="482" t="s">
        <v>37</v>
      </c>
      <c r="AR699" s="482"/>
      <c r="AS699" s="472" t="s">
        <v>1076</v>
      </c>
      <c r="AT699" s="436" t="s">
        <v>1076</v>
      </c>
      <c r="AU699" s="436" t="s">
        <v>1076</v>
      </c>
      <c r="AV699" s="478">
        <v>0.73</v>
      </c>
    </row>
    <row r="700" spans="1:48" s="471" customFormat="1">
      <c r="A700" s="472"/>
      <c r="B700" s="449"/>
      <c r="C700" s="449"/>
      <c r="D700" s="501" t="s">
        <v>2901</v>
      </c>
      <c r="E700" s="429"/>
      <c r="F700" s="501"/>
      <c r="G700" s="501"/>
      <c r="H700" s="501"/>
      <c r="I700" s="501" t="s">
        <v>3004</v>
      </c>
      <c r="J700" s="513"/>
      <c r="K700" s="501" t="s">
        <v>4695</v>
      </c>
      <c r="L700" s="501" t="s">
        <v>3113</v>
      </c>
      <c r="M700" s="502">
        <v>44620</v>
      </c>
      <c r="N700" s="502">
        <v>44652</v>
      </c>
      <c r="O700" s="502"/>
      <c r="P700" s="502"/>
      <c r="Q700" s="502"/>
      <c r="R700" s="502"/>
      <c r="S700" s="501" t="s">
        <v>2904</v>
      </c>
      <c r="T700" s="501">
        <v>60</v>
      </c>
      <c r="U700" s="501">
        <v>49204132</v>
      </c>
      <c r="V700" s="501" t="s">
        <v>986</v>
      </c>
      <c r="W700" s="501">
        <v>360</v>
      </c>
      <c r="X700" s="505">
        <v>728</v>
      </c>
      <c r="Y700" s="491">
        <f>W700*X700</f>
        <v>262080</v>
      </c>
      <c r="Z700" s="478">
        <v>0.79</v>
      </c>
      <c r="AA700" s="492">
        <f>Z700*Y700</f>
        <v>207043.20000000001</v>
      </c>
      <c r="AB700" s="492"/>
      <c r="AC700" s="446">
        <v>0</v>
      </c>
      <c r="AD700" s="490"/>
      <c r="AE700" s="482"/>
      <c r="AF700" s="580">
        <f>AA700+AE700</f>
        <v>207043.20000000001</v>
      </c>
      <c r="AG700" s="474" t="s">
        <v>47</v>
      </c>
      <c r="AH700" s="474"/>
      <c r="AI700" s="474">
        <v>30</v>
      </c>
      <c r="AJ700" s="484" t="s">
        <v>3148</v>
      </c>
      <c r="AK700" s="474" t="s">
        <v>1117</v>
      </c>
      <c r="AL700" s="483" t="s">
        <v>3149</v>
      </c>
      <c r="AM700" s="474" t="s">
        <v>52</v>
      </c>
      <c r="AN700" s="474" t="s">
        <v>1074</v>
      </c>
      <c r="AO700" s="474"/>
      <c r="AP700" s="482"/>
      <c r="AQ700" s="482" t="s">
        <v>37</v>
      </c>
      <c r="AR700" s="482"/>
      <c r="AS700" s="472" t="s">
        <v>1076</v>
      </c>
      <c r="AT700" s="436" t="s">
        <v>1076</v>
      </c>
      <c r="AU700" s="436" t="s">
        <v>1076</v>
      </c>
      <c r="AV700" s="478">
        <v>0.73</v>
      </c>
    </row>
    <row r="701" spans="1:48" s="471" customFormat="1">
      <c r="A701" s="472"/>
      <c r="B701" s="449"/>
      <c r="C701" s="449"/>
      <c r="D701" s="501" t="s">
        <v>2901</v>
      </c>
      <c r="E701" s="429"/>
      <c r="F701" s="501"/>
      <c r="G701" s="501"/>
      <c r="H701" s="501"/>
      <c r="I701" s="501" t="s">
        <v>3004</v>
      </c>
      <c r="J701" s="513"/>
      <c r="K701" s="501" t="s">
        <v>4696</v>
      </c>
      <c r="L701" s="501" t="s">
        <v>3113</v>
      </c>
      <c r="M701" s="502">
        <v>44620</v>
      </c>
      <c r="N701" s="502">
        <v>44652</v>
      </c>
      <c r="O701" s="502"/>
      <c r="P701" s="502"/>
      <c r="Q701" s="502"/>
      <c r="R701" s="502"/>
      <c r="S701" s="501" t="s">
        <v>2904</v>
      </c>
      <c r="T701" s="501">
        <v>60</v>
      </c>
      <c r="U701" s="501">
        <v>49204132</v>
      </c>
      <c r="V701" s="501" t="s">
        <v>986</v>
      </c>
      <c r="W701" s="501">
        <v>360</v>
      </c>
      <c r="X701" s="505">
        <v>728</v>
      </c>
      <c r="Y701" s="491">
        <f>W701*X701</f>
        <v>262080</v>
      </c>
      <c r="Z701" s="478">
        <v>0.79</v>
      </c>
      <c r="AA701" s="492">
        <f>Z701*Y701</f>
        <v>207043.20000000001</v>
      </c>
      <c r="AB701" s="492"/>
      <c r="AC701" s="446">
        <v>0</v>
      </c>
      <c r="AD701" s="490"/>
      <c r="AE701" s="482"/>
      <c r="AF701" s="580">
        <f>AA701+AE701</f>
        <v>207043.20000000001</v>
      </c>
      <c r="AG701" s="474" t="s">
        <v>47</v>
      </c>
      <c r="AH701" s="474"/>
      <c r="AI701" s="474">
        <v>30</v>
      </c>
      <c r="AJ701" s="484" t="s">
        <v>3148</v>
      </c>
      <c r="AK701" s="474" t="s">
        <v>1117</v>
      </c>
      <c r="AL701" s="483" t="s">
        <v>3149</v>
      </c>
      <c r="AM701" s="474" t="s">
        <v>52</v>
      </c>
      <c r="AN701" s="474" t="s">
        <v>1074</v>
      </c>
      <c r="AO701" s="474"/>
      <c r="AP701" s="482"/>
      <c r="AQ701" s="482" t="s">
        <v>37</v>
      </c>
      <c r="AR701" s="482"/>
      <c r="AS701" s="472" t="s">
        <v>1076</v>
      </c>
      <c r="AT701" s="436" t="s">
        <v>1076</v>
      </c>
      <c r="AU701" s="436" t="s">
        <v>1076</v>
      </c>
      <c r="AV701" s="478">
        <v>0.73</v>
      </c>
    </row>
    <row r="702" spans="1:48" s="471" customFormat="1">
      <c r="A702" s="472"/>
      <c r="B702" s="449"/>
      <c r="C702" s="449"/>
      <c r="D702" s="501" t="s">
        <v>2901</v>
      </c>
      <c r="E702" s="429"/>
      <c r="F702" s="501"/>
      <c r="G702" s="501"/>
      <c r="H702" s="501"/>
      <c r="I702" s="501" t="s">
        <v>3004</v>
      </c>
      <c r="J702" s="513"/>
      <c r="K702" s="501" t="s">
        <v>4697</v>
      </c>
      <c r="L702" s="501" t="s">
        <v>3113</v>
      </c>
      <c r="M702" s="502">
        <v>44620</v>
      </c>
      <c r="N702" s="502">
        <v>44652</v>
      </c>
      <c r="O702" s="502"/>
      <c r="P702" s="502"/>
      <c r="Q702" s="502"/>
      <c r="R702" s="502"/>
      <c r="S702" s="501" t="s">
        <v>2904</v>
      </c>
      <c r="T702" s="501">
        <v>60</v>
      </c>
      <c r="U702" s="501">
        <v>49204132</v>
      </c>
      <c r="V702" s="501" t="s">
        <v>986</v>
      </c>
      <c r="W702" s="501">
        <v>360</v>
      </c>
      <c r="X702" s="505">
        <v>728</v>
      </c>
      <c r="Y702" s="491">
        <f>W702*X702</f>
        <v>262080</v>
      </c>
      <c r="Z702" s="478">
        <v>0.79</v>
      </c>
      <c r="AA702" s="492">
        <f>Z702*Y702</f>
        <v>207043.20000000001</v>
      </c>
      <c r="AB702" s="492"/>
      <c r="AC702" s="446">
        <v>0</v>
      </c>
      <c r="AD702" s="490"/>
      <c r="AE702" s="482"/>
      <c r="AF702" s="580">
        <f>AA702+AE702</f>
        <v>207043.20000000001</v>
      </c>
      <c r="AG702" s="474" t="s">
        <v>47</v>
      </c>
      <c r="AH702" s="474"/>
      <c r="AI702" s="474">
        <v>30</v>
      </c>
      <c r="AJ702" s="484" t="s">
        <v>3148</v>
      </c>
      <c r="AK702" s="474" t="s">
        <v>1117</v>
      </c>
      <c r="AL702" s="483" t="s">
        <v>3149</v>
      </c>
      <c r="AM702" s="474" t="s">
        <v>52</v>
      </c>
      <c r="AN702" s="474" t="s">
        <v>1074</v>
      </c>
      <c r="AO702" s="474"/>
      <c r="AP702" s="482"/>
      <c r="AQ702" s="482" t="s">
        <v>37</v>
      </c>
      <c r="AR702" s="482"/>
      <c r="AS702" s="472" t="s">
        <v>1076</v>
      </c>
      <c r="AT702" s="436" t="s">
        <v>1076</v>
      </c>
      <c r="AU702" s="436" t="s">
        <v>1076</v>
      </c>
      <c r="AV702" s="478">
        <v>0.73</v>
      </c>
    </row>
    <row r="703" spans="1:48" s="471" customFormat="1">
      <c r="A703" s="472"/>
      <c r="B703" s="449" t="s">
        <v>1211</v>
      </c>
      <c r="C703" s="449" t="s">
        <v>1211</v>
      </c>
      <c r="D703" s="501" t="s">
        <v>2901</v>
      </c>
      <c r="E703" s="429" t="s">
        <v>4690</v>
      </c>
      <c r="F703" s="501"/>
      <c r="G703" s="501"/>
      <c r="H703" s="501"/>
      <c r="I703" s="501" t="s">
        <v>3004</v>
      </c>
      <c r="J703" s="513"/>
      <c r="K703" s="501" t="s">
        <v>4699</v>
      </c>
      <c r="L703" s="501" t="s">
        <v>2947</v>
      </c>
      <c r="M703" s="502">
        <v>44664</v>
      </c>
      <c r="N703" s="502">
        <v>44835</v>
      </c>
      <c r="O703" s="502"/>
      <c r="P703" s="502"/>
      <c r="Q703" s="502"/>
      <c r="R703" s="502"/>
      <c r="S703" s="501" t="s">
        <v>2904</v>
      </c>
      <c r="T703" s="501">
        <v>60</v>
      </c>
      <c r="U703" s="501">
        <v>49204132</v>
      </c>
      <c r="V703" s="501" t="s">
        <v>1223</v>
      </c>
      <c r="W703" s="501">
        <v>360</v>
      </c>
      <c r="X703" s="505">
        <v>6656</v>
      </c>
      <c r="Y703" s="477">
        <f t="shared" ref="Y703:Y766" si="120">W703*X703</f>
        <v>2396160</v>
      </c>
      <c r="Z703" s="478">
        <v>0.8</v>
      </c>
      <c r="AA703" s="479">
        <f t="shared" ref="AA703:AA766" si="121">Z703*Y703</f>
        <v>1916928</v>
      </c>
      <c r="AB703" s="479"/>
      <c r="AC703" s="446">
        <v>0</v>
      </c>
      <c r="AD703" s="490"/>
      <c r="AE703" s="482"/>
      <c r="AF703" s="580">
        <f t="shared" ref="AF703:AF766" si="122">AA703+AE703</f>
        <v>1916928</v>
      </c>
      <c r="AG703" s="474" t="s">
        <v>1071</v>
      </c>
      <c r="AH703" s="474"/>
      <c r="AI703" s="474">
        <v>60</v>
      </c>
      <c r="AJ703" s="484" t="s">
        <v>2277</v>
      </c>
      <c r="AK703" s="474" t="s">
        <v>1084</v>
      </c>
      <c r="AL703" s="483" t="s">
        <v>2948</v>
      </c>
      <c r="AM703" s="474" t="s">
        <v>52</v>
      </c>
      <c r="AN703" s="474" t="s">
        <v>1074</v>
      </c>
      <c r="AO703" s="474"/>
      <c r="AP703" s="482"/>
      <c r="AQ703" s="482" t="s">
        <v>37</v>
      </c>
      <c r="AR703" s="482" t="s">
        <v>2953</v>
      </c>
      <c r="AS703" s="472" t="s">
        <v>1075</v>
      </c>
      <c r="AT703" s="436" t="s">
        <v>1087</v>
      </c>
      <c r="AU703" s="436" t="s">
        <v>1076</v>
      </c>
      <c r="AV703" s="478">
        <v>0.73</v>
      </c>
    </row>
    <row r="704" spans="1:48" s="471" customFormat="1">
      <c r="A704" s="472"/>
      <c r="B704" s="449" t="s">
        <v>1211</v>
      </c>
      <c r="C704" s="449" t="s">
        <v>1211</v>
      </c>
      <c r="D704" s="501" t="s">
        <v>2901</v>
      </c>
      <c r="E704" s="429" t="s">
        <v>4690</v>
      </c>
      <c r="F704" s="501"/>
      <c r="G704" s="501"/>
      <c r="H704" s="501"/>
      <c r="I704" s="501" t="s">
        <v>3004</v>
      </c>
      <c r="J704" s="513"/>
      <c r="K704" s="501" t="s">
        <v>4700</v>
      </c>
      <c r="L704" s="501" t="s">
        <v>2947</v>
      </c>
      <c r="M704" s="502">
        <v>44664</v>
      </c>
      <c r="N704" s="502">
        <v>44866</v>
      </c>
      <c r="O704" s="502"/>
      <c r="P704" s="502"/>
      <c r="Q704" s="502"/>
      <c r="R704" s="502"/>
      <c r="S704" s="501" t="s">
        <v>2904</v>
      </c>
      <c r="T704" s="501">
        <v>60</v>
      </c>
      <c r="U704" s="501">
        <v>49204132</v>
      </c>
      <c r="V704" s="501" t="s">
        <v>1223</v>
      </c>
      <c r="W704" s="501">
        <v>360</v>
      </c>
      <c r="X704" s="505">
        <v>8320</v>
      </c>
      <c r="Y704" s="477">
        <f t="shared" si="120"/>
        <v>2995200</v>
      </c>
      <c r="Z704" s="478">
        <v>0.8</v>
      </c>
      <c r="AA704" s="479">
        <f t="shared" si="121"/>
        <v>2396160</v>
      </c>
      <c r="AB704" s="479"/>
      <c r="AC704" s="446">
        <v>0</v>
      </c>
      <c r="AD704" s="490"/>
      <c r="AE704" s="482"/>
      <c r="AF704" s="580">
        <f t="shared" si="122"/>
        <v>2396160</v>
      </c>
      <c r="AG704" s="474" t="s">
        <v>1071</v>
      </c>
      <c r="AH704" s="474"/>
      <c r="AI704" s="474">
        <v>60</v>
      </c>
      <c r="AJ704" s="484" t="s">
        <v>2277</v>
      </c>
      <c r="AK704" s="474" t="s">
        <v>1084</v>
      </c>
      <c r="AL704" s="483" t="s">
        <v>2948</v>
      </c>
      <c r="AM704" s="474" t="s">
        <v>52</v>
      </c>
      <c r="AN704" s="474" t="s">
        <v>1074</v>
      </c>
      <c r="AO704" s="474"/>
      <c r="AP704" s="482"/>
      <c r="AQ704" s="482" t="s">
        <v>37</v>
      </c>
      <c r="AR704" s="482" t="s">
        <v>2953</v>
      </c>
      <c r="AS704" s="472" t="s">
        <v>1075</v>
      </c>
      <c r="AT704" s="436" t="s">
        <v>1087</v>
      </c>
      <c r="AU704" s="436" t="s">
        <v>1076</v>
      </c>
      <c r="AV704" s="478">
        <v>0.73</v>
      </c>
    </row>
    <row r="705" spans="1:48" s="471" customFormat="1">
      <c r="A705" s="472"/>
      <c r="B705" s="449" t="s">
        <v>1211</v>
      </c>
      <c r="C705" s="449" t="s">
        <v>1211</v>
      </c>
      <c r="D705" s="501" t="s">
        <v>2901</v>
      </c>
      <c r="E705" s="429" t="s">
        <v>4690</v>
      </c>
      <c r="F705" s="501"/>
      <c r="G705" s="501"/>
      <c r="H705" s="501"/>
      <c r="I705" s="501" t="s">
        <v>3004</v>
      </c>
      <c r="J705" s="513"/>
      <c r="K705" s="501" t="s">
        <v>4701</v>
      </c>
      <c r="L705" s="501" t="s">
        <v>2947</v>
      </c>
      <c r="M705" s="502">
        <v>44664</v>
      </c>
      <c r="N705" s="502">
        <v>44896</v>
      </c>
      <c r="O705" s="502"/>
      <c r="P705" s="502"/>
      <c r="Q705" s="502"/>
      <c r="R705" s="502"/>
      <c r="S705" s="501" t="s">
        <v>2904</v>
      </c>
      <c r="T705" s="501">
        <v>60</v>
      </c>
      <c r="U705" s="501">
        <v>49204132</v>
      </c>
      <c r="V705" s="501" t="s">
        <v>1223</v>
      </c>
      <c r="W705" s="501">
        <v>360</v>
      </c>
      <c r="X705" s="505">
        <v>8320</v>
      </c>
      <c r="Y705" s="477">
        <f t="shared" si="120"/>
        <v>2995200</v>
      </c>
      <c r="Z705" s="478">
        <v>0.8</v>
      </c>
      <c r="AA705" s="479">
        <f t="shared" si="121"/>
        <v>2396160</v>
      </c>
      <c r="AB705" s="479"/>
      <c r="AC705" s="446">
        <v>0</v>
      </c>
      <c r="AD705" s="490"/>
      <c r="AE705" s="482"/>
      <c r="AF705" s="580">
        <f t="shared" si="122"/>
        <v>2396160</v>
      </c>
      <c r="AG705" s="474" t="s">
        <v>1071</v>
      </c>
      <c r="AH705" s="474"/>
      <c r="AI705" s="474">
        <v>60</v>
      </c>
      <c r="AJ705" s="484" t="s">
        <v>2277</v>
      </c>
      <c r="AK705" s="474" t="s">
        <v>1084</v>
      </c>
      <c r="AL705" s="483" t="s">
        <v>2948</v>
      </c>
      <c r="AM705" s="474" t="s">
        <v>52</v>
      </c>
      <c r="AN705" s="474" t="s">
        <v>1074</v>
      </c>
      <c r="AO705" s="474"/>
      <c r="AP705" s="482"/>
      <c r="AQ705" s="482" t="s">
        <v>37</v>
      </c>
      <c r="AR705" s="482" t="s">
        <v>2953</v>
      </c>
      <c r="AS705" s="472" t="s">
        <v>1075</v>
      </c>
      <c r="AT705" s="436" t="s">
        <v>1087</v>
      </c>
      <c r="AU705" s="436" t="s">
        <v>1076</v>
      </c>
      <c r="AV705" s="478">
        <v>0.73</v>
      </c>
    </row>
    <row r="706" spans="1:48" s="471" customFormat="1">
      <c r="A706" s="472"/>
      <c r="B706" s="449" t="s">
        <v>1211</v>
      </c>
      <c r="C706" s="449" t="s">
        <v>1211</v>
      </c>
      <c r="D706" s="501" t="s">
        <v>2901</v>
      </c>
      <c r="E706" s="429" t="s">
        <v>4690</v>
      </c>
      <c r="F706" s="501"/>
      <c r="G706" s="501"/>
      <c r="H706" s="501"/>
      <c r="I706" s="501" t="s">
        <v>3004</v>
      </c>
      <c r="J706" s="513"/>
      <c r="K706" s="501" t="s">
        <v>4702</v>
      </c>
      <c r="L706" s="501" t="s">
        <v>2947</v>
      </c>
      <c r="M706" s="502">
        <v>44664</v>
      </c>
      <c r="N706" s="502">
        <v>44743</v>
      </c>
      <c r="O706" s="502"/>
      <c r="P706" s="502"/>
      <c r="Q706" s="502"/>
      <c r="R706" s="502"/>
      <c r="S706" s="501" t="s">
        <v>2904</v>
      </c>
      <c r="T706" s="501">
        <v>60</v>
      </c>
      <c r="U706" s="501">
        <v>49204132</v>
      </c>
      <c r="V706" s="501" t="s">
        <v>1223</v>
      </c>
      <c r="W706" s="501">
        <v>360</v>
      </c>
      <c r="X706" s="505">
        <v>6656</v>
      </c>
      <c r="Y706" s="477">
        <f t="shared" si="120"/>
        <v>2396160</v>
      </c>
      <c r="Z706" s="478">
        <v>0.8</v>
      </c>
      <c r="AA706" s="479">
        <f t="shared" si="121"/>
        <v>1916928</v>
      </c>
      <c r="AB706" s="479"/>
      <c r="AC706" s="446">
        <v>0</v>
      </c>
      <c r="AD706" s="490"/>
      <c r="AE706" s="482"/>
      <c r="AF706" s="580">
        <f t="shared" si="122"/>
        <v>1916928</v>
      </c>
      <c r="AG706" s="474" t="s">
        <v>1071</v>
      </c>
      <c r="AH706" s="474"/>
      <c r="AI706" s="474">
        <v>60</v>
      </c>
      <c r="AJ706" s="484" t="s">
        <v>2277</v>
      </c>
      <c r="AK706" s="474" t="s">
        <v>1084</v>
      </c>
      <c r="AL706" s="483" t="s">
        <v>2948</v>
      </c>
      <c r="AM706" s="474" t="s">
        <v>52</v>
      </c>
      <c r="AN706" s="474" t="s">
        <v>1074</v>
      </c>
      <c r="AO706" s="474"/>
      <c r="AP706" s="482"/>
      <c r="AQ706" s="482" t="s">
        <v>37</v>
      </c>
      <c r="AR706" s="482" t="s">
        <v>2953</v>
      </c>
      <c r="AS706" s="472" t="s">
        <v>1075</v>
      </c>
      <c r="AT706" s="436" t="s">
        <v>1087</v>
      </c>
      <c r="AU706" s="436" t="s">
        <v>1076</v>
      </c>
      <c r="AV706" s="478">
        <v>0.73</v>
      </c>
    </row>
    <row r="707" spans="1:48" s="471" customFormat="1">
      <c r="A707" s="472"/>
      <c r="B707" s="449" t="s">
        <v>1211</v>
      </c>
      <c r="C707" s="449" t="s">
        <v>1211</v>
      </c>
      <c r="D707" s="501" t="s">
        <v>2901</v>
      </c>
      <c r="E707" s="429" t="s">
        <v>4690</v>
      </c>
      <c r="F707" s="501"/>
      <c r="G707" s="501"/>
      <c r="H707" s="501"/>
      <c r="I707" s="501" t="s">
        <v>3004</v>
      </c>
      <c r="J707" s="513"/>
      <c r="K707" s="501" t="s">
        <v>4703</v>
      </c>
      <c r="L707" s="501" t="s">
        <v>2947</v>
      </c>
      <c r="M707" s="502">
        <v>44664</v>
      </c>
      <c r="N707" s="502">
        <v>44774</v>
      </c>
      <c r="O707" s="502"/>
      <c r="P707" s="502"/>
      <c r="Q707" s="502"/>
      <c r="R707" s="502"/>
      <c r="S707" s="501" t="s">
        <v>2904</v>
      </c>
      <c r="T707" s="501">
        <v>60</v>
      </c>
      <c r="U707" s="501">
        <v>49204132</v>
      </c>
      <c r="V707" s="501" t="s">
        <v>1223</v>
      </c>
      <c r="W707" s="501">
        <v>360</v>
      </c>
      <c r="X707" s="505">
        <v>6656</v>
      </c>
      <c r="Y707" s="477">
        <f t="shared" si="120"/>
        <v>2396160</v>
      </c>
      <c r="Z707" s="478">
        <v>0.8</v>
      </c>
      <c r="AA707" s="479">
        <f t="shared" si="121"/>
        <v>1916928</v>
      </c>
      <c r="AB707" s="479"/>
      <c r="AC707" s="446">
        <v>0</v>
      </c>
      <c r="AD707" s="490"/>
      <c r="AE707" s="482"/>
      <c r="AF707" s="580">
        <f t="shared" si="122"/>
        <v>1916928</v>
      </c>
      <c r="AG707" s="474" t="s">
        <v>1071</v>
      </c>
      <c r="AH707" s="474"/>
      <c r="AI707" s="474">
        <v>60</v>
      </c>
      <c r="AJ707" s="484" t="s">
        <v>2277</v>
      </c>
      <c r="AK707" s="474" t="s">
        <v>1084</v>
      </c>
      <c r="AL707" s="483" t="s">
        <v>2948</v>
      </c>
      <c r="AM707" s="474" t="s">
        <v>52</v>
      </c>
      <c r="AN707" s="474" t="s">
        <v>1074</v>
      </c>
      <c r="AO707" s="474"/>
      <c r="AP707" s="482"/>
      <c r="AQ707" s="482" t="s">
        <v>37</v>
      </c>
      <c r="AR707" s="482" t="s">
        <v>2953</v>
      </c>
      <c r="AS707" s="472" t="s">
        <v>1075</v>
      </c>
      <c r="AT707" s="436" t="s">
        <v>1087</v>
      </c>
      <c r="AU707" s="436" t="s">
        <v>1076</v>
      </c>
      <c r="AV707" s="478">
        <v>0.73</v>
      </c>
    </row>
    <row r="708" spans="1:48" s="471" customFormat="1">
      <c r="A708" s="472"/>
      <c r="B708" s="449" t="s">
        <v>1211</v>
      </c>
      <c r="C708" s="449" t="s">
        <v>1211</v>
      </c>
      <c r="D708" s="501" t="s">
        <v>2901</v>
      </c>
      <c r="E708" s="429" t="s">
        <v>4690</v>
      </c>
      <c r="F708" s="501"/>
      <c r="G708" s="501"/>
      <c r="H708" s="501"/>
      <c r="I708" s="501" t="s">
        <v>3004</v>
      </c>
      <c r="J708" s="513"/>
      <c r="K708" s="501" t="s">
        <v>4704</v>
      </c>
      <c r="L708" s="501" t="s">
        <v>2947</v>
      </c>
      <c r="M708" s="502">
        <v>44664</v>
      </c>
      <c r="N708" s="502">
        <v>44805</v>
      </c>
      <c r="O708" s="502"/>
      <c r="P708" s="502"/>
      <c r="Q708" s="502"/>
      <c r="R708" s="502"/>
      <c r="S708" s="501" t="s">
        <v>2904</v>
      </c>
      <c r="T708" s="501">
        <v>60</v>
      </c>
      <c r="U708" s="501">
        <v>49204132</v>
      </c>
      <c r="V708" s="501" t="s">
        <v>1223</v>
      </c>
      <c r="W708" s="501">
        <v>360</v>
      </c>
      <c r="X708" s="505">
        <v>6656</v>
      </c>
      <c r="Y708" s="477">
        <f t="shared" si="120"/>
        <v>2396160</v>
      </c>
      <c r="Z708" s="478">
        <v>0.8</v>
      </c>
      <c r="AA708" s="479">
        <f t="shared" si="121"/>
        <v>1916928</v>
      </c>
      <c r="AB708" s="479"/>
      <c r="AC708" s="446">
        <v>0</v>
      </c>
      <c r="AD708" s="490"/>
      <c r="AE708" s="482"/>
      <c r="AF708" s="580">
        <f t="shared" si="122"/>
        <v>1916928</v>
      </c>
      <c r="AG708" s="474" t="s">
        <v>1071</v>
      </c>
      <c r="AH708" s="474"/>
      <c r="AI708" s="474">
        <v>60</v>
      </c>
      <c r="AJ708" s="484" t="s">
        <v>2277</v>
      </c>
      <c r="AK708" s="474" t="s">
        <v>1084</v>
      </c>
      <c r="AL708" s="483" t="s">
        <v>2948</v>
      </c>
      <c r="AM708" s="474" t="s">
        <v>52</v>
      </c>
      <c r="AN708" s="474" t="s">
        <v>1074</v>
      </c>
      <c r="AO708" s="474"/>
      <c r="AP708" s="482"/>
      <c r="AQ708" s="482" t="s">
        <v>37</v>
      </c>
      <c r="AR708" s="482" t="s">
        <v>2953</v>
      </c>
      <c r="AS708" s="472" t="s">
        <v>1075</v>
      </c>
      <c r="AT708" s="436" t="s">
        <v>1087</v>
      </c>
      <c r="AU708" s="436" t="s">
        <v>1076</v>
      </c>
      <c r="AV708" s="478">
        <v>0.73</v>
      </c>
    </row>
    <row r="709" spans="1:48" s="471" customFormat="1">
      <c r="A709" s="472"/>
      <c r="B709" s="449" t="s">
        <v>1211</v>
      </c>
      <c r="C709" s="449" t="s">
        <v>1211</v>
      </c>
      <c r="D709" s="501" t="s">
        <v>2901</v>
      </c>
      <c r="E709" s="429" t="s">
        <v>4690</v>
      </c>
      <c r="F709" s="501"/>
      <c r="G709" s="501"/>
      <c r="H709" s="501"/>
      <c r="I709" s="501" t="s">
        <v>3004</v>
      </c>
      <c r="J709" s="513"/>
      <c r="K709" s="501" t="s">
        <v>4705</v>
      </c>
      <c r="L709" s="501" t="s">
        <v>2947</v>
      </c>
      <c r="M709" s="502">
        <v>44664</v>
      </c>
      <c r="N709" s="502">
        <v>44671</v>
      </c>
      <c r="O709" s="502"/>
      <c r="P709" s="502"/>
      <c r="Q709" s="502"/>
      <c r="R709" s="502"/>
      <c r="S709" s="501" t="s">
        <v>2904</v>
      </c>
      <c r="T709" s="501">
        <v>60</v>
      </c>
      <c r="U709" s="501">
        <v>49204132</v>
      </c>
      <c r="V709" s="501" t="s">
        <v>1223</v>
      </c>
      <c r="W709" s="501">
        <v>360</v>
      </c>
      <c r="X709" s="505">
        <v>9984</v>
      </c>
      <c r="Y709" s="477">
        <f t="shared" si="120"/>
        <v>3594240</v>
      </c>
      <c r="Z709" s="478">
        <v>0.8</v>
      </c>
      <c r="AA709" s="479">
        <f t="shared" si="121"/>
        <v>2875392</v>
      </c>
      <c r="AB709" s="479"/>
      <c r="AC709" s="446">
        <v>0</v>
      </c>
      <c r="AD709" s="490"/>
      <c r="AE709" s="482"/>
      <c r="AF709" s="580">
        <f t="shared" si="122"/>
        <v>2875392</v>
      </c>
      <c r="AG709" s="474" t="s">
        <v>1071</v>
      </c>
      <c r="AH709" s="474"/>
      <c r="AI709" s="474">
        <v>60</v>
      </c>
      <c r="AJ709" s="484" t="s">
        <v>2277</v>
      </c>
      <c r="AK709" s="474" t="s">
        <v>1084</v>
      </c>
      <c r="AL709" s="483" t="s">
        <v>2948</v>
      </c>
      <c r="AM709" s="474" t="s">
        <v>52</v>
      </c>
      <c r="AN709" s="474" t="s">
        <v>1074</v>
      </c>
      <c r="AO709" s="474"/>
      <c r="AP709" s="482"/>
      <c r="AQ709" s="482" t="s">
        <v>37</v>
      </c>
      <c r="AR709" s="482" t="s">
        <v>2953</v>
      </c>
      <c r="AS709" s="472" t="s">
        <v>1075</v>
      </c>
      <c r="AT709" s="436" t="s">
        <v>1087</v>
      </c>
      <c r="AU709" s="436" t="s">
        <v>1076</v>
      </c>
      <c r="AV709" s="478">
        <v>0.73</v>
      </c>
    </row>
    <row r="710" spans="1:48" s="471" customFormat="1">
      <c r="A710" s="472"/>
      <c r="B710" s="449" t="s">
        <v>1211</v>
      </c>
      <c r="C710" s="449" t="s">
        <v>1211</v>
      </c>
      <c r="D710" s="501" t="s">
        <v>2901</v>
      </c>
      <c r="E710" s="429" t="s">
        <v>4690</v>
      </c>
      <c r="F710" s="501"/>
      <c r="G710" s="501"/>
      <c r="H710" s="501"/>
      <c r="I710" s="501" t="s">
        <v>3004</v>
      </c>
      <c r="J710" s="513"/>
      <c r="K710" s="501" t="s">
        <v>3005</v>
      </c>
      <c r="L710" s="501" t="s">
        <v>2947</v>
      </c>
      <c r="M710" s="502">
        <v>44664</v>
      </c>
      <c r="N710" s="502">
        <v>44835</v>
      </c>
      <c r="O710" s="502"/>
      <c r="P710" s="502"/>
      <c r="Q710" s="502"/>
      <c r="R710" s="502"/>
      <c r="S710" s="501" t="s">
        <v>2904</v>
      </c>
      <c r="T710" s="501">
        <v>60</v>
      </c>
      <c r="U710" s="501">
        <v>49405140</v>
      </c>
      <c r="V710" s="501" t="s">
        <v>973</v>
      </c>
      <c r="W710" s="501">
        <v>400</v>
      </c>
      <c r="X710" s="505">
        <v>9984</v>
      </c>
      <c r="Y710" s="477">
        <f t="shared" si="120"/>
        <v>3993600</v>
      </c>
      <c r="Z710" s="478">
        <v>0.55000000000000004</v>
      </c>
      <c r="AA710" s="479">
        <f t="shared" si="121"/>
        <v>2196480</v>
      </c>
      <c r="AB710" s="479"/>
      <c r="AC710" s="446">
        <v>0</v>
      </c>
      <c r="AD710" s="490"/>
      <c r="AE710" s="482"/>
      <c r="AF710" s="580">
        <f t="shared" si="122"/>
        <v>2196480</v>
      </c>
      <c r="AG710" s="474" t="s">
        <v>1071</v>
      </c>
      <c r="AH710" s="474"/>
      <c r="AI710" s="474">
        <v>60</v>
      </c>
      <c r="AJ710" s="484" t="s">
        <v>2277</v>
      </c>
      <c r="AK710" s="474" t="s">
        <v>1084</v>
      </c>
      <c r="AL710" s="483" t="s">
        <v>2948</v>
      </c>
      <c r="AM710" s="474" t="s">
        <v>52</v>
      </c>
      <c r="AN710" s="474" t="s">
        <v>1074</v>
      </c>
      <c r="AO710" s="474"/>
      <c r="AP710" s="482"/>
      <c r="AQ710" s="482" t="s">
        <v>37</v>
      </c>
      <c r="AR710" s="482" t="s">
        <v>2953</v>
      </c>
      <c r="AS710" s="472" t="s">
        <v>1075</v>
      </c>
      <c r="AT710" s="436" t="s">
        <v>1087</v>
      </c>
      <c r="AU710" s="436" t="s">
        <v>1076</v>
      </c>
      <c r="AV710" s="478">
        <v>0.73</v>
      </c>
    </row>
    <row r="711" spans="1:48" s="471" customFormat="1">
      <c r="A711" s="472"/>
      <c r="B711" s="449" t="s">
        <v>1211</v>
      </c>
      <c r="C711" s="449" t="s">
        <v>1211</v>
      </c>
      <c r="D711" s="501" t="s">
        <v>2901</v>
      </c>
      <c r="E711" s="429" t="s">
        <v>4690</v>
      </c>
      <c r="F711" s="501"/>
      <c r="G711" s="501"/>
      <c r="H711" s="501"/>
      <c r="I711" s="501" t="s">
        <v>3004</v>
      </c>
      <c r="J711" s="513"/>
      <c r="K711" s="501" t="s">
        <v>3039</v>
      </c>
      <c r="L711" s="501" t="s">
        <v>2947</v>
      </c>
      <c r="M711" s="502">
        <v>44664</v>
      </c>
      <c r="N711" s="502">
        <v>44866</v>
      </c>
      <c r="O711" s="502"/>
      <c r="P711" s="502"/>
      <c r="Q711" s="502"/>
      <c r="R711" s="502"/>
      <c r="S711" s="501" t="s">
        <v>2904</v>
      </c>
      <c r="T711" s="501">
        <v>60</v>
      </c>
      <c r="U711" s="501">
        <v>49405140</v>
      </c>
      <c r="V711" s="501" t="s">
        <v>973</v>
      </c>
      <c r="W711" s="501">
        <v>400</v>
      </c>
      <c r="X711" s="505">
        <v>9984</v>
      </c>
      <c r="Y711" s="477">
        <f t="shared" si="120"/>
        <v>3993600</v>
      </c>
      <c r="Z711" s="478">
        <v>0.55000000000000004</v>
      </c>
      <c r="AA711" s="479">
        <f t="shared" si="121"/>
        <v>2196480</v>
      </c>
      <c r="AB711" s="479"/>
      <c r="AC711" s="446">
        <v>0</v>
      </c>
      <c r="AD711" s="490"/>
      <c r="AE711" s="482"/>
      <c r="AF711" s="580">
        <f t="shared" si="122"/>
        <v>2196480</v>
      </c>
      <c r="AG711" s="474" t="s">
        <v>1071</v>
      </c>
      <c r="AH711" s="474"/>
      <c r="AI711" s="474">
        <v>60</v>
      </c>
      <c r="AJ711" s="484" t="s">
        <v>2277</v>
      </c>
      <c r="AK711" s="474" t="s">
        <v>1084</v>
      </c>
      <c r="AL711" s="483" t="s">
        <v>2948</v>
      </c>
      <c r="AM711" s="474" t="s">
        <v>52</v>
      </c>
      <c r="AN711" s="474" t="s">
        <v>1074</v>
      </c>
      <c r="AO711" s="474"/>
      <c r="AP711" s="482"/>
      <c r="AQ711" s="482" t="s">
        <v>37</v>
      </c>
      <c r="AR711" s="482" t="s">
        <v>2953</v>
      </c>
      <c r="AS711" s="472" t="s">
        <v>1075</v>
      </c>
      <c r="AT711" s="436" t="s">
        <v>1087</v>
      </c>
      <c r="AU711" s="436" t="s">
        <v>1076</v>
      </c>
      <c r="AV711" s="478">
        <v>0.73</v>
      </c>
    </row>
    <row r="712" spans="1:48" s="471" customFormat="1">
      <c r="A712" s="472"/>
      <c r="B712" s="449" t="s">
        <v>1211</v>
      </c>
      <c r="C712" s="449" t="s">
        <v>1211</v>
      </c>
      <c r="D712" s="501" t="s">
        <v>2901</v>
      </c>
      <c r="E712" s="429" t="s">
        <v>4690</v>
      </c>
      <c r="F712" s="501"/>
      <c r="G712" s="501"/>
      <c r="H712" s="501"/>
      <c r="I712" s="501" t="s">
        <v>3004</v>
      </c>
      <c r="J712" s="513"/>
      <c r="K712" s="501" t="s">
        <v>3157</v>
      </c>
      <c r="L712" s="501" t="s">
        <v>2947</v>
      </c>
      <c r="M712" s="502">
        <v>44664</v>
      </c>
      <c r="N712" s="502">
        <v>44896</v>
      </c>
      <c r="O712" s="502"/>
      <c r="P712" s="502"/>
      <c r="Q712" s="502"/>
      <c r="R712" s="502"/>
      <c r="S712" s="501" t="s">
        <v>2904</v>
      </c>
      <c r="T712" s="501">
        <v>60</v>
      </c>
      <c r="U712" s="501">
        <v>49405140</v>
      </c>
      <c r="V712" s="501" t="s">
        <v>973</v>
      </c>
      <c r="W712" s="501">
        <v>400</v>
      </c>
      <c r="X712" s="505">
        <v>11648</v>
      </c>
      <c r="Y712" s="477">
        <f t="shared" si="120"/>
        <v>4659200</v>
      </c>
      <c r="Z712" s="478">
        <v>0.55000000000000004</v>
      </c>
      <c r="AA712" s="479">
        <f t="shared" si="121"/>
        <v>2562560</v>
      </c>
      <c r="AB712" s="479"/>
      <c r="AC712" s="446">
        <v>0</v>
      </c>
      <c r="AD712" s="490"/>
      <c r="AE712" s="482"/>
      <c r="AF712" s="580">
        <f t="shared" si="122"/>
        <v>2562560</v>
      </c>
      <c r="AG712" s="474" t="s">
        <v>1071</v>
      </c>
      <c r="AH712" s="474"/>
      <c r="AI712" s="474">
        <v>60</v>
      </c>
      <c r="AJ712" s="484" t="s">
        <v>2277</v>
      </c>
      <c r="AK712" s="474" t="s">
        <v>1084</v>
      </c>
      <c r="AL712" s="483" t="s">
        <v>2948</v>
      </c>
      <c r="AM712" s="474" t="s">
        <v>52</v>
      </c>
      <c r="AN712" s="474" t="s">
        <v>1074</v>
      </c>
      <c r="AO712" s="474"/>
      <c r="AP712" s="482"/>
      <c r="AQ712" s="482" t="s">
        <v>37</v>
      </c>
      <c r="AR712" s="482" t="s">
        <v>2953</v>
      </c>
      <c r="AS712" s="472" t="s">
        <v>1075</v>
      </c>
      <c r="AT712" s="436" t="s">
        <v>1087</v>
      </c>
      <c r="AU712" s="436" t="s">
        <v>1076</v>
      </c>
      <c r="AV712" s="478">
        <v>0.73</v>
      </c>
    </row>
    <row r="713" spans="1:48" s="471" customFormat="1">
      <c r="A713" s="472"/>
      <c r="B713" s="449" t="s">
        <v>1211</v>
      </c>
      <c r="C713" s="449" t="s">
        <v>1211</v>
      </c>
      <c r="D713" s="501" t="s">
        <v>2901</v>
      </c>
      <c r="E713" s="429" t="s">
        <v>4690</v>
      </c>
      <c r="F713" s="501"/>
      <c r="G713" s="501"/>
      <c r="H713" s="501"/>
      <c r="I713" s="501" t="s">
        <v>3004</v>
      </c>
      <c r="J713" s="513"/>
      <c r="K713" s="501" t="s">
        <v>2987</v>
      </c>
      <c r="L713" s="501" t="s">
        <v>2947</v>
      </c>
      <c r="M713" s="502">
        <v>44664</v>
      </c>
      <c r="N713" s="502">
        <v>44743</v>
      </c>
      <c r="O713" s="502"/>
      <c r="P713" s="502"/>
      <c r="Q713" s="502"/>
      <c r="R713" s="502"/>
      <c r="S713" s="501" t="s">
        <v>2904</v>
      </c>
      <c r="T713" s="501">
        <v>60</v>
      </c>
      <c r="U713" s="501">
        <v>49405140</v>
      </c>
      <c r="V713" s="501" t="s">
        <v>973</v>
      </c>
      <c r="W713" s="501">
        <v>400</v>
      </c>
      <c r="X713" s="505">
        <v>8320</v>
      </c>
      <c r="Y713" s="477">
        <f t="shared" si="120"/>
        <v>3328000</v>
      </c>
      <c r="Z713" s="478">
        <v>0.55000000000000004</v>
      </c>
      <c r="AA713" s="479">
        <f t="shared" si="121"/>
        <v>1830400.0000000002</v>
      </c>
      <c r="AB713" s="479"/>
      <c r="AC713" s="446">
        <v>0</v>
      </c>
      <c r="AD713" s="490"/>
      <c r="AE713" s="482"/>
      <c r="AF713" s="580">
        <f t="shared" si="122"/>
        <v>1830400.0000000002</v>
      </c>
      <c r="AG713" s="474" t="s">
        <v>1071</v>
      </c>
      <c r="AH713" s="474"/>
      <c r="AI713" s="474">
        <v>60</v>
      </c>
      <c r="AJ713" s="484" t="s">
        <v>2277</v>
      </c>
      <c r="AK713" s="474" t="s">
        <v>1084</v>
      </c>
      <c r="AL713" s="483" t="s">
        <v>2948</v>
      </c>
      <c r="AM713" s="474" t="s">
        <v>52</v>
      </c>
      <c r="AN713" s="474" t="s">
        <v>1074</v>
      </c>
      <c r="AO713" s="474"/>
      <c r="AP713" s="482"/>
      <c r="AQ713" s="482" t="s">
        <v>37</v>
      </c>
      <c r="AR713" s="482" t="s">
        <v>2953</v>
      </c>
      <c r="AS713" s="472" t="s">
        <v>1075</v>
      </c>
      <c r="AT713" s="436" t="s">
        <v>1087</v>
      </c>
      <c r="AU713" s="436" t="s">
        <v>1076</v>
      </c>
      <c r="AV713" s="478">
        <v>0.73</v>
      </c>
    </row>
    <row r="714" spans="1:48" s="471" customFormat="1">
      <c r="A714" s="472"/>
      <c r="B714" s="449" t="s">
        <v>1211</v>
      </c>
      <c r="C714" s="449" t="s">
        <v>1211</v>
      </c>
      <c r="D714" s="501" t="s">
        <v>2901</v>
      </c>
      <c r="E714" s="429" t="s">
        <v>4690</v>
      </c>
      <c r="F714" s="501"/>
      <c r="G714" s="501"/>
      <c r="H714" s="501"/>
      <c r="I714" s="501" t="s">
        <v>3004</v>
      </c>
      <c r="J714" s="513"/>
      <c r="K714" s="501" t="s">
        <v>2991</v>
      </c>
      <c r="L714" s="501" t="s">
        <v>2947</v>
      </c>
      <c r="M714" s="502">
        <v>44664</v>
      </c>
      <c r="N714" s="502">
        <v>44774</v>
      </c>
      <c r="O714" s="502"/>
      <c r="P714" s="502"/>
      <c r="Q714" s="502"/>
      <c r="R714" s="502"/>
      <c r="S714" s="501" t="s">
        <v>2904</v>
      </c>
      <c r="T714" s="501">
        <v>60</v>
      </c>
      <c r="U714" s="501">
        <v>49405140</v>
      </c>
      <c r="V714" s="501" t="s">
        <v>973</v>
      </c>
      <c r="W714" s="501">
        <v>400</v>
      </c>
      <c r="X714" s="505">
        <v>8320</v>
      </c>
      <c r="Y714" s="477">
        <f t="shared" si="120"/>
        <v>3328000</v>
      </c>
      <c r="Z714" s="478">
        <v>0.55000000000000004</v>
      </c>
      <c r="AA714" s="479">
        <f t="shared" si="121"/>
        <v>1830400.0000000002</v>
      </c>
      <c r="AB714" s="479"/>
      <c r="AC714" s="446">
        <v>0</v>
      </c>
      <c r="AD714" s="490"/>
      <c r="AE714" s="482"/>
      <c r="AF714" s="580">
        <f t="shared" si="122"/>
        <v>1830400.0000000002</v>
      </c>
      <c r="AG714" s="474" t="s">
        <v>1071</v>
      </c>
      <c r="AH714" s="474"/>
      <c r="AI714" s="474">
        <v>60</v>
      </c>
      <c r="AJ714" s="484" t="s">
        <v>2277</v>
      </c>
      <c r="AK714" s="474" t="s">
        <v>1084</v>
      </c>
      <c r="AL714" s="483" t="s">
        <v>2948</v>
      </c>
      <c r="AM714" s="474" t="s">
        <v>52</v>
      </c>
      <c r="AN714" s="474" t="s">
        <v>1074</v>
      </c>
      <c r="AO714" s="474"/>
      <c r="AP714" s="482"/>
      <c r="AQ714" s="482" t="s">
        <v>37</v>
      </c>
      <c r="AR714" s="482" t="s">
        <v>2953</v>
      </c>
      <c r="AS714" s="472" t="s">
        <v>1075</v>
      </c>
      <c r="AT714" s="436" t="s">
        <v>1087</v>
      </c>
      <c r="AU714" s="436" t="s">
        <v>1076</v>
      </c>
      <c r="AV714" s="478">
        <v>0.73</v>
      </c>
    </row>
    <row r="715" spans="1:48" s="471" customFormat="1">
      <c r="A715" s="472"/>
      <c r="B715" s="449" t="s">
        <v>1211</v>
      </c>
      <c r="C715" s="449" t="s">
        <v>1211</v>
      </c>
      <c r="D715" s="501" t="s">
        <v>2901</v>
      </c>
      <c r="E715" s="429" t="s">
        <v>4690</v>
      </c>
      <c r="F715" s="501"/>
      <c r="G715" s="501"/>
      <c r="H715" s="501"/>
      <c r="I715" s="501" t="s">
        <v>3004</v>
      </c>
      <c r="J715" s="513"/>
      <c r="K715" s="501" t="s">
        <v>2994</v>
      </c>
      <c r="L715" s="501" t="s">
        <v>2947</v>
      </c>
      <c r="M715" s="502">
        <v>44664</v>
      </c>
      <c r="N715" s="502">
        <v>44805</v>
      </c>
      <c r="O715" s="502"/>
      <c r="P715" s="502"/>
      <c r="Q715" s="502"/>
      <c r="R715" s="502"/>
      <c r="S715" s="501" t="s">
        <v>2904</v>
      </c>
      <c r="T715" s="501">
        <v>60</v>
      </c>
      <c r="U715" s="501">
        <v>49405140</v>
      </c>
      <c r="V715" s="501" t="s">
        <v>973</v>
      </c>
      <c r="W715" s="501">
        <v>400</v>
      </c>
      <c r="X715" s="505">
        <v>8320</v>
      </c>
      <c r="Y715" s="477">
        <f t="shared" si="120"/>
        <v>3328000</v>
      </c>
      <c r="Z715" s="478">
        <v>0.55000000000000004</v>
      </c>
      <c r="AA715" s="479">
        <f t="shared" si="121"/>
        <v>1830400.0000000002</v>
      </c>
      <c r="AB715" s="479"/>
      <c r="AC715" s="446">
        <v>0</v>
      </c>
      <c r="AD715" s="490"/>
      <c r="AE715" s="482"/>
      <c r="AF715" s="580">
        <f t="shared" si="122"/>
        <v>1830400.0000000002</v>
      </c>
      <c r="AG715" s="474" t="s">
        <v>1071</v>
      </c>
      <c r="AH715" s="474"/>
      <c r="AI715" s="474">
        <v>60</v>
      </c>
      <c r="AJ715" s="484" t="s">
        <v>2277</v>
      </c>
      <c r="AK715" s="474" t="s">
        <v>1084</v>
      </c>
      <c r="AL715" s="483" t="s">
        <v>2948</v>
      </c>
      <c r="AM715" s="474" t="s">
        <v>52</v>
      </c>
      <c r="AN715" s="474" t="s">
        <v>1074</v>
      </c>
      <c r="AO715" s="474"/>
      <c r="AP715" s="482"/>
      <c r="AQ715" s="482" t="s">
        <v>37</v>
      </c>
      <c r="AR715" s="482" t="s">
        <v>2953</v>
      </c>
      <c r="AS715" s="472" t="s">
        <v>1075</v>
      </c>
      <c r="AT715" s="436" t="s">
        <v>1087</v>
      </c>
      <c r="AU715" s="436" t="s">
        <v>1076</v>
      </c>
      <c r="AV715" s="478">
        <v>0.73</v>
      </c>
    </row>
    <row r="716" spans="1:48" s="471" customFormat="1">
      <c r="A716" s="472"/>
      <c r="B716" s="449" t="s">
        <v>1211</v>
      </c>
      <c r="C716" s="449" t="s">
        <v>1211</v>
      </c>
      <c r="D716" s="501" t="s">
        <v>2901</v>
      </c>
      <c r="E716" s="429" t="s">
        <v>4690</v>
      </c>
      <c r="F716" s="501"/>
      <c r="G716" s="501"/>
      <c r="H716" s="501"/>
      <c r="I716" s="501" t="s">
        <v>3004</v>
      </c>
      <c r="J716" s="513"/>
      <c r="K716" s="501" t="s">
        <v>5217</v>
      </c>
      <c r="L716" s="501" t="s">
        <v>2933</v>
      </c>
      <c r="M716" s="502">
        <v>44664</v>
      </c>
      <c r="N716" s="502">
        <v>44785</v>
      </c>
      <c r="O716" s="502"/>
      <c r="P716" s="502"/>
      <c r="Q716" s="502"/>
      <c r="R716" s="502"/>
      <c r="S716" s="501" t="s">
        <v>2904</v>
      </c>
      <c r="T716" s="501">
        <v>60</v>
      </c>
      <c r="U716" s="501">
        <v>49405140</v>
      </c>
      <c r="V716" s="501" t="s">
        <v>973</v>
      </c>
      <c r="W716" s="501">
        <v>400</v>
      </c>
      <c r="X716" s="505">
        <v>3072</v>
      </c>
      <c r="Y716" s="477">
        <f t="shared" si="120"/>
        <v>1228800</v>
      </c>
      <c r="Z716" s="478">
        <v>0.55000000000000004</v>
      </c>
      <c r="AA716" s="479">
        <f t="shared" si="121"/>
        <v>675840</v>
      </c>
      <c r="AB716" s="479"/>
      <c r="AC716" s="446">
        <v>0</v>
      </c>
      <c r="AD716" s="490"/>
      <c r="AE716" s="482"/>
      <c r="AF716" s="580">
        <f t="shared" si="122"/>
        <v>675840</v>
      </c>
      <c r="AG716" s="474" t="s">
        <v>1071</v>
      </c>
      <c r="AH716" s="474"/>
      <c r="AI716" s="474">
        <v>60</v>
      </c>
      <c r="AJ716" s="484" t="s">
        <v>2277</v>
      </c>
      <c r="AK716" s="474" t="s">
        <v>1084</v>
      </c>
      <c r="AL716" s="483" t="s">
        <v>2948</v>
      </c>
      <c r="AM716" s="474" t="s">
        <v>52</v>
      </c>
      <c r="AN716" s="474" t="s">
        <v>1074</v>
      </c>
      <c r="AO716" s="474"/>
      <c r="AP716" s="482"/>
      <c r="AQ716" s="482" t="s">
        <v>37</v>
      </c>
      <c r="AR716" s="482" t="s">
        <v>2953</v>
      </c>
      <c r="AS716" s="472" t="s">
        <v>1075</v>
      </c>
      <c r="AT716" s="436" t="s">
        <v>1087</v>
      </c>
      <c r="AU716" s="436" t="s">
        <v>1076</v>
      </c>
      <c r="AV716" s="478">
        <v>0.73</v>
      </c>
    </row>
    <row r="717" spans="1:48" s="471" customFormat="1">
      <c r="A717" s="472"/>
      <c r="B717" s="449" t="s">
        <v>1211</v>
      </c>
      <c r="C717" s="449" t="s">
        <v>1211</v>
      </c>
      <c r="D717" s="501" t="s">
        <v>2901</v>
      </c>
      <c r="E717" s="429" t="s">
        <v>4690</v>
      </c>
      <c r="F717" s="501"/>
      <c r="G717" s="501"/>
      <c r="H717" s="501"/>
      <c r="I717" s="501" t="s">
        <v>3004</v>
      </c>
      <c r="J717" s="513"/>
      <c r="K717" s="501" t="s">
        <v>5218</v>
      </c>
      <c r="L717" s="501" t="s">
        <v>2933</v>
      </c>
      <c r="M717" s="502">
        <v>44664</v>
      </c>
      <c r="N717" s="502">
        <v>44816</v>
      </c>
      <c r="O717" s="502"/>
      <c r="P717" s="502"/>
      <c r="Q717" s="502"/>
      <c r="R717" s="502"/>
      <c r="S717" s="501" t="s">
        <v>2904</v>
      </c>
      <c r="T717" s="501">
        <v>60</v>
      </c>
      <c r="U717" s="501">
        <v>49405140</v>
      </c>
      <c r="V717" s="501" t="s">
        <v>973</v>
      </c>
      <c r="W717" s="501">
        <v>400</v>
      </c>
      <c r="X717" s="505">
        <v>3072</v>
      </c>
      <c r="Y717" s="477">
        <f t="shared" si="120"/>
        <v>1228800</v>
      </c>
      <c r="Z717" s="478">
        <v>0.55000000000000004</v>
      </c>
      <c r="AA717" s="479">
        <f t="shared" si="121"/>
        <v>675840</v>
      </c>
      <c r="AB717" s="479"/>
      <c r="AC717" s="446">
        <v>0</v>
      </c>
      <c r="AD717" s="490"/>
      <c r="AE717" s="482"/>
      <c r="AF717" s="580">
        <f t="shared" si="122"/>
        <v>675840</v>
      </c>
      <c r="AG717" s="474" t="s">
        <v>1071</v>
      </c>
      <c r="AH717" s="474"/>
      <c r="AI717" s="474">
        <v>60</v>
      </c>
      <c r="AJ717" s="484" t="s">
        <v>2277</v>
      </c>
      <c r="AK717" s="474" t="s">
        <v>1084</v>
      </c>
      <c r="AL717" s="483" t="s">
        <v>2948</v>
      </c>
      <c r="AM717" s="474" t="s">
        <v>52</v>
      </c>
      <c r="AN717" s="474" t="s">
        <v>1074</v>
      </c>
      <c r="AO717" s="474"/>
      <c r="AP717" s="482"/>
      <c r="AQ717" s="482" t="s">
        <v>37</v>
      </c>
      <c r="AR717" s="482" t="s">
        <v>2953</v>
      </c>
      <c r="AS717" s="472" t="s">
        <v>1075</v>
      </c>
      <c r="AT717" s="436" t="s">
        <v>1087</v>
      </c>
      <c r="AU717" s="436" t="s">
        <v>1076</v>
      </c>
      <c r="AV717" s="478">
        <v>0.73</v>
      </c>
    </row>
    <row r="718" spans="1:48" s="471" customFormat="1">
      <c r="A718" s="472"/>
      <c r="B718" s="449" t="s">
        <v>1211</v>
      </c>
      <c r="C718" s="449" t="s">
        <v>1211</v>
      </c>
      <c r="D718" s="501" t="s">
        <v>2901</v>
      </c>
      <c r="E718" s="429" t="s">
        <v>4690</v>
      </c>
      <c r="F718" s="501"/>
      <c r="G718" s="501"/>
      <c r="H718" s="501"/>
      <c r="I718" s="501" t="s">
        <v>3004</v>
      </c>
      <c r="J718" s="513"/>
      <c r="K718" s="501" t="s">
        <v>5219</v>
      </c>
      <c r="L718" s="501" t="s">
        <v>2933</v>
      </c>
      <c r="M718" s="502">
        <v>44664</v>
      </c>
      <c r="N718" s="502">
        <v>44846</v>
      </c>
      <c r="O718" s="502"/>
      <c r="P718" s="502"/>
      <c r="Q718" s="502"/>
      <c r="R718" s="502"/>
      <c r="S718" s="501" t="s">
        <v>2904</v>
      </c>
      <c r="T718" s="501">
        <v>60</v>
      </c>
      <c r="U718" s="501">
        <v>49405140</v>
      </c>
      <c r="V718" s="501" t="s">
        <v>973</v>
      </c>
      <c r="W718" s="501">
        <v>400</v>
      </c>
      <c r="X718" s="505">
        <v>3072</v>
      </c>
      <c r="Y718" s="477">
        <f t="shared" si="120"/>
        <v>1228800</v>
      </c>
      <c r="Z718" s="478">
        <v>0.55000000000000004</v>
      </c>
      <c r="AA718" s="479">
        <f t="shared" si="121"/>
        <v>675840</v>
      </c>
      <c r="AB718" s="479"/>
      <c r="AC718" s="446">
        <v>0</v>
      </c>
      <c r="AD718" s="490"/>
      <c r="AE718" s="482"/>
      <c r="AF718" s="580">
        <f t="shared" si="122"/>
        <v>675840</v>
      </c>
      <c r="AG718" s="474" t="s">
        <v>1071</v>
      </c>
      <c r="AH718" s="474"/>
      <c r="AI718" s="474">
        <v>60</v>
      </c>
      <c r="AJ718" s="484" t="s">
        <v>2277</v>
      </c>
      <c r="AK718" s="474" t="s">
        <v>1084</v>
      </c>
      <c r="AL718" s="483" t="s">
        <v>2948</v>
      </c>
      <c r="AM718" s="474" t="s">
        <v>52</v>
      </c>
      <c r="AN718" s="474" t="s">
        <v>1074</v>
      </c>
      <c r="AO718" s="474"/>
      <c r="AP718" s="482"/>
      <c r="AQ718" s="482" t="s">
        <v>37</v>
      </c>
      <c r="AR718" s="482" t="s">
        <v>2953</v>
      </c>
      <c r="AS718" s="472" t="s">
        <v>1075</v>
      </c>
      <c r="AT718" s="436" t="s">
        <v>1087</v>
      </c>
      <c r="AU718" s="436" t="s">
        <v>1076</v>
      </c>
      <c r="AV718" s="478">
        <v>0.73</v>
      </c>
    </row>
    <row r="719" spans="1:48" s="471" customFormat="1">
      <c r="A719" s="472"/>
      <c r="B719" s="449" t="s">
        <v>1211</v>
      </c>
      <c r="C719" s="449" t="s">
        <v>1211</v>
      </c>
      <c r="D719" s="501" t="s">
        <v>2901</v>
      </c>
      <c r="E719" s="429" t="s">
        <v>4690</v>
      </c>
      <c r="F719" s="501"/>
      <c r="G719" s="501"/>
      <c r="H719" s="501"/>
      <c r="I719" s="501" t="s">
        <v>3004</v>
      </c>
      <c r="J719" s="513"/>
      <c r="K719" s="501" t="s">
        <v>5220</v>
      </c>
      <c r="L719" s="501" t="s">
        <v>2933</v>
      </c>
      <c r="M719" s="502">
        <v>44664</v>
      </c>
      <c r="N719" s="502">
        <v>44876</v>
      </c>
      <c r="O719" s="502"/>
      <c r="P719" s="502"/>
      <c r="Q719" s="502"/>
      <c r="R719" s="502"/>
      <c r="S719" s="501" t="s">
        <v>2904</v>
      </c>
      <c r="T719" s="501">
        <v>60</v>
      </c>
      <c r="U719" s="501">
        <v>49405140</v>
      </c>
      <c r="V719" s="501" t="s">
        <v>973</v>
      </c>
      <c r="W719" s="501">
        <v>400</v>
      </c>
      <c r="X719" s="505">
        <v>3072</v>
      </c>
      <c r="Y719" s="477">
        <f t="shared" si="120"/>
        <v>1228800</v>
      </c>
      <c r="Z719" s="478">
        <v>0.55000000000000004</v>
      </c>
      <c r="AA719" s="479">
        <f t="shared" si="121"/>
        <v>675840</v>
      </c>
      <c r="AB719" s="479"/>
      <c r="AC719" s="446">
        <v>0</v>
      </c>
      <c r="AD719" s="490"/>
      <c r="AE719" s="482"/>
      <c r="AF719" s="580">
        <f t="shared" si="122"/>
        <v>675840</v>
      </c>
      <c r="AG719" s="474" t="s">
        <v>1071</v>
      </c>
      <c r="AH719" s="474"/>
      <c r="AI719" s="474">
        <v>60</v>
      </c>
      <c r="AJ719" s="484" t="s">
        <v>2277</v>
      </c>
      <c r="AK719" s="474" t="s">
        <v>1084</v>
      </c>
      <c r="AL719" s="483" t="s">
        <v>2948</v>
      </c>
      <c r="AM719" s="474" t="s">
        <v>52</v>
      </c>
      <c r="AN719" s="474" t="s">
        <v>1074</v>
      </c>
      <c r="AO719" s="474"/>
      <c r="AP719" s="482"/>
      <c r="AQ719" s="482" t="s">
        <v>37</v>
      </c>
      <c r="AR719" s="482" t="s">
        <v>2953</v>
      </c>
      <c r="AS719" s="472" t="s">
        <v>1075</v>
      </c>
      <c r="AT719" s="436" t="s">
        <v>1087</v>
      </c>
      <c r="AU719" s="436" t="s">
        <v>1076</v>
      </c>
      <c r="AV719" s="478">
        <v>0.73</v>
      </c>
    </row>
    <row r="720" spans="1:48" s="471" customFormat="1">
      <c r="A720" s="472"/>
      <c r="B720" s="449" t="s">
        <v>1211</v>
      </c>
      <c r="C720" s="449" t="s">
        <v>1211</v>
      </c>
      <c r="D720" s="501" t="s">
        <v>2901</v>
      </c>
      <c r="E720" s="429" t="s">
        <v>4690</v>
      </c>
      <c r="F720" s="501"/>
      <c r="G720" s="501"/>
      <c r="H720" s="501"/>
      <c r="I720" s="501" t="s">
        <v>3004</v>
      </c>
      <c r="J720" s="513"/>
      <c r="K720" s="501" t="s">
        <v>5221</v>
      </c>
      <c r="L720" s="501" t="s">
        <v>2933</v>
      </c>
      <c r="M720" s="502">
        <v>44664</v>
      </c>
      <c r="N720" s="502">
        <v>44907</v>
      </c>
      <c r="O720" s="502"/>
      <c r="P720" s="502"/>
      <c r="Q720" s="502"/>
      <c r="R720" s="502"/>
      <c r="S720" s="501" t="s">
        <v>2904</v>
      </c>
      <c r="T720" s="501">
        <v>60</v>
      </c>
      <c r="U720" s="501">
        <v>49405140</v>
      </c>
      <c r="V720" s="501" t="s">
        <v>973</v>
      </c>
      <c r="W720" s="501">
        <v>400</v>
      </c>
      <c r="X720" s="505">
        <v>3072</v>
      </c>
      <c r="Y720" s="477">
        <f t="shared" si="120"/>
        <v>1228800</v>
      </c>
      <c r="Z720" s="478">
        <v>0.55000000000000004</v>
      </c>
      <c r="AA720" s="479">
        <f t="shared" si="121"/>
        <v>675840</v>
      </c>
      <c r="AB720" s="479"/>
      <c r="AC720" s="446">
        <v>0</v>
      </c>
      <c r="AD720" s="490"/>
      <c r="AE720" s="482"/>
      <c r="AF720" s="580">
        <f t="shared" si="122"/>
        <v>675840</v>
      </c>
      <c r="AG720" s="474" t="s">
        <v>1071</v>
      </c>
      <c r="AH720" s="474"/>
      <c r="AI720" s="474">
        <v>60</v>
      </c>
      <c r="AJ720" s="484" t="s">
        <v>2277</v>
      </c>
      <c r="AK720" s="474" t="s">
        <v>1084</v>
      </c>
      <c r="AL720" s="483" t="s">
        <v>2948</v>
      </c>
      <c r="AM720" s="474" t="s">
        <v>52</v>
      </c>
      <c r="AN720" s="474" t="s">
        <v>1074</v>
      </c>
      <c r="AO720" s="474"/>
      <c r="AP720" s="482"/>
      <c r="AQ720" s="482" t="s">
        <v>37</v>
      </c>
      <c r="AR720" s="482" t="s">
        <v>2953</v>
      </c>
      <c r="AS720" s="472" t="s">
        <v>1075</v>
      </c>
      <c r="AT720" s="436" t="s">
        <v>1087</v>
      </c>
      <c r="AU720" s="436" t="s">
        <v>1076</v>
      </c>
      <c r="AV720" s="478">
        <v>0.73</v>
      </c>
    </row>
    <row r="721" spans="1:48" s="471" customFormat="1">
      <c r="A721" s="472"/>
      <c r="B721" s="449">
        <v>44573</v>
      </c>
      <c r="C721" s="449" t="s">
        <v>1211</v>
      </c>
      <c r="D721" s="501" t="s">
        <v>2901</v>
      </c>
      <c r="E721" s="429" t="s">
        <v>4668</v>
      </c>
      <c r="F721" s="501"/>
      <c r="G721" s="501"/>
      <c r="H721" s="501"/>
      <c r="I721" s="501" t="s">
        <v>3004</v>
      </c>
      <c r="J721" s="513"/>
      <c r="K721" s="501" t="s">
        <v>4706</v>
      </c>
      <c r="L721" s="501" t="s">
        <v>2966</v>
      </c>
      <c r="M721" s="502">
        <v>44509</v>
      </c>
      <c r="N721" s="502">
        <v>44606</v>
      </c>
      <c r="O721" s="502"/>
      <c r="P721" s="502"/>
      <c r="Q721" s="502"/>
      <c r="R721" s="502"/>
      <c r="S721" s="501" t="s">
        <v>2904</v>
      </c>
      <c r="T721" s="501">
        <v>60</v>
      </c>
      <c r="U721" s="501">
        <v>49403140</v>
      </c>
      <c r="V721" s="501" t="s">
        <v>985</v>
      </c>
      <c r="W721" s="501">
        <v>400</v>
      </c>
      <c r="X721" s="505">
        <v>832</v>
      </c>
      <c r="Y721" s="477">
        <f t="shared" si="120"/>
        <v>332800</v>
      </c>
      <c r="Z721" s="478">
        <v>0.47499999999999998</v>
      </c>
      <c r="AA721" s="479">
        <f t="shared" si="121"/>
        <v>158080</v>
      </c>
      <c r="AB721" s="479"/>
      <c r="AC721" s="446">
        <v>0</v>
      </c>
      <c r="AD721" s="490"/>
      <c r="AE721" s="482"/>
      <c r="AF721" s="580">
        <f t="shared" si="122"/>
        <v>158080</v>
      </c>
      <c r="AG721" s="474" t="s">
        <v>1071</v>
      </c>
      <c r="AH721" s="474"/>
      <c r="AI721" s="474">
        <v>60</v>
      </c>
      <c r="AJ721" s="484" t="s">
        <v>2967</v>
      </c>
      <c r="AK721" s="474" t="s">
        <v>1158</v>
      </c>
      <c r="AL721" s="483" t="s">
        <v>2968</v>
      </c>
      <c r="AM721" s="474" t="s">
        <v>52</v>
      </c>
      <c r="AN721" s="474" t="s">
        <v>1074</v>
      </c>
      <c r="AO721" s="474"/>
      <c r="AP721" s="482"/>
      <c r="AQ721" s="482" t="s">
        <v>37</v>
      </c>
      <c r="AR721" s="482" t="s">
        <v>1248</v>
      </c>
      <c r="AS721" s="472" t="s">
        <v>1076</v>
      </c>
      <c r="AT721" s="436" t="s">
        <v>1076</v>
      </c>
      <c r="AU721" s="436" t="s">
        <v>1076</v>
      </c>
      <c r="AV721" s="478">
        <v>0.47499999999999998</v>
      </c>
    </row>
    <row r="722" spans="1:48" s="471" customFormat="1">
      <c r="A722" s="472"/>
      <c r="B722" s="449">
        <v>44573</v>
      </c>
      <c r="C722" s="449" t="s">
        <v>1211</v>
      </c>
      <c r="D722" s="501" t="s">
        <v>2901</v>
      </c>
      <c r="E722" s="429" t="s">
        <v>4668</v>
      </c>
      <c r="F722" s="501"/>
      <c r="G722" s="501"/>
      <c r="H722" s="501"/>
      <c r="I722" s="501" t="s">
        <v>3004</v>
      </c>
      <c r="J722" s="513"/>
      <c r="K722" s="501" t="s">
        <v>4707</v>
      </c>
      <c r="L722" s="501" t="s">
        <v>2966</v>
      </c>
      <c r="M722" s="502">
        <v>44509</v>
      </c>
      <c r="N722" s="502">
        <v>44634</v>
      </c>
      <c r="O722" s="502"/>
      <c r="P722" s="502"/>
      <c r="Q722" s="502"/>
      <c r="R722" s="502"/>
      <c r="S722" s="501" t="s">
        <v>2904</v>
      </c>
      <c r="T722" s="501">
        <v>60</v>
      </c>
      <c r="U722" s="501">
        <v>49403140</v>
      </c>
      <c r="V722" s="501" t="s">
        <v>985</v>
      </c>
      <c r="W722" s="501">
        <v>400</v>
      </c>
      <c r="X722" s="505">
        <v>832</v>
      </c>
      <c r="Y722" s="477">
        <f t="shared" si="120"/>
        <v>332800</v>
      </c>
      <c r="Z722" s="478">
        <v>0.47499999999999998</v>
      </c>
      <c r="AA722" s="479">
        <f t="shared" si="121"/>
        <v>158080</v>
      </c>
      <c r="AB722" s="479"/>
      <c r="AC722" s="446">
        <v>0</v>
      </c>
      <c r="AD722" s="490"/>
      <c r="AE722" s="482"/>
      <c r="AF722" s="580">
        <f t="shared" si="122"/>
        <v>158080</v>
      </c>
      <c r="AG722" s="474" t="s">
        <v>1071</v>
      </c>
      <c r="AH722" s="474"/>
      <c r="AI722" s="474">
        <v>60</v>
      </c>
      <c r="AJ722" s="484" t="s">
        <v>2967</v>
      </c>
      <c r="AK722" s="474" t="s">
        <v>1158</v>
      </c>
      <c r="AL722" s="483" t="s">
        <v>2968</v>
      </c>
      <c r="AM722" s="474" t="s">
        <v>52</v>
      </c>
      <c r="AN722" s="474" t="s">
        <v>1074</v>
      </c>
      <c r="AO722" s="474"/>
      <c r="AP722" s="482"/>
      <c r="AQ722" s="482" t="s">
        <v>37</v>
      </c>
      <c r="AR722" s="482" t="s">
        <v>1248</v>
      </c>
      <c r="AS722" s="472" t="s">
        <v>1076</v>
      </c>
      <c r="AT722" s="436" t="s">
        <v>1076</v>
      </c>
      <c r="AU722" s="436" t="s">
        <v>1076</v>
      </c>
      <c r="AV722" s="478">
        <v>0.47499999999999998</v>
      </c>
    </row>
    <row r="723" spans="1:48" s="471" customFormat="1">
      <c r="A723" s="472"/>
      <c r="B723" s="449">
        <v>44573</v>
      </c>
      <c r="C723" s="449" t="s">
        <v>1211</v>
      </c>
      <c r="D723" s="501" t="s">
        <v>2901</v>
      </c>
      <c r="E723" s="429" t="s">
        <v>4668</v>
      </c>
      <c r="F723" s="501"/>
      <c r="G723" s="501"/>
      <c r="H723" s="501"/>
      <c r="I723" s="501" t="s">
        <v>3004</v>
      </c>
      <c r="J723" s="513"/>
      <c r="K723" s="501" t="s">
        <v>4708</v>
      </c>
      <c r="L723" s="501" t="s">
        <v>2966</v>
      </c>
      <c r="M723" s="502">
        <v>44509</v>
      </c>
      <c r="N723" s="502">
        <v>44621</v>
      </c>
      <c r="O723" s="502"/>
      <c r="P723" s="502"/>
      <c r="Q723" s="502"/>
      <c r="R723" s="502"/>
      <c r="S723" s="501" t="s">
        <v>2904</v>
      </c>
      <c r="T723" s="501">
        <v>60</v>
      </c>
      <c r="U723" s="501">
        <v>49403140</v>
      </c>
      <c r="V723" s="501" t="s">
        <v>985</v>
      </c>
      <c r="W723" s="501">
        <v>400</v>
      </c>
      <c r="X723" s="505">
        <v>832</v>
      </c>
      <c r="Y723" s="477">
        <f t="shared" si="120"/>
        <v>332800</v>
      </c>
      <c r="Z723" s="478">
        <v>0.47499999999999998</v>
      </c>
      <c r="AA723" s="479">
        <f t="shared" si="121"/>
        <v>158080</v>
      </c>
      <c r="AB723" s="479"/>
      <c r="AC723" s="446">
        <v>0</v>
      </c>
      <c r="AD723" s="490"/>
      <c r="AE723" s="482"/>
      <c r="AF723" s="580">
        <f t="shared" si="122"/>
        <v>158080</v>
      </c>
      <c r="AG723" s="474" t="s">
        <v>1071</v>
      </c>
      <c r="AH723" s="474"/>
      <c r="AI723" s="474">
        <v>60</v>
      </c>
      <c r="AJ723" s="484" t="s">
        <v>2967</v>
      </c>
      <c r="AK723" s="474" t="s">
        <v>1158</v>
      </c>
      <c r="AL723" s="483" t="s">
        <v>2968</v>
      </c>
      <c r="AM723" s="474" t="s">
        <v>52</v>
      </c>
      <c r="AN723" s="474" t="s">
        <v>1074</v>
      </c>
      <c r="AO723" s="474"/>
      <c r="AP723" s="482"/>
      <c r="AQ723" s="482" t="s">
        <v>37</v>
      </c>
      <c r="AR723" s="482" t="s">
        <v>1248</v>
      </c>
      <c r="AS723" s="472" t="s">
        <v>1076</v>
      </c>
      <c r="AT723" s="436" t="s">
        <v>1076</v>
      </c>
      <c r="AU723" s="436" t="s">
        <v>1076</v>
      </c>
      <c r="AV723" s="478">
        <v>0.47499999999999998</v>
      </c>
    </row>
    <row r="724" spans="1:48" s="471" customFormat="1">
      <c r="A724" s="472"/>
      <c r="B724" s="449">
        <v>44553</v>
      </c>
      <c r="C724" s="449" t="s">
        <v>1211</v>
      </c>
      <c r="D724" s="501" t="s">
        <v>2901</v>
      </c>
      <c r="E724" s="429" t="s">
        <v>4668</v>
      </c>
      <c r="F724" s="501"/>
      <c r="G724" s="501"/>
      <c r="H724" s="501"/>
      <c r="I724" s="501" t="s">
        <v>3004</v>
      </c>
      <c r="J724" s="513"/>
      <c r="K724" s="501" t="s">
        <v>4709</v>
      </c>
      <c r="L724" s="501" t="s">
        <v>2966</v>
      </c>
      <c r="M724" s="502">
        <v>44551</v>
      </c>
      <c r="N724" s="502">
        <v>44743</v>
      </c>
      <c r="O724" s="502"/>
      <c r="P724" s="502"/>
      <c r="Q724" s="502"/>
      <c r="R724" s="502"/>
      <c r="S724" s="501" t="s">
        <v>2904</v>
      </c>
      <c r="T724" s="501">
        <v>60</v>
      </c>
      <c r="U724" s="501">
        <v>49403140</v>
      </c>
      <c r="V724" s="501" t="s">
        <v>985</v>
      </c>
      <c r="W724" s="501">
        <v>400</v>
      </c>
      <c r="X724" s="505">
        <v>5824</v>
      </c>
      <c r="Y724" s="477">
        <f t="shared" si="120"/>
        <v>2329600</v>
      </c>
      <c r="Z724" s="478">
        <v>0.49</v>
      </c>
      <c r="AA724" s="479">
        <f t="shared" si="121"/>
        <v>1141504</v>
      </c>
      <c r="AB724" s="479"/>
      <c r="AC724" s="446">
        <v>0</v>
      </c>
      <c r="AD724" s="490"/>
      <c r="AE724" s="482"/>
      <c r="AF724" s="580">
        <f t="shared" si="122"/>
        <v>1141504</v>
      </c>
      <c r="AG724" s="474" t="s">
        <v>1071</v>
      </c>
      <c r="AH724" s="474"/>
      <c r="AI724" s="474">
        <v>60</v>
      </c>
      <c r="AJ724" s="484" t="s">
        <v>2967</v>
      </c>
      <c r="AK724" s="474" t="s">
        <v>1158</v>
      </c>
      <c r="AL724" s="483" t="s">
        <v>2968</v>
      </c>
      <c r="AM724" s="474" t="s">
        <v>52</v>
      </c>
      <c r="AN724" s="474"/>
      <c r="AO724" s="474"/>
      <c r="AP724" s="482"/>
      <c r="AQ724" s="482" t="s">
        <v>37</v>
      </c>
      <c r="AR724" s="482" t="s">
        <v>1288</v>
      </c>
      <c r="AS724" s="472" t="s">
        <v>1076</v>
      </c>
      <c r="AT724" s="436" t="s">
        <v>1076</v>
      </c>
      <c r="AU724" s="436" t="s">
        <v>1076</v>
      </c>
      <c r="AV724" s="478">
        <v>0.49</v>
      </c>
    </row>
    <row r="725" spans="1:48" s="471" customFormat="1">
      <c r="A725" s="472"/>
      <c r="B725" s="449">
        <v>44553</v>
      </c>
      <c r="C725" s="449" t="s">
        <v>1211</v>
      </c>
      <c r="D725" s="501" t="s">
        <v>2901</v>
      </c>
      <c r="E725" s="429" t="s">
        <v>4668</v>
      </c>
      <c r="F725" s="501"/>
      <c r="G725" s="501"/>
      <c r="H725" s="501"/>
      <c r="I725" s="501" t="s">
        <v>3004</v>
      </c>
      <c r="J725" s="513"/>
      <c r="K725" s="501" t="s">
        <v>4710</v>
      </c>
      <c r="L725" s="501" t="s">
        <v>2966</v>
      </c>
      <c r="M725" s="502">
        <v>44551</v>
      </c>
      <c r="N725" s="502">
        <v>44774</v>
      </c>
      <c r="O725" s="502"/>
      <c r="P725" s="502"/>
      <c r="Q725" s="502"/>
      <c r="R725" s="502"/>
      <c r="S725" s="501" t="s">
        <v>2904</v>
      </c>
      <c r="T725" s="501">
        <v>60</v>
      </c>
      <c r="U725" s="501">
        <v>49403140</v>
      </c>
      <c r="V725" s="501" t="s">
        <v>973</v>
      </c>
      <c r="W725" s="501">
        <v>400</v>
      </c>
      <c r="X725" s="505">
        <v>5824</v>
      </c>
      <c r="Y725" s="477">
        <f t="shared" si="120"/>
        <v>2329600</v>
      </c>
      <c r="Z725" s="478">
        <v>0.49</v>
      </c>
      <c r="AA725" s="479">
        <f t="shared" si="121"/>
        <v>1141504</v>
      </c>
      <c r="AB725" s="479"/>
      <c r="AC725" s="446">
        <v>0</v>
      </c>
      <c r="AD725" s="490"/>
      <c r="AE725" s="482"/>
      <c r="AF725" s="580">
        <f t="shared" si="122"/>
        <v>1141504</v>
      </c>
      <c r="AG725" s="474" t="s">
        <v>1071</v>
      </c>
      <c r="AH725" s="474"/>
      <c r="AI725" s="474">
        <v>60</v>
      </c>
      <c r="AJ725" s="484" t="s">
        <v>2967</v>
      </c>
      <c r="AK725" s="474" t="s">
        <v>1158</v>
      </c>
      <c r="AL725" s="483" t="s">
        <v>2968</v>
      </c>
      <c r="AM725" s="474" t="s">
        <v>52</v>
      </c>
      <c r="AN725" s="474"/>
      <c r="AO725" s="474"/>
      <c r="AP725" s="482"/>
      <c r="AQ725" s="482" t="s">
        <v>37</v>
      </c>
      <c r="AR725" s="482" t="s">
        <v>1288</v>
      </c>
      <c r="AS725" s="472" t="s">
        <v>1076</v>
      </c>
      <c r="AT725" s="436" t="s">
        <v>1076</v>
      </c>
      <c r="AU725" s="436" t="s">
        <v>1076</v>
      </c>
      <c r="AV725" s="478">
        <v>0.49</v>
      </c>
    </row>
    <row r="726" spans="1:48" s="471" customFormat="1">
      <c r="A726" s="472"/>
      <c r="B726" s="449">
        <v>44574</v>
      </c>
      <c r="C726" s="449" t="s">
        <v>1211</v>
      </c>
      <c r="D726" s="501" t="s">
        <v>2901</v>
      </c>
      <c r="E726" s="429" t="s">
        <v>4711</v>
      </c>
      <c r="F726" s="501"/>
      <c r="G726" s="501"/>
      <c r="H726" s="501"/>
      <c r="I726" s="501" t="s">
        <v>3004</v>
      </c>
      <c r="J726" s="513"/>
      <c r="K726" s="501" t="s">
        <v>4712</v>
      </c>
      <c r="L726" s="501" t="s">
        <v>2966</v>
      </c>
      <c r="M726" s="502">
        <v>44551</v>
      </c>
      <c r="N726" s="502">
        <v>44805</v>
      </c>
      <c r="O726" s="502"/>
      <c r="P726" s="502"/>
      <c r="Q726" s="502"/>
      <c r="R726" s="502"/>
      <c r="S726" s="501" t="s">
        <v>2904</v>
      </c>
      <c r="T726" s="501">
        <v>60</v>
      </c>
      <c r="U726" s="501">
        <v>49403140</v>
      </c>
      <c r="V726" s="501" t="s">
        <v>973</v>
      </c>
      <c r="W726" s="501">
        <v>400</v>
      </c>
      <c r="X726" s="505">
        <v>5824</v>
      </c>
      <c r="Y726" s="477">
        <f t="shared" si="120"/>
        <v>2329600</v>
      </c>
      <c r="Z726" s="478">
        <v>0.49</v>
      </c>
      <c r="AA726" s="479">
        <f t="shared" si="121"/>
        <v>1141504</v>
      </c>
      <c r="AB726" s="479"/>
      <c r="AC726" s="446">
        <v>0</v>
      </c>
      <c r="AD726" s="490"/>
      <c r="AE726" s="482"/>
      <c r="AF726" s="580">
        <f t="shared" si="122"/>
        <v>1141504</v>
      </c>
      <c r="AG726" s="474" t="s">
        <v>1071</v>
      </c>
      <c r="AH726" s="474"/>
      <c r="AI726" s="474">
        <v>60</v>
      </c>
      <c r="AJ726" s="484" t="s">
        <v>2967</v>
      </c>
      <c r="AK726" s="474" t="s">
        <v>1158</v>
      </c>
      <c r="AL726" s="483" t="s">
        <v>2968</v>
      </c>
      <c r="AM726" s="474" t="s">
        <v>52</v>
      </c>
      <c r="AN726" s="474"/>
      <c r="AO726" s="474"/>
      <c r="AP726" s="482"/>
      <c r="AQ726" s="482" t="s">
        <v>37</v>
      </c>
      <c r="AR726" s="482" t="s">
        <v>1288</v>
      </c>
      <c r="AS726" s="472" t="s">
        <v>1076</v>
      </c>
      <c r="AT726" s="436" t="s">
        <v>1076</v>
      </c>
      <c r="AU726" s="436" t="s">
        <v>1076</v>
      </c>
      <c r="AV726" s="478">
        <v>0.49</v>
      </c>
    </row>
    <row r="727" spans="1:48" s="471" customFormat="1">
      <c r="A727" s="472"/>
      <c r="B727" s="449">
        <v>44559</v>
      </c>
      <c r="C727" s="449" t="s">
        <v>1211</v>
      </c>
      <c r="D727" s="501" t="s">
        <v>2901</v>
      </c>
      <c r="E727" s="429" t="s">
        <v>4668</v>
      </c>
      <c r="F727" s="501"/>
      <c r="G727" s="501"/>
      <c r="H727" s="501"/>
      <c r="I727" s="501" t="s">
        <v>3004</v>
      </c>
      <c r="J727" s="513"/>
      <c r="K727" s="501" t="s">
        <v>4713</v>
      </c>
      <c r="L727" s="501" t="s">
        <v>2567</v>
      </c>
      <c r="M727" s="502">
        <v>44483</v>
      </c>
      <c r="N727" s="502">
        <v>44565</v>
      </c>
      <c r="O727" s="502"/>
      <c r="P727" s="502"/>
      <c r="Q727" s="502"/>
      <c r="R727" s="502"/>
      <c r="S727" s="501" t="s">
        <v>2904</v>
      </c>
      <c r="T727" s="501">
        <v>60</v>
      </c>
      <c r="U727" s="501">
        <v>49201132</v>
      </c>
      <c r="V727" s="501" t="s">
        <v>1223</v>
      </c>
      <c r="W727" s="501">
        <v>360</v>
      </c>
      <c r="X727" s="505">
        <v>6656</v>
      </c>
      <c r="Y727" s="477">
        <f t="shared" si="120"/>
        <v>2396160</v>
      </c>
      <c r="Z727" s="478">
        <v>0.79</v>
      </c>
      <c r="AA727" s="479">
        <f t="shared" si="121"/>
        <v>1892966.4000000001</v>
      </c>
      <c r="AB727" s="479"/>
      <c r="AC727" s="446">
        <v>0</v>
      </c>
      <c r="AD727" s="490"/>
      <c r="AE727" s="482"/>
      <c r="AF727" s="580">
        <f t="shared" si="122"/>
        <v>1892966.4000000001</v>
      </c>
      <c r="AG727" s="474" t="s">
        <v>1071</v>
      </c>
      <c r="AH727" s="474"/>
      <c r="AI727" s="474">
        <v>60</v>
      </c>
      <c r="AJ727" s="484" t="s">
        <v>2568</v>
      </c>
      <c r="AK727" s="474" t="s">
        <v>1084</v>
      </c>
      <c r="AL727" s="483" t="s">
        <v>2569</v>
      </c>
      <c r="AM727" s="474" t="s">
        <v>52</v>
      </c>
      <c r="AN727" s="474" t="s">
        <v>1074</v>
      </c>
      <c r="AO727" s="474"/>
      <c r="AP727" s="482"/>
      <c r="AQ727" s="482" t="s">
        <v>37</v>
      </c>
      <c r="AR727" s="482" t="s">
        <v>3026</v>
      </c>
      <c r="AS727" s="472" t="s">
        <v>1076</v>
      </c>
      <c r="AT727" s="436" t="s">
        <v>1076</v>
      </c>
      <c r="AU727" s="436" t="s">
        <v>1076</v>
      </c>
      <c r="AV727" s="478">
        <v>0.73</v>
      </c>
    </row>
    <row r="728" spans="1:48" s="471" customFormat="1">
      <c r="A728" s="472"/>
      <c r="B728" s="449">
        <v>44559</v>
      </c>
      <c r="C728" s="449" t="s">
        <v>1211</v>
      </c>
      <c r="D728" s="501" t="s">
        <v>2901</v>
      </c>
      <c r="E728" s="429" t="s">
        <v>4668</v>
      </c>
      <c r="F728" s="501"/>
      <c r="G728" s="501"/>
      <c r="H728" s="501"/>
      <c r="I728" s="501" t="s">
        <v>3004</v>
      </c>
      <c r="J728" s="513"/>
      <c r="K728" s="501" t="s">
        <v>4714</v>
      </c>
      <c r="L728" s="501" t="s">
        <v>2567</v>
      </c>
      <c r="M728" s="502">
        <v>44483</v>
      </c>
      <c r="N728" s="502">
        <v>44593</v>
      </c>
      <c r="O728" s="502"/>
      <c r="P728" s="502"/>
      <c r="Q728" s="502"/>
      <c r="R728" s="502"/>
      <c r="S728" s="501" t="s">
        <v>2904</v>
      </c>
      <c r="T728" s="501">
        <v>60</v>
      </c>
      <c r="U728" s="501">
        <v>49201132</v>
      </c>
      <c r="V728" s="501" t="s">
        <v>1223</v>
      </c>
      <c r="W728" s="501">
        <v>360</v>
      </c>
      <c r="X728" s="505">
        <v>6656</v>
      </c>
      <c r="Y728" s="477">
        <f t="shared" si="120"/>
        <v>2396160</v>
      </c>
      <c r="Z728" s="478">
        <v>0.79</v>
      </c>
      <c r="AA728" s="479">
        <f t="shared" si="121"/>
        <v>1892966.4000000001</v>
      </c>
      <c r="AB728" s="479"/>
      <c r="AC728" s="446">
        <v>0</v>
      </c>
      <c r="AD728" s="490"/>
      <c r="AE728" s="482"/>
      <c r="AF728" s="580">
        <f t="shared" si="122"/>
        <v>1892966.4000000001</v>
      </c>
      <c r="AG728" s="474" t="s">
        <v>1071</v>
      </c>
      <c r="AH728" s="474"/>
      <c r="AI728" s="474">
        <v>60</v>
      </c>
      <c r="AJ728" s="484" t="s">
        <v>2568</v>
      </c>
      <c r="AK728" s="474" t="s">
        <v>1084</v>
      </c>
      <c r="AL728" s="483" t="s">
        <v>2569</v>
      </c>
      <c r="AM728" s="474" t="s">
        <v>52</v>
      </c>
      <c r="AN728" s="474" t="s">
        <v>1074</v>
      </c>
      <c r="AO728" s="474"/>
      <c r="AP728" s="482"/>
      <c r="AQ728" s="482" t="s">
        <v>37</v>
      </c>
      <c r="AR728" s="482" t="s">
        <v>3026</v>
      </c>
      <c r="AS728" s="472" t="s">
        <v>1076</v>
      </c>
      <c r="AT728" s="436" t="s">
        <v>1076</v>
      </c>
      <c r="AU728" s="436" t="s">
        <v>1076</v>
      </c>
      <c r="AV728" s="478">
        <v>0.73</v>
      </c>
    </row>
    <row r="729" spans="1:48" s="471" customFormat="1">
      <c r="A729" s="472"/>
      <c r="B729" s="449">
        <v>44559</v>
      </c>
      <c r="C729" s="449" t="s">
        <v>1211</v>
      </c>
      <c r="D729" s="501" t="s">
        <v>2901</v>
      </c>
      <c r="E729" s="429" t="s">
        <v>4668</v>
      </c>
      <c r="F729" s="501"/>
      <c r="G729" s="501"/>
      <c r="H729" s="501"/>
      <c r="I729" s="501" t="s">
        <v>3004</v>
      </c>
      <c r="J729" s="513"/>
      <c r="K729" s="501" t="s">
        <v>4715</v>
      </c>
      <c r="L729" s="501" t="s">
        <v>2567</v>
      </c>
      <c r="M729" s="502">
        <v>44483</v>
      </c>
      <c r="N729" s="502">
        <v>44621</v>
      </c>
      <c r="O729" s="502"/>
      <c r="P729" s="502"/>
      <c r="Q729" s="502"/>
      <c r="R729" s="502"/>
      <c r="S729" s="501" t="s">
        <v>2904</v>
      </c>
      <c r="T729" s="501">
        <v>60</v>
      </c>
      <c r="U729" s="501">
        <v>49201132</v>
      </c>
      <c r="V729" s="501" t="s">
        <v>1223</v>
      </c>
      <c r="W729" s="501">
        <v>360</v>
      </c>
      <c r="X729" s="505">
        <v>6656</v>
      </c>
      <c r="Y729" s="477">
        <f t="shared" si="120"/>
        <v>2396160</v>
      </c>
      <c r="Z729" s="478">
        <v>0.79</v>
      </c>
      <c r="AA729" s="479">
        <f t="shared" si="121"/>
        <v>1892966.4000000001</v>
      </c>
      <c r="AB729" s="479"/>
      <c r="AC729" s="446">
        <v>0</v>
      </c>
      <c r="AD729" s="490"/>
      <c r="AE729" s="482"/>
      <c r="AF729" s="580">
        <f t="shared" si="122"/>
        <v>1892966.4000000001</v>
      </c>
      <c r="AG729" s="474" t="s">
        <v>1071</v>
      </c>
      <c r="AH729" s="474"/>
      <c r="AI729" s="474">
        <v>60</v>
      </c>
      <c r="AJ729" s="484" t="s">
        <v>2568</v>
      </c>
      <c r="AK729" s="474" t="s">
        <v>1084</v>
      </c>
      <c r="AL729" s="483" t="s">
        <v>2569</v>
      </c>
      <c r="AM729" s="474" t="s">
        <v>52</v>
      </c>
      <c r="AN729" s="474" t="s">
        <v>1074</v>
      </c>
      <c r="AO729" s="474"/>
      <c r="AP729" s="482"/>
      <c r="AQ729" s="482" t="s">
        <v>37</v>
      </c>
      <c r="AR729" s="482" t="s">
        <v>3026</v>
      </c>
      <c r="AS729" s="472" t="s">
        <v>1076</v>
      </c>
      <c r="AT729" s="436" t="s">
        <v>1076</v>
      </c>
      <c r="AU729" s="436" t="s">
        <v>1076</v>
      </c>
      <c r="AV729" s="478">
        <v>0.73</v>
      </c>
    </row>
    <row r="730" spans="1:48" s="471" customFormat="1">
      <c r="A730" s="472"/>
      <c r="B730" s="449">
        <v>44566</v>
      </c>
      <c r="C730" s="449" t="s">
        <v>1211</v>
      </c>
      <c r="D730" s="501" t="s">
        <v>2901</v>
      </c>
      <c r="E730" s="429" t="s">
        <v>3044</v>
      </c>
      <c r="F730" s="501"/>
      <c r="G730" s="501"/>
      <c r="H730" s="501"/>
      <c r="I730" s="501" t="s">
        <v>3004</v>
      </c>
      <c r="J730" s="513"/>
      <c r="K730" s="501" t="s">
        <v>4716</v>
      </c>
      <c r="L730" s="501" t="s">
        <v>2567</v>
      </c>
      <c r="M730" s="502">
        <v>44566</v>
      </c>
      <c r="N730" s="502">
        <v>44662</v>
      </c>
      <c r="O730" s="502"/>
      <c r="P730" s="502"/>
      <c r="Q730" s="502"/>
      <c r="R730" s="502"/>
      <c r="S730" s="501" t="s">
        <v>2904</v>
      </c>
      <c r="T730" s="501">
        <v>60</v>
      </c>
      <c r="U730" s="501">
        <v>49201132</v>
      </c>
      <c r="V730" s="501" t="s">
        <v>986</v>
      </c>
      <c r="W730" s="501">
        <v>360</v>
      </c>
      <c r="X730" s="505">
        <v>8320</v>
      </c>
      <c r="Y730" s="477">
        <f t="shared" si="120"/>
        <v>2995200</v>
      </c>
      <c r="Z730" s="478">
        <v>0.53</v>
      </c>
      <c r="AA730" s="479">
        <f t="shared" si="121"/>
        <v>1587456</v>
      </c>
      <c r="AB730" s="479"/>
      <c r="AC730" s="446">
        <v>0</v>
      </c>
      <c r="AD730" s="490"/>
      <c r="AE730" s="482"/>
      <c r="AF730" s="580">
        <f t="shared" si="122"/>
        <v>1587456</v>
      </c>
      <c r="AG730" s="474" t="s">
        <v>1071</v>
      </c>
      <c r="AH730" s="474"/>
      <c r="AI730" s="474">
        <v>60</v>
      </c>
      <c r="AJ730" s="484" t="s">
        <v>2568</v>
      </c>
      <c r="AK730" s="474" t="s">
        <v>1084</v>
      </c>
      <c r="AL730" s="483" t="s">
        <v>2569</v>
      </c>
      <c r="AM730" s="474" t="s">
        <v>52</v>
      </c>
      <c r="AN730" s="474" t="s">
        <v>1074</v>
      </c>
      <c r="AO730" s="474"/>
      <c r="AP730" s="482"/>
      <c r="AQ730" s="482" t="s">
        <v>37</v>
      </c>
      <c r="AR730" s="482"/>
      <c r="AS730" s="472" t="s">
        <v>1076</v>
      </c>
      <c r="AT730" s="436" t="s">
        <v>1076</v>
      </c>
      <c r="AU730" s="436" t="s">
        <v>1076</v>
      </c>
      <c r="AV730" s="478"/>
    </row>
    <row r="731" spans="1:48" s="471" customFormat="1">
      <c r="A731" s="472"/>
      <c r="B731" s="449">
        <v>44566</v>
      </c>
      <c r="C731" s="449" t="s">
        <v>1211</v>
      </c>
      <c r="D731" s="501" t="s">
        <v>2901</v>
      </c>
      <c r="E731" s="429" t="s">
        <v>3044</v>
      </c>
      <c r="F731" s="501"/>
      <c r="G731" s="501"/>
      <c r="H731" s="501"/>
      <c r="I731" s="501" t="s">
        <v>3004</v>
      </c>
      <c r="J731" s="513"/>
      <c r="K731" s="501" t="s">
        <v>4716</v>
      </c>
      <c r="L731" s="501" t="s">
        <v>2567</v>
      </c>
      <c r="M731" s="502">
        <v>44566</v>
      </c>
      <c r="N731" s="502">
        <v>44662</v>
      </c>
      <c r="O731" s="502"/>
      <c r="P731" s="502"/>
      <c r="Q731" s="502"/>
      <c r="R731" s="502"/>
      <c r="S731" s="501" t="s">
        <v>2904</v>
      </c>
      <c r="T731" s="501">
        <v>60</v>
      </c>
      <c r="U731" s="501">
        <v>49401140</v>
      </c>
      <c r="V731" s="501" t="s">
        <v>973</v>
      </c>
      <c r="W731" s="501">
        <v>400</v>
      </c>
      <c r="X731" s="505">
        <v>9152</v>
      </c>
      <c r="Y731" s="477">
        <f t="shared" si="120"/>
        <v>3660800</v>
      </c>
      <c r="Z731" s="478">
        <v>0.55000000000000004</v>
      </c>
      <c r="AA731" s="479">
        <f t="shared" si="121"/>
        <v>2013440.0000000002</v>
      </c>
      <c r="AB731" s="479"/>
      <c r="AC731" s="446">
        <v>0</v>
      </c>
      <c r="AD731" s="490"/>
      <c r="AE731" s="482"/>
      <c r="AF731" s="580">
        <f t="shared" si="122"/>
        <v>2013440.0000000002</v>
      </c>
      <c r="AG731" s="474" t="s">
        <v>1071</v>
      </c>
      <c r="AH731" s="474"/>
      <c r="AI731" s="474">
        <v>60</v>
      </c>
      <c r="AJ731" s="484" t="s">
        <v>2568</v>
      </c>
      <c r="AK731" s="474" t="s">
        <v>1084</v>
      </c>
      <c r="AL731" s="483" t="s">
        <v>2569</v>
      </c>
      <c r="AM731" s="474" t="s">
        <v>52</v>
      </c>
      <c r="AN731" s="474" t="s">
        <v>1074</v>
      </c>
      <c r="AO731" s="474"/>
      <c r="AP731" s="482"/>
      <c r="AQ731" s="482" t="s">
        <v>37</v>
      </c>
      <c r="AR731" s="482"/>
      <c r="AS731" s="472" t="s">
        <v>1076</v>
      </c>
      <c r="AT731" s="436" t="s">
        <v>1076</v>
      </c>
      <c r="AU731" s="436" t="s">
        <v>1076</v>
      </c>
      <c r="AV731" s="478"/>
    </row>
    <row r="732" spans="1:48" s="471" customFormat="1">
      <c r="A732" s="472"/>
      <c r="B732" s="449">
        <v>44566</v>
      </c>
      <c r="C732" s="449" t="s">
        <v>1211</v>
      </c>
      <c r="D732" s="501" t="s">
        <v>2901</v>
      </c>
      <c r="E732" s="429" t="s">
        <v>3044</v>
      </c>
      <c r="F732" s="501"/>
      <c r="G732" s="501"/>
      <c r="H732" s="501"/>
      <c r="I732" s="501" t="s">
        <v>3004</v>
      </c>
      <c r="J732" s="513"/>
      <c r="K732" s="501" t="s">
        <v>4717</v>
      </c>
      <c r="L732" s="501" t="s">
        <v>2567</v>
      </c>
      <c r="M732" s="502">
        <v>44566</v>
      </c>
      <c r="N732" s="502">
        <v>44691</v>
      </c>
      <c r="O732" s="502"/>
      <c r="P732" s="502"/>
      <c r="Q732" s="502"/>
      <c r="R732" s="502"/>
      <c r="S732" s="501" t="s">
        <v>2904</v>
      </c>
      <c r="T732" s="501">
        <v>60</v>
      </c>
      <c r="U732" s="501">
        <v>49201132</v>
      </c>
      <c r="V732" s="501" t="s">
        <v>986</v>
      </c>
      <c r="W732" s="501">
        <v>360</v>
      </c>
      <c r="X732" s="505">
        <v>8320</v>
      </c>
      <c r="Y732" s="477">
        <f t="shared" si="120"/>
        <v>2995200</v>
      </c>
      <c r="Z732" s="478">
        <v>0.53</v>
      </c>
      <c r="AA732" s="479">
        <f t="shared" si="121"/>
        <v>1587456</v>
      </c>
      <c r="AB732" s="479"/>
      <c r="AC732" s="446">
        <v>0</v>
      </c>
      <c r="AD732" s="490"/>
      <c r="AE732" s="482"/>
      <c r="AF732" s="580">
        <f t="shared" si="122"/>
        <v>1587456</v>
      </c>
      <c r="AG732" s="474" t="s">
        <v>1071</v>
      </c>
      <c r="AH732" s="474"/>
      <c r="AI732" s="474">
        <v>60</v>
      </c>
      <c r="AJ732" s="484" t="s">
        <v>2568</v>
      </c>
      <c r="AK732" s="474" t="s">
        <v>1084</v>
      </c>
      <c r="AL732" s="483" t="s">
        <v>2569</v>
      </c>
      <c r="AM732" s="474" t="s">
        <v>52</v>
      </c>
      <c r="AN732" s="474" t="s">
        <v>1074</v>
      </c>
      <c r="AO732" s="474"/>
      <c r="AP732" s="482"/>
      <c r="AQ732" s="482" t="s">
        <v>37</v>
      </c>
      <c r="AR732" s="482"/>
      <c r="AS732" s="472" t="s">
        <v>1076</v>
      </c>
      <c r="AT732" s="436" t="s">
        <v>1076</v>
      </c>
      <c r="AU732" s="436" t="s">
        <v>1076</v>
      </c>
      <c r="AV732" s="478"/>
    </row>
    <row r="733" spans="1:48" s="471" customFormat="1">
      <c r="A733" s="472"/>
      <c r="B733" s="449">
        <v>44566</v>
      </c>
      <c r="C733" s="449" t="s">
        <v>1211</v>
      </c>
      <c r="D733" s="501" t="s">
        <v>2901</v>
      </c>
      <c r="E733" s="429" t="s">
        <v>4718</v>
      </c>
      <c r="F733" s="501"/>
      <c r="G733" s="501"/>
      <c r="H733" s="501"/>
      <c r="I733" s="501" t="s">
        <v>3004</v>
      </c>
      <c r="J733" s="513"/>
      <c r="K733" s="501" t="s">
        <v>4717</v>
      </c>
      <c r="L733" s="501" t="s">
        <v>2567</v>
      </c>
      <c r="M733" s="502">
        <v>44566</v>
      </c>
      <c r="N733" s="502">
        <v>44691</v>
      </c>
      <c r="O733" s="502"/>
      <c r="P733" s="502"/>
      <c r="Q733" s="502"/>
      <c r="R733" s="502"/>
      <c r="S733" s="501" t="s">
        <v>2904</v>
      </c>
      <c r="T733" s="501">
        <v>60</v>
      </c>
      <c r="U733" s="501">
        <v>49401140</v>
      </c>
      <c r="V733" s="501" t="s">
        <v>973</v>
      </c>
      <c r="W733" s="501">
        <v>400</v>
      </c>
      <c r="X733" s="505">
        <v>9152</v>
      </c>
      <c r="Y733" s="477">
        <f t="shared" si="120"/>
        <v>3660800</v>
      </c>
      <c r="Z733" s="478">
        <v>0.55000000000000004</v>
      </c>
      <c r="AA733" s="479">
        <f t="shared" si="121"/>
        <v>2013440.0000000002</v>
      </c>
      <c r="AB733" s="479"/>
      <c r="AC733" s="446">
        <v>0</v>
      </c>
      <c r="AD733" s="490"/>
      <c r="AE733" s="482"/>
      <c r="AF733" s="580">
        <f t="shared" si="122"/>
        <v>2013440.0000000002</v>
      </c>
      <c r="AG733" s="474" t="s">
        <v>1071</v>
      </c>
      <c r="AH733" s="474"/>
      <c r="AI733" s="474">
        <v>60</v>
      </c>
      <c r="AJ733" s="484" t="s">
        <v>2568</v>
      </c>
      <c r="AK733" s="474" t="s">
        <v>1084</v>
      </c>
      <c r="AL733" s="483" t="s">
        <v>2569</v>
      </c>
      <c r="AM733" s="474" t="s">
        <v>52</v>
      </c>
      <c r="AN733" s="474" t="s">
        <v>1074</v>
      </c>
      <c r="AO733" s="474"/>
      <c r="AP733" s="482"/>
      <c r="AQ733" s="482" t="s">
        <v>37</v>
      </c>
      <c r="AR733" s="482"/>
      <c r="AS733" s="472" t="s">
        <v>1076</v>
      </c>
      <c r="AT733" s="436" t="s">
        <v>1076</v>
      </c>
      <c r="AU733" s="436" t="s">
        <v>1076</v>
      </c>
      <c r="AV733" s="478"/>
    </row>
    <row r="734" spans="1:48" s="471" customFormat="1">
      <c r="A734" s="472"/>
      <c r="B734" s="449">
        <v>44566</v>
      </c>
      <c r="C734" s="449" t="s">
        <v>1211</v>
      </c>
      <c r="D734" s="501" t="s">
        <v>2901</v>
      </c>
      <c r="E734" s="429" t="s">
        <v>3044</v>
      </c>
      <c r="F734" s="501"/>
      <c r="G734" s="501"/>
      <c r="H734" s="501"/>
      <c r="I734" s="501" t="s">
        <v>3004</v>
      </c>
      <c r="J734" s="513"/>
      <c r="K734" s="501" t="s">
        <v>4719</v>
      </c>
      <c r="L734" s="501" t="s">
        <v>2567</v>
      </c>
      <c r="M734" s="502">
        <v>44566</v>
      </c>
      <c r="N734" s="502">
        <v>44721</v>
      </c>
      <c r="O734" s="502"/>
      <c r="P734" s="502"/>
      <c r="Q734" s="502"/>
      <c r="R734" s="502"/>
      <c r="S734" s="501" t="s">
        <v>2904</v>
      </c>
      <c r="T734" s="501">
        <v>60</v>
      </c>
      <c r="U734" s="501">
        <v>49201132</v>
      </c>
      <c r="V734" s="501" t="s">
        <v>986</v>
      </c>
      <c r="W734" s="501">
        <v>360</v>
      </c>
      <c r="X734" s="505">
        <v>8320</v>
      </c>
      <c r="Y734" s="477">
        <f t="shared" si="120"/>
        <v>2995200</v>
      </c>
      <c r="Z734" s="478">
        <v>0.53</v>
      </c>
      <c r="AA734" s="479">
        <f t="shared" si="121"/>
        <v>1587456</v>
      </c>
      <c r="AB734" s="479"/>
      <c r="AC734" s="446">
        <v>0</v>
      </c>
      <c r="AD734" s="490"/>
      <c r="AE734" s="482"/>
      <c r="AF734" s="580">
        <f t="shared" si="122"/>
        <v>1587456</v>
      </c>
      <c r="AG734" s="474" t="s">
        <v>1071</v>
      </c>
      <c r="AH734" s="474"/>
      <c r="AI734" s="474">
        <v>60</v>
      </c>
      <c r="AJ734" s="484" t="s">
        <v>2568</v>
      </c>
      <c r="AK734" s="474" t="s">
        <v>1084</v>
      </c>
      <c r="AL734" s="483" t="s">
        <v>2569</v>
      </c>
      <c r="AM734" s="474" t="s">
        <v>52</v>
      </c>
      <c r="AN734" s="474" t="s">
        <v>1074</v>
      </c>
      <c r="AO734" s="474"/>
      <c r="AP734" s="482"/>
      <c r="AQ734" s="482" t="s">
        <v>37</v>
      </c>
      <c r="AR734" s="482"/>
      <c r="AS734" s="472" t="s">
        <v>1076</v>
      </c>
      <c r="AT734" s="436" t="s">
        <v>1076</v>
      </c>
      <c r="AU734" s="436" t="s">
        <v>1076</v>
      </c>
      <c r="AV734" s="478"/>
    </row>
    <row r="735" spans="1:48" s="471" customFormat="1">
      <c r="A735" s="472"/>
      <c r="B735" s="449">
        <v>44566</v>
      </c>
      <c r="C735" s="449" t="s">
        <v>1211</v>
      </c>
      <c r="D735" s="501" t="s">
        <v>2901</v>
      </c>
      <c r="E735" s="429" t="s">
        <v>3044</v>
      </c>
      <c r="F735" s="501"/>
      <c r="G735" s="501"/>
      <c r="H735" s="501"/>
      <c r="I735" s="501" t="s">
        <v>3004</v>
      </c>
      <c r="J735" s="513"/>
      <c r="K735" s="501" t="s">
        <v>4719</v>
      </c>
      <c r="L735" s="501" t="s">
        <v>2567</v>
      </c>
      <c r="M735" s="502">
        <v>44566</v>
      </c>
      <c r="N735" s="502">
        <v>44721</v>
      </c>
      <c r="O735" s="502"/>
      <c r="P735" s="502"/>
      <c r="Q735" s="502"/>
      <c r="R735" s="502"/>
      <c r="S735" s="501" t="s">
        <v>2904</v>
      </c>
      <c r="T735" s="501">
        <v>60</v>
      </c>
      <c r="U735" s="501">
        <v>49401140</v>
      </c>
      <c r="V735" s="501" t="s">
        <v>973</v>
      </c>
      <c r="W735" s="501">
        <v>400</v>
      </c>
      <c r="X735" s="505">
        <v>9152</v>
      </c>
      <c r="Y735" s="477">
        <f t="shared" si="120"/>
        <v>3660800</v>
      </c>
      <c r="Z735" s="478">
        <v>0.55000000000000004</v>
      </c>
      <c r="AA735" s="479">
        <f t="shared" si="121"/>
        <v>2013440.0000000002</v>
      </c>
      <c r="AB735" s="479"/>
      <c r="AC735" s="446">
        <v>0</v>
      </c>
      <c r="AD735" s="490"/>
      <c r="AE735" s="482"/>
      <c r="AF735" s="580">
        <f t="shared" si="122"/>
        <v>2013440.0000000002</v>
      </c>
      <c r="AG735" s="474" t="s">
        <v>1071</v>
      </c>
      <c r="AH735" s="474"/>
      <c r="AI735" s="474">
        <v>60</v>
      </c>
      <c r="AJ735" s="484" t="s">
        <v>2568</v>
      </c>
      <c r="AK735" s="474" t="s">
        <v>1084</v>
      </c>
      <c r="AL735" s="483" t="s">
        <v>2569</v>
      </c>
      <c r="AM735" s="474" t="s">
        <v>52</v>
      </c>
      <c r="AN735" s="474" t="s">
        <v>1074</v>
      </c>
      <c r="AO735" s="474"/>
      <c r="AP735" s="482"/>
      <c r="AQ735" s="482" t="s">
        <v>37</v>
      </c>
      <c r="AR735" s="482"/>
      <c r="AS735" s="472" t="s">
        <v>1076</v>
      </c>
      <c r="AT735" s="436" t="s">
        <v>1076</v>
      </c>
      <c r="AU735" s="436" t="s">
        <v>1076</v>
      </c>
      <c r="AV735" s="478"/>
    </row>
    <row r="736" spans="1:48" s="471" customFormat="1">
      <c r="A736" s="472"/>
      <c r="B736" s="449">
        <v>44573</v>
      </c>
      <c r="C736" s="449" t="s">
        <v>1211</v>
      </c>
      <c r="D736" s="501" t="s">
        <v>2901</v>
      </c>
      <c r="E736" s="429" t="s">
        <v>3044</v>
      </c>
      <c r="F736" s="501"/>
      <c r="G736" s="501"/>
      <c r="H736" s="501"/>
      <c r="I736" s="501" t="s">
        <v>3004</v>
      </c>
      <c r="J736" s="513"/>
      <c r="K736" s="501">
        <v>2200032</v>
      </c>
      <c r="L736" s="501" t="s">
        <v>3108</v>
      </c>
      <c r="M736" s="502">
        <v>44571</v>
      </c>
      <c r="N736" s="502">
        <v>44630</v>
      </c>
      <c r="O736" s="502"/>
      <c r="P736" s="502"/>
      <c r="Q736" s="502"/>
      <c r="R736" s="502"/>
      <c r="S736" s="501" t="s">
        <v>2904</v>
      </c>
      <c r="T736" s="501">
        <v>60</v>
      </c>
      <c r="U736" s="501">
        <v>49202132</v>
      </c>
      <c r="V736" s="501" t="s">
        <v>1223</v>
      </c>
      <c r="W736" s="501">
        <v>360</v>
      </c>
      <c r="X736" s="505">
        <v>728</v>
      </c>
      <c r="Y736" s="477">
        <f t="shared" si="120"/>
        <v>262080</v>
      </c>
      <c r="Z736" s="478">
        <v>0.79</v>
      </c>
      <c r="AA736" s="479">
        <f t="shared" si="121"/>
        <v>207043.20000000001</v>
      </c>
      <c r="AB736" s="479"/>
      <c r="AC736" s="446">
        <v>0</v>
      </c>
      <c r="AD736" s="490"/>
      <c r="AE736" s="482"/>
      <c r="AF736" s="580">
        <f t="shared" si="122"/>
        <v>207043.20000000001</v>
      </c>
      <c r="AG736" s="474" t="s">
        <v>47</v>
      </c>
      <c r="AH736" s="474"/>
      <c r="AI736" s="474">
        <v>60</v>
      </c>
      <c r="AJ736" s="484" t="s">
        <v>3111</v>
      </c>
      <c r="AK736" s="474" t="s">
        <v>1084</v>
      </c>
      <c r="AL736" s="483" t="s">
        <v>3112</v>
      </c>
      <c r="AM736" s="474" t="s">
        <v>52</v>
      </c>
      <c r="AN736" s="474" t="s">
        <v>1074</v>
      </c>
      <c r="AO736" s="474"/>
      <c r="AP736" s="482"/>
      <c r="AQ736" s="482" t="s">
        <v>37</v>
      </c>
      <c r="AR736" s="482"/>
      <c r="AS736" s="472" t="s">
        <v>1076</v>
      </c>
      <c r="AT736" s="436" t="s">
        <v>1076</v>
      </c>
      <c r="AU736" s="436" t="s">
        <v>1076</v>
      </c>
      <c r="AV736" s="478"/>
    </row>
    <row r="737" spans="1:48" s="471" customFormat="1">
      <c r="A737" s="472"/>
      <c r="B737" s="449">
        <v>44586</v>
      </c>
      <c r="C737" s="449" t="s">
        <v>1211</v>
      </c>
      <c r="D737" s="501" t="s">
        <v>2901</v>
      </c>
      <c r="E737" s="429" t="s">
        <v>3044</v>
      </c>
      <c r="F737" s="501"/>
      <c r="G737" s="501"/>
      <c r="H737" s="501"/>
      <c r="I737" s="501" t="s">
        <v>3004</v>
      </c>
      <c r="J737" s="513"/>
      <c r="K737" s="501">
        <v>2200094</v>
      </c>
      <c r="L737" s="501" t="s">
        <v>3108</v>
      </c>
      <c r="M737" s="502">
        <v>44586</v>
      </c>
      <c r="N737" s="502">
        <v>44630</v>
      </c>
      <c r="O737" s="502"/>
      <c r="P737" s="502"/>
      <c r="Q737" s="502"/>
      <c r="R737" s="502"/>
      <c r="S737" s="501" t="s">
        <v>2904</v>
      </c>
      <c r="T737" s="501">
        <v>60</v>
      </c>
      <c r="U737" s="501">
        <v>49202132</v>
      </c>
      <c r="V737" s="501" t="s">
        <v>1223</v>
      </c>
      <c r="W737" s="501">
        <v>360</v>
      </c>
      <c r="X737" s="505">
        <v>728</v>
      </c>
      <c r="Y737" s="477">
        <f t="shared" si="120"/>
        <v>262080</v>
      </c>
      <c r="Z737" s="478">
        <v>0.79</v>
      </c>
      <c r="AA737" s="479">
        <f t="shared" si="121"/>
        <v>207043.20000000001</v>
      </c>
      <c r="AB737" s="479"/>
      <c r="AC737" s="446">
        <v>0</v>
      </c>
      <c r="AD737" s="490"/>
      <c r="AE737" s="482"/>
      <c r="AF737" s="580">
        <f t="shared" si="122"/>
        <v>207043.20000000001</v>
      </c>
      <c r="AG737" s="474" t="s">
        <v>47</v>
      </c>
      <c r="AH737" s="474"/>
      <c r="AI737" s="474">
        <v>60</v>
      </c>
      <c r="AJ737" s="484" t="s">
        <v>3111</v>
      </c>
      <c r="AK737" s="474" t="s">
        <v>1084</v>
      </c>
      <c r="AL737" s="483" t="s">
        <v>3112</v>
      </c>
      <c r="AM737" s="474" t="s">
        <v>52</v>
      </c>
      <c r="AN737" s="474" t="s">
        <v>1074</v>
      </c>
      <c r="AO737" s="474"/>
      <c r="AP737" s="482"/>
      <c r="AQ737" s="482" t="s">
        <v>37</v>
      </c>
      <c r="AR737" s="482"/>
      <c r="AS737" s="472" t="s">
        <v>1076</v>
      </c>
      <c r="AT737" s="436" t="s">
        <v>1076</v>
      </c>
      <c r="AU737" s="436" t="s">
        <v>1076</v>
      </c>
      <c r="AV737" s="478"/>
    </row>
    <row r="738" spans="1:48" s="471" customFormat="1">
      <c r="A738" s="472"/>
      <c r="B738" s="449">
        <v>44593</v>
      </c>
      <c r="C738" s="449" t="s">
        <v>1211</v>
      </c>
      <c r="D738" s="501" t="s">
        <v>2901</v>
      </c>
      <c r="E738" s="429" t="s">
        <v>3044</v>
      </c>
      <c r="F738" s="501"/>
      <c r="G738" s="501"/>
      <c r="H738" s="501"/>
      <c r="I738" s="501" t="s">
        <v>3004</v>
      </c>
      <c r="J738" s="513"/>
      <c r="K738" s="501">
        <v>2200114</v>
      </c>
      <c r="L738" s="501" t="s">
        <v>3108</v>
      </c>
      <c r="M738" s="502">
        <v>44588</v>
      </c>
      <c r="N738" s="502">
        <v>44868</v>
      </c>
      <c r="O738" s="502"/>
      <c r="P738" s="502"/>
      <c r="Q738" s="502"/>
      <c r="R738" s="502"/>
      <c r="S738" s="501" t="s">
        <v>2904</v>
      </c>
      <c r="T738" s="501">
        <v>60</v>
      </c>
      <c r="U738" s="501">
        <v>49202132</v>
      </c>
      <c r="V738" s="501" t="s">
        <v>1223</v>
      </c>
      <c r="W738" s="501">
        <v>360</v>
      </c>
      <c r="X738" s="505">
        <v>728</v>
      </c>
      <c r="Y738" s="477">
        <f t="shared" si="120"/>
        <v>262080</v>
      </c>
      <c r="Z738" s="478">
        <v>0.79</v>
      </c>
      <c r="AA738" s="479">
        <f t="shared" si="121"/>
        <v>207043.20000000001</v>
      </c>
      <c r="AB738" s="479"/>
      <c r="AC738" s="446">
        <v>0</v>
      </c>
      <c r="AD738" s="490"/>
      <c r="AE738" s="482"/>
      <c r="AF738" s="580">
        <f t="shared" si="122"/>
        <v>207043.20000000001</v>
      </c>
      <c r="AG738" s="474" t="s">
        <v>47</v>
      </c>
      <c r="AH738" s="474"/>
      <c r="AI738" s="474">
        <v>60</v>
      </c>
      <c r="AJ738" s="484" t="s">
        <v>3109</v>
      </c>
      <c r="AK738" s="474" t="s">
        <v>1084</v>
      </c>
      <c r="AL738" s="483" t="s">
        <v>3110</v>
      </c>
      <c r="AM738" s="474" t="s">
        <v>52</v>
      </c>
      <c r="AN738" s="474" t="s">
        <v>1074</v>
      </c>
      <c r="AO738" s="474"/>
      <c r="AP738" s="482"/>
      <c r="AQ738" s="482" t="s">
        <v>37</v>
      </c>
      <c r="AR738" s="482"/>
      <c r="AS738" s="472" t="s">
        <v>1076</v>
      </c>
      <c r="AT738" s="436" t="s">
        <v>1076</v>
      </c>
      <c r="AU738" s="436" t="s">
        <v>1076</v>
      </c>
      <c r="AV738" s="478"/>
    </row>
    <row r="739" spans="1:48" s="471" customFormat="1">
      <c r="A739" s="472"/>
      <c r="B739" s="449">
        <v>44603</v>
      </c>
      <c r="C739" s="449" t="s">
        <v>1211</v>
      </c>
      <c r="D739" s="501" t="s">
        <v>2901</v>
      </c>
      <c r="E739" s="429" t="s">
        <v>4718</v>
      </c>
      <c r="F739" s="501"/>
      <c r="G739" s="501"/>
      <c r="H739" s="501"/>
      <c r="I739" s="501" t="s">
        <v>3004</v>
      </c>
      <c r="J739" s="513"/>
      <c r="K739" s="501" t="s">
        <v>4720</v>
      </c>
      <c r="L739" s="501" t="s">
        <v>2567</v>
      </c>
      <c r="M739" s="502">
        <v>44582</v>
      </c>
      <c r="N739" s="502">
        <v>44652</v>
      </c>
      <c r="O739" s="502"/>
      <c r="P739" s="502"/>
      <c r="Q739" s="502"/>
      <c r="R739" s="502"/>
      <c r="S739" s="501" t="s">
        <v>2904</v>
      </c>
      <c r="T739" s="501">
        <v>60</v>
      </c>
      <c r="U739" s="501">
        <v>49403140</v>
      </c>
      <c r="V739" s="501" t="s">
        <v>973</v>
      </c>
      <c r="W739" s="501">
        <v>400</v>
      </c>
      <c r="X739" s="505">
        <v>6912</v>
      </c>
      <c r="Y739" s="477">
        <f t="shared" si="120"/>
        <v>2764800</v>
      </c>
      <c r="Z739" s="478">
        <v>0.55000000000000004</v>
      </c>
      <c r="AA739" s="479">
        <f t="shared" si="121"/>
        <v>1520640.0000000002</v>
      </c>
      <c r="AB739" s="479"/>
      <c r="AC739" s="446">
        <v>0</v>
      </c>
      <c r="AD739" s="490"/>
      <c r="AE739" s="482"/>
      <c r="AF739" s="580">
        <f t="shared" si="122"/>
        <v>1520640.0000000002</v>
      </c>
      <c r="AG739" s="474" t="s">
        <v>1071</v>
      </c>
      <c r="AH739" s="474"/>
      <c r="AI739" s="474">
        <v>60</v>
      </c>
      <c r="AJ739" s="484" t="s">
        <v>2568</v>
      </c>
      <c r="AK739" s="474" t="s">
        <v>1084</v>
      </c>
      <c r="AL739" s="483" t="s">
        <v>2569</v>
      </c>
      <c r="AM739" s="474" t="s">
        <v>52</v>
      </c>
      <c r="AN739" s="474" t="s">
        <v>1074</v>
      </c>
      <c r="AO739" s="474"/>
      <c r="AP739" s="482"/>
      <c r="AQ739" s="482" t="s">
        <v>37</v>
      </c>
      <c r="AR739" s="482" t="s">
        <v>3026</v>
      </c>
      <c r="AS739" s="472" t="s">
        <v>1076</v>
      </c>
      <c r="AT739" s="436" t="s">
        <v>1076</v>
      </c>
      <c r="AU739" s="436" t="s">
        <v>1076</v>
      </c>
      <c r="AV739" s="478">
        <v>0.73</v>
      </c>
    </row>
    <row r="740" spans="1:48" s="471" customFormat="1">
      <c r="A740" s="472"/>
      <c r="B740" s="449">
        <v>44603</v>
      </c>
      <c r="C740" s="449" t="s">
        <v>1211</v>
      </c>
      <c r="D740" s="501" t="s">
        <v>2901</v>
      </c>
      <c r="E740" s="429" t="s">
        <v>4718</v>
      </c>
      <c r="F740" s="501"/>
      <c r="G740" s="501"/>
      <c r="H740" s="501"/>
      <c r="I740" s="501" t="s">
        <v>3004</v>
      </c>
      <c r="J740" s="513"/>
      <c r="K740" s="501" t="s">
        <v>4721</v>
      </c>
      <c r="L740" s="501" t="s">
        <v>2567</v>
      </c>
      <c r="M740" s="502">
        <v>44582</v>
      </c>
      <c r="N740" s="502">
        <v>44682</v>
      </c>
      <c r="O740" s="502"/>
      <c r="P740" s="502"/>
      <c r="Q740" s="502"/>
      <c r="R740" s="502"/>
      <c r="S740" s="501" t="s">
        <v>2904</v>
      </c>
      <c r="T740" s="501">
        <v>60</v>
      </c>
      <c r="U740" s="501">
        <v>49403140</v>
      </c>
      <c r="V740" s="501" t="s">
        <v>973</v>
      </c>
      <c r="W740" s="501">
        <v>400</v>
      </c>
      <c r="X740" s="505">
        <v>6912</v>
      </c>
      <c r="Y740" s="477">
        <f t="shared" si="120"/>
        <v>2764800</v>
      </c>
      <c r="Z740" s="478">
        <v>0.55000000000000004</v>
      </c>
      <c r="AA740" s="479">
        <f t="shared" si="121"/>
        <v>1520640.0000000002</v>
      </c>
      <c r="AB740" s="479"/>
      <c r="AC740" s="446">
        <v>0</v>
      </c>
      <c r="AD740" s="490"/>
      <c r="AE740" s="482"/>
      <c r="AF740" s="580">
        <f t="shared" si="122"/>
        <v>1520640.0000000002</v>
      </c>
      <c r="AG740" s="474" t="s">
        <v>1071</v>
      </c>
      <c r="AH740" s="474"/>
      <c r="AI740" s="474">
        <v>60</v>
      </c>
      <c r="AJ740" s="484" t="s">
        <v>2568</v>
      </c>
      <c r="AK740" s="474" t="s">
        <v>1084</v>
      </c>
      <c r="AL740" s="483" t="s">
        <v>2569</v>
      </c>
      <c r="AM740" s="474" t="s">
        <v>52</v>
      </c>
      <c r="AN740" s="474" t="s">
        <v>1074</v>
      </c>
      <c r="AO740" s="474"/>
      <c r="AP740" s="482"/>
      <c r="AQ740" s="482" t="s">
        <v>37</v>
      </c>
      <c r="AR740" s="482" t="s">
        <v>3026</v>
      </c>
      <c r="AS740" s="472" t="s">
        <v>1076</v>
      </c>
      <c r="AT740" s="436" t="s">
        <v>1076</v>
      </c>
      <c r="AU740" s="436" t="s">
        <v>1076</v>
      </c>
      <c r="AV740" s="478">
        <v>0.73</v>
      </c>
    </row>
    <row r="741" spans="1:48" s="471" customFormat="1">
      <c r="A741" s="472"/>
      <c r="B741" s="449">
        <v>44642</v>
      </c>
      <c r="C741" s="449" t="s">
        <v>1211</v>
      </c>
      <c r="D741" s="501" t="s">
        <v>2901</v>
      </c>
      <c r="E741" s="429" t="s">
        <v>4722</v>
      </c>
      <c r="F741" s="501"/>
      <c r="G741" s="501"/>
      <c r="H741" s="501"/>
      <c r="I741" s="501" t="s">
        <v>3004</v>
      </c>
      <c r="J741" s="513"/>
      <c r="K741" s="501" t="s">
        <v>4723</v>
      </c>
      <c r="L741" s="501" t="s">
        <v>3052</v>
      </c>
      <c r="M741" s="502">
        <v>44637</v>
      </c>
      <c r="N741" s="502">
        <v>44742</v>
      </c>
      <c r="O741" s="502"/>
      <c r="P741" s="502"/>
      <c r="Q741" s="502"/>
      <c r="R741" s="502"/>
      <c r="S741" s="501" t="s">
        <v>2904</v>
      </c>
      <c r="T741" s="501">
        <v>60</v>
      </c>
      <c r="U741" s="501">
        <v>49403140</v>
      </c>
      <c r="V741" s="501" t="s">
        <v>973</v>
      </c>
      <c r="W741" s="501">
        <v>400</v>
      </c>
      <c r="X741" s="505">
        <v>768</v>
      </c>
      <c r="Y741" s="477">
        <f t="shared" si="120"/>
        <v>307200</v>
      </c>
      <c r="Z741" s="478">
        <v>0.495</v>
      </c>
      <c r="AA741" s="479">
        <f t="shared" si="121"/>
        <v>152064</v>
      </c>
      <c r="AB741" s="479"/>
      <c r="AC741" s="446">
        <v>0</v>
      </c>
      <c r="AD741" s="490"/>
      <c r="AE741" s="482"/>
      <c r="AF741" s="580">
        <f t="shared" si="122"/>
        <v>152064</v>
      </c>
      <c r="AG741" s="474" t="s">
        <v>47</v>
      </c>
      <c r="AH741" s="474"/>
      <c r="AI741" s="474">
        <v>60</v>
      </c>
      <c r="AJ741" s="484" t="s">
        <v>3068</v>
      </c>
      <c r="AK741" s="474" t="s">
        <v>1590</v>
      </c>
      <c r="AL741" s="483" t="s">
        <v>3069</v>
      </c>
      <c r="AM741" s="474" t="s">
        <v>52</v>
      </c>
      <c r="AN741" s="474" t="s">
        <v>1074</v>
      </c>
      <c r="AO741" s="474"/>
      <c r="AP741" s="482"/>
      <c r="AQ741" s="482" t="s">
        <v>37</v>
      </c>
      <c r="AR741" s="482"/>
      <c r="AS741" s="472" t="s">
        <v>1076</v>
      </c>
      <c r="AT741" s="436" t="s">
        <v>1076</v>
      </c>
      <c r="AU741" s="436" t="s">
        <v>1076</v>
      </c>
      <c r="AV741" s="478"/>
    </row>
    <row r="742" spans="1:48" s="471" customFormat="1">
      <c r="A742" s="472"/>
      <c r="B742" s="449">
        <v>44642</v>
      </c>
      <c r="C742" s="449" t="s">
        <v>1211</v>
      </c>
      <c r="D742" s="501" t="s">
        <v>2901</v>
      </c>
      <c r="E742" s="429" t="s">
        <v>4722</v>
      </c>
      <c r="F742" s="501"/>
      <c r="G742" s="501"/>
      <c r="H742" s="501"/>
      <c r="I742" s="501" t="s">
        <v>3004</v>
      </c>
      <c r="J742" s="513"/>
      <c r="K742" s="501" t="s">
        <v>4724</v>
      </c>
      <c r="L742" s="501" t="s">
        <v>3052</v>
      </c>
      <c r="M742" s="502">
        <v>44637</v>
      </c>
      <c r="N742" s="502">
        <v>44742</v>
      </c>
      <c r="O742" s="502"/>
      <c r="P742" s="502"/>
      <c r="Q742" s="502"/>
      <c r="R742" s="502"/>
      <c r="S742" s="501" t="s">
        <v>2904</v>
      </c>
      <c r="T742" s="501">
        <v>60</v>
      </c>
      <c r="U742" s="501">
        <v>49403140</v>
      </c>
      <c r="V742" s="501" t="s">
        <v>973</v>
      </c>
      <c r="W742" s="501">
        <v>400</v>
      </c>
      <c r="X742" s="505">
        <v>768</v>
      </c>
      <c r="Y742" s="477">
        <f t="shared" si="120"/>
        <v>307200</v>
      </c>
      <c r="Z742" s="478">
        <v>0.495</v>
      </c>
      <c r="AA742" s="479">
        <f t="shared" si="121"/>
        <v>152064</v>
      </c>
      <c r="AB742" s="479"/>
      <c r="AC742" s="446">
        <v>0</v>
      </c>
      <c r="AD742" s="490"/>
      <c r="AE742" s="482"/>
      <c r="AF742" s="580">
        <f t="shared" si="122"/>
        <v>152064</v>
      </c>
      <c r="AG742" s="474" t="s">
        <v>47</v>
      </c>
      <c r="AH742" s="474"/>
      <c r="AI742" s="474">
        <v>60</v>
      </c>
      <c r="AJ742" s="484" t="s">
        <v>3068</v>
      </c>
      <c r="AK742" s="474" t="s">
        <v>1590</v>
      </c>
      <c r="AL742" s="483" t="s">
        <v>3069</v>
      </c>
      <c r="AM742" s="474" t="s">
        <v>52</v>
      </c>
      <c r="AN742" s="474" t="s">
        <v>1074</v>
      </c>
      <c r="AO742" s="474"/>
      <c r="AP742" s="482"/>
      <c r="AQ742" s="482" t="s">
        <v>37</v>
      </c>
      <c r="AR742" s="482"/>
      <c r="AS742" s="472" t="s">
        <v>1076</v>
      </c>
      <c r="AT742" s="436" t="s">
        <v>1076</v>
      </c>
      <c r="AU742" s="436" t="s">
        <v>1076</v>
      </c>
      <c r="AV742" s="478"/>
    </row>
    <row r="743" spans="1:48" s="471" customFormat="1">
      <c r="A743" s="472"/>
      <c r="B743" s="449">
        <v>44642</v>
      </c>
      <c r="C743" s="449" t="s">
        <v>1211</v>
      </c>
      <c r="D743" s="501" t="s">
        <v>2901</v>
      </c>
      <c r="E743" s="429" t="s">
        <v>4722</v>
      </c>
      <c r="F743" s="501"/>
      <c r="G743" s="501"/>
      <c r="H743" s="501"/>
      <c r="I743" s="501" t="s">
        <v>3004</v>
      </c>
      <c r="J743" s="513"/>
      <c r="K743" s="501" t="s">
        <v>4725</v>
      </c>
      <c r="L743" s="501" t="s">
        <v>3052</v>
      </c>
      <c r="M743" s="502">
        <v>44637</v>
      </c>
      <c r="N743" s="502">
        <v>44742</v>
      </c>
      <c r="O743" s="502"/>
      <c r="P743" s="502"/>
      <c r="Q743" s="502"/>
      <c r="R743" s="502"/>
      <c r="S743" s="501" t="s">
        <v>2904</v>
      </c>
      <c r="T743" s="501">
        <v>60</v>
      </c>
      <c r="U743" s="501">
        <v>49403140</v>
      </c>
      <c r="V743" s="501" t="s">
        <v>973</v>
      </c>
      <c r="W743" s="501">
        <v>400</v>
      </c>
      <c r="X743" s="505">
        <v>768</v>
      </c>
      <c r="Y743" s="477">
        <f t="shared" si="120"/>
        <v>307200</v>
      </c>
      <c r="Z743" s="478">
        <v>0.495</v>
      </c>
      <c r="AA743" s="479">
        <f t="shared" si="121"/>
        <v>152064</v>
      </c>
      <c r="AB743" s="479"/>
      <c r="AC743" s="446">
        <v>0</v>
      </c>
      <c r="AD743" s="490"/>
      <c r="AE743" s="482"/>
      <c r="AF743" s="580">
        <f t="shared" si="122"/>
        <v>152064</v>
      </c>
      <c r="AG743" s="474" t="s">
        <v>47</v>
      </c>
      <c r="AH743" s="474"/>
      <c r="AI743" s="474">
        <v>60</v>
      </c>
      <c r="AJ743" s="484" t="s">
        <v>3071</v>
      </c>
      <c r="AK743" s="474" t="s">
        <v>1590</v>
      </c>
      <c r="AL743" s="483" t="s">
        <v>3072</v>
      </c>
      <c r="AM743" s="474" t="s">
        <v>52</v>
      </c>
      <c r="AN743" s="474" t="s">
        <v>1074</v>
      </c>
      <c r="AO743" s="474"/>
      <c r="AP743" s="482"/>
      <c r="AQ743" s="482" t="s">
        <v>37</v>
      </c>
      <c r="AR743" s="482"/>
      <c r="AS743" s="472" t="s">
        <v>1076</v>
      </c>
      <c r="AT743" s="436" t="s">
        <v>1076</v>
      </c>
      <c r="AU743" s="436" t="s">
        <v>1076</v>
      </c>
      <c r="AV743" s="478"/>
    </row>
    <row r="744" spans="1:48" s="471" customFormat="1">
      <c r="A744" s="472"/>
      <c r="B744" s="449">
        <v>44642</v>
      </c>
      <c r="C744" s="449" t="s">
        <v>1211</v>
      </c>
      <c r="D744" s="501" t="s">
        <v>2901</v>
      </c>
      <c r="E744" s="429" t="s">
        <v>4722</v>
      </c>
      <c r="F744" s="501"/>
      <c r="G744" s="501"/>
      <c r="H744" s="501"/>
      <c r="I744" s="501" t="s">
        <v>3004</v>
      </c>
      <c r="J744" s="513"/>
      <c r="K744" s="501" t="s">
        <v>4726</v>
      </c>
      <c r="L744" s="501" t="s">
        <v>3052</v>
      </c>
      <c r="M744" s="502">
        <v>44637</v>
      </c>
      <c r="N744" s="502">
        <v>44742</v>
      </c>
      <c r="O744" s="502"/>
      <c r="P744" s="502"/>
      <c r="Q744" s="502"/>
      <c r="R744" s="502"/>
      <c r="S744" s="501" t="s">
        <v>2904</v>
      </c>
      <c r="T744" s="501">
        <v>60</v>
      </c>
      <c r="U744" s="501">
        <v>49403140</v>
      </c>
      <c r="V744" s="501" t="s">
        <v>973</v>
      </c>
      <c r="W744" s="501">
        <v>400</v>
      </c>
      <c r="X744" s="505">
        <v>768</v>
      </c>
      <c r="Y744" s="477">
        <f t="shared" si="120"/>
        <v>307200</v>
      </c>
      <c r="Z744" s="478">
        <v>0.495</v>
      </c>
      <c r="AA744" s="479">
        <f t="shared" si="121"/>
        <v>152064</v>
      </c>
      <c r="AB744" s="479"/>
      <c r="AC744" s="446">
        <v>0</v>
      </c>
      <c r="AD744" s="490"/>
      <c r="AE744" s="482"/>
      <c r="AF744" s="580">
        <f t="shared" si="122"/>
        <v>152064</v>
      </c>
      <c r="AG744" s="474" t="s">
        <v>47</v>
      </c>
      <c r="AH744" s="474"/>
      <c r="AI744" s="474">
        <v>60</v>
      </c>
      <c r="AJ744" s="484" t="s">
        <v>3071</v>
      </c>
      <c r="AK744" s="474" t="s">
        <v>1590</v>
      </c>
      <c r="AL744" s="483" t="s">
        <v>3072</v>
      </c>
      <c r="AM744" s="474" t="s">
        <v>52</v>
      </c>
      <c r="AN744" s="474" t="s">
        <v>1074</v>
      </c>
      <c r="AO744" s="474"/>
      <c r="AP744" s="482"/>
      <c r="AQ744" s="482" t="s">
        <v>37</v>
      </c>
      <c r="AR744" s="482"/>
      <c r="AS744" s="472" t="s">
        <v>1076</v>
      </c>
      <c r="AT744" s="436" t="s">
        <v>1076</v>
      </c>
      <c r="AU744" s="436" t="s">
        <v>1076</v>
      </c>
      <c r="AV744" s="478"/>
    </row>
    <row r="745" spans="1:48" s="471" customFormat="1">
      <c r="A745" s="472"/>
      <c r="B745" s="449">
        <v>44642</v>
      </c>
      <c r="C745" s="449" t="s">
        <v>1211</v>
      </c>
      <c r="D745" s="501" t="s">
        <v>2901</v>
      </c>
      <c r="E745" s="429" t="s">
        <v>4722</v>
      </c>
      <c r="F745" s="501"/>
      <c r="G745" s="501"/>
      <c r="H745" s="501"/>
      <c r="I745" s="501" t="s">
        <v>3004</v>
      </c>
      <c r="J745" s="513"/>
      <c r="K745" s="501" t="s">
        <v>4727</v>
      </c>
      <c r="L745" s="501" t="s">
        <v>3052</v>
      </c>
      <c r="M745" s="502">
        <v>44637</v>
      </c>
      <c r="N745" s="502">
        <v>44742</v>
      </c>
      <c r="O745" s="502"/>
      <c r="P745" s="502"/>
      <c r="Q745" s="502"/>
      <c r="R745" s="502"/>
      <c r="S745" s="501" t="s">
        <v>2904</v>
      </c>
      <c r="T745" s="501">
        <v>60</v>
      </c>
      <c r="U745" s="501">
        <v>49403140</v>
      </c>
      <c r="V745" s="501" t="s">
        <v>973</v>
      </c>
      <c r="W745" s="501">
        <v>400</v>
      </c>
      <c r="X745" s="505">
        <v>768</v>
      </c>
      <c r="Y745" s="477">
        <f t="shared" si="120"/>
        <v>307200</v>
      </c>
      <c r="Z745" s="478">
        <v>0.495</v>
      </c>
      <c r="AA745" s="479">
        <f t="shared" si="121"/>
        <v>152064</v>
      </c>
      <c r="AB745" s="479"/>
      <c r="AC745" s="446">
        <v>0</v>
      </c>
      <c r="AD745" s="490"/>
      <c r="AE745" s="482"/>
      <c r="AF745" s="580">
        <f t="shared" si="122"/>
        <v>152064</v>
      </c>
      <c r="AG745" s="474" t="s">
        <v>47</v>
      </c>
      <c r="AH745" s="474"/>
      <c r="AI745" s="474">
        <v>60</v>
      </c>
      <c r="AJ745" s="484" t="s">
        <v>3064</v>
      </c>
      <c r="AK745" s="474" t="s">
        <v>1158</v>
      </c>
      <c r="AL745" s="483" t="s">
        <v>3065</v>
      </c>
      <c r="AM745" s="474" t="s">
        <v>52</v>
      </c>
      <c r="AN745" s="474" t="s">
        <v>1074</v>
      </c>
      <c r="AO745" s="474"/>
      <c r="AP745" s="482"/>
      <c r="AQ745" s="482" t="s">
        <v>37</v>
      </c>
      <c r="AR745" s="482"/>
      <c r="AS745" s="472" t="s">
        <v>1076</v>
      </c>
      <c r="AT745" s="436" t="s">
        <v>1076</v>
      </c>
      <c r="AU745" s="436" t="s">
        <v>1076</v>
      </c>
      <c r="AV745" s="478"/>
    </row>
    <row r="746" spans="1:48" s="471" customFormat="1">
      <c r="A746" s="472"/>
      <c r="B746" s="449">
        <v>44642</v>
      </c>
      <c r="C746" s="449" t="s">
        <v>1211</v>
      </c>
      <c r="D746" s="501" t="s">
        <v>2901</v>
      </c>
      <c r="E746" s="429" t="s">
        <v>4722</v>
      </c>
      <c r="F746" s="501"/>
      <c r="G746" s="501"/>
      <c r="H746" s="501"/>
      <c r="I746" s="501" t="s">
        <v>3004</v>
      </c>
      <c r="J746" s="513"/>
      <c r="K746" s="501" t="s">
        <v>4728</v>
      </c>
      <c r="L746" s="501" t="s">
        <v>3052</v>
      </c>
      <c r="M746" s="502">
        <v>44637</v>
      </c>
      <c r="N746" s="502">
        <v>44742</v>
      </c>
      <c r="O746" s="502"/>
      <c r="P746" s="502"/>
      <c r="Q746" s="502"/>
      <c r="R746" s="502"/>
      <c r="S746" s="501" t="s">
        <v>2904</v>
      </c>
      <c r="T746" s="501">
        <v>60</v>
      </c>
      <c r="U746" s="501">
        <v>49403140</v>
      </c>
      <c r="V746" s="501" t="s">
        <v>973</v>
      </c>
      <c r="W746" s="501">
        <v>400</v>
      </c>
      <c r="X746" s="505">
        <v>768</v>
      </c>
      <c r="Y746" s="477">
        <f t="shared" si="120"/>
        <v>307200</v>
      </c>
      <c r="Z746" s="478">
        <v>0.495</v>
      </c>
      <c r="AA746" s="479">
        <f t="shared" si="121"/>
        <v>152064</v>
      </c>
      <c r="AB746" s="479"/>
      <c r="AC746" s="446">
        <v>0</v>
      </c>
      <c r="AD746" s="490"/>
      <c r="AE746" s="482"/>
      <c r="AF746" s="580">
        <f t="shared" si="122"/>
        <v>152064</v>
      </c>
      <c r="AG746" s="474" t="s">
        <v>47</v>
      </c>
      <c r="AH746" s="474"/>
      <c r="AI746" s="474">
        <v>60</v>
      </c>
      <c r="AJ746" s="484" t="s">
        <v>3064</v>
      </c>
      <c r="AK746" s="474" t="s">
        <v>1158</v>
      </c>
      <c r="AL746" s="483" t="s">
        <v>3065</v>
      </c>
      <c r="AM746" s="474" t="s">
        <v>52</v>
      </c>
      <c r="AN746" s="474" t="s">
        <v>1074</v>
      </c>
      <c r="AO746" s="474"/>
      <c r="AP746" s="482"/>
      <c r="AQ746" s="482" t="s">
        <v>37</v>
      </c>
      <c r="AR746" s="482"/>
      <c r="AS746" s="472" t="s">
        <v>1076</v>
      </c>
      <c r="AT746" s="436" t="s">
        <v>1076</v>
      </c>
      <c r="AU746" s="436" t="s">
        <v>1076</v>
      </c>
      <c r="AV746" s="478"/>
    </row>
    <row r="747" spans="1:48" s="471" customFormat="1">
      <c r="A747" s="472"/>
      <c r="B747" s="449">
        <v>44642</v>
      </c>
      <c r="C747" s="449" t="s">
        <v>1211</v>
      </c>
      <c r="D747" s="501" t="s">
        <v>2901</v>
      </c>
      <c r="E747" s="429" t="s">
        <v>4722</v>
      </c>
      <c r="F747" s="501"/>
      <c r="G747" s="501"/>
      <c r="H747" s="501"/>
      <c r="I747" s="501" t="s">
        <v>3004</v>
      </c>
      <c r="J747" s="513"/>
      <c r="K747" s="501" t="s">
        <v>4729</v>
      </c>
      <c r="L747" s="501" t="s">
        <v>3052</v>
      </c>
      <c r="M747" s="502">
        <v>44637</v>
      </c>
      <c r="N747" s="502">
        <v>44742</v>
      </c>
      <c r="O747" s="502"/>
      <c r="P747" s="502"/>
      <c r="Q747" s="502"/>
      <c r="R747" s="502"/>
      <c r="S747" s="501" t="s">
        <v>2904</v>
      </c>
      <c r="T747" s="501">
        <v>60</v>
      </c>
      <c r="U747" s="501">
        <v>49403140</v>
      </c>
      <c r="V747" s="501" t="s">
        <v>973</v>
      </c>
      <c r="W747" s="501">
        <v>400</v>
      </c>
      <c r="X747" s="505">
        <v>768</v>
      </c>
      <c r="Y747" s="477">
        <f t="shared" si="120"/>
        <v>307200</v>
      </c>
      <c r="Z747" s="478">
        <v>0.495</v>
      </c>
      <c r="AA747" s="479">
        <f t="shared" si="121"/>
        <v>152064</v>
      </c>
      <c r="AB747" s="479"/>
      <c r="AC747" s="446">
        <v>0</v>
      </c>
      <c r="AD747" s="490"/>
      <c r="AE747" s="482"/>
      <c r="AF747" s="580">
        <f t="shared" si="122"/>
        <v>152064</v>
      </c>
      <c r="AG747" s="474" t="s">
        <v>47</v>
      </c>
      <c r="AH747" s="474"/>
      <c r="AI747" s="474">
        <v>60</v>
      </c>
      <c r="AJ747" s="484" t="s">
        <v>3064</v>
      </c>
      <c r="AK747" s="474" t="s">
        <v>1158</v>
      </c>
      <c r="AL747" s="483" t="s">
        <v>3065</v>
      </c>
      <c r="AM747" s="474" t="s">
        <v>52</v>
      </c>
      <c r="AN747" s="474" t="s">
        <v>1074</v>
      </c>
      <c r="AO747" s="474"/>
      <c r="AP747" s="482"/>
      <c r="AQ747" s="482" t="s">
        <v>37</v>
      </c>
      <c r="AR747" s="482"/>
      <c r="AS747" s="472" t="s">
        <v>1076</v>
      </c>
      <c r="AT747" s="436" t="s">
        <v>1076</v>
      </c>
      <c r="AU747" s="436" t="s">
        <v>1076</v>
      </c>
      <c r="AV747" s="478"/>
    </row>
    <row r="748" spans="1:48" s="471" customFormat="1">
      <c r="A748" s="472"/>
      <c r="B748" s="449">
        <v>44642</v>
      </c>
      <c r="C748" s="449" t="s">
        <v>1211</v>
      </c>
      <c r="D748" s="501" t="s">
        <v>2901</v>
      </c>
      <c r="E748" s="429" t="s">
        <v>4722</v>
      </c>
      <c r="F748" s="501"/>
      <c r="G748" s="501"/>
      <c r="H748" s="501"/>
      <c r="I748" s="501" t="s">
        <v>3004</v>
      </c>
      <c r="J748" s="513"/>
      <c r="K748" s="501" t="s">
        <v>4730</v>
      </c>
      <c r="L748" s="501" t="s">
        <v>3052</v>
      </c>
      <c r="M748" s="502">
        <v>44637</v>
      </c>
      <c r="N748" s="502">
        <v>44742</v>
      </c>
      <c r="O748" s="502"/>
      <c r="P748" s="502"/>
      <c r="Q748" s="502"/>
      <c r="R748" s="502"/>
      <c r="S748" s="501" t="s">
        <v>2904</v>
      </c>
      <c r="T748" s="501">
        <v>60</v>
      </c>
      <c r="U748" s="501">
        <v>49403140</v>
      </c>
      <c r="V748" s="501" t="s">
        <v>973</v>
      </c>
      <c r="W748" s="501">
        <v>400</v>
      </c>
      <c r="X748" s="505">
        <v>768</v>
      </c>
      <c r="Y748" s="477">
        <f t="shared" si="120"/>
        <v>307200</v>
      </c>
      <c r="Z748" s="478">
        <v>0.495</v>
      </c>
      <c r="AA748" s="479">
        <f t="shared" si="121"/>
        <v>152064</v>
      </c>
      <c r="AB748" s="479"/>
      <c r="AC748" s="446">
        <v>0</v>
      </c>
      <c r="AD748" s="490"/>
      <c r="AE748" s="482"/>
      <c r="AF748" s="580">
        <f t="shared" si="122"/>
        <v>152064</v>
      </c>
      <c r="AG748" s="474" t="s">
        <v>47</v>
      </c>
      <c r="AH748" s="474"/>
      <c r="AI748" s="474">
        <v>60</v>
      </c>
      <c r="AJ748" s="484" t="s">
        <v>3055</v>
      </c>
      <c r="AK748" s="474" t="s">
        <v>1375</v>
      </c>
      <c r="AL748" s="483" t="s">
        <v>3082</v>
      </c>
      <c r="AM748" s="474" t="s">
        <v>52</v>
      </c>
      <c r="AN748" s="474" t="s">
        <v>1074</v>
      </c>
      <c r="AO748" s="474"/>
      <c r="AP748" s="482"/>
      <c r="AQ748" s="482" t="s">
        <v>37</v>
      </c>
      <c r="AR748" s="482"/>
      <c r="AS748" s="472" t="s">
        <v>1076</v>
      </c>
      <c r="AT748" s="436" t="s">
        <v>1076</v>
      </c>
      <c r="AU748" s="436" t="s">
        <v>1076</v>
      </c>
      <c r="AV748" s="478"/>
    </row>
    <row r="749" spans="1:48" s="471" customFormat="1">
      <c r="A749" s="472"/>
      <c r="B749" s="449">
        <v>44642</v>
      </c>
      <c r="C749" s="449" t="s">
        <v>1211</v>
      </c>
      <c r="D749" s="501" t="s">
        <v>2901</v>
      </c>
      <c r="E749" s="429" t="s">
        <v>4722</v>
      </c>
      <c r="F749" s="501"/>
      <c r="G749" s="501"/>
      <c r="H749" s="501"/>
      <c r="I749" s="501" t="s">
        <v>3004</v>
      </c>
      <c r="J749" s="513"/>
      <c r="K749" s="501" t="s">
        <v>4731</v>
      </c>
      <c r="L749" s="501" t="s">
        <v>3052</v>
      </c>
      <c r="M749" s="502">
        <v>44637</v>
      </c>
      <c r="N749" s="502">
        <v>44742</v>
      </c>
      <c r="O749" s="502"/>
      <c r="P749" s="502"/>
      <c r="Q749" s="502"/>
      <c r="R749" s="502"/>
      <c r="S749" s="501" t="s">
        <v>2904</v>
      </c>
      <c r="T749" s="501">
        <v>60</v>
      </c>
      <c r="U749" s="501">
        <v>49403140</v>
      </c>
      <c r="V749" s="501" t="s">
        <v>973</v>
      </c>
      <c r="W749" s="501">
        <v>400</v>
      </c>
      <c r="X749" s="505">
        <v>768</v>
      </c>
      <c r="Y749" s="477">
        <f t="shared" si="120"/>
        <v>307200</v>
      </c>
      <c r="Z749" s="478">
        <v>0.495</v>
      </c>
      <c r="AA749" s="479">
        <f t="shared" si="121"/>
        <v>152064</v>
      </c>
      <c r="AB749" s="479"/>
      <c r="AC749" s="446">
        <v>0</v>
      </c>
      <c r="AD749" s="490"/>
      <c r="AE749" s="482"/>
      <c r="AF749" s="580">
        <f t="shared" si="122"/>
        <v>152064</v>
      </c>
      <c r="AG749" s="474" t="s">
        <v>47</v>
      </c>
      <c r="AH749" s="474"/>
      <c r="AI749" s="474">
        <v>60</v>
      </c>
      <c r="AJ749" s="484" t="s">
        <v>3055</v>
      </c>
      <c r="AK749" s="474" t="s">
        <v>1375</v>
      </c>
      <c r="AL749" s="483" t="s">
        <v>3082</v>
      </c>
      <c r="AM749" s="474" t="s">
        <v>52</v>
      </c>
      <c r="AN749" s="474" t="s">
        <v>1074</v>
      </c>
      <c r="AO749" s="474"/>
      <c r="AP749" s="482"/>
      <c r="AQ749" s="482" t="s">
        <v>37</v>
      </c>
      <c r="AR749" s="482"/>
      <c r="AS749" s="472" t="s">
        <v>1076</v>
      </c>
      <c r="AT749" s="436" t="s">
        <v>1076</v>
      </c>
      <c r="AU749" s="436" t="s">
        <v>1076</v>
      </c>
      <c r="AV749" s="478"/>
    </row>
    <row r="750" spans="1:48" s="471" customFormat="1">
      <c r="A750" s="472"/>
      <c r="B750" s="449">
        <v>44642</v>
      </c>
      <c r="C750" s="449" t="s">
        <v>1211</v>
      </c>
      <c r="D750" s="501" t="s">
        <v>2901</v>
      </c>
      <c r="E750" s="429" t="s">
        <v>4722</v>
      </c>
      <c r="F750" s="501"/>
      <c r="G750" s="501"/>
      <c r="H750" s="501"/>
      <c r="I750" s="501" t="s">
        <v>3004</v>
      </c>
      <c r="J750" s="513"/>
      <c r="K750" s="501" t="s">
        <v>4732</v>
      </c>
      <c r="L750" s="501" t="s">
        <v>3052</v>
      </c>
      <c r="M750" s="502">
        <v>44637</v>
      </c>
      <c r="N750" s="502">
        <v>44742</v>
      </c>
      <c r="O750" s="502"/>
      <c r="P750" s="502"/>
      <c r="Q750" s="502"/>
      <c r="R750" s="502"/>
      <c r="S750" s="501" t="s">
        <v>2904</v>
      </c>
      <c r="T750" s="501">
        <v>60</v>
      </c>
      <c r="U750" s="501">
        <v>49403140</v>
      </c>
      <c r="V750" s="501" t="s">
        <v>973</v>
      </c>
      <c r="W750" s="501">
        <v>400</v>
      </c>
      <c r="X750" s="505">
        <v>768</v>
      </c>
      <c r="Y750" s="477">
        <f t="shared" si="120"/>
        <v>307200</v>
      </c>
      <c r="Z750" s="478">
        <v>0.495</v>
      </c>
      <c r="AA750" s="479">
        <f t="shared" si="121"/>
        <v>152064</v>
      </c>
      <c r="AB750" s="479"/>
      <c r="AC750" s="446">
        <v>0</v>
      </c>
      <c r="AD750" s="490"/>
      <c r="AE750" s="482"/>
      <c r="AF750" s="580">
        <f t="shared" si="122"/>
        <v>152064</v>
      </c>
      <c r="AG750" s="474" t="s">
        <v>47</v>
      </c>
      <c r="AH750" s="474"/>
      <c r="AI750" s="474">
        <v>60</v>
      </c>
      <c r="AJ750" s="484" t="s">
        <v>3053</v>
      </c>
      <c r="AK750" s="474" t="s">
        <v>1158</v>
      </c>
      <c r="AL750" s="483" t="s">
        <v>3078</v>
      </c>
      <c r="AM750" s="474" t="s">
        <v>52</v>
      </c>
      <c r="AN750" s="474" t="s">
        <v>1074</v>
      </c>
      <c r="AO750" s="474"/>
      <c r="AP750" s="482"/>
      <c r="AQ750" s="482" t="s">
        <v>37</v>
      </c>
      <c r="AR750" s="482"/>
      <c r="AS750" s="472" t="s">
        <v>1076</v>
      </c>
      <c r="AT750" s="436" t="s">
        <v>1076</v>
      </c>
      <c r="AU750" s="436" t="s">
        <v>1076</v>
      </c>
      <c r="AV750" s="478"/>
    </row>
    <row r="751" spans="1:48" s="471" customFormat="1">
      <c r="A751" s="472"/>
      <c r="B751" s="449">
        <v>44642</v>
      </c>
      <c r="C751" s="449" t="s">
        <v>1211</v>
      </c>
      <c r="D751" s="501" t="s">
        <v>2901</v>
      </c>
      <c r="E751" s="429" t="s">
        <v>4722</v>
      </c>
      <c r="F751" s="501"/>
      <c r="G751" s="501"/>
      <c r="H751" s="501"/>
      <c r="I751" s="501" t="s">
        <v>3004</v>
      </c>
      <c r="J751" s="513"/>
      <c r="K751" s="501" t="s">
        <v>4733</v>
      </c>
      <c r="L751" s="501" t="s">
        <v>3052</v>
      </c>
      <c r="M751" s="502">
        <v>44637</v>
      </c>
      <c r="N751" s="502">
        <v>44742</v>
      </c>
      <c r="O751" s="502"/>
      <c r="P751" s="502"/>
      <c r="Q751" s="502"/>
      <c r="R751" s="502"/>
      <c r="S751" s="501" t="s">
        <v>2904</v>
      </c>
      <c r="T751" s="501">
        <v>60</v>
      </c>
      <c r="U751" s="501">
        <v>49403140</v>
      </c>
      <c r="V751" s="501" t="s">
        <v>973</v>
      </c>
      <c r="W751" s="501">
        <v>400</v>
      </c>
      <c r="X751" s="505">
        <v>768</v>
      </c>
      <c r="Y751" s="477">
        <f t="shared" si="120"/>
        <v>307200</v>
      </c>
      <c r="Z751" s="478">
        <v>0.495</v>
      </c>
      <c r="AA751" s="479">
        <f t="shared" si="121"/>
        <v>152064</v>
      </c>
      <c r="AB751" s="479"/>
      <c r="AC751" s="446">
        <v>0</v>
      </c>
      <c r="AD751" s="490"/>
      <c r="AE751" s="482"/>
      <c r="AF751" s="580">
        <f t="shared" si="122"/>
        <v>152064</v>
      </c>
      <c r="AG751" s="474" t="s">
        <v>47</v>
      </c>
      <c r="AH751" s="474"/>
      <c r="AI751" s="474">
        <v>60</v>
      </c>
      <c r="AJ751" s="484" t="s">
        <v>3053</v>
      </c>
      <c r="AK751" s="474" t="s">
        <v>1158</v>
      </c>
      <c r="AL751" s="483" t="s">
        <v>3078</v>
      </c>
      <c r="AM751" s="474" t="s">
        <v>52</v>
      </c>
      <c r="AN751" s="474" t="s">
        <v>1074</v>
      </c>
      <c r="AO751" s="474"/>
      <c r="AP751" s="482"/>
      <c r="AQ751" s="482" t="s">
        <v>37</v>
      </c>
      <c r="AR751" s="482"/>
      <c r="AS751" s="472" t="s">
        <v>1076</v>
      </c>
      <c r="AT751" s="436" t="s">
        <v>1076</v>
      </c>
      <c r="AU751" s="436" t="s">
        <v>1076</v>
      </c>
      <c r="AV751" s="478"/>
    </row>
    <row r="752" spans="1:48" s="471" customFormat="1">
      <c r="A752" s="472"/>
      <c r="B752" s="449">
        <v>44642</v>
      </c>
      <c r="C752" s="449" t="s">
        <v>1211</v>
      </c>
      <c r="D752" s="501" t="s">
        <v>2901</v>
      </c>
      <c r="E752" s="429" t="s">
        <v>4722</v>
      </c>
      <c r="F752" s="501"/>
      <c r="G752" s="501"/>
      <c r="H752" s="501"/>
      <c r="I752" s="501" t="s">
        <v>3004</v>
      </c>
      <c r="J752" s="513"/>
      <c r="K752" s="501" t="s">
        <v>4734</v>
      </c>
      <c r="L752" s="501" t="s">
        <v>3052</v>
      </c>
      <c r="M752" s="502">
        <v>44637</v>
      </c>
      <c r="N752" s="502">
        <v>44742</v>
      </c>
      <c r="O752" s="502"/>
      <c r="P752" s="502"/>
      <c r="Q752" s="502"/>
      <c r="R752" s="502"/>
      <c r="S752" s="501" t="s">
        <v>2904</v>
      </c>
      <c r="T752" s="501">
        <v>60</v>
      </c>
      <c r="U752" s="501">
        <v>49403140</v>
      </c>
      <c r="V752" s="501" t="s">
        <v>973</v>
      </c>
      <c r="W752" s="501">
        <v>400</v>
      </c>
      <c r="X752" s="505">
        <v>768</v>
      </c>
      <c r="Y752" s="477">
        <f t="shared" si="120"/>
        <v>307200</v>
      </c>
      <c r="Z752" s="478">
        <v>0.495</v>
      </c>
      <c r="AA752" s="479">
        <f t="shared" si="121"/>
        <v>152064</v>
      </c>
      <c r="AB752" s="479"/>
      <c r="AC752" s="446">
        <v>0</v>
      </c>
      <c r="AD752" s="490"/>
      <c r="AE752" s="482"/>
      <c r="AF752" s="580">
        <f t="shared" si="122"/>
        <v>152064</v>
      </c>
      <c r="AG752" s="474" t="s">
        <v>47</v>
      </c>
      <c r="AH752" s="474"/>
      <c r="AI752" s="474">
        <v>60</v>
      </c>
      <c r="AJ752" s="484" t="s">
        <v>3059</v>
      </c>
      <c r="AK752" s="474" t="s">
        <v>1375</v>
      </c>
      <c r="AL752" s="483" t="s">
        <v>3084</v>
      </c>
      <c r="AM752" s="474" t="s">
        <v>52</v>
      </c>
      <c r="AN752" s="474" t="s">
        <v>1074</v>
      </c>
      <c r="AO752" s="474"/>
      <c r="AP752" s="482"/>
      <c r="AQ752" s="482" t="s">
        <v>37</v>
      </c>
      <c r="AR752" s="482"/>
      <c r="AS752" s="472" t="s">
        <v>1076</v>
      </c>
      <c r="AT752" s="436" t="s">
        <v>1076</v>
      </c>
      <c r="AU752" s="436" t="s">
        <v>1076</v>
      </c>
      <c r="AV752" s="478"/>
    </row>
    <row r="753" spans="1:48" s="471" customFormat="1">
      <c r="A753" s="472"/>
      <c r="B753" s="449">
        <v>44642</v>
      </c>
      <c r="C753" s="449" t="s">
        <v>1211</v>
      </c>
      <c r="D753" s="501" t="s">
        <v>2901</v>
      </c>
      <c r="E753" s="429" t="s">
        <v>4722</v>
      </c>
      <c r="F753" s="501"/>
      <c r="G753" s="501"/>
      <c r="H753" s="501"/>
      <c r="I753" s="501" t="s">
        <v>3004</v>
      </c>
      <c r="J753" s="513"/>
      <c r="K753" s="501" t="s">
        <v>4735</v>
      </c>
      <c r="L753" s="501" t="s">
        <v>3052</v>
      </c>
      <c r="M753" s="502">
        <v>44637</v>
      </c>
      <c r="N753" s="502">
        <v>44742</v>
      </c>
      <c r="O753" s="502"/>
      <c r="P753" s="502"/>
      <c r="Q753" s="502"/>
      <c r="R753" s="502"/>
      <c r="S753" s="501" t="s">
        <v>2904</v>
      </c>
      <c r="T753" s="501">
        <v>60</v>
      </c>
      <c r="U753" s="501">
        <v>49403140</v>
      </c>
      <c r="V753" s="501" t="s">
        <v>973</v>
      </c>
      <c r="W753" s="501">
        <v>400</v>
      </c>
      <c r="X753" s="505">
        <v>768</v>
      </c>
      <c r="Y753" s="477">
        <f t="shared" si="120"/>
        <v>307200</v>
      </c>
      <c r="Z753" s="478">
        <v>0.495</v>
      </c>
      <c r="AA753" s="479">
        <f t="shared" si="121"/>
        <v>152064</v>
      </c>
      <c r="AB753" s="479"/>
      <c r="AC753" s="446">
        <v>0</v>
      </c>
      <c r="AD753" s="490"/>
      <c r="AE753" s="482"/>
      <c r="AF753" s="580">
        <f t="shared" si="122"/>
        <v>152064</v>
      </c>
      <c r="AG753" s="474" t="s">
        <v>47</v>
      </c>
      <c r="AH753" s="474"/>
      <c r="AI753" s="474">
        <v>60</v>
      </c>
      <c r="AJ753" s="484" t="s">
        <v>3059</v>
      </c>
      <c r="AK753" s="474" t="s">
        <v>1375</v>
      </c>
      <c r="AL753" s="483" t="s">
        <v>3084</v>
      </c>
      <c r="AM753" s="474" t="s">
        <v>52</v>
      </c>
      <c r="AN753" s="474" t="s">
        <v>1074</v>
      </c>
      <c r="AO753" s="474"/>
      <c r="AP753" s="482"/>
      <c r="AQ753" s="482" t="s">
        <v>37</v>
      </c>
      <c r="AR753" s="482"/>
      <c r="AS753" s="472" t="s">
        <v>1076</v>
      </c>
      <c r="AT753" s="436" t="s">
        <v>1076</v>
      </c>
      <c r="AU753" s="436" t="s">
        <v>1076</v>
      </c>
      <c r="AV753" s="478"/>
    </row>
    <row r="754" spans="1:48" s="471" customFormat="1">
      <c r="A754" s="472"/>
      <c r="B754" s="449">
        <v>44642</v>
      </c>
      <c r="C754" s="449" t="s">
        <v>1211</v>
      </c>
      <c r="D754" s="501" t="s">
        <v>2901</v>
      </c>
      <c r="E754" s="429" t="s">
        <v>4722</v>
      </c>
      <c r="F754" s="501"/>
      <c r="G754" s="501"/>
      <c r="H754" s="501"/>
      <c r="I754" s="501" t="s">
        <v>3004</v>
      </c>
      <c r="J754" s="513"/>
      <c r="K754" s="501" t="s">
        <v>4736</v>
      </c>
      <c r="L754" s="501" t="s">
        <v>3052</v>
      </c>
      <c r="M754" s="502">
        <v>44637</v>
      </c>
      <c r="N754" s="502">
        <v>44742</v>
      </c>
      <c r="O754" s="502"/>
      <c r="P754" s="502"/>
      <c r="Q754" s="502"/>
      <c r="R754" s="502"/>
      <c r="S754" s="501" t="s">
        <v>2904</v>
      </c>
      <c r="T754" s="501">
        <v>60</v>
      </c>
      <c r="U754" s="501">
        <v>49403140</v>
      </c>
      <c r="V754" s="501" t="s">
        <v>973</v>
      </c>
      <c r="W754" s="501">
        <v>400</v>
      </c>
      <c r="X754" s="505">
        <v>768</v>
      </c>
      <c r="Y754" s="477">
        <f t="shared" si="120"/>
        <v>307200</v>
      </c>
      <c r="Z754" s="478">
        <v>0.495</v>
      </c>
      <c r="AA754" s="479">
        <f t="shared" si="121"/>
        <v>152064</v>
      </c>
      <c r="AB754" s="479"/>
      <c r="AC754" s="446">
        <v>0</v>
      </c>
      <c r="AD754" s="490"/>
      <c r="AE754" s="482"/>
      <c r="AF754" s="580">
        <f t="shared" si="122"/>
        <v>152064</v>
      </c>
      <c r="AG754" s="474" t="s">
        <v>47</v>
      </c>
      <c r="AH754" s="474"/>
      <c r="AI754" s="474">
        <v>60</v>
      </c>
      <c r="AJ754" s="484" t="s">
        <v>3059</v>
      </c>
      <c r="AK754" s="474" t="s">
        <v>1375</v>
      </c>
      <c r="AL754" s="483" t="s">
        <v>3084</v>
      </c>
      <c r="AM754" s="474" t="s">
        <v>52</v>
      </c>
      <c r="AN754" s="474" t="s">
        <v>1074</v>
      </c>
      <c r="AO754" s="474"/>
      <c r="AP754" s="482"/>
      <c r="AQ754" s="482" t="s">
        <v>37</v>
      </c>
      <c r="AR754" s="482"/>
      <c r="AS754" s="472" t="s">
        <v>1076</v>
      </c>
      <c r="AT754" s="436" t="s">
        <v>1076</v>
      </c>
      <c r="AU754" s="436" t="s">
        <v>1076</v>
      </c>
      <c r="AV754" s="478"/>
    </row>
    <row r="755" spans="1:48" s="471" customFormat="1">
      <c r="A755" s="472"/>
      <c r="B755" s="449">
        <v>44642</v>
      </c>
      <c r="C755" s="449" t="s">
        <v>1211</v>
      </c>
      <c r="D755" s="501" t="s">
        <v>2901</v>
      </c>
      <c r="E755" s="429" t="s">
        <v>4722</v>
      </c>
      <c r="F755" s="501"/>
      <c r="G755" s="501"/>
      <c r="H755" s="501"/>
      <c r="I755" s="501" t="s">
        <v>3004</v>
      </c>
      <c r="J755" s="513"/>
      <c r="K755" s="501" t="s">
        <v>4737</v>
      </c>
      <c r="L755" s="501" t="s">
        <v>3052</v>
      </c>
      <c r="M755" s="502">
        <v>44637</v>
      </c>
      <c r="N755" s="502">
        <v>44742</v>
      </c>
      <c r="O755" s="502"/>
      <c r="P755" s="502"/>
      <c r="Q755" s="502"/>
      <c r="R755" s="502"/>
      <c r="S755" s="501" t="s">
        <v>2904</v>
      </c>
      <c r="T755" s="501">
        <v>60</v>
      </c>
      <c r="U755" s="501">
        <v>49403140</v>
      </c>
      <c r="V755" s="501" t="s">
        <v>973</v>
      </c>
      <c r="W755" s="501">
        <v>400</v>
      </c>
      <c r="X755" s="505">
        <v>768</v>
      </c>
      <c r="Y755" s="477">
        <f t="shared" si="120"/>
        <v>307200</v>
      </c>
      <c r="Z755" s="478">
        <v>0.495</v>
      </c>
      <c r="AA755" s="479">
        <f t="shared" si="121"/>
        <v>152064</v>
      </c>
      <c r="AB755" s="479"/>
      <c r="AC755" s="446">
        <v>0</v>
      </c>
      <c r="AD755" s="490"/>
      <c r="AE755" s="482"/>
      <c r="AF755" s="580">
        <f t="shared" si="122"/>
        <v>152064</v>
      </c>
      <c r="AG755" s="474" t="s">
        <v>47</v>
      </c>
      <c r="AH755" s="474"/>
      <c r="AI755" s="474">
        <v>60</v>
      </c>
      <c r="AJ755" s="484" t="s">
        <v>3093</v>
      </c>
      <c r="AK755" s="474" t="s">
        <v>2406</v>
      </c>
      <c r="AL755" s="483" t="s">
        <v>3094</v>
      </c>
      <c r="AM755" s="474" t="s">
        <v>52</v>
      </c>
      <c r="AN755" s="474" t="s">
        <v>1074</v>
      </c>
      <c r="AO755" s="474"/>
      <c r="AP755" s="482"/>
      <c r="AQ755" s="482" t="s">
        <v>37</v>
      </c>
      <c r="AR755" s="482"/>
      <c r="AS755" s="472" t="s">
        <v>1076</v>
      </c>
      <c r="AT755" s="436" t="s">
        <v>1076</v>
      </c>
      <c r="AU755" s="436" t="s">
        <v>1076</v>
      </c>
      <c r="AV755" s="478"/>
    </row>
    <row r="756" spans="1:48" s="471" customFormat="1">
      <c r="A756" s="472"/>
      <c r="B756" s="449">
        <v>44642</v>
      </c>
      <c r="C756" s="449" t="s">
        <v>1211</v>
      </c>
      <c r="D756" s="501" t="s">
        <v>2901</v>
      </c>
      <c r="E756" s="429" t="s">
        <v>4722</v>
      </c>
      <c r="F756" s="501"/>
      <c r="G756" s="501"/>
      <c r="H756" s="501"/>
      <c r="I756" s="501" t="s">
        <v>3004</v>
      </c>
      <c r="J756" s="513"/>
      <c r="K756" s="501" t="s">
        <v>4738</v>
      </c>
      <c r="L756" s="501" t="s">
        <v>3052</v>
      </c>
      <c r="M756" s="502">
        <v>44637</v>
      </c>
      <c r="N756" s="502">
        <v>44742</v>
      </c>
      <c r="O756" s="502"/>
      <c r="P756" s="502"/>
      <c r="Q756" s="502"/>
      <c r="R756" s="502"/>
      <c r="S756" s="501" t="s">
        <v>2904</v>
      </c>
      <c r="T756" s="501">
        <v>60</v>
      </c>
      <c r="U756" s="501">
        <v>49403140</v>
      </c>
      <c r="V756" s="501" t="s">
        <v>973</v>
      </c>
      <c r="W756" s="501">
        <v>400</v>
      </c>
      <c r="X756" s="505">
        <v>768</v>
      </c>
      <c r="Y756" s="477">
        <f t="shared" si="120"/>
        <v>307200</v>
      </c>
      <c r="Z756" s="478">
        <v>0.495</v>
      </c>
      <c r="AA756" s="479">
        <f t="shared" si="121"/>
        <v>152064</v>
      </c>
      <c r="AB756" s="479"/>
      <c r="AC756" s="446">
        <v>0</v>
      </c>
      <c r="AD756" s="490"/>
      <c r="AE756" s="482"/>
      <c r="AF756" s="580">
        <f t="shared" si="122"/>
        <v>152064</v>
      </c>
      <c r="AG756" s="474" t="s">
        <v>47</v>
      </c>
      <c r="AH756" s="474"/>
      <c r="AI756" s="474">
        <v>60</v>
      </c>
      <c r="AJ756" s="484" t="s">
        <v>4739</v>
      </c>
      <c r="AK756" s="474" t="s">
        <v>1074</v>
      </c>
      <c r="AL756" s="483" t="s">
        <v>3062</v>
      </c>
      <c r="AM756" s="474" t="s">
        <v>52</v>
      </c>
      <c r="AN756" s="474" t="s">
        <v>1074</v>
      </c>
      <c r="AO756" s="474"/>
      <c r="AP756" s="482"/>
      <c r="AQ756" s="482" t="s">
        <v>37</v>
      </c>
      <c r="AR756" s="482"/>
      <c r="AS756" s="472" t="s">
        <v>1076</v>
      </c>
      <c r="AT756" s="436" t="s">
        <v>1076</v>
      </c>
      <c r="AU756" s="436" t="s">
        <v>1076</v>
      </c>
      <c r="AV756" s="478"/>
    </row>
    <row r="757" spans="1:48" s="471" customFormat="1">
      <c r="A757" s="472"/>
      <c r="B757" s="449">
        <v>44642</v>
      </c>
      <c r="C757" s="449" t="s">
        <v>1211</v>
      </c>
      <c r="D757" s="501" t="s">
        <v>2901</v>
      </c>
      <c r="E757" s="429" t="s">
        <v>4722</v>
      </c>
      <c r="F757" s="501"/>
      <c r="G757" s="501"/>
      <c r="H757" s="501"/>
      <c r="I757" s="501" t="s">
        <v>3004</v>
      </c>
      <c r="J757" s="513"/>
      <c r="K757" s="501" t="s">
        <v>4740</v>
      </c>
      <c r="L757" s="501" t="s">
        <v>3052</v>
      </c>
      <c r="M757" s="502">
        <v>44637</v>
      </c>
      <c r="N757" s="502">
        <v>44742</v>
      </c>
      <c r="O757" s="502"/>
      <c r="P757" s="502"/>
      <c r="Q757" s="502"/>
      <c r="R757" s="502"/>
      <c r="S757" s="501" t="s">
        <v>2904</v>
      </c>
      <c r="T757" s="501">
        <v>60</v>
      </c>
      <c r="U757" s="501">
        <v>49403140</v>
      </c>
      <c r="V757" s="501" t="s">
        <v>973</v>
      </c>
      <c r="W757" s="501">
        <v>400</v>
      </c>
      <c r="X757" s="505">
        <v>768</v>
      </c>
      <c r="Y757" s="477">
        <f t="shared" si="120"/>
        <v>307200</v>
      </c>
      <c r="Z757" s="478">
        <v>0.495</v>
      </c>
      <c r="AA757" s="479">
        <f t="shared" si="121"/>
        <v>152064</v>
      </c>
      <c r="AB757" s="479"/>
      <c r="AC757" s="446">
        <v>0</v>
      </c>
      <c r="AD757" s="490"/>
      <c r="AE757" s="482"/>
      <c r="AF757" s="580">
        <f t="shared" si="122"/>
        <v>152064</v>
      </c>
      <c r="AG757" s="474" t="s">
        <v>47</v>
      </c>
      <c r="AH757" s="474"/>
      <c r="AI757" s="474">
        <v>60</v>
      </c>
      <c r="AJ757" s="484" t="s">
        <v>4739</v>
      </c>
      <c r="AK757" s="474" t="s">
        <v>1074</v>
      </c>
      <c r="AL757" s="483" t="s">
        <v>3062</v>
      </c>
      <c r="AM757" s="474" t="s">
        <v>52</v>
      </c>
      <c r="AN757" s="474" t="s">
        <v>1074</v>
      </c>
      <c r="AO757" s="474"/>
      <c r="AP757" s="482"/>
      <c r="AQ757" s="482" t="s">
        <v>37</v>
      </c>
      <c r="AR757" s="482"/>
      <c r="AS757" s="472" t="s">
        <v>1076</v>
      </c>
      <c r="AT757" s="436" t="s">
        <v>1076</v>
      </c>
      <c r="AU757" s="436" t="s">
        <v>1076</v>
      </c>
      <c r="AV757" s="478"/>
    </row>
    <row r="758" spans="1:48" s="471" customFormat="1">
      <c r="A758" s="472"/>
      <c r="B758" s="449">
        <v>44642</v>
      </c>
      <c r="C758" s="449" t="s">
        <v>1211</v>
      </c>
      <c r="D758" s="501" t="s">
        <v>2901</v>
      </c>
      <c r="E758" s="429" t="s">
        <v>4722</v>
      </c>
      <c r="F758" s="501"/>
      <c r="G758" s="501"/>
      <c r="H758" s="501"/>
      <c r="I758" s="501" t="s">
        <v>3004</v>
      </c>
      <c r="J758" s="513"/>
      <c r="K758" s="501" t="s">
        <v>4741</v>
      </c>
      <c r="L758" s="501" t="s">
        <v>3052</v>
      </c>
      <c r="M758" s="502">
        <v>44637</v>
      </c>
      <c r="N758" s="502">
        <v>44742</v>
      </c>
      <c r="O758" s="502"/>
      <c r="P758" s="502"/>
      <c r="Q758" s="502"/>
      <c r="R758" s="502"/>
      <c r="S758" s="501" t="s">
        <v>2904</v>
      </c>
      <c r="T758" s="501">
        <v>60</v>
      </c>
      <c r="U758" s="501">
        <v>49403140</v>
      </c>
      <c r="V758" s="501" t="s">
        <v>973</v>
      </c>
      <c r="W758" s="501">
        <v>400</v>
      </c>
      <c r="X758" s="505">
        <v>768</v>
      </c>
      <c r="Y758" s="477">
        <f t="shared" si="120"/>
        <v>307200</v>
      </c>
      <c r="Z758" s="478">
        <v>0.495</v>
      </c>
      <c r="AA758" s="479">
        <f t="shared" si="121"/>
        <v>152064</v>
      </c>
      <c r="AB758" s="479"/>
      <c r="AC758" s="446">
        <v>0</v>
      </c>
      <c r="AD758" s="490"/>
      <c r="AE758" s="482"/>
      <c r="AF758" s="580">
        <f t="shared" si="122"/>
        <v>152064</v>
      </c>
      <c r="AG758" s="474" t="s">
        <v>47</v>
      </c>
      <c r="AH758" s="474"/>
      <c r="AI758" s="474">
        <v>60</v>
      </c>
      <c r="AJ758" s="484" t="s">
        <v>4739</v>
      </c>
      <c r="AK758" s="474" t="s">
        <v>1074</v>
      </c>
      <c r="AL758" s="483" t="s">
        <v>3062</v>
      </c>
      <c r="AM758" s="474" t="s">
        <v>52</v>
      </c>
      <c r="AN758" s="474" t="s">
        <v>1074</v>
      </c>
      <c r="AO758" s="474"/>
      <c r="AP758" s="482"/>
      <c r="AQ758" s="482" t="s">
        <v>37</v>
      </c>
      <c r="AR758" s="482"/>
      <c r="AS758" s="472" t="s">
        <v>1076</v>
      </c>
      <c r="AT758" s="436" t="s">
        <v>1076</v>
      </c>
      <c r="AU758" s="436" t="s">
        <v>1076</v>
      </c>
      <c r="AV758" s="478"/>
    </row>
    <row r="759" spans="1:48" s="471" customFormat="1">
      <c r="A759" s="472"/>
      <c r="B759" s="449">
        <v>44642</v>
      </c>
      <c r="C759" s="449" t="s">
        <v>1211</v>
      </c>
      <c r="D759" s="501" t="s">
        <v>2901</v>
      </c>
      <c r="E759" s="429" t="s">
        <v>4742</v>
      </c>
      <c r="F759" s="501"/>
      <c r="G759" s="501"/>
      <c r="H759" s="501"/>
      <c r="I759" s="501" t="s">
        <v>3004</v>
      </c>
      <c r="J759" s="513"/>
      <c r="K759" s="501" t="s">
        <v>4743</v>
      </c>
      <c r="L759" s="501" t="s">
        <v>2567</v>
      </c>
      <c r="M759" s="502">
        <v>44641</v>
      </c>
      <c r="N759" s="502">
        <v>44743</v>
      </c>
      <c r="O759" s="502"/>
      <c r="P759" s="502"/>
      <c r="Q759" s="502"/>
      <c r="R759" s="502"/>
      <c r="S759" s="501" t="s">
        <v>2904</v>
      </c>
      <c r="T759" s="501">
        <v>60</v>
      </c>
      <c r="U759" s="501">
        <v>49403140</v>
      </c>
      <c r="V759" s="501" t="s">
        <v>973</v>
      </c>
      <c r="W759" s="501">
        <v>400</v>
      </c>
      <c r="X759" s="505">
        <v>832</v>
      </c>
      <c r="Y759" s="477">
        <f t="shared" si="120"/>
        <v>332800</v>
      </c>
      <c r="Z759" s="478">
        <v>0.55000000000000004</v>
      </c>
      <c r="AA759" s="479">
        <f t="shared" si="121"/>
        <v>183040.00000000003</v>
      </c>
      <c r="AB759" s="479"/>
      <c r="AC759" s="446">
        <v>0</v>
      </c>
      <c r="AD759" s="490"/>
      <c r="AE759" s="482"/>
      <c r="AF759" s="580">
        <f t="shared" si="122"/>
        <v>183040.00000000003</v>
      </c>
      <c r="AG759" s="474" t="s">
        <v>1071</v>
      </c>
      <c r="AH759" s="474"/>
      <c r="AI759" s="474">
        <v>60</v>
      </c>
      <c r="AJ759" s="484" t="s">
        <v>2568</v>
      </c>
      <c r="AK759" s="474" t="s">
        <v>1084</v>
      </c>
      <c r="AL759" s="483" t="s">
        <v>2569</v>
      </c>
      <c r="AM759" s="474" t="s">
        <v>52</v>
      </c>
      <c r="AN759" s="474" t="s">
        <v>1074</v>
      </c>
      <c r="AO759" s="474"/>
      <c r="AP759" s="482"/>
      <c r="AQ759" s="482" t="s">
        <v>37</v>
      </c>
      <c r="AR759" s="482" t="s">
        <v>3026</v>
      </c>
      <c r="AS759" s="472" t="s">
        <v>1076</v>
      </c>
      <c r="AT759" s="436" t="s">
        <v>1076</v>
      </c>
      <c r="AU759" s="436" t="s">
        <v>1076</v>
      </c>
      <c r="AV759" s="478">
        <v>0.73</v>
      </c>
    </row>
    <row r="760" spans="1:48" s="471" customFormat="1">
      <c r="A760" s="472"/>
      <c r="B760" s="449">
        <v>44642</v>
      </c>
      <c r="C760" s="449" t="s">
        <v>1211</v>
      </c>
      <c r="D760" s="501" t="s">
        <v>2901</v>
      </c>
      <c r="E760" s="429" t="s">
        <v>4742</v>
      </c>
      <c r="F760" s="501"/>
      <c r="G760" s="501"/>
      <c r="H760" s="501"/>
      <c r="I760" s="501" t="s">
        <v>3004</v>
      </c>
      <c r="J760" s="513"/>
      <c r="K760" s="501" t="s">
        <v>4744</v>
      </c>
      <c r="L760" s="501" t="s">
        <v>2567</v>
      </c>
      <c r="M760" s="502">
        <v>44641</v>
      </c>
      <c r="N760" s="502">
        <v>44805</v>
      </c>
      <c r="O760" s="502"/>
      <c r="P760" s="502"/>
      <c r="Q760" s="502"/>
      <c r="R760" s="502"/>
      <c r="S760" s="501" t="s">
        <v>2904</v>
      </c>
      <c r="T760" s="501">
        <v>60</v>
      </c>
      <c r="U760" s="501">
        <v>49403140</v>
      </c>
      <c r="V760" s="501" t="s">
        <v>973</v>
      </c>
      <c r="W760" s="501">
        <v>400</v>
      </c>
      <c r="X760" s="505">
        <v>832</v>
      </c>
      <c r="Y760" s="477">
        <f t="shared" si="120"/>
        <v>332800</v>
      </c>
      <c r="Z760" s="478">
        <v>0.55000000000000004</v>
      </c>
      <c r="AA760" s="479">
        <f t="shared" si="121"/>
        <v>183040.00000000003</v>
      </c>
      <c r="AB760" s="479"/>
      <c r="AC760" s="446">
        <v>0</v>
      </c>
      <c r="AD760" s="490"/>
      <c r="AE760" s="482"/>
      <c r="AF760" s="580">
        <f t="shared" si="122"/>
        <v>183040.00000000003</v>
      </c>
      <c r="AG760" s="474" t="s">
        <v>1071</v>
      </c>
      <c r="AH760" s="474"/>
      <c r="AI760" s="474">
        <v>60</v>
      </c>
      <c r="AJ760" s="484" t="s">
        <v>2568</v>
      </c>
      <c r="AK760" s="474" t="s">
        <v>1084</v>
      </c>
      <c r="AL760" s="483" t="s">
        <v>2569</v>
      </c>
      <c r="AM760" s="474" t="s">
        <v>52</v>
      </c>
      <c r="AN760" s="474" t="s">
        <v>1074</v>
      </c>
      <c r="AO760" s="474"/>
      <c r="AP760" s="482"/>
      <c r="AQ760" s="482" t="s">
        <v>37</v>
      </c>
      <c r="AR760" s="482" t="s">
        <v>3026</v>
      </c>
      <c r="AS760" s="472" t="s">
        <v>1076</v>
      </c>
      <c r="AT760" s="436" t="s">
        <v>1076</v>
      </c>
      <c r="AU760" s="436" t="s">
        <v>1076</v>
      </c>
      <c r="AV760" s="478">
        <v>0.73</v>
      </c>
    </row>
    <row r="761" spans="1:48" s="471" customFormat="1">
      <c r="A761" s="472"/>
      <c r="B761" s="449">
        <v>44642</v>
      </c>
      <c r="C761" s="449" t="s">
        <v>1211</v>
      </c>
      <c r="D761" s="501" t="s">
        <v>2901</v>
      </c>
      <c r="E761" s="429" t="s">
        <v>4742</v>
      </c>
      <c r="F761" s="501"/>
      <c r="G761" s="501"/>
      <c r="H761" s="501"/>
      <c r="I761" s="501" t="s">
        <v>3004</v>
      </c>
      <c r="J761" s="513"/>
      <c r="K761" s="501" t="s">
        <v>4745</v>
      </c>
      <c r="L761" s="501" t="s">
        <v>2567</v>
      </c>
      <c r="M761" s="502">
        <v>44641</v>
      </c>
      <c r="N761" s="502">
        <v>44866</v>
      </c>
      <c r="O761" s="502"/>
      <c r="P761" s="502"/>
      <c r="Q761" s="502"/>
      <c r="R761" s="502"/>
      <c r="S761" s="501" t="s">
        <v>2904</v>
      </c>
      <c r="T761" s="501">
        <v>60</v>
      </c>
      <c r="U761" s="501">
        <v>49403140</v>
      </c>
      <c r="V761" s="501" t="s">
        <v>973</v>
      </c>
      <c r="W761" s="501">
        <v>400</v>
      </c>
      <c r="X761" s="505">
        <v>832</v>
      </c>
      <c r="Y761" s="477">
        <f t="shared" si="120"/>
        <v>332800</v>
      </c>
      <c r="Z761" s="478">
        <v>0.55000000000000004</v>
      </c>
      <c r="AA761" s="479">
        <f t="shared" si="121"/>
        <v>183040.00000000003</v>
      </c>
      <c r="AB761" s="479"/>
      <c r="AC761" s="446">
        <v>0</v>
      </c>
      <c r="AD761" s="490"/>
      <c r="AE761" s="482"/>
      <c r="AF761" s="580">
        <f t="shared" si="122"/>
        <v>183040.00000000003</v>
      </c>
      <c r="AG761" s="474" t="s">
        <v>1071</v>
      </c>
      <c r="AH761" s="474"/>
      <c r="AI761" s="474">
        <v>60</v>
      </c>
      <c r="AJ761" s="484" t="s">
        <v>2568</v>
      </c>
      <c r="AK761" s="474" t="s">
        <v>1084</v>
      </c>
      <c r="AL761" s="483" t="s">
        <v>2569</v>
      </c>
      <c r="AM761" s="474" t="s">
        <v>52</v>
      </c>
      <c r="AN761" s="474" t="s">
        <v>1074</v>
      </c>
      <c r="AO761" s="474"/>
      <c r="AP761" s="482"/>
      <c r="AQ761" s="482" t="s">
        <v>37</v>
      </c>
      <c r="AR761" s="482" t="s">
        <v>3026</v>
      </c>
      <c r="AS761" s="472" t="s">
        <v>1076</v>
      </c>
      <c r="AT761" s="436" t="s">
        <v>1076</v>
      </c>
      <c r="AU761" s="436" t="s">
        <v>1076</v>
      </c>
      <c r="AV761" s="478">
        <v>0.73</v>
      </c>
    </row>
    <row r="762" spans="1:48" s="471" customFormat="1">
      <c r="A762" s="472"/>
      <c r="B762" s="449">
        <v>44655</v>
      </c>
      <c r="C762" s="449" t="s">
        <v>1211</v>
      </c>
      <c r="D762" s="501" t="s">
        <v>2901</v>
      </c>
      <c r="E762" s="429" t="s">
        <v>3044</v>
      </c>
      <c r="F762" s="501"/>
      <c r="G762" s="501"/>
      <c r="H762" s="501"/>
      <c r="I762" s="501" t="s">
        <v>3004</v>
      </c>
      <c r="J762" s="513"/>
      <c r="K762" s="501" t="s">
        <v>4746</v>
      </c>
      <c r="L762" s="501" t="s">
        <v>3159</v>
      </c>
      <c r="M762" s="502">
        <v>44655</v>
      </c>
      <c r="N762" s="502">
        <v>44666</v>
      </c>
      <c r="O762" s="502"/>
      <c r="P762" s="502"/>
      <c r="Q762" s="502"/>
      <c r="R762" s="502"/>
      <c r="S762" s="501" t="s">
        <v>2904</v>
      </c>
      <c r="T762" s="501">
        <v>60</v>
      </c>
      <c r="U762" s="501" t="s">
        <v>4747</v>
      </c>
      <c r="V762" s="501" t="s">
        <v>973</v>
      </c>
      <c r="W762" s="501">
        <v>400</v>
      </c>
      <c r="X762" s="505">
        <v>16640</v>
      </c>
      <c r="Y762" s="477">
        <f t="shared" si="120"/>
        <v>6656000</v>
      </c>
      <c r="Z762" s="478">
        <v>0.5</v>
      </c>
      <c r="AA762" s="479">
        <f t="shared" si="121"/>
        <v>3328000</v>
      </c>
      <c r="AB762" s="479"/>
      <c r="AC762" s="446">
        <v>0</v>
      </c>
      <c r="AD762" s="490"/>
      <c r="AE762" s="482"/>
      <c r="AF762" s="580">
        <f t="shared" si="122"/>
        <v>3328000</v>
      </c>
      <c r="AG762" s="474" t="s">
        <v>47</v>
      </c>
      <c r="AH762" s="474"/>
      <c r="AI762" s="474">
        <v>30</v>
      </c>
      <c r="AJ762" s="484" t="s">
        <v>1083</v>
      </c>
      <c r="AK762" s="474" t="s">
        <v>1084</v>
      </c>
      <c r="AL762" s="483" t="s">
        <v>2934</v>
      </c>
      <c r="AM762" s="474" t="s">
        <v>52</v>
      </c>
      <c r="AN762" s="474" t="s">
        <v>1074</v>
      </c>
      <c r="AO762" s="474"/>
      <c r="AP762" s="482"/>
      <c r="AQ762" s="482" t="s">
        <v>37</v>
      </c>
      <c r="AR762" s="482" t="s">
        <v>3026</v>
      </c>
      <c r="AS762" s="472" t="s">
        <v>1076</v>
      </c>
      <c r="AT762" s="436" t="s">
        <v>1076</v>
      </c>
      <c r="AU762" s="436" t="s">
        <v>1076</v>
      </c>
      <c r="AV762" s="478">
        <v>0.73</v>
      </c>
    </row>
    <row r="763" spans="1:48" s="471" customFormat="1">
      <c r="A763" s="472"/>
      <c r="B763" s="449">
        <v>44655</v>
      </c>
      <c r="C763" s="449" t="s">
        <v>1211</v>
      </c>
      <c r="D763" s="501" t="s">
        <v>2901</v>
      </c>
      <c r="E763" s="429" t="s">
        <v>3044</v>
      </c>
      <c r="F763" s="501"/>
      <c r="G763" s="501"/>
      <c r="H763" s="501"/>
      <c r="I763" s="501" t="s">
        <v>3004</v>
      </c>
      <c r="J763" s="513"/>
      <c r="K763" s="501" t="s">
        <v>4748</v>
      </c>
      <c r="L763" s="501" t="s">
        <v>3159</v>
      </c>
      <c r="M763" s="502">
        <v>44655</v>
      </c>
      <c r="N763" s="502">
        <v>44666</v>
      </c>
      <c r="O763" s="502"/>
      <c r="P763" s="502"/>
      <c r="Q763" s="502"/>
      <c r="R763" s="502"/>
      <c r="S763" s="501" t="s">
        <v>2904</v>
      </c>
      <c r="T763" s="501">
        <v>60</v>
      </c>
      <c r="U763" s="501" t="s">
        <v>4747</v>
      </c>
      <c r="V763" s="501" t="s">
        <v>973</v>
      </c>
      <c r="W763" s="501">
        <v>400</v>
      </c>
      <c r="X763" s="505">
        <v>11648</v>
      </c>
      <c r="Y763" s="477">
        <f t="shared" si="120"/>
        <v>4659200</v>
      </c>
      <c r="Z763" s="478">
        <v>0.5</v>
      </c>
      <c r="AA763" s="479">
        <f t="shared" si="121"/>
        <v>2329600</v>
      </c>
      <c r="AB763" s="479"/>
      <c r="AC763" s="446">
        <v>0</v>
      </c>
      <c r="AD763" s="490"/>
      <c r="AE763" s="482"/>
      <c r="AF763" s="580">
        <f t="shared" si="122"/>
        <v>2329600</v>
      </c>
      <c r="AG763" s="474" t="s">
        <v>47</v>
      </c>
      <c r="AH763" s="474"/>
      <c r="AI763" s="474">
        <v>30</v>
      </c>
      <c r="AJ763" s="484" t="s">
        <v>1083</v>
      </c>
      <c r="AK763" s="474" t="s">
        <v>1084</v>
      </c>
      <c r="AL763" s="483" t="s">
        <v>2934</v>
      </c>
      <c r="AM763" s="474" t="s">
        <v>52</v>
      </c>
      <c r="AN763" s="474" t="s">
        <v>1074</v>
      </c>
      <c r="AO763" s="474"/>
      <c r="AP763" s="482"/>
      <c r="AQ763" s="482" t="s">
        <v>37</v>
      </c>
      <c r="AR763" s="482" t="s">
        <v>3026</v>
      </c>
      <c r="AS763" s="472" t="s">
        <v>1076</v>
      </c>
      <c r="AT763" s="436" t="s">
        <v>1076</v>
      </c>
      <c r="AU763" s="436" t="s">
        <v>1076</v>
      </c>
      <c r="AV763" s="478">
        <v>0.73</v>
      </c>
    </row>
    <row r="764" spans="1:48" s="471" customFormat="1">
      <c r="A764" s="472"/>
      <c r="B764" s="449">
        <v>44655</v>
      </c>
      <c r="C764" s="449" t="s">
        <v>1211</v>
      </c>
      <c r="D764" s="501" t="s">
        <v>2901</v>
      </c>
      <c r="E764" s="429" t="s">
        <v>3044</v>
      </c>
      <c r="F764" s="501"/>
      <c r="G764" s="501"/>
      <c r="H764" s="501"/>
      <c r="I764" s="501" t="s">
        <v>3004</v>
      </c>
      <c r="J764" s="513"/>
      <c r="K764" s="501" t="s">
        <v>4749</v>
      </c>
      <c r="L764" s="501" t="s">
        <v>3159</v>
      </c>
      <c r="M764" s="502">
        <v>44655</v>
      </c>
      <c r="N764" s="502">
        <v>44666</v>
      </c>
      <c r="O764" s="502"/>
      <c r="P764" s="502"/>
      <c r="Q764" s="502"/>
      <c r="R764" s="502"/>
      <c r="S764" s="501" t="s">
        <v>2904</v>
      </c>
      <c r="T764" s="501">
        <v>60</v>
      </c>
      <c r="U764" s="501" t="s">
        <v>4747</v>
      </c>
      <c r="V764" s="501" t="s">
        <v>973</v>
      </c>
      <c r="W764" s="501">
        <v>400</v>
      </c>
      <c r="X764" s="505">
        <v>11648</v>
      </c>
      <c r="Y764" s="477">
        <f t="shared" si="120"/>
        <v>4659200</v>
      </c>
      <c r="Z764" s="478">
        <v>0.5</v>
      </c>
      <c r="AA764" s="479">
        <f t="shared" si="121"/>
        <v>2329600</v>
      </c>
      <c r="AB764" s="479"/>
      <c r="AC764" s="446">
        <v>0</v>
      </c>
      <c r="AD764" s="490"/>
      <c r="AE764" s="482"/>
      <c r="AF764" s="580">
        <f t="shared" si="122"/>
        <v>2329600</v>
      </c>
      <c r="AG764" s="474" t="s">
        <v>47</v>
      </c>
      <c r="AH764" s="474"/>
      <c r="AI764" s="474">
        <v>30</v>
      </c>
      <c r="AJ764" s="484" t="s">
        <v>1083</v>
      </c>
      <c r="AK764" s="474" t="s">
        <v>1084</v>
      </c>
      <c r="AL764" s="483" t="s">
        <v>2934</v>
      </c>
      <c r="AM764" s="474" t="s">
        <v>52</v>
      </c>
      <c r="AN764" s="474" t="s">
        <v>1074</v>
      </c>
      <c r="AO764" s="474"/>
      <c r="AP764" s="482"/>
      <c r="AQ764" s="482" t="s">
        <v>37</v>
      </c>
      <c r="AR764" s="482" t="s">
        <v>3026</v>
      </c>
      <c r="AS764" s="472" t="s">
        <v>1076</v>
      </c>
      <c r="AT764" s="436" t="s">
        <v>1076</v>
      </c>
      <c r="AU764" s="436" t="s">
        <v>1076</v>
      </c>
      <c r="AV764" s="478">
        <v>0.73</v>
      </c>
    </row>
    <row r="765" spans="1:48" s="471" customFormat="1">
      <c r="A765" s="472"/>
      <c r="B765" s="449">
        <v>44655</v>
      </c>
      <c r="C765" s="449">
        <v>44671</v>
      </c>
      <c r="D765" s="501" t="s">
        <v>2901</v>
      </c>
      <c r="E765" s="429" t="s">
        <v>3044</v>
      </c>
      <c r="F765" s="501"/>
      <c r="G765" s="501"/>
      <c r="H765" s="501"/>
      <c r="I765" s="501" t="s">
        <v>3004</v>
      </c>
      <c r="J765" s="513"/>
      <c r="K765" s="501" t="s">
        <v>4750</v>
      </c>
      <c r="L765" s="501" t="s">
        <v>4751</v>
      </c>
      <c r="M765" s="502">
        <v>44644</v>
      </c>
      <c r="N765" s="502">
        <v>44743</v>
      </c>
      <c r="O765" s="502"/>
      <c r="P765" s="502"/>
      <c r="Q765" s="502"/>
      <c r="R765" s="502"/>
      <c r="S765" s="501" t="s">
        <v>2904</v>
      </c>
      <c r="T765" s="501">
        <v>60</v>
      </c>
      <c r="U765" s="501">
        <v>49405140</v>
      </c>
      <c r="V765" s="501" t="s">
        <v>973</v>
      </c>
      <c r="W765" s="501">
        <v>400</v>
      </c>
      <c r="X765" s="505">
        <v>12480</v>
      </c>
      <c r="Y765" s="477">
        <f t="shared" si="120"/>
        <v>4992000</v>
      </c>
      <c r="Z765" s="478">
        <v>0.55000000000000004</v>
      </c>
      <c r="AA765" s="479">
        <f t="shared" si="121"/>
        <v>2745600</v>
      </c>
      <c r="AB765" s="479"/>
      <c r="AC765" s="446">
        <v>0</v>
      </c>
      <c r="AD765" s="490"/>
      <c r="AE765" s="482"/>
      <c r="AF765" s="580">
        <f t="shared" si="122"/>
        <v>2745600</v>
      </c>
      <c r="AG765" s="474" t="s">
        <v>1071</v>
      </c>
      <c r="AH765" s="474"/>
      <c r="AI765" s="474">
        <v>60</v>
      </c>
      <c r="AJ765" s="484" t="s">
        <v>2568</v>
      </c>
      <c r="AK765" s="474" t="s">
        <v>1084</v>
      </c>
      <c r="AL765" s="483" t="s">
        <v>2569</v>
      </c>
      <c r="AM765" s="474" t="s">
        <v>52</v>
      </c>
      <c r="AN765" s="474" t="s">
        <v>1074</v>
      </c>
      <c r="AO765" s="474"/>
      <c r="AP765" s="482"/>
      <c r="AQ765" s="482" t="s">
        <v>37</v>
      </c>
      <c r="AR765" s="482" t="s">
        <v>3026</v>
      </c>
      <c r="AS765" s="472" t="s">
        <v>1076</v>
      </c>
      <c r="AT765" s="436" t="s">
        <v>1076</v>
      </c>
      <c r="AU765" s="436" t="s">
        <v>1076</v>
      </c>
      <c r="AV765" s="478">
        <v>0.73</v>
      </c>
    </row>
    <row r="766" spans="1:48" s="471" customFormat="1">
      <c r="A766" s="472"/>
      <c r="B766" s="449">
        <v>44655</v>
      </c>
      <c r="C766" s="449">
        <v>44671</v>
      </c>
      <c r="D766" s="501" t="s">
        <v>2901</v>
      </c>
      <c r="E766" s="429" t="s">
        <v>3044</v>
      </c>
      <c r="F766" s="501"/>
      <c r="G766" s="501"/>
      <c r="H766" s="501"/>
      <c r="I766" s="501" t="s">
        <v>3004</v>
      </c>
      <c r="J766" s="513"/>
      <c r="K766" s="501" t="s">
        <v>4750</v>
      </c>
      <c r="L766" s="501" t="s">
        <v>4751</v>
      </c>
      <c r="M766" s="502">
        <v>44644</v>
      </c>
      <c r="N766" s="502">
        <v>44743</v>
      </c>
      <c r="O766" s="502"/>
      <c r="P766" s="502"/>
      <c r="Q766" s="502"/>
      <c r="R766" s="502"/>
      <c r="S766" s="501" t="s">
        <v>2904</v>
      </c>
      <c r="T766" s="501">
        <v>60</v>
      </c>
      <c r="U766" s="501">
        <v>49204132</v>
      </c>
      <c r="V766" s="501" t="s">
        <v>1223</v>
      </c>
      <c r="W766" s="501">
        <v>360</v>
      </c>
      <c r="X766" s="505">
        <v>3328</v>
      </c>
      <c r="Y766" s="477">
        <f t="shared" si="120"/>
        <v>1198080</v>
      </c>
      <c r="Z766" s="478">
        <v>0.79</v>
      </c>
      <c r="AA766" s="479">
        <f t="shared" si="121"/>
        <v>946483.20000000007</v>
      </c>
      <c r="AB766" s="479"/>
      <c r="AC766" s="446">
        <v>0</v>
      </c>
      <c r="AD766" s="490"/>
      <c r="AE766" s="482"/>
      <c r="AF766" s="580">
        <f t="shared" si="122"/>
        <v>946483.20000000007</v>
      </c>
      <c r="AG766" s="474" t="s">
        <v>1071</v>
      </c>
      <c r="AH766" s="474"/>
      <c r="AI766" s="474">
        <v>60</v>
      </c>
      <c r="AJ766" s="484" t="s">
        <v>2568</v>
      </c>
      <c r="AK766" s="474" t="s">
        <v>1084</v>
      </c>
      <c r="AL766" s="483" t="s">
        <v>2569</v>
      </c>
      <c r="AM766" s="474" t="s">
        <v>52</v>
      </c>
      <c r="AN766" s="474" t="s">
        <v>1074</v>
      </c>
      <c r="AO766" s="474"/>
      <c r="AP766" s="482"/>
      <c r="AQ766" s="482" t="s">
        <v>37</v>
      </c>
      <c r="AR766" s="482" t="s">
        <v>3026</v>
      </c>
      <c r="AS766" s="472" t="s">
        <v>1076</v>
      </c>
      <c r="AT766" s="436" t="s">
        <v>1076</v>
      </c>
      <c r="AU766" s="436" t="s">
        <v>1076</v>
      </c>
      <c r="AV766" s="478">
        <v>0.73</v>
      </c>
    </row>
    <row r="767" spans="1:48" s="471" customFormat="1">
      <c r="A767" s="472"/>
      <c r="B767" s="449">
        <v>44655</v>
      </c>
      <c r="C767" s="449">
        <v>44671</v>
      </c>
      <c r="D767" s="501" t="s">
        <v>2901</v>
      </c>
      <c r="E767" s="429" t="s">
        <v>3044</v>
      </c>
      <c r="F767" s="501"/>
      <c r="G767" s="501"/>
      <c r="H767" s="501"/>
      <c r="I767" s="501" t="s">
        <v>3004</v>
      </c>
      <c r="J767" s="513"/>
      <c r="K767" s="501" t="s">
        <v>4750</v>
      </c>
      <c r="L767" s="501" t="s">
        <v>4751</v>
      </c>
      <c r="M767" s="502">
        <v>44644</v>
      </c>
      <c r="N767" s="502">
        <v>44743</v>
      </c>
      <c r="O767" s="502"/>
      <c r="P767" s="502"/>
      <c r="Q767" s="502"/>
      <c r="R767" s="502"/>
      <c r="S767" s="501" t="s">
        <v>2904</v>
      </c>
      <c r="T767" s="501">
        <v>60</v>
      </c>
      <c r="U767" s="501">
        <v>49203132</v>
      </c>
      <c r="V767" s="501" t="s">
        <v>986</v>
      </c>
      <c r="W767" s="501">
        <v>360</v>
      </c>
      <c r="X767" s="505">
        <v>8320</v>
      </c>
      <c r="Y767" s="477">
        <f t="shared" ref="Y767:Y783" si="123">W767*X767</f>
        <v>2995200</v>
      </c>
      <c r="Z767" s="478">
        <v>0.53</v>
      </c>
      <c r="AA767" s="479">
        <f t="shared" ref="AA767:AA830" si="124">Z767*Y767</f>
        <v>1587456</v>
      </c>
      <c r="AB767" s="479"/>
      <c r="AC767" s="446">
        <v>0</v>
      </c>
      <c r="AD767" s="490"/>
      <c r="AE767" s="482"/>
      <c r="AF767" s="580">
        <f t="shared" ref="AF767:AF783" si="125">AA767+AE767</f>
        <v>1587456</v>
      </c>
      <c r="AG767" s="474" t="s">
        <v>1071</v>
      </c>
      <c r="AH767" s="474"/>
      <c r="AI767" s="474">
        <v>60</v>
      </c>
      <c r="AJ767" s="484" t="s">
        <v>2568</v>
      </c>
      <c r="AK767" s="474" t="s">
        <v>1084</v>
      </c>
      <c r="AL767" s="483" t="s">
        <v>2569</v>
      </c>
      <c r="AM767" s="474" t="s">
        <v>52</v>
      </c>
      <c r="AN767" s="474" t="s">
        <v>1074</v>
      </c>
      <c r="AO767" s="474"/>
      <c r="AP767" s="482"/>
      <c r="AQ767" s="482" t="s">
        <v>37</v>
      </c>
      <c r="AR767" s="482" t="s">
        <v>3026</v>
      </c>
      <c r="AS767" s="472" t="s">
        <v>1076</v>
      </c>
      <c r="AT767" s="436" t="s">
        <v>1076</v>
      </c>
      <c r="AU767" s="436" t="s">
        <v>1076</v>
      </c>
      <c r="AV767" s="478">
        <v>0.73</v>
      </c>
    </row>
    <row r="768" spans="1:48" s="471" customFormat="1">
      <c r="A768" s="472"/>
      <c r="B768" s="449">
        <v>44655</v>
      </c>
      <c r="C768" s="449">
        <v>44671</v>
      </c>
      <c r="D768" s="501" t="s">
        <v>2901</v>
      </c>
      <c r="E768" s="429" t="s">
        <v>3044</v>
      </c>
      <c r="F768" s="501"/>
      <c r="G768" s="501"/>
      <c r="H768" s="501"/>
      <c r="I768" s="501" t="s">
        <v>3004</v>
      </c>
      <c r="J768" s="513"/>
      <c r="K768" s="501" t="s">
        <v>4752</v>
      </c>
      <c r="L768" s="501" t="s">
        <v>4751</v>
      </c>
      <c r="M768" s="502">
        <v>44644</v>
      </c>
      <c r="N768" s="502">
        <v>44774</v>
      </c>
      <c r="O768" s="502"/>
      <c r="P768" s="502"/>
      <c r="Q768" s="502"/>
      <c r="R768" s="502"/>
      <c r="S768" s="501" t="s">
        <v>2904</v>
      </c>
      <c r="T768" s="501">
        <v>60</v>
      </c>
      <c r="U768" s="501">
        <v>49204132</v>
      </c>
      <c r="V768" s="501" t="s">
        <v>1223</v>
      </c>
      <c r="W768" s="501">
        <v>360</v>
      </c>
      <c r="X768" s="505">
        <v>3328</v>
      </c>
      <c r="Y768" s="477">
        <f t="shared" si="123"/>
        <v>1198080</v>
      </c>
      <c r="Z768" s="478">
        <v>0.79</v>
      </c>
      <c r="AA768" s="479">
        <f t="shared" si="124"/>
        <v>946483.20000000007</v>
      </c>
      <c r="AB768" s="479"/>
      <c r="AC768" s="446">
        <v>0</v>
      </c>
      <c r="AD768" s="490"/>
      <c r="AE768" s="482"/>
      <c r="AF768" s="580">
        <f t="shared" si="125"/>
        <v>946483.20000000007</v>
      </c>
      <c r="AG768" s="474" t="s">
        <v>1071</v>
      </c>
      <c r="AH768" s="474"/>
      <c r="AI768" s="474">
        <v>60</v>
      </c>
      <c r="AJ768" s="484" t="s">
        <v>2568</v>
      </c>
      <c r="AK768" s="474" t="s">
        <v>1084</v>
      </c>
      <c r="AL768" s="483" t="s">
        <v>2569</v>
      </c>
      <c r="AM768" s="474" t="s">
        <v>52</v>
      </c>
      <c r="AN768" s="474" t="s">
        <v>1074</v>
      </c>
      <c r="AO768" s="474"/>
      <c r="AP768" s="482"/>
      <c r="AQ768" s="482" t="s">
        <v>37</v>
      </c>
      <c r="AR768" s="482" t="s">
        <v>3026</v>
      </c>
      <c r="AS768" s="472" t="s">
        <v>1076</v>
      </c>
      <c r="AT768" s="436" t="s">
        <v>1076</v>
      </c>
      <c r="AU768" s="436" t="s">
        <v>1076</v>
      </c>
      <c r="AV768" s="478">
        <v>0.73</v>
      </c>
    </row>
    <row r="769" spans="1:48" s="471" customFormat="1">
      <c r="A769" s="472"/>
      <c r="B769" s="449">
        <v>44655</v>
      </c>
      <c r="C769" s="449">
        <v>44671</v>
      </c>
      <c r="D769" s="501" t="s">
        <v>2901</v>
      </c>
      <c r="E769" s="429" t="s">
        <v>3044</v>
      </c>
      <c r="F769" s="501"/>
      <c r="G769" s="501"/>
      <c r="H769" s="501"/>
      <c r="I769" s="501" t="s">
        <v>3004</v>
      </c>
      <c r="J769" s="513"/>
      <c r="K769" s="501" t="s">
        <v>4752</v>
      </c>
      <c r="L769" s="501" t="s">
        <v>4751</v>
      </c>
      <c r="M769" s="502">
        <v>44644</v>
      </c>
      <c r="N769" s="502">
        <v>44774</v>
      </c>
      <c r="O769" s="502"/>
      <c r="P769" s="502"/>
      <c r="Q769" s="502"/>
      <c r="R769" s="502"/>
      <c r="S769" s="501" t="s">
        <v>2904</v>
      </c>
      <c r="T769" s="501">
        <v>60</v>
      </c>
      <c r="U769" s="501">
        <v>49203132</v>
      </c>
      <c r="V769" s="501" t="s">
        <v>986</v>
      </c>
      <c r="W769" s="501">
        <v>360</v>
      </c>
      <c r="X769" s="505">
        <v>8320</v>
      </c>
      <c r="Y769" s="477">
        <f t="shared" si="123"/>
        <v>2995200</v>
      </c>
      <c r="Z769" s="478">
        <v>0.53</v>
      </c>
      <c r="AA769" s="479">
        <f t="shared" si="124"/>
        <v>1587456</v>
      </c>
      <c r="AB769" s="479"/>
      <c r="AC769" s="446">
        <v>0</v>
      </c>
      <c r="AD769" s="490"/>
      <c r="AE769" s="482"/>
      <c r="AF769" s="580">
        <f t="shared" si="125"/>
        <v>1587456</v>
      </c>
      <c r="AG769" s="474" t="s">
        <v>1071</v>
      </c>
      <c r="AH769" s="474"/>
      <c r="AI769" s="474">
        <v>60</v>
      </c>
      <c r="AJ769" s="484" t="s">
        <v>2568</v>
      </c>
      <c r="AK769" s="474" t="s">
        <v>1084</v>
      </c>
      <c r="AL769" s="483" t="s">
        <v>2569</v>
      </c>
      <c r="AM769" s="474" t="s">
        <v>52</v>
      </c>
      <c r="AN769" s="474" t="s">
        <v>1074</v>
      </c>
      <c r="AO769" s="474"/>
      <c r="AP769" s="482"/>
      <c r="AQ769" s="482" t="s">
        <v>37</v>
      </c>
      <c r="AR769" s="482" t="s">
        <v>3026</v>
      </c>
      <c r="AS769" s="472" t="s">
        <v>1076</v>
      </c>
      <c r="AT769" s="436" t="s">
        <v>1076</v>
      </c>
      <c r="AU769" s="436" t="s">
        <v>1076</v>
      </c>
      <c r="AV769" s="478">
        <v>0.73</v>
      </c>
    </row>
    <row r="770" spans="1:48" s="471" customFormat="1">
      <c r="A770" s="472"/>
      <c r="B770" s="449">
        <v>44655</v>
      </c>
      <c r="C770" s="449">
        <v>44671</v>
      </c>
      <c r="D770" s="501" t="s">
        <v>2901</v>
      </c>
      <c r="E770" s="429" t="s">
        <v>3044</v>
      </c>
      <c r="F770" s="501"/>
      <c r="G770" s="501"/>
      <c r="H770" s="501"/>
      <c r="I770" s="501" t="s">
        <v>3004</v>
      </c>
      <c r="J770" s="513"/>
      <c r="K770" s="501" t="s">
        <v>4752</v>
      </c>
      <c r="L770" s="501" t="s">
        <v>4751</v>
      </c>
      <c r="M770" s="502">
        <v>44644</v>
      </c>
      <c r="N770" s="502">
        <v>44774</v>
      </c>
      <c r="O770" s="502"/>
      <c r="P770" s="502"/>
      <c r="Q770" s="502"/>
      <c r="R770" s="502"/>
      <c r="S770" s="501" t="s">
        <v>2904</v>
      </c>
      <c r="T770" s="501">
        <v>60</v>
      </c>
      <c r="U770" s="501">
        <v>49405140</v>
      </c>
      <c r="V770" s="501" t="s">
        <v>973</v>
      </c>
      <c r="W770" s="501">
        <v>400</v>
      </c>
      <c r="X770" s="505">
        <v>12480</v>
      </c>
      <c r="Y770" s="477">
        <f t="shared" si="123"/>
        <v>4992000</v>
      </c>
      <c r="Z770" s="478">
        <v>0.55000000000000004</v>
      </c>
      <c r="AA770" s="479">
        <f t="shared" si="124"/>
        <v>2745600</v>
      </c>
      <c r="AB770" s="479"/>
      <c r="AC770" s="446">
        <v>0</v>
      </c>
      <c r="AD770" s="490"/>
      <c r="AE770" s="482"/>
      <c r="AF770" s="580">
        <f t="shared" si="125"/>
        <v>2745600</v>
      </c>
      <c r="AG770" s="474" t="s">
        <v>1071</v>
      </c>
      <c r="AH770" s="474"/>
      <c r="AI770" s="474">
        <v>60</v>
      </c>
      <c r="AJ770" s="484" t="s">
        <v>2568</v>
      </c>
      <c r="AK770" s="474" t="s">
        <v>1084</v>
      </c>
      <c r="AL770" s="483" t="s">
        <v>2569</v>
      </c>
      <c r="AM770" s="474" t="s">
        <v>52</v>
      </c>
      <c r="AN770" s="474" t="s">
        <v>1074</v>
      </c>
      <c r="AO770" s="474"/>
      <c r="AP770" s="482"/>
      <c r="AQ770" s="482" t="s">
        <v>37</v>
      </c>
      <c r="AR770" s="482" t="s">
        <v>3026</v>
      </c>
      <c r="AS770" s="472" t="s">
        <v>1076</v>
      </c>
      <c r="AT770" s="436" t="s">
        <v>1076</v>
      </c>
      <c r="AU770" s="436" t="s">
        <v>1076</v>
      </c>
      <c r="AV770" s="478">
        <v>0.73</v>
      </c>
    </row>
    <row r="771" spans="1:48" s="471" customFormat="1">
      <c r="A771" s="472"/>
      <c r="B771" s="449">
        <v>44655</v>
      </c>
      <c r="C771" s="449">
        <v>44671</v>
      </c>
      <c r="D771" s="501" t="s">
        <v>2901</v>
      </c>
      <c r="E771" s="429" t="s">
        <v>3044</v>
      </c>
      <c r="F771" s="501"/>
      <c r="G771" s="501"/>
      <c r="H771" s="501"/>
      <c r="I771" s="501" t="s">
        <v>3004</v>
      </c>
      <c r="J771" s="513"/>
      <c r="K771" s="501" t="s">
        <v>4753</v>
      </c>
      <c r="L771" s="501" t="s">
        <v>4751</v>
      </c>
      <c r="M771" s="502">
        <v>44644</v>
      </c>
      <c r="N771" s="502">
        <v>44805</v>
      </c>
      <c r="O771" s="502"/>
      <c r="P771" s="502"/>
      <c r="Q771" s="502"/>
      <c r="R771" s="502"/>
      <c r="S771" s="501" t="s">
        <v>2904</v>
      </c>
      <c r="T771" s="501">
        <v>60</v>
      </c>
      <c r="U771" s="501">
        <v>49203132</v>
      </c>
      <c r="V771" s="501" t="s">
        <v>986</v>
      </c>
      <c r="W771" s="501">
        <v>360</v>
      </c>
      <c r="X771" s="505">
        <v>8320</v>
      </c>
      <c r="Y771" s="477">
        <f t="shared" si="123"/>
        <v>2995200</v>
      </c>
      <c r="Z771" s="478">
        <v>0.53</v>
      </c>
      <c r="AA771" s="479">
        <f t="shared" si="124"/>
        <v>1587456</v>
      </c>
      <c r="AB771" s="479"/>
      <c r="AC771" s="446">
        <v>0</v>
      </c>
      <c r="AD771" s="490"/>
      <c r="AE771" s="482"/>
      <c r="AF771" s="580">
        <f t="shared" si="125"/>
        <v>1587456</v>
      </c>
      <c r="AG771" s="474" t="s">
        <v>1071</v>
      </c>
      <c r="AH771" s="474"/>
      <c r="AI771" s="474">
        <v>60</v>
      </c>
      <c r="AJ771" s="484" t="s">
        <v>2568</v>
      </c>
      <c r="AK771" s="474" t="s">
        <v>1084</v>
      </c>
      <c r="AL771" s="483" t="s">
        <v>2569</v>
      </c>
      <c r="AM771" s="474" t="s">
        <v>52</v>
      </c>
      <c r="AN771" s="474" t="s">
        <v>1074</v>
      </c>
      <c r="AO771" s="474"/>
      <c r="AP771" s="482"/>
      <c r="AQ771" s="482" t="s">
        <v>37</v>
      </c>
      <c r="AR771" s="482" t="s">
        <v>3026</v>
      </c>
      <c r="AS771" s="472" t="s">
        <v>1076</v>
      </c>
      <c r="AT771" s="436" t="s">
        <v>1076</v>
      </c>
      <c r="AU771" s="436" t="s">
        <v>1076</v>
      </c>
      <c r="AV771" s="478">
        <v>0.73</v>
      </c>
    </row>
    <row r="772" spans="1:48" s="471" customFormat="1">
      <c r="A772" s="472"/>
      <c r="B772" s="449">
        <v>44655</v>
      </c>
      <c r="C772" s="449">
        <v>44671</v>
      </c>
      <c r="D772" s="501" t="s">
        <v>2901</v>
      </c>
      <c r="E772" s="429" t="s">
        <v>3044</v>
      </c>
      <c r="F772" s="501"/>
      <c r="G772" s="501"/>
      <c r="H772" s="501"/>
      <c r="I772" s="501" t="s">
        <v>3004</v>
      </c>
      <c r="J772" s="513"/>
      <c r="K772" s="501" t="s">
        <v>4753</v>
      </c>
      <c r="L772" s="501" t="s">
        <v>4751</v>
      </c>
      <c r="M772" s="502">
        <v>44644</v>
      </c>
      <c r="N772" s="502">
        <v>44805</v>
      </c>
      <c r="O772" s="502"/>
      <c r="P772" s="502"/>
      <c r="Q772" s="502"/>
      <c r="R772" s="502"/>
      <c r="S772" s="501" t="s">
        <v>2904</v>
      </c>
      <c r="T772" s="501">
        <v>60</v>
      </c>
      <c r="U772" s="501">
        <v>49204132</v>
      </c>
      <c r="V772" s="501" t="s">
        <v>1223</v>
      </c>
      <c r="W772" s="501">
        <v>360</v>
      </c>
      <c r="X772" s="505">
        <v>3328</v>
      </c>
      <c r="Y772" s="477">
        <f t="shared" si="123"/>
        <v>1198080</v>
      </c>
      <c r="Z772" s="478">
        <v>0.79</v>
      </c>
      <c r="AA772" s="479">
        <f t="shared" si="124"/>
        <v>946483.20000000007</v>
      </c>
      <c r="AB772" s="479"/>
      <c r="AC772" s="446">
        <v>0</v>
      </c>
      <c r="AD772" s="490"/>
      <c r="AE772" s="482"/>
      <c r="AF772" s="580">
        <f t="shared" si="125"/>
        <v>946483.20000000007</v>
      </c>
      <c r="AG772" s="474" t="s">
        <v>1071</v>
      </c>
      <c r="AH772" s="474"/>
      <c r="AI772" s="474">
        <v>60</v>
      </c>
      <c r="AJ772" s="484" t="s">
        <v>2568</v>
      </c>
      <c r="AK772" s="474" t="s">
        <v>1084</v>
      </c>
      <c r="AL772" s="483" t="s">
        <v>2569</v>
      </c>
      <c r="AM772" s="474" t="s">
        <v>52</v>
      </c>
      <c r="AN772" s="474" t="s">
        <v>1074</v>
      </c>
      <c r="AO772" s="474"/>
      <c r="AP772" s="482"/>
      <c r="AQ772" s="482" t="s">
        <v>37</v>
      </c>
      <c r="AR772" s="482" t="s">
        <v>3026</v>
      </c>
      <c r="AS772" s="472" t="s">
        <v>1076</v>
      </c>
      <c r="AT772" s="436" t="s">
        <v>1076</v>
      </c>
      <c r="AU772" s="436" t="s">
        <v>1076</v>
      </c>
      <c r="AV772" s="478">
        <v>0.73</v>
      </c>
    </row>
    <row r="773" spans="1:48" s="471" customFormat="1">
      <c r="A773" s="472"/>
      <c r="B773" s="449">
        <v>44655</v>
      </c>
      <c r="C773" s="449">
        <v>44671</v>
      </c>
      <c r="D773" s="501" t="s">
        <v>2901</v>
      </c>
      <c r="E773" s="429" t="s">
        <v>3044</v>
      </c>
      <c r="F773" s="501"/>
      <c r="G773" s="501"/>
      <c r="H773" s="501"/>
      <c r="I773" s="501" t="s">
        <v>3004</v>
      </c>
      <c r="J773" s="513"/>
      <c r="K773" s="501" t="s">
        <v>4753</v>
      </c>
      <c r="L773" s="501" t="s">
        <v>4751</v>
      </c>
      <c r="M773" s="502">
        <v>44644</v>
      </c>
      <c r="N773" s="502">
        <v>44805</v>
      </c>
      <c r="O773" s="502"/>
      <c r="P773" s="502"/>
      <c r="Q773" s="502"/>
      <c r="R773" s="502"/>
      <c r="S773" s="501" t="s">
        <v>2904</v>
      </c>
      <c r="T773" s="501">
        <v>60</v>
      </c>
      <c r="U773" s="501">
        <v>49405140</v>
      </c>
      <c r="V773" s="501" t="s">
        <v>973</v>
      </c>
      <c r="W773" s="501">
        <v>400</v>
      </c>
      <c r="X773" s="505">
        <v>12480</v>
      </c>
      <c r="Y773" s="477">
        <f t="shared" si="123"/>
        <v>4992000</v>
      </c>
      <c r="Z773" s="478">
        <v>0.55000000000000004</v>
      </c>
      <c r="AA773" s="479">
        <f t="shared" si="124"/>
        <v>2745600</v>
      </c>
      <c r="AB773" s="479"/>
      <c r="AC773" s="446">
        <v>0</v>
      </c>
      <c r="AD773" s="490"/>
      <c r="AE773" s="482"/>
      <c r="AF773" s="580">
        <f t="shared" si="125"/>
        <v>2745600</v>
      </c>
      <c r="AG773" s="474" t="s">
        <v>1071</v>
      </c>
      <c r="AH773" s="474"/>
      <c r="AI773" s="474">
        <v>60</v>
      </c>
      <c r="AJ773" s="484" t="s">
        <v>2568</v>
      </c>
      <c r="AK773" s="474" t="s">
        <v>1084</v>
      </c>
      <c r="AL773" s="483" t="s">
        <v>2569</v>
      </c>
      <c r="AM773" s="474" t="s">
        <v>52</v>
      </c>
      <c r="AN773" s="474" t="s">
        <v>1074</v>
      </c>
      <c r="AO773" s="474"/>
      <c r="AP773" s="482"/>
      <c r="AQ773" s="482" t="s">
        <v>37</v>
      </c>
      <c r="AR773" s="482" t="s">
        <v>3026</v>
      </c>
      <c r="AS773" s="472" t="s">
        <v>1076</v>
      </c>
      <c r="AT773" s="436" t="s">
        <v>1076</v>
      </c>
      <c r="AU773" s="436" t="s">
        <v>1076</v>
      </c>
      <c r="AV773" s="478">
        <v>0.73</v>
      </c>
    </row>
    <row r="774" spans="1:48" s="471" customFormat="1">
      <c r="A774" s="472"/>
      <c r="B774" s="449">
        <v>44656</v>
      </c>
      <c r="C774" s="449"/>
      <c r="D774" s="501" t="s">
        <v>2901</v>
      </c>
      <c r="E774" s="429" t="s">
        <v>4722</v>
      </c>
      <c r="F774" s="501"/>
      <c r="G774" s="501"/>
      <c r="H774" s="501"/>
      <c r="I774" s="501" t="s">
        <v>3004</v>
      </c>
      <c r="J774" s="513"/>
      <c r="K774" s="501" t="s">
        <v>4754</v>
      </c>
      <c r="L774" s="501" t="s">
        <v>4751</v>
      </c>
      <c r="M774" s="502">
        <v>44655</v>
      </c>
      <c r="N774" s="502">
        <v>44835</v>
      </c>
      <c r="O774" s="502"/>
      <c r="P774" s="502"/>
      <c r="Q774" s="502"/>
      <c r="R774" s="502"/>
      <c r="S774" s="501" t="s">
        <v>2904</v>
      </c>
      <c r="T774" s="501">
        <v>60</v>
      </c>
      <c r="U774" s="501">
        <v>49405140</v>
      </c>
      <c r="V774" s="501" t="s">
        <v>973</v>
      </c>
      <c r="W774" s="501">
        <v>400</v>
      </c>
      <c r="X774" s="505">
        <v>13312</v>
      </c>
      <c r="Y774" s="477">
        <f t="shared" si="123"/>
        <v>5324800</v>
      </c>
      <c r="Z774" s="478">
        <v>0.55000000000000004</v>
      </c>
      <c r="AA774" s="479">
        <f t="shared" si="124"/>
        <v>2928640.0000000005</v>
      </c>
      <c r="AB774" s="479"/>
      <c r="AC774" s="446">
        <v>0</v>
      </c>
      <c r="AD774" s="490"/>
      <c r="AE774" s="482"/>
      <c r="AF774" s="580">
        <f t="shared" si="125"/>
        <v>2928640.0000000005</v>
      </c>
      <c r="AG774" s="474" t="s">
        <v>1071</v>
      </c>
      <c r="AH774" s="474"/>
      <c r="AI774" s="474">
        <v>60</v>
      </c>
      <c r="AJ774" s="484" t="s">
        <v>2568</v>
      </c>
      <c r="AK774" s="474" t="s">
        <v>1084</v>
      </c>
      <c r="AL774" s="483" t="s">
        <v>2569</v>
      </c>
      <c r="AM774" s="474" t="s">
        <v>52</v>
      </c>
      <c r="AN774" s="474" t="s">
        <v>1074</v>
      </c>
      <c r="AO774" s="474"/>
      <c r="AP774" s="482"/>
      <c r="AQ774" s="482" t="s">
        <v>37</v>
      </c>
      <c r="AR774" s="482" t="s">
        <v>3026</v>
      </c>
      <c r="AS774" s="472" t="s">
        <v>1076</v>
      </c>
      <c r="AT774" s="436" t="s">
        <v>1076</v>
      </c>
      <c r="AU774" s="436" t="s">
        <v>1076</v>
      </c>
      <c r="AV774" s="478">
        <v>0.73</v>
      </c>
    </row>
    <row r="775" spans="1:48" s="471" customFormat="1">
      <c r="A775" s="472"/>
      <c r="B775" s="449">
        <v>44656</v>
      </c>
      <c r="C775" s="449"/>
      <c r="D775" s="501" t="s">
        <v>2901</v>
      </c>
      <c r="E775" s="429" t="s">
        <v>4722</v>
      </c>
      <c r="F775" s="501"/>
      <c r="G775" s="501"/>
      <c r="H775" s="501"/>
      <c r="I775" s="501" t="s">
        <v>3004</v>
      </c>
      <c r="J775" s="513"/>
      <c r="K775" s="501" t="s">
        <v>4754</v>
      </c>
      <c r="L775" s="501" t="s">
        <v>4751</v>
      </c>
      <c r="M775" s="502">
        <v>44655</v>
      </c>
      <c r="N775" s="502">
        <v>44835</v>
      </c>
      <c r="O775" s="502"/>
      <c r="P775" s="502"/>
      <c r="Q775" s="502"/>
      <c r="R775" s="502"/>
      <c r="S775" s="501" t="s">
        <v>2904</v>
      </c>
      <c r="T775" s="501">
        <v>60</v>
      </c>
      <c r="U775" s="501">
        <v>49203132</v>
      </c>
      <c r="V775" s="501" t="s">
        <v>986</v>
      </c>
      <c r="W775" s="501">
        <v>360</v>
      </c>
      <c r="X775" s="505">
        <v>9152</v>
      </c>
      <c r="Y775" s="477">
        <f t="shared" si="123"/>
        <v>3294720</v>
      </c>
      <c r="Z775" s="478">
        <v>0.53</v>
      </c>
      <c r="AA775" s="479">
        <f t="shared" si="124"/>
        <v>1746201.6000000001</v>
      </c>
      <c r="AB775" s="479"/>
      <c r="AC775" s="446">
        <v>0</v>
      </c>
      <c r="AD775" s="490"/>
      <c r="AE775" s="482"/>
      <c r="AF775" s="580">
        <f t="shared" si="125"/>
        <v>1746201.6000000001</v>
      </c>
      <c r="AG775" s="474" t="s">
        <v>1071</v>
      </c>
      <c r="AH775" s="474"/>
      <c r="AI775" s="474">
        <v>60</v>
      </c>
      <c r="AJ775" s="484" t="s">
        <v>2568</v>
      </c>
      <c r="AK775" s="474" t="s">
        <v>1084</v>
      </c>
      <c r="AL775" s="483" t="s">
        <v>2569</v>
      </c>
      <c r="AM775" s="474" t="s">
        <v>52</v>
      </c>
      <c r="AN775" s="474" t="s">
        <v>1074</v>
      </c>
      <c r="AO775" s="474"/>
      <c r="AP775" s="482"/>
      <c r="AQ775" s="482" t="s">
        <v>37</v>
      </c>
      <c r="AR775" s="482" t="s">
        <v>3026</v>
      </c>
      <c r="AS775" s="472" t="s">
        <v>1076</v>
      </c>
      <c r="AT775" s="436" t="s">
        <v>1076</v>
      </c>
      <c r="AU775" s="436" t="s">
        <v>1076</v>
      </c>
      <c r="AV775" s="478">
        <v>0.73</v>
      </c>
    </row>
    <row r="776" spans="1:48" s="471" customFormat="1">
      <c r="A776" s="472"/>
      <c r="B776" s="449">
        <v>44656</v>
      </c>
      <c r="C776" s="449"/>
      <c r="D776" s="501" t="s">
        <v>2901</v>
      </c>
      <c r="E776" s="429" t="s">
        <v>4722</v>
      </c>
      <c r="F776" s="501"/>
      <c r="G776" s="501"/>
      <c r="H776" s="501"/>
      <c r="I776" s="501" t="s">
        <v>3004</v>
      </c>
      <c r="J776" s="513"/>
      <c r="K776" s="501" t="s">
        <v>4754</v>
      </c>
      <c r="L776" s="501" t="s">
        <v>4751</v>
      </c>
      <c r="M776" s="502">
        <v>44655</v>
      </c>
      <c r="N776" s="502">
        <v>44835</v>
      </c>
      <c r="O776" s="502"/>
      <c r="P776" s="502"/>
      <c r="Q776" s="502"/>
      <c r="R776" s="502"/>
      <c r="S776" s="501" t="s">
        <v>2904</v>
      </c>
      <c r="T776" s="501">
        <v>60</v>
      </c>
      <c r="U776" s="501">
        <v>49204132</v>
      </c>
      <c r="V776" s="501" t="s">
        <v>1223</v>
      </c>
      <c r="W776" s="501">
        <v>360</v>
      </c>
      <c r="X776" s="505">
        <v>4160</v>
      </c>
      <c r="Y776" s="477">
        <f t="shared" si="123"/>
        <v>1497600</v>
      </c>
      <c r="Z776" s="478">
        <v>0.79</v>
      </c>
      <c r="AA776" s="479">
        <f t="shared" si="124"/>
        <v>1183104</v>
      </c>
      <c r="AB776" s="479"/>
      <c r="AC776" s="446">
        <v>0</v>
      </c>
      <c r="AD776" s="490"/>
      <c r="AE776" s="482"/>
      <c r="AF776" s="580">
        <f t="shared" si="125"/>
        <v>1183104</v>
      </c>
      <c r="AG776" s="474" t="s">
        <v>1071</v>
      </c>
      <c r="AH776" s="474"/>
      <c r="AI776" s="474">
        <v>60</v>
      </c>
      <c r="AJ776" s="484" t="s">
        <v>2568</v>
      </c>
      <c r="AK776" s="474" t="s">
        <v>1084</v>
      </c>
      <c r="AL776" s="483" t="s">
        <v>2569</v>
      </c>
      <c r="AM776" s="474" t="s">
        <v>52</v>
      </c>
      <c r="AN776" s="474" t="s">
        <v>1074</v>
      </c>
      <c r="AO776" s="474"/>
      <c r="AP776" s="482"/>
      <c r="AQ776" s="482" t="s">
        <v>37</v>
      </c>
      <c r="AR776" s="482" t="s">
        <v>3026</v>
      </c>
      <c r="AS776" s="472" t="s">
        <v>1076</v>
      </c>
      <c r="AT776" s="436" t="s">
        <v>1076</v>
      </c>
      <c r="AU776" s="436" t="s">
        <v>1076</v>
      </c>
      <c r="AV776" s="478">
        <v>0.73</v>
      </c>
    </row>
    <row r="777" spans="1:48" s="471" customFormat="1">
      <c r="A777" s="472"/>
      <c r="B777" s="449">
        <v>44656</v>
      </c>
      <c r="C777" s="449"/>
      <c r="D777" s="501" t="s">
        <v>2901</v>
      </c>
      <c r="E777" s="429" t="s">
        <v>4722</v>
      </c>
      <c r="F777" s="501"/>
      <c r="G777" s="501"/>
      <c r="H777" s="501"/>
      <c r="I777" s="501" t="s">
        <v>3004</v>
      </c>
      <c r="J777" s="513"/>
      <c r="K777" s="501" t="s">
        <v>4755</v>
      </c>
      <c r="L777" s="501" t="s">
        <v>4751</v>
      </c>
      <c r="M777" s="502">
        <v>44655</v>
      </c>
      <c r="N777" s="502">
        <v>44866</v>
      </c>
      <c r="O777" s="502"/>
      <c r="P777" s="502"/>
      <c r="Q777" s="502"/>
      <c r="R777" s="502"/>
      <c r="S777" s="501" t="s">
        <v>2904</v>
      </c>
      <c r="T777" s="501">
        <v>60</v>
      </c>
      <c r="U777" s="501">
        <v>49405140</v>
      </c>
      <c r="V777" s="501" t="s">
        <v>973</v>
      </c>
      <c r="W777" s="501">
        <v>400</v>
      </c>
      <c r="X777" s="505">
        <v>13312</v>
      </c>
      <c r="Y777" s="477">
        <f t="shared" si="123"/>
        <v>5324800</v>
      </c>
      <c r="Z777" s="478">
        <v>0.55000000000000004</v>
      </c>
      <c r="AA777" s="479">
        <f t="shared" si="124"/>
        <v>2928640.0000000005</v>
      </c>
      <c r="AB777" s="479"/>
      <c r="AC777" s="446">
        <v>0</v>
      </c>
      <c r="AD777" s="490"/>
      <c r="AE777" s="482"/>
      <c r="AF777" s="580">
        <f t="shared" si="125"/>
        <v>2928640.0000000005</v>
      </c>
      <c r="AG777" s="474" t="s">
        <v>1071</v>
      </c>
      <c r="AH777" s="474"/>
      <c r="AI777" s="474">
        <v>60</v>
      </c>
      <c r="AJ777" s="484" t="s">
        <v>2568</v>
      </c>
      <c r="AK777" s="474" t="s">
        <v>1084</v>
      </c>
      <c r="AL777" s="483" t="s">
        <v>2569</v>
      </c>
      <c r="AM777" s="474" t="s">
        <v>52</v>
      </c>
      <c r="AN777" s="474" t="s">
        <v>1074</v>
      </c>
      <c r="AO777" s="474"/>
      <c r="AP777" s="482"/>
      <c r="AQ777" s="482" t="s">
        <v>37</v>
      </c>
      <c r="AR777" s="482" t="s">
        <v>3026</v>
      </c>
      <c r="AS777" s="472" t="s">
        <v>1076</v>
      </c>
      <c r="AT777" s="436" t="s">
        <v>1076</v>
      </c>
      <c r="AU777" s="436" t="s">
        <v>1076</v>
      </c>
      <c r="AV777" s="478">
        <v>0.73</v>
      </c>
    </row>
    <row r="778" spans="1:48" s="471" customFormat="1">
      <c r="A778" s="472"/>
      <c r="B778" s="449">
        <v>44656</v>
      </c>
      <c r="C778" s="449"/>
      <c r="D778" s="501" t="s">
        <v>2901</v>
      </c>
      <c r="E778" s="429" t="s">
        <v>4722</v>
      </c>
      <c r="F778" s="501"/>
      <c r="G778" s="501"/>
      <c r="H778" s="501"/>
      <c r="I778" s="501" t="s">
        <v>3004</v>
      </c>
      <c r="J778" s="513"/>
      <c r="K778" s="501" t="s">
        <v>4755</v>
      </c>
      <c r="L778" s="501" t="s">
        <v>4751</v>
      </c>
      <c r="M778" s="502">
        <v>44655</v>
      </c>
      <c r="N778" s="502">
        <v>44866</v>
      </c>
      <c r="O778" s="502"/>
      <c r="P778" s="502"/>
      <c r="Q778" s="502"/>
      <c r="R778" s="502"/>
      <c r="S778" s="501" t="s">
        <v>2904</v>
      </c>
      <c r="T778" s="501">
        <v>60</v>
      </c>
      <c r="U778" s="501">
        <v>49203132</v>
      </c>
      <c r="V778" s="501" t="s">
        <v>986</v>
      </c>
      <c r="W778" s="501">
        <v>360</v>
      </c>
      <c r="X778" s="505">
        <v>9152</v>
      </c>
      <c r="Y778" s="477">
        <f t="shared" si="123"/>
        <v>3294720</v>
      </c>
      <c r="Z778" s="478">
        <v>0.53</v>
      </c>
      <c r="AA778" s="479">
        <f t="shared" si="124"/>
        <v>1746201.6000000001</v>
      </c>
      <c r="AB778" s="479"/>
      <c r="AC778" s="446">
        <v>0</v>
      </c>
      <c r="AD778" s="490"/>
      <c r="AE778" s="482"/>
      <c r="AF778" s="580">
        <f t="shared" si="125"/>
        <v>1746201.6000000001</v>
      </c>
      <c r="AG778" s="474" t="s">
        <v>1071</v>
      </c>
      <c r="AH778" s="474"/>
      <c r="AI778" s="474">
        <v>60</v>
      </c>
      <c r="AJ778" s="484" t="s">
        <v>2568</v>
      </c>
      <c r="AK778" s="474" t="s">
        <v>1084</v>
      </c>
      <c r="AL778" s="483" t="s">
        <v>2569</v>
      </c>
      <c r="AM778" s="474" t="s">
        <v>52</v>
      </c>
      <c r="AN778" s="474" t="s">
        <v>1074</v>
      </c>
      <c r="AO778" s="474"/>
      <c r="AP778" s="482"/>
      <c r="AQ778" s="482" t="s">
        <v>37</v>
      </c>
      <c r="AR778" s="482" t="s">
        <v>3026</v>
      </c>
      <c r="AS778" s="472" t="s">
        <v>1076</v>
      </c>
      <c r="AT778" s="436" t="s">
        <v>1076</v>
      </c>
      <c r="AU778" s="436" t="s">
        <v>1076</v>
      </c>
      <c r="AV778" s="478">
        <v>0.73</v>
      </c>
    </row>
    <row r="779" spans="1:48" s="471" customFormat="1">
      <c r="A779" s="472"/>
      <c r="B779" s="449">
        <v>44656</v>
      </c>
      <c r="C779" s="449"/>
      <c r="D779" s="501" t="s">
        <v>2901</v>
      </c>
      <c r="E779" s="429" t="s">
        <v>4722</v>
      </c>
      <c r="F779" s="501"/>
      <c r="G779" s="501"/>
      <c r="H779" s="501"/>
      <c r="I779" s="501" t="s">
        <v>3004</v>
      </c>
      <c r="J779" s="513"/>
      <c r="K779" s="501" t="s">
        <v>4755</v>
      </c>
      <c r="L779" s="501" t="s">
        <v>4751</v>
      </c>
      <c r="M779" s="502">
        <v>44655</v>
      </c>
      <c r="N779" s="502">
        <v>44866</v>
      </c>
      <c r="O779" s="502"/>
      <c r="P779" s="502"/>
      <c r="Q779" s="502"/>
      <c r="R779" s="502"/>
      <c r="S779" s="501" t="s">
        <v>2904</v>
      </c>
      <c r="T779" s="501">
        <v>60</v>
      </c>
      <c r="U779" s="501">
        <v>49204132</v>
      </c>
      <c r="V779" s="501" t="s">
        <v>1223</v>
      </c>
      <c r="W779" s="501">
        <v>360</v>
      </c>
      <c r="X779" s="505">
        <v>4160</v>
      </c>
      <c r="Y779" s="477">
        <f t="shared" si="123"/>
        <v>1497600</v>
      </c>
      <c r="Z779" s="478">
        <v>0.79</v>
      </c>
      <c r="AA779" s="479">
        <f t="shared" si="124"/>
        <v>1183104</v>
      </c>
      <c r="AB779" s="479"/>
      <c r="AC779" s="446">
        <v>0</v>
      </c>
      <c r="AD779" s="490"/>
      <c r="AE779" s="482"/>
      <c r="AF779" s="580">
        <f t="shared" si="125"/>
        <v>1183104</v>
      </c>
      <c r="AG779" s="474" t="s">
        <v>1071</v>
      </c>
      <c r="AH779" s="474"/>
      <c r="AI779" s="474">
        <v>60</v>
      </c>
      <c r="AJ779" s="484" t="s">
        <v>2568</v>
      </c>
      <c r="AK779" s="474" t="s">
        <v>1084</v>
      </c>
      <c r="AL779" s="483" t="s">
        <v>2569</v>
      </c>
      <c r="AM779" s="474" t="s">
        <v>52</v>
      </c>
      <c r="AN779" s="474" t="s">
        <v>1074</v>
      </c>
      <c r="AO779" s="474"/>
      <c r="AP779" s="482"/>
      <c r="AQ779" s="482" t="s">
        <v>37</v>
      </c>
      <c r="AR779" s="482" t="s">
        <v>3026</v>
      </c>
      <c r="AS779" s="472" t="s">
        <v>1076</v>
      </c>
      <c r="AT779" s="436" t="s">
        <v>1076</v>
      </c>
      <c r="AU779" s="436" t="s">
        <v>1076</v>
      </c>
      <c r="AV779" s="478">
        <v>0.73</v>
      </c>
    </row>
    <row r="780" spans="1:48" s="471" customFormat="1">
      <c r="A780" s="472"/>
      <c r="B780" s="449">
        <v>44656</v>
      </c>
      <c r="C780" s="449"/>
      <c r="D780" s="501" t="s">
        <v>2901</v>
      </c>
      <c r="E780" s="429" t="s">
        <v>4722</v>
      </c>
      <c r="F780" s="501"/>
      <c r="G780" s="501"/>
      <c r="H780" s="501"/>
      <c r="I780" s="501" t="s">
        <v>3004</v>
      </c>
      <c r="J780" s="513"/>
      <c r="K780" s="501" t="s">
        <v>4756</v>
      </c>
      <c r="L780" s="501" t="s">
        <v>4751</v>
      </c>
      <c r="M780" s="502">
        <v>44655</v>
      </c>
      <c r="N780" s="502">
        <v>44866</v>
      </c>
      <c r="O780" s="502"/>
      <c r="P780" s="502"/>
      <c r="Q780" s="502"/>
      <c r="R780" s="502"/>
      <c r="S780" s="501" t="s">
        <v>2904</v>
      </c>
      <c r="T780" s="501">
        <v>60</v>
      </c>
      <c r="U780" s="501">
        <v>49405140</v>
      </c>
      <c r="V780" s="501" t="s">
        <v>973</v>
      </c>
      <c r="W780" s="501">
        <v>400</v>
      </c>
      <c r="X780" s="505">
        <v>13312</v>
      </c>
      <c r="Y780" s="477">
        <f t="shared" si="123"/>
        <v>5324800</v>
      </c>
      <c r="Z780" s="478">
        <v>0.55000000000000004</v>
      </c>
      <c r="AA780" s="479">
        <f t="shared" si="124"/>
        <v>2928640.0000000005</v>
      </c>
      <c r="AB780" s="479"/>
      <c r="AC780" s="446">
        <v>0</v>
      </c>
      <c r="AD780" s="490"/>
      <c r="AE780" s="482"/>
      <c r="AF780" s="580">
        <f t="shared" si="125"/>
        <v>2928640.0000000005</v>
      </c>
      <c r="AG780" s="474" t="s">
        <v>1071</v>
      </c>
      <c r="AH780" s="474"/>
      <c r="AI780" s="474">
        <v>60</v>
      </c>
      <c r="AJ780" s="484" t="s">
        <v>2568</v>
      </c>
      <c r="AK780" s="474" t="s">
        <v>1084</v>
      </c>
      <c r="AL780" s="483" t="s">
        <v>2569</v>
      </c>
      <c r="AM780" s="474" t="s">
        <v>52</v>
      </c>
      <c r="AN780" s="474" t="s">
        <v>1074</v>
      </c>
      <c r="AO780" s="474"/>
      <c r="AP780" s="482"/>
      <c r="AQ780" s="482" t="s">
        <v>37</v>
      </c>
      <c r="AR780" s="482" t="s">
        <v>3026</v>
      </c>
      <c r="AS780" s="472" t="s">
        <v>1076</v>
      </c>
      <c r="AT780" s="436" t="s">
        <v>1076</v>
      </c>
      <c r="AU780" s="436" t="s">
        <v>1076</v>
      </c>
      <c r="AV780" s="478">
        <v>0.73</v>
      </c>
    </row>
    <row r="781" spans="1:48" s="471" customFormat="1">
      <c r="A781" s="472"/>
      <c r="B781" s="449">
        <v>44656</v>
      </c>
      <c r="C781" s="449"/>
      <c r="D781" s="501" t="s">
        <v>2901</v>
      </c>
      <c r="E781" s="429" t="s">
        <v>4722</v>
      </c>
      <c r="F781" s="501"/>
      <c r="G781" s="501"/>
      <c r="H781" s="501"/>
      <c r="I781" s="501" t="s">
        <v>3004</v>
      </c>
      <c r="J781" s="513"/>
      <c r="K781" s="501" t="s">
        <v>4756</v>
      </c>
      <c r="L781" s="501" t="s">
        <v>4751</v>
      </c>
      <c r="M781" s="502">
        <v>44655</v>
      </c>
      <c r="N781" s="502">
        <v>44866</v>
      </c>
      <c r="O781" s="502"/>
      <c r="P781" s="502"/>
      <c r="Q781" s="502"/>
      <c r="R781" s="502"/>
      <c r="S781" s="501" t="s">
        <v>2904</v>
      </c>
      <c r="T781" s="501">
        <v>60</v>
      </c>
      <c r="U781" s="501">
        <v>49203132</v>
      </c>
      <c r="V781" s="501" t="s">
        <v>986</v>
      </c>
      <c r="W781" s="501">
        <v>360</v>
      </c>
      <c r="X781" s="505">
        <v>9152</v>
      </c>
      <c r="Y781" s="477">
        <f t="shared" si="123"/>
        <v>3294720</v>
      </c>
      <c r="Z781" s="478">
        <v>0.55000000000000004</v>
      </c>
      <c r="AA781" s="479">
        <f t="shared" si="124"/>
        <v>1812096.0000000002</v>
      </c>
      <c r="AB781" s="479"/>
      <c r="AC781" s="446">
        <v>0</v>
      </c>
      <c r="AD781" s="490"/>
      <c r="AE781" s="482"/>
      <c r="AF781" s="580">
        <f t="shared" si="125"/>
        <v>1812096.0000000002</v>
      </c>
      <c r="AG781" s="474" t="s">
        <v>1071</v>
      </c>
      <c r="AH781" s="474"/>
      <c r="AI781" s="474">
        <v>60</v>
      </c>
      <c r="AJ781" s="484" t="s">
        <v>2568</v>
      </c>
      <c r="AK781" s="474" t="s">
        <v>1084</v>
      </c>
      <c r="AL781" s="483" t="s">
        <v>2569</v>
      </c>
      <c r="AM781" s="474" t="s">
        <v>52</v>
      </c>
      <c r="AN781" s="474" t="s">
        <v>1074</v>
      </c>
      <c r="AO781" s="474"/>
      <c r="AP781" s="482"/>
      <c r="AQ781" s="482" t="s">
        <v>37</v>
      </c>
      <c r="AR781" s="482" t="s">
        <v>3026</v>
      </c>
      <c r="AS781" s="472" t="s">
        <v>1076</v>
      </c>
      <c r="AT781" s="436" t="s">
        <v>1076</v>
      </c>
      <c r="AU781" s="436" t="s">
        <v>1076</v>
      </c>
      <c r="AV781" s="478">
        <v>0.73</v>
      </c>
    </row>
    <row r="782" spans="1:48" s="471" customFormat="1">
      <c r="A782" s="472"/>
      <c r="B782" s="449">
        <v>44656</v>
      </c>
      <c r="C782" s="449"/>
      <c r="D782" s="501" t="s">
        <v>2901</v>
      </c>
      <c r="E782" s="429" t="s">
        <v>4722</v>
      </c>
      <c r="F782" s="501"/>
      <c r="G782" s="501"/>
      <c r="H782" s="501"/>
      <c r="I782" s="501" t="s">
        <v>3004</v>
      </c>
      <c r="J782" s="513"/>
      <c r="K782" s="501" t="s">
        <v>4756</v>
      </c>
      <c r="L782" s="501" t="s">
        <v>4751</v>
      </c>
      <c r="M782" s="502">
        <v>44655</v>
      </c>
      <c r="N782" s="502">
        <v>44866</v>
      </c>
      <c r="O782" s="502"/>
      <c r="P782" s="502"/>
      <c r="Q782" s="502"/>
      <c r="R782" s="502"/>
      <c r="S782" s="501" t="s">
        <v>2904</v>
      </c>
      <c r="T782" s="501">
        <v>60</v>
      </c>
      <c r="U782" s="501">
        <v>49204132</v>
      </c>
      <c r="V782" s="501" t="s">
        <v>1223</v>
      </c>
      <c r="W782" s="501">
        <v>360</v>
      </c>
      <c r="X782" s="505">
        <v>4160</v>
      </c>
      <c r="Y782" s="477">
        <f t="shared" si="123"/>
        <v>1497600</v>
      </c>
      <c r="Z782" s="478">
        <v>0.79</v>
      </c>
      <c r="AA782" s="479">
        <f t="shared" si="124"/>
        <v>1183104</v>
      </c>
      <c r="AB782" s="479"/>
      <c r="AC782" s="446">
        <v>0</v>
      </c>
      <c r="AD782" s="490"/>
      <c r="AE782" s="482"/>
      <c r="AF782" s="580">
        <f t="shared" si="125"/>
        <v>1183104</v>
      </c>
      <c r="AG782" s="474" t="s">
        <v>1071</v>
      </c>
      <c r="AH782" s="474"/>
      <c r="AI782" s="474">
        <v>60</v>
      </c>
      <c r="AJ782" s="484" t="s">
        <v>2568</v>
      </c>
      <c r="AK782" s="474" t="s">
        <v>1084</v>
      </c>
      <c r="AL782" s="483" t="s">
        <v>2569</v>
      </c>
      <c r="AM782" s="474" t="s">
        <v>52</v>
      </c>
      <c r="AN782" s="474" t="s">
        <v>1074</v>
      </c>
      <c r="AO782" s="474"/>
      <c r="AP782" s="482"/>
      <c r="AQ782" s="482" t="s">
        <v>37</v>
      </c>
      <c r="AR782" s="482" t="s">
        <v>3026</v>
      </c>
      <c r="AS782" s="472" t="s">
        <v>1076</v>
      </c>
      <c r="AT782" s="436" t="s">
        <v>1076</v>
      </c>
      <c r="AU782" s="436" t="s">
        <v>1076</v>
      </c>
      <c r="AV782" s="478">
        <v>0.73</v>
      </c>
    </row>
    <row r="783" spans="1:48" s="471" customFormat="1">
      <c r="A783" s="472"/>
      <c r="B783" s="449">
        <v>44603</v>
      </c>
      <c r="C783" s="449" t="s">
        <v>1211</v>
      </c>
      <c r="D783" s="501" t="s">
        <v>2901</v>
      </c>
      <c r="E783" s="429" t="s">
        <v>4742</v>
      </c>
      <c r="F783" s="501"/>
      <c r="G783" s="501"/>
      <c r="H783" s="501"/>
      <c r="I783" s="501" t="s">
        <v>3004</v>
      </c>
      <c r="J783" s="513"/>
      <c r="K783" s="501" t="s">
        <v>4757</v>
      </c>
      <c r="L783" s="501" t="s">
        <v>2567</v>
      </c>
      <c r="M783" s="502">
        <v>44582</v>
      </c>
      <c r="N783" s="502">
        <v>44713</v>
      </c>
      <c r="O783" s="502"/>
      <c r="P783" s="502"/>
      <c r="Q783" s="502"/>
      <c r="R783" s="502"/>
      <c r="S783" s="501" t="s">
        <v>2904</v>
      </c>
      <c r="T783" s="501">
        <v>60</v>
      </c>
      <c r="U783" s="501">
        <v>49403140</v>
      </c>
      <c r="V783" s="501" t="s">
        <v>973</v>
      </c>
      <c r="W783" s="501">
        <v>400</v>
      </c>
      <c r="X783" s="505">
        <v>6912</v>
      </c>
      <c r="Y783" s="477">
        <f t="shared" si="123"/>
        <v>2764800</v>
      </c>
      <c r="Z783" s="478">
        <v>0.55000000000000004</v>
      </c>
      <c r="AA783" s="479">
        <f t="shared" si="124"/>
        <v>1520640.0000000002</v>
      </c>
      <c r="AB783" s="479"/>
      <c r="AC783" s="446">
        <v>0</v>
      </c>
      <c r="AD783" s="490"/>
      <c r="AE783" s="482"/>
      <c r="AF783" s="580">
        <f t="shared" si="125"/>
        <v>1520640.0000000002</v>
      </c>
      <c r="AG783" s="474" t="s">
        <v>1071</v>
      </c>
      <c r="AH783" s="474"/>
      <c r="AI783" s="474">
        <v>60</v>
      </c>
      <c r="AJ783" s="484" t="s">
        <v>2568</v>
      </c>
      <c r="AK783" s="474" t="s">
        <v>1084</v>
      </c>
      <c r="AL783" s="483" t="s">
        <v>2569</v>
      </c>
      <c r="AM783" s="474" t="s">
        <v>52</v>
      </c>
      <c r="AN783" s="474" t="s">
        <v>1074</v>
      </c>
      <c r="AO783" s="474"/>
      <c r="AP783" s="482"/>
      <c r="AQ783" s="482" t="s">
        <v>37</v>
      </c>
      <c r="AR783" s="482" t="s">
        <v>3026</v>
      </c>
      <c r="AS783" s="472" t="s">
        <v>1076</v>
      </c>
      <c r="AT783" s="436" t="s">
        <v>1076</v>
      </c>
      <c r="AU783" s="436" t="s">
        <v>1076</v>
      </c>
      <c r="AV783" s="478">
        <v>0.73</v>
      </c>
    </row>
    <row r="784" spans="1:48" s="471" customFormat="1" ht="15.75" customHeight="1">
      <c r="A784" s="472"/>
      <c r="B784" s="472"/>
      <c r="C784" s="472"/>
      <c r="D784" s="512" t="s">
        <v>3186</v>
      </c>
      <c r="E784" s="474" t="s">
        <v>3215</v>
      </c>
      <c r="F784" s="501"/>
      <c r="G784" s="501"/>
      <c r="H784" s="501"/>
      <c r="I784" s="496" t="s">
        <v>1676</v>
      </c>
      <c r="J784" s="502"/>
      <c r="K784" s="503" t="s">
        <v>4758</v>
      </c>
      <c r="L784" s="501" t="s">
        <v>2356</v>
      </c>
      <c r="M784" s="504">
        <v>44532</v>
      </c>
      <c r="N784" s="504">
        <v>44563</v>
      </c>
      <c r="O784" s="504"/>
      <c r="P784" s="502"/>
      <c r="Q784" s="502"/>
      <c r="R784" s="502"/>
      <c r="S784" s="501" t="s">
        <v>4759</v>
      </c>
      <c r="T784" s="501">
        <v>60</v>
      </c>
      <c r="U784" s="501"/>
      <c r="V784" s="501" t="s">
        <v>985</v>
      </c>
      <c r="W784" s="501">
        <v>400</v>
      </c>
      <c r="X784" s="505">
        <v>3072</v>
      </c>
      <c r="Y784" s="491">
        <f t="shared" ref="Y784:Y854" si="126">X784*W784</f>
        <v>1228800</v>
      </c>
      <c r="Z784" s="506">
        <v>0.45500000000000002</v>
      </c>
      <c r="AA784" s="492">
        <f t="shared" si="124"/>
        <v>559104</v>
      </c>
      <c r="AB784" s="480"/>
      <c r="AC784" s="481">
        <f t="shared" ref="AC784:AC854" si="127">AB784*Y784</f>
        <v>0</v>
      </c>
      <c r="AD784" s="508"/>
      <c r="AE784" s="507"/>
      <c r="AF784" s="493">
        <f t="shared" ref="AF784:AF854" si="128">AE784+AD784+AA784</f>
        <v>559104</v>
      </c>
      <c r="AG784" s="501" t="s">
        <v>1071</v>
      </c>
      <c r="AH784" s="501"/>
      <c r="AI784" s="503" t="s">
        <v>2442</v>
      </c>
      <c r="AJ784" s="501" t="s">
        <v>1593</v>
      </c>
      <c r="AK784" s="509" t="s">
        <v>1144</v>
      </c>
      <c r="AL784" s="501">
        <v>78744</v>
      </c>
      <c r="AM784" s="501" t="s">
        <v>52</v>
      </c>
      <c r="AN784" s="501"/>
      <c r="AO784" s="501"/>
      <c r="AP784" s="510"/>
      <c r="AQ784" s="510" t="s">
        <v>37</v>
      </c>
      <c r="AR784" s="510" t="s">
        <v>1677</v>
      </c>
      <c r="AS784" s="495"/>
      <c r="AT784" s="495"/>
      <c r="AU784" s="495"/>
      <c r="AV784" s="506">
        <v>0.45500000000000002</v>
      </c>
    </row>
    <row r="785" spans="1:48" s="471" customFormat="1" ht="15" customHeight="1">
      <c r="A785" s="472"/>
      <c r="B785" s="514">
        <v>44649</v>
      </c>
      <c r="C785" s="472"/>
      <c r="D785" s="512" t="s">
        <v>3186</v>
      </c>
      <c r="E785" s="501"/>
      <c r="F785" s="501"/>
      <c r="G785" s="501">
        <v>2022</v>
      </c>
      <c r="H785" s="501"/>
      <c r="I785" s="496" t="s">
        <v>1676</v>
      </c>
      <c r="J785" s="502"/>
      <c r="K785" s="503" t="s">
        <v>5761</v>
      </c>
      <c r="L785" s="501" t="s">
        <v>3639</v>
      </c>
      <c r="M785" s="504">
        <v>44649</v>
      </c>
      <c r="N785" s="504">
        <v>44774</v>
      </c>
      <c r="O785" s="504"/>
      <c r="P785" s="502"/>
      <c r="Q785" s="502"/>
      <c r="R785" s="502"/>
      <c r="S785" s="501" t="s">
        <v>2379</v>
      </c>
      <c r="T785" s="501">
        <v>60</v>
      </c>
      <c r="U785" s="501"/>
      <c r="V785" s="501" t="s">
        <v>973</v>
      </c>
      <c r="W785" s="501">
        <v>400</v>
      </c>
      <c r="X785" s="505">
        <v>768</v>
      </c>
      <c r="Y785" s="491">
        <f t="shared" si="126"/>
        <v>307200</v>
      </c>
      <c r="Z785" s="506">
        <v>0.64</v>
      </c>
      <c r="AA785" s="492">
        <f t="shared" si="124"/>
        <v>196608</v>
      </c>
      <c r="AB785" s="480"/>
      <c r="AC785" s="481">
        <f t="shared" si="127"/>
        <v>0</v>
      </c>
      <c r="AD785" s="508"/>
      <c r="AE785" s="507"/>
      <c r="AF785" s="493">
        <f t="shared" si="128"/>
        <v>196608</v>
      </c>
      <c r="AG785" s="501" t="s">
        <v>1071</v>
      </c>
      <c r="AH785" s="501"/>
      <c r="AI785" s="503" t="s">
        <v>2442</v>
      </c>
      <c r="AJ785" s="501" t="s">
        <v>3245</v>
      </c>
      <c r="AK785" s="509" t="s">
        <v>2362</v>
      </c>
      <c r="AL785" s="501">
        <v>80915</v>
      </c>
      <c r="AM785" s="501" t="s">
        <v>52</v>
      </c>
      <c r="AN785" s="501"/>
      <c r="AO785" s="501"/>
      <c r="AP785" s="510"/>
      <c r="AQ785" s="510" t="s">
        <v>37</v>
      </c>
      <c r="AR785" s="510" t="s">
        <v>3674</v>
      </c>
      <c r="AS785" s="495"/>
      <c r="AT785" s="495"/>
      <c r="AU785" s="495"/>
      <c r="AV785" s="506">
        <v>0.45500000000000002</v>
      </c>
    </row>
    <row r="786" spans="1:48" s="471" customFormat="1" ht="15" customHeight="1">
      <c r="A786" s="472"/>
      <c r="B786" s="514">
        <v>44649</v>
      </c>
      <c r="C786" s="472"/>
      <c r="D786" s="512" t="s">
        <v>3186</v>
      </c>
      <c r="E786" s="501"/>
      <c r="F786" s="501"/>
      <c r="G786" s="501">
        <v>2022</v>
      </c>
      <c r="H786" s="501"/>
      <c r="I786" s="496" t="s">
        <v>1676</v>
      </c>
      <c r="J786" s="502"/>
      <c r="K786" s="503" t="s">
        <v>5762</v>
      </c>
      <c r="L786" s="501" t="s">
        <v>3639</v>
      </c>
      <c r="M786" s="504">
        <v>44649</v>
      </c>
      <c r="N786" s="504">
        <v>44805</v>
      </c>
      <c r="O786" s="504"/>
      <c r="P786" s="502"/>
      <c r="Q786" s="502"/>
      <c r="R786" s="502"/>
      <c r="S786" s="501" t="s">
        <v>2379</v>
      </c>
      <c r="T786" s="501">
        <v>60</v>
      </c>
      <c r="U786" s="501"/>
      <c r="V786" s="501" t="s">
        <v>973</v>
      </c>
      <c r="W786" s="501">
        <v>400</v>
      </c>
      <c r="X786" s="505">
        <v>768</v>
      </c>
      <c r="Y786" s="491">
        <f t="shared" si="126"/>
        <v>307200</v>
      </c>
      <c r="Z786" s="506">
        <v>0.64</v>
      </c>
      <c r="AA786" s="492">
        <f t="shared" si="124"/>
        <v>196608</v>
      </c>
      <c r="AB786" s="480"/>
      <c r="AC786" s="481">
        <f t="shared" si="127"/>
        <v>0</v>
      </c>
      <c r="AD786" s="508"/>
      <c r="AE786" s="507"/>
      <c r="AF786" s="493">
        <f t="shared" si="128"/>
        <v>196608</v>
      </c>
      <c r="AG786" s="501" t="s">
        <v>1071</v>
      </c>
      <c r="AH786" s="501"/>
      <c r="AI786" s="503" t="s">
        <v>2442</v>
      </c>
      <c r="AJ786" s="501" t="s">
        <v>3245</v>
      </c>
      <c r="AK786" s="509" t="s">
        <v>2362</v>
      </c>
      <c r="AL786" s="501">
        <v>80915</v>
      </c>
      <c r="AM786" s="501" t="s">
        <v>52</v>
      </c>
      <c r="AN786" s="501"/>
      <c r="AO786" s="501"/>
      <c r="AP786" s="510"/>
      <c r="AQ786" s="510" t="s">
        <v>37</v>
      </c>
      <c r="AR786" s="510" t="s">
        <v>3674</v>
      </c>
      <c r="AS786" s="495"/>
      <c r="AT786" s="495"/>
      <c r="AU786" s="495"/>
      <c r="AV786" s="506">
        <v>0.45500000000000002</v>
      </c>
    </row>
    <row r="787" spans="1:48" s="471" customFormat="1" ht="15" customHeight="1">
      <c r="A787" s="472"/>
      <c r="B787" s="514">
        <v>44649</v>
      </c>
      <c r="C787" s="472"/>
      <c r="D787" s="512" t="s">
        <v>3186</v>
      </c>
      <c r="E787" s="501"/>
      <c r="F787" s="501"/>
      <c r="G787" s="501">
        <v>2022</v>
      </c>
      <c r="H787" s="501"/>
      <c r="I787" s="496" t="s">
        <v>1676</v>
      </c>
      <c r="J787" s="502"/>
      <c r="K787" s="503" t="s">
        <v>5763</v>
      </c>
      <c r="L787" s="501" t="s">
        <v>3639</v>
      </c>
      <c r="M787" s="504">
        <v>44649</v>
      </c>
      <c r="N787" s="504">
        <v>44835</v>
      </c>
      <c r="O787" s="504"/>
      <c r="P787" s="502"/>
      <c r="Q787" s="502"/>
      <c r="R787" s="502"/>
      <c r="S787" s="501" t="s">
        <v>2379</v>
      </c>
      <c r="T787" s="501">
        <v>60</v>
      </c>
      <c r="U787" s="501"/>
      <c r="V787" s="501" t="s">
        <v>973</v>
      </c>
      <c r="W787" s="501">
        <v>400</v>
      </c>
      <c r="X787" s="505">
        <v>768</v>
      </c>
      <c r="Y787" s="491">
        <f t="shared" si="126"/>
        <v>307200</v>
      </c>
      <c r="Z787" s="506">
        <v>0.64</v>
      </c>
      <c r="AA787" s="492">
        <f t="shared" si="124"/>
        <v>196608</v>
      </c>
      <c r="AB787" s="480"/>
      <c r="AC787" s="481">
        <f t="shared" si="127"/>
        <v>0</v>
      </c>
      <c r="AD787" s="508"/>
      <c r="AE787" s="507"/>
      <c r="AF787" s="493">
        <f t="shared" si="128"/>
        <v>196608</v>
      </c>
      <c r="AG787" s="501" t="s">
        <v>1071</v>
      </c>
      <c r="AH787" s="501"/>
      <c r="AI787" s="503" t="s">
        <v>2442</v>
      </c>
      <c r="AJ787" s="501" t="s">
        <v>3245</v>
      </c>
      <c r="AK787" s="509" t="s">
        <v>2362</v>
      </c>
      <c r="AL787" s="501">
        <v>80915</v>
      </c>
      <c r="AM787" s="501" t="s">
        <v>52</v>
      </c>
      <c r="AN787" s="501"/>
      <c r="AO787" s="501"/>
      <c r="AP787" s="510"/>
      <c r="AQ787" s="510" t="s">
        <v>37</v>
      </c>
      <c r="AR787" s="510" t="s">
        <v>3674</v>
      </c>
      <c r="AS787" s="495"/>
      <c r="AT787" s="495"/>
      <c r="AU787" s="495"/>
      <c r="AV787" s="506">
        <v>0.45500000000000002</v>
      </c>
    </row>
    <row r="788" spans="1:48" s="471" customFormat="1" ht="15" customHeight="1">
      <c r="A788" s="472"/>
      <c r="B788" s="514">
        <v>44649</v>
      </c>
      <c r="C788" s="472"/>
      <c r="D788" s="512" t="s">
        <v>3186</v>
      </c>
      <c r="E788" s="501"/>
      <c r="F788" s="501"/>
      <c r="G788" s="501">
        <v>2022</v>
      </c>
      <c r="H788" s="501"/>
      <c r="I788" s="496" t="s">
        <v>1676</v>
      </c>
      <c r="J788" s="502"/>
      <c r="K788" s="503" t="s">
        <v>5764</v>
      </c>
      <c r="L788" s="501" t="s">
        <v>3639</v>
      </c>
      <c r="M788" s="504">
        <v>44649</v>
      </c>
      <c r="N788" s="504">
        <v>44866</v>
      </c>
      <c r="O788" s="504"/>
      <c r="P788" s="502"/>
      <c r="Q788" s="502"/>
      <c r="R788" s="502"/>
      <c r="S788" s="501" t="s">
        <v>2379</v>
      </c>
      <c r="T788" s="501">
        <v>60</v>
      </c>
      <c r="U788" s="501"/>
      <c r="V788" s="501" t="s">
        <v>973</v>
      </c>
      <c r="W788" s="501">
        <v>400</v>
      </c>
      <c r="X788" s="505">
        <v>768</v>
      </c>
      <c r="Y788" s="491">
        <f t="shared" si="126"/>
        <v>307200</v>
      </c>
      <c r="Z788" s="506">
        <v>0.64</v>
      </c>
      <c r="AA788" s="492">
        <f t="shared" si="124"/>
        <v>196608</v>
      </c>
      <c r="AB788" s="480"/>
      <c r="AC788" s="481">
        <f t="shared" si="127"/>
        <v>0</v>
      </c>
      <c r="AD788" s="508"/>
      <c r="AE788" s="507"/>
      <c r="AF788" s="493">
        <f t="shared" si="128"/>
        <v>196608</v>
      </c>
      <c r="AG788" s="501" t="s">
        <v>1071</v>
      </c>
      <c r="AH788" s="501"/>
      <c r="AI788" s="503" t="s">
        <v>2442</v>
      </c>
      <c r="AJ788" s="501" t="s">
        <v>3245</v>
      </c>
      <c r="AK788" s="509" t="s">
        <v>2362</v>
      </c>
      <c r="AL788" s="501">
        <v>80915</v>
      </c>
      <c r="AM788" s="501" t="s">
        <v>52</v>
      </c>
      <c r="AN788" s="501"/>
      <c r="AO788" s="501"/>
      <c r="AP788" s="510"/>
      <c r="AQ788" s="510" t="s">
        <v>37</v>
      </c>
      <c r="AR788" s="510" t="s">
        <v>3674</v>
      </c>
      <c r="AS788" s="495"/>
      <c r="AT788" s="495"/>
      <c r="AU788" s="495"/>
      <c r="AV788" s="506">
        <v>0.45500000000000002</v>
      </c>
    </row>
    <row r="789" spans="1:48" s="471" customFormat="1" ht="15" customHeight="1">
      <c r="A789" s="472"/>
      <c r="B789" s="514">
        <v>44649</v>
      </c>
      <c r="C789" s="472"/>
      <c r="D789" s="512" t="s">
        <v>3186</v>
      </c>
      <c r="E789" s="501"/>
      <c r="F789" s="501"/>
      <c r="G789" s="501">
        <v>2022</v>
      </c>
      <c r="H789" s="501"/>
      <c r="I789" s="496" t="s">
        <v>1676</v>
      </c>
      <c r="J789" s="502"/>
      <c r="K789" s="503" t="s">
        <v>5765</v>
      </c>
      <c r="L789" s="501" t="s">
        <v>3639</v>
      </c>
      <c r="M789" s="504">
        <v>44649</v>
      </c>
      <c r="N789" s="504">
        <v>44896</v>
      </c>
      <c r="O789" s="504"/>
      <c r="P789" s="502"/>
      <c r="Q789" s="502"/>
      <c r="R789" s="502"/>
      <c r="S789" s="501" t="s">
        <v>2379</v>
      </c>
      <c r="T789" s="501">
        <v>60</v>
      </c>
      <c r="U789" s="501"/>
      <c r="V789" s="501" t="s">
        <v>973</v>
      </c>
      <c r="W789" s="501">
        <v>400</v>
      </c>
      <c r="X789" s="505">
        <v>768</v>
      </c>
      <c r="Y789" s="491">
        <f t="shared" si="126"/>
        <v>307200</v>
      </c>
      <c r="Z789" s="506">
        <v>0.64</v>
      </c>
      <c r="AA789" s="492">
        <f t="shared" si="124"/>
        <v>196608</v>
      </c>
      <c r="AB789" s="480"/>
      <c r="AC789" s="481">
        <f t="shared" si="127"/>
        <v>0</v>
      </c>
      <c r="AD789" s="508"/>
      <c r="AE789" s="507"/>
      <c r="AF789" s="493">
        <f t="shared" si="128"/>
        <v>196608</v>
      </c>
      <c r="AG789" s="501" t="s">
        <v>1071</v>
      </c>
      <c r="AH789" s="501"/>
      <c r="AI789" s="503" t="s">
        <v>2442</v>
      </c>
      <c r="AJ789" s="501" t="s">
        <v>3245</v>
      </c>
      <c r="AK789" s="509" t="s">
        <v>2362</v>
      </c>
      <c r="AL789" s="501">
        <v>80915</v>
      </c>
      <c r="AM789" s="501" t="s">
        <v>52</v>
      </c>
      <c r="AN789" s="501"/>
      <c r="AO789" s="501"/>
      <c r="AP789" s="510"/>
      <c r="AQ789" s="510" t="s">
        <v>37</v>
      </c>
      <c r="AR789" s="510" t="s">
        <v>3674</v>
      </c>
      <c r="AS789" s="495"/>
      <c r="AT789" s="495"/>
      <c r="AU789" s="495"/>
      <c r="AV789" s="506">
        <v>0.45500000000000002</v>
      </c>
    </row>
    <row r="790" spans="1:48" s="471" customFormat="1" ht="15" customHeight="1">
      <c r="A790" s="472"/>
      <c r="B790" s="514"/>
      <c r="C790" s="472"/>
      <c r="D790" s="512" t="s">
        <v>3186</v>
      </c>
      <c r="E790" s="501"/>
      <c r="F790" s="501"/>
      <c r="G790" s="501">
        <v>2022</v>
      </c>
      <c r="H790" s="501"/>
      <c r="I790" s="496" t="s">
        <v>1676</v>
      </c>
      <c r="J790" s="502"/>
      <c r="K790" s="503" t="s">
        <v>5766</v>
      </c>
      <c r="L790" s="501" t="s">
        <v>3639</v>
      </c>
      <c r="M790" s="504">
        <v>44678</v>
      </c>
      <c r="N790" s="504">
        <v>44713</v>
      </c>
      <c r="O790" s="504"/>
      <c r="P790" s="502"/>
      <c r="Q790" s="502"/>
      <c r="R790" s="502"/>
      <c r="S790" s="501" t="s">
        <v>2379</v>
      </c>
      <c r="T790" s="501">
        <v>60</v>
      </c>
      <c r="U790" s="501"/>
      <c r="V790" s="501" t="s">
        <v>973</v>
      </c>
      <c r="W790" s="501">
        <v>400</v>
      </c>
      <c r="X790" s="505">
        <v>768</v>
      </c>
      <c r="Y790" s="491">
        <f t="shared" si="126"/>
        <v>307200</v>
      </c>
      <c r="Z790" s="506">
        <v>0.64</v>
      </c>
      <c r="AA790" s="492">
        <f t="shared" si="124"/>
        <v>196608</v>
      </c>
      <c r="AB790" s="480"/>
      <c r="AC790" s="481">
        <f t="shared" si="127"/>
        <v>0</v>
      </c>
      <c r="AD790" s="508"/>
      <c r="AE790" s="507"/>
      <c r="AF790" s="493">
        <f t="shared" si="128"/>
        <v>196608</v>
      </c>
      <c r="AG790" s="501" t="s">
        <v>1071</v>
      </c>
      <c r="AH790" s="501"/>
      <c r="AI790" s="503" t="s">
        <v>2442</v>
      </c>
      <c r="AJ790" s="501" t="s">
        <v>3245</v>
      </c>
      <c r="AK790" s="509" t="s">
        <v>2362</v>
      </c>
      <c r="AL790" s="501">
        <v>80915</v>
      </c>
      <c r="AM790" s="501" t="s">
        <v>52</v>
      </c>
      <c r="AN790" s="501"/>
      <c r="AO790" s="501"/>
      <c r="AP790" s="510"/>
      <c r="AQ790" s="510" t="s">
        <v>37</v>
      </c>
      <c r="AR790" s="510" t="s">
        <v>3674</v>
      </c>
      <c r="AS790" s="495"/>
      <c r="AT790" s="495"/>
      <c r="AU790" s="495"/>
      <c r="AV790" s="506">
        <v>0.45500000000000002</v>
      </c>
    </row>
    <row r="791" spans="1:48" s="471" customFormat="1" ht="15" customHeight="1">
      <c r="A791" s="472"/>
      <c r="B791" s="514"/>
      <c r="C791" s="472"/>
      <c r="D791" s="512" t="s">
        <v>3186</v>
      </c>
      <c r="E791" s="501"/>
      <c r="F791" s="501"/>
      <c r="G791" s="501">
        <v>2022</v>
      </c>
      <c r="H791" s="501"/>
      <c r="I791" s="496" t="s">
        <v>1676</v>
      </c>
      <c r="J791" s="502"/>
      <c r="K791" s="503" t="s">
        <v>5766</v>
      </c>
      <c r="L791" s="501" t="s">
        <v>3639</v>
      </c>
      <c r="M791" s="504">
        <v>44678</v>
      </c>
      <c r="N791" s="504">
        <v>44743</v>
      </c>
      <c r="O791" s="504"/>
      <c r="P791" s="502"/>
      <c r="Q791" s="502"/>
      <c r="R791" s="502"/>
      <c r="S791" s="501" t="s">
        <v>2379</v>
      </c>
      <c r="T791" s="501">
        <v>60</v>
      </c>
      <c r="U791" s="501"/>
      <c r="V791" s="501" t="s">
        <v>973</v>
      </c>
      <c r="W791" s="501">
        <v>400</v>
      </c>
      <c r="X791" s="505">
        <v>768</v>
      </c>
      <c r="Y791" s="491">
        <f t="shared" si="126"/>
        <v>307200</v>
      </c>
      <c r="Z791" s="506">
        <v>0.64</v>
      </c>
      <c r="AA791" s="492">
        <f t="shared" si="124"/>
        <v>196608</v>
      </c>
      <c r="AB791" s="480"/>
      <c r="AC791" s="481">
        <f t="shared" si="127"/>
        <v>0</v>
      </c>
      <c r="AD791" s="508"/>
      <c r="AE791" s="507"/>
      <c r="AF791" s="493">
        <f t="shared" si="128"/>
        <v>196608</v>
      </c>
      <c r="AG791" s="501" t="s">
        <v>1071</v>
      </c>
      <c r="AH791" s="501"/>
      <c r="AI791" s="503" t="s">
        <v>2442</v>
      </c>
      <c r="AJ791" s="501" t="s">
        <v>3245</v>
      </c>
      <c r="AK791" s="509" t="s">
        <v>2362</v>
      </c>
      <c r="AL791" s="501">
        <v>80915</v>
      </c>
      <c r="AM791" s="501" t="s">
        <v>52</v>
      </c>
      <c r="AN791" s="501"/>
      <c r="AO791" s="501"/>
      <c r="AP791" s="510"/>
      <c r="AQ791" s="510" t="s">
        <v>37</v>
      </c>
      <c r="AR791" s="510" t="s">
        <v>3674</v>
      </c>
      <c r="AS791" s="495"/>
      <c r="AT791" s="495"/>
      <c r="AU791" s="495"/>
      <c r="AV791" s="506">
        <v>0.45500000000000002</v>
      </c>
    </row>
    <row r="792" spans="1:48" s="471" customFormat="1" ht="15" customHeight="1">
      <c r="A792" s="472"/>
      <c r="B792" s="472"/>
      <c r="C792" s="472"/>
      <c r="D792" s="512" t="s">
        <v>3186</v>
      </c>
      <c r="E792" s="501" t="s">
        <v>4760</v>
      </c>
      <c r="F792" s="501"/>
      <c r="G792" s="501"/>
      <c r="H792" s="501"/>
      <c r="I792" s="501" t="s">
        <v>1676</v>
      </c>
      <c r="J792" s="502"/>
      <c r="K792" s="503" t="s">
        <v>4761</v>
      </c>
      <c r="L792" s="501" t="s">
        <v>3220</v>
      </c>
      <c r="M792" s="504">
        <v>44593</v>
      </c>
      <c r="N792" s="504">
        <v>44593</v>
      </c>
      <c r="O792" s="504"/>
      <c r="P792" s="502"/>
      <c r="Q792" s="502"/>
      <c r="R792" s="502"/>
      <c r="S792" s="501" t="s">
        <v>3353</v>
      </c>
      <c r="T792" s="501">
        <v>60</v>
      </c>
      <c r="U792" s="501"/>
      <c r="V792" s="501" t="s">
        <v>973</v>
      </c>
      <c r="W792" s="501">
        <v>400</v>
      </c>
      <c r="X792" s="505">
        <v>7680</v>
      </c>
      <c r="Y792" s="491">
        <f t="shared" si="126"/>
        <v>3072000</v>
      </c>
      <c r="Z792" s="506">
        <v>0.47499999999999998</v>
      </c>
      <c r="AA792" s="492">
        <f t="shared" si="124"/>
        <v>1459200</v>
      </c>
      <c r="AB792" s="480"/>
      <c r="AC792" s="481">
        <f t="shared" si="127"/>
        <v>0</v>
      </c>
      <c r="AD792" s="508"/>
      <c r="AE792" s="507"/>
      <c r="AF792" s="493">
        <f t="shared" si="128"/>
        <v>1459200</v>
      </c>
      <c r="AG792" s="501"/>
      <c r="AH792" s="501"/>
      <c r="AI792" s="503"/>
      <c r="AJ792" s="501" t="s">
        <v>3304</v>
      </c>
      <c r="AK792" s="509" t="s">
        <v>1144</v>
      </c>
      <c r="AL792" s="501">
        <v>75238</v>
      </c>
      <c r="AM792" s="501" t="s">
        <v>52</v>
      </c>
      <c r="AN792" s="501"/>
      <c r="AO792" s="501"/>
      <c r="AP792" s="510"/>
      <c r="AQ792" s="510" t="s">
        <v>37</v>
      </c>
      <c r="AR792" s="510" t="s">
        <v>1677</v>
      </c>
      <c r="AS792" s="495"/>
      <c r="AT792" s="495"/>
      <c r="AU792" s="495"/>
      <c r="AV792" s="506">
        <v>0.5</v>
      </c>
    </row>
    <row r="793" spans="1:48" s="471" customFormat="1" ht="15" customHeight="1">
      <c r="A793" s="472"/>
      <c r="B793" s="472"/>
      <c r="C793" s="472"/>
      <c r="D793" s="512" t="s">
        <v>3186</v>
      </c>
      <c r="E793" s="501" t="s">
        <v>4760</v>
      </c>
      <c r="F793" s="501"/>
      <c r="G793" s="501"/>
      <c r="H793" s="501"/>
      <c r="I793" s="501" t="s">
        <v>1676</v>
      </c>
      <c r="J793" s="502"/>
      <c r="K793" s="503" t="s">
        <v>4762</v>
      </c>
      <c r="L793" s="501" t="s">
        <v>3220</v>
      </c>
      <c r="M793" s="504">
        <v>44593</v>
      </c>
      <c r="N793" s="504">
        <v>44713</v>
      </c>
      <c r="O793" s="504"/>
      <c r="P793" s="502"/>
      <c r="Q793" s="511"/>
      <c r="R793" s="502"/>
      <c r="S793" s="501" t="s">
        <v>3353</v>
      </c>
      <c r="T793" s="501">
        <v>60</v>
      </c>
      <c r="U793" s="501"/>
      <c r="V793" s="501" t="s">
        <v>973</v>
      </c>
      <c r="W793" s="501">
        <v>400</v>
      </c>
      <c r="X793" s="505">
        <v>8448</v>
      </c>
      <c r="Y793" s="491">
        <f t="shared" si="126"/>
        <v>3379200</v>
      </c>
      <c r="Z793" s="506">
        <v>0.47499999999999998</v>
      </c>
      <c r="AA793" s="492">
        <f t="shared" si="124"/>
        <v>1605120</v>
      </c>
      <c r="AB793" s="480"/>
      <c r="AC793" s="481">
        <f t="shared" si="127"/>
        <v>0</v>
      </c>
      <c r="AD793" s="508"/>
      <c r="AE793" s="507"/>
      <c r="AF793" s="493">
        <f t="shared" si="128"/>
        <v>1605120</v>
      </c>
      <c r="AG793" s="501"/>
      <c r="AH793" s="501"/>
      <c r="AI793" s="503"/>
      <c r="AJ793" s="501" t="s">
        <v>3304</v>
      </c>
      <c r="AK793" s="509" t="s">
        <v>1144</v>
      </c>
      <c r="AL793" s="501">
        <v>75238</v>
      </c>
      <c r="AM793" s="501" t="s">
        <v>52</v>
      </c>
      <c r="AN793" s="501"/>
      <c r="AO793" s="501"/>
      <c r="AP793" s="510"/>
      <c r="AQ793" s="510" t="s">
        <v>37</v>
      </c>
      <c r="AR793" s="510" t="s">
        <v>1677</v>
      </c>
      <c r="AS793" s="495"/>
      <c r="AT793" s="495"/>
      <c r="AU793" s="495"/>
      <c r="AV793" s="506">
        <v>0.5</v>
      </c>
    </row>
    <row r="794" spans="1:48" s="471" customFormat="1" ht="15" customHeight="1">
      <c r="A794" s="472"/>
      <c r="B794" s="472"/>
      <c r="C794" s="472"/>
      <c r="D794" s="512" t="s">
        <v>3186</v>
      </c>
      <c r="E794" s="501" t="s">
        <v>4763</v>
      </c>
      <c r="F794" s="501"/>
      <c r="G794" s="501"/>
      <c r="H794" s="501"/>
      <c r="I794" s="501" t="s">
        <v>1676</v>
      </c>
      <c r="J794" s="502"/>
      <c r="K794" s="503" t="s">
        <v>4764</v>
      </c>
      <c r="L794" s="501" t="s">
        <v>3220</v>
      </c>
      <c r="M794" s="504">
        <v>44593</v>
      </c>
      <c r="N794" s="504">
        <v>44652</v>
      </c>
      <c r="O794" s="504"/>
      <c r="P794" s="502"/>
      <c r="Q794" s="502"/>
      <c r="R794" s="502"/>
      <c r="S794" s="501" t="s">
        <v>2379</v>
      </c>
      <c r="T794" s="501">
        <v>60</v>
      </c>
      <c r="U794" s="501"/>
      <c r="V794" s="501" t="s">
        <v>973</v>
      </c>
      <c r="W794" s="501">
        <v>400</v>
      </c>
      <c r="X794" s="505">
        <v>768</v>
      </c>
      <c r="Y794" s="491">
        <f t="shared" si="126"/>
        <v>307200</v>
      </c>
      <c r="Z794" s="506">
        <v>0.47499999999999998</v>
      </c>
      <c r="AA794" s="492">
        <f t="shared" si="124"/>
        <v>145920</v>
      </c>
      <c r="AB794" s="480"/>
      <c r="AC794" s="481">
        <f t="shared" si="127"/>
        <v>0</v>
      </c>
      <c r="AD794" s="508"/>
      <c r="AE794" s="507"/>
      <c r="AF794" s="493">
        <f t="shared" si="128"/>
        <v>145920</v>
      </c>
      <c r="AG794" s="501" t="s">
        <v>1071</v>
      </c>
      <c r="AH794" s="501">
        <v>60</v>
      </c>
      <c r="AI794" s="503"/>
      <c r="AJ794" s="501" t="s">
        <v>3304</v>
      </c>
      <c r="AK794" s="509" t="s">
        <v>1144</v>
      </c>
      <c r="AL794" s="501">
        <v>75238</v>
      </c>
      <c r="AM794" s="501" t="s">
        <v>52</v>
      </c>
      <c r="AN794" s="501"/>
      <c r="AO794" s="501"/>
      <c r="AP794" s="510"/>
      <c r="AQ794" s="510" t="s">
        <v>37</v>
      </c>
      <c r="AR794" s="510" t="s">
        <v>2568</v>
      </c>
      <c r="AS794" s="495"/>
      <c r="AT794" s="495"/>
      <c r="AU794" s="495"/>
      <c r="AV794" s="506">
        <v>0.5</v>
      </c>
    </row>
    <row r="795" spans="1:48" s="471" customFormat="1" ht="15" customHeight="1">
      <c r="A795" s="472"/>
      <c r="B795" s="472"/>
      <c r="C795" s="472"/>
      <c r="D795" s="512" t="s">
        <v>3186</v>
      </c>
      <c r="E795" s="501" t="s">
        <v>4763</v>
      </c>
      <c r="F795" s="501"/>
      <c r="G795" s="501"/>
      <c r="H795" s="501"/>
      <c r="I795" s="501" t="s">
        <v>1676</v>
      </c>
      <c r="J795" s="502"/>
      <c r="K795" s="503" t="s">
        <v>4765</v>
      </c>
      <c r="L795" s="501" t="s">
        <v>3220</v>
      </c>
      <c r="M795" s="504">
        <v>44593</v>
      </c>
      <c r="N795" s="504">
        <v>44683</v>
      </c>
      <c r="O795" s="504"/>
      <c r="P795" s="502"/>
      <c r="Q795" s="502"/>
      <c r="R795" s="502"/>
      <c r="S795" s="501" t="s">
        <v>2379</v>
      </c>
      <c r="T795" s="501">
        <v>60</v>
      </c>
      <c r="U795" s="501"/>
      <c r="V795" s="501" t="s">
        <v>973</v>
      </c>
      <c r="W795" s="501">
        <v>400</v>
      </c>
      <c r="X795" s="505">
        <v>1536</v>
      </c>
      <c r="Y795" s="491">
        <f t="shared" si="126"/>
        <v>614400</v>
      </c>
      <c r="Z795" s="506">
        <v>0.47499999999999998</v>
      </c>
      <c r="AA795" s="492">
        <f t="shared" si="124"/>
        <v>291840</v>
      </c>
      <c r="AB795" s="480"/>
      <c r="AC795" s="481">
        <f t="shared" si="127"/>
        <v>0</v>
      </c>
      <c r="AD795" s="508"/>
      <c r="AE795" s="507"/>
      <c r="AF795" s="493">
        <f t="shared" si="128"/>
        <v>291840</v>
      </c>
      <c r="AG795" s="501" t="s">
        <v>1071</v>
      </c>
      <c r="AH795" s="501">
        <v>60</v>
      </c>
      <c r="AI795" s="503"/>
      <c r="AJ795" s="501" t="s">
        <v>3304</v>
      </c>
      <c r="AK795" s="509" t="s">
        <v>1144</v>
      </c>
      <c r="AL795" s="501">
        <v>75238</v>
      </c>
      <c r="AM795" s="501" t="s">
        <v>52</v>
      </c>
      <c r="AN795" s="501"/>
      <c r="AO795" s="501"/>
      <c r="AP795" s="510"/>
      <c r="AQ795" s="510" t="s">
        <v>37</v>
      </c>
      <c r="AR795" s="510" t="s">
        <v>2568</v>
      </c>
      <c r="AS795" s="495"/>
      <c r="AT795" s="495"/>
      <c r="AU795" s="495"/>
      <c r="AV795" s="506">
        <v>0.5</v>
      </c>
    </row>
    <row r="796" spans="1:48" s="471" customFormat="1" ht="15" customHeight="1">
      <c r="A796" s="472"/>
      <c r="B796" s="472"/>
      <c r="C796" s="472"/>
      <c r="D796" s="512" t="s">
        <v>3186</v>
      </c>
      <c r="E796" s="501" t="s">
        <v>4763</v>
      </c>
      <c r="F796" s="501"/>
      <c r="G796" s="501"/>
      <c r="H796" s="501"/>
      <c r="I796" s="501" t="s">
        <v>1676</v>
      </c>
      <c r="J796" s="502"/>
      <c r="K796" s="503" t="s">
        <v>4766</v>
      </c>
      <c r="L796" s="501" t="s">
        <v>3220</v>
      </c>
      <c r="M796" s="504">
        <v>44593</v>
      </c>
      <c r="N796" s="504">
        <v>44713</v>
      </c>
      <c r="O796" s="504"/>
      <c r="P796" s="502"/>
      <c r="Q796" s="502"/>
      <c r="R796" s="502"/>
      <c r="S796" s="501" t="s">
        <v>2379</v>
      </c>
      <c r="T796" s="501">
        <v>60</v>
      </c>
      <c r="U796" s="501"/>
      <c r="V796" s="501" t="s">
        <v>973</v>
      </c>
      <c r="W796" s="501">
        <v>400</v>
      </c>
      <c r="X796" s="505">
        <v>1536</v>
      </c>
      <c r="Y796" s="491">
        <f t="shared" si="126"/>
        <v>614400</v>
      </c>
      <c r="Z796" s="506">
        <v>0.47499999999999998</v>
      </c>
      <c r="AA796" s="492">
        <f t="shared" si="124"/>
        <v>291840</v>
      </c>
      <c r="AB796" s="480"/>
      <c r="AC796" s="481">
        <f t="shared" si="127"/>
        <v>0</v>
      </c>
      <c r="AD796" s="508"/>
      <c r="AE796" s="507"/>
      <c r="AF796" s="493">
        <f t="shared" si="128"/>
        <v>291840</v>
      </c>
      <c r="AG796" s="501" t="s">
        <v>1071</v>
      </c>
      <c r="AH796" s="501">
        <v>60</v>
      </c>
      <c r="AI796" s="503"/>
      <c r="AJ796" s="501" t="s">
        <v>3304</v>
      </c>
      <c r="AK796" s="509" t="s">
        <v>1144</v>
      </c>
      <c r="AL796" s="501">
        <v>75238</v>
      </c>
      <c r="AM796" s="501" t="s">
        <v>52</v>
      </c>
      <c r="AN796" s="501"/>
      <c r="AO796" s="501"/>
      <c r="AP796" s="510"/>
      <c r="AQ796" s="510" t="s">
        <v>37</v>
      </c>
      <c r="AR796" s="510" t="s">
        <v>2568</v>
      </c>
      <c r="AS796" s="495"/>
      <c r="AT796" s="495"/>
      <c r="AU796" s="495"/>
      <c r="AV796" s="506">
        <v>0.5</v>
      </c>
    </row>
    <row r="797" spans="1:48" s="471" customFormat="1" ht="15" customHeight="1">
      <c r="A797" s="472"/>
      <c r="B797" s="514">
        <v>44671</v>
      </c>
      <c r="C797" s="472"/>
      <c r="D797" s="512" t="s">
        <v>3186</v>
      </c>
      <c r="E797" s="501" t="s">
        <v>5377</v>
      </c>
      <c r="F797" s="501"/>
      <c r="G797" s="501">
        <v>2022</v>
      </c>
      <c r="H797" s="501"/>
      <c r="I797" s="501" t="s">
        <v>1676</v>
      </c>
      <c r="J797" s="502"/>
      <c r="K797" s="503" t="s">
        <v>5381</v>
      </c>
      <c r="L797" s="501" t="s">
        <v>3233</v>
      </c>
      <c r="M797" s="504">
        <v>44671</v>
      </c>
      <c r="N797" s="504">
        <v>44835</v>
      </c>
      <c r="O797" s="504"/>
      <c r="P797" s="502"/>
      <c r="Q797" s="502"/>
      <c r="R797" s="502"/>
      <c r="S797" s="501" t="s">
        <v>2379</v>
      </c>
      <c r="T797" s="501">
        <v>60</v>
      </c>
      <c r="U797" s="501"/>
      <c r="V797" s="501" t="s">
        <v>973</v>
      </c>
      <c r="W797" s="501">
        <v>400</v>
      </c>
      <c r="X797" s="505">
        <v>3072</v>
      </c>
      <c r="Y797" s="491">
        <f t="shared" si="126"/>
        <v>1228800</v>
      </c>
      <c r="Z797" s="506">
        <v>0.55000000000000004</v>
      </c>
      <c r="AA797" s="492">
        <f t="shared" si="124"/>
        <v>675840</v>
      </c>
      <c r="AB797" s="480"/>
      <c r="AC797" s="481">
        <f t="shared" si="127"/>
        <v>0</v>
      </c>
      <c r="AD797" s="508"/>
      <c r="AE797" s="507"/>
      <c r="AF797" s="493">
        <f t="shared" si="128"/>
        <v>675840</v>
      </c>
      <c r="AG797" s="501" t="s">
        <v>1071</v>
      </c>
      <c r="AH797" s="501">
        <v>60</v>
      </c>
      <c r="AI797" s="503"/>
      <c r="AJ797" s="501" t="s">
        <v>3235</v>
      </c>
      <c r="AK797" s="509" t="s">
        <v>1144</v>
      </c>
      <c r="AL797" s="501">
        <v>79936</v>
      </c>
      <c r="AM797" s="501" t="s">
        <v>52</v>
      </c>
      <c r="AN797" s="501"/>
      <c r="AO797" s="501"/>
      <c r="AP797" s="510"/>
      <c r="AQ797" s="510" t="s">
        <v>37</v>
      </c>
      <c r="AR797" s="510"/>
      <c r="AS797" s="495"/>
      <c r="AT797" s="495"/>
      <c r="AU797" s="495"/>
      <c r="AV797" s="506">
        <v>0.5</v>
      </c>
    </row>
    <row r="798" spans="1:48" s="471" customFormat="1" ht="15" customHeight="1">
      <c r="A798" s="472"/>
      <c r="B798" s="514"/>
      <c r="C798" s="472"/>
      <c r="D798" s="512" t="s">
        <v>3186</v>
      </c>
      <c r="E798" s="501" t="s">
        <v>5377</v>
      </c>
      <c r="F798" s="501"/>
      <c r="G798" s="519">
        <v>2022</v>
      </c>
      <c r="H798" s="519"/>
      <c r="I798" s="519" t="s">
        <v>1676</v>
      </c>
      <c r="J798" s="521"/>
      <c r="K798" s="518" t="s">
        <v>5767</v>
      </c>
      <c r="L798" s="519" t="s">
        <v>3233</v>
      </c>
      <c r="M798" s="520">
        <v>44679</v>
      </c>
      <c r="N798" s="520">
        <v>44679</v>
      </c>
      <c r="O798" s="520"/>
      <c r="P798" s="521"/>
      <c r="Q798" s="521"/>
      <c r="R798" s="521"/>
      <c r="S798" s="519" t="s">
        <v>2379</v>
      </c>
      <c r="T798" s="519">
        <v>60</v>
      </c>
      <c r="U798" s="519"/>
      <c r="V798" s="519" t="s">
        <v>967</v>
      </c>
      <c r="W798" s="519">
        <v>410</v>
      </c>
      <c r="X798" s="522">
        <v>3072</v>
      </c>
      <c r="Y798" s="491">
        <f t="shared" si="126"/>
        <v>1259520</v>
      </c>
      <c r="Z798" s="506">
        <v>0.64</v>
      </c>
      <c r="AA798" s="492">
        <f t="shared" si="124"/>
        <v>806092.80000000005</v>
      </c>
      <c r="AB798" s="480"/>
      <c r="AC798" s="481">
        <f t="shared" si="127"/>
        <v>0</v>
      </c>
      <c r="AD798" s="508"/>
      <c r="AE798" s="507"/>
      <c r="AF798" s="493">
        <f t="shared" si="128"/>
        <v>806092.80000000005</v>
      </c>
      <c r="AG798" s="501" t="s">
        <v>1071</v>
      </c>
      <c r="AH798" s="501">
        <v>60</v>
      </c>
      <c r="AI798" s="503"/>
      <c r="AJ798" s="501" t="s">
        <v>3235</v>
      </c>
      <c r="AK798" s="509" t="s">
        <v>1144</v>
      </c>
      <c r="AL798" s="501">
        <v>79936</v>
      </c>
      <c r="AM798" s="501" t="s">
        <v>52</v>
      </c>
      <c r="AN798" s="501"/>
      <c r="AO798" s="501"/>
      <c r="AP798" s="510"/>
      <c r="AQ798" s="510" t="s">
        <v>37</v>
      </c>
      <c r="AR798" s="510"/>
      <c r="AS798" s="495"/>
      <c r="AT798" s="495"/>
      <c r="AU798" s="495"/>
      <c r="AV798" s="506">
        <v>0.5</v>
      </c>
    </row>
    <row r="799" spans="1:48" s="471" customFormat="1" ht="15" customHeight="1">
      <c r="A799" s="472"/>
      <c r="B799" s="472"/>
      <c r="C799" s="472"/>
      <c r="D799" s="512" t="s">
        <v>3186</v>
      </c>
      <c r="E799" s="501" t="s">
        <v>3044</v>
      </c>
      <c r="F799" s="501"/>
      <c r="G799" s="501"/>
      <c r="H799" s="501"/>
      <c r="I799" s="496" t="s">
        <v>1676</v>
      </c>
      <c r="J799" s="502"/>
      <c r="K799" s="503" t="s">
        <v>4767</v>
      </c>
      <c r="L799" s="501" t="s">
        <v>3225</v>
      </c>
      <c r="M799" s="504">
        <v>44903</v>
      </c>
      <c r="N799" s="504">
        <v>44652</v>
      </c>
      <c r="O799" s="504"/>
      <c r="P799" s="502"/>
      <c r="Q799" s="502"/>
      <c r="R799" s="502"/>
      <c r="S799" s="501" t="s">
        <v>2379</v>
      </c>
      <c r="T799" s="501">
        <v>60</v>
      </c>
      <c r="U799" s="501"/>
      <c r="V799" s="501" t="s">
        <v>985</v>
      </c>
      <c r="W799" s="501">
        <v>400</v>
      </c>
      <c r="X799" s="505">
        <v>1536</v>
      </c>
      <c r="Y799" s="491">
        <f t="shared" si="126"/>
        <v>614400</v>
      </c>
      <c r="Z799" s="478">
        <v>0.52</v>
      </c>
      <c r="AA799" s="492">
        <f t="shared" si="124"/>
        <v>319488</v>
      </c>
      <c r="AB799" s="480"/>
      <c r="AC799" s="481">
        <f t="shared" si="127"/>
        <v>0</v>
      </c>
      <c r="AD799" s="490"/>
      <c r="AE799" s="482"/>
      <c r="AF799" s="493">
        <f t="shared" si="128"/>
        <v>319488</v>
      </c>
      <c r="AG799" s="474" t="s">
        <v>1071</v>
      </c>
      <c r="AH799" s="474"/>
      <c r="AI799" s="483" t="s">
        <v>2442</v>
      </c>
      <c r="AJ799" s="474" t="s">
        <v>4768</v>
      </c>
      <c r="AK799" s="494" t="s">
        <v>2362</v>
      </c>
      <c r="AL799" s="474">
        <v>81501</v>
      </c>
      <c r="AM799" s="474" t="s">
        <v>52</v>
      </c>
      <c r="AN799" s="474"/>
      <c r="AO799" s="474"/>
      <c r="AP799" s="486"/>
      <c r="AQ799" s="486" t="s">
        <v>37</v>
      </c>
      <c r="AR799" s="486"/>
      <c r="AS799" s="495"/>
      <c r="AT799" s="495"/>
      <c r="AU799" s="495"/>
      <c r="AV799" s="478">
        <v>0.52</v>
      </c>
    </row>
    <row r="800" spans="1:48" s="471" customFormat="1" ht="15" customHeight="1">
      <c r="A800" s="472"/>
      <c r="B800" s="472"/>
      <c r="C800" s="472"/>
      <c r="D800" s="512" t="s">
        <v>3186</v>
      </c>
      <c r="E800" s="501" t="s">
        <v>3044</v>
      </c>
      <c r="F800" s="501"/>
      <c r="G800" s="501"/>
      <c r="H800" s="501"/>
      <c r="I800" s="496" t="s">
        <v>1676</v>
      </c>
      <c r="J800" s="502"/>
      <c r="K800" s="503" t="s">
        <v>4769</v>
      </c>
      <c r="L800" s="501" t="s">
        <v>3225</v>
      </c>
      <c r="M800" s="504">
        <v>44903</v>
      </c>
      <c r="N800" s="504">
        <v>44682</v>
      </c>
      <c r="O800" s="504"/>
      <c r="P800" s="502"/>
      <c r="Q800" s="502"/>
      <c r="R800" s="502"/>
      <c r="S800" s="501" t="s">
        <v>2379</v>
      </c>
      <c r="T800" s="501">
        <v>60</v>
      </c>
      <c r="U800" s="501"/>
      <c r="V800" s="501" t="s">
        <v>985</v>
      </c>
      <c r="W800" s="501">
        <v>400</v>
      </c>
      <c r="X800" s="505">
        <v>1536</v>
      </c>
      <c r="Y800" s="491">
        <f t="shared" si="126"/>
        <v>614400</v>
      </c>
      <c r="Z800" s="478">
        <v>0.52</v>
      </c>
      <c r="AA800" s="492">
        <f t="shared" si="124"/>
        <v>319488</v>
      </c>
      <c r="AB800" s="480"/>
      <c r="AC800" s="481">
        <f t="shared" si="127"/>
        <v>0</v>
      </c>
      <c r="AD800" s="490"/>
      <c r="AE800" s="482"/>
      <c r="AF800" s="493">
        <f t="shared" si="128"/>
        <v>319488</v>
      </c>
      <c r="AG800" s="474" t="s">
        <v>1071</v>
      </c>
      <c r="AH800" s="474"/>
      <c r="AI800" s="483" t="s">
        <v>2442</v>
      </c>
      <c r="AJ800" s="474" t="s">
        <v>4768</v>
      </c>
      <c r="AK800" s="494" t="s">
        <v>2362</v>
      </c>
      <c r="AL800" s="474">
        <v>81501</v>
      </c>
      <c r="AM800" s="474" t="s">
        <v>52</v>
      </c>
      <c r="AN800" s="474"/>
      <c r="AO800" s="474"/>
      <c r="AP800" s="486"/>
      <c r="AQ800" s="486" t="s">
        <v>37</v>
      </c>
      <c r="AR800" s="486"/>
      <c r="AS800" s="495"/>
      <c r="AT800" s="495"/>
      <c r="AU800" s="495"/>
      <c r="AV800" s="478">
        <v>0.52</v>
      </c>
    </row>
    <row r="801" spans="1:48" s="471" customFormat="1" ht="15" customHeight="1">
      <c r="A801" s="472"/>
      <c r="B801" s="472"/>
      <c r="C801" s="472"/>
      <c r="D801" s="512" t="s">
        <v>3186</v>
      </c>
      <c r="E801" s="501" t="s">
        <v>3044</v>
      </c>
      <c r="F801" s="501"/>
      <c r="G801" s="501"/>
      <c r="H801" s="501"/>
      <c r="I801" s="496" t="s">
        <v>1676</v>
      </c>
      <c r="J801" s="502"/>
      <c r="K801" s="503" t="s">
        <v>4770</v>
      </c>
      <c r="L801" s="501" t="s">
        <v>3225</v>
      </c>
      <c r="M801" s="504">
        <v>44903</v>
      </c>
      <c r="N801" s="504">
        <v>44713</v>
      </c>
      <c r="O801" s="504"/>
      <c r="P801" s="502"/>
      <c r="Q801" s="502"/>
      <c r="R801" s="502"/>
      <c r="S801" s="501" t="s">
        <v>2379</v>
      </c>
      <c r="T801" s="501">
        <v>60</v>
      </c>
      <c r="U801" s="501"/>
      <c r="V801" s="501" t="s">
        <v>985</v>
      </c>
      <c r="W801" s="501">
        <v>400</v>
      </c>
      <c r="X801" s="505">
        <v>1536</v>
      </c>
      <c r="Y801" s="491">
        <f t="shared" si="126"/>
        <v>614400</v>
      </c>
      <c r="Z801" s="478">
        <v>0.52</v>
      </c>
      <c r="AA801" s="492">
        <f t="shared" si="124"/>
        <v>319488</v>
      </c>
      <c r="AB801" s="480"/>
      <c r="AC801" s="481">
        <f t="shared" si="127"/>
        <v>0</v>
      </c>
      <c r="AD801" s="490"/>
      <c r="AE801" s="482"/>
      <c r="AF801" s="493">
        <f t="shared" si="128"/>
        <v>319488</v>
      </c>
      <c r="AG801" s="474" t="s">
        <v>1071</v>
      </c>
      <c r="AH801" s="474"/>
      <c r="AI801" s="483" t="s">
        <v>2442</v>
      </c>
      <c r="AJ801" s="474" t="s">
        <v>4768</v>
      </c>
      <c r="AK801" s="494" t="s">
        <v>2362</v>
      </c>
      <c r="AL801" s="474">
        <v>81501</v>
      </c>
      <c r="AM801" s="474" t="s">
        <v>52</v>
      </c>
      <c r="AN801" s="474"/>
      <c r="AO801" s="474"/>
      <c r="AP801" s="486"/>
      <c r="AQ801" s="486" t="s">
        <v>37</v>
      </c>
      <c r="AR801" s="486"/>
      <c r="AS801" s="495"/>
      <c r="AT801" s="495"/>
      <c r="AU801" s="495"/>
      <c r="AV801" s="478">
        <v>0.52</v>
      </c>
    </row>
    <row r="802" spans="1:48" s="471" customFormat="1" ht="15" customHeight="1">
      <c r="A802" s="472"/>
      <c r="B802" s="472"/>
      <c r="C802" s="472"/>
      <c r="D802" s="512" t="s">
        <v>3186</v>
      </c>
      <c r="E802" s="501" t="s">
        <v>3044</v>
      </c>
      <c r="F802" s="501"/>
      <c r="G802" s="501"/>
      <c r="H802" s="501"/>
      <c r="I802" s="496" t="s">
        <v>1676</v>
      </c>
      <c r="J802" s="502"/>
      <c r="K802" s="503" t="s">
        <v>4771</v>
      </c>
      <c r="L802" s="501" t="s">
        <v>3225</v>
      </c>
      <c r="M802" s="504">
        <v>44903</v>
      </c>
      <c r="N802" s="504">
        <v>44743</v>
      </c>
      <c r="O802" s="504"/>
      <c r="P802" s="502"/>
      <c r="Q802" s="502"/>
      <c r="R802" s="502"/>
      <c r="S802" s="501" t="s">
        <v>2379</v>
      </c>
      <c r="T802" s="501">
        <v>60</v>
      </c>
      <c r="U802" s="501"/>
      <c r="V802" s="501" t="s">
        <v>985</v>
      </c>
      <c r="W802" s="501">
        <v>400</v>
      </c>
      <c r="X802" s="505">
        <v>1536</v>
      </c>
      <c r="Y802" s="491">
        <f t="shared" si="126"/>
        <v>614400</v>
      </c>
      <c r="Z802" s="478">
        <v>0.52</v>
      </c>
      <c r="AA802" s="492">
        <f t="shared" si="124"/>
        <v>319488</v>
      </c>
      <c r="AB802" s="480"/>
      <c r="AC802" s="481">
        <f t="shared" si="127"/>
        <v>0</v>
      </c>
      <c r="AD802" s="490"/>
      <c r="AE802" s="482"/>
      <c r="AF802" s="493">
        <f t="shared" si="128"/>
        <v>319488</v>
      </c>
      <c r="AG802" s="474" t="s">
        <v>1071</v>
      </c>
      <c r="AH802" s="474"/>
      <c r="AI802" s="483" t="s">
        <v>2442</v>
      </c>
      <c r="AJ802" s="474" t="s">
        <v>4768</v>
      </c>
      <c r="AK802" s="494" t="s">
        <v>2362</v>
      </c>
      <c r="AL802" s="474">
        <v>81501</v>
      </c>
      <c r="AM802" s="474" t="s">
        <v>52</v>
      </c>
      <c r="AN802" s="474"/>
      <c r="AO802" s="474"/>
      <c r="AP802" s="486"/>
      <c r="AQ802" s="486" t="s">
        <v>37</v>
      </c>
      <c r="AR802" s="486"/>
      <c r="AS802" s="495"/>
      <c r="AT802" s="495"/>
      <c r="AU802" s="495"/>
      <c r="AV802" s="478">
        <v>0.52</v>
      </c>
    </row>
    <row r="803" spans="1:48" s="471" customFormat="1" ht="15" customHeight="1">
      <c r="A803" s="472"/>
      <c r="B803" s="472"/>
      <c r="C803" s="472"/>
      <c r="D803" s="512" t="s">
        <v>3186</v>
      </c>
      <c r="E803" s="501" t="s">
        <v>3044</v>
      </c>
      <c r="F803" s="501"/>
      <c r="G803" s="501"/>
      <c r="H803" s="501"/>
      <c r="I803" s="496" t="s">
        <v>1676</v>
      </c>
      <c r="J803" s="502"/>
      <c r="K803" s="503" t="s">
        <v>4772</v>
      </c>
      <c r="L803" s="501" t="s">
        <v>3225</v>
      </c>
      <c r="M803" s="504">
        <v>44903</v>
      </c>
      <c r="N803" s="504">
        <v>44774</v>
      </c>
      <c r="O803" s="504"/>
      <c r="P803" s="502"/>
      <c r="Q803" s="502"/>
      <c r="R803" s="502"/>
      <c r="S803" s="501" t="s">
        <v>2379</v>
      </c>
      <c r="T803" s="501">
        <v>60</v>
      </c>
      <c r="U803" s="501"/>
      <c r="V803" s="501" t="s">
        <v>985</v>
      </c>
      <c r="W803" s="501">
        <v>400</v>
      </c>
      <c r="X803" s="505">
        <v>1536</v>
      </c>
      <c r="Y803" s="491">
        <f t="shared" si="126"/>
        <v>614400</v>
      </c>
      <c r="Z803" s="478">
        <v>0.52</v>
      </c>
      <c r="AA803" s="492">
        <f t="shared" si="124"/>
        <v>319488</v>
      </c>
      <c r="AB803" s="480"/>
      <c r="AC803" s="481">
        <f t="shared" si="127"/>
        <v>0</v>
      </c>
      <c r="AD803" s="490"/>
      <c r="AE803" s="482"/>
      <c r="AF803" s="493">
        <f t="shared" si="128"/>
        <v>319488</v>
      </c>
      <c r="AG803" s="474" t="s">
        <v>1071</v>
      </c>
      <c r="AH803" s="474"/>
      <c r="AI803" s="483" t="s">
        <v>2442</v>
      </c>
      <c r="AJ803" s="474" t="s">
        <v>4768</v>
      </c>
      <c r="AK803" s="494" t="s">
        <v>2362</v>
      </c>
      <c r="AL803" s="474">
        <v>81501</v>
      </c>
      <c r="AM803" s="474" t="s">
        <v>52</v>
      </c>
      <c r="AN803" s="474"/>
      <c r="AO803" s="474"/>
      <c r="AP803" s="486"/>
      <c r="AQ803" s="486" t="s">
        <v>37</v>
      </c>
      <c r="AR803" s="486"/>
      <c r="AS803" s="495"/>
      <c r="AT803" s="495"/>
      <c r="AU803" s="495"/>
      <c r="AV803" s="478">
        <v>0.52</v>
      </c>
    </row>
    <row r="804" spans="1:48" s="471" customFormat="1" ht="15" customHeight="1">
      <c r="A804" s="472"/>
      <c r="B804" s="472"/>
      <c r="C804" s="472"/>
      <c r="D804" s="512" t="s">
        <v>3186</v>
      </c>
      <c r="E804" s="501" t="s">
        <v>3044</v>
      </c>
      <c r="F804" s="501"/>
      <c r="G804" s="501"/>
      <c r="H804" s="501"/>
      <c r="I804" s="496" t="s">
        <v>1676</v>
      </c>
      <c r="J804" s="502"/>
      <c r="K804" s="503" t="s">
        <v>4773</v>
      </c>
      <c r="L804" s="501" t="s">
        <v>3225</v>
      </c>
      <c r="M804" s="504">
        <v>44903</v>
      </c>
      <c r="N804" s="504">
        <v>44805</v>
      </c>
      <c r="O804" s="504"/>
      <c r="P804" s="502"/>
      <c r="Q804" s="502"/>
      <c r="R804" s="502"/>
      <c r="S804" s="501" t="s">
        <v>2379</v>
      </c>
      <c r="T804" s="501">
        <v>60</v>
      </c>
      <c r="U804" s="501"/>
      <c r="V804" s="501" t="s">
        <v>985</v>
      </c>
      <c r="W804" s="501">
        <v>400</v>
      </c>
      <c r="X804" s="505">
        <v>1536</v>
      </c>
      <c r="Y804" s="491">
        <f t="shared" si="126"/>
        <v>614400</v>
      </c>
      <c r="Z804" s="478">
        <v>0.52</v>
      </c>
      <c r="AA804" s="492">
        <f t="shared" si="124"/>
        <v>319488</v>
      </c>
      <c r="AB804" s="480"/>
      <c r="AC804" s="481">
        <f t="shared" si="127"/>
        <v>0</v>
      </c>
      <c r="AD804" s="490"/>
      <c r="AE804" s="482"/>
      <c r="AF804" s="493">
        <f t="shared" si="128"/>
        <v>319488</v>
      </c>
      <c r="AG804" s="474" t="s">
        <v>1071</v>
      </c>
      <c r="AH804" s="474"/>
      <c r="AI804" s="483" t="s">
        <v>2442</v>
      </c>
      <c r="AJ804" s="474" t="s">
        <v>4768</v>
      </c>
      <c r="AK804" s="494" t="s">
        <v>2362</v>
      </c>
      <c r="AL804" s="474">
        <v>81501</v>
      </c>
      <c r="AM804" s="474" t="s">
        <v>52</v>
      </c>
      <c r="AN804" s="474"/>
      <c r="AO804" s="474"/>
      <c r="AP804" s="486"/>
      <c r="AQ804" s="486" t="s">
        <v>37</v>
      </c>
      <c r="AR804" s="486"/>
      <c r="AS804" s="495"/>
      <c r="AT804" s="495"/>
      <c r="AU804" s="495"/>
      <c r="AV804" s="478">
        <v>0.52</v>
      </c>
    </row>
    <row r="805" spans="1:48" s="471" customFormat="1" ht="15" customHeight="1">
      <c r="A805" s="472"/>
      <c r="B805" s="472"/>
      <c r="C805" s="472"/>
      <c r="D805" s="512" t="s">
        <v>3186</v>
      </c>
      <c r="E805" s="501" t="s">
        <v>3044</v>
      </c>
      <c r="F805" s="501"/>
      <c r="G805" s="501"/>
      <c r="H805" s="501"/>
      <c r="I805" s="496" t="s">
        <v>1676</v>
      </c>
      <c r="J805" s="502"/>
      <c r="K805" s="503" t="s">
        <v>4774</v>
      </c>
      <c r="L805" s="501" t="s">
        <v>3225</v>
      </c>
      <c r="M805" s="504">
        <v>44903</v>
      </c>
      <c r="N805" s="504">
        <v>44835</v>
      </c>
      <c r="O805" s="504"/>
      <c r="P805" s="502"/>
      <c r="Q805" s="502"/>
      <c r="R805" s="502"/>
      <c r="S805" s="501" t="s">
        <v>2379</v>
      </c>
      <c r="T805" s="501">
        <v>60</v>
      </c>
      <c r="U805" s="501"/>
      <c r="V805" s="501" t="s">
        <v>985</v>
      </c>
      <c r="W805" s="501">
        <v>400</v>
      </c>
      <c r="X805" s="505">
        <v>1536</v>
      </c>
      <c r="Y805" s="491">
        <f t="shared" si="126"/>
        <v>614400</v>
      </c>
      <c r="Z805" s="478">
        <v>0.52</v>
      </c>
      <c r="AA805" s="492">
        <f t="shared" si="124"/>
        <v>319488</v>
      </c>
      <c r="AB805" s="480"/>
      <c r="AC805" s="481">
        <f t="shared" si="127"/>
        <v>0</v>
      </c>
      <c r="AD805" s="490"/>
      <c r="AE805" s="482"/>
      <c r="AF805" s="493">
        <f t="shared" si="128"/>
        <v>319488</v>
      </c>
      <c r="AG805" s="474" t="s">
        <v>1071</v>
      </c>
      <c r="AH805" s="474"/>
      <c r="AI805" s="483" t="s">
        <v>2442</v>
      </c>
      <c r="AJ805" s="474" t="s">
        <v>4768</v>
      </c>
      <c r="AK805" s="494" t="s">
        <v>2362</v>
      </c>
      <c r="AL805" s="474">
        <v>81501</v>
      </c>
      <c r="AM805" s="474" t="s">
        <v>52</v>
      </c>
      <c r="AN805" s="474"/>
      <c r="AO805" s="474"/>
      <c r="AP805" s="486"/>
      <c r="AQ805" s="486" t="s">
        <v>37</v>
      </c>
      <c r="AR805" s="486"/>
      <c r="AS805" s="495"/>
      <c r="AT805" s="495"/>
      <c r="AU805" s="495"/>
      <c r="AV805" s="478">
        <v>0.52</v>
      </c>
    </row>
    <row r="806" spans="1:48" s="471" customFormat="1" ht="15" customHeight="1">
      <c r="A806" s="472"/>
      <c r="B806" s="472"/>
      <c r="C806" s="472"/>
      <c r="D806" s="512" t="s">
        <v>3186</v>
      </c>
      <c r="E806" s="501" t="s">
        <v>3044</v>
      </c>
      <c r="F806" s="501"/>
      <c r="G806" s="501"/>
      <c r="H806" s="501"/>
      <c r="I806" s="496" t="s">
        <v>1676</v>
      </c>
      <c r="J806" s="502"/>
      <c r="K806" s="503" t="s">
        <v>4775</v>
      </c>
      <c r="L806" s="501" t="s">
        <v>3225</v>
      </c>
      <c r="M806" s="504">
        <v>44903</v>
      </c>
      <c r="N806" s="504">
        <v>44866</v>
      </c>
      <c r="O806" s="504"/>
      <c r="P806" s="502"/>
      <c r="Q806" s="502"/>
      <c r="R806" s="502"/>
      <c r="S806" s="501" t="s">
        <v>2379</v>
      </c>
      <c r="T806" s="501">
        <v>60</v>
      </c>
      <c r="U806" s="501"/>
      <c r="V806" s="501" t="s">
        <v>985</v>
      </c>
      <c r="W806" s="501">
        <v>400</v>
      </c>
      <c r="X806" s="505">
        <v>1536</v>
      </c>
      <c r="Y806" s="491">
        <f t="shared" si="126"/>
        <v>614400</v>
      </c>
      <c r="Z806" s="478">
        <v>0.52</v>
      </c>
      <c r="AA806" s="492">
        <f t="shared" si="124"/>
        <v>319488</v>
      </c>
      <c r="AB806" s="480"/>
      <c r="AC806" s="481">
        <f t="shared" si="127"/>
        <v>0</v>
      </c>
      <c r="AD806" s="490"/>
      <c r="AE806" s="482"/>
      <c r="AF806" s="493">
        <f t="shared" si="128"/>
        <v>319488</v>
      </c>
      <c r="AG806" s="474" t="s">
        <v>1071</v>
      </c>
      <c r="AH806" s="474"/>
      <c r="AI806" s="483" t="s">
        <v>2442</v>
      </c>
      <c r="AJ806" s="474" t="s">
        <v>4768</v>
      </c>
      <c r="AK806" s="494" t="s">
        <v>2362</v>
      </c>
      <c r="AL806" s="474">
        <v>81501</v>
      </c>
      <c r="AM806" s="474" t="s">
        <v>52</v>
      </c>
      <c r="AN806" s="474"/>
      <c r="AO806" s="474"/>
      <c r="AP806" s="486"/>
      <c r="AQ806" s="486" t="s">
        <v>37</v>
      </c>
      <c r="AR806" s="486"/>
      <c r="AS806" s="495"/>
      <c r="AT806" s="495"/>
      <c r="AU806" s="495"/>
      <c r="AV806" s="478">
        <v>0.52</v>
      </c>
    </row>
    <row r="807" spans="1:48" s="471" customFormat="1" ht="15" customHeight="1">
      <c r="A807" s="472"/>
      <c r="B807" s="472"/>
      <c r="C807" s="472"/>
      <c r="D807" s="512" t="s">
        <v>3186</v>
      </c>
      <c r="E807" s="501" t="s">
        <v>3044</v>
      </c>
      <c r="F807" s="501"/>
      <c r="G807" s="501"/>
      <c r="H807" s="501"/>
      <c r="I807" s="496" t="s">
        <v>1676</v>
      </c>
      <c r="J807" s="502"/>
      <c r="K807" s="503" t="s">
        <v>4776</v>
      </c>
      <c r="L807" s="501" t="s">
        <v>3225</v>
      </c>
      <c r="M807" s="504">
        <v>44903</v>
      </c>
      <c r="N807" s="504">
        <v>44896</v>
      </c>
      <c r="O807" s="504"/>
      <c r="P807" s="502"/>
      <c r="Q807" s="502"/>
      <c r="R807" s="502"/>
      <c r="S807" s="501" t="s">
        <v>2379</v>
      </c>
      <c r="T807" s="501">
        <v>60</v>
      </c>
      <c r="U807" s="501"/>
      <c r="V807" s="501" t="s">
        <v>985</v>
      </c>
      <c r="W807" s="501">
        <v>400</v>
      </c>
      <c r="X807" s="505">
        <v>1536</v>
      </c>
      <c r="Y807" s="491">
        <f t="shared" si="126"/>
        <v>614400</v>
      </c>
      <c r="Z807" s="478">
        <v>0.52</v>
      </c>
      <c r="AA807" s="492">
        <f t="shared" si="124"/>
        <v>319488</v>
      </c>
      <c r="AB807" s="480"/>
      <c r="AC807" s="481">
        <f t="shared" si="127"/>
        <v>0</v>
      </c>
      <c r="AD807" s="490"/>
      <c r="AE807" s="482"/>
      <c r="AF807" s="493">
        <f t="shared" si="128"/>
        <v>319488</v>
      </c>
      <c r="AG807" s="474" t="s">
        <v>1071</v>
      </c>
      <c r="AH807" s="474"/>
      <c r="AI807" s="483" t="s">
        <v>2442</v>
      </c>
      <c r="AJ807" s="474" t="s">
        <v>4768</v>
      </c>
      <c r="AK807" s="494" t="s">
        <v>2362</v>
      </c>
      <c r="AL807" s="474">
        <v>81501</v>
      </c>
      <c r="AM807" s="474" t="s">
        <v>52</v>
      </c>
      <c r="AN807" s="474"/>
      <c r="AO807" s="474"/>
      <c r="AP807" s="486"/>
      <c r="AQ807" s="486" t="s">
        <v>37</v>
      </c>
      <c r="AR807" s="486"/>
      <c r="AS807" s="495"/>
      <c r="AT807" s="495"/>
      <c r="AU807" s="495"/>
      <c r="AV807" s="478">
        <v>0.52</v>
      </c>
    </row>
    <row r="808" spans="1:48" s="471" customFormat="1" ht="15" customHeight="1">
      <c r="A808" s="472"/>
      <c r="B808" s="514">
        <v>44911</v>
      </c>
      <c r="C808" s="514"/>
      <c r="D808" s="512" t="s">
        <v>3186</v>
      </c>
      <c r="E808" s="474" t="s">
        <v>3215</v>
      </c>
      <c r="F808" s="501"/>
      <c r="G808" s="501"/>
      <c r="H808" s="501"/>
      <c r="I808" s="496" t="s">
        <v>1676</v>
      </c>
      <c r="J808" s="502"/>
      <c r="K808" s="503" t="s">
        <v>4777</v>
      </c>
      <c r="L808" s="501" t="s">
        <v>3257</v>
      </c>
      <c r="M808" s="504">
        <v>44546</v>
      </c>
      <c r="N808" s="504">
        <v>44652</v>
      </c>
      <c r="O808" s="504"/>
      <c r="P808" s="502"/>
      <c r="Q808" s="502"/>
      <c r="R808" s="502"/>
      <c r="S808" s="501" t="s">
        <v>3450</v>
      </c>
      <c r="T808" s="501">
        <v>60</v>
      </c>
      <c r="U808" s="501"/>
      <c r="V808" s="501" t="s">
        <v>985</v>
      </c>
      <c r="W808" s="501">
        <v>400</v>
      </c>
      <c r="X808" s="505">
        <v>768</v>
      </c>
      <c r="Y808" s="491">
        <f t="shared" si="126"/>
        <v>307200</v>
      </c>
      <c r="Z808" s="478">
        <v>0.46500000000000002</v>
      </c>
      <c r="AA808" s="492">
        <f t="shared" si="124"/>
        <v>142848</v>
      </c>
      <c r="AB808" s="480"/>
      <c r="AC808" s="481">
        <f t="shared" si="127"/>
        <v>0</v>
      </c>
      <c r="AD808" s="490"/>
      <c r="AE808" s="482"/>
      <c r="AF808" s="493">
        <f t="shared" si="128"/>
        <v>142848</v>
      </c>
      <c r="AG808" s="474" t="s">
        <v>1071</v>
      </c>
      <c r="AH808" s="474"/>
      <c r="AI808" s="483">
        <v>60</v>
      </c>
      <c r="AJ808" s="474" t="s">
        <v>2621</v>
      </c>
      <c r="AK808" s="494" t="s">
        <v>1144</v>
      </c>
      <c r="AL808" s="474">
        <v>78218</v>
      </c>
      <c r="AM808" s="474" t="s">
        <v>52</v>
      </c>
      <c r="AN808" s="474" t="s">
        <v>50</v>
      </c>
      <c r="AO808" s="474"/>
      <c r="AP808" s="486" t="s">
        <v>38</v>
      </c>
      <c r="AQ808" s="486" t="s">
        <v>37</v>
      </c>
      <c r="AR808" s="486" t="s">
        <v>1248</v>
      </c>
      <c r="AS808" s="495"/>
      <c r="AT808" s="495"/>
      <c r="AU808" s="495"/>
      <c r="AV808" s="478">
        <v>0.46500000000000002</v>
      </c>
    </row>
    <row r="809" spans="1:48" s="471" customFormat="1" ht="15" customHeight="1">
      <c r="A809" s="472"/>
      <c r="B809" s="514">
        <v>44911</v>
      </c>
      <c r="C809" s="514"/>
      <c r="D809" s="512" t="s">
        <v>3186</v>
      </c>
      <c r="E809" s="474" t="s">
        <v>3215</v>
      </c>
      <c r="F809" s="501"/>
      <c r="G809" s="501"/>
      <c r="H809" s="501"/>
      <c r="I809" s="496" t="s">
        <v>1676</v>
      </c>
      <c r="J809" s="502"/>
      <c r="K809" s="503" t="s">
        <v>4778</v>
      </c>
      <c r="L809" s="501" t="s">
        <v>3257</v>
      </c>
      <c r="M809" s="504">
        <v>44546</v>
      </c>
      <c r="N809" s="504">
        <v>44652</v>
      </c>
      <c r="O809" s="504"/>
      <c r="P809" s="502"/>
      <c r="Q809" s="502"/>
      <c r="R809" s="502"/>
      <c r="S809" s="501" t="s">
        <v>3450</v>
      </c>
      <c r="T809" s="501">
        <v>60</v>
      </c>
      <c r="U809" s="501"/>
      <c r="V809" s="501" t="s">
        <v>985</v>
      </c>
      <c r="W809" s="501">
        <v>400</v>
      </c>
      <c r="X809" s="505">
        <v>768</v>
      </c>
      <c r="Y809" s="491">
        <f t="shared" si="126"/>
        <v>307200</v>
      </c>
      <c r="Z809" s="478">
        <v>0.46500000000000002</v>
      </c>
      <c r="AA809" s="492">
        <f t="shared" si="124"/>
        <v>142848</v>
      </c>
      <c r="AB809" s="480"/>
      <c r="AC809" s="481">
        <f t="shared" si="127"/>
        <v>0</v>
      </c>
      <c r="AD809" s="490"/>
      <c r="AE809" s="482"/>
      <c r="AF809" s="493">
        <f t="shared" si="128"/>
        <v>142848</v>
      </c>
      <c r="AG809" s="474" t="s">
        <v>1071</v>
      </c>
      <c r="AH809" s="474"/>
      <c r="AI809" s="483">
        <v>60</v>
      </c>
      <c r="AJ809" s="474" t="s">
        <v>2621</v>
      </c>
      <c r="AK809" s="494" t="s">
        <v>1144</v>
      </c>
      <c r="AL809" s="474">
        <v>78218</v>
      </c>
      <c r="AM809" s="474" t="s">
        <v>52</v>
      </c>
      <c r="AN809" s="474" t="s">
        <v>50</v>
      </c>
      <c r="AO809" s="474"/>
      <c r="AP809" s="486" t="s">
        <v>38</v>
      </c>
      <c r="AQ809" s="486" t="s">
        <v>37</v>
      </c>
      <c r="AR809" s="486" t="s">
        <v>1248</v>
      </c>
      <c r="AS809" s="495"/>
      <c r="AT809" s="495"/>
      <c r="AU809" s="495"/>
      <c r="AV809" s="478">
        <v>0.46500000000000002</v>
      </c>
    </row>
    <row r="810" spans="1:48" s="471" customFormat="1" ht="15" customHeight="1">
      <c r="A810" s="472"/>
      <c r="B810" s="514">
        <v>44911</v>
      </c>
      <c r="C810" s="514"/>
      <c r="D810" s="512" t="s">
        <v>3186</v>
      </c>
      <c r="E810" s="474" t="s">
        <v>3215</v>
      </c>
      <c r="F810" s="501"/>
      <c r="G810" s="501"/>
      <c r="H810" s="501"/>
      <c r="I810" s="496" t="s">
        <v>1676</v>
      </c>
      <c r="J810" s="502"/>
      <c r="K810" s="503" t="s">
        <v>4779</v>
      </c>
      <c r="L810" s="501" t="s">
        <v>3257</v>
      </c>
      <c r="M810" s="504">
        <v>44546</v>
      </c>
      <c r="N810" s="504">
        <v>44652</v>
      </c>
      <c r="O810" s="504"/>
      <c r="P810" s="502"/>
      <c r="Q810" s="502"/>
      <c r="R810" s="502"/>
      <c r="S810" s="501" t="s">
        <v>3450</v>
      </c>
      <c r="T810" s="501">
        <v>60</v>
      </c>
      <c r="U810" s="501"/>
      <c r="V810" s="501" t="s">
        <v>985</v>
      </c>
      <c r="W810" s="501">
        <v>400</v>
      </c>
      <c r="X810" s="505">
        <v>768</v>
      </c>
      <c r="Y810" s="491">
        <f t="shared" si="126"/>
        <v>307200</v>
      </c>
      <c r="Z810" s="478">
        <v>0.46500000000000002</v>
      </c>
      <c r="AA810" s="492">
        <f t="shared" si="124"/>
        <v>142848</v>
      </c>
      <c r="AB810" s="480"/>
      <c r="AC810" s="481">
        <f t="shared" si="127"/>
        <v>0</v>
      </c>
      <c r="AD810" s="490"/>
      <c r="AE810" s="482"/>
      <c r="AF810" s="493">
        <f t="shared" si="128"/>
        <v>142848</v>
      </c>
      <c r="AG810" s="474" t="s">
        <v>1071</v>
      </c>
      <c r="AH810" s="474"/>
      <c r="AI810" s="483">
        <v>60</v>
      </c>
      <c r="AJ810" s="474" t="s">
        <v>2621</v>
      </c>
      <c r="AK810" s="494" t="s">
        <v>1144</v>
      </c>
      <c r="AL810" s="474">
        <v>78218</v>
      </c>
      <c r="AM810" s="474" t="s">
        <v>52</v>
      </c>
      <c r="AN810" s="474" t="s">
        <v>50</v>
      </c>
      <c r="AO810" s="474"/>
      <c r="AP810" s="486" t="s">
        <v>38</v>
      </c>
      <c r="AQ810" s="486" t="s">
        <v>37</v>
      </c>
      <c r="AR810" s="486" t="s">
        <v>1248</v>
      </c>
      <c r="AS810" s="495"/>
      <c r="AT810" s="495"/>
      <c r="AU810" s="495"/>
      <c r="AV810" s="478">
        <v>0.46500000000000002</v>
      </c>
    </row>
    <row r="811" spans="1:48" s="471" customFormat="1" ht="15" customHeight="1">
      <c r="A811" s="472"/>
      <c r="B811" s="514">
        <v>44911</v>
      </c>
      <c r="C811" s="514"/>
      <c r="D811" s="512" t="s">
        <v>3186</v>
      </c>
      <c r="E811" s="474" t="s">
        <v>3215</v>
      </c>
      <c r="F811" s="501"/>
      <c r="G811" s="501"/>
      <c r="H811" s="501"/>
      <c r="I811" s="496" t="s">
        <v>1676</v>
      </c>
      <c r="J811" s="502"/>
      <c r="K811" s="503" t="s">
        <v>4780</v>
      </c>
      <c r="L811" s="501" t="s">
        <v>3257</v>
      </c>
      <c r="M811" s="504">
        <v>44546</v>
      </c>
      <c r="N811" s="504">
        <v>44682</v>
      </c>
      <c r="O811" s="504"/>
      <c r="P811" s="502"/>
      <c r="Q811" s="502"/>
      <c r="R811" s="502"/>
      <c r="S811" s="501" t="s">
        <v>3450</v>
      </c>
      <c r="T811" s="501">
        <v>60</v>
      </c>
      <c r="U811" s="501"/>
      <c r="V811" s="501" t="s">
        <v>985</v>
      </c>
      <c r="W811" s="501">
        <v>400</v>
      </c>
      <c r="X811" s="505">
        <v>768</v>
      </c>
      <c r="Y811" s="491">
        <f t="shared" si="126"/>
        <v>307200</v>
      </c>
      <c r="Z811" s="478">
        <v>0.46500000000000002</v>
      </c>
      <c r="AA811" s="492">
        <f t="shared" si="124"/>
        <v>142848</v>
      </c>
      <c r="AB811" s="480"/>
      <c r="AC811" s="481">
        <f t="shared" si="127"/>
        <v>0</v>
      </c>
      <c r="AD811" s="490"/>
      <c r="AE811" s="482"/>
      <c r="AF811" s="493">
        <f t="shared" si="128"/>
        <v>142848</v>
      </c>
      <c r="AG811" s="474" t="s">
        <v>1071</v>
      </c>
      <c r="AH811" s="474"/>
      <c r="AI811" s="483">
        <v>60</v>
      </c>
      <c r="AJ811" s="474" t="s">
        <v>2621</v>
      </c>
      <c r="AK811" s="494" t="s">
        <v>1144</v>
      </c>
      <c r="AL811" s="474">
        <v>78218</v>
      </c>
      <c r="AM811" s="474" t="s">
        <v>52</v>
      </c>
      <c r="AN811" s="474" t="s">
        <v>50</v>
      </c>
      <c r="AO811" s="474"/>
      <c r="AP811" s="486" t="s">
        <v>38</v>
      </c>
      <c r="AQ811" s="486" t="s">
        <v>37</v>
      </c>
      <c r="AR811" s="486" t="s">
        <v>1248</v>
      </c>
      <c r="AS811" s="495"/>
      <c r="AT811" s="495"/>
      <c r="AU811" s="495"/>
      <c r="AV811" s="478">
        <v>0.46500000000000002</v>
      </c>
    </row>
    <row r="812" spans="1:48" s="471" customFormat="1" ht="15" customHeight="1">
      <c r="A812" s="472"/>
      <c r="B812" s="514">
        <v>44911</v>
      </c>
      <c r="C812" s="514"/>
      <c r="D812" s="512" t="s">
        <v>3186</v>
      </c>
      <c r="E812" s="474" t="s">
        <v>3215</v>
      </c>
      <c r="F812" s="501"/>
      <c r="G812" s="501"/>
      <c r="H812" s="501"/>
      <c r="I812" s="496" t="s">
        <v>1676</v>
      </c>
      <c r="J812" s="502"/>
      <c r="K812" s="503" t="s">
        <v>4781</v>
      </c>
      <c r="L812" s="501" t="s">
        <v>3257</v>
      </c>
      <c r="M812" s="504">
        <v>44546</v>
      </c>
      <c r="N812" s="504">
        <v>44682</v>
      </c>
      <c r="O812" s="504"/>
      <c r="P812" s="502"/>
      <c r="Q812" s="502"/>
      <c r="R812" s="502"/>
      <c r="S812" s="501" t="s">
        <v>3450</v>
      </c>
      <c r="T812" s="501">
        <v>60</v>
      </c>
      <c r="U812" s="501"/>
      <c r="V812" s="501" t="s">
        <v>985</v>
      </c>
      <c r="W812" s="501">
        <v>400</v>
      </c>
      <c r="X812" s="505">
        <v>768</v>
      </c>
      <c r="Y812" s="491">
        <f t="shared" si="126"/>
        <v>307200</v>
      </c>
      <c r="Z812" s="478">
        <v>0.46500000000000002</v>
      </c>
      <c r="AA812" s="492">
        <f t="shared" si="124"/>
        <v>142848</v>
      </c>
      <c r="AB812" s="480"/>
      <c r="AC812" s="481">
        <f t="shared" si="127"/>
        <v>0</v>
      </c>
      <c r="AD812" s="490"/>
      <c r="AE812" s="482"/>
      <c r="AF812" s="493">
        <f t="shared" si="128"/>
        <v>142848</v>
      </c>
      <c r="AG812" s="474" t="s">
        <v>1071</v>
      </c>
      <c r="AH812" s="474"/>
      <c r="AI812" s="483">
        <v>60</v>
      </c>
      <c r="AJ812" s="474" t="s">
        <v>2621</v>
      </c>
      <c r="AK812" s="494" t="s">
        <v>1144</v>
      </c>
      <c r="AL812" s="474">
        <v>78218</v>
      </c>
      <c r="AM812" s="474" t="s">
        <v>52</v>
      </c>
      <c r="AN812" s="474" t="s">
        <v>50</v>
      </c>
      <c r="AO812" s="474"/>
      <c r="AP812" s="486" t="s">
        <v>38</v>
      </c>
      <c r="AQ812" s="486" t="s">
        <v>37</v>
      </c>
      <c r="AR812" s="486" t="s">
        <v>1248</v>
      </c>
      <c r="AS812" s="495"/>
      <c r="AT812" s="495"/>
      <c r="AU812" s="495"/>
      <c r="AV812" s="478">
        <v>0.46500000000000002</v>
      </c>
    </row>
    <row r="813" spans="1:48" s="471" customFormat="1" ht="15" customHeight="1">
      <c r="A813" s="472"/>
      <c r="B813" s="514">
        <v>44911</v>
      </c>
      <c r="C813" s="514"/>
      <c r="D813" s="512" t="s">
        <v>3186</v>
      </c>
      <c r="E813" s="474" t="s">
        <v>3215</v>
      </c>
      <c r="F813" s="501"/>
      <c r="G813" s="501"/>
      <c r="H813" s="501"/>
      <c r="I813" s="496" t="s">
        <v>1676</v>
      </c>
      <c r="J813" s="502"/>
      <c r="K813" s="503" t="s">
        <v>4782</v>
      </c>
      <c r="L813" s="501" t="s">
        <v>3257</v>
      </c>
      <c r="M813" s="504">
        <v>44546</v>
      </c>
      <c r="N813" s="504">
        <v>44682</v>
      </c>
      <c r="O813" s="504"/>
      <c r="P813" s="502"/>
      <c r="Q813" s="502"/>
      <c r="R813" s="502"/>
      <c r="S813" s="501" t="s">
        <v>3450</v>
      </c>
      <c r="T813" s="501">
        <v>60</v>
      </c>
      <c r="U813" s="501"/>
      <c r="V813" s="501" t="s">
        <v>985</v>
      </c>
      <c r="W813" s="501">
        <v>400</v>
      </c>
      <c r="X813" s="505">
        <v>768</v>
      </c>
      <c r="Y813" s="491">
        <f t="shared" si="126"/>
        <v>307200</v>
      </c>
      <c r="Z813" s="478">
        <v>0.46500000000000002</v>
      </c>
      <c r="AA813" s="492">
        <f t="shared" si="124"/>
        <v>142848</v>
      </c>
      <c r="AB813" s="480"/>
      <c r="AC813" s="481">
        <f t="shared" si="127"/>
        <v>0</v>
      </c>
      <c r="AD813" s="490"/>
      <c r="AE813" s="482"/>
      <c r="AF813" s="493">
        <f t="shared" si="128"/>
        <v>142848</v>
      </c>
      <c r="AG813" s="474" t="s">
        <v>1071</v>
      </c>
      <c r="AH813" s="474"/>
      <c r="AI813" s="483">
        <v>60</v>
      </c>
      <c r="AJ813" s="474" t="s">
        <v>2621</v>
      </c>
      <c r="AK813" s="494" t="s">
        <v>1144</v>
      </c>
      <c r="AL813" s="474">
        <v>78218</v>
      </c>
      <c r="AM813" s="474" t="s">
        <v>52</v>
      </c>
      <c r="AN813" s="474" t="s">
        <v>50</v>
      </c>
      <c r="AO813" s="474"/>
      <c r="AP813" s="486" t="s">
        <v>38</v>
      </c>
      <c r="AQ813" s="486" t="s">
        <v>37</v>
      </c>
      <c r="AR813" s="486" t="s">
        <v>1248</v>
      </c>
      <c r="AS813" s="495"/>
      <c r="AT813" s="495"/>
      <c r="AU813" s="495"/>
      <c r="AV813" s="478">
        <v>0.46500000000000002</v>
      </c>
    </row>
    <row r="814" spans="1:48" s="471" customFormat="1" ht="15" customHeight="1">
      <c r="A814" s="472"/>
      <c r="B814" s="514">
        <v>44911</v>
      </c>
      <c r="C814" s="514"/>
      <c r="D814" s="512" t="s">
        <v>3186</v>
      </c>
      <c r="E814" s="474" t="s">
        <v>3215</v>
      </c>
      <c r="F814" s="501"/>
      <c r="G814" s="501"/>
      <c r="H814" s="501"/>
      <c r="I814" s="496" t="s">
        <v>1676</v>
      </c>
      <c r="J814" s="502"/>
      <c r="K814" s="503" t="s">
        <v>4783</v>
      </c>
      <c r="L814" s="501" t="s">
        <v>3257</v>
      </c>
      <c r="M814" s="504">
        <v>44546</v>
      </c>
      <c r="N814" s="504">
        <v>44713</v>
      </c>
      <c r="O814" s="504"/>
      <c r="P814" s="502"/>
      <c r="Q814" s="502"/>
      <c r="R814" s="502"/>
      <c r="S814" s="501" t="s">
        <v>3450</v>
      </c>
      <c r="T814" s="501">
        <v>60</v>
      </c>
      <c r="U814" s="501"/>
      <c r="V814" s="501" t="s">
        <v>985</v>
      </c>
      <c r="W814" s="501">
        <v>400</v>
      </c>
      <c r="X814" s="505">
        <v>768</v>
      </c>
      <c r="Y814" s="491">
        <f t="shared" si="126"/>
        <v>307200</v>
      </c>
      <c r="Z814" s="478">
        <v>0.46500000000000002</v>
      </c>
      <c r="AA814" s="492">
        <f t="shared" si="124"/>
        <v>142848</v>
      </c>
      <c r="AB814" s="480"/>
      <c r="AC814" s="481">
        <f t="shared" si="127"/>
        <v>0</v>
      </c>
      <c r="AD814" s="490"/>
      <c r="AE814" s="482"/>
      <c r="AF814" s="493">
        <f t="shared" si="128"/>
        <v>142848</v>
      </c>
      <c r="AG814" s="474" t="s">
        <v>1071</v>
      </c>
      <c r="AH814" s="474"/>
      <c r="AI814" s="483">
        <v>60</v>
      </c>
      <c r="AJ814" s="474" t="s">
        <v>2621</v>
      </c>
      <c r="AK814" s="494" t="s">
        <v>1144</v>
      </c>
      <c r="AL814" s="474">
        <v>78218</v>
      </c>
      <c r="AM814" s="474" t="s">
        <v>52</v>
      </c>
      <c r="AN814" s="474" t="s">
        <v>50</v>
      </c>
      <c r="AO814" s="474"/>
      <c r="AP814" s="486" t="s">
        <v>38</v>
      </c>
      <c r="AQ814" s="486" t="s">
        <v>37</v>
      </c>
      <c r="AR814" s="486" t="s">
        <v>1248</v>
      </c>
      <c r="AS814" s="495"/>
      <c r="AT814" s="495"/>
      <c r="AU814" s="495"/>
      <c r="AV814" s="478">
        <v>0.46500000000000002</v>
      </c>
    </row>
    <row r="815" spans="1:48" s="471" customFormat="1" ht="15" customHeight="1">
      <c r="A815" s="472"/>
      <c r="B815" s="514">
        <v>44911</v>
      </c>
      <c r="C815" s="514"/>
      <c r="D815" s="512" t="s">
        <v>3186</v>
      </c>
      <c r="E815" s="474" t="s">
        <v>3215</v>
      </c>
      <c r="F815" s="501"/>
      <c r="G815" s="501"/>
      <c r="H815" s="501"/>
      <c r="I815" s="496" t="s">
        <v>1676</v>
      </c>
      <c r="J815" s="502"/>
      <c r="K815" s="503" t="s">
        <v>4784</v>
      </c>
      <c r="L815" s="501" t="s">
        <v>3257</v>
      </c>
      <c r="M815" s="504">
        <v>44546</v>
      </c>
      <c r="N815" s="504">
        <v>44713</v>
      </c>
      <c r="O815" s="504"/>
      <c r="P815" s="502"/>
      <c r="Q815" s="502"/>
      <c r="R815" s="502"/>
      <c r="S815" s="501" t="s">
        <v>3450</v>
      </c>
      <c r="T815" s="501">
        <v>60</v>
      </c>
      <c r="U815" s="501"/>
      <c r="V815" s="501" t="s">
        <v>985</v>
      </c>
      <c r="W815" s="501">
        <v>400</v>
      </c>
      <c r="X815" s="505">
        <v>768</v>
      </c>
      <c r="Y815" s="491">
        <f t="shared" si="126"/>
        <v>307200</v>
      </c>
      <c r="Z815" s="478">
        <v>0.46500000000000002</v>
      </c>
      <c r="AA815" s="492">
        <f t="shared" si="124"/>
        <v>142848</v>
      </c>
      <c r="AB815" s="480"/>
      <c r="AC815" s="481">
        <f t="shared" si="127"/>
        <v>0</v>
      </c>
      <c r="AD815" s="490"/>
      <c r="AE815" s="482"/>
      <c r="AF815" s="493">
        <f t="shared" si="128"/>
        <v>142848</v>
      </c>
      <c r="AG815" s="474" t="s">
        <v>1071</v>
      </c>
      <c r="AH815" s="474"/>
      <c r="AI815" s="483">
        <v>60</v>
      </c>
      <c r="AJ815" s="474" t="s">
        <v>2621</v>
      </c>
      <c r="AK815" s="494" t="s">
        <v>1144</v>
      </c>
      <c r="AL815" s="474">
        <v>78218</v>
      </c>
      <c r="AM815" s="474" t="s">
        <v>52</v>
      </c>
      <c r="AN815" s="474" t="s">
        <v>50</v>
      </c>
      <c r="AO815" s="474"/>
      <c r="AP815" s="486" t="s">
        <v>38</v>
      </c>
      <c r="AQ815" s="486" t="s">
        <v>37</v>
      </c>
      <c r="AR815" s="486" t="s">
        <v>1248</v>
      </c>
      <c r="AS815" s="495"/>
      <c r="AT815" s="495"/>
      <c r="AU815" s="495"/>
      <c r="AV815" s="478">
        <v>0.46500000000000002</v>
      </c>
    </row>
    <row r="816" spans="1:48" s="471" customFormat="1" ht="15" customHeight="1">
      <c r="A816" s="472"/>
      <c r="B816" s="514">
        <v>44911</v>
      </c>
      <c r="C816" s="514"/>
      <c r="D816" s="512" t="s">
        <v>3186</v>
      </c>
      <c r="E816" s="474" t="s">
        <v>3215</v>
      </c>
      <c r="F816" s="501"/>
      <c r="G816" s="501"/>
      <c r="H816" s="501"/>
      <c r="I816" s="496" t="s">
        <v>1676</v>
      </c>
      <c r="J816" s="502"/>
      <c r="K816" s="503" t="s">
        <v>4785</v>
      </c>
      <c r="L816" s="501" t="s">
        <v>3257</v>
      </c>
      <c r="M816" s="504">
        <v>44546</v>
      </c>
      <c r="N816" s="504">
        <v>44713</v>
      </c>
      <c r="O816" s="504"/>
      <c r="P816" s="502"/>
      <c r="Q816" s="502"/>
      <c r="R816" s="502"/>
      <c r="S816" s="501" t="s">
        <v>3450</v>
      </c>
      <c r="T816" s="501">
        <v>60</v>
      </c>
      <c r="U816" s="501"/>
      <c r="V816" s="501" t="s">
        <v>985</v>
      </c>
      <c r="W816" s="501">
        <v>400</v>
      </c>
      <c r="X816" s="505">
        <v>768</v>
      </c>
      <c r="Y816" s="491">
        <f t="shared" si="126"/>
        <v>307200</v>
      </c>
      <c r="Z816" s="478">
        <v>0.46500000000000002</v>
      </c>
      <c r="AA816" s="492">
        <f t="shared" si="124"/>
        <v>142848</v>
      </c>
      <c r="AB816" s="480"/>
      <c r="AC816" s="481">
        <f t="shared" si="127"/>
        <v>0</v>
      </c>
      <c r="AD816" s="490"/>
      <c r="AE816" s="482"/>
      <c r="AF816" s="493">
        <f t="shared" si="128"/>
        <v>142848</v>
      </c>
      <c r="AG816" s="474" t="s">
        <v>1071</v>
      </c>
      <c r="AH816" s="474"/>
      <c r="AI816" s="483">
        <v>60</v>
      </c>
      <c r="AJ816" s="474" t="s">
        <v>2621</v>
      </c>
      <c r="AK816" s="494" t="s">
        <v>1144</v>
      </c>
      <c r="AL816" s="474">
        <v>78218</v>
      </c>
      <c r="AM816" s="474" t="s">
        <v>52</v>
      </c>
      <c r="AN816" s="474" t="s">
        <v>50</v>
      </c>
      <c r="AO816" s="474"/>
      <c r="AP816" s="486" t="s">
        <v>38</v>
      </c>
      <c r="AQ816" s="486" t="s">
        <v>37</v>
      </c>
      <c r="AR816" s="486" t="s">
        <v>1248</v>
      </c>
      <c r="AS816" s="495"/>
      <c r="AT816" s="495"/>
      <c r="AU816" s="495"/>
      <c r="AV816" s="478">
        <v>0.46500000000000002</v>
      </c>
    </row>
    <row r="817" spans="1:48" s="471" customFormat="1" ht="15" customHeight="1">
      <c r="A817" s="472"/>
      <c r="B817" s="514"/>
      <c r="C817" s="514"/>
      <c r="D817" s="512" t="s">
        <v>3186</v>
      </c>
      <c r="E817" s="474" t="s">
        <v>3215</v>
      </c>
      <c r="F817" s="501"/>
      <c r="G817" s="501"/>
      <c r="H817" s="501"/>
      <c r="I817" s="496" t="s">
        <v>1676</v>
      </c>
      <c r="J817" s="502"/>
      <c r="K817" s="503" t="s">
        <v>4786</v>
      </c>
      <c r="L817" s="501" t="s">
        <v>3257</v>
      </c>
      <c r="M817" s="504">
        <v>44547</v>
      </c>
      <c r="N817" s="504">
        <v>44547</v>
      </c>
      <c r="O817" s="504"/>
      <c r="P817" s="502"/>
      <c r="Q817" s="502"/>
      <c r="R817" s="502"/>
      <c r="S817" s="501" t="s">
        <v>3450</v>
      </c>
      <c r="T817" s="501">
        <v>60</v>
      </c>
      <c r="U817" s="501"/>
      <c r="V817" s="501" t="s">
        <v>985</v>
      </c>
      <c r="W817" s="501">
        <v>400</v>
      </c>
      <c r="X817" s="505">
        <v>768</v>
      </c>
      <c r="Y817" s="491">
        <f t="shared" si="126"/>
        <v>307200</v>
      </c>
      <c r="Z817" s="478">
        <v>0.46500000000000002</v>
      </c>
      <c r="AA817" s="492">
        <f t="shared" si="124"/>
        <v>142848</v>
      </c>
      <c r="AB817" s="480"/>
      <c r="AC817" s="481">
        <f t="shared" si="127"/>
        <v>0</v>
      </c>
      <c r="AD817" s="490"/>
      <c r="AE817" s="482"/>
      <c r="AF817" s="493">
        <f t="shared" si="128"/>
        <v>142848</v>
      </c>
      <c r="AG817" s="474" t="s">
        <v>1071</v>
      </c>
      <c r="AH817" s="474"/>
      <c r="AI817" s="483">
        <v>60</v>
      </c>
      <c r="AJ817" s="474" t="s">
        <v>3258</v>
      </c>
      <c r="AK817" s="494" t="s">
        <v>1144</v>
      </c>
      <c r="AL817" s="474">
        <v>77494</v>
      </c>
      <c r="AM817" s="474" t="s">
        <v>52</v>
      </c>
      <c r="AN817" s="474"/>
      <c r="AO817" s="474"/>
      <c r="AP817" s="486" t="s">
        <v>38</v>
      </c>
      <c r="AQ817" s="486" t="s">
        <v>37</v>
      </c>
      <c r="AR817" s="486" t="s">
        <v>1248</v>
      </c>
      <c r="AS817" s="495"/>
      <c r="AT817" s="495"/>
      <c r="AU817" s="495"/>
      <c r="AV817" s="478">
        <v>0.46500000000000002</v>
      </c>
    </row>
    <row r="818" spans="1:48" s="471" customFormat="1" ht="15" customHeight="1">
      <c r="A818" s="472"/>
      <c r="B818" s="514"/>
      <c r="C818" s="514"/>
      <c r="D818" s="512" t="s">
        <v>3186</v>
      </c>
      <c r="E818" s="474" t="s">
        <v>3215</v>
      </c>
      <c r="F818" s="501"/>
      <c r="G818" s="501"/>
      <c r="H818" s="501"/>
      <c r="I818" s="496" t="s">
        <v>1676</v>
      </c>
      <c r="J818" s="502"/>
      <c r="K818" s="503" t="s">
        <v>4787</v>
      </c>
      <c r="L818" s="501" t="s">
        <v>3257</v>
      </c>
      <c r="M818" s="504">
        <v>44547</v>
      </c>
      <c r="N818" s="504">
        <v>44547</v>
      </c>
      <c r="O818" s="504"/>
      <c r="P818" s="502"/>
      <c r="Q818" s="502"/>
      <c r="R818" s="502"/>
      <c r="S818" s="501" t="s">
        <v>3450</v>
      </c>
      <c r="T818" s="501">
        <v>60</v>
      </c>
      <c r="U818" s="501"/>
      <c r="V818" s="501" t="s">
        <v>985</v>
      </c>
      <c r="W818" s="501">
        <v>400</v>
      </c>
      <c r="X818" s="505">
        <v>768</v>
      </c>
      <c r="Y818" s="491">
        <f t="shared" si="126"/>
        <v>307200</v>
      </c>
      <c r="Z818" s="478">
        <v>0.46500000000000002</v>
      </c>
      <c r="AA818" s="492">
        <f t="shared" si="124"/>
        <v>142848</v>
      </c>
      <c r="AB818" s="480"/>
      <c r="AC818" s="481">
        <f t="shared" si="127"/>
        <v>0</v>
      </c>
      <c r="AD818" s="490"/>
      <c r="AE818" s="482"/>
      <c r="AF818" s="493">
        <f t="shared" si="128"/>
        <v>142848</v>
      </c>
      <c r="AG818" s="474" t="s">
        <v>1071</v>
      </c>
      <c r="AH818" s="474"/>
      <c r="AI818" s="483">
        <v>60</v>
      </c>
      <c r="AJ818" s="474" t="s">
        <v>3258</v>
      </c>
      <c r="AK818" s="494" t="s">
        <v>1144</v>
      </c>
      <c r="AL818" s="474">
        <v>77494</v>
      </c>
      <c r="AM818" s="474" t="s">
        <v>52</v>
      </c>
      <c r="AN818" s="474"/>
      <c r="AO818" s="474"/>
      <c r="AP818" s="486" t="s">
        <v>38</v>
      </c>
      <c r="AQ818" s="486" t="s">
        <v>37</v>
      </c>
      <c r="AR818" s="486" t="s">
        <v>1248</v>
      </c>
      <c r="AS818" s="495"/>
      <c r="AT818" s="495"/>
      <c r="AU818" s="495"/>
      <c r="AV818" s="478">
        <v>0.46500000000000002</v>
      </c>
    </row>
    <row r="819" spans="1:48" s="471" customFormat="1" ht="15" customHeight="1">
      <c r="A819" s="472"/>
      <c r="B819" s="514"/>
      <c r="C819" s="514"/>
      <c r="D819" s="512" t="s">
        <v>3186</v>
      </c>
      <c r="E819" s="474" t="s">
        <v>3215</v>
      </c>
      <c r="F819" s="501"/>
      <c r="G819" s="501"/>
      <c r="H819" s="501"/>
      <c r="I819" s="496" t="s">
        <v>1676</v>
      </c>
      <c r="J819" s="502"/>
      <c r="K819" s="503" t="s">
        <v>4788</v>
      </c>
      <c r="L819" s="501" t="s">
        <v>3257</v>
      </c>
      <c r="M819" s="504">
        <v>44547</v>
      </c>
      <c r="N819" s="504">
        <v>44547</v>
      </c>
      <c r="O819" s="504"/>
      <c r="P819" s="502"/>
      <c r="Q819" s="502"/>
      <c r="R819" s="502"/>
      <c r="S819" s="501" t="s">
        <v>3450</v>
      </c>
      <c r="T819" s="501">
        <v>60</v>
      </c>
      <c r="U819" s="501"/>
      <c r="V819" s="501" t="s">
        <v>985</v>
      </c>
      <c r="W819" s="501">
        <v>400</v>
      </c>
      <c r="X819" s="505">
        <v>768</v>
      </c>
      <c r="Y819" s="491">
        <f t="shared" si="126"/>
        <v>307200</v>
      </c>
      <c r="Z819" s="478">
        <v>0.46500000000000002</v>
      </c>
      <c r="AA819" s="492">
        <f t="shared" si="124"/>
        <v>142848</v>
      </c>
      <c r="AB819" s="480"/>
      <c r="AC819" s="481">
        <f t="shared" si="127"/>
        <v>0</v>
      </c>
      <c r="AD819" s="490"/>
      <c r="AE819" s="482"/>
      <c r="AF819" s="493">
        <f t="shared" si="128"/>
        <v>142848</v>
      </c>
      <c r="AG819" s="474" t="s">
        <v>1071</v>
      </c>
      <c r="AH819" s="474"/>
      <c r="AI819" s="483">
        <v>60</v>
      </c>
      <c r="AJ819" s="474" t="s">
        <v>3258</v>
      </c>
      <c r="AK819" s="494" t="s">
        <v>1144</v>
      </c>
      <c r="AL819" s="474">
        <v>77494</v>
      </c>
      <c r="AM819" s="474" t="s">
        <v>52</v>
      </c>
      <c r="AN819" s="474"/>
      <c r="AO819" s="474"/>
      <c r="AP819" s="486" t="s">
        <v>38</v>
      </c>
      <c r="AQ819" s="486" t="s">
        <v>37</v>
      </c>
      <c r="AR819" s="486" t="s">
        <v>1248</v>
      </c>
      <c r="AS819" s="495"/>
      <c r="AT819" s="495"/>
      <c r="AU819" s="495"/>
      <c r="AV819" s="478">
        <v>0.46500000000000002</v>
      </c>
    </row>
    <row r="820" spans="1:48" s="471" customFormat="1" ht="15" customHeight="1">
      <c r="A820" s="472"/>
      <c r="B820" s="514">
        <v>44606</v>
      </c>
      <c r="C820" s="514"/>
      <c r="D820" s="512" t="s">
        <v>3186</v>
      </c>
      <c r="E820" s="501" t="s">
        <v>3044</v>
      </c>
      <c r="F820" s="501"/>
      <c r="G820" s="501"/>
      <c r="H820" s="501"/>
      <c r="I820" s="496" t="s">
        <v>1676</v>
      </c>
      <c r="J820" s="502"/>
      <c r="K820" s="503" t="s">
        <v>4789</v>
      </c>
      <c r="L820" s="501" t="s">
        <v>3257</v>
      </c>
      <c r="M820" s="504">
        <v>44603</v>
      </c>
      <c r="N820" s="504">
        <v>44743</v>
      </c>
      <c r="O820" s="504"/>
      <c r="P820" s="502"/>
      <c r="Q820" s="502"/>
      <c r="R820" s="502"/>
      <c r="S820" s="501" t="s">
        <v>3450</v>
      </c>
      <c r="T820" s="501">
        <v>60</v>
      </c>
      <c r="U820" s="501"/>
      <c r="V820" s="501" t="s">
        <v>973</v>
      </c>
      <c r="W820" s="501">
        <v>400</v>
      </c>
      <c r="X820" s="505">
        <v>9216</v>
      </c>
      <c r="Y820" s="491">
        <f t="shared" si="126"/>
        <v>3686400</v>
      </c>
      <c r="Z820" s="478">
        <v>0.55000000000000004</v>
      </c>
      <c r="AA820" s="492">
        <f t="shared" si="124"/>
        <v>2027520.0000000002</v>
      </c>
      <c r="AB820" s="480"/>
      <c r="AC820" s="481">
        <f t="shared" si="127"/>
        <v>0</v>
      </c>
      <c r="AD820" s="490"/>
      <c r="AE820" s="482"/>
      <c r="AF820" s="493">
        <f t="shared" si="128"/>
        <v>2027520.0000000002</v>
      </c>
      <c r="AG820" s="474" t="s">
        <v>1071</v>
      </c>
      <c r="AH820" s="474"/>
      <c r="AI820" s="483">
        <v>60</v>
      </c>
      <c r="AJ820" s="474" t="s">
        <v>3258</v>
      </c>
      <c r="AK820" s="494" t="s">
        <v>1144</v>
      </c>
      <c r="AL820" s="474">
        <v>77494</v>
      </c>
      <c r="AM820" s="474" t="s">
        <v>52</v>
      </c>
      <c r="AN820" s="474"/>
      <c r="AO820" s="474"/>
      <c r="AP820" s="486"/>
      <c r="AQ820" s="486" t="s">
        <v>37</v>
      </c>
      <c r="AR820" s="486"/>
      <c r="AS820" s="495"/>
      <c r="AT820" s="495"/>
      <c r="AU820" s="495"/>
      <c r="AV820" s="478">
        <v>0.46500000000000002</v>
      </c>
    </row>
    <row r="821" spans="1:48" s="471" customFormat="1" ht="15" customHeight="1">
      <c r="A821" s="472"/>
      <c r="B821" s="514">
        <v>44606</v>
      </c>
      <c r="C821" s="514"/>
      <c r="D821" s="512" t="s">
        <v>3186</v>
      </c>
      <c r="E821" s="501" t="s">
        <v>3044</v>
      </c>
      <c r="F821" s="501"/>
      <c r="G821" s="501"/>
      <c r="H821" s="501"/>
      <c r="I821" s="496" t="s">
        <v>1676</v>
      </c>
      <c r="J821" s="502"/>
      <c r="K821" s="503" t="s">
        <v>4790</v>
      </c>
      <c r="L821" s="501" t="s">
        <v>3257</v>
      </c>
      <c r="M821" s="504">
        <v>44603</v>
      </c>
      <c r="N821" s="504">
        <v>44774</v>
      </c>
      <c r="O821" s="504"/>
      <c r="P821" s="502"/>
      <c r="Q821" s="502"/>
      <c r="R821" s="502"/>
      <c r="S821" s="501" t="s">
        <v>3450</v>
      </c>
      <c r="T821" s="501">
        <v>60</v>
      </c>
      <c r="U821" s="501"/>
      <c r="V821" s="501" t="s">
        <v>973</v>
      </c>
      <c r="W821" s="501">
        <v>400</v>
      </c>
      <c r="X821" s="505">
        <v>9216</v>
      </c>
      <c r="Y821" s="491">
        <f t="shared" si="126"/>
        <v>3686400</v>
      </c>
      <c r="Z821" s="478">
        <v>0.55000000000000004</v>
      </c>
      <c r="AA821" s="492">
        <f t="shared" si="124"/>
        <v>2027520.0000000002</v>
      </c>
      <c r="AB821" s="480"/>
      <c r="AC821" s="481">
        <f t="shared" si="127"/>
        <v>0</v>
      </c>
      <c r="AD821" s="490"/>
      <c r="AE821" s="482"/>
      <c r="AF821" s="493">
        <f t="shared" si="128"/>
        <v>2027520.0000000002</v>
      </c>
      <c r="AG821" s="474" t="s">
        <v>1071</v>
      </c>
      <c r="AH821" s="474"/>
      <c r="AI821" s="483">
        <v>60</v>
      </c>
      <c r="AJ821" s="474" t="s">
        <v>3258</v>
      </c>
      <c r="AK821" s="494" t="s">
        <v>1144</v>
      </c>
      <c r="AL821" s="474">
        <v>77494</v>
      </c>
      <c r="AM821" s="474" t="s">
        <v>52</v>
      </c>
      <c r="AN821" s="474"/>
      <c r="AO821" s="474"/>
      <c r="AP821" s="486"/>
      <c r="AQ821" s="486" t="s">
        <v>37</v>
      </c>
      <c r="AR821" s="486"/>
      <c r="AS821" s="495"/>
      <c r="AT821" s="495"/>
      <c r="AU821" s="495"/>
      <c r="AV821" s="478">
        <v>0.46500000000000002</v>
      </c>
    </row>
    <row r="822" spans="1:48" s="471" customFormat="1" ht="15" customHeight="1">
      <c r="A822" s="472"/>
      <c r="B822" s="514">
        <v>44606</v>
      </c>
      <c r="C822" s="514"/>
      <c r="D822" s="512" t="s">
        <v>3186</v>
      </c>
      <c r="E822" s="501" t="s">
        <v>3044</v>
      </c>
      <c r="F822" s="501"/>
      <c r="G822" s="501"/>
      <c r="H822" s="501"/>
      <c r="I822" s="496" t="s">
        <v>1676</v>
      </c>
      <c r="J822" s="502"/>
      <c r="K822" s="503" t="s">
        <v>4791</v>
      </c>
      <c r="L822" s="501" t="s">
        <v>3257</v>
      </c>
      <c r="M822" s="504">
        <v>44603</v>
      </c>
      <c r="N822" s="504">
        <v>44805</v>
      </c>
      <c r="O822" s="504"/>
      <c r="P822" s="502"/>
      <c r="Q822" s="502"/>
      <c r="R822" s="502"/>
      <c r="S822" s="501" t="s">
        <v>3450</v>
      </c>
      <c r="T822" s="501">
        <v>60</v>
      </c>
      <c r="U822" s="501"/>
      <c r="V822" s="501" t="s">
        <v>973</v>
      </c>
      <c r="W822" s="501">
        <v>400</v>
      </c>
      <c r="X822" s="505">
        <v>9216</v>
      </c>
      <c r="Y822" s="491">
        <f t="shared" si="126"/>
        <v>3686400</v>
      </c>
      <c r="Z822" s="478">
        <v>0.55000000000000004</v>
      </c>
      <c r="AA822" s="492">
        <f t="shared" si="124"/>
        <v>2027520.0000000002</v>
      </c>
      <c r="AB822" s="480"/>
      <c r="AC822" s="481">
        <f t="shared" si="127"/>
        <v>0</v>
      </c>
      <c r="AD822" s="490"/>
      <c r="AE822" s="482"/>
      <c r="AF822" s="493">
        <f t="shared" si="128"/>
        <v>2027520.0000000002</v>
      </c>
      <c r="AG822" s="474" t="s">
        <v>1071</v>
      </c>
      <c r="AH822" s="474"/>
      <c r="AI822" s="483">
        <v>60</v>
      </c>
      <c r="AJ822" s="474" t="s">
        <v>3258</v>
      </c>
      <c r="AK822" s="494" t="s">
        <v>1144</v>
      </c>
      <c r="AL822" s="474">
        <v>77494</v>
      </c>
      <c r="AM822" s="474" t="s">
        <v>52</v>
      </c>
      <c r="AN822" s="474"/>
      <c r="AO822" s="474"/>
      <c r="AP822" s="486"/>
      <c r="AQ822" s="486" t="s">
        <v>37</v>
      </c>
      <c r="AR822" s="486"/>
      <c r="AS822" s="495"/>
      <c r="AT822" s="495"/>
      <c r="AU822" s="495"/>
      <c r="AV822" s="478">
        <v>0.46500000000000002</v>
      </c>
    </row>
    <row r="823" spans="1:48" s="471" customFormat="1" ht="15" customHeight="1">
      <c r="A823" s="472"/>
      <c r="B823" s="514">
        <v>44606</v>
      </c>
      <c r="C823" s="514"/>
      <c r="D823" s="512" t="s">
        <v>3186</v>
      </c>
      <c r="E823" s="501" t="s">
        <v>3044</v>
      </c>
      <c r="F823" s="501"/>
      <c r="G823" s="501"/>
      <c r="H823" s="501"/>
      <c r="I823" s="496" t="s">
        <v>1676</v>
      </c>
      <c r="J823" s="502"/>
      <c r="K823" s="503" t="s">
        <v>4792</v>
      </c>
      <c r="L823" s="501" t="s">
        <v>3257</v>
      </c>
      <c r="M823" s="504">
        <v>44603</v>
      </c>
      <c r="N823" s="504">
        <v>44835</v>
      </c>
      <c r="O823" s="504"/>
      <c r="P823" s="502"/>
      <c r="Q823" s="502"/>
      <c r="R823" s="502"/>
      <c r="S823" s="501" t="s">
        <v>3450</v>
      </c>
      <c r="T823" s="501">
        <v>60</v>
      </c>
      <c r="U823" s="501"/>
      <c r="V823" s="501" t="s">
        <v>973</v>
      </c>
      <c r="W823" s="501">
        <v>400</v>
      </c>
      <c r="X823" s="505">
        <v>9216</v>
      </c>
      <c r="Y823" s="491">
        <f t="shared" si="126"/>
        <v>3686400</v>
      </c>
      <c r="Z823" s="478">
        <v>0.55000000000000004</v>
      </c>
      <c r="AA823" s="492">
        <f t="shared" si="124"/>
        <v>2027520.0000000002</v>
      </c>
      <c r="AB823" s="480"/>
      <c r="AC823" s="481">
        <f t="shared" si="127"/>
        <v>0</v>
      </c>
      <c r="AD823" s="490"/>
      <c r="AE823" s="482"/>
      <c r="AF823" s="493">
        <f t="shared" si="128"/>
        <v>2027520.0000000002</v>
      </c>
      <c r="AG823" s="474" t="s">
        <v>1071</v>
      </c>
      <c r="AH823" s="474"/>
      <c r="AI823" s="483">
        <v>60</v>
      </c>
      <c r="AJ823" s="474" t="s">
        <v>3258</v>
      </c>
      <c r="AK823" s="494" t="s">
        <v>1144</v>
      </c>
      <c r="AL823" s="474">
        <v>77494</v>
      </c>
      <c r="AM823" s="474" t="s">
        <v>52</v>
      </c>
      <c r="AN823" s="474"/>
      <c r="AO823" s="474"/>
      <c r="AP823" s="486"/>
      <c r="AQ823" s="486" t="s">
        <v>37</v>
      </c>
      <c r="AR823" s="486"/>
      <c r="AS823" s="495"/>
      <c r="AT823" s="495"/>
      <c r="AU823" s="495"/>
      <c r="AV823" s="478">
        <v>0.46500000000000002</v>
      </c>
    </row>
    <row r="824" spans="1:48" s="471" customFormat="1" ht="15" customHeight="1">
      <c r="A824" s="472"/>
      <c r="B824" s="514">
        <v>44606</v>
      </c>
      <c r="C824" s="514"/>
      <c r="D824" s="512" t="s">
        <v>3186</v>
      </c>
      <c r="E824" s="501" t="s">
        <v>3044</v>
      </c>
      <c r="F824" s="501"/>
      <c r="G824" s="501"/>
      <c r="H824" s="501"/>
      <c r="I824" s="496" t="s">
        <v>1676</v>
      </c>
      <c r="J824" s="502"/>
      <c r="K824" s="503" t="s">
        <v>4793</v>
      </c>
      <c r="L824" s="501" t="s">
        <v>3257</v>
      </c>
      <c r="M824" s="504">
        <v>44603</v>
      </c>
      <c r="N824" s="504">
        <v>44866</v>
      </c>
      <c r="O824" s="504"/>
      <c r="P824" s="502"/>
      <c r="Q824" s="502"/>
      <c r="R824" s="502"/>
      <c r="S824" s="501" t="s">
        <v>3450</v>
      </c>
      <c r="T824" s="501">
        <v>60</v>
      </c>
      <c r="U824" s="501"/>
      <c r="V824" s="501" t="s">
        <v>973</v>
      </c>
      <c r="W824" s="501">
        <v>400</v>
      </c>
      <c r="X824" s="505">
        <v>9216</v>
      </c>
      <c r="Y824" s="491">
        <f t="shared" si="126"/>
        <v>3686400</v>
      </c>
      <c r="Z824" s="478">
        <v>0.55000000000000004</v>
      </c>
      <c r="AA824" s="492">
        <f t="shared" si="124"/>
        <v>2027520.0000000002</v>
      </c>
      <c r="AB824" s="480"/>
      <c r="AC824" s="481">
        <f t="shared" si="127"/>
        <v>0</v>
      </c>
      <c r="AD824" s="490"/>
      <c r="AE824" s="482"/>
      <c r="AF824" s="493">
        <f t="shared" si="128"/>
        <v>2027520.0000000002</v>
      </c>
      <c r="AG824" s="474" t="s">
        <v>1071</v>
      </c>
      <c r="AH824" s="474"/>
      <c r="AI824" s="483">
        <v>60</v>
      </c>
      <c r="AJ824" s="474" t="s">
        <v>3258</v>
      </c>
      <c r="AK824" s="494" t="s">
        <v>1144</v>
      </c>
      <c r="AL824" s="474">
        <v>77494</v>
      </c>
      <c r="AM824" s="474" t="s">
        <v>52</v>
      </c>
      <c r="AN824" s="474"/>
      <c r="AO824" s="474"/>
      <c r="AP824" s="486"/>
      <c r="AQ824" s="486" t="s">
        <v>37</v>
      </c>
      <c r="AR824" s="486"/>
      <c r="AS824" s="495"/>
      <c r="AT824" s="495"/>
      <c r="AU824" s="495"/>
      <c r="AV824" s="478">
        <v>0.46500000000000002</v>
      </c>
    </row>
    <row r="825" spans="1:48" s="471" customFormat="1" ht="15" customHeight="1">
      <c r="A825" s="472"/>
      <c r="B825" s="514">
        <v>44606</v>
      </c>
      <c r="C825" s="514"/>
      <c r="D825" s="512" t="s">
        <v>3186</v>
      </c>
      <c r="E825" s="501" t="s">
        <v>3044</v>
      </c>
      <c r="F825" s="501"/>
      <c r="G825" s="501"/>
      <c r="H825" s="501"/>
      <c r="I825" s="496" t="s">
        <v>1676</v>
      </c>
      <c r="J825" s="502"/>
      <c r="K825" s="503" t="s">
        <v>4794</v>
      </c>
      <c r="L825" s="501" t="s">
        <v>3257</v>
      </c>
      <c r="M825" s="504">
        <v>44603</v>
      </c>
      <c r="N825" s="504">
        <v>44896</v>
      </c>
      <c r="O825" s="504"/>
      <c r="P825" s="502"/>
      <c r="Q825" s="502"/>
      <c r="R825" s="502"/>
      <c r="S825" s="501" t="s">
        <v>3450</v>
      </c>
      <c r="T825" s="501">
        <v>60</v>
      </c>
      <c r="U825" s="501"/>
      <c r="V825" s="501" t="s">
        <v>973</v>
      </c>
      <c r="W825" s="501">
        <v>400</v>
      </c>
      <c r="X825" s="505">
        <v>9216</v>
      </c>
      <c r="Y825" s="491">
        <f t="shared" si="126"/>
        <v>3686400</v>
      </c>
      <c r="Z825" s="478">
        <v>0.55000000000000004</v>
      </c>
      <c r="AA825" s="492">
        <f t="shared" si="124"/>
        <v>2027520.0000000002</v>
      </c>
      <c r="AB825" s="480"/>
      <c r="AC825" s="481">
        <f t="shared" si="127"/>
        <v>0</v>
      </c>
      <c r="AD825" s="490"/>
      <c r="AE825" s="482"/>
      <c r="AF825" s="493">
        <f t="shared" si="128"/>
        <v>2027520.0000000002</v>
      </c>
      <c r="AG825" s="474" t="s">
        <v>1071</v>
      </c>
      <c r="AH825" s="474"/>
      <c r="AI825" s="483">
        <v>60</v>
      </c>
      <c r="AJ825" s="474" t="s">
        <v>3258</v>
      </c>
      <c r="AK825" s="494" t="s">
        <v>1144</v>
      </c>
      <c r="AL825" s="474">
        <v>77494</v>
      </c>
      <c r="AM825" s="474" t="s">
        <v>52</v>
      </c>
      <c r="AN825" s="474"/>
      <c r="AO825" s="474"/>
      <c r="AP825" s="486"/>
      <c r="AQ825" s="486" t="s">
        <v>37</v>
      </c>
      <c r="AR825" s="486"/>
      <c r="AS825" s="495"/>
      <c r="AT825" s="495"/>
      <c r="AU825" s="495"/>
      <c r="AV825" s="478">
        <v>0.46500000000000002</v>
      </c>
    </row>
    <row r="826" spans="1:48" s="471" customFormat="1" ht="15" customHeight="1">
      <c r="A826" s="472"/>
      <c r="B826" s="514">
        <v>44635</v>
      </c>
      <c r="C826" s="514"/>
      <c r="D826" s="512" t="s">
        <v>3186</v>
      </c>
      <c r="E826" s="501" t="s">
        <v>3356</v>
      </c>
      <c r="F826" s="501"/>
      <c r="G826" s="501">
        <v>2022</v>
      </c>
      <c r="H826" s="501"/>
      <c r="I826" s="496" t="s">
        <v>1676</v>
      </c>
      <c r="J826" s="502"/>
      <c r="K826" s="503" t="s">
        <v>4795</v>
      </c>
      <c r="L826" s="501" t="s">
        <v>3257</v>
      </c>
      <c r="M826" s="504">
        <v>44635</v>
      </c>
      <c r="N826" s="504">
        <v>44743</v>
      </c>
      <c r="O826" s="504"/>
      <c r="P826" s="502"/>
      <c r="Q826" s="502"/>
      <c r="R826" s="502"/>
      <c r="S826" s="501" t="s">
        <v>3450</v>
      </c>
      <c r="T826" s="501">
        <v>60</v>
      </c>
      <c r="U826" s="501"/>
      <c r="V826" s="501" t="s">
        <v>973</v>
      </c>
      <c r="W826" s="501">
        <v>400</v>
      </c>
      <c r="X826" s="505">
        <v>768</v>
      </c>
      <c r="Y826" s="491">
        <f t="shared" si="126"/>
        <v>307200</v>
      </c>
      <c r="Z826" s="478">
        <v>0.55000000000000004</v>
      </c>
      <c r="AA826" s="492">
        <f t="shared" si="124"/>
        <v>168960</v>
      </c>
      <c r="AB826" s="480"/>
      <c r="AC826" s="481">
        <f t="shared" si="127"/>
        <v>0</v>
      </c>
      <c r="AD826" s="490"/>
      <c r="AE826" s="482"/>
      <c r="AF826" s="493">
        <f t="shared" si="128"/>
        <v>168960</v>
      </c>
      <c r="AG826" s="474" t="s">
        <v>1071</v>
      </c>
      <c r="AH826" s="474"/>
      <c r="AI826" s="483">
        <v>60</v>
      </c>
      <c r="AJ826" s="474" t="s">
        <v>3258</v>
      </c>
      <c r="AK826" s="494" t="s">
        <v>1144</v>
      </c>
      <c r="AL826" s="474">
        <v>77494</v>
      </c>
      <c r="AM826" s="474" t="s">
        <v>52</v>
      </c>
      <c r="AN826" s="474"/>
      <c r="AO826" s="474"/>
      <c r="AP826" s="486"/>
      <c r="AQ826" s="486" t="s">
        <v>37</v>
      </c>
      <c r="AR826" s="486"/>
      <c r="AS826" s="495"/>
      <c r="AT826" s="495"/>
      <c r="AU826" s="495"/>
      <c r="AV826" s="478">
        <v>0.46500000000000002</v>
      </c>
    </row>
    <row r="827" spans="1:48" s="471" customFormat="1" ht="15" customHeight="1">
      <c r="A827" s="472"/>
      <c r="B827" s="514">
        <v>44635</v>
      </c>
      <c r="C827" s="514"/>
      <c r="D827" s="512" t="s">
        <v>3186</v>
      </c>
      <c r="E827" s="501" t="s">
        <v>3356</v>
      </c>
      <c r="F827" s="501"/>
      <c r="G827" s="501">
        <v>2022</v>
      </c>
      <c r="H827" s="501"/>
      <c r="I827" s="496" t="s">
        <v>1676</v>
      </c>
      <c r="J827" s="502"/>
      <c r="K827" s="503" t="s">
        <v>4796</v>
      </c>
      <c r="L827" s="501" t="s">
        <v>3257</v>
      </c>
      <c r="M827" s="504">
        <v>44635</v>
      </c>
      <c r="N827" s="504">
        <v>44835</v>
      </c>
      <c r="O827" s="504"/>
      <c r="P827" s="502"/>
      <c r="Q827" s="502"/>
      <c r="R827" s="502"/>
      <c r="S827" s="501" t="s">
        <v>3450</v>
      </c>
      <c r="T827" s="501">
        <v>60</v>
      </c>
      <c r="U827" s="501"/>
      <c r="V827" s="501" t="s">
        <v>973</v>
      </c>
      <c r="W827" s="501">
        <v>400</v>
      </c>
      <c r="X827" s="505">
        <v>768</v>
      </c>
      <c r="Y827" s="491">
        <f t="shared" si="126"/>
        <v>307200</v>
      </c>
      <c r="Z827" s="478">
        <v>0.55000000000000004</v>
      </c>
      <c r="AA827" s="492">
        <f t="shared" si="124"/>
        <v>168960</v>
      </c>
      <c r="AB827" s="480"/>
      <c r="AC827" s="481">
        <f t="shared" si="127"/>
        <v>0</v>
      </c>
      <c r="AD827" s="490"/>
      <c r="AE827" s="482"/>
      <c r="AF827" s="493">
        <f t="shared" si="128"/>
        <v>168960</v>
      </c>
      <c r="AG827" s="474" t="s">
        <v>1071</v>
      </c>
      <c r="AH827" s="474"/>
      <c r="AI827" s="483">
        <v>60</v>
      </c>
      <c r="AJ827" s="474" t="s">
        <v>3258</v>
      </c>
      <c r="AK827" s="494" t="s">
        <v>1144</v>
      </c>
      <c r="AL827" s="474">
        <v>77494</v>
      </c>
      <c r="AM827" s="474" t="s">
        <v>52</v>
      </c>
      <c r="AN827" s="474"/>
      <c r="AO827" s="474"/>
      <c r="AP827" s="486"/>
      <c r="AQ827" s="486" t="s">
        <v>37</v>
      </c>
      <c r="AR827" s="486"/>
      <c r="AS827" s="495"/>
      <c r="AT827" s="495"/>
      <c r="AU827" s="495"/>
      <c r="AV827" s="478">
        <v>0.46500000000000002</v>
      </c>
    </row>
    <row r="828" spans="1:48" s="471" customFormat="1" ht="15" customHeight="1">
      <c r="A828" s="472"/>
      <c r="B828" s="514">
        <v>44635</v>
      </c>
      <c r="C828" s="514"/>
      <c r="D828" s="512" t="s">
        <v>3186</v>
      </c>
      <c r="E828" s="501" t="s">
        <v>3356</v>
      </c>
      <c r="F828" s="501"/>
      <c r="G828" s="501">
        <v>2022</v>
      </c>
      <c r="H828" s="501"/>
      <c r="I828" s="496" t="s">
        <v>1676</v>
      </c>
      <c r="J828" s="502"/>
      <c r="K828" s="503" t="s">
        <v>4797</v>
      </c>
      <c r="L828" s="501" t="s">
        <v>3257</v>
      </c>
      <c r="M828" s="504">
        <v>44635</v>
      </c>
      <c r="N828" s="504">
        <v>44866</v>
      </c>
      <c r="O828" s="504"/>
      <c r="P828" s="502"/>
      <c r="Q828" s="502"/>
      <c r="R828" s="502"/>
      <c r="S828" s="501" t="s">
        <v>3450</v>
      </c>
      <c r="T828" s="501">
        <v>60</v>
      </c>
      <c r="U828" s="501"/>
      <c r="V828" s="501" t="s">
        <v>973</v>
      </c>
      <c r="W828" s="501">
        <v>400</v>
      </c>
      <c r="X828" s="505">
        <v>768</v>
      </c>
      <c r="Y828" s="491">
        <f t="shared" si="126"/>
        <v>307200</v>
      </c>
      <c r="Z828" s="478">
        <v>0.55000000000000004</v>
      </c>
      <c r="AA828" s="492">
        <f t="shared" si="124"/>
        <v>168960</v>
      </c>
      <c r="AB828" s="480"/>
      <c r="AC828" s="481">
        <f t="shared" si="127"/>
        <v>0</v>
      </c>
      <c r="AD828" s="490"/>
      <c r="AE828" s="482"/>
      <c r="AF828" s="493">
        <f t="shared" si="128"/>
        <v>168960</v>
      </c>
      <c r="AG828" s="474" t="s">
        <v>1071</v>
      </c>
      <c r="AH828" s="474"/>
      <c r="AI828" s="483">
        <v>60</v>
      </c>
      <c r="AJ828" s="474" t="s">
        <v>3258</v>
      </c>
      <c r="AK828" s="494" t="s">
        <v>1144</v>
      </c>
      <c r="AL828" s="474">
        <v>77494</v>
      </c>
      <c r="AM828" s="474" t="s">
        <v>52</v>
      </c>
      <c r="AN828" s="474"/>
      <c r="AO828" s="474"/>
      <c r="AP828" s="486"/>
      <c r="AQ828" s="486" t="s">
        <v>37</v>
      </c>
      <c r="AR828" s="486"/>
      <c r="AS828" s="495"/>
      <c r="AT828" s="495"/>
      <c r="AU828" s="495"/>
      <c r="AV828" s="478">
        <v>0.46500000000000002</v>
      </c>
    </row>
    <row r="829" spans="1:48" s="471" customFormat="1" ht="15" customHeight="1">
      <c r="A829" s="472"/>
      <c r="B829" s="514">
        <v>44645</v>
      </c>
      <c r="C829" s="514"/>
      <c r="D829" s="512" t="s">
        <v>3186</v>
      </c>
      <c r="E829" s="501" t="s">
        <v>3356</v>
      </c>
      <c r="F829" s="501"/>
      <c r="G829" s="501">
        <v>2022</v>
      </c>
      <c r="H829" s="501"/>
      <c r="I829" s="496" t="s">
        <v>1676</v>
      </c>
      <c r="J829" s="502"/>
      <c r="K829" s="503" t="s">
        <v>4798</v>
      </c>
      <c r="L829" s="501" t="s">
        <v>3257</v>
      </c>
      <c r="M829" s="504">
        <v>44645</v>
      </c>
      <c r="N829" s="504">
        <v>44774</v>
      </c>
      <c r="O829" s="504"/>
      <c r="P829" s="502"/>
      <c r="Q829" s="502"/>
      <c r="R829" s="502"/>
      <c r="S829" s="501" t="s">
        <v>3450</v>
      </c>
      <c r="T829" s="501">
        <v>60</v>
      </c>
      <c r="U829" s="501"/>
      <c r="V829" s="501" t="s">
        <v>973</v>
      </c>
      <c r="W829" s="501">
        <v>400</v>
      </c>
      <c r="X829" s="505">
        <v>768</v>
      </c>
      <c r="Y829" s="491">
        <f t="shared" si="126"/>
        <v>307200</v>
      </c>
      <c r="Z829" s="478">
        <v>0.55000000000000004</v>
      </c>
      <c r="AA829" s="492">
        <f t="shared" si="124"/>
        <v>168960</v>
      </c>
      <c r="AB829" s="480"/>
      <c r="AC829" s="481">
        <f t="shared" si="127"/>
        <v>0</v>
      </c>
      <c r="AD829" s="490"/>
      <c r="AE829" s="482"/>
      <c r="AF829" s="493">
        <f t="shared" si="128"/>
        <v>168960</v>
      </c>
      <c r="AG829" s="474" t="s">
        <v>1071</v>
      </c>
      <c r="AH829" s="474"/>
      <c r="AI829" s="483">
        <v>60</v>
      </c>
      <c r="AJ829" s="474" t="s">
        <v>3258</v>
      </c>
      <c r="AK829" s="494" t="s">
        <v>1144</v>
      </c>
      <c r="AL829" s="474">
        <v>77494</v>
      </c>
      <c r="AM829" s="474" t="s">
        <v>52</v>
      </c>
      <c r="AN829" s="474"/>
      <c r="AO829" s="474"/>
      <c r="AP829" s="486"/>
      <c r="AQ829" s="486" t="s">
        <v>37</v>
      </c>
      <c r="AR829" s="486" t="s">
        <v>3674</v>
      </c>
      <c r="AS829" s="495"/>
      <c r="AT829" s="495"/>
      <c r="AU829" s="495"/>
      <c r="AV829" s="478">
        <v>0.46500000000000002</v>
      </c>
    </row>
    <row r="830" spans="1:48" s="471" customFormat="1" ht="15" customHeight="1">
      <c r="A830" s="472"/>
      <c r="B830" s="514">
        <v>44645</v>
      </c>
      <c r="C830" s="514"/>
      <c r="D830" s="512" t="s">
        <v>3186</v>
      </c>
      <c r="E830" s="501" t="s">
        <v>3356</v>
      </c>
      <c r="F830" s="501"/>
      <c r="G830" s="501">
        <v>2022</v>
      </c>
      <c r="H830" s="501"/>
      <c r="I830" s="496" t="s">
        <v>1676</v>
      </c>
      <c r="J830" s="502"/>
      <c r="K830" s="503" t="s">
        <v>4799</v>
      </c>
      <c r="L830" s="501" t="s">
        <v>3257</v>
      </c>
      <c r="M830" s="504">
        <v>44645</v>
      </c>
      <c r="N830" s="504">
        <v>44774</v>
      </c>
      <c r="O830" s="504"/>
      <c r="P830" s="502"/>
      <c r="Q830" s="502"/>
      <c r="R830" s="502"/>
      <c r="S830" s="501" t="s">
        <v>3450</v>
      </c>
      <c r="T830" s="501">
        <v>60</v>
      </c>
      <c r="U830" s="501"/>
      <c r="V830" s="501" t="s">
        <v>973</v>
      </c>
      <c r="W830" s="501">
        <v>400</v>
      </c>
      <c r="X830" s="505">
        <v>768</v>
      </c>
      <c r="Y830" s="491">
        <f t="shared" si="126"/>
        <v>307200</v>
      </c>
      <c r="Z830" s="478">
        <v>0.55000000000000004</v>
      </c>
      <c r="AA830" s="492">
        <f t="shared" si="124"/>
        <v>168960</v>
      </c>
      <c r="AB830" s="480"/>
      <c r="AC830" s="481">
        <f t="shared" si="127"/>
        <v>0</v>
      </c>
      <c r="AD830" s="490"/>
      <c r="AE830" s="482"/>
      <c r="AF830" s="493">
        <f t="shared" si="128"/>
        <v>168960</v>
      </c>
      <c r="AG830" s="474" t="s">
        <v>1071</v>
      </c>
      <c r="AH830" s="474"/>
      <c r="AI830" s="483">
        <v>60</v>
      </c>
      <c r="AJ830" s="474" t="s">
        <v>3258</v>
      </c>
      <c r="AK830" s="494" t="s">
        <v>1144</v>
      </c>
      <c r="AL830" s="474">
        <v>77494</v>
      </c>
      <c r="AM830" s="474" t="s">
        <v>52</v>
      </c>
      <c r="AN830" s="474"/>
      <c r="AO830" s="474"/>
      <c r="AP830" s="486"/>
      <c r="AQ830" s="486" t="s">
        <v>37</v>
      </c>
      <c r="AR830" s="486" t="s">
        <v>3674</v>
      </c>
      <c r="AS830" s="495"/>
      <c r="AT830" s="495"/>
      <c r="AU830" s="495"/>
      <c r="AV830" s="478">
        <v>0.46500000000000002</v>
      </c>
    </row>
    <row r="831" spans="1:48" s="471" customFormat="1" ht="15" customHeight="1">
      <c r="A831" s="472"/>
      <c r="B831" s="514">
        <v>44645</v>
      </c>
      <c r="C831" s="514"/>
      <c r="D831" s="512" t="s">
        <v>3186</v>
      </c>
      <c r="E831" s="501" t="s">
        <v>3356</v>
      </c>
      <c r="F831" s="501"/>
      <c r="G831" s="501">
        <v>2022</v>
      </c>
      <c r="H831" s="501"/>
      <c r="I831" s="496" t="s">
        <v>1676</v>
      </c>
      <c r="J831" s="502"/>
      <c r="K831" s="503" t="s">
        <v>4800</v>
      </c>
      <c r="L831" s="501" t="s">
        <v>3257</v>
      </c>
      <c r="M831" s="504">
        <v>44635</v>
      </c>
      <c r="N831" s="504">
        <v>44805</v>
      </c>
      <c r="O831" s="504"/>
      <c r="P831" s="502"/>
      <c r="Q831" s="502"/>
      <c r="R831" s="502"/>
      <c r="S831" s="501" t="s">
        <v>3450</v>
      </c>
      <c r="T831" s="501">
        <v>60</v>
      </c>
      <c r="U831" s="501"/>
      <c r="V831" s="501" t="s">
        <v>973</v>
      </c>
      <c r="W831" s="501">
        <v>400</v>
      </c>
      <c r="X831" s="505">
        <v>768</v>
      </c>
      <c r="Y831" s="491">
        <f t="shared" si="126"/>
        <v>307200</v>
      </c>
      <c r="Z831" s="478">
        <v>0.55000000000000004</v>
      </c>
      <c r="AA831" s="492">
        <f t="shared" ref="AA831:AA901" si="129">Z831*Y831</f>
        <v>168960</v>
      </c>
      <c r="AB831" s="480"/>
      <c r="AC831" s="481">
        <f t="shared" si="127"/>
        <v>0</v>
      </c>
      <c r="AD831" s="490"/>
      <c r="AE831" s="482"/>
      <c r="AF831" s="493">
        <f t="shared" si="128"/>
        <v>168960</v>
      </c>
      <c r="AG831" s="474" t="s">
        <v>1071</v>
      </c>
      <c r="AH831" s="474"/>
      <c r="AI831" s="483">
        <v>60</v>
      </c>
      <c r="AJ831" s="474" t="s">
        <v>3258</v>
      </c>
      <c r="AK831" s="494" t="s">
        <v>1144</v>
      </c>
      <c r="AL831" s="474">
        <v>77494</v>
      </c>
      <c r="AM831" s="474" t="s">
        <v>52</v>
      </c>
      <c r="AN831" s="474"/>
      <c r="AO831" s="474"/>
      <c r="AP831" s="486"/>
      <c r="AQ831" s="486" t="s">
        <v>37</v>
      </c>
      <c r="AR831" s="486" t="s">
        <v>3674</v>
      </c>
      <c r="AS831" s="495"/>
      <c r="AT831" s="495"/>
      <c r="AU831" s="495"/>
      <c r="AV831" s="478">
        <v>0.46500000000000002</v>
      </c>
    </row>
    <row r="832" spans="1:48" s="471" customFormat="1" ht="15" customHeight="1">
      <c r="A832" s="472"/>
      <c r="B832" s="514">
        <v>44645</v>
      </c>
      <c r="C832" s="514"/>
      <c r="D832" s="512" t="s">
        <v>3186</v>
      </c>
      <c r="E832" s="501" t="s">
        <v>3356</v>
      </c>
      <c r="F832" s="501"/>
      <c r="G832" s="501">
        <v>2022</v>
      </c>
      <c r="H832" s="501"/>
      <c r="I832" s="496" t="s">
        <v>1676</v>
      </c>
      <c r="J832" s="502"/>
      <c r="K832" s="503" t="s">
        <v>4801</v>
      </c>
      <c r="L832" s="501" t="s">
        <v>3257</v>
      </c>
      <c r="M832" s="504">
        <v>44635</v>
      </c>
      <c r="N832" s="504">
        <v>44805</v>
      </c>
      <c r="O832" s="504"/>
      <c r="P832" s="502"/>
      <c r="Q832" s="502"/>
      <c r="R832" s="502"/>
      <c r="S832" s="501" t="s">
        <v>3450</v>
      </c>
      <c r="T832" s="501">
        <v>60</v>
      </c>
      <c r="U832" s="501"/>
      <c r="V832" s="501" t="s">
        <v>973</v>
      </c>
      <c r="W832" s="501">
        <v>400</v>
      </c>
      <c r="X832" s="505">
        <v>768</v>
      </c>
      <c r="Y832" s="491">
        <f t="shared" si="126"/>
        <v>307200</v>
      </c>
      <c r="Z832" s="478">
        <v>0.55000000000000004</v>
      </c>
      <c r="AA832" s="492">
        <f t="shared" si="129"/>
        <v>168960</v>
      </c>
      <c r="AB832" s="480"/>
      <c r="AC832" s="481">
        <f t="shared" si="127"/>
        <v>0</v>
      </c>
      <c r="AD832" s="490"/>
      <c r="AE832" s="482"/>
      <c r="AF832" s="493">
        <f t="shared" si="128"/>
        <v>168960</v>
      </c>
      <c r="AG832" s="474" t="s">
        <v>1071</v>
      </c>
      <c r="AH832" s="474"/>
      <c r="AI832" s="483">
        <v>60</v>
      </c>
      <c r="AJ832" s="474" t="s">
        <v>3258</v>
      </c>
      <c r="AK832" s="494" t="s">
        <v>1144</v>
      </c>
      <c r="AL832" s="474">
        <v>77494</v>
      </c>
      <c r="AM832" s="474" t="s">
        <v>52</v>
      </c>
      <c r="AN832" s="474"/>
      <c r="AO832" s="474"/>
      <c r="AP832" s="486"/>
      <c r="AQ832" s="486" t="s">
        <v>37</v>
      </c>
      <c r="AR832" s="486" t="s">
        <v>3674</v>
      </c>
      <c r="AS832" s="495"/>
      <c r="AT832" s="495"/>
      <c r="AU832" s="495"/>
      <c r="AV832" s="478">
        <v>0.46500000000000002</v>
      </c>
    </row>
    <row r="833" spans="1:48" s="471" customFormat="1" ht="15" customHeight="1">
      <c r="A833" s="472"/>
      <c r="B833" s="514">
        <v>44645</v>
      </c>
      <c r="C833" s="514"/>
      <c r="D833" s="512" t="s">
        <v>3186</v>
      </c>
      <c r="E833" s="501" t="s">
        <v>3356</v>
      </c>
      <c r="F833" s="501"/>
      <c r="G833" s="501">
        <v>2022</v>
      </c>
      <c r="H833" s="501"/>
      <c r="I833" s="496" t="s">
        <v>1676</v>
      </c>
      <c r="J833" s="502"/>
      <c r="K833" s="503" t="s">
        <v>4802</v>
      </c>
      <c r="L833" s="501" t="s">
        <v>3257</v>
      </c>
      <c r="M833" s="504">
        <v>44635</v>
      </c>
      <c r="N833" s="504">
        <v>44713</v>
      </c>
      <c r="O833" s="504"/>
      <c r="P833" s="502"/>
      <c r="Q833" s="502"/>
      <c r="R833" s="502"/>
      <c r="S833" s="501" t="s">
        <v>3450</v>
      </c>
      <c r="T833" s="501">
        <v>60</v>
      </c>
      <c r="U833" s="501"/>
      <c r="V833" s="501" t="s">
        <v>973</v>
      </c>
      <c r="W833" s="501">
        <v>400</v>
      </c>
      <c r="X833" s="505">
        <v>768</v>
      </c>
      <c r="Y833" s="491">
        <f t="shared" si="126"/>
        <v>307200</v>
      </c>
      <c r="Z833" s="478">
        <v>0.55000000000000004</v>
      </c>
      <c r="AA833" s="492">
        <f t="shared" si="129"/>
        <v>168960</v>
      </c>
      <c r="AB833" s="480"/>
      <c r="AC833" s="481">
        <f t="shared" si="127"/>
        <v>0</v>
      </c>
      <c r="AD833" s="490"/>
      <c r="AE833" s="482"/>
      <c r="AF833" s="493">
        <f t="shared" si="128"/>
        <v>168960</v>
      </c>
      <c r="AG833" s="474" t="s">
        <v>1071</v>
      </c>
      <c r="AH833" s="474"/>
      <c r="AI833" s="483">
        <v>60</v>
      </c>
      <c r="AJ833" s="474" t="s">
        <v>3258</v>
      </c>
      <c r="AK833" s="494" t="s">
        <v>1144</v>
      </c>
      <c r="AL833" s="474">
        <v>77494</v>
      </c>
      <c r="AM833" s="474" t="s">
        <v>52</v>
      </c>
      <c r="AN833" s="474"/>
      <c r="AO833" s="474"/>
      <c r="AP833" s="486"/>
      <c r="AQ833" s="486" t="s">
        <v>37</v>
      </c>
      <c r="AR833" s="486" t="s">
        <v>3674</v>
      </c>
      <c r="AS833" s="495"/>
      <c r="AT833" s="495"/>
      <c r="AU833" s="495"/>
      <c r="AV833" s="478">
        <v>0.46500000000000002</v>
      </c>
    </row>
    <row r="834" spans="1:48" s="471" customFormat="1" ht="15" customHeight="1">
      <c r="A834" s="472"/>
      <c r="B834" s="514">
        <v>44645</v>
      </c>
      <c r="C834" s="514"/>
      <c r="D834" s="512" t="s">
        <v>3186</v>
      </c>
      <c r="E834" s="501" t="s">
        <v>3356</v>
      </c>
      <c r="F834" s="501"/>
      <c r="G834" s="501">
        <v>2022</v>
      </c>
      <c r="H834" s="501"/>
      <c r="I834" s="496" t="s">
        <v>1676</v>
      </c>
      <c r="J834" s="502"/>
      <c r="K834" s="503" t="s">
        <v>4803</v>
      </c>
      <c r="L834" s="501" t="s">
        <v>3257</v>
      </c>
      <c r="M834" s="504">
        <v>44635</v>
      </c>
      <c r="N834" s="504">
        <v>44713</v>
      </c>
      <c r="O834" s="504"/>
      <c r="P834" s="502"/>
      <c r="Q834" s="502"/>
      <c r="R834" s="502"/>
      <c r="S834" s="501" t="s">
        <v>3450</v>
      </c>
      <c r="T834" s="501">
        <v>60</v>
      </c>
      <c r="U834" s="501"/>
      <c r="V834" s="501" t="s">
        <v>973</v>
      </c>
      <c r="W834" s="501">
        <v>400</v>
      </c>
      <c r="X834" s="505">
        <v>768</v>
      </c>
      <c r="Y834" s="491">
        <f t="shared" si="126"/>
        <v>307200</v>
      </c>
      <c r="Z834" s="478">
        <v>0.55000000000000004</v>
      </c>
      <c r="AA834" s="492">
        <f t="shared" si="129"/>
        <v>168960</v>
      </c>
      <c r="AB834" s="480"/>
      <c r="AC834" s="481">
        <f t="shared" si="127"/>
        <v>0</v>
      </c>
      <c r="AD834" s="490"/>
      <c r="AE834" s="482"/>
      <c r="AF834" s="493">
        <f t="shared" si="128"/>
        <v>168960</v>
      </c>
      <c r="AG834" s="474" t="s">
        <v>1071</v>
      </c>
      <c r="AH834" s="474"/>
      <c r="AI834" s="483">
        <v>60</v>
      </c>
      <c r="AJ834" s="474" t="s">
        <v>3258</v>
      </c>
      <c r="AK834" s="494" t="s">
        <v>1144</v>
      </c>
      <c r="AL834" s="474">
        <v>77494</v>
      </c>
      <c r="AM834" s="474" t="s">
        <v>52</v>
      </c>
      <c r="AN834" s="474"/>
      <c r="AO834" s="474"/>
      <c r="AP834" s="486"/>
      <c r="AQ834" s="486" t="s">
        <v>37</v>
      </c>
      <c r="AR834" s="486" t="s">
        <v>3674</v>
      </c>
      <c r="AS834" s="495"/>
      <c r="AT834" s="495"/>
      <c r="AU834" s="495"/>
      <c r="AV834" s="478">
        <v>0.46500000000000002</v>
      </c>
    </row>
    <row r="835" spans="1:48" s="471" customFormat="1" ht="15" customHeight="1">
      <c r="A835" s="472"/>
      <c r="B835" s="514">
        <v>44645</v>
      </c>
      <c r="C835" s="514"/>
      <c r="D835" s="512" t="s">
        <v>3186</v>
      </c>
      <c r="E835" s="501" t="s">
        <v>3356</v>
      </c>
      <c r="F835" s="501"/>
      <c r="G835" s="501">
        <v>2022</v>
      </c>
      <c r="H835" s="501"/>
      <c r="I835" s="496" t="s">
        <v>1676</v>
      </c>
      <c r="J835" s="502"/>
      <c r="K835" s="503" t="s">
        <v>4804</v>
      </c>
      <c r="L835" s="501" t="s">
        <v>3257</v>
      </c>
      <c r="M835" s="504">
        <v>44635</v>
      </c>
      <c r="N835" s="504">
        <v>44837</v>
      </c>
      <c r="O835" s="504"/>
      <c r="P835" s="502"/>
      <c r="Q835" s="502"/>
      <c r="R835" s="502"/>
      <c r="S835" s="501" t="s">
        <v>3450</v>
      </c>
      <c r="T835" s="501">
        <v>60</v>
      </c>
      <c r="U835" s="501"/>
      <c r="V835" s="501" t="s">
        <v>973</v>
      </c>
      <c r="W835" s="501">
        <v>400</v>
      </c>
      <c r="X835" s="505">
        <v>768</v>
      </c>
      <c r="Y835" s="491">
        <f t="shared" si="126"/>
        <v>307200</v>
      </c>
      <c r="Z835" s="478">
        <v>0.55000000000000004</v>
      </c>
      <c r="AA835" s="492">
        <f t="shared" si="129"/>
        <v>168960</v>
      </c>
      <c r="AB835" s="480"/>
      <c r="AC835" s="481">
        <f t="shared" si="127"/>
        <v>0</v>
      </c>
      <c r="AD835" s="490"/>
      <c r="AE835" s="482"/>
      <c r="AF835" s="493">
        <f t="shared" si="128"/>
        <v>168960</v>
      </c>
      <c r="AG835" s="474" t="s">
        <v>1071</v>
      </c>
      <c r="AH835" s="474"/>
      <c r="AI835" s="483">
        <v>60</v>
      </c>
      <c r="AJ835" s="474" t="s">
        <v>3258</v>
      </c>
      <c r="AK835" s="494" t="s">
        <v>1144</v>
      </c>
      <c r="AL835" s="474">
        <v>77494</v>
      </c>
      <c r="AM835" s="474" t="s">
        <v>52</v>
      </c>
      <c r="AN835" s="474"/>
      <c r="AO835" s="474"/>
      <c r="AP835" s="486"/>
      <c r="AQ835" s="486" t="s">
        <v>37</v>
      </c>
      <c r="AR835" s="486" t="s">
        <v>3674</v>
      </c>
      <c r="AS835" s="495"/>
      <c r="AT835" s="495"/>
      <c r="AU835" s="495"/>
      <c r="AV835" s="478">
        <v>0.46500000000000002</v>
      </c>
    </row>
    <row r="836" spans="1:48" s="471" customFormat="1" ht="15" customHeight="1">
      <c r="A836" s="472"/>
      <c r="B836" s="514">
        <v>44645</v>
      </c>
      <c r="C836" s="514"/>
      <c r="D836" s="512" t="s">
        <v>3186</v>
      </c>
      <c r="E836" s="501" t="s">
        <v>3356</v>
      </c>
      <c r="F836" s="501"/>
      <c r="G836" s="501">
        <v>2022</v>
      </c>
      <c r="H836" s="501"/>
      <c r="I836" s="496" t="s">
        <v>1676</v>
      </c>
      <c r="J836" s="502"/>
      <c r="K836" s="503" t="s">
        <v>4805</v>
      </c>
      <c r="L836" s="501" t="s">
        <v>3257</v>
      </c>
      <c r="M836" s="504">
        <v>44635</v>
      </c>
      <c r="N836" s="504">
        <v>44837</v>
      </c>
      <c r="O836" s="504"/>
      <c r="P836" s="502"/>
      <c r="Q836" s="502"/>
      <c r="R836" s="502"/>
      <c r="S836" s="501" t="s">
        <v>3450</v>
      </c>
      <c r="T836" s="501">
        <v>60</v>
      </c>
      <c r="U836" s="501"/>
      <c r="V836" s="501" t="s">
        <v>973</v>
      </c>
      <c r="W836" s="501">
        <v>400</v>
      </c>
      <c r="X836" s="505">
        <v>768</v>
      </c>
      <c r="Y836" s="491">
        <f t="shared" si="126"/>
        <v>307200</v>
      </c>
      <c r="Z836" s="478">
        <v>0.55000000000000004</v>
      </c>
      <c r="AA836" s="492">
        <f t="shared" si="129"/>
        <v>168960</v>
      </c>
      <c r="AB836" s="480"/>
      <c r="AC836" s="481">
        <f t="shared" si="127"/>
        <v>0</v>
      </c>
      <c r="AD836" s="490"/>
      <c r="AE836" s="482"/>
      <c r="AF836" s="493">
        <f t="shared" si="128"/>
        <v>168960</v>
      </c>
      <c r="AG836" s="474" t="s">
        <v>1071</v>
      </c>
      <c r="AH836" s="474"/>
      <c r="AI836" s="483">
        <v>60</v>
      </c>
      <c r="AJ836" s="474" t="s">
        <v>3258</v>
      </c>
      <c r="AK836" s="494" t="s">
        <v>1144</v>
      </c>
      <c r="AL836" s="474">
        <v>77494</v>
      </c>
      <c r="AM836" s="474" t="s">
        <v>52</v>
      </c>
      <c r="AN836" s="474"/>
      <c r="AO836" s="474"/>
      <c r="AP836" s="486"/>
      <c r="AQ836" s="486" t="s">
        <v>37</v>
      </c>
      <c r="AR836" s="486" t="s">
        <v>3674</v>
      </c>
      <c r="AS836" s="495"/>
      <c r="AT836" s="495"/>
      <c r="AU836" s="495"/>
      <c r="AV836" s="478">
        <v>0.46500000000000002</v>
      </c>
    </row>
    <row r="837" spans="1:48" s="471" customFormat="1" ht="15" customHeight="1">
      <c r="A837" s="472"/>
      <c r="B837" s="472"/>
      <c r="C837" s="472"/>
      <c r="D837" s="512" t="s">
        <v>3186</v>
      </c>
      <c r="E837" s="501" t="s">
        <v>4806</v>
      </c>
      <c r="F837" s="501"/>
      <c r="G837" s="501"/>
      <c r="H837" s="501"/>
      <c r="I837" s="496" t="s">
        <v>1676</v>
      </c>
      <c r="J837" s="502"/>
      <c r="K837" s="503" t="s">
        <v>4807</v>
      </c>
      <c r="L837" s="501" t="s">
        <v>3243</v>
      </c>
      <c r="M837" s="504">
        <v>44538</v>
      </c>
      <c r="N837" s="504">
        <v>44652</v>
      </c>
      <c r="O837" s="504"/>
      <c r="P837" s="502"/>
      <c r="Q837" s="502"/>
      <c r="R837" s="502"/>
      <c r="S837" s="501" t="s">
        <v>2379</v>
      </c>
      <c r="T837" s="501">
        <v>60</v>
      </c>
      <c r="U837" s="501"/>
      <c r="V837" s="501" t="s">
        <v>985</v>
      </c>
      <c r="W837" s="501">
        <v>400</v>
      </c>
      <c r="X837" s="505">
        <v>1536</v>
      </c>
      <c r="Y837" s="491">
        <f t="shared" si="126"/>
        <v>614400</v>
      </c>
      <c r="Z837" s="478">
        <v>0.52</v>
      </c>
      <c r="AA837" s="492">
        <f t="shared" si="129"/>
        <v>319488</v>
      </c>
      <c r="AB837" s="480"/>
      <c r="AC837" s="481">
        <f t="shared" si="127"/>
        <v>0</v>
      </c>
      <c r="AD837" s="490"/>
      <c r="AE837" s="482"/>
      <c r="AF837" s="493">
        <f t="shared" si="128"/>
        <v>319488</v>
      </c>
      <c r="AG837" s="474" t="s">
        <v>1071</v>
      </c>
      <c r="AH837" s="474"/>
      <c r="AI837" s="483" t="s">
        <v>2442</v>
      </c>
      <c r="AJ837" s="474" t="s">
        <v>3244</v>
      </c>
      <c r="AK837" s="494" t="s">
        <v>2362</v>
      </c>
      <c r="AL837" s="474">
        <v>81006</v>
      </c>
      <c r="AM837" s="474" t="s">
        <v>52</v>
      </c>
      <c r="AN837" s="474"/>
      <c r="AO837" s="474"/>
      <c r="AP837" s="486"/>
      <c r="AQ837" s="486" t="s">
        <v>37</v>
      </c>
      <c r="AR837" s="486"/>
      <c r="AS837" s="495"/>
      <c r="AT837" s="495"/>
      <c r="AU837" s="495"/>
      <c r="AV837" s="478">
        <v>0.52</v>
      </c>
    </row>
    <row r="838" spans="1:48" s="471" customFormat="1" ht="15" customHeight="1">
      <c r="A838" s="472"/>
      <c r="B838" s="472"/>
      <c r="C838" s="472"/>
      <c r="D838" s="512" t="s">
        <v>3186</v>
      </c>
      <c r="E838" s="501" t="s">
        <v>4806</v>
      </c>
      <c r="F838" s="501"/>
      <c r="G838" s="501"/>
      <c r="H838" s="501"/>
      <c r="I838" s="496" t="s">
        <v>1676</v>
      </c>
      <c r="J838" s="502"/>
      <c r="K838" s="503" t="s">
        <v>4808</v>
      </c>
      <c r="L838" s="501" t="s">
        <v>3243</v>
      </c>
      <c r="M838" s="504">
        <v>44538</v>
      </c>
      <c r="N838" s="504">
        <v>44682</v>
      </c>
      <c r="O838" s="504"/>
      <c r="P838" s="502"/>
      <c r="Q838" s="502"/>
      <c r="R838" s="502"/>
      <c r="S838" s="501" t="s">
        <v>2379</v>
      </c>
      <c r="T838" s="501">
        <v>60</v>
      </c>
      <c r="U838" s="501"/>
      <c r="V838" s="501" t="s">
        <v>985</v>
      </c>
      <c r="W838" s="501">
        <v>400</v>
      </c>
      <c r="X838" s="505">
        <v>1536</v>
      </c>
      <c r="Y838" s="491">
        <f t="shared" si="126"/>
        <v>614400</v>
      </c>
      <c r="Z838" s="478">
        <v>0.52</v>
      </c>
      <c r="AA838" s="492">
        <f t="shared" si="129"/>
        <v>319488</v>
      </c>
      <c r="AB838" s="480"/>
      <c r="AC838" s="481">
        <f t="shared" si="127"/>
        <v>0</v>
      </c>
      <c r="AD838" s="490"/>
      <c r="AE838" s="482"/>
      <c r="AF838" s="493">
        <f t="shared" si="128"/>
        <v>319488</v>
      </c>
      <c r="AG838" s="474" t="s">
        <v>1071</v>
      </c>
      <c r="AH838" s="474"/>
      <c r="AI838" s="483" t="s">
        <v>2442</v>
      </c>
      <c r="AJ838" s="474" t="s">
        <v>3244</v>
      </c>
      <c r="AK838" s="494" t="s">
        <v>2362</v>
      </c>
      <c r="AL838" s="474">
        <v>81006</v>
      </c>
      <c r="AM838" s="474" t="s">
        <v>52</v>
      </c>
      <c r="AN838" s="474"/>
      <c r="AO838" s="474"/>
      <c r="AP838" s="486"/>
      <c r="AQ838" s="486" t="s">
        <v>37</v>
      </c>
      <c r="AR838" s="486"/>
      <c r="AS838" s="495"/>
      <c r="AT838" s="495"/>
      <c r="AU838" s="495"/>
      <c r="AV838" s="478">
        <v>0.52</v>
      </c>
    </row>
    <row r="839" spans="1:48" s="471" customFormat="1" ht="15" customHeight="1">
      <c r="A839" s="472"/>
      <c r="B839" s="472"/>
      <c r="C839" s="472"/>
      <c r="D839" s="512" t="s">
        <v>3186</v>
      </c>
      <c r="E839" s="501" t="s">
        <v>4806</v>
      </c>
      <c r="F839" s="501"/>
      <c r="G839" s="501"/>
      <c r="H839" s="501"/>
      <c r="I839" s="496" t="s">
        <v>1676</v>
      </c>
      <c r="J839" s="502"/>
      <c r="K839" s="503" t="s">
        <v>4809</v>
      </c>
      <c r="L839" s="501" t="s">
        <v>3243</v>
      </c>
      <c r="M839" s="504">
        <v>44538</v>
      </c>
      <c r="N839" s="504">
        <v>44713</v>
      </c>
      <c r="O839" s="504"/>
      <c r="P839" s="502"/>
      <c r="Q839" s="502"/>
      <c r="R839" s="502"/>
      <c r="S839" s="501" t="s">
        <v>2379</v>
      </c>
      <c r="T839" s="501">
        <v>60</v>
      </c>
      <c r="U839" s="501"/>
      <c r="V839" s="501" t="s">
        <v>985</v>
      </c>
      <c r="W839" s="501">
        <v>400</v>
      </c>
      <c r="X839" s="505">
        <v>1536</v>
      </c>
      <c r="Y839" s="491">
        <f t="shared" si="126"/>
        <v>614400</v>
      </c>
      <c r="Z839" s="478">
        <v>0.52</v>
      </c>
      <c r="AA839" s="492">
        <f t="shared" si="129"/>
        <v>319488</v>
      </c>
      <c r="AB839" s="480"/>
      <c r="AC839" s="481">
        <f t="shared" si="127"/>
        <v>0</v>
      </c>
      <c r="AD839" s="490"/>
      <c r="AE839" s="482"/>
      <c r="AF839" s="493">
        <f t="shared" si="128"/>
        <v>319488</v>
      </c>
      <c r="AG839" s="474" t="s">
        <v>1071</v>
      </c>
      <c r="AH839" s="474"/>
      <c r="AI839" s="483" t="s">
        <v>2442</v>
      </c>
      <c r="AJ839" s="474" t="s">
        <v>3244</v>
      </c>
      <c r="AK839" s="494" t="s">
        <v>2362</v>
      </c>
      <c r="AL839" s="474">
        <v>81006</v>
      </c>
      <c r="AM839" s="474" t="s">
        <v>52</v>
      </c>
      <c r="AN839" s="474"/>
      <c r="AO839" s="474"/>
      <c r="AP839" s="486"/>
      <c r="AQ839" s="486" t="s">
        <v>37</v>
      </c>
      <c r="AR839" s="486"/>
      <c r="AS839" s="495"/>
      <c r="AT839" s="495"/>
      <c r="AU839" s="495"/>
      <c r="AV839" s="478">
        <v>0.52</v>
      </c>
    </row>
    <row r="840" spans="1:48" s="471" customFormat="1" ht="15" customHeight="1">
      <c r="A840" s="472"/>
      <c r="B840" s="472"/>
      <c r="C840" s="472"/>
      <c r="D840" s="512" t="s">
        <v>3186</v>
      </c>
      <c r="E840" s="501" t="s">
        <v>4806</v>
      </c>
      <c r="F840" s="501"/>
      <c r="G840" s="501"/>
      <c r="H840" s="501"/>
      <c r="I840" s="496" t="s">
        <v>1676</v>
      </c>
      <c r="J840" s="502"/>
      <c r="K840" s="503" t="s">
        <v>4810</v>
      </c>
      <c r="L840" s="501" t="s">
        <v>3243</v>
      </c>
      <c r="M840" s="504">
        <v>44538</v>
      </c>
      <c r="N840" s="504">
        <v>44743</v>
      </c>
      <c r="O840" s="504"/>
      <c r="P840" s="502"/>
      <c r="Q840" s="502"/>
      <c r="R840" s="502"/>
      <c r="S840" s="501" t="s">
        <v>2379</v>
      </c>
      <c r="T840" s="501">
        <v>60</v>
      </c>
      <c r="U840" s="501"/>
      <c r="V840" s="501" t="s">
        <v>985</v>
      </c>
      <c r="W840" s="501">
        <v>400</v>
      </c>
      <c r="X840" s="505">
        <v>1536</v>
      </c>
      <c r="Y840" s="491">
        <f t="shared" si="126"/>
        <v>614400</v>
      </c>
      <c r="Z840" s="478">
        <v>0.52</v>
      </c>
      <c r="AA840" s="492">
        <f t="shared" si="129"/>
        <v>319488</v>
      </c>
      <c r="AB840" s="480"/>
      <c r="AC840" s="481">
        <f t="shared" si="127"/>
        <v>0</v>
      </c>
      <c r="AD840" s="490"/>
      <c r="AE840" s="482"/>
      <c r="AF840" s="493">
        <f t="shared" si="128"/>
        <v>319488</v>
      </c>
      <c r="AG840" s="474" t="s">
        <v>1071</v>
      </c>
      <c r="AH840" s="474"/>
      <c r="AI840" s="483" t="s">
        <v>2442</v>
      </c>
      <c r="AJ840" s="474" t="s">
        <v>3244</v>
      </c>
      <c r="AK840" s="494" t="s">
        <v>2362</v>
      </c>
      <c r="AL840" s="474">
        <v>81006</v>
      </c>
      <c r="AM840" s="474" t="s">
        <v>52</v>
      </c>
      <c r="AN840" s="474"/>
      <c r="AO840" s="474"/>
      <c r="AP840" s="486"/>
      <c r="AQ840" s="486" t="s">
        <v>37</v>
      </c>
      <c r="AR840" s="486"/>
      <c r="AS840" s="495"/>
      <c r="AT840" s="495"/>
      <c r="AU840" s="495"/>
      <c r="AV840" s="478">
        <v>0.52</v>
      </c>
    </row>
    <row r="841" spans="1:48" s="471" customFormat="1" ht="15" customHeight="1">
      <c r="A841" s="472"/>
      <c r="B841" s="472"/>
      <c r="C841" s="472"/>
      <c r="D841" s="512" t="s">
        <v>3186</v>
      </c>
      <c r="E841" s="474" t="s">
        <v>3215</v>
      </c>
      <c r="F841" s="501"/>
      <c r="G841" s="501"/>
      <c r="H841" s="501"/>
      <c r="I841" s="496" t="s">
        <v>1676</v>
      </c>
      <c r="J841" s="502"/>
      <c r="K841" s="503" t="s">
        <v>4811</v>
      </c>
      <c r="L841" s="501" t="s">
        <v>3332</v>
      </c>
      <c r="M841" s="504">
        <v>44565</v>
      </c>
      <c r="N841" s="504">
        <v>44565</v>
      </c>
      <c r="O841" s="504"/>
      <c r="P841" s="502"/>
      <c r="Q841" s="502"/>
      <c r="R841" s="502"/>
      <c r="S841" s="501" t="s">
        <v>2379</v>
      </c>
      <c r="T841" s="501">
        <v>60</v>
      </c>
      <c r="U841" s="501"/>
      <c r="V841" s="501" t="s">
        <v>985</v>
      </c>
      <c r="W841" s="501">
        <v>400</v>
      </c>
      <c r="X841" s="505">
        <v>2304</v>
      </c>
      <c r="Y841" s="491">
        <f t="shared" si="126"/>
        <v>921600</v>
      </c>
      <c r="Z841" s="506">
        <v>0.45500000000000002</v>
      </c>
      <c r="AA841" s="492">
        <f t="shared" si="129"/>
        <v>419328</v>
      </c>
      <c r="AB841" s="480"/>
      <c r="AC841" s="481">
        <f t="shared" si="127"/>
        <v>0</v>
      </c>
      <c r="AD841" s="508"/>
      <c r="AE841" s="507"/>
      <c r="AF841" s="493">
        <f t="shared" si="128"/>
        <v>419328</v>
      </c>
      <c r="AG841" s="501" t="s">
        <v>1071</v>
      </c>
      <c r="AH841" s="501"/>
      <c r="AI841" s="503" t="s">
        <v>2442</v>
      </c>
      <c r="AJ841" s="501" t="s">
        <v>3333</v>
      </c>
      <c r="AK841" s="509" t="s">
        <v>1144</v>
      </c>
      <c r="AL841" s="501">
        <v>79423</v>
      </c>
      <c r="AM841" s="501" t="s">
        <v>52</v>
      </c>
      <c r="AN841" s="501"/>
      <c r="AO841" s="501"/>
      <c r="AP841" s="510"/>
      <c r="AQ841" s="510" t="s">
        <v>37</v>
      </c>
      <c r="AR841" s="510" t="s">
        <v>1677</v>
      </c>
      <c r="AS841" s="495"/>
      <c r="AT841" s="495"/>
      <c r="AU841" s="495"/>
      <c r="AV841" s="506">
        <v>0.45500000000000002</v>
      </c>
    </row>
    <row r="842" spans="1:48" s="471" customFormat="1" ht="15" customHeight="1">
      <c r="A842" s="472"/>
      <c r="B842" s="472"/>
      <c r="C842" s="472"/>
      <c r="D842" s="512" t="s">
        <v>3186</v>
      </c>
      <c r="E842" s="474" t="s">
        <v>3215</v>
      </c>
      <c r="F842" s="501"/>
      <c r="G842" s="501"/>
      <c r="H842" s="501"/>
      <c r="I842" s="496" t="s">
        <v>1676</v>
      </c>
      <c r="J842" s="502"/>
      <c r="K842" s="503" t="s">
        <v>4812</v>
      </c>
      <c r="L842" s="501" t="s">
        <v>3332</v>
      </c>
      <c r="M842" s="504">
        <v>44565</v>
      </c>
      <c r="N842" s="504">
        <v>44571</v>
      </c>
      <c r="O842" s="504"/>
      <c r="P842" s="502"/>
      <c r="Q842" s="502"/>
      <c r="R842" s="502"/>
      <c r="S842" s="501" t="s">
        <v>2379</v>
      </c>
      <c r="T842" s="501">
        <v>60</v>
      </c>
      <c r="U842" s="501"/>
      <c r="V842" s="501" t="s">
        <v>985</v>
      </c>
      <c r="W842" s="501">
        <v>400</v>
      </c>
      <c r="X842" s="505">
        <v>1536</v>
      </c>
      <c r="Y842" s="491">
        <f t="shared" si="126"/>
        <v>614400</v>
      </c>
      <c r="Z842" s="506">
        <v>0.45500000000000002</v>
      </c>
      <c r="AA842" s="492">
        <f t="shared" si="129"/>
        <v>279552</v>
      </c>
      <c r="AB842" s="480"/>
      <c r="AC842" s="481">
        <f t="shared" si="127"/>
        <v>0</v>
      </c>
      <c r="AD842" s="508"/>
      <c r="AE842" s="507"/>
      <c r="AF842" s="493">
        <f t="shared" si="128"/>
        <v>279552</v>
      </c>
      <c r="AG842" s="501" t="s">
        <v>1071</v>
      </c>
      <c r="AH842" s="501"/>
      <c r="AI842" s="503" t="s">
        <v>2442</v>
      </c>
      <c r="AJ842" s="501" t="s">
        <v>3333</v>
      </c>
      <c r="AK842" s="509" t="s">
        <v>1144</v>
      </c>
      <c r="AL842" s="501">
        <v>79423</v>
      </c>
      <c r="AM842" s="501" t="s">
        <v>52</v>
      </c>
      <c r="AN842" s="501"/>
      <c r="AO842" s="501"/>
      <c r="AP842" s="510"/>
      <c r="AQ842" s="510" t="s">
        <v>37</v>
      </c>
      <c r="AR842" s="510" t="s">
        <v>1677</v>
      </c>
      <c r="AS842" s="495"/>
      <c r="AT842" s="495"/>
      <c r="AU842" s="495"/>
      <c r="AV842" s="506">
        <v>0.45500000000000002</v>
      </c>
    </row>
    <row r="843" spans="1:48" s="471" customFormat="1" ht="15" customHeight="1">
      <c r="A843" s="472"/>
      <c r="B843" s="472"/>
      <c r="C843" s="472"/>
      <c r="D843" s="512" t="s">
        <v>3186</v>
      </c>
      <c r="E843" s="474" t="s">
        <v>3215</v>
      </c>
      <c r="F843" s="501"/>
      <c r="G843" s="501"/>
      <c r="H843" s="501"/>
      <c r="I843" s="496" t="s">
        <v>1676</v>
      </c>
      <c r="J843" s="502"/>
      <c r="K843" s="503" t="s">
        <v>4813</v>
      </c>
      <c r="L843" s="501" t="s">
        <v>3332</v>
      </c>
      <c r="M843" s="504">
        <v>44565</v>
      </c>
      <c r="N843" s="504">
        <v>44578</v>
      </c>
      <c r="O843" s="504"/>
      <c r="P843" s="502"/>
      <c r="Q843" s="502"/>
      <c r="R843" s="502"/>
      <c r="S843" s="501" t="s">
        <v>2379</v>
      </c>
      <c r="T843" s="501">
        <v>60</v>
      </c>
      <c r="U843" s="501"/>
      <c r="V843" s="501" t="s">
        <v>985</v>
      </c>
      <c r="W843" s="501">
        <v>400</v>
      </c>
      <c r="X843" s="505">
        <v>1536</v>
      </c>
      <c r="Y843" s="491">
        <f t="shared" si="126"/>
        <v>614400</v>
      </c>
      <c r="Z843" s="506">
        <v>0.45500000000000002</v>
      </c>
      <c r="AA843" s="492">
        <f t="shared" si="129"/>
        <v>279552</v>
      </c>
      <c r="AB843" s="480"/>
      <c r="AC843" s="481">
        <f t="shared" si="127"/>
        <v>0</v>
      </c>
      <c r="AD843" s="508"/>
      <c r="AE843" s="507"/>
      <c r="AF843" s="493">
        <f t="shared" si="128"/>
        <v>279552</v>
      </c>
      <c r="AG843" s="501" t="s">
        <v>1071</v>
      </c>
      <c r="AH843" s="501"/>
      <c r="AI843" s="503" t="s">
        <v>2442</v>
      </c>
      <c r="AJ843" s="501" t="s">
        <v>3333</v>
      </c>
      <c r="AK843" s="509" t="s">
        <v>1144</v>
      </c>
      <c r="AL843" s="501">
        <v>79423</v>
      </c>
      <c r="AM843" s="501" t="s">
        <v>52</v>
      </c>
      <c r="AN843" s="501"/>
      <c r="AO843" s="501"/>
      <c r="AP843" s="510"/>
      <c r="AQ843" s="510" t="s">
        <v>37</v>
      </c>
      <c r="AR843" s="510" t="s">
        <v>1677</v>
      </c>
      <c r="AS843" s="495"/>
      <c r="AT843" s="495"/>
      <c r="AU843" s="495"/>
      <c r="AV843" s="506">
        <v>0.45500000000000002</v>
      </c>
    </row>
    <row r="844" spans="1:48" s="471" customFormat="1" ht="15" customHeight="1">
      <c r="A844" s="472"/>
      <c r="B844" s="472"/>
      <c r="C844" s="472"/>
      <c r="D844" s="512" t="s">
        <v>3186</v>
      </c>
      <c r="E844" s="474" t="s">
        <v>3215</v>
      </c>
      <c r="F844" s="501"/>
      <c r="G844" s="501"/>
      <c r="H844" s="501"/>
      <c r="I844" s="496" t="s">
        <v>1676</v>
      </c>
      <c r="J844" s="502"/>
      <c r="K844" s="503" t="s">
        <v>4814</v>
      </c>
      <c r="L844" s="501" t="s">
        <v>3332</v>
      </c>
      <c r="M844" s="504">
        <v>44565</v>
      </c>
      <c r="N844" s="504">
        <v>44585</v>
      </c>
      <c r="O844" s="504"/>
      <c r="P844" s="502"/>
      <c r="Q844" s="502"/>
      <c r="R844" s="502"/>
      <c r="S844" s="501" t="s">
        <v>2379</v>
      </c>
      <c r="T844" s="501">
        <v>60</v>
      </c>
      <c r="U844" s="501"/>
      <c r="V844" s="501" t="s">
        <v>985</v>
      </c>
      <c r="W844" s="501">
        <v>400</v>
      </c>
      <c r="X844" s="505">
        <v>768</v>
      </c>
      <c r="Y844" s="491">
        <f t="shared" si="126"/>
        <v>307200</v>
      </c>
      <c r="Z844" s="506">
        <v>0.45500000000000002</v>
      </c>
      <c r="AA844" s="492">
        <f t="shared" si="129"/>
        <v>139776</v>
      </c>
      <c r="AB844" s="480"/>
      <c r="AC844" s="481">
        <f t="shared" si="127"/>
        <v>0</v>
      </c>
      <c r="AD844" s="508"/>
      <c r="AE844" s="507"/>
      <c r="AF844" s="493">
        <f t="shared" si="128"/>
        <v>139776</v>
      </c>
      <c r="AG844" s="501" t="s">
        <v>1071</v>
      </c>
      <c r="AH844" s="501"/>
      <c r="AI844" s="503" t="s">
        <v>2442</v>
      </c>
      <c r="AJ844" s="501" t="s">
        <v>3333</v>
      </c>
      <c r="AK844" s="509" t="s">
        <v>1144</v>
      </c>
      <c r="AL844" s="501">
        <v>79423</v>
      </c>
      <c r="AM844" s="501" t="s">
        <v>52</v>
      </c>
      <c r="AN844" s="501"/>
      <c r="AO844" s="501"/>
      <c r="AP844" s="510"/>
      <c r="AQ844" s="510" t="s">
        <v>37</v>
      </c>
      <c r="AR844" s="510" t="s">
        <v>1677</v>
      </c>
      <c r="AS844" s="495"/>
      <c r="AT844" s="495"/>
      <c r="AU844" s="495"/>
      <c r="AV844" s="506">
        <v>0.45500000000000002</v>
      </c>
    </row>
    <row r="845" spans="1:48" s="471" customFormat="1" ht="15" customHeight="1">
      <c r="A845" s="472"/>
      <c r="B845" s="472"/>
      <c r="C845" s="472"/>
      <c r="D845" s="512" t="s">
        <v>3186</v>
      </c>
      <c r="E845" s="474" t="s">
        <v>3215</v>
      </c>
      <c r="F845" s="501"/>
      <c r="G845" s="501"/>
      <c r="H845" s="501"/>
      <c r="I845" s="496" t="s">
        <v>1676</v>
      </c>
      <c r="J845" s="502"/>
      <c r="K845" s="503" t="s">
        <v>4815</v>
      </c>
      <c r="L845" s="501" t="s">
        <v>3332</v>
      </c>
      <c r="M845" s="504">
        <v>44565</v>
      </c>
      <c r="N845" s="504">
        <v>44599</v>
      </c>
      <c r="O845" s="504"/>
      <c r="P845" s="502"/>
      <c r="Q845" s="502"/>
      <c r="R845" s="502"/>
      <c r="S845" s="501" t="s">
        <v>2379</v>
      </c>
      <c r="T845" s="501">
        <v>60</v>
      </c>
      <c r="U845" s="501"/>
      <c r="V845" s="501" t="s">
        <v>985</v>
      </c>
      <c r="W845" s="501">
        <v>400</v>
      </c>
      <c r="X845" s="505">
        <v>2304</v>
      </c>
      <c r="Y845" s="491">
        <f t="shared" si="126"/>
        <v>921600</v>
      </c>
      <c r="Z845" s="506">
        <v>0.45500000000000002</v>
      </c>
      <c r="AA845" s="492">
        <f t="shared" si="129"/>
        <v>419328</v>
      </c>
      <c r="AB845" s="480"/>
      <c r="AC845" s="481">
        <f t="shared" si="127"/>
        <v>0</v>
      </c>
      <c r="AD845" s="508"/>
      <c r="AE845" s="507"/>
      <c r="AF845" s="493">
        <f t="shared" si="128"/>
        <v>419328</v>
      </c>
      <c r="AG845" s="501" t="s">
        <v>1071</v>
      </c>
      <c r="AH845" s="501"/>
      <c r="AI845" s="503" t="s">
        <v>2442</v>
      </c>
      <c r="AJ845" s="501" t="s">
        <v>3333</v>
      </c>
      <c r="AK845" s="509" t="s">
        <v>1144</v>
      </c>
      <c r="AL845" s="501">
        <v>79423</v>
      </c>
      <c r="AM845" s="501" t="s">
        <v>52</v>
      </c>
      <c r="AN845" s="501"/>
      <c r="AO845" s="501"/>
      <c r="AP845" s="510"/>
      <c r="AQ845" s="510" t="s">
        <v>37</v>
      </c>
      <c r="AR845" s="510" t="s">
        <v>1677</v>
      </c>
      <c r="AS845" s="495"/>
      <c r="AT845" s="495"/>
      <c r="AU845" s="495"/>
      <c r="AV845" s="506">
        <v>0.45500000000000002</v>
      </c>
    </row>
    <row r="846" spans="1:48" s="471" customFormat="1" ht="15" customHeight="1">
      <c r="A846" s="472"/>
      <c r="B846" s="472"/>
      <c r="C846" s="472"/>
      <c r="D846" s="512" t="s">
        <v>3186</v>
      </c>
      <c r="E846" s="474" t="s">
        <v>3215</v>
      </c>
      <c r="F846" s="501"/>
      <c r="G846" s="501"/>
      <c r="H846" s="501"/>
      <c r="I846" s="496" t="s">
        <v>1676</v>
      </c>
      <c r="J846" s="502"/>
      <c r="K846" s="503" t="s">
        <v>4816</v>
      </c>
      <c r="L846" s="501" t="s">
        <v>3332</v>
      </c>
      <c r="M846" s="504">
        <v>44565</v>
      </c>
      <c r="N846" s="504">
        <v>44606</v>
      </c>
      <c r="O846" s="504"/>
      <c r="P846" s="502"/>
      <c r="Q846" s="502"/>
      <c r="R846" s="502"/>
      <c r="S846" s="501" t="s">
        <v>2379</v>
      </c>
      <c r="T846" s="501">
        <v>60</v>
      </c>
      <c r="U846" s="501"/>
      <c r="V846" s="501" t="s">
        <v>985</v>
      </c>
      <c r="W846" s="501">
        <v>400</v>
      </c>
      <c r="X846" s="505">
        <v>1536</v>
      </c>
      <c r="Y846" s="491">
        <f t="shared" si="126"/>
        <v>614400</v>
      </c>
      <c r="Z846" s="506">
        <v>0.45500000000000002</v>
      </c>
      <c r="AA846" s="492">
        <f t="shared" si="129"/>
        <v>279552</v>
      </c>
      <c r="AB846" s="480"/>
      <c r="AC846" s="481">
        <f t="shared" si="127"/>
        <v>0</v>
      </c>
      <c r="AD846" s="508"/>
      <c r="AE846" s="507"/>
      <c r="AF846" s="493">
        <f t="shared" si="128"/>
        <v>279552</v>
      </c>
      <c r="AG846" s="501" t="s">
        <v>1071</v>
      </c>
      <c r="AH846" s="501"/>
      <c r="AI846" s="503" t="s">
        <v>2442</v>
      </c>
      <c r="AJ846" s="501" t="s">
        <v>3333</v>
      </c>
      <c r="AK846" s="509" t="s">
        <v>1144</v>
      </c>
      <c r="AL846" s="501">
        <v>79423</v>
      </c>
      <c r="AM846" s="501" t="s">
        <v>52</v>
      </c>
      <c r="AN846" s="501"/>
      <c r="AO846" s="501"/>
      <c r="AP846" s="510"/>
      <c r="AQ846" s="510" t="s">
        <v>37</v>
      </c>
      <c r="AR846" s="510" t="s">
        <v>1677</v>
      </c>
      <c r="AS846" s="495"/>
      <c r="AT846" s="495"/>
      <c r="AU846" s="495"/>
      <c r="AV846" s="506">
        <v>0.45500000000000002</v>
      </c>
    </row>
    <row r="847" spans="1:48" s="471" customFormat="1" ht="15" customHeight="1">
      <c r="A847" s="472"/>
      <c r="B847" s="472"/>
      <c r="C847" s="472"/>
      <c r="D847" s="512" t="s">
        <v>3186</v>
      </c>
      <c r="E847" s="474" t="s">
        <v>3215</v>
      </c>
      <c r="F847" s="501"/>
      <c r="G847" s="501"/>
      <c r="H847" s="501"/>
      <c r="I847" s="496" t="s">
        <v>1676</v>
      </c>
      <c r="J847" s="502"/>
      <c r="K847" s="503" t="s">
        <v>4817</v>
      </c>
      <c r="L847" s="501" t="s">
        <v>3332</v>
      </c>
      <c r="M847" s="504">
        <v>44565</v>
      </c>
      <c r="N847" s="504">
        <v>44613</v>
      </c>
      <c r="O847" s="504"/>
      <c r="P847" s="502"/>
      <c r="Q847" s="502"/>
      <c r="R847" s="502"/>
      <c r="S847" s="501" t="s">
        <v>2379</v>
      </c>
      <c r="T847" s="501">
        <v>60</v>
      </c>
      <c r="U847" s="501"/>
      <c r="V847" s="501" t="s">
        <v>985</v>
      </c>
      <c r="W847" s="501">
        <v>400</v>
      </c>
      <c r="X847" s="505">
        <v>1536</v>
      </c>
      <c r="Y847" s="491">
        <f t="shared" si="126"/>
        <v>614400</v>
      </c>
      <c r="Z847" s="506">
        <v>0.45500000000000002</v>
      </c>
      <c r="AA847" s="492">
        <f t="shared" si="129"/>
        <v>279552</v>
      </c>
      <c r="AB847" s="480"/>
      <c r="AC847" s="481">
        <f t="shared" si="127"/>
        <v>0</v>
      </c>
      <c r="AD847" s="508"/>
      <c r="AE847" s="507"/>
      <c r="AF847" s="493">
        <f t="shared" si="128"/>
        <v>279552</v>
      </c>
      <c r="AG847" s="501" t="s">
        <v>1071</v>
      </c>
      <c r="AH847" s="501"/>
      <c r="AI847" s="503" t="s">
        <v>2442</v>
      </c>
      <c r="AJ847" s="501" t="s">
        <v>3333</v>
      </c>
      <c r="AK847" s="509" t="s">
        <v>1144</v>
      </c>
      <c r="AL847" s="501">
        <v>79423</v>
      </c>
      <c r="AM847" s="501" t="s">
        <v>52</v>
      </c>
      <c r="AN847" s="501"/>
      <c r="AO847" s="501"/>
      <c r="AP847" s="510"/>
      <c r="AQ847" s="510" t="s">
        <v>37</v>
      </c>
      <c r="AR847" s="510" t="s">
        <v>1677</v>
      </c>
      <c r="AS847" s="495"/>
      <c r="AT847" s="495"/>
      <c r="AU847" s="495"/>
      <c r="AV847" s="506">
        <v>0.45500000000000002</v>
      </c>
    </row>
    <row r="848" spans="1:48" s="471" customFormat="1" ht="15" customHeight="1">
      <c r="A848" s="472"/>
      <c r="B848" s="472"/>
      <c r="C848" s="472"/>
      <c r="D848" s="512" t="s">
        <v>3186</v>
      </c>
      <c r="E848" s="474" t="s">
        <v>3215</v>
      </c>
      <c r="F848" s="501"/>
      <c r="G848" s="501"/>
      <c r="H848" s="501"/>
      <c r="I848" s="496" t="s">
        <v>1676</v>
      </c>
      <c r="J848" s="502"/>
      <c r="K848" s="503" t="s">
        <v>4818</v>
      </c>
      <c r="L848" s="501" t="s">
        <v>3332</v>
      </c>
      <c r="M848" s="504">
        <v>44565</v>
      </c>
      <c r="N848" s="504">
        <v>44620</v>
      </c>
      <c r="O848" s="504"/>
      <c r="P848" s="502"/>
      <c r="Q848" s="502"/>
      <c r="R848" s="502"/>
      <c r="S848" s="501" t="s">
        <v>2379</v>
      </c>
      <c r="T848" s="501">
        <v>60</v>
      </c>
      <c r="U848" s="501"/>
      <c r="V848" s="501" t="s">
        <v>985</v>
      </c>
      <c r="W848" s="501">
        <v>400</v>
      </c>
      <c r="X848" s="505">
        <v>768</v>
      </c>
      <c r="Y848" s="491">
        <f t="shared" si="126"/>
        <v>307200</v>
      </c>
      <c r="Z848" s="506">
        <v>0.45500000000000002</v>
      </c>
      <c r="AA848" s="492">
        <f t="shared" si="129"/>
        <v>139776</v>
      </c>
      <c r="AB848" s="480"/>
      <c r="AC848" s="481">
        <f t="shared" si="127"/>
        <v>0</v>
      </c>
      <c r="AD848" s="508"/>
      <c r="AE848" s="507"/>
      <c r="AF848" s="493">
        <f t="shared" si="128"/>
        <v>139776</v>
      </c>
      <c r="AG848" s="501" t="s">
        <v>1071</v>
      </c>
      <c r="AH848" s="501"/>
      <c r="AI848" s="503" t="s">
        <v>2442</v>
      </c>
      <c r="AJ848" s="501" t="s">
        <v>3333</v>
      </c>
      <c r="AK848" s="509" t="s">
        <v>1144</v>
      </c>
      <c r="AL848" s="501">
        <v>79423</v>
      </c>
      <c r="AM848" s="501" t="s">
        <v>52</v>
      </c>
      <c r="AN848" s="501"/>
      <c r="AO848" s="501"/>
      <c r="AP848" s="510"/>
      <c r="AQ848" s="510" t="s">
        <v>37</v>
      </c>
      <c r="AR848" s="510" t="s">
        <v>1677</v>
      </c>
      <c r="AS848" s="495"/>
      <c r="AT848" s="495"/>
      <c r="AU848" s="495"/>
      <c r="AV848" s="506">
        <v>0.45500000000000002</v>
      </c>
    </row>
    <row r="849" spans="1:48" s="471" customFormat="1" ht="15" customHeight="1">
      <c r="A849" s="472"/>
      <c r="B849" s="472"/>
      <c r="C849" s="472"/>
      <c r="D849" s="512" t="s">
        <v>3186</v>
      </c>
      <c r="E849" s="474" t="s">
        <v>3215</v>
      </c>
      <c r="F849" s="501"/>
      <c r="G849" s="501"/>
      <c r="H849" s="501"/>
      <c r="I849" s="496" t="s">
        <v>1676</v>
      </c>
      <c r="J849" s="502"/>
      <c r="K849" s="503" t="s">
        <v>4819</v>
      </c>
      <c r="L849" s="501" t="s">
        <v>3332</v>
      </c>
      <c r="M849" s="504">
        <v>44565</v>
      </c>
      <c r="N849" s="504">
        <v>44627</v>
      </c>
      <c r="O849" s="504"/>
      <c r="P849" s="502"/>
      <c r="Q849" s="502"/>
      <c r="R849" s="502"/>
      <c r="S849" s="501" t="s">
        <v>2379</v>
      </c>
      <c r="T849" s="501">
        <v>60</v>
      </c>
      <c r="U849" s="501"/>
      <c r="V849" s="501" t="s">
        <v>985</v>
      </c>
      <c r="W849" s="501">
        <v>400</v>
      </c>
      <c r="X849" s="505">
        <v>2304</v>
      </c>
      <c r="Y849" s="491">
        <f t="shared" si="126"/>
        <v>921600</v>
      </c>
      <c r="Z849" s="506">
        <v>0.45500000000000002</v>
      </c>
      <c r="AA849" s="492">
        <f t="shared" si="129"/>
        <v>419328</v>
      </c>
      <c r="AB849" s="480"/>
      <c r="AC849" s="481">
        <f t="shared" si="127"/>
        <v>0</v>
      </c>
      <c r="AD849" s="508"/>
      <c r="AE849" s="507"/>
      <c r="AF849" s="493">
        <f t="shared" si="128"/>
        <v>419328</v>
      </c>
      <c r="AG849" s="501" t="s">
        <v>1071</v>
      </c>
      <c r="AH849" s="501"/>
      <c r="AI849" s="503" t="s">
        <v>2442</v>
      </c>
      <c r="AJ849" s="501" t="s">
        <v>3333</v>
      </c>
      <c r="AK849" s="509" t="s">
        <v>1144</v>
      </c>
      <c r="AL849" s="501">
        <v>79423</v>
      </c>
      <c r="AM849" s="501" t="s">
        <v>52</v>
      </c>
      <c r="AN849" s="501"/>
      <c r="AO849" s="501"/>
      <c r="AP849" s="510"/>
      <c r="AQ849" s="510" t="s">
        <v>37</v>
      </c>
      <c r="AR849" s="510" t="s">
        <v>1677</v>
      </c>
      <c r="AS849" s="495"/>
      <c r="AT849" s="495"/>
      <c r="AU849" s="495"/>
      <c r="AV849" s="506">
        <v>0.45500000000000002</v>
      </c>
    </row>
    <row r="850" spans="1:48" s="471" customFormat="1" ht="15" customHeight="1">
      <c r="A850" s="472"/>
      <c r="B850" s="472"/>
      <c r="C850" s="472"/>
      <c r="D850" s="512" t="s">
        <v>3186</v>
      </c>
      <c r="E850" s="474" t="s">
        <v>3215</v>
      </c>
      <c r="F850" s="501"/>
      <c r="G850" s="501"/>
      <c r="H850" s="501"/>
      <c r="I850" s="496" t="s">
        <v>1676</v>
      </c>
      <c r="J850" s="502"/>
      <c r="K850" s="503" t="s">
        <v>4820</v>
      </c>
      <c r="L850" s="501" t="s">
        <v>3332</v>
      </c>
      <c r="M850" s="504">
        <v>44565</v>
      </c>
      <c r="N850" s="504">
        <v>44634</v>
      </c>
      <c r="O850" s="504"/>
      <c r="P850" s="502"/>
      <c r="Q850" s="502"/>
      <c r="R850" s="502"/>
      <c r="S850" s="501" t="s">
        <v>2379</v>
      </c>
      <c r="T850" s="501">
        <v>60</v>
      </c>
      <c r="U850" s="501"/>
      <c r="V850" s="501" t="s">
        <v>985</v>
      </c>
      <c r="W850" s="501">
        <v>400</v>
      </c>
      <c r="X850" s="505">
        <v>1536</v>
      </c>
      <c r="Y850" s="491">
        <f t="shared" si="126"/>
        <v>614400</v>
      </c>
      <c r="Z850" s="506">
        <v>0.45500000000000002</v>
      </c>
      <c r="AA850" s="492">
        <f t="shared" si="129"/>
        <v>279552</v>
      </c>
      <c r="AB850" s="480"/>
      <c r="AC850" s="481">
        <f t="shared" si="127"/>
        <v>0</v>
      </c>
      <c r="AD850" s="508"/>
      <c r="AE850" s="507"/>
      <c r="AF850" s="493">
        <f t="shared" si="128"/>
        <v>279552</v>
      </c>
      <c r="AG850" s="501" t="s">
        <v>1071</v>
      </c>
      <c r="AH850" s="501"/>
      <c r="AI850" s="503" t="s">
        <v>2442</v>
      </c>
      <c r="AJ850" s="501" t="s">
        <v>3333</v>
      </c>
      <c r="AK850" s="509" t="s">
        <v>1144</v>
      </c>
      <c r="AL850" s="501">
        <v>79423</v>
      </c>
      <c r="AM850" s="501" t="s">
        <v>52</v>
      </c>
      <c r="AN850" s="501"/>
      <c r="AO850" s="501"/>
      <c r="AP850" s="510"/>
      <c r="AQ850" s="510" t="s">
        <v>37</v>
      </c>
      <c r="AR850" s="510" t="s">
        <v>1677</v>
      </c>
      <c r="AS850" s="495"/>
      <c r="AT850" s="495"/>
      <c r="AU850" s="495"/>
      <c r="AV850" s="506">
        <v>0.45500000000000002</v>
      </c>
    </row>
    <row r="851" spans="1:48" s="471" customFormat="1" ht="15" customHeight="1">
      <c r="A851" s="472"/>
      <c r="B851" s="472"/>
      <c r="C851" s="472"/>
      <c r="D851" s="512" t="s">
        <v>3186</v>
      </c>
      <c r="E851" s="474" t="s">
        <v>3215</v>
      </c>
      <c r="F851" s="501"/>
      <c r="G851" s="501"/>
      <c r="H851" s="501"/>
      <c r="I851" s="496" t="s">
        <v>1676</v>
      </c>
      <c r="J851" s="502"/>
      <c r="K851" s="503" t="s">
        <v>4821</v>
      </c>
      <c r="L851" s="501" t="s">
        <v>3332</v>
      </c>
      <c r="M851" s="504">
        <v>44565</v>
      </c>
      <c r="N851" s="504">
        <v>44641</v>
      </c>
      <c r="O851" s="504"/>
      <c r="P851" s="502"/>
      <c r="Q851" s="502"/>
      <c r="R851" s="502"/>
      <c r="S851" s="501" t="s">
        <v>2379</v>
      </c>
      <c r="T851" s="501">
        <v>60</v>
      </c>
      <c r="U851" s="501"/>
      <c r="V851" s="501" t="s">
        <v>985</v>
      </c>
      <c r="W851" s="501">
        <v>400</v>
      </c>
      <c r="X851" s="505">
        <v>1536</v>
      </c>
      <c r="Y851" s="491">
        <f t="shared" si="126"/>
        <v>614400</v>
      </c>
      <c r="Z851" s="506">
        <v>0.45500000000000002</v>
      </c>
      <c r="AA851" s="492">
        <f t="shared" si="129"/>
        <v>279552</v>
      </c>
      <c r="AB851" s="480"/>
      <c r="AC851" s="481">
        <f t="shared" si="127"/>
        <v>0</v>
      </c>
      <c r="AD851" s="508"/>
      <c r="AE851" s="507"/>
      <c r="AF851" s="493">
        <f t="shared" si="128"/>
        <v>279552</v>
      </c>
      <c r="AG851" s="501" t="s">
        <v>1071</v>
      </c>
      <c r="AH851" s="501"/>
      <c r="AI851" s="503" t="s">
        <v>2442</v>
      </c>
      <c r="AJ851" s="501" t="s">
        <v>3333</v>
      </c>
      <c r="AK851" s="509" t="s">
        <v>1144</v>
      </c>
      <c r="AL851" s="501">
        <v>79423</v>
      </c>
      <c r="AM851" s="501" t="s">
        <v>52</v>
      </c>
      <c r="AN851" s="501"/>
      <c r="AO851" s="501"/>
      <c r="AP851" s="510"/>
      <c r="AQ851" s="510" t="s">
        <v>37</v>
      </c>
      <c r="AR851" s="510" t="s">
        <v>1677</v>
      </c>
      <c r="AS851" s="495"/>
      <c r="AT851" s="495"/>
      <c r="AU851" s="495"/>
      <c r="AV851" s="506">
        <v>0.45500000000000002</v>
      </c>
    </row>
    <row r="852" spans="1:48" s="471" customFormat="1" ht="15" customHeight="1">
      <c r="A852" s="472"/>
      <c r="B852" s="472"/>
      <c r="C852" s="472"/>
      <c r="D852" s="512" t="s">
        <v>3186</v>
      </c>
      <c r="E852" s="474" t="s">
        <v>3215</v>
      </c>
      <c r="F852" s="501"/>
      <c r="G852" s="501"/>
      <c r="H852" s="501"/>
      <c r="I852" s="496" t="s">
        <v>1676</v>
      </c>
      <c r="J852" s="502"/>
      <c r="K852" s="503" t="s">
        <v>4822</v>
      </c>
      <c r="L852" s="501" t="s">
        <v>3332</v>
      </c>
      <c r="M852" s="504">
        <v>44565</v>
      </c>
      <c r="N852" s="504">
        <v>44648</v>
      </c>
      <c r="O852" s="504"/>
      <c r="P852" s="502"/>
      <c r="Q852" s="502"/>
      <c r="R852" s="502"/>
      <c r="S852" s="501" t="s">
        <v>2379</v>
      </c>
      <c r="T852" s="501">
        <v>60</v>
      </c>
      <c r="U852" s="501"/>
      <c r="V852" s="501" t="s">
        <v>985</v>
      </c>
      <c r="W852" s="501">
        <v>400</v>
      </c>
      <c r="X852" s="505">
        <v>768</v>
      </c>
      <c r="Y852" s="491">
        <f t="shared" si="126"/>
        <v>307200</v>
      </c>
      <c r="Z852" s="506">
        <v>0.45500000000000002</v>
      </c>
      <c r="AA852" s="492">
        <f t="shared" si="129"/>
        <v>139776</v>
      </c>
      <c r="AB852" s="480"/>
      <c r="AC852" s="481">
        <f t="shared" si="127"/>
        <v>0</v>
      </c>
      <c r="AD852" s="508"/>
      <c r="AE852" s="507"/>
      <c r="AF852" s="493">
        <f t="shared" si="128"/>
        <v>139776</v>
      </c>
      <c r="AG852" s="501" t="s">
        <v>1071</v>
      </c>
      <c r="AH852" s="501"/>
      <c r="AI852" s="503" t="s">
        <v>2442</v>
      </c>
      <c r="AJ852" s="501" t="s">
        <v>3333</v>
      </c>
      <c r="AK852" s="509" t="s">
        <v>1144</v>
      </c>
      <c r="AL852" s="501">
        <v>79423</v>
      </c>
      <c r="AM852" s="501" t="s">
        <v>52</v>
      </c>
      <c r="AN852" s="501"/>
      <c r="AO852" s="501"/>
      <c r="AP852" s="510"/>
      <c r="AQ852" s="510" t="s">
        <v>37</v>
      </c>
      <c r="AR852" s="510" t="s">
        <v>1677</v>
      </c>
      <c r="AS852" s="495"/>
      <c r="AT852" s="495"/>
      <c r="AU852" s="495"/>
      <c r="AV852" s="506">
        <v>0.45500000000000002</v>
      </c>
    </row>
    <row r="853" spans="1:48" s="471" customFormat="1" ht="15" customHeight="1">
      <c r="A853" s="472"/>
      <c r="B853" s="514">
        <v>44648</v>
      </c>
      <c r="C853" s="472"/>
      <c r="D853" s="512" t="s">
        <v>3186</v>
      </c>
      <c r="E853" s="501" t="s">
        <v>3044</v>
      </c>
      <c r="F853" s="501"/>
      <c r="G853" s="501">
        <v>2022</v>
      </c>
      <c r="H853" s="501"/>
      <c r="I853" s="496" t="s">
        <v>1676</v>
      </c>
      <c r="J853" s="502"/>
      <c r="K853" s="503" t="s">
        <v>4823</v>
      </c>
      <c r="L853" s="501" t="s">
        <v>3332</v>
      </c>
      <c r="M853" s="504">
        <v>44648</v>
      </c>
      <c r="N853" s="504">
        <v>44648</v>
      </c>
      <c r="O853" s="504">
        <v>44713</v>
      </c>
      <c r="P853" s="502"/>
      <c r="Q853" s="502"/>
      <c r="R853" s="502"/>
      <c r="S853" s="501" t="s">
        <v>2379</v>
      </c>
      <c r="T853" s="501">
        <v>60</v>
      </c>
      <c r="U853" s="501"/>
      <c r="V853" s="501" t="s">
        <v>973</v>
      </c>
      <c r="W853" s="501">
        <v>400</v>
      </c>
      <c r="X853" s="505">
        <v>7680</v>
      </c>
      <c r="Y853" s="491">
        <f t="shared" si="126"/>
        <v>3072000</v>
      </c>
      <c r="Z853" s="506">
        <v>0.55000000000000004</v>
      </c>
      <c r="AA853" s="492">
        <f t="shared" si="129"/>
        <v>1689600.0000000002</v>
      </c>
      <c r="AB853" s="480"/>
      <c r="AC853" s="481">
        <f t="shared" si="127"/>
        <v>0</v>
      </c>
      <c r="AD853" s="508"/>
      <c r="AE853" s="507"/>
      <c r="AF853" s="493">
        <f t="shared" si="128"/>
        <v>1689600.0000000002</v>
      </c>
      <c r="AG853" s="501" t="s">
        <v>1071</v>
      </c>
      <c r="AH853" s="501"/>
      <c r="AI853" s="503" t="s">
        <v>2442</v>
      </c>
      <c r="AJ853" s="501" t="s">
        <v>3333</v>
      </c>
      <c r="AK853" s="509" t="s">
        <v>1144</v>
      </c>
      <c r="AL853" s="501">
        <v>79423</v>
      </c>
      <c r="AM853" s="501" t="s">
        <v>52</v>
      </c>
      <c r="AN853" s="501"/>
      <c r="AO853" s="501"/>
      <c r="AP853" s="510"/>
      <c r="AQ853" s="510" t="s">
        <v>37</v>
      </c>
      <c r="AR853" s="510"/>
      <c r="AS853" s="495"/>
      <c r="AT853" s="495"/>
      <c r="AU853" s="495"/>
      <c r="AV853" s="506">
        <v>0.45500000000000002</v>
      </c>
    </row>
    <row r="854" spans="1:48" s="471" customFormat="1" ht="15" customHeight="1">
      <c r="A854" s="472"/>
      <c r="B854" s="514">
        <v>44648</v>
      </c>
      <c r="C854" s="472"/>
      <c r="D854" s="512" t="s">
        <v>3186</v>
      </c>
      <c r="E854" s="501" t="s">
        <v>3044</v>
      </c>
      <c r="F854" s="501"/>
      <c r="G854" s="501">
        <v>2022</v>
      </c>
      <c r="H854" s="501"/>
      <c r="I854" s="496" t="s">
        <v>1676</v>
      </c>
      <c r="J854" s="502"/>
      <c r="K854" s="503" t="s">
        <v>4824</v>
      </c>
      <c r="L854" s="501" t="s">
        <v>3332</v>
      </c>
      <c r="M854" s="504">
        <v>44648</v>
      </c>
      <c r="N854" s="504">
        <v>44648</v>
      </c>
      <c r="O854" s="504">
        <v>44743</v>
      </c>
      <c r="P854" s="502"/>
      <c r="Q854" s="502"/>
      <c r="R854" s="502"/>
      <c r="S854" s="501" t="s">
        <v>2379</v>
      </c>
      <c r="T854" s="501">
        <v>60</v>
      </c>
      <c r="U854" s="501"/>
      <c r="V854" s="501" t="s">
        <v>973</v>
      </c>
      <c r="W854" s="501">
        <v>400</v>
      </c>
      <c r="X854" s="505">
        <v>7680</v>
      </c>
      <c r="Y854" s="491">
        <f t="shared" si="126"/>
        <v>3072000</v>
      </c>
      <c r="Z854" s="506">
        <v>0.55000000000000004</v>
      </c>
      <c r="AA854" s="492">
        <f t="shared" si="129"/>
        <v>1689600.0000000002</v>
      </c>
      <c r="AB854" s="480"/>
      <c r="AC854" s="481">
        <f t="shared" si="127"/>
        <v>0</v>
      </c>
      <c r="AD854" s="508"/>
      <c r="AE854" s="507"/>
      <c r="AF854" s="493">
        <f t="shared" si="128"/>
        <v>1689600.0000000002</v>
      </c>
      <c r="AG854" s="501" t="s">
        <v>1071</v>
      </c>
      <c r="AH854" s="501"/>
      <c r="AI854" s="503" t="s">
        <v>2442</v>
      </c>
      <c r="AJ854" s="501" t="s">
        <v>3333</v>
      </c>
      <c r="AK854" s="509" t="s">
        <v>1144</v>
      </c>
      <c r="AL854" s="501">
        <v>79423</v>
      </c>
      <c r="AM854" s="501" t="s">
        <v>52</v>
      </c>
      <c r="AN854" s="501"/>
      <c r="AO854" s="501"/>
      <c r="AP854" s="510"/>
      <c r="AQ854" s="510" t="s">
        <v>37</v>
      </c>
      <c r="AR854" s="510"/>
      <c r="AS854" s="495"/>
      <c r="AT854" s="495"/>
      <c r="AU854" s="495"/>
      <c r="AV854" s="506">
        <v>0.45500000000000002</v>
      </c>
    </row>
    <row r="855" spans="1:48" s="471" customFormat="1" ht="15" customHeight="1">
      <c r="A855" s="472"/>
      <c r="B855" s="514">
        <v>44648</v>
      </c>
      <c r="C855" s="472"/>
      <c r="D855" s="512" t="s">
        <v>3186</v>
      </c>
      <c r="E855" s="501" t="s">
        <v>3044</v>
      </c>
      <c r="F855" s="501"/>
      <c r="G855" s="501">
        <v>2022</v>
      </c>
      <c r="H855" s="501"/>
      <c r="I855" s="496" t="s">
        <v>1676</v>
      </c>
      <c r="J855" s="502"/>
      <c r="K855" s="503" t="s">
        <v>4825</v>
      </c>
      <c r="L855" s="501" t="s">
        <v>3332</v>
      </c>
      <c r="M855" s="504">
        <v>44648</v>
      </c>
      <c r="N855" s="504">
        <v>44648</v>
      </c>
      <c r="O855" s="504">
        <v>44774</v>
      </c>
      <c r="P855" s="502"/>
      <c r="Q855" s="502"/>
      <c r="R855" s="502"/>
      <c r="S855" s="501" t="s">
        <v>2379</v>
      </c>
      <c r="T855" s="501">
        <v>60</v>
      </c>
      <c r="U855" s="501"/>
      <c r="V855" s="501" t="s">
        <v>973</v>
      </c>
      <c r="W855" s="501">
        <v>400</v>
      </c>
      <c r="X855" s="505">
        <v>7680</v>
      </c>
      <c r="Y855" s="491">
        <f t="shared" ref="Y855:Y933" si="130">X855*W855</f>
        <v>3072000</v>
      </c>
      <c r="Z855" s="506">
        <v>0.55000000000000004</v>
      </c>
      <c r="AA855" s="492">
        <f t="shared" si="129"/>
        <v>1689600.0000000002</v>
      </c>
      <c r="AB855" s="480"/>
      <c r="AC855" s="481">
        <f t="shared" ref="AC855:AC933" si="131">AB855*Y855</f>
        <v>0</v>
      </c>
      <c r="AD855" s="508"/>
      <c r="AE855" s="507"/>
      <c r="AF855" s="493">
        <f t="shared" ref="AF855:AF933" si="132">AE855+AD855+AA855</f>
        <v>1689600.0000000002</v>
      </c>
      <c r="AG855" s="501" t="s">
        <v>1071</v>
      </c>
      <c r="AH855" s="501"/>
      <c r="AI855" s="503" t="s">
        <v>2442</v>
      </c>
      <c r="AJ855" s="501" t="s">
        <v>3333</v>
      </c>
      <c r="AK855" s="509" t="s">
        <v>1144</v>
      </c>
      <c r="AL855" s="501">
        <v>79423</v>
      </c>
      <c r="AM855" s="501" t="s">
        <v>52</v>
      </c>
      <c r="AN855" s="501"/>
      <c r="AO855" s="501"/>
      <c r="AP855" s="510"/>
      <c r="AQ855" s="510" t="s">
        <v>37</v>
      </c>
      <c r="AR855" s="510"/>
      <c r="AS855" s="495"/>
      <c r="AT855" s="495"/>
      <c r="AU855" s="495"/>
      <c r="AV855" s="506">
        <v>0.45500000000000002</v>
      </c>
    </row>
    <row r="856" spans="1:48" s="471" customFormat="1" ht="15" customHeight="1">
      <c r="A856" s="472"/>
      <c r="B856" s="514">
        <v>44651</v>
      </c>
      <c r="C856" s="472"/>
      <c r="D856" s="512" t="s">
        <v>3186</v>
      </c>
      <c r="E856" s="501" t="s">
        <v>4826</v>
      </c>
      <c r="F856" s="501"/>
      <c r="G856" s="501">
        <v>2022</v>
      </c>
      <c r="H856" s="501"/>
      <c r="I856" s="496" t="s">
        <v>1676</v>
      </c>
      <c r="J856" s="502"/>
      <c r="K856" s="503" t="s">
        <v>4827</v>
      </c>
      <c r="L856" s="501" t="s">
        <v>3332</v>
      </c>
      <c r="M856" s="504">
        <v>44651</v>
      </c>
      <c r="N856" s="504">
        <v>44835</v>
      </c>
      <c r="O856" s="504"/>
      <c r="P856" s="502"/>
      <c r="Q856" s="502"/>
      <c r="R856" s="502"/>
      <c r="S856" s="501" t="s">
        <v>2379</v>
      </c>
      <c r="T856" s="501">
        <v>60</v>
      </c>
      <c r="U856" s="501"/>
      <c r="V856" s="501" t="s">
        <v>973</v>
      </c>
      <c r="W856" s="501">
        <v>400</v>
      </c>
      <c r="X856" s="505">
        <v>6144</v>
      </c>
      <c r="Y856" s="491">
        <f t="shared" si="130"/>
        <v>2457600</v>
      </c>
      <c r="Z856" s="506">
        <v>0.55000000000000004</v>
      </c>
      <c r="AA856" s="492">
        <f t="shared" si="129"/>
        <v>1351680</v>
      </c>
      <c r="AB856" s="480"/>
      <c r="AC856" s="481">
        <f t="shared" si="131"/>
        <v>0</v>
      </c>
      <c r="AD856" s="508"/>
      <c r="AE856" s="507"/>
      <c r="AF856" s="493">
        <f t="shared" si="132"/>
        <v>1351680</v>
      </c>
      <c r="AG856" s="501" t="s">
        <v>1071</v>
      </c>
      <c r="AH856" s="501"/>
      <c r="AI856" s="503" t="s">
        <v>2442</v>
      </c>
      <c r="AJ856" s="501" t="s">
        <v>3333</v>
      </c>
      <c r="AK856" s="509" t="s">
        <v>1144</v>
      </c>
      <c r="AL856" s="501">
        <v>79423</v>
      </c>
      <c r="AM856" s="501" t="s">
        <v>52</v>
      </c>
      <c r="AN856" s="501"/>
      <c r="AO856" s="501"/>
      <c r="AP856" s="510"/>
      <c r="AQ856" s="510" t="s">
        <v>37</v>
      </c>
      <c r="AR856" s="510"/>
      <c r="AS856" s="495"/>
      <c r="AT856" s="495"/>
      <c r="AU856" s="495"/>
      <c r="AV856" s="506">
        <v>0.45500000000000002</v>
      </c>
    </row>
    <row r="857" spans="1:48" s="471" customFormat="1" ht="15" customHeight="1">
      <c r="A857" s="472"/>
      <c r="B857" s="514">
        <v>44651</v>
      </c>
      <c r="C857" s="472"/>
      <c r="D857" s="512" t="s">
        <v>3186</v>
      </c>
      <c r="E857" s="501" t="s">
        <v>4826</v>
      </c>
      <c r="F857" s="501"/>
      <c r="G857" s="501">
        <v>2022</v>
      </c>
      <c r="H857" s="501"/>
      <c r="I857" s="496" t="s">
        <v>1676</v>
      </c>
      <c r="J857" s="502"/>
      <c r="K857" s="503" t="s">
        <v>4828</v>
      </c>
      <c r="L857" s="501" t="s">
        <v>3332</v>
      </c>
      <c r="M857" s="504">
        <v>44651</v>
      </c>
      <c r="N857" s="504">
        <v>44866</v>
      </c>
      <c r="O857" s="504"/>
      <c r="P857" s="502"/>
      <c r="Q857" s="502"/>
      <c r="R857" s="502"/>
      <c r="S857" s="501" t="s">
        <v>2379</v>
      </c>
      <c r="T857" s="501">
        <v>60</v>
      </c>
      <c r="U857" s="501"/>
      <c r="V857" s="501" t="s">
        <v>973</v>
      </c>
      <c r="W857" s="501">
        <v>400</v>
      </c>
      <c r="X857" s="505">
        <v>6144</v>
      </c>
      <c r="Y857" s="491">
        <f t="shared" si="130"/>
        <v>2457600</v>
      </c>
      <c r="Z857" s="506">
        <v>0.55000000000000004</v>
      </c>
      <c r="AA857" s="492">
        <f t="shared" si="129"/>
        <v>1351680</v>
      </c>
      <c r="AB857" s="480"/>
      <c r="AC857" s="481">
        <f t="shared" si="131"/>
        <v>0</v>
      </c>
      <c r="AD857" s="508"/>
      <c r="AE857" s="507"/>
      <c r="AF857" s="493">
        <f t="shared" si="132"/>
        <v>1351680</v>
      </c>
      <c r="AG857" s="501" t="s">
        <v>1071</v>
      </c>
      <c r="AH857" s="501"/>
      <c r="AI857" s="503" t="s">
        <v>2442</v>
      </c>
      <c r="AJ857" s="501" t="s">
        <v>3333</v>
      </c>
      <c r="AK857" s="509" t="s">
        <v>1144</v>
      </c>
      <c r="AL857" s="501">
        <v>79423</v>
      </c>
      <c r="AM857" s="501" t="s">
        <v>52</v>
      </c>
      <c r="AN857" s="501"/>
      <c r="AO857" s="501"/>
      <c r="AP857" s="510"/>
      <c r="AQ857" s="510" t="s">
        <v>37</v>
      </c>
      <c r="AR857" s="510"/>
      <c r="AS857" s="495"/>
      <c r="AT857" s="495"/>
      <c r="AU857" s="495"/>
      <c r="AV857" s="506">
        <v>0.45500000000000002</v>
      </c>
    </row>
    <row r="858" spans="1:48" s="471" customFormat="1" ht="15" customHeight="1">
      <c r="A858" s="472"/>
      <c r="B858" s="514">
        <v>44651</v>
      </c>
      <c r="C858" s="472"/>
      <c r="D858" s="512" t="s">
        <v>3186</v>
      </c>
      <c r="E858" s="501" t="s">
        <v>4826</v>
      </c>
      <c r="F858" s="501"/>
      <c r="G858" s="501">
        <v>2022</v>
      </c>
      <c r="H858" s="501"/>
      <c r="I858" s="496" t="s">
        <v>1676</v>
      </c>
      <c r="J858" s="502"/>
      <c r="K858" s="503" t="s">
        <v>4829</v>
      </c>
      <c r="L858" s="501" t="s">
        <v>3332</v>
      </c>
      <c r="M858" s="504">
        <v>44651</v>
      </c>
      <c r="N858" s="504">
        <v>44896</v>
      </c>
      <c r="O858" s="504"/>
      <c r="P858" s="502"/>
      <c r="Q858" s="502"/>
      <c r="R858" s="502"/>
      <c r="S858" s="501" t="s">
        <v>2379</v>
      </c>
      <c r="T858" s="501">
        <v>60</v>
      </c>
      <c r="U858" s="501"/>
      <c r="V858" s="501" t="s">
        <v>973</v>
      </c>
      <c r="W858" s="501">
        <v>400</v>
      </c>
      <c r="X858" s="505">
        <v>6144</v>
      </c>
      <c r="Y858" s="491">
        <f t="shared" si="130"/>
        <v>2457600</v>
      </c>
      <c r="Z858" s="506">
        <v>0.55000000000000004</v>
      </c>
      <c r="AA858" s="492">
        <f t="shared" si="129"/>
        <v>1351680</v>
      </c>
      <c r="AB858" s="480"/>
      <c r="AC858" s="481">
        <f t="shared" si="131"/>
        <v>0</v>
      </c>
      <c r="AD858" s="508"/>
      <c r="AE858" s="507"/>
      <c r="AF858" s="493">
        <f t="shared" si="132"/>
        <v>1351680</v>
      </c>
      <c r="AG858" s="501" t="s">
        <v>1071</v>
      </c>
      <c r="AH858" s="501"/>
      <c r="AI858" s="503" t="s">
        <v>2442</v>
      </c>
      <c r="AJ858" s="501" t="s">
        <v>3333</v>
      </c>
      <c r="AK858" s="509" t="s">
        <v>1144</v>
      </c>
      <c r="AL858" s="501">
        <v>79423</v>
      </c>
      <c r="AM858" s="501" t="s">
        <v>52</v>
      </c>
      <c r="AN858" s="501"/>
      <c r="AO858" s="501"/>
      <c r="AP858" s="510"/>
      <c r="AQ858" s="510" t="s">
        <v>37</v>
      </c>
      <c r="AR858" s="510"/>
      <c r="AS858" s="495"/>
      <c r="AT858" s="495"/>
      <c r="AU858" s="495"/>
      <c r="AV858" s="506">
        <v>0.45500000000000002</v>
      </c>
    </row>
    <row r="859" spans="1:48" s="471" customFormat="1" ht="15" customHeight="1">
      <c r="A859" s="472"/>
      <c r="B859" s="514">
        <v>44651</v>
      </c>
      <c r="C859" s="472"/>
      <c r="D859" s="512" t="s">
        <v>3186</v>
      </c>
      <c r="E859" s="501" t="s">
        <v>4826</v>
      </c>
      <c r="F859" s="501"/>
      <c r="G859" s="501">
        <v>2023</v>
      </c>
      <c r="H859" s="501"/>
      <c r="I859" s="496" t="s">
        <v>1676</v>
      </c>
      <c r="J859" s="502"/>
      <c r="K859" s="503" t="s">
        <v>4830</v>
      </c>
      <c r="L859" s="501" t="s">
        <v>3332</v>
      </c>
      <c r="M859" s="504">
        <v>44651</v>
      </c>
      <c r="N859" s="504">
        <v>44562</v>
      </c>
      <c r="O859" s="504"/>
      <c r="P859" s="502"/>
      <c r="Q859" s="502"/>
      <c r="R859" s="502"/>
      <c r="S859" s="501" t="s">
        <v>2379</v>
      </c>
      <c r="T859" s="501">
        <v>60</v>
      </c>
      <c r="U859" s="501"/>
      <c r="V859" s="501" t="s">
        <v>973</v>
      </c>
      <c r="W859" s="501">
        <v>400</v>
      </c>
      <c r="X859" s="505">
        <v>6144</v>
      </c>
      <c r="Y859" s="491">
        <f t="shared" si="130"/>
        <v>2457600</v>
      </c>
      <c r="Z859" s="506">
        <v>0.55000000000000004</v>
      </c>
      <c r="AA859" s="492">
        <f t="shared" si="129"/>
        <v>1351680</v>
      </c>
      <c r="AB859" s="480"/>
      <c r="AC859" s="481">
        <f t="shared" si="131"/>
        <v>0</v>
      </c>
      <c r="AD859" s="508"/>
      <c r="AE859" s="507"/>
      <c r="AF859" s="493">
        <f t="shared" si="132"/>
        <v>1351680</v>
      </c>
      <c r="AG859" s="501" t="s">
        <v>1071</v>
      </c>
      <c r="AH859" s="501"/>
      <c r="AI859" s="503" t="s">
        <v>2442</v>
      </c>
      <c r="AJ859" s="501" t="s">
        <v>3333</v>
      </c>
      <c r="AK859" s="509" t="s">
        <v>1144</v>
      </c>
      <c r="AL859" s="501">
        <v>79423</v>
      </c>
      <c r="AM859" s="501" t="s">
        <v>52</v>
      </c>
      <c r="AN859" s="501"/>
      <c r="AO859" s="501"/>
      <c r="AP859" s="510"/>
      <c r="AQ859" s="510" t="s">
        <v>37</v>
      </c>
      <c r="AR859" s="510"/>
      <c r="AS859" s="495"/>
      <c r="AT859" s="495"/>
      <c r="AU859" s="495"/>
      <c r="AV859" s="506">
        <v>0.45500000000000002</v>
      </c>
    </row>
    <row r="860" spans="1:48" s="471" customFormat="1" ht="15" customHeight="1">
      <c r="A860" s="472"/>
      <c r="B860" s="514">
        <v>44651</v>
      </c>
      <c r="C860" s="472"/>
      <c r="D860" s="512" t="s">
        <v>3186</v>
      </c>
      <c r="E860" s="501" t="s">
        <v>3044</v>
      </c>
      <c r="F860" s="501"/>
      <c r="G860" s="501">
        <v>2022</v>
      </c>
      <c r="H860" s="501"/>
      <c r="I860" s="496" t="s">
        <v>1676</v>
      </c>
      <c r="J860" s="502"/>
      <c r="K860" s="503" t="s">
        <v>4831</v>
      </c>
      <c r="L860" s="501" t="s">
        <v>2364</v>
      </c>
      <c r="M860" s="504">
        <v>44650</v>
      </c>
      <c r="N860" s="504">
        <v>44743</v>
      </c>
      <c r="O860" s="504"/>
      <c r="P860" s="502"/>
      <c r="Q860" s="502"/>
      <c r="R860" s="502"/>
      <c r="S860" s="501" t="s">
        <v>2379</v>
      </c>
      <c r="T860" s="501">
        <v>60</v>
      </c>
      <c r="U860" s="501"/>
      <c r="V860" s="501" t="s">
        <v>973</v>
      </c>
      <c r="W860" s="501">
        <v>400</v>
      </c>
      <c r="X860" s="505">
        <v>4992</v>
      </c>
      <c r="Y860" s="491">
        <f t="shared" si="130"/>
        <v>1996800</v>
      </c>
      <c r="Z860" s="506">
        <v>0.55000000000000004</v>
      </c>
      <c r="AA860" s="492">
        <f t="shared" si="129"/>
        <v>1098240</v>
      </c>
      <c r="AB860" s="480"/>
      <c r="AC860" s="481">
        <f t="shared" si="131"/>
        <v>0</v>
      </c>
      <c r="AD860" s="508"/>
      <c r="AE860" s="507"/>
      <c r="AF860" s="493">
        <f t="shared" si="132"/>
        <v>1098240</v>
      </c>
      <c r="AG860" s="501" t="s">
        <v>1071</v>
      </c>
      <c r="AH860" s="501"/>
      <c r="AI860" s="503" t="s">
        <v>2442</v>
      </c>
      <c r="AJ860" s="501" t="s">
        <v>2366</v>
      </c>
      <c r="AK860" s="509" t="s">
        <v>1395</v>
      </c>
      <c r="AL860" s="501">
        <v>89118</v>
      </c>
      <c r="AM860" s="501" t="s">
        <v>52</v>
      </c>
      <c r="AN860" s="501"/>
      <c r="AO860" s="501"/>
      <c r="AP860" s="510"/>
      <c r="AQ860" s="510" t="s">
        <v>37</v>
      </c>
      <c r="AR860" s="510"/>
      <c r="AS860" s="495"/>
      <c r="AT860" s="495"/>
      <c r="AU860" s="495"/>
      <c r="AV860" s="506">
        <v>0.45500000000000002</v>
      </c>
    </row>
    <row r="861" spans="1:48" s="471" customFormat="1" ht="15" customHeight="1">
      <c r="A861" s="472"/>
      <c r="B861" s="514">
        <v>44651</v>
      </c>
      <c r="C861" s="472"/>
      <c r="D861" s="512" t="s">
        <v>3186</v>
      </c>
      <c r="E861" s="501" t="s">
        <v>3044</v>
      </c>
      <c r="F861" s="501"/>
      <c r="G861" s="501">
        <v>2022</v>
      </c>
      <c r="H861" s="501"/>
      <c r="I861" s="496" t="s">
        <v>1676</v>
      </c>
      <c r="J861" s="502"/>
      <c r="K861" s="503" t="s">
        <v>4832</v>
      </c>
      <c r="L861" s="501" t="s">
        <v>2364</v>
      </c>
      <c r="M861" s="504">
        <v>44650</v>
      </c>
      <c r="N861" s="504">
        <v>44774</v>
      </c>
      <c r="O861" s="504"/>
      <c r="P861" s="502"/>
      <c r="Q861" s="502"/>
      <c r="R861" s="502"/>
      <c r="S861" s="501" t="s">
        <v>2379</v>
      </c>
      <c r="T861" s="501">
        <v>60</v>
      </c>
      <c r="U861" s="501"/>
      <c r="V861" s="501" t="s">
        <v>973</v>
      </c>
      <c r="W861" s="501">
        <v>400</v>
      </c>
      <c r="X861" s="505">
        <v>4992</v>
      </c>
      <c r="Y861" s="491">
        <f t="shared" si="130"/>
        <v>1996800</v>
      </c>
      <c r="Z861" s="506">
        <v>0.55000000000000004</v>
      </c>
      <c r="AA861" s="492">
        <f t="shared" si="129"/>
        <v>1098240</v>
      </c>
      <c r="AB861" s="480"/>
      <c r="AC861" s="481">
        <f t="shared" si="131"/>
        <v>0</v>
      </c>
      <c r="AD861" s="508"/>
      <c r="AE861" s="507"/>
      <c r="AF861" s="493">
        <f t="shared" si="132"/>
        <v>1098240</v>
      </c>
      <c r="AG861" s="501" t="s">
        <v>1071</v>
      </c>
      <c r="AH861" s="501"/>
      <c r="AI861" s="503" t="s">
        <v>2442</v>
      </c>
      <c r="AJ861" s="501" t="s">
        <v>2366</v>
      </c>
      <c r="AK861" s="509" t="s">
        <v>1395</v>
      </c>
      <c r="AL861" s="501">
        <v>89118</v>
      </c>
      <c r="AM861" s="501" t="s">
        <v>52</v>
      </c>
      <c r="AN861" s="501"/>
      <c r="AO861" s="501"/>
      <c r="AP861" s="510"/>
      <c r="AQ861" s="510" t="s">
        <v>37</v>
      </c>
      <c r="AR861" s="510"/>
      <c r="AS861" s="495"/>
      <c r="AT861" s="495"/>
      <c r="AU861" s="495"/>
      <c r="AV861" s="506">
        <v>0.45500000000000002</v>
      </c>
    </row>
    <row r="862" spans="1:48" s="471" customFormat="1" ht="15" customHeight="1">
      <c r="A862" s="472"/>
      <c r="B862" s="514">
        <v>44651</v>
      </c>
      <c r="C862" s="472"/>
      <c r="D862" s="512" t="s">
        <v>3186</v>
      </c>
      <c r="E862" s="501" t="s">
        <v>3044</v>
      </c>
      <c r="F862" s="501"/>
      <c r="G862" s="501">
        <v>2022</v>
      </c>
      <c r="H862" s="501"/>
      <c r="I862" s="496" t="s">
        <v>1676</v>
      </c>
      <c r="J862" s="502"/>
      <c r="K862" s="503" t="s">
        <v>4833</v>
      </c>
      <c r="L862" s="501" t="s">
        <v>2364</v>
      </c>
      <c r="M862" s="504">
        <v>44650</v>
      </c>
      <c r="N862" s="504">
        <v>44805</v>
      </c>
      <c r="O862" s="504"/>
      <c r="P862" s="502"/>
      <c r="Q862" s="502"/>
      <c r="R862" s="502"/>
      <c r="S862" s="501" t="s">
        <v>2379</v>
      </c>
      <c r="T862" s="501">
        <v>60</v>
      </c>
      <c r="U862" s="501"/>
      <c r="V862" s="501" t="s">
        <v>973</v>
      </c>
      <c r="W862" s="501">
        <v>400</v>
      </c>
      <c r="X862" s="505">
        <v>4992</v>
      </c>
      <c r="Y862" s="491">
        <f t="shared" si="130"/>
        <v>1996800</v>
      </c>
      <c r="Z862" s="506">
        <v>0.55000000000000004</v>
      </c>
      <c r="AA862" s="492">
        <f t="shared" si="129"/>
        <v>1098240</v>
      </c>
      <c r="AB862" s="480"/>
      <c r="AC862" s="481">
        <f t="shared" si="131"/>
        <v>0</v>
      </c>
      <c r="AD862" s="508"/>
      <c r="AE862" s="507"/>
      <c r="AF862" s="493">
        <f t="shared" si="132"/>
        <v>1098240</v>
      </c>
      <c r="AG862" s="501" t="s">
        <v>1071</v>
      </c>
      <c r="AH862" s="501"/>
      <c r="AI862" s="503" t="s">
        <v>2442</v>
      </c>
      <c r="AJ862" s="501" t="s">
        <v>2366</v>
      </c>
      <c r="AK862" s="509" t="s">
        <v>1395</v>
      </c>
      <c r="AL862" s="501">
        <v>89118</v>
      </c>
      <c r="AM862" s="501" t="s">
        <v>52</v>
      </c>
      <c r="AN862" s="501"/>
      <c r="AO862" s="501"/>
      <c r="AP862" s="510"/>
      <c r="AQ862" s="510" t="s">
        <v>37</v>
      </c>
      <c r="AR862" s="510"/>
      <c r="AS862" s="495"/>
      <c r="AT862" s="495"/>
      <c r="AU862" s="495"/>
      <c r="AV862" s="506">
        <v>0.45500000000000002</v>
      </c>
    </row>
    <row r="863" spans="1:48" s="471" customFormat="1" ht="15" customHeight="1">
      <c r="A863" s="472"/>
      <c r="B863" s="514">
        <v>44651</v>
      </c>
      <c r="C863" s="472"/>
      <c r="D863" s="512" t="s">
        <v>3186</v>
      </c>
      <c r="E863" s="501" t="s">
        <v>3044</v>
      </c>
      <c r="F863" s="501"/>
      <c r="G863" s="501">
        <v>2022</v>
      </c>
      <c r="H863" s="501"/>
      <c r="I863" s="496" t="s">
        <v>1676</v>
      </c>
      <c r="J863" s="502"/>
      <c r="K863" s="503" t="s">
        <v>4834</v>
      </c>
      <c r="L863" s="501" t="s">
        <v>2364</v>
      </c>
      <c r="M863" s="504">
        <v>44650</v>
      </c>
      <c r="N863" s="504">
        <v>44837</v>
      </c>
      <c r="O863" s="504"/>
      <c r="P863" s="502"/>
      <c r="Q863" s="502"/>
      <c r="R863" s="502"/>
      <c r="S863" s="501" t="s">
        <v>2379</v>
      </c>
      <c r="T863" s="501">
        <v>60</v>
      </c>
      <c r="U863" s="501"/>
      <c r="V863" s="501" t="s">
        <v>973</v>
      </c>
      <c r="W863" s="501">
        <v>400</v>
      </c>
      <c r="X863" s="505">
        <v>5824</v>
      </c>
      <c r="Y863" s="491">
        <f t="shared" si="130"/>
        <v>2329600</v>
      </c>
      <c r="Z863" s="506">
        <v>0.55000000000000004</v>
      </c>
      <c r="AA863" s="492">
        <f t="shared" si="129"/>
        <v>1281280</v>
      </c>
      <c r="AB863" s="480"/>
      <c r="AC863" s="481">
        <f t="shared" si="131"/>
        <v>0</v>
      </c>
      <c r="AD863" s="508"/>
      <c r="AE863" s="507"/>
      <c r="AF863" s="493">
        <f t="shared" si="132"/>
        <v>1281280</v>
      </c>
      <c r="AG863" s="501" t="s">
        <v>1071</v>
      </c>
      <c r="AH863" s="501"/>
      <c r="AI863" s="503" t="s">
        <v>2442</v>
      </c>
      <c r="AJ863" s="501" t="s">
        <v>2366</v>
      </c>
      <c r="AK863" s="509" t="s">
        <v>1395</v>
      </c>
      <c r="AL863" s="501">
        <v>89118</v>
      </c>
      <c r="AM863" s="501" t="s">
        <v>52</v>
      </c>
      <c r="AN863" s="501"/>
      <c r="AO863" s="501"/>
      <c r="AP863" s="510"/>
      <c r="AQ863" s="510" t="s">
        <v>37</v>
      </c>
      <c r="AR863" s="510"/>
      <c r="AS863" s="495"/>
      <c r="AT863" s="495"/>
      <c r="AU863" s="495"/>
      <c r="AV863" s="506">
        <v>0.45500000000000002</v>
      </c>
    </row>
    <row r="864" spans="1:48" s="471" customFormat="1" ht="15" customHeight="1">
      <c r="A864" s="472"/>
      <c r="B864" s="514">
        <v>44651</v>
      </c>
      <c r="C864" s="472"/>
      <c r="D864" s="512" t="s">
        <v>3186</v>
      </c>
      <c r="E864" s="501" t="s">
        <v>3044</v>
      </c>
      <c r="F864" s="501"/>
      <c r="G864" s="501">
        <v>2022</v>
      </c>
      <c r="H864" s="501"/>
      <c r="I864" s="496" t="s">
        <v>1676</v>
      </c>
      <c r="J864" s="502"/>
      <c r="K864" s="503" t="s">
        <v>4835</v>
      </c>
      <c r="L864" s="501" t="s">
        <v>2364</v>
      </c>
      <c r="M864" s="504">
        <v>44650</v>
      </c>
      <c r="N864" s="504">
        <v>44866</v>
      </c>
      <c r="O864" s="504"/>
      <c r="P864" s="502"/>
      <c r="Q864" s="502"/>
      <c r="R864" s="502"/>
      <c r="S864" s="501" t="s">
        <v>2379</v>
      </c>
      <c r="T864" s="501">
        <v>60</v>
      </c>
      <c r="U864" s="501"/>
      <c r="V864" s="501" t="s">
        <v>973</v>
      </c>
      <c r="W864" s="501">
        <v>400</v>
      </c>
      <c r="X864" s="505">
        <v>5824</v>
      </c>
      <c r="Y864" s="491">
        <f t="shared" si="130"/>
        <v>2329600</v>
      </c>
      <c r="Z864" s="506">
        <v>0.55000000000000004</v>
      </c>
      <c r="AA864" s="492">
        <f t="shared" si="129"/>
        <v>1281280</v>
      </c>
      <c r="AB864" s="480"/>
      <c r="AC864" s="481">
        <f t="shared" si="131"/>
        <v>0</v>
      </c>
      <c r="AD864" s="508"/>
      <c r="AE864" s="507"/>
      <c r="AF864" s="493">
        <f t="shared" si="132"/>
        <v>1281280</v>
      </c>
      <c r="AG864" s="501" t="s">
        <v>1071</v>
      </c>
      <c r="AH864" s="501"/>
      <c r="AI864" s="503" t="s">
        <v>2442</v>
      </c>
      <c r="AJ864" s="501" t="s">
        <v>2366</v>
      </c>
      <c r="AK864" s="509" t="s">
        <v>1395</v>
      </c>
      <c r="AL864" s="501">
        <v>89118</v>
      </c>
      <c r="AM864" s="501" t="s">
        <v>52</v>
      </c>
      <c r="AN864" s="501"/>
      <c r="AO864" s="501"/>
      <c r="AP864" s="510"/>
      <c r="AQ864" s="510" t="s">
        <v>37</v>
      </c>
      <c r="AR864" s="510"/>
      <c r="AS864" s="495"/>
      <c r="AT864" s="495"/>
      <c r="AU864" s="495"/>
      <c r="AV864" s="506">
        <v>0.45500000000000002</v>
      </c>
    </row>
    <row r="865" spans="1:48" s="471" customFormat="1" ht="15" customHeight="1">
      <c r="A865" s="472"/>
      <c r="B865" s="514">
        <v>44651</v>
      </c>
      <c r="C865" s="472"/>
      <c r="D865" s="512" t="s">
        <v>3186</v>
      </c>
      <c r="E865" s="501" t="s">
        <v>3044</v>
      </c>
      <c r="F865" s="501"/>
      <c r="G865" s="501">
        <v>2022</v>
      </c>
      <c r="H865" s="501"/>
      <c r="I865" s="496" t="s">
        <v>1676</v>
      </c>
      <c r="J865" s="502"/>
      <c r="K865" s="503" t="s">
        <v>4836</v>
      </c>
      <c r="L865" s="501" t="s">
        <v>2364</v>
      </c>
      <c r="M865" s="504">
        <v>44650</v>
      </c>
      <c r="N865" s="504">
        <v>44896</v>
      </c>
      <c r="O865" s="504"/>
      <c r="P865" s="502"/>
      <c r="Q865" s="502"/>
      <c r="R865" s="502"/>
      <c r="S865" s="501" t="s">
        <v>2379</v>
      </c>
      <c r="T865" s="501">
        <v>60</v>
      </c>
      <c r="U865" s="501"/>
      <c r="V865" s="501" t="s">
        <v>973</v>
      </c>
      <c r="W865" s="501">
        <v>400</v>
      </c>
      <c r="X865" s="505">
        <v>5824</v>
      </c>
      <c r="Y865" s="491">
        <f t="shared" si="130"/>
        <v>2329600</v>
      </c>
      <c r="Z865" s="506">
        <v>0.55000000000000004</v>
      </c>
      <c r="AA865" s="492">
        <f t="shared" si="129"/>
        <v>1281280</v>
      </c>
      <c r="AB865" s="480"/>
      <c r="AC865" s="481">
        <f t="shared" si="131"/>
        <v>0</v>
      </c>
      <c r="AD865" s="508"/>
      <c r="AE865" s="507"/>
      <c r="AF865" s="493">
        <f t="shared" si="132"/>
        <v>1281280</v>
      </c>
      <c r="AG865" s="501" t="s">
        <v>1071</v>
      </c>
      <c r="AH865" s="501"/>
      <c r="AI865" s="503" t="s">
        <v>2442</v>
      </c>
      <c r="AJ865" s="501" t="s">
        <v>2366</v>
      </c>
      <c r="AK865" s="509" t="s">
        <v>1395</v>
      </c>
      <c r="AL865" s="501">
        <v>89118</v>
      </c>
      <c r="AM865" s="501" t="s">
        <v>52</v>
      </c>
      <c r="AN865" s="501"/>
      <c r="AO865" s="501"/>
      <c r="AP865" s="510"/>
      <c r="AQ865" s="510" t="s">
        <v>37</v>
      </c>
      <c r="AR865" s="510"/>
      <c r="AS865" s="495"/>
      <c r="AT865" s="495"/>
      <c r="AU865" s="495"/>
      <c r="AV865" s="506">
        <v>0.45500000000000002</v>
      </c>
    </row>
    <row r="866" spans="1:48" s="471" customFormat="1" ht="15" customHeight="1">
      <c r="A866" s="472"/>
      <c r="B866" s="514">
        <v>44638</v>
      </c>
      <c r="C866" s="514"/>
      <c r="D866" s="512" t="s">
        <v>3186</v>
      </c>
      <c r="E866" s="501"/>
      <c r="F866" s="501"/>
      <c r="G866" s="501">
        <v>2022</v>
      </c>
      <c r="H866" s="501"/>
      <c r="I866" s="496" t="s">
        <v>1676</v>
      </c>
      <c r="J866" s="502"/>
      <c r="K866" s="503" t="s">
        <v>4837</v>
      </c>
      <c r="L866" s="501" t="s">
        <v>3324</v>
      </c>
      <c r="M866" s="504">
        <v>44637</v>
      </c>
      <c r="N866" s="504">
        <v>44743</v>
      </c>
      <c r="O866" s="504"/>
      <c r="P866" s="502"/>
      <c r="Q866" s="502"/>
      <c r="R866" s="502"/>
      <c r="S866" s="501" t="s">
        <v>2379</v>
      </c>
      <c r="T866" s="501">
        <v>60</v>
      </c>
      <c r="U866" s="501"/>
      <c r="V866" s="501" t="s">
        <v>973</v>
      </c>
      <c r="W866" s="501">
        <v>400</v>
      </c>
      <c r="X866" s="505">
        <v>768</v>
      </c>
      <c r="Y866" s="491">
        <f t="shared" si="130"/>
        <v>307200</v>
      </c>
      <c r="Z866" s="506">
        <v>0.55000000000000004</v>
      </c>
      <c r="AA866" s="492">
        <f t="shared" si="129"/>
        <v>168960</v>
      </c>
      <c r="AB866" s="480"/>
      <c r="AC866" s="481">
        <f t="shared" si="131"/>
        <v>0</v>
      </c>
      <c r="AD866" s="508"/>
      <c r="AE866" s="507"/>
      <c r="AF866" s="493">
        <f t="shared" si="132"/>
        <v>168960</v>
      </c>
      <c r="AG866" s="501" t="s">
        <v>1071</v>
      </c>
      <c r="AH866" s="501"/>
      <c r="AI866" s="503" t="s">
        <v>2442</v>
      </c>
      <c r="AJ866" s="501" t="s">
        <v>2380</v>
      </c>
      <c r="AK866" s="509" t="s">
        <v>2381</v>
      </c>
      <c r="AL866" s="501">
        <v>87107</v>
      </c>
      <c r="AM866" s="501" t="s">
        <v>52</v>
      </c>
      <c r="AN866" s="501"/>
      <c r="AO866" s="501"/>
      <c r="AP866" s="510"/>
      <c r="AQ866" s="510" t="s">
        <v>37</v>
      </c>
      <c r="AR866" s="510"/>
      <c r="AS866" s="495"/>
      <c r="AT866" s="495"/>
      <c r="AU866" s="495"/>
      <c r="AV866" s="506">
        <v>0.45500000000000002</v>
      </c>
    </row>
    <row r="867" spans="1:48" s="471" customFormat="1" ht="15" customHeight="1">
      <c r="A867" s="472"/>
      <c r="B867" s="514">
        <v>44638</v>
      </c>
      <c r="C867" s="514"/>
      <c r="D867" s="512" t="s">
        <v>3186</v>
      </c>
      <c r="E867" s="501"/>
      <c r="F867" s="501"/>
      <c r="G867" s="501">
        <v>2022</v>
      </c>
      <c r="H867" s="501"/>
      <c r="I867" s="496" t="s">
        <v>1676</v>
      </c>
      <c r="J867" s="502"/>
      <c r="K867" s="503" t="s">
        <v>4838</v>
      </c>
      <c r="L867" s="501" t="s">
        <v>3324</v>
      </c>
      <c r="M867" s="504">
        <v>44637</v>
      </c>
      <c r="N867" s="504">
        <v>44774</v>
      </c>
      <c r="O867" s="504"/>
      <c r="P867" s="502"/>
      <c r="Q867" s="502"/>
      <c r="R867" s="502"/>
      <c r="S867" s="501" t="s">
        <v>2379</v>
      </c>
      <c r="T867" s="501">
        <v>60</v>
      </c>
      <c r="U867" s="501"/>
      <c r="V867" s="501" t="s">
        <v>973</v>
      </c>
      <c r="W867" s="501">
        <v>400</v>
      </c>
      <c r="X867" s="505">
        <v>1536</v>
      </c>
      <c r="Y867" s="491">
        <f t="shared" si="130"/>
        <v>614400</v>
      </c>
      <c r="Z867" s="506">
        <v>0.55000000000000004</v>
      </c>
      <c r="AA867" s="492">
        <f t="shared" si="129"/>
        <v>337920</v>
      </c>
      <c r="AB867" s="480"/>
      <c r="AC867" s="481">
        <f t="shared" si="131"/>
        <v>0</v>
      </c>
      <c r="AD867" s="508"/>
      <c r="AE867" s="507"/>
      <c r="AF867" s="493">
        <f t="shared" si="132"/>
        <v>337920</v>
      </c>
      <c r="AG867" s="501" t="s">
        <v>1071</v>
      </c>
      <c r="AH867" s="501"/>
      <c r="AI867" s="503" t="s">
        <v>2442</v>
      </c>
      <c r="AJ867" s="501" t="s">
        <v>2380</v>
      </c>
      <c r="AK867" s="509" t="s">
        <v>2381</v>
      </c>
      <c r="AL867" s="501">
        <v>87107</v>
      </c>
      <c r="AM867" s="501" t="s">
        <v>52</v>
      </c>
      <c r="AN867" s="501"/>
      <c r="AO867" s="501"/>
      <c r="AP867" s="510"/>
      <c r="AQ867" s="510" t="s">
        <v>37</v>
      </c>
      <c r="AR867" s="510"/>
      <c r="AS867" s="495"/>
      <c r="AT867" s="495"/>
      <c r="AU867" s="495"/>
      <c r="AV867" s="506">
        <v>0.45500000000000002</v>
      </c>
    </row>
    <row r="868" spans="1:48" s="471" customFormat="1" ht="15" customHeight="1">
      <c r="A868" s="472"/>
      <c r="B868" s="514">
        <v>44638</v>
      </c>
      <c r="C868" s="514"/>
      <c r="D868" s="512" t="s">
        <v>3186</v>
      </c>
      <c r="E868" s="501"/>
      <c r="F868" s="501"/>
      <c r="G868" s="501">
        <v>2022</v>
      </c>
      <c r="H868" s="501"/>
      <c r="I868" s="496" t="s">
        <v>1676</v>
      </c>
      <c r="J868" s="502"/>
      <c r="K868" s="503" t="s">
        <v>4839</v>
      </c>
      <c r="L868" s="501" t="s">
        <v>3324</v>
      </c>
      <c r="M868" s="504">
        <v>44637</v>
      </c>
      <c r="N868" s="504">
        <v>44805</v>
      </c>
      <c r="O868" s="504"/>
      <c r="P868" s="502"/>
      <c r="Q868" s="502"/>
      <c r="R868" s="502"/>
      <c r="S868" s="501" t="s">
        <v>2379</v>
      </c>
      <c r="T868" s="501">
        <v>60</v>
      </c>
      <c r="U868" s="501"/>
      <c r="V868" s="501" t="s">
        <v>973</v>
      </c>
      <c r="W868" s="501">
        <v>400</v>
      </c>
      <c r="X868" s="505">
        <v>768</v>
      </c>
      <c r="Y868" s="491">
        <f t="shared" si="130"/>
        <v>307200</v>
      </c>
      <c r="Z868" s="506">
        <v>0.55000000000000004</v>
      </c>
      <c r="AA868" s="492">
        <f t="shared" si="129"/>
        <v>168960</v>
      </c>
      <c r="AB868" s="480"/>
      <c r="AC868" s="481">
        <f t="shared" si="131"/>
        <v>0</v>
      </c>
      <c r="AD868" s="508"/>
      <c r="AE868" s="507"/>
      <c r="AF868" s="493">
        <f t="shared" si="132"/>
        <v>168960</v>
      </c>
      <c r="AG868" s="501" t="s">
        <v>1071</v>
      </c>
      <c r="AH868" s="501"/>
      <c r="AI868" s="503" t="s">
        <v>2442</v>
      </c>
      <c r="AJ868" s="501" t="s">
        <v>2380</v>
      </c>
      <c r="AK868" s="509" t="s">
        <v>2381</v>
      </c>
      <c r="AL868" s="501">
        <v>87107</v>
      </c>
      <c r="AM868" s="501" t="s">
        <v>52</v>
      </c>
      <c r="AN868" s="501"/>
      <c r="AO868" s="501"/>
      <c r="AP868" s="510"/>
      <c r="AQ868" s="510" t="s">
        <v>37</v>
      </c>
      <c r="AR868" s="510"/>
      <c r="AS868" s="495"/>
      <c r="AT868" s="495"/>
      <c r="AU868" s="495"/>
      <c r="AV868" s="506">
        <v>0.45500000000000002</v>
      </c>
    </row>
    <row r="869" spans="1:48" s="471" customFormat="1" ht="15" customHeight="1">
      <c r="A869" s="472"/>
      <c r="B869" s="472"/>
      <c r="C869" s="472"/>
      <c r="D869" s="512" t="s">
        <v>3186</v>
      </c>
      <c r="E869" s="501" t="s">
        <v>4806</v>
      </c>
      <c r="F869" s="501"/>
      <c r="G869" s="501"/>
      <c r="H869" s="501"/>
      <c r="I869" s="496" t="s">
        <v>1676</v>
      </c>
      <c r="J869" s="502"/>
      <c r="K869" s="503" t="s">
        <v>4840</v>
      </c>
      <c r="L869" s="501" t="s">
        <v>3243</v>
      </c>
      <c r="M869" s="504">
        <v>44538</v>
      </c>
      <c r="N869" s="504">
        <v>44774</v>
      </c>
      <c r="O869" s="504"/>
      <c r="P869" s="502"/>
      <c r="Q869" s="502"/>
      <c r="R869" s="502"/>
      <c r="S869" s="501" t="s">
        <v>2379</v>
      </c>
      <c r="T869" s="501">
        <v>60</v>
      </c>
      <c r="U869" s="501"/>
      <c r="V869" s="501" t="s">
        <v>985</v>
      </c>
      <c r="W869" s="501">
        <v>400</v>
      </c>
      <c r="X869" s="505">
        <v>1536</v>
      </c>
      <c r="Y869" s="491">
        <f t="shared" si="130"/>
        <v>614400</v>
      </c>
      <c r="Z869" s="478">
        <v>0.52</v>
      </c>
      <c r="AA869" s="492">
        <f t="shared" si="129"/>
        <v>319488</v>
      </c>
      <c r="AB869" s="480"/>
      <c r="AC869" s="481">
        <f t="shared" si="131"/>
        <v>0</v>
      </c>
      <c r="AD869" s="490"/>
      <c r="AE869" s="482"/>
      <c r="AF869" s="493">
        <f t="shared" si="132"/>
        <v>319488</v>
      </c>
      <c r="AG869" s="474" t="s">
        <v>1071</v>
      </c>
      <c r="AH869" s="474"/>
      <c r="AI869" s="483" t="s">
        <v>2442</v>
      </c>
      <c r="AJ869" s="474" t="s">
        <v>3244</v>
      </c>
      <c r="AK869" s="494" t="s">
        <v>2362</v>
      </c>
      <c r="AL869" s="474">
        <v>81006</v>
      </c>
      <c r="AM869" s="474" t="s">
        <v>52</v>
      </c>
      <c r="AN869" s="474"/>
      <c r="AO869" s="474"/>
      <c r="AP869" s="486"/>
      <c r="AQ869" s="486" t="s">
        <v>37</v>
      </c>
      <c r="AR869" s="486"/>
      <c r="AS869" s="495"/>
      <c r="AT869" s="495"/>
      <c r="AU869" s="495"/>
      <c r="AV869" s="478">
        <v>0.52</v>
      </c>
    </row>
    <row r="870" spans="1:48" s="471" customFormat="1" ht="15" customHeight="1">
      <c r="A870" s="472"/>
      <c r="B870" s="472"/>
      <c r="C870" s="472"/>
      <c r="D870" s="512" t="s">
        <v>3186</v>
      </c>
      <c r="E870" s="501" t="s">
        <v>4806</v>
      </c>
      <c r="F870" s="501"/>
      <c r="G870" s="501"/>
      <c r="H870" s="501"/>
      <c r="I870" s="496" t="s">
        <v>1676</v>
      </c>
      <c r="J870" s="502"/>
      <c r="K870" s="503" t="s">
        <v>4841</v>
      </c>
      <c r="L870" s="501" t="s">
        <v>3243</v>
      </c>
      <c r="M870" s="504">
        <v>44538</v>
      </c>
      <c r="N870" s="504">
        <v>44805</v>
      </c>
      <c r="O870" s="504"/>
      <c r="P870" s="502"/>
      <c r="Q870" s="502"/>
      <c r="R870" s="502"/>
      <c r="S870" s="501" t="s">
        <v>2379</v>
      </c>
      <c r="T870" s="501">
        <v>60</v>
      </c>
      <c r="U870" s="501"/>
      <c r="V870" s="501" t="s">
        <v>985</v>
      </c>
      <c r="W870" s="501">
        <v>400</v>
      </c>
      <c r="X870" s="505">
        <v>1536</v>
      </c>
      <c r="Y870" s="491">
        <f t="shared" si="130"/>
        <v>614400</v>
      </c>
      <c r="Z870" s="478">
        <v>0.52</v>
      </c>
      <c r="AA870" s="492">
        <f t="shared" si="129"/>
        <v>319488</v>
      </c>
      <c r="AB870" s="480"/>
      <c r="AC870" s="481">
        <f t="shared" si="131"/>
        <v>0</v>
      </c>
      <c r="AD870" s="490"/>
      <c r="AE870" s="482"/>
      <c r="AF870" s="493">
        <f t="shared" si="132"/>
        <v>319488</v>
      </c>
      <c r="AG870" s="474" t="s">
        <v>1071</v>
      </c>
      <c r="AH870" s="474"/>
      <c r="AI870" s="483" t="s">
        <v>2442</v>
      </c>
      <c r="AJ870" s="474" t="s">
        <v>3244</v>
      </c>
      <c r="AK870" s="494" t="s">
        <v>2362</v>
      </c>
      <c r="AL870" s="474">
        <v>81006</v>
      </c>
      <c r="AM870" s="474" t="s">
        <v>52</v>
      </c>
      <c r="AN870" s="474"/>
      <c r="AO870" s="474"/>
      <c r="AP870" s="486"/>
      <c r="AQ870" s="486" t="s">
        <v>37</v>
      </c>
      <c r="AR870" s="486"/>
      <c r="AS870" s="495"/>
      <c r="AT870" s="495"/>
      <c r="AU870" s="495"/>
      <c r="AV870" s="478">
        <v>0.52</v>
      </c>
    </row>
    <row r="871" spans="1:48" s="471" customFormat="1" ht="15" customHeight="1">
      <c r="A871" s="472"/>
      <c r="B871" s="472"/>
      <c r="C871" s="472"/>
      <c r="D871" s="512" t="s">
        <v>3186</v>
      </c>
      <c r="E871" s="501" t="s">
        <v>4806</v>
      </c>
      <c r="F871" s="501"/>
      <c r="G871" s="501"/>
      <c r="H871" s="501"/>
      <c r="I871" s="496" t="s">
        <v>1676</v>
      </c>
      <c r="J871" s="502"/>
      <c r="K871" s="503" t="s">
        <v>4842</v>
      </c>
      <c r="L871" s="501" t="s">
        <v>3243</v>
      </c>
      <c r="M871" s="504">
        <v>44538</v>
      </c>
      <c r="N871" s="504">
        <v>44835</v>
      </c>
      <c r="O871" s="504"/>
      <c r="P871" s="502"/>
      <c r="Q871" s="502"/>
      <c r="R871" s="502"/>
      <c r="S871" s="501" t="s">
        <v>2379</v>
      </c>
      <c r="T871" s="501">
        <v>60</v>
      </c>
      <c r="U871" s="501"/>
      <c r="V871" s="501" t="s">
        <v>985</v>
      </c>
      <c r="W871" s="501">
        <v>400</v>
      </c>
      <c r="X871" s="505">
        <v>2304</v>
      </c>
      <c r="Y871" s="491">
        <f t="shared" si="130"/>
        <v>921600</v>
      </c>
      <c r="Z871" s="478">
        <v>0.52</v>
      </c>
      <c r="AA871" s="492">
        <f t="shared" si="129"/>
        <v>479232</v>
      </c>
      <c r="AB871" s="480"/>
      <c r="AC871" s="481">
        <f t="shared" si="131"/>
        <v>0</v>
      </c>
      <c r="AD871" s="490"/>
      <c r="AE871" s="482"/>
      <c r="AF871" s="493">
        <f t="shared" si="132"/>
        <v>479232</v>
      </c>
      <c r="AG871" s="474" t="s">
        <v>1071</v>
      </c>
      <c r="AH871" s="474"/>
      <c r="AI871" s="483" t="s">
        <v>2442</v>
      </c>
      <c r="AJ871" s="474" t="s">
        <v>3244</v>
      </c>
      <c r="AK871" s="494" t="s">
        <v>2362</v>
      </c>
      <c r="AL871" s="474">
        <v>81006</v>
      </c>
      <c r="AM871" s="474" t="s">
        <v>52</v>
      </c>
      <c r="AN871" s="474"/>
      <c r="AO871" s="474"/>
      <c r="AP871" s="486"/>
      <c r="AQ871" s="486" t="s">
        <v>37</v>
      </c>
      <c r="AR871" s="486"/>
      <c r="AS871" s="495"/>
      <c r="AT871" s="495"/>
      <c r="AU871" s="495"/>
      <c r="AV871" s="478">
        <v>0.52</v>
      </c>
    </row>
    <row r="872" spans="1:48" s="471" customFormat="1" ht="15" customHeight="1">
      <c r="A872" s="472"/>
      <c r="B872" s="472"/>
      <c r="C872" s="472"/>
      <c r="D872" s="512" t="s">
        <v>3186</v>
      </c>
      <c r="E872" s="501" t="s">
        <v>4806</v>
      </c>
      <c r="F872" s="501"/>
      <c r="G872" s="501"/>
      <c r="H872" s="501"/>
      <c r="I872" s="496" t="s">
        <v>1676</v>
      </c>
      <c r="J872" s="502"/>
      <c r="K872" s="503" t="s">
        <v>4843</v>
      </c>
      <c r="L872" s="501" t="s">
        <v>3243</v>
      </c>
      <c r="M872" s="504">
        <v>44538</v>
      </c>
      <c r="N872" s="504">
        <v>44866</v>
      </c>
      <c r="O872" s="504"/>
      <c r="P872" s="502"/>
      <c r="Q872" s="502"/>
      <c r="R872" s="502"/>
      <c r="S872" s="501" t="s">
        <v>2379</v>
      </c>
      <c r="T872" s="501">
        <v>60</v>
      </c>
      <c r="U872" s="501"/>
      <c r="V872" s="501" t="s">
        <v>985</v>
      </c>
      <c r="W872" s="501">
        <v>400</v>
      </c>
      <c r="X872" s="505">
        <v>1536</v>
      </c>
      <c r="Y872" s="491">
        <f t="shared" si="130"/>
        <v>614400</v>
      </c>
      <c r="Z872" s="478">
        <v>0.52</v>
      </c>
      <c r="AA872" s="492">
        <f t="shared" si="129"/>
        <v>319488</v>
      </c>
      <c r="AB872" s="480"/>
      <c r="AC872" s="481">
        <f t="shared" si="131"/>
        <v>0</v>
      </c>
      <c r="AD872" s="490"/>
      <c r="AE872" s="482"/>
      <c r="AF872" s="493">
        <f t="shared" si="132"/>
        <v>319488</v>
      </c>
      <c r="AG872" s="474" t="s">
        <v>1071</v>
      </c>
      <c r="AH872" s="474"/>
      <c r="AI872" s="483" t="s">
        <v>2442</v>
      </c>
      <c r="AJ872" s="474" t="s">
        <v>3244</v>
      </c>
      <c r="AK872" s="494" t="s">
        <v>2362</v>
      </c>
      <c r="AL872" s="474">
        <v>81006</v>
      </c>
      <c r="AM872" s="474" t="s">
        <v>52</v>
      </c>
      <c r="AN872" s="474"/>
      <c r="AO872" s="474"/>
      <c r="AP872" s="486"/>
      <c r="AQ872" s="486" t="s">
        <v>37</v>
      </c>
      <c r="AR872" s="486"/>
      <c r="AS872" s="495"/>
      <c r="AT872" s="495"/>
      <c r="AU872" s="495"/>
      <c r="AV872" s="478">
        <v>0.52</v>
      </c>
    </row>
    <row r="873" spans="1:48" s="471" customFormat="1" ht="15" customHeight="1">
      <c r="A873" s="472"/>
      <c r="B873" s="472"/>
      <c r="C873" s="472"/>
      <c r="D873" s="512" t="s">
        <v>3186</v>
      </c>
      <c r="E873" s="501" t="s">
        <v>4806</v>
      </c>
      <c r="F873" s="501"/>
      <c r="G873" s="501"/>
      <c r="H873" s="501"/>
      <c r="I873" s="496" t="s">
        <v>1676</v>
      </c>
      <c r="J873" s="502"/>
      <c r="K873" s="503" t="s">
        <v>4844</v>
      </c>
      <c r="L873" s="501" t="s">
        <v>3243</v>
      </c>
      <c r="M873" s="504">
        <v>44538</v>
      </c>
      <c r="N873" s="504">
        <v>44896</v>
      </c>
      <c r="O873" s="504"/>
      <c r="P873" s="502"/>
      <c r="Q873" s="502"/>
      <c r="R873" s="502"/>
      <c r="S873" s="501" t="s">
        <v>2379</v>
      </c>
      <c r="T873" s="501">
        <v>60</v>
      </c>
      <c r="U873" s="501"/>
      <c r="V873" s="501" t="s">
        <v>985</v>
      </c>
      <c r="W873" s="501">
        <v>400</v>
      </c>
      <c r="X873" s="505">
        <v>2304</v>
      </c>
      <c r="Y873" s="491">
        <f t="shared" si="130"/>
        <v>921600</v>
      </c>
      <c r="Z873" s="478">
        <v>0.52</v>
      </c>
      <c r="AA873" s="492">
        <f t="shared" si="129"/>
        <v>479232</v>
      </c>
      <c r="AB873" s="480"/>
      <c r="AC873" s="481">
        <f t="shared" si="131"/>
        <v>0</v>
      </c>
      <c r="AD873" s="490"/>
      <c r="AE873" s="482"/>
      <c r="AF873" s="493">
        <f t="shared" si="132"/>
        <v>479232</v>
      </c>
      <c r="AG873" s="474" t="s">
        <v>1071</v>
      </c>
      <c r="AH873" s="474"/>
      <c r="AI873" s="483" t="s">
        <v>2442</v>
      </c>
      <c r="AJ873" s="474" t="s">
        <v>3244</v>
      </c>
      <c r="AK873" s="494" t="s">
        <v>2362</v>
      </c>
      <c r="AL873" s="474">
        <v>81006</v>
      </c>
      <c r="AM873" s="474" t="s">
        <v>52</v>
      </c>
      <c r="AN873" s="474"/>
      <c r="AO873" s="474"/>
      <c r="AP873" s="486"/>
      <c r="AQ873" s="486" t="s">
        <v>37</v>
      </c>
      <c r="AR873" s="486"/>
      <c r="AS873" s="495"/>
      <c r="AT873" s="495"/>
      <c r="AU873" s="495"/>
      <c r="AV873" s="478">
        <v>0.52</v>
      </c>
    </row>
    <row r="874" spans="1:48" s="471" customFormat="1" ht="15" customHeight="1">
      <c r="A874" s="472"/>
      <c r="B874" s="472"/>
      <c r="C874" s="472"/>
      <c r="D874" s="512" t="s">
        <v>3186</v>
      </c>
      <c r="E874" s="501" t="s">
        <v>4845</v>
      </c>
      <c r="F874" s="501"/>
      <c r="G874" s="501">
        <v>2022</v>
      </c>
      <c r="H874" s="501"/>
      <c r="I874" s="496" t="s">
        <v>1676</v>
      </c>
      <c r="J874" s="502"/>
      <c r="K874" s="503" t="s">
        <v>5424</v>
      </c>
      <c r="L874" s="501" t="s">
        <v>3442</v>
      </c>
      <c r="M874" s="504">
        <v>44672</v>
      </c>
      <c r="N874" s="504">
        <v>44743</v>
      </c>
      <c r="O874" s="504"/>
      <c r="P874" s="502"/>
      <c r="Q874" s="502"/>
      <c r="R874" s="502"/>
      <c r="S874" s="501" t="s">
        <v>2379</v>
      </c>
      <c r="T874" s="501">
        <v>60</v>
      </c>
      <c r="U874" s="501"/>
      <c r="V874" s="501" t="s">
        <v>5425</v>
      </c>
      <c r="W874" s="501">
        <v>400</v>
      </c>
      <c r="X874" s="505">
        <v>832</v>
      </c>
      <c r="Y874" s="491">
        <f t="shared" si="130"/>
        <v>332800</v>
      </c>
      <c r="Z874" s="478">
        <v>0.64</v>
      </c>
      <c r="AA874" s="492">
        <f t="shared" si="129"/>
        <v>212992</v>
      </c>
      <c r="AB874" s="480"/>
      <c r="AC874" s="481">
        <f t="shared" si="131"/>
        <v>0</v>
      </c>
      <c r="AD874" s="490"/>
      <c r="AE874" s="482"/>
      <c r="AF874" s="493">
        <f t="shared" si="132"/>
        <v>212992</v>
      </c>
      <c r="AG874" s="474" t="s">
        <v>1071</v>
      </c>
      <c r="AH874" s="474"/>
      <c r="AI874" s="483" t="s">
        <v>2442</v>
      </c>
      <c r="AJ874" s="474" t="s">
        <v>3443</v>
      </c>
      <c r="AK874" s="494" t="s">
        <v>3444</v>
      </c>
      <c r="AL874" s="474">
        <v>73108</v>
      </c>
      <c r="AM874" s="474" t="s">
        <v>52</v>
      </c>
      <c r="AN874" s="474"/>
      <c r="AO874" s="474"/>
      <c r="AP874" s="486"/>
      <c r="AQ874" s="486" t="s">
        <v>37</v>
      </c>
      <c r="AR874" s="486"/>
      <c r="AS874" s="495"/>
      <c r="AT874" s="495"/>
      <c r="AU874" s="495"/>
      <c r="AV874" s="478">
        <v>0.52</v>
      </c>
    </row>
    <row r="875" spans="1:48" s="471" customFormat="1" ht="15" customHeight="1">
      <c r="A875" s="472"/>
      <c r="B875" s="472"/>
      <c r="C875" s="472"/>
      <c r="D875" s="512" t="s">
        <v>3186</v>
      </c>
      <c r="E875" s="501" t="s">
        <v>4845</v>
      </c>
      <c r="F875" s="501"/>
      <c r="G875" s="501">
        <v>2022</v>
      </c>
      <c r="H875" s="501"/>
      <c r="I875" s="496" t="s">
        <v>1676</v>
      </c>
      <c r="J875" s="502"/>
      <c r="K875" s="503" t="s">
        <v>5426</v>
      </c>
      <c r="L875" s="501" t="s">
        <v>3442</v>
      </c>
      <c r="M875" s="504">
        <v>44672</v>
      </c>
      <c r="N875" s="504">
        <v>44774</v>
      </c>
      <c r="O875" s="504"/>
      <c r="P875" s="502"/>
      <c r="Q875" s="502"/>
      <c r="R875" s="502"/>
      <c r="S875" s="501" t="s">
        <v>2379</v>
      </c>
      <c r="T875" s="501">
        <v>60</v>
      </c>
      <c r="U875" s="501"/>
      <c r="V875" s="501" t="s">
        <v>5425</v>
      </c>
      <c r="W875" s="501">
        <v>400</v>
      </c>
      <c r="X875" s="505">
        <v>832</v>
      </c>
      <c r="Y875" s="491">
        <f t="shared" si="130"/>
        <v>332800</v>
      </c>
      <c r="Z875" s="478">
        <v>0.64</v>
      </c>
      <c r="AA875" s="492">
        <f t="shared" si="129"/>
        <v>212992</v>
      </c>
      <c r="AB875" s="480"/>
      <c r="AC875" s="481">
        <f t="shared" si="131"/>
        <v>0</v>
      </c>
      <c r="AD875" s="490"/>
      <c r="AE875" s="482"/>
      <c r="AF875" s="493">
        <f t="shared" si="132"/>
        <v>212992</v>
      </c>
      <c r="AG875" s="474" t="s">
        <v>1071</v>
      </c>
      <c r="AH875" s="474"/>
      <c r="AI875" s="483" t="s">
        <v>2442</v>
      </c>
      <c r="AJ875" s="474" t="s">
        <v>3443</v>
      </c>
      <c r="AK875" s="494" t="s">
        <v>3444</v>
      </c>
      <c r="AL875" s="474">
        <v>73108</v>
      </c>
      <c r="AM875" s="474" t="s">
        <v>52</v>
      </c>
      <c r="AN875" s="474"/>
      <c r="AO875" s="474"/>
      <c r="AP875" s="486"/>
      <c r="AQ875" s="486" t="s">
        <v>37</v>
      </c>
      <c r="AR875" s="486"/>
      <c r="AS875" s="495"/>
      <c r="AT875" s="495"/>
      <c r="AU875" s="495"/>
      <c r="AV875" s="478">
        <v>0.52</v>
      </c>
    </row>
    <row r="876" spans="1:48" s="471" customFormat="1" ht="15" customHeight="1">
      <c r="A876" s="472"/>
      <c r="B876" s="472"/>
      <c r="C876" s="472"/>
      <c r="D876" s="512" t="s">
        <v>3186</v>
      </c>
      <c r="E876" s="501" t="s">
        <v>4845</v>
      </c>
      <c r="F876" s="501"/>
      <c r="G876" s="501">
        <v>2022</v>
      </c>
      <c r="H876" s="501"/>
      <c r="I876" s="496" t="s">
        <v>1676</v>
      </c>
      <c r="J876" s="502"/>
      <c r="K876" s="503" t="s">
        <v>5427</v>
      </c>
      <c r="L876" s="501" t="s">
        <v>3442</v>
      </c>
      <c r="M876" s="504">
        <v>44672</v>
      </c>
      <c r="N876" s="504">
        <v>44805</v>
      </c>
      <c r="O876" s="504"/>
      <c r="P876" s="502"/>
      <c r="Q876" s="502"/>
      <c r="R876" s="502"/>
      <c r="S876" s="501" t="s">
        <v>2379</v>
      </c>
      <c r="T876" s="501">
        <v>60</v>
      </c>
      <c r="U876" s="501"/>
      <c r="V876" s="501" t="s">
        <v>5425</v>
      </c>
      <c r="W876" s="501">
        <v>400</v>
      </c>
      <c r="X876" s="505">
        <v>832</v>
      </c>
      <c r="Y876" s="491">
        <f t="shared" si="130"/>
        <v>332800</v>
      </c>
      <c r="Z876" s="478">
        <v>0.64</v>
      </c>
      <c r="AA876" s="492">
        <f t="shared" si="129"/>
        <v>212992</v>
      </c>
      <c r="AB876" s="480"/>
      <c r="AC876" s="481">
        <f t="shared" si="131"/>
        <v>0</v>
      </c>
      <c r="AD876" s="490"/>
      <c r="AE876" s="482"/>
      <c r="AF876" s="493">
        <f t="shared" si="132"/>
        <v>212992</v>
      </c>
      <c r="AG876" s="474" t="s">
        <v>1071</v>
      </c>
      <c r="AH876" s="474"/>
      <c r="AI876" s="483" t="s">
        <v>2442</v>
      </c>
      <c r="AJ876" s="474" t="s">
        <v>3443</v>
      </c>
      <c r="AK876" s="494" t="s">
        <v>3444</v>
      </c>
      <c r="AL876" s="474">
        <v>73108</v>
      </c>
      <c r="AM876" s="474" t="s">
        <v>52</v>
      </c>
      <c r="AN876" s="474"/>
      <c r="AO876" s="474"/>
      <c r="AP876" s="486"/>
      <c r="AQ876" s="486" t="s">
        <v>37</v>
      </c>
      <c r="AR876" s="486"/>
      <c r="AS876" s="495"/>
      <c r="AT876" s="495"/>
      <c r="AU876" s="495"/>
      <c r="AV876" s="478">
        <v>0.52</v>
      </c>
    </row>
    <row r="877" spans="1:48" s="471" customFormat="1" ht="15" customHeight="1">
      <c r="A877" s="472"/>
      <c r="B877" s="472"/>
      <c r="C877" s="472"/>
      <c r="D877" s="512" t="s">
        <v>3186</v>
      </c>
      <c r="E877" s="501" t="s">
        <v>4845</v>
      </c>
      <c r="F877" s="501"/>
      <c r="G877" s="501">
        <v>2022</v>
      </c>
      <c r="H877" s="501"/>
      <c r="I877" s="496" t="s">
        <v>1676</v>
      </c>
      <c r="J877" s="502"/>
      <c r="K877" s="503" t="s">
        <v>5428</v>
      </c>
      <c r="L877" s="501" t="s">
        <v>3442</v>
      </c>
      <c r="M877" s="504">
        <v>44672</v>
      </c>
      <c r="N877" s="504">
        <v>44835</v>
      </c>
      <c r="O877" s="504"/>
      <c r="P877" s="502"/>
      <c r="Q877" s="502"/>
      <c r="R877" s="502"/>
      <c r="S877" s="501" t="s">
        <v>2379</v>
      </c>
      <c r="T877" s="501">
        <v>60</v>
      </c>
      <c r="U877" s="501"/>
      <c r="V877" s="501" t="s">
        <v>5425</v>
      </c>
      <c r="W877" s="501">
        <v>400</v>
      </c>
      <c r="X877" s="505">
        <v>832</v>
      </c>
      <c r="Y877" s="491">
        <f t="shared" si="130"/>
        <v>332800</v>
      </c>
      <c r="Z877" s="478">
        <v>0.64</v>
      </c>
      <c r="AA877" s="492">
        <f t="shared" si="129"/>
        <v>212992</v>
      </c>
      <c r="AB877" s="480"/>
      <c r="AC877" s="481">
        <f t="shared" si="131"/>
        <v>0</v>
      </c>
      <c r="AD877" s="490"/>
      <c r="AE877" s="482"/>
      <c r="AF877" s="493">
        <f t="shared" si="132"/>
        <v>212992</v>
      </c>
      <c r="AG877" s="474" t="s">
        <v>1071</v>
      </c>
      <c r="AH877" s="474"/>
      <c r="AI877" s="483" t="s">
        <v>2442</v>
      </c>
      <c r="AJ877" s="474" t="s">
        <v>3443</v>
      </c>
      <c r="AK877" s="494" t="s">
        <v>3444</v>
      </c>
      <c r="AL877" s="474">
        <v>73108</v>
      </c>
      <c r="AM877" s="474" t="s">
        <v>52</v>
      </c>
      <c r="AN877" s="474"/>
      <c r="AO877" s="474"/>
      <c r="AP877" s="486"/>
      <c r="AQ877" s="486" t="s">
        <v>37</v>
      </c>
      <c r="AR877" s="486"/>
      <c r="AS877" s="495"/>
      <c r="AT877" s="495"/>
      <c r="AU877" s="495"/>
      <c r="AV877" s="478">
        <v>0.52</v>
      </c>
    </row>
    <row r="878" spans="1:48" s="471" customFormat="1" ht="15" customHeight="1">
      <c r="A878" s="472"/>
      <c r="B878" s="472"/>
      <c r="C878" s="472"/>
      <c r="D878" s="512" t="s">
        <v>3186</v>
      </c>
      <c r="E878" s="501" t="s">
        <v>4845</v>
      </c>
      <c r="F878" s="501"/>
      <c r="G878" s="501">
        <v>2022</v>
      </c>
      <c r="H878" s="501"/>
      <c r="I878" s="496" t="s">
        <v>1676</v>
      </c>
      <c r="J878" s="502"/>
      <c r="K878" s="503" t="s">
        <v>5429</v>
      </c>
      <c r="L878" s="501" t="s">
        <v>3442</v>
      </c>
      <c r="M878" s="504">
        <v>44672</v>
      </c>
      <c r="N878" s="504">
        <v>44866</v>
      </c>
      <c r="O878" s="504"/>
      <c r="P878" s="502"/>
      <c r="Q878" s="502"/>
      <c r="R878" s="502"/>
      <c r="S878" s="501" t="s">
        <v>2379</v>
      </c>
      <c r="T878" s="501">
        <v>60</v>
      </c>
      <c r="U878" s="501"/>
      <c r="V878" s="501" t="s">
        <v>5425</v>
      </c>
      <c r="W878" s="501">
        <v>400</v>
      </c>
      <c r="X878" s="505">
        <v>832</v>
      </c>
      <c r="Y878" s="491">
        <f t="shared" si="130"/>
        <v>332800</v>
      </c>
      <c r="Z878" s="478">
        <v>0.64</v>
      </c>
      <c r="AA878" s="492">
        <f t="shared" si="129"/>
        <v>212992</v>
      </c>
      <c r="AB878" s="480"/>
      <c r="AC878" s="481">
        <f t="shared" si="131"/>
        <v>0</v>
      </c>
      <c r="AD878" s="490"/>
      <c r="AE878" s="482"/>
      <c r="AF878" s="493">
        <f t="shared" si="132"/>
        <v>212992</v>
      </c>
      <c r="AG878" s="474" t="s">
        <v>1071</v>
      </c>
      <c r="AH878" s="474"/>
      <c r="AI878" s="483" t="s">
        <v>2442</v>
      </c>
      <c r="AJ878" s="474" t="s">
        <v>3443</v>
      </c>
      <c r="AK878" s="494" t="s">
        <v>3444</v>
      </c>
      <c r="AL878" s="474">
        <v>73108</v>
      </c>
      <c r="AM878" s="474" t="s">
        <v>52</v>
      </c>
      <c r="AN878" s="474"/>
      <c r="AO878" s="474"/>
      <c r="AP878" s="486"/>
      <c r="AQ878" s="486" t="s">
        <v>37</v>
      </c>
      <c r="AR878" s="486"/>
      <c r="AS878" s="495"/>
      <c r="AT878" s="495"/>
      <c r="AU878" s="495"/>
      <c r="AV878" s="478">
        <v>0.52</v>
      </c>
    </row>
    <row r="879" spans="1:48" s="471" customFormat="1" ht="15" customHeight="1">
      <c r="A879" s="472"/>
      <c r="B879" s="472"/>
      <c r="C879" s="472"/>
      <c r="D879" s="512" t="s">
        <v>3186</v>
      </c>
      <c r="E879" s="501" t="s">
        <v>4845</v>
      </c>
      <c r="F879" s="501"/>
      <c r="G879" s="501">
        <v>2022</v>
      </c>
      <c r="H879" s="501"/>
      <c r="I879" s="496" t="s">
        <v>1676</v>
      </c>
      <c r="J879" s="502"/>
      <c r="K879" s="503" t="s">
        <v>5430</v>
      </c>
      <c r="L879" s="501" t="s">
        <v>3442</v>
      </c>
      <c r="M879" s="504">
        <v>44672</v>
      </c>
      <c r="N879" s="504">
        <v>44896</v>
      </c>
      <c r="O879" s="504"/>
      <c r="P879" s="502"/>
      <c r="Q879" s="502"/>
      <c r="R879" s="502"/>
      <c r="S879" s="501" t="s">
        <v>2379</v>
      </c>
      <c r="T879" s="501">
        <v>60</v>
      </c>
      <c r="U879" s="501"/>
      <c r="V879" s="501" t="s">
        <v>5425</v>
      </c>
      <c r="W879" s="501">
        <v>400</v>
      </c>
      <c r="X879" s="505">
        <v>832</v>
      </c>
      <c r="Y879" s="491">
        <f t="shared" si="130"/>
        <v>332800</v>
      </c>
      <c r="Z879" s="478">
        <v>0.64</v>
      </c>
      <c r="AA879" s="492">
        <f t="shared" si="129"/>
        <v>212992</v>
      </c>
      <c r="AB879" s="480"/>
      <c r="AC879" s="481">
        <f t="shared" si="131"/>
        <v>0</v>
      </c>
      <c r="AD879" s="490"/>
      <c r="AE879" s="482"/>
      <c r="AF879" s="493">
        <f t="shared" si="132"/>
        <v>212992</v>
      </c>
      <c r="AG879" s="474" t="s">
        <v>1071</v>
      </c>
      <c r="AH879" s="474"/>
      <c r="AI879" s="483" t="s">
        <v>2442</v>
      </c>
      <c r="AJ879" s="474" t="s">
        <v>3443</v>
      </c>
      <c r="AK879" s="494" t="s">
        <v>3444</v>
      </c>
      <c r="AL879" s="474">
        <v>73108</v>
      </c>
      <c r="AM879" s="474" t="s">
        <v>52</v>
      </c>
      <c r="AN879" s="474"/>
      <c r="AO879" s="474"/>
      <c r="AP879" s="486"/>
      <c r="AQ879" s="486" t="s">
        <v>37</v>
      </c>
      <c r="AR879" s="486"/>
      <c r="AS879" s="495"/>
      <c r="AT879" s="495"/>
      <c r="AU879" s="495"/>
      <c r="AV879" s="478">
        <v>0.52</v>
      </c>
    </row>
    <row r="880" spans="1:48" s="471" customFormat="1" ht="15" customHeight="1">
      <c r="A880" s="472"/>
      <c r="B880" s="472"/>
      <c r="C880" s="472"/>
      <c r="D880" s="512" t="s">
        <v>3186</v>
      </c>
      <c r="E880" s="501" t="s">
        <v>4845</v>
      </c>
      <c r="F880" s="501"/>
      <c r="G880" s="501">
        <v>2022</v>
      </c>
      <c r="H880" s="501"/>
      <c r="I880" s="496" t="s">
        <v>1676</v>
      </c>
      <c r="J880" s="502"/>
      <c r="K880" s="503" t="s">
        <v>5431</v>
      </c>
      <c r="L880" s="501" t="s">
        <v>3442</v>
      </c>
      <c r="M880" s="504">
        <v>44672</v>
      </c>
      <c r="N880" s="504">
        <v>44713</v>
      </c>
      <c r="O880" s="504"/>
      <c r="P880" s="502"/>
      <c r="Q880" s="502"/>
      <c r="R880" s="502"/>
      <c r="S880" s="501" t="s">
        <v>2379</v>
      </c>
      <c r="T880" s="501">
        <v>60</v>
      </c>
      <c r="U880" s="501"/>
      <c r="V880" s="501" t="s">
        <v>1223</v>
      </c>
      <c r="W880" s="501">
        <v>360</v>
      </c>
      <c r="X880" s="505">
        <v>676</v>
      </c>
      <c r="Y880" s="491">
        <f t="shared" si="130"/>
        <v>243360</v>
      </c>
      <c r="Z880" s="478">
        <v>0.83</v>
      </c>
      <c r="AA880" s="492">
        <f t="shared" si="129"/>
        <v>201988.8</v>
      </c>
      <c r="AB880" s="480"/>
      <c r="AC880" s="481">
        <f t="shared" si="131"/>
        <v>0</v>
      </c>
      <c r="AD880" s="490"/>
      <c r="AE880" s="482"/>
      <c r="AF880" s="493">
        <f t="shared" si="132"/>
        <v>201988.8</v>
      </c>
      <c r="AG880" s="474" t="s">
        <v>1071</v>
      </c>
      <c r="AH880" s="474"/>
      <c r="AI880" s="483" t="s">
        <v>2442</v>
      </c>
      <c r="AJ880" s="474" t="s">
        <v>3443</v>
      </c>
      <c r="AK880" s="494" t="s">
        <v>3444</v>
      </c>
      <c r="AL880" s="474">
        <v>73108</v>
      </c>
      <c r="AM880" s="474" t="s">
        <v>52</v>
      </c>
      <c r="AN880" s="474"/>
      <c r="AO880" s="474"/>
      <c r="AP880" s="486"/>
      <c r="AQ880" s="486" t="s">
        <v>37</v>
      </c>
      <c r="AR880" s="486"/>
      <c r="AS880" s="495"/>
      <c r="AT880" s="495"/>
      <c r="AU880" s="495"/>
      <c r="AV880" s="478">
        <v>0.52</v>
      </c>
    </row>
    <row r="881" spans="1:48" s="471" customFormat="1" ht="15" customHeight="1">
      <c r="A881" s="472"/>
      <c r="B881" s="472"/>
      <c r="C881" s="472"/>
      <c r="D881" s="512" t="s">
        <v>3186</v>
      </c>
      <c r="E881" s="501" t="s">
        <v>4845</v>
      </c>
      <c r="F881" s="501"/>
      <c r="G881" s="501">
        <v>2022</v>
      </c>
      <c r="H881" s="501"/>
      <c r="I881" s="496" t="s">
        <v>1676</v>
      </c>
      <c r="J881" s="502"/>
      <c r="K881" s="503" t="s">
        <v>5432</v>
      </c>
      <c r="L881" s="501" t="s">
        <v>3442</v>
      </c>
      <c r="M881" s="504">
        <v>44672</v>
      </c>
      <c r="N881" s="504">
        <v>44774</v>
      </c>
      <c r="O881" s="504"/>
      <c r="P881" s="502"/>
      <c r="Q881" s="502"/>
      <c r="R881" s="502"/>
      <c r="S881" s="501" t="s">
        <v>2379</v>
      </c>
      <c r="T881" s="501">
        <v>60</v>
      </c>
      <c r="U881" s="501"/>
      <c r="V881" s="501" t="s">
        <v>1223</v>
      </c>
      <c r="W881" s="501">
        <v>360</v>
      </c>
      <c r="X881" s="505">
        <v>676</v>
      </c>
      <c r="Y881" s="491">
        <f t="shared" si="130"/>
        <v>243360</v>
      </c>
      <c r="Z881" s="478">
        <v>0.83</v>
      </c>
      <c r="AA881" s="492">
        <f t="shared" si="129"/>
        <v>201988.8</v>
      </c>
      <c r="AB881" s="480"/>
      <c r="AC881" s="481">
        <f t="shared" si="131"/>
        <v>0</v>
      </c>
      <c r="AD881" s="490"/>
      <c r="AE881" s="482"/>
      <c r="AF881" s="493">
        <f t="shared" si="132"/>
        <v>201988.8</v>
      </c>
      <c r="AG881" s="474" t="s">
        <v>1071</v>
      </c>
      <c r="AH881" s="474"/>
      <c r="AI881" s="483" t="s">
        <v>2442</v>
      </c>
      <c r="AJ881" s="474" t="s">
        <v>3443</v>
      </c>
      <c r="AK881" s="494" t="s">
        <v>3444</v>
      </c>
      <c r="AL881" s="474">
        <v>73108</v>
      </c>
      <c r="AM881" s="474" t="s">
        <v>52</v>
      </c>
      <c r="AN881" s="474"/>
      <c r="AO881" s="474"/>
      <c r="AP881" s="486"/>
      <c r="AQ881" s="486" t="s">
        <v>37</v>
      </c>
      <c r="AR881" s="486"/>
      <c r="AS881" s="495"/>
      <c r="AT881" s="495"/>
      <c r="AU881" s="495"/>
      <c r="AV881" s="478">
        <v>0.52</v>
      </c>
    </row>
    <row r="882" spans="1:48" s="471" customFormat="1" ht="15" customHeight="1">
      <c r="A882" s="472"/>
      <c r="B882" s="472"/>
      <c r="C882" s="472"/>
      <c r="D882" s="512" t="s">
        <v>3186</v>
      </c>
      <c r="E882" s="501" t="s">
        <v>4845</v>
      </c>
      <c r="F882" s="501"/>
      <c r="G882" s="501">
        <v>2022</v>
      </c>
      <c r="H882" s="501"/>
      <c r="I882" s="496" t="s">
        <v>1676</v>
      </c>
      <c r="J882" s="502"/>
      <c r="K882" s="503" t="s">
        <v>5433</v>
      </c>
      <c r="L882" s="501" t="s">
        <v>3442</v>
      </c>
      <c r="M882" s="504">
        <v>44672</v>
      </c>
      <c r="N882" s="504">
        <v>44835</v>
      </c>
      <c r="O882" s="504"/>
      <c r="P882" s="502"/>
      <c r="Q882" s="502"/>
      <c r="R882" s="502"/>
      <c r="S882" s="501" t="s">
        <v>2379</v>
      </c>
      <c r="T882" s="501">
        <v>60</v>
      </c>
      <c r="U882" s="501"/>
      <c r="V882" s="501" t="s">
        <v>1223</v>
      </c>
      <c r="W882" s="501">
        <v>360</v>
      </c>
      <c r="X882" s="505">
        <v>1352</v>
      </c>
      <c r="Y882" s="491">
        <f t="shared" si="130"/>
        <v>486720</v>
      </c>
      <c r="Z882" s="478">
        <v>0.83</v>
      </c>
      <c r="AA882" s="492">
        <f t="shared" si="129"/>
        <v>403977.6</v>
      </c>
      <c r="AB882" s="480"/>
      <c r="AC882" s="481">
        <f t="shared" si="131"/>
        <v>0</v>
      </c>
      <c r="AD882" s="490"/>
      <c r="AE882" s="482"/>
      <c r="AF882" s="493">
        <f t="shared" si="132"/>
        <v>403977.6</v>
      </c>
      <c r="AG882" s="474" t="s">
        <v>1071</v>
      </c>
      <c r="AH882" s="474"/>
      <c r="AI882" s="483" t="s">
        <v>2442</v>
      </c>
      <c r="AJ882" s="474" t="s">
        <v>3443</v>
      </c>
      <c r="AK882" s="494" t="s">
        <v>3444</v>
      </c>
      <c r="AL882" s="474">
        <v>73108</v>
      </c>
      <c r="AM882" s="474" t="s">
        <v>52</v>
      </c>
      <c r="AN882" s="474"/>
      <c r="AO882" s="474"/>
      <c r="AP882" s="486"/>
      <c r="AQ882" s="486" t="s">
        <v>37</v>
      </c>
      <c r="AR882" s="486"/>
      <c r="AS882" s="495"/>
      <c r="AT882" s="495"/>
      <c r="AU882" s="495"/>
      <c r="AV882" s="478">
        <v>0.52</v>
      </c>
    </row>
    <row r="883" spans="1:48" s="471" customFormat="1" ht="15" customHeight="1">
      <c r="A883" s="472"/>
      <c r="B883" s="472"/>
      <c r="C883" s="472"/>
      <c r="D883" s="512" t="s">
        <v>3186</v>
      </c>
      <c r="E883" s="474" t="s">
        <v>3215</v>
      </c>
      <c r="F883" s="501"/>
      <c r="G883" s="501"/>
      <c r="H883" s="501"/>
      <c r="I883" s="496" t="s">
        <v>1676</v>
      </c>
      <c r="J883" s="502"/>
      <c r="K883" s="503" t="s">
        <v>4848</v>
      </c>
      <c r="L883" s="501" t="s">
        <v>3328</v>
      </c>
      <c r="M883" s="504">
        <v>44557</v>
      </c>
      <c r="N883" s="504">
        <v>44562</v>
      </c>
      <c r="O883" s="504"/>
      <c r="P883" s="502"/>
      <c r="Q883" s="502"/>
      <c r="R883" s="502"/>
      <c r="S883" s="501" t="s">
        <v>4759</v>
      </c>
      <c r="T883" s="501">
        <v>60</v>
      </c>
      <c r="U883" s="501"/>
      <c r="V883" s="501" t="s">
        <v>973</v>
      </c>
      <c r="W883" s="501">
        <v>400</v>
      </c>
      <c r="X883" s="505">
        <v>4608</v>
      </c>
      <c r="Y883" s="491">
        <f t="shared" si="130"/>
        <v>1843200</v>
      </c>
      <c r="Z883" s="478">
        <v>0.52</v>
      </c>
      <c r="AA883" s="492">
        <f t="shared" si="129"/>
        <v>958464</v>
      </c>
      <c r="AB883" s="480"/>
      <c r="AC883" s="481">
        <f t="shared" si="131"/>
        <v>0</v>
      </c>
      <c r="AD883" s="490"/>
      <c r="AE883" s="482"/>
      <c r="AF883" s="493">
        <f t="shared" si="132"/>
        <v>958464</v>
      </c>
      <c r="AG883" s="474" t="s">
        <v>1071</v>
      </c>
      <c r="AH883" s="474"/>
      <c r="AI883" s="483">
        <v>60</v>
      </c>
      <c r="AJ883" s="474" t="s">
        <v>2621</v>
      </c>
      <c r="AK883" s="494" t="s">
        <v>1144</v>
      </c>
      <c r="AL883" s="474">
        <v>78218</v>
      </c>
      <c r="AM883" s="474" t="s">
        <v>52</v>
      </c>
      <c r="AN883" s="474"/>
      <c r="AO883" s="474"/>
      <c r="AP883" s="486"/>
      <c r="AQ883" s="486" t="s">
        <v>37</v>
      </c>
      <c r="AR883" s="486" t="s">
        <v>1677</v>
      </c>
      <c r="AS883" s="495"/>
      <c r="AT883" s="495"/>
      <c r="AU883" s="495"/>
      <c r="AV883" s="478">
        <v>0.52</v>
      </c>
    </row>
    <row r="884" spans="1:48" s="471" customFormat="1" ht="15" customHeight="1">
      <c r="A884" s="472"/>
      <c r="B884" s="472"/>
      <c r="C884" s="472"/>
      <c r="D884" s="512" t="s">
        <v>3186</v>
      </c>
      <c r="E884" s="474" t="s">
        <v>3215</v>
      </c>
      <c r="F884" s="501"/>
      <c r="G884" s="501"/>
      <c r="H884" s="501"/>
      <c r="I884" s="496" t="s">
        <v>1676</v>
      </c>
      <c r="J884" s="502"/>
      <c r="K884" s="503" t="s">
        <v>4849</v>
      </c>
      <c r="L884" s="501" t="s">
        <v>3328</v>
      </c>
      <c r="M884" s="504">
        <v>44557</v>
      </c>
      <c r="N884" s="504">
        <v>44593</v>
      </c>
      <c r="O884" s="504"/>
      <c r="P884" s="502"/>
      <c r="Q884" s="502"/>
      <c r="R884" s="502"/>
      <c r="S884" s="501" t="s">
        <v>4759</v>
      </c>
      <c r="T884" s="501">
        <v>60</v>
      </c>
      <c r="U884" s="501"/>
      <c r="V884" s="501" t="s">
        <v>973</v>
      </c>
      <c r="W884" s="501">
        <v>400</v>
      </c>
      <c r="X884" s="505">
        <v>3840</v>
      </c>
      <c r="Y884" s="491">
        <f t="shared" si="130"/>
        <v>1536000</v>
      </c>
      <c r="Z884" s="478">
        <v>0.52</v>
      </c>
      <c r="AA884" s="492">
        <f t="shared" si="129"/>
        <v>798720</v>
      </c>
      <c r="AB884" s="480"/>
      <c r="AC884" s="481">
        <f t="shared" si="131"/>
        <v>0</v>
      </c>
      <c r="AD884" s="490"/>
      <c r="AE884" s="482"/>
      <c r="AF884" s="493">
        <f t="shared" si="132"/>
        <v>798720</v>
      </c>
      <c r="AG884" s="474" t="s">
        <v>1071</v>
      </c>
      <c r="AH884" s="474"/>
      <c r="AI884" s="483">
        <v>60</v>
      </c>
      <c r="AJ884" s="474" t="s">
        <v>2621</v>
      </c>
      <c r="AK884" s="494" t="s">
        <v>1144</v>
      </c>
      <c r="AL884" s="474">
        <v>78218</v>
      </c>
      <c r="AM884" s="474" t="s">
        <v>52</v>
      </c>
      <c r="AN884" s="474"/>
      <c r="AO884" s="474"/>
      <c r="AP884" s="486"/>
      <c r="AQ884" s="486" t="s">
        <v>37</v>
      </c>
      <c r="AR884" s="486" t="s">
        <v>1677</v>
      </c>
      <c r="AS884" s="495"/>
      <c r="AT884" s="495"/>
      <c r="AU884" s="495"/>
      <c r="AV884" s="478">
        <v>0.52</v>
      </c>
    </row>
    <row r="885" spans="1:48" s="471" customFormat="1" ht="15" customHeight="1">
      <c r="A885" s="472"/>
      <c r="B885" s="472"/>
      <c r="C885" s="472"/>
      <c r="D885" s="512" t="s">
        <v>3186</v>
      </c>
      <c r="E885" s="474" t="s">
        <v>3215</v>
      </c>
      <c r="F885" s="501"/>
      <c r="G885" s="501"/>
      <c r="H885" s="501"/>
      <c r="I885" s="496" t="s">
        <v>1676</v>
      </c>
      <c r="J885" s="502"/>
      <c r="K885" s="503" t="s">
        <v>4850</v>
      </c>
      <c r="L885" s="501" t="s">
        <v>3328</v>
      </c>
      <c r="M885" s="504">
        <v>44557</v>
      </c>
      <c r="N885" s="504">
        <v>44621</v>
      </c>
      <c r="O885" s="504"/>
      <c r="P885" s="502"/>
      <c r="Q885" s="502"/>
      <c r="R885" s="502"/>
      <c r="S885" s="501" t="s">
        <v>4759</v>
      </c>
      <c r="T885" s="501">
        <v>60</v>
      </c>
      <c r="U885" s="501"/>
      <c r="V885" s="501" t="s">
        <v>973</v>
      </c>
      <c r="W885" s="501">
        <v>400</v>
      </c>
      <c r="X885" s="505">
        <v>3840</v>
      </c>
      <c r="Y885" s="491">
        <f t="shared" si="130"/>
        <v>1536000</v>
      </c>
      <c r="Z885" s="478">
        <v>0.52</v>
      </c>
      <c r="AA885" s="492">
        <f t="shared" si="129"/>
        <v>798720</v>
      </c>
      <c r="AB885" s="480"/>
      <c r="AC885" s="481">
        <f t="shared" si="131"/>
        <v>0</v>
      </c>
      <c r="AD885" s="490"/>
      <c r="AE885" s="482"/>
      <c r="AF885" s="493">
        <f t="shared" si="132"/>
        <v>798720</v>
      </c>
      <c r="AG885" s="474" t="s">
        <v>1071</v>
      </c>
      <c r="AH885" s="474"/>
      <c r="AI885" s="483">
        <v>60</v>
      </c>
      <c r="AJ885" s="474" t="s">
        <v>2621</v>
      </c>
      <c r="AK885" s="494" t="s">
        <v>1144</v>
      </c>
      <c r="AL885" s="474">
        <v>78218</v>
      </c>
      <c r="AM885" s="474" t="s">
        <v>52</v>
      </c>
      <c r="AN885" s="474"/>
      <c r="AO885" s="474"/>
      <c r="AP885" s="486"/>
      <c r="AQ885" s="486" t="s">
        <v>37</v>
      </c>
      <c r="AR885" s="486" t="s">
        <v>1677</v>
      </c>
      <c r="AS885" s="495"/>
      <c r="AT885" s="495"/>
      <c r="AU885" s="495"/>
      <c r="AV885" s="478">
        <v>0.52</v>
      </c>
    </row>
    <row r="886" spans="1:48" s="471" customFormat="1" ht="15" customHeight="1">
      <c r="A886" s="472"/>
      <c r="B886" s="514">
        <v>44610</v>
      </c>
      <c r="C886" s="472"/>
      <c r="D886" s="485" t="s">
        <v>3186</v>
      </c>
      <c r="E886" s="474" t="s">
        <v>4851</v>
      </c>
      <c r="F886" s="496"/>
      <c r="G886" s="501">
        <v>2022</v>
      </c>
      <c r="H886" s="501"/>
      <c r="I886" s="496" t="s">
        <v>1676</v>
      </c>
      <c r="J886" s="497"/>
      <c r="K886" s="498" t="s">
        <v>4852</v>
      </c>
      <c r="L886" s="496" t="s">
        <v>4853</v>
      </c>
      <c r="M886" s="499">
        <v>44602</v>
      </c>
      <c r="N886" s="499">
        <v>44743</v>
      </c>
      <c r="O886" s="499"/>
      <c r="P886" s="497"/>
      <c r="Q886" s="497"/>
      <c r="R886" s="497"/>
      <c r="S886" s="496" t="s">
        <v>2379</v>
      </c>
      <c r="T886" s="496">
        <v>60</v>
      </c>
      <c r="U886" s="496"/>
      <c r="V886" s="496" t="s">
        <v>973</v>
      </c>
      <c r="W886" s="496">
        <v>400</v>
      </c>
      <c r="X886" s="500">
        <v>896</v>
      </c>
      <c r="Y886" s="491">
        <f t="shared" si="130"/>
        <v>358400</v>
      </c>
      <c r="Z886" s="478">
        <v>0.55000000000000004</v>
      </c>
      <c r="AA886" s="492">
        <f t="shared" si="129"/>
        <v>197120.00000000003</v>
      </c>
      <c r="AB886" s="480"/>
      <c r="AC886" s="481">
        <f t="shared" si="131"/>
        <v>0</v>
      </c>
      <c r="AD886" s="490"/>
      <c r="AE886" s="482"/>
      <c r="AF886" s="493">
        <f t="shared" si="132"/>
        <v>197120.00000000003</v>
      </c>
      <c r="AG886" s="474" t="s">
        <v>1071</v>
      </c>
      <c r="AH886" s="474"/>
      <c r="AI886" s="483" t="s">
        <v>2442</v>
      </c>
      <c r="AJ886" s="474" t="s">
        <v>4854</v>
      </c>
      <c r="AK886" s="494" t="s">
        <v>3263</v>
      </c>
      <c r="AL886" s="474">
        <v>84120</v>
      </c>
      <c r="AM886" s="474" t="s">
        <v>52</v>
      </c>
      <c r="AN886" s="474"/>
      <c r="AO886" s="474"/>
      <c r="AP886" s="486"/>
      <c r="AQ886" s="486" t="s">
        <v>37</v>
      </c>
      <c r="AR886" s="486"/>
      <c r="AS886" s="495"/>
      <c r="AT886" s="495"/>
      <c r="AU886" s="495"/>
      <c r="AV886" s="478">
        <v>0.51</v>
      </c>
    </row>
    <row r="887" spans="1:48" s="471" customFormat="1" ht="15" customHeight="1">
      <c r="A887" s="472"/>
      <c r="B887" s="514">
        <v>44610</v>
      </c>
      <c r="C887" s="472"/>
      <c r="D887" s="485" t="s">
        <v>3186</v>
      </c>
      <c r="E887" s="474" t="s">
        <v>4851</v>
      </c>
      <c r="F887" s="496"/>
      <c r="G887" s="501">
        <v>2022</v>
      </c>
      <c r="H887" s="501"/>
      <c r="I887" s="496" t="s">
        <v>1676</v>
      </c>
      <c r="J887" s="497"/>
      <c r="K887" s="498" t="s">
        <v>4855</v>
      </c>
      <c r="L887" s="496" t="s">
        <v>4853</v>
      </c>
      <c r="M887" s="499">
        <v>44602</v>
      </c>
      <c r="N887" s="499">
        <v>44743</v>
      </c>
      <c r="O887" s="499"/>
      <c r="P887" s="497"/>
      <c r="Q887" s="497"/>
      <c r="R887" s="497"/>
      <c r="S887" s="496" t="s">
        <v>2379</v>
      </c>
      <c r="T887" s="496">
        <v>60</v>
      </c>
      <c r="U887" s="496"/>
      <c r="V887" s="496" t="s">
        <v>973</v>
      </c>
      <c r="W887" s="496">
        <v>400</v>
      </c>
      <c r="X887" s="500">
        <v>896</v>
      </c>
      <c r="Y887" s="491">
        <f t="shared" si="130"/>
        <v>358400</v>
      </c>
      <c r="Z887" s="478">
        <v>0.55000000000000004</v>
      </c>
      <c r="AA887" s="492">
        <f t="shared" si="129"/>
        <v>197120.00000000003</v>
      </c>
      <c r="AB887" s="480"/>
      <c r="AC887" s="481">
        <f t="shared" si="131"/>
        <v>0</v>
      </c>
      <c r="AD887" s="490"/>
      <c r="AE887" s="482"/>
      <c r="AF887" s="493">
        <f t="shared" si="132"/>
        <v>197120.00000000003</v>
      </c>
      <c r="AG887" s="474" t="s">
        <v>1071</v>
      </c>
      <c r="AH887" s="474"/>
      <c r="AI887" s="483" t="s">
        <v>2442</v>
      </c>
      <c r="AJ887" s="474" t="s">
        <v>4854</v>
      </c>
      <c r="AK887" s="494" t="s">
        <v>3263</v>
      </c>
      <c r="AL887" s="474">
        <v>84120</v>
      </c>
      <c r="AM887" s="474" t="s">
        <v>52</v>
      </c>
      <c r="AN887" s="474"/>
      <c r="AO887" s="474"/>
      <c r="AP887" s="486"/>
      <c r="AQ887" s="486" t="s">
        <v>37</v>
      </c>
      <c r="AR887" s="486"/>
      <c r="AS887" s="495"/>
      <c r="AT887" s="495"/>
      <c r="AU887" s="495"/>
      <c r="AV887" s="478">
        <v>0.51</v>
      </c>
    </row>
    <row r="888" spans="1:48" s="471" customFormat="1" ht="15" customHeight="1">
      <c r="A888" s="472"/>
      <c r="B888" s="514">
        <v>44610</v>
      </c>
      <c r="C888" s="472"/>
      <c r="D888" s="485" t="s">
        <v>3186</v>
      </c>
      <c r="E888" s="474" t="s">
        <v>4851</v>
      </c>
      <c r="F888" s="496"/>
      <c r="G888" s="501">
        <v>2022</v>
      </c>
      <c r="H888" s="501"/>
      <c r="I888" s="496" t="s">
        <v>1676</v>
      </c>
      <c r="J888" s="497"/>
      <c r="K888" s="498" t="s">
        <v>4856</v>
      </c>
      <c r="L888" s="496" t="s">
        <v>4853</v>
      </c>
      <c r="M888" s="499">
        <v>44602</v>
      </c>
      <c r="N888" s="499">
        <v>44781</v>
      </c>
      <c r="O888" s="499"/>
      <c r="P888" s="497"/>
      <c r="Q888" s="497"/>
      <c r="R888" s="497"/>
      <c r="S888" s="496" t="s">
        <v>2379</v>
      </c>
      <c r="T888" s="496">
        <v>60</v>
      </c>
      <c r="U888" s="496"/>
      <c r="V888" s="496" t="s">
        <v>973</v>
      </c>
      <c r="W888" s="496">
        <v>400</v>
      </c>
      <c r="X888" s="500">
        <v>896</v>
      </c>
      <c r="Y888" s="491">
        <f t="shared" si="130"/>
        <v>358400</v>
      </c>
      <c r="Z888" s="478">
        <v>0.55000000000000004</v>
      </c>
      <c r="AA888" s="492">
        <f t="shared" si="129"/>
        <v>197120.00000000003</v>
      </c>
      <c r="AB888" s="480"/>
      <c r="AC888" s="481">
        <f t="shared" si="131"/>
        <v>0</v>
      </c>
      <c r="AD888" s="490"/>
      <c r="AE888" s="482"/>
      <c r="AF888" s="493">
        <f t="shared" si="132"/>
        <v>197120.00000000003</v>
      </c>
      <c r="AG888" s="474" t="s">
        <v>1071</v>
      </c>
      <c r="AH888" s="474"/>
      <c r="AI888" s="483" t="s">
        <v>2442</v>
      </c>
      <c r="AJ888" s="474" t="s">
        <v>4854</v>
      </c>
      <c r="AK888" s="494" t="s">
        <v>3263</v>
      </c>
      <c r="AL888" s="474">
        <v>84120</v>
      </c>
      <c r="AM888" s="474" t="s">
        <v>52</v>
      </c>
      <c r="AN888" s="474"/>
      <c r="AO888" s="474"/>
      <c r="AP888" s="486"/>
      <c r="AQ888" s="486" t="s">
        <v>37</v>
      </c>
      <c r="AR888" s="486"/>
      <c r="AS888" s="495"/>
      <c r="AT888" s="495"/>
      <c r="AU888" s="495"/>
      <c r="AV888" s="478">
        <v>0.51</v>
      </c>
    </row>
    <row r="889" spans="1:48" s="471" customFormat="1" ht="15" customHeight="1">
      <c r="A889" s="472"/>
      <c r="B889" s="514">
        <v>44610</v>
      </c>
      <c r="C889" s="472"/>
      <c r="D889" s="485" t="s">
        <v>3186</v>
      </c>
      <c r="E889" s="474" t="s">
        <v>4851</v>
      </c>
      <c r="F889" s="496"/>
      <c r="G889" s="501">
        <v>2022</v>
      </c>
      <c r="H889" s="501"/>
      <c r="I889" s="496" t="s">
        <v>1676</v>
      </c>
      <c r="J889" s="497"/>
      <c r="K889" s="498" t="s">
        <v>4857</v>
      </c>
      <c r="L889" s="496" t="s">
        <v>4853</v>
      </c>
      <c r="M889" s="499">
        <v>44602</v>
      </c>
      <c r="N889" s="499">
        <v>44805</v>
      </c>
      <c r="O889" s="499"/>
      <c r="P889" s="497"/>
      <c r="Q889" s="497"/>
      <c r="R889" s="497"/>
      <c r="S889" s="496" t="s">
        <v>2379</v>
      </c>
      <c r="T889" s="496">
        <v>60</v>
      </c>
      <c r="U889" s="496"/>
      <c r="V889" s="496" t="s">
        <v>973</v>
      </c>
      <c r="W889" s="496">
        <v>400</v>
      </c>
      <c r="X889" s="500">
        <v>896</v>
      </c>
      <c r="Y889" s="491">
        <f t="shared" si="130"/>
        <v>358400</v>
      </c>
      <c r="Z889" s="478">
        <v>0.55000000000000004</v>
      </c>
      <c r="AA889" s="492">
        <f t="shared" si="129"/>
        <v>197120.00000000003</v>
      </c>
      <c r="AB889" s="480"/>
      <c r="AC889" s="481">
        <f t="shared" si="131"/>
        <v>0</v>
      </c>
      <c r="AD889" s="490"/>
      <c r="AE889" s="482"/>
      <c r="AF889" s="493">
        <f t="shared" si="132"/>
        <v>197120.00000000003</v>
      </c>
      <c r="AG889" s="474" t="s">
        <v>1071</v>
      </c>
      <c r="AH889" s="474"/>
      <c r="AI889" s="483" t="s">
        <v>2442</v>
      </c>
      <c r="AJ889" s="474" t="s">
        <v>4854</v>
      </c>
      <c r="AK889" s="494" t="s">
        <v>3263</v>
      </c>
      <c r="AL889" s="474">
        <v>84120</v>
      </c>
      <c r="AM889" s="474" t="s">
        <v>52</v>
      </c>
      <c r="AN889" s="474"/>
      <c r="AO889" s="474"/>
      <c r="AP889" s="486"/>
      <c r="AQ889" s="486" t="s">
        <v>37</v>
      </c>
      <c r="AR889" s="486"/>
      <c r="AS889" s="495"/>
      <c r="AT889" s="495"/>
      <c r="AU889" s="495"/>
      <c r="AV889" s="478">
        <v>0.51</v>
      </c>
    </row>
    <row r="890" spans="1:48" s="471" customFormat="1" ht="15" customHeight="1">
      <c r="A890" s="472"/>
      <c r="B890" s="514">
        <v>44610</v>
      </c>
      <c r="C890" s="472"/>
      <c r="D890" s="485" t="s">
        <v>3186</v>
      </c>
      <c r="E890" s="474" t="s">
        <v>4851</v>
      </c>
      <c r="F890" s="496"/>
      <c r="G890" s="501">
        <v>2022</v>
      </c>
      <c r="H890" s="501"/>
      <c r="I890" s="496" t="s">
        <v>1676</v>
      </c>
      <c r="J890" s="497"/>
      <c r="K890" s="498" t="s">
        <v>4858</v>
      </c>
      <c r="L890" s="496" t="s">
        <v>4853</v>
      </c>
      <c r="M890" s="499">
        <v>44602</v>
      </c>
      <c r="N890" s="499">
        <v>44805</v>
      </c>
      <c r="O890" s="499"/>
      <c r="P890" s="497"/>
      <c r="Q890" s="497"/>
      <c r="R890" s="497"/>
      <c r="S890" s="496" t="s">
        <v>2379</v>
      </c>
      <c r="T890" s="496">
        <v>60</v>
      </c>
      <c r="U890" s="496"/>
      <c r="V890" s="496" t="s">
        <v>973</v>
      </c>
      <c r="W890" s="496">
        <v>400</v>
      </c>
      <c r="X890" s="500">
        <v>896</v>
      </c>
      <c r="Y890" s="491">
        <f t="shared" si="130"/>
        <v>358400</v>
      </c>
      <c r="Z890" s="478">
        <v>0.55000000000000004</v>
      </c>
      <c r="AA890" s="492">
        <f t="shared" si="129"/>
        <v>197120.00000000003</v>
      </c>
      <c r="AB890" s="480"/>
      <c r="AC890" s="481">
        <f t="shared" si="131"/>
        <v>0</v>
      </c>
      <c r="AD890" s="490"/>
      <c r="AE890" s="482"/>
      <c r="AF890" s="493">
        <f t="shared" si="132"/>
        <v>197120.00000000003</v>
      </c>
      <c r="AG890" s="474" t="s">
        <v>1071</v>
      </c>
      <c r="AH890" s="474"/>
      <c r="AI890" s="483" t="s">
        <v>2442</v>
      </c>
      <c r="AJ890" s="474" t="s">
        <v>4854</v>
      </c>
      <c r="AK890" s="494" t="s">
        <v>3263</v>
      </c>
      <c r="AL890" s="474">
        <v>84120</v>
      </c>
      <c r="AM890" s="474" t="s">
        <v>52</v>
      </c>
      <c r="AN890" s="474"/>
      <c r="AO890" s="474"/>
      <c r="AP890" s="486"/>
      <c r="AQ890" s="486" t="s">
        <v>37</v>
      </c>
      <c r="AR890" s="486"/>
      <c r="AS890" s="495"/>
      <c r="AT890" s="495"/>
      <c r="AU890" s="495"/>
      <c r="AV890" s="478">
        <v>0.51</v>
      </c>
    </row>
    <row r="891" spans="1:48" s="471" customFormat="1" ht="15" customHeight="1">
      <c r="A891" s="472"/>
      <c r="B891" s="514">
        <v>44610</v>
      </c>
      <c r="C891" s="472"/>
      <c r="D891" s="485" t="s">
        <v>3186</v>
      </c>
      <c r="E891" s="474" t="s">
        <v>4851</v>
      </c>
      <c r="F891" s="496"/>
      <c r="G891" s="501">
        <v>2022</v>
      </c>
      <c r="H891" s="501"/>
      <c r="I891" s="496" t="s">
        <v>1676</v>
      </c>
      <c r="J891" s="497"/>
      <c r="K891" s="498" t="s">
        <v>4859</v>
      </c>
      <c r="L891" s="496" t="s">
        <v>4853</v>
      </c>
      <c r="M891" s="499">
        <v>44602</v>
      </c>
      <c r="N891" s="499">
        <v>44844</v>
      </c>
      <c r="O891" s="499"/>
      <c r="P891" s="497"/>
      <c r="Q891" s="497"/>
      <c r="R891" s="497"/>
      <c r="S891" s="496" t="s">
        <v>2379</v>
      </c>
      <c r="T891" s="496">
        <v>60</v>
      </c>
      <c r="U891" s="496"/>
      <c r="V891" s="496" t="s">
        <v>973</v>
      </c>
      <c r="W891" s="496">
        <v>400</v>
      </c>
      <c r="X891" s="500">
        <v>896</v>
      </c>
      <c r="Y891" s="491">
        <f t="shared" si="130"/>
        <v>358400</v>
      </c>
      <c r="Z891" s="478">
        <v>0.55000000000000004</v>
      </c>
      <c r="AA891" s="492">
        <f t="shared" si="129"/>
        <v>197120.00000000003</v>
      </c>
      <c r="AB891" s="480"/>
      <c r="AC891" s="481">
        <f t="shared" si="131"/>
        <v>0</v>
      </c>
      <c r="AD891" s="490"/>
      <c r="AE891" s="482"/>
      <c r="AF891" s="493">
        <f t="shared" si="132"/>
        <v>197120.00000000003</v>
      </c>
      <c r="AG891" s="474" t="s">
        <v>1071</v>
      </c>
      <c r="AH891" s="474"/>
      <c r="AI891" s="483" t="s">
        <v>2442</v>
      </c>
      <c r="AJ891" s="474" t="s">
        <v>4854</v>
      </c>
      <c r="AK891" s="494" t="s">
        <v>3263</v>
      </c>
      <c r="AL891" s="474">
        <v>84120</v>
      </c>
      <c r="AM891" s="474" t="s">
        <v>52</v>
      </c>
      <c r="AN891" s="474"/>
      <c r="AO891" s="474"/>
      <c r="AP891" s="486"/>
      <c r="AQ891" s="486" t="s">
        <v>37</v>
      </c>
      <c r="AR891" s="486"/>
      <c r="AS891" s="495"/>
      <c r="AT891" s="495"/>
      <c r="AU891" s="495"/>
      <c r="AV891" s="478">
        <v>0.51</v>
      </c>
    </row>
    <row r="892" spans="1:48" s="471" customFormat="1" ht="15" customHeight="1">
      <c r="A892" s="472"/>
      <c r="B892" s="514">
        <v>44610</v>
      </c>
      <c r="C892" s="472"/>
      <c r="D892" s="485" t="s">
        <v>3186</v>
      </c>
      <c r="E892" s="474" t="s">
        <v>4851</v>
      </c>
      <c r="F892" s="496"/>
      <c r="G892" s="501">
        <v>2022</v>
      </c>
      <c r="H892" s="501"/>
      <c r="I892" s="496" t="s">
        <v>1676</v>
      </c>
      <c r="J892" s="497"/>
      <c r="K892" s="498" t="s">
        <v>4860</v>
      </c>
      <c r="L892" s="496" t="s">
        <v>4853</v>
      </c>
      <c r="M892" s="499">
        <v>44606</v>
      </c>
      <c r="N892" s="499">
        <v>44866</v>
      </c>
      <c r="O892" s="499"/>
      <c r="P892" s="497"/>
      <c r="Q892" s="497"/>
      <c r="R892" s="497"/>
      <c r="S892" s="496" t="s">
        <v>2379</v>
      </c>
      <c r="T892" s="496">
        <v>60</v>
      </c>
      <c r="U892" s="496"/>
      <c r="V892" s="496" t="s">
        <v>973</v>
      </c>
      <c r="W892" s="496">
        <v>400</v>
      </c>
      <c r="X892" s="500">
        <v>896</v>
      </c>
      <c r="Y892" s="491">
        <f t="shared" si="130"/>
        <v>358400</v>
      </c>
      <c r="Z892" s="478">
        <v>0.55000000000000004</v>
      </c>
      <c r="AA892" s="492">
        <f t="shared" si="129"/>
        <v>197120.00000000003</v>
      </c>
      <c r="AB892" s="480"/>
      <c r="AC892" s="481">
        <f t="shared" si="131"/>
        <v>0</v>
      </c>
      <c r="AD892" s="490"/>
      <c r="AE892" s="482"/>
      <c r="AF892" s="493">
        <f t="shared" si="132"/>
        <v>197120.00000000003</v>
      </c>
      <c r="AG892" s="474" t="s">
        <v>1071</v>
      </c>
      <c r="AH892" s="474"/>
      <c r="AI892" s="483" t="s">
        <v>2442</v>
      </c>
      <c r="AJ892" s="474" t="s">
        <v>4854</v>
      </c>
      <c r="AK892" s="494" t="s">
        <v>3263</v>
      </c>
      <c r="AL892" s="474">
        <v>84120</v>
      </c>
      <c r="AM892" s="474" t="s">
        <v>52</v>
      </c>
      <c r="AN892" s="474"/>
      <c r="AO892" s="474"/>
      <c r="AP892" s="486"/>
      <c r="AQ892" s="486" t="s">
        <v>37</v>
      </c>
      <c r="AR892" s="486"/>
      <c r="AS892" s="495"/>
      <c r="AT892" s="495"/>
      <c r="AU892" s="495"/>
      <c r="AV892" s="478">
        <v>0.51</v>
      </c>
    </row>
    <row r="893" spans="1:48" s="471" customFormat="1" ht="15" customHeight="1">
      <c r="A893" s="472"/>
      <c r="B893" s="514">
        <v>44614</v>
      </c>
      <c r="C893" s="472"/>
      <c r="D893" s="485" t="s">
        <v>3186</v>
      </c>
      <c r="E893" s="501"/>
      <c r="F893" s="501"/>
      <c r="G893" s="501">
        <v>2022</v>
      </c>
      <c r="H893" s="501"/>
      <c r="I893" s="501" t="s">
        <v>1676</v>
      </c>
      <c r="J893" s="502"/>
      <c r="K893" s="503" t="s">
        <v>4861</v>
      </c>
      <c r="L893" s="501" t="s">
        <v>3335</v>
      </c>
      <c r="M893" s="504">
        <v>44610</v>
      </c>
      <c r="N893" s="504">
        <v>44610</v>
      </c>
      <c r="O893" s="504"/>
      <c r="P893" s="502"/>
      <c r="Q893" s="502"/>
      <c r="R893" s="502"/>
      <c r="S893" s="501" t="s">
        <v>2379</v>
      </c>
      <c r="T893" s="501">
        <v>60</v>
      </c>
      <c r="U893" s="501"/>
      <c r="V893" s="501" t="s">
        <v>973</v>
      </c>
      <c r="W893" s="496">
        <v>400</v>
      </c>
      <c r="X893" s="500">
        <v>22496</v>
      </c>
      <c r="Y893" s="491">
        <f t="shared" si="130"/>
        <v>8998400</v>
      </c>
      <c r="Z893" s="478">
        <v>0.55000000000000004</v>
      </c>
      <c r="AA893" s="492">
        <f t="shared" si="129"/>
        <v>4949120</v>
      </c>
      <c r="AB893" s="480"/>
      <c r="AC893" s="481">
        <f t="shared" si="131"/>
        <v>0</v>
      </c>
      <c r="AD893" s="490"/>
      <c r="AE893" s="482"/>
      <c r="AF893" s="493">
        <f t="shared" si="132"/>
        <v>4949120</v>
      </c>
      <c r="AG893" s="474" t="s">
        <v>1071</v>
      </c>
      <c r="AH893" s="474"/>
      <c r="AI893" s="483" t="s">
        <v>2442</v>
      </c>
      <c r="AJ893" s="474" t="s">
        <v>2472</v>
      </c>
      <c r="AK893" s="494" t="s">
        <v>1133</v>
      </c>
      <c r="AL893" s="474">
        <v>85040</v>
      </c>
      <c r="AM893" s="474" t="s">
        <v>52</v>
      </c>
      <c r="AN893" s="474"/>
      <c r="AO893" s="474"/>
      <c r="AP893" s="486"/>
      <c r="AQ893" s="486" t="s">
        <v>37</v>
      </c>
      <c r="AR893" s="486"/>
      <c r="AS893" s="495"/>
      <c r="AT893" s="495"/>
      <c r="AU893" s="495"/>
      <c r="AV893" s="478">
        <v>0.51</v>
      </c>
    </row>
    <row r="894" spans="1:48" s="471" customFormat="1" ht="15" customHeight="1">
      <c r="A894" s="472"/>
      <c r="B894" s="514"/>
      <c r="C894" s="472"/>
      <c r="D894" s="485" t="s">
        <v>3186</v>
      </c>
      <c r="E894" s="501" t="s">
        <v>4862</v>
      </c>
      <c r="F894" s="501"/>
      <c r="G894" s="501">
        <v>2022</v>
      </c>
      <c r="H894" s="501"/>
      <c r="I894" s="501" t="s">
        <v>1676</v>
      </c>
      <c r="J894" s="502"/>
      <c r="K894" s="503" t="s">
        <v>4863</v>
      </c>
      <c r="L894" s="501" t="s">
        <v>3335</v>
      </c>
      <c r="M894" s="504">
        <v>44610</v>
      </c>
      <c r="N894" s="504">
        <v>44621</v>
      </c>
      <c r="O894" s="504"/>
      <c r="P894" s="502"/>
      <c r="Q894" s="502"/>
      <c r="R894" s="502"/>
      <c r="S894" s="501" t="s">
        <v>2379</v>
      </c>
      <c r="T894" s="501">
        <v>60</v>
      </c>
      <c r="U894" s="501"/>
      <c r="V894" s="501" t="s">
        <v>986</v>
      </c>
      <c r="W894" s="496">
        <v>400</v>
      </c>
      <c r="X894" s="500">
        <v>30720</v>
      </c>
      <c r="Y894" s="491">
        <f t="shared" si="130"/>
        <v>12288000</v>
      </c>
      <c r="Z894" s="478">
        <v>0.55000000000000004</v>
      </c>
      <c r="AA894" s="492">
        <f t="shared" si="129"/>
        <v>6758400.0000000009</v>
      </c>
      <c r="AB894" s="480"/>
      <c r="AC894" s="481">
        <f t="shared" si="131"/>
        <v>0</v>
      </c>
      <c r="AD894" s="490"/>
      <c r="AE894" s="482"/>
      <c r="AF894" s="493">
        <f t="shared" si="132"/>
        <v>6758400.0000000009</v>
      </c>
      <c r="AG894" s="474" t="s">
        <v>1071</v>
      </c>
      <c r="AH894" s="474"/>
      <c r="AI894" s="483" t="s">
        <v>2442</v>
      </c>
      <c r="AJ894" s="474" t="s">
        <v>2472</v>
      </c>
      <c r="AK894" s="494" t="s">
        <v>1133</v>
      </c>
      <c r="AL894" s="474">
        <v>85040</v>
      </c>
      <c r="AM894" s="474" t="s">
        <v>52</v>
      </c>
      <c r="AN894" s="474"/>
      <c r="AO894" s="474"/>
      <c r="AP894" s="486"/>
      <c r="AQ894" s="486" t="s">
        <v>37</v>
      </c>
      <c r="AR894" s="486"/>
      <c r="AS894" s="495"/>
      <c r="AT894" s="495"/>
      <c r="AU894" s="495"/>
      <c r="AV894" s="478">
        <v>0.51</v>
      </c>
    </row>
    <row r="895" spans="1:48" s="471" customFormat="1" ht="15" customHeight="1">
      <c r="A895" s="472"/>
      <c r="B895" s="514"/>
      <c r="C895" s="472"/>
      <c r="D895" s="485" t="s">
        <v>3186</v>
      </c>
      <c r="E895" s="501" t="s">
        <v>4862</v>
      </c>
      <c r="F895" s="501"/>
      <c r="G895" s="501">
        <v>2022</v>
      </c>
      <c r="H895" s="501"/>
      <c r="I895" s="501" t="s">
        <v>1676</v>
      </c>
      <c r="J895" s="502"/>
      <c r="K895" s="503" t="s">
        <v>4864</v>
      </c>
      <c r="L895" s="501" t="s">
        <v>3335</v>
      </c>
      <c r="M895" s="504">
        <v>44610</v>
      </c>
      <c r="N895" s="504">
        <v>44621</v>
      </c>
      <c r="O895" s="504"/>
      <c r="P895" s="502"/>
      <c r="Q895" s="502"/>
      <c r="R895" s="502"/>
      <c r="S895" s="501" t="s">
        <v>2379</v>
      </c>
      <c r="T895" s="501">
        <v>60</v>
      </c>
      <c r="U895" s="501"/>
      <c r="V895" s="501" t="s">
        <v>986</v>
      </c>
      <c r="W895" s="496">
        <v>400</v>
      </c>
      <c r="X895" s="500">
        <v>29952</v>
      </c>
      <c r="Y895" s="491">
        <f t="shared" si="130"/>
        <v>11980800</v>
      </c>
      <c r="Z895" s="478">
        <v>0.55000000000000004</v>
      </c>
      <c r="AA895" s="492">
        <f t="shared" si="129"/>
        <v>6589440.0000000009</v>
      </c>
      <c r="AB895" s="480"/>
      <c r="AC895" s="481">
        <f t="shared" si="131"/>
        <v>0</v>
      </c>
      <c r="AD895" s="490"/>
      <c r="AE895" s="482"/>
      <c r="AF895" s="493">
        <f t="shared" si="132"/>
        <v>6589440.0000000009</v>
      </c>
      <c r="AG895" s="474" t="s">
        <v>1071</v>
      </c>
      <c r="AH895" s="474"/>
      <c r="AI895" s="483" t="s">
        <v>2442</v>
      </c>
      <c r="AJ895" s="474" t="s">
        <v>2472</v>
      </c>
      <c r="AK895" s="494" t="s">
        <v>1133</v>
      </c>
      <c r="AL895" s="474">
        <v>85040</v>
      </c>
      <c r="AM895" s="474" t="s">
        <v>52</v>
      </c>
      <c r="AN895" s="474"/>
      <c r="AO895" s="474"/>
      <c r="AP895" s="486"/>
      <c r="AQ895" s="486" t="s">
        <v>37</v>
      </c>
      <c r="AR895" s="486"/>
      <c r="AS895" s="495"/>
      <c r="AT895" s="495"/>
      <c r="AU895" s="495"/>
      <c r="AV895" s="478">
        <v>0.51</v>
      </c>
    </row>
    <row r="896" spans="1:48" s="471" customFormat="1" ht="15" customHeight="1">
      <c r="A896" s="472"/>
      <c r="B896" s="514">
        <v>44645</v>
      </c>
      <c r="C896" s="472"/>
      <c r="D896" s="485" t="s">
        <v>3186</v>
      </c>
      <c r="E896" s="501"/>
      <c r="F896" s="501"/>
      <c r="G896" s="501">
        <v>2022</v>
      </c>
      <c r="H896" s="501"/>
      <c r="I896" s="501" t="s">
        <v>1676</v>
      </c>
      <c r="J896" s="502"/>
      <c r="K896" s="503" t="s">
        <v>4865</v>
      </c>
      <c r="L896" s="501" t="s">
        <v>3335</v>
      </c>
      <c r="M896" s="504">
        <v>44644</v>
      </c>
      <c r="N896" s="504">
        <v>44652</v>
      </c>
      <c r="O896" s="504"/>
      <c r="P896" s="502"/>
      <c r="Q896" s="502"/>
      <c r="R896" s="502"/>
      <c r="S896" s="501" t="s">
        <v>2379</v>
      </c>
      <c r="T896" s="501">
        <v>60</v>
      </c>
      <c r="U896" s="501"/>
      <c r="V896" s="501" t="s">
        <v>1223</v>
      </c>
      <c r="W896" s="496">
        <v>360</v>
      </c>
      <c r="X896" s="500">
        <v>1352</v>
      </c>
      <c r="Y896" s="491">
        <f t="shared" si="130"/>
        <v>486720</v>
      </c>
      <c r="Z896" s="478">
        <v>0.83</v>
      </c>
      <c r="AA896" s="492">
        <f t="shared" si="129"/>
        <v>403977.6</v>
      </c>
      <c r="AB896" s="480"/>
      <c r="AC896" s="481">
        <f t="shared" si="131"/>
        <v>0</v>
      </c>
      <c r="AD896" s="490"/>
      <c r="AE896" s="482"/>
      <c r="AF896" s="493">
        <f t="shared" si="132"/>
        <v>403977.6</v>
      </c>
      <c r="AG896" s="474" t="s">
        <v>1071</v>
      </c>
      <c r="AH896" s="474"/>
      <c r="AI896" s="483" t="s">
        <v>2442</v>
      </c>
      <c r="AJ896" s="474" t="s">
        <v>2472</v>
      </c>
      <c r="AK896" s="494" t="s">
        <v>1133</v>
      </c>
      <c r="AL896" s="474">
        <v>85040</v>
      </c>
      <c r="AM896" s="474" t="s">
        <v>52</v>
      </c>
      <c r="AN896" s="474"/>
      <c r="AO896" s="474"/>
      <c r="AP896" s="486"/>
      <c r="AQ896" s="486" t="s">
        <v>37</v>
      </c>
      <c r="AR896" s="486"/>
      <c r="AS896" s="495"/>
      <c r="AT896" s="495"/>
      <c r="AU896" s="495"/>
      <c r="AV896" s="478">
        <v>0.51</v>
      </c>
    </row>
    <row r="897" spans="1:1259" s="471" customFormat="1" ht="15" customHeight="1">
      <c r="A897" s="472"/>
      <c r="B897" s="472"/>
      <c r="C897" s="472"/>
      <c r="D897" s="512" t="s">
        <v>3186</v>
      </c>
      <c r="E897" s="501"/>
      <c r="F897" s="501"/>
      <c r="G897" s="501">
        <v>2022</v>
      </c>
      <c r="H897" s="501"/>
      <c r="I897" s="496" t="s">
        <v>1676</v>
      </c>
      <c r="J897" s="502"/>
      <c r="K897" s="503" t="s">
        <v>4866</v>
      </c>
      <c r="L897" s="501" t="s">
        <v>3297</v>
      </c>
      <c r="M897" s="504">
        <v>44601</v>
      </c>
      <c r="N897" s="504">
        <v>44615</v>
      </c>
      <c r="O897" s="504"/>
      <c r="P897" s="502"/>
      <c r="Q897" s="502"/>
      <c r="R897" s="502"/>
      <c r="S897" s="501" t="s">
        <v>2379</v>
      </c>
      <c r="T897" s="501">
        <v>60</v>
      </c>
      <c r="U897" s="501"/>
      <c r="V897" s="501" t="s">
        <v>973</v>
      </c>
      <c r="W897" s="501">
        <v>400</v>
      </c>
      <c r="X897" s="505">
        <v>416</v>
      </c>
      <c r="Y897" s="491">
        <f t="shared" si="130"/>
        <v>166400</v>
      </c>
      <c r="Z897" s="506">
        <v>0.54</v>
      </c>
      <c r="AA897" s="492">
        <f t="shared" si="129"/>
        <v>89856</v>
      </c>
      <c r="AB897" s="480"/>
      <c r="AC897" s="481">
        <f t="shared" si="131"/>
        <v>0</v>
      </c>
      <c r="AD897" s="508"/>
      <c r="AE897" s="507">
        <v>3987.36</v>
      </c>
      <c r="AF897" s="493">
        <f t="shared" si="132"/>
        <v>93843.36</v>
      </c>
      <c r="AG897" s="501" t="s">
        <v>47</v>
      </c>
      <c r="AH897" s="501"/>
      <c r="AI897" s="503">
        <v>60</v>
      </c>
      <c r="AJ897" s="501" t="s">
        <v>4867</v>
      </c>
      <c r="AK897" s="509" t="s">
        <v>50</v>
      </c>
      <c r="AL897" s="501">
        <v>94534</v>
      </c>
      <c r="AM897" s="501" t="s">
        <v>52</v>
      </c>
      <c r="AN897" s="501"/>
      <c r="AO897" s="501"/>
      <c r="AP897" s="510"/>
      <c r="AQ897" s="510" t="s">
        <v>37</v>
      </c>
      <c r="AR897" s="510"/>
      <c r="AS897" s="495"/>
      <c r="AT897" s="495"/>
      <c r="AU897" s="495"/>
      <c r="AV897" s="506">
        <f t="shared" ref="AV897:AV914" si="133">182.4/380</f>
        <v>0.48000000000000004</v>
      </c>
    </row>
    <row r="898" spans="1:1259" s="511" customFormat="1" ht="15" customHeight="1">
      <c r="A898" s="472"/>
      <c r="B898" s="472"/>
      <c r="C898" s="472"/>
      <c r="D898" s="512" t="s">
        <v>3186</v>
      </c>
      <c r="E898" s="501"/>
      <c r="F898" s="501"/>
      <c r="G898" s="501">
        <v>2022</v>
      </c>
      <c r="H898" s="501"/>
      <c r="I898" s="496" t="s">
        <v>1676</v>
      </c>
      <c r="J898" s="502"/>
      <c r="K898" s="503" t="s">
        <v>4868</v>
      </c>
      <c r="L898" s="501" t="s">
        <v>3297</v>
      </c>
      <c r="M898" s="504">
        <v>44601</v>
      </c>
      <c r="N898" s="504">
        <v>44628</v>
      </c>
      <c r="O898" s="504"/>
      <c r="P898" s="502"/>
      <c r="Q898" s="502"/>
      <c r="R898" s="502"/>
      <c r="S898" s="501" t="s">
        <v>2379</v>
      </c>
      <c r="T898" s="501">
        <v>60</v>
      </c>
      <c r="U898" s="501"/>
      <c r="V898" s="501" t="s">
        <v>973</v>
      </c>
      <c r="W898" s="501">
        <v>400</v>
      </c>
      <c r="X898" s="505">
        <v>416</v>
      </c>
      <c r="Y898" s="491">
        <f t="shared" si="130"/>
        <v>166400</v>
      </c>
      <c r="Z898" s="506">
        <v>0.54</v>
      </c>
      <c r="AA898" s="492">
        <f t="shared" si="129"/>
        <v>89856</v>
      </c>
      <c r="AB898" s="480"/>
      <c r="AC898" s="481">
        <f t="shared" si="131"/>
        <v>0</v>
      </c>
      <c r="AD898" s="508"/>
      <c r="AE898" s="507">
        <v>3987.36</v>
      </c>
      <c r="AF898" s="493">
        <f t="shared" si="132"/>
        <v>93843.36</v>
      </c>
      <c r="AG898" s="501" t="s">
        <v>47</v>
      </c>
      <c r="AH898" s="501"/>
      <c r="AI898" s="503">
        <v>60</v>
      </c>
      <c r="AJ898" s="501" t="s">
        <v>4867</v>
      </c>
      <c r="AK898" s="509" t="s">
        <v>50</v>
      </c>
      <c r="AL898" s="501">
        <v>94534</v>
      </c>
      <c r="AM898" s="501" t="s">
        <v>52</v>
      </c>
      <c r="AN898" s="501"/>
      <c r="AO898" s="501"/>
      <c r="AP898" s="510"/>
      <c r="AQ898" s="510" t="s">
        <v>37</v>
      </c>
      <c r="AR898" s="510"/>
      <c r="AS898" s="495"/>
      <c r="AT898" s="495"/>
      <c r="AU898" s="495"/>
      <c r="AV898" s="506">
        <f t="shared" si="133"/>
        <v>0.48000000000000004</v>
      </c>
      <c r="AW898" s="471"/>
      <c r="AX898" s="471"/>
      <c r="AY898" s="471"/>
      <c r="AZ898" s="471"/>
      <c r="BA898" s="471"/>
      <c r="BB898" s="471"/>
      <c r="BC898" s="471"/>
      <c r="BD898" s="471"/>
      <c r="BE898" s="471"/>
      <c r="BF898" s="471"/>
      <c r="BG898" s="471"/>
      <c r="BH898" s="471"/>
      <c r="BI898" s="471"/>
      <c r="BJ898" s="471"/>
      <c r="BK898" s="471"/>
      <c r="BL898" s="471"/>
      <c r="BM898" s="471"/>
      <c r="BN898" s="471"/>
      <c r="BO898" s="471"/>
      <c r="BP898" s="471"/>
      <c r="BQ898" s="471"/>
      <c r="BR898" s="471"/>
      <c r="BS898" s="471"/>
      <c r="BT898" s="471"/>
      <c r="BU898" s="471"/>
      <c r="BV898" s="471"/>
      <c r="BW898" s="471"/>
      <c r="BX898" s="471"/>
      <c r="BY898" s="471"/>
      <c r="BZ898" s="471"/>
      <c r="CA898" s="471"/>
      <c r="CB898" s="471"/>
      <c r="CC898" s="471"/>
      <c r="CD898" s="471"/>
      <c r="CE898" s="471"/>
      <c r="CF898" s="471"/>
      <c r="CG898" s="471"/>
      <c r="CH898" s="471"/>
      <c r="CI898" s="471"/>
      <c r="CJ898" s="471"/>
      <c r="CK898" s="471"/>
      <c r="CL898" s="471"/>
      <c r="CM898" s="471"/>
      <c r="CN898" s="471"/>
      <c r="CO898" s="471"/>
      <c r="CP898" s="471"/>
      <c r="CQ898" s="471"/>
      <c r="CR898" s="471"/>
      <c r="CS898" s="471"/>
      <c r="CT898" s="471"/>
      <c r="CU898" s="471"/>
      <c r="CV898" s="471"/>
      <c r="CW898" s="471"/>
      <c r="CX898" s="471"/>
      <c r="CY898" s="471"/>
      <c r="CZ898" s="471"/>
      <c r="DA898" s="471"/>
      <c r="DB898" s="471"/>
      <c r="DC898" s="471"/>
      <c r="DD898" s="471"/>
      <c r="DE898" s="471"/>
      <c r="DF898" s="471"/>
      <c r="DG898" s="471"/>
      <c r="DH898" s="471"/>
      <c r="DI898" s="471"/>
      <c r="DJ898" s="471"/>
      <c r="DK898" s="471"/>
      <c r="DL898" s="471"/>
      <c r="DM898" s="471"/>
      <c r="DN898" s="471"/>
      <c r="DO898" s="471"/>
      <c r="DP898" s="471"/>
      <c r="DQ898" s="471"/>
      <c r="DR898" s="471"/>
      <c r="DS898" s="471"/>
      <c r="DT898" s="471"/>
      <c r="DU898" s="471"/>
      <c r="DV898" s="471"/>
      <c r="DW898" s="471"/>
      <c r="DX898" s="471"/>
      <c r="DY898" s="471"/>
      <c r="DZ898" s="471"/>
      <c r="EA898" s="471"/>
      <c r="EB898" s="471"/>
      <c r="EC898" s="471"/>
      <c r="ED898" s="471"/>
      <c r="EE898" s="471"/>
      <c r="EF898" s="471"/>
      <c r="EG898" s="471"/>
      <c r="EH898" s="471"/>
      <c r="EI898" s="471"/>
      <c r="EJ898" s="471"/>
      <c r="EK898" s="471"/>
      <c r="EL898" s="471"/>
      <c r="EM898" s="471"/>
      <c r="EN898" s="471"/>
      <c r="EO898" s="471"/>
      <c r="EP898" s="471"/>
      <c r="EQ898" s="471"/>
      <c r="ER898" s="471"/>
      <c r="ES898" s="471"/>
      <c r="ET898" s="471"/>
      <c r="EU898" s="471"/>
      <c r="EV898" s="471"/>
      <c r="EW898" s="471"/>
      <c r="EX898" s="471"/>
      <c r="EY898" s="471"/>
      <c r="EZ898" s="471"/>
      <c r="FA898" s="471"/>
      <c r="FB898" s="471"/>
      <c r="FC898" s="471"/>
      <c r="FD898" s="471"/>
      <c r="FE898" s="471"/>
      <c r="FF898" s="471"/>
      <c r="FG898" s="471"/>
      <c r="FH898" s="471"/>
      <c r="FI898" s="471"/>
      <c r="FJ898" s="471"/>
      <c r="FK898" s="471"/>
      <c r="FL898" s="471"/>
      <c r="FM898" s="471"/>
      <c r="FN898" s="471"/>
      <c r="FO898" s="471"/>
      <c r="FP898" s="471"/>
      <c r="FQ898" s="471"/>
      <c r="FR898" s="471"/>
      <c r="FS898" s="471"/>
      <c r="FT898" s="471"/>
      <c r="FU898" s="471"/>
      <c r="FV898" s="471"/>
      <c r="FW898" s="471"/>
      <c r="FX898" s="471"/>
      <c r="FY898" s="471"/>
      <c r="FZ898" s="471"/>
      <c r="GA898" s="471"/>
      <c r="GB898" s="471"/>
      <c r="GC898" s="471"/>
      <c r="GD898" s="471"/>
      <c r="GE898" s="471"/>
      <c r="GF898" s="471"/>
      <c r="GG898" s="471"/>
      <c r="GH898" s="471"/>
      <c r="GI898" s="471"/>
      <c r="GJ898" s="471"/>
      <c r="GK898" s="471"/>
      <c r="GL898" s="471"/>
      <c r="GM898" s="471"/>
      <c r="GN898" s="471"/>
      <c r="GO898" s="471"/>
      <c r="GP898" s="471"/>
      <c r="GQ898" s="471"/>
      <c r="GR898" s="471"/>
      <c r="GS898" s="471"/>
      <c r="GT898" s="471"/>
      <c r="GU898" s="471"/>
      <c r="GV898" s="471"/>
      <c r="GW898" s="471"/>
      <c r="GX898" s="471"/>
      <c r="GY898" s="471"/>
      <c r="GZ898" s="471"/>
      <c r="HA898" s="471"/>
      <c r="HB898" s="471"/>
      <c r="HC898" s="471"/>
      <c r="HD898" s="471"/>
      <c r="HE898" s="471"/>
      <c r="HF898" s="471"/>
      <c r="HG898" s="471"/>
      <c r="HH898" s="471"/>
      <c r="HI898" s="471"/>
      <c r="HJ898" s="471"/>
      <c r="HK898" s="471"/>
      <c r="HL898" s="471"/>
      <c r="HM898" s="471"/>
      <c r="HN898" s="471"/>
      <c r="HO898" s="471"/>
      <c r="HP898" s="471"/>
      <c r="HQ898" s="471"/>
      <c r="HR898" s="471"/>
      <c r="HS898" s="471"/>
      <c r="HT898" s="471"/>
      <c r="HU898" s="471"/>
      <c r="HV898" s="471"/>
      <c r="HW898" s="471"/>
      <c r="HX898" s="471"/>
      <c r="HY898" s="471"/>
      <c r="HZ898" s="471"/>
      <c r="IA898" s="471"/>
      <c r="IB898" s="471"/>
      <c r="IC898" s="471"/>
      <c r="ID898" s="471"/>
      <c r="IE898" s="471"/>
      <c r="IF898" s="471"/>
      <c r="IG898" s="471"/>
      <c r="IH898" s="471"/>
      <c r="II898" s="471"/>
      <c r="IJ898" s="471"/>
      <c r="IK898" s="471"/>
      <c r="IL898" s="471"/>
      <c r="IM898" s="471"/>
      <c r="IN898" s="471"/>
      <c r="IO898" s="471"/>
      <c r="IP898" s="471"/>
      <c r="IQ898" s="471"/>
      <c r="IR898" s="471"/>
      <c r="IS898" s="471"/>
      <c r="IT898" s="471"/>
      <c r="IU898" s="471"/>
      <c r="IV898" s="471"/>
      <c r="IW898" s="471"/>
      <c r="IX898" s="471"/>
      <c r="IY898" s="471"/>
      <c r="IZ898" s="471"/>
      <c r="JA898" s="471"/>
      <c r="JB898" s="471"/>
      <c r="JC898" s="471"/>
      <c r="JD898" s="471"/>
      <c r="JE898" s="471"/>
      <c r="JF898" s="471"/>
      <c r="JG898" s="471"/>
      <c r="JH898" s="471"/>
      <c r="JI898" s="471"/>
      <c r="JJ898" s="471"/>
      <c r="JK898" s="471"/>
      <c r="JL898" s="471"/>
      <c r="JM898" s="471"/>
      <c r="JN898" s="471"/>
      <c r="JO898" s="471"/>
      <c r="JP898" s="471"/>
      <c r="JQ898" s="471"/>
      <c r="JR898" s="471"/>
      <c r="JS898" s="471"/>
      <c r="JT898" s="471"/>
      <c r="JU898" s="471"/>
      <c r="JV898" s="471"/>
      <c r="JW898" s="471"/>
      <c r="JX898" s="471"/>
      <c r="JY898" s="471"/>
      <c r="JZ898" s="471"/>
      <c r="KA898" s="471"/>
      <c r="KB898" s="471"/>
      <c r="KC898" s="471"/>
      <c r="KD898" s="471"/>
      <c r="KE898" s="471"/>
      <c r="KF898" s="471"/>
      <c r="KG898" s="471"/>
      <c r="KH898" s="471"/>
      <c r="KI898" s="471"/>
      <c r="KJ898" s="471"/>
      <c r="KK898" s="471"/>
      <c r="KL898" s="471"/>
      <c r="KM898" s="471"/>
      <c r="KN898" s="471"/>
      <c r="KO898" s="471"/>
      <c r="KP898" s="471"/>
      <c r="KQ898" s="471"/>
      <c r="KR898" s="471"/>
      <c r="KS898" s="471"/>
      <c r="KT898" s="471"/>
      <c r="KU898" s="471"/>
      <c r="KV898" s="471"/>
      <c r="KW898" s="471"/>
      <c r="KX898" s="471"/>
      <c r="KY898" s="471"/>
      <c r="KZ898" s="471"/>
      <c r="LA898" s="471"/>
      <c r="LB898" s="471"/>
      <c r="LC898" s="471"/>
      <c r="LD898" s="471"/>
      <c r="LE898" s="471"/>
      <c r="LF898" s="471"/>
      <c r="LG898" s="471"/>
      <c r="LH898" s="471"/>
      <c r="LI898" s="471"/>
      <c r="LJ898" s="471"/>
      <c r="LK898" s="471"/>
      <c r="LL898" s="471"/>
      <c r="LM898" s="471"/>
      <c r="LN898" s="471"/>
      <c r="LO898" s="471"/>
      <c r="LP898" s="471"/>
      <c r="LQ898" s="471"/>
      <c r="LR898" s="471"/>
      <c r="LS898" s="471"/>
      <c r="LT898" s="471"/>
      <c r="LU898" s="471"/>
      <c r="LV898" s="471"/>
      <c r="LW898" s="471"/>
      <c r="LX898" s="471"/>
      <c r="LY898" s="471"/>
      <c r="LZ898" s="471"/>
      <c r="MA898" s="471"/>
      <c r="MB898" s="471"/>
      <c r="MC898" s="471"/>
      <c r="MD898" s="471"/>
      <c r="ME898" s="471"/>
      <c r="MF898" s="471"/>
      <c r="MG898" s="471"/>
      <c r="MH898" s="471"/>
      <c r="MI898" s="471"/>
      <c r="MJ898" s="471"/>
      <c r="MK898" s="471"/>
      <c r="ML898" s="471"/>
      <c r="MM898" s="471"/>
      <c r="MN898" s="471"/>
      <c r="MO898" s="471"/>
      <c r="MP898" s="471"/>
      <c r="MQ898" s="471"/>
      <c r="MR898" s="471"/>
      <c r="MS898" s="471"/>
      <c r="MT898" s="471"/>
      <c r="MU898" s="471"/>
      <c r="MV898" s="471"/>
      <c r="MW898" s="471"/>
      <c r="MX898" s="471"/>
      <c r="MY898" s="471"/>
      <c r="MZ898" s="471"/>
      <c r="NA898" s="471"/>
      <c r="NB898" s="471"/>
      <c r="NC898" s="471"/>
      <c r="ND898" s="471"/>
      <c r="NE898" s="471"/>
      <c r="NF898" s="471"/>
      <c r="NG898" s="471"/>
      <c r="NH898" s="471"/>
      <c r="NI898" s="471"/>
      <c r="NJ898" s="471"/>
      <c r="NK898" s="471"/>
      <c r="NL898" s="471"/>
      <c r="NM898" s="471"/>
      <c r="NN898" s="471"/>
      <c r="NO898" s="471"/>
      <c r="NP898" s="471"/>
      <c r="NQ898" s="471"/>
      <c r="NR898" s="471"/>
      <c r="NS898" s="471"/>
      <c r="NT898" s="471"/>
      <c r="NU898" s="471"/>
      <c r="NV898" s="471"/>
      <c r="NW898" s="471"/>
      <c r="NX898" s="471"/>
      <c r="NY898" s="471"/>
      <c r="NZ898" s="471"/>
      <c r="OA898" s="471"/>
      <c r="OB898" s="471"/>
      <c r="OC898" s="471"/>
      <c r="OD898" s="471"/>
      <c r="OE898" s="471"/>
      <c r="OF898" s="471"/>
      <c r="OG898" s="471"/>
      <c r="OH898" s="471"/>
      <c r="OI898" s="471"/>
      <c r="OJ898" s="471"/>
      <c r="OK898" s="471"/>
      <c r="OL898" s="471"/>
      <c r="OM898" s="471"/>
      <c r="ON898" s="471"/>
      <c r="OO898" s="471"/>
      <c r="OP898" s="471"/>
      <c r="OQ898" s="471"/>
      <c r="OR898" s="471"/>
      <c r="OS898" s="471"/>
      <c r="OT898" s="471"/>
      <c r="OU898" s="471"/>
      <c r="OV898" s="471"/>
      <c r="OW898" s="471"/>
      <c r="OX898" s="471"/>
      <c r="OY898" s="471"/>
      <c r="OZ898" s="471"/>
      <c r="PA898" s="471"/>
      <c r="PB898" s="471"/>
      <c r="PC898" s="471"/>
      <c r="PD898" s="471"/>
      <c r="PE898" s="471"/>
      <c r="PF898" s="471"/>
      <c r="PG898" s="471"/>
      <c r="PH898" s="471"/>
      <c r="PI898" s="471"/>
      <c r="PJ898" s="471"/>
      <c r="PK898" s="471"/>
      <c r="PL898" s="471"/>
      <c r="PM898" s="471"/>
      <c r="PN898" s="471"/>
      <c r="PO898" s="471"/>
      <c r="PP898" s="471"/>
      <c r="PQ898" s="471"/>
      <c r="PR898" s="471"/>
      <c r="PS898" s="471"/>
      <c r="PT898" s="471"/>
      <c r="PU898" s="471"/>
      <c r="PV898" s="471"/>
      <c r="PW898" s="471"/>
      <c r="PX898" s="471"/>
      <c r="PY898" s="471"/>
      <c r="PZ898" s="471"/>
      <c r="QA898" s="471"/>
      <c r="QB898" s="471"/>
      <c r="QC898" s="471"/>
      <c r="QD898" s="471"/>
      <c r="QE898" s="471"/>
      <c r="QF898" s="471"/>
      <c r="QG898" s="471"/>
      <c r="QH898" s="471"/>
      <c r="QI898" s="471"/>
      <c r="QJ898" s="471"/>
      <c r="QK898" s="471"/>
      <c r="QL898" s="471"/>
      <c r="QM898" s="471"/>
      <c r="QN898" s="471"/>
      <c r="QO898" s="471"/>
      <c r="QP898" s="471"/>
      <c r="QQ898" s="471"/>
      <c r="QR898" s="471"/>
      <c r="QS898" s="471"/>
      <c r="QT898" s="471"/>
      <c r="QU898" s="471"/>
      <c r="QV898" s="471"/>
      <c r="QW898" s="471"/>
      <c r="QX898" s="471"/>
      <c r="QY898" s="471"/>
      <c r="QZ898" s="471"/>
      <c r="RA898" s="471"/>
      <c r="RB898" s="471"/>
      <c r="RC898" s="471"/>
      <c r="RD898" s="471"/>
      <c r="RE898" s="471"/>
      <c r="RF898" s="471"/>
      <c r="RG898" s="471"/>
      <c r="RH898" s="471"/>
      <c r="RI898" s="471"/>
      <c r="RJ898" s="471"/>
      <c r="RK898" s="471"/>
      <c r="RL898" s="471"/>
      <c r="RM898" s="471"/>
      <c r="RN898" s="471"/>
      <c r="RO898" s="471"/>
      <c r="RP898" s="471"/>
      <c r="RQ898" s="471"/>
      <c r="RR898" s="471"/>
      <c r="RS898" s="471"/>
      <c r="RT898" s="471"/>
      <c r="RU898" s="471"/>
      <c r="RV898" s="471"/>
      <c r="RW898" s="471"/>
      <c r="RX898" s="471"/>
      <c r="RY898" s="471"/>
      <c r="RZ898" s="471"/>
      <c r="SA898" s="471"/>
      <c r="SB898" s="471"/>
      <c r="SC898" s="471"/>
      <c r="SD898" s="471"/>
      <c r="SE898" s="471"/>
      <c r="SF898" s="471"/>
      <c r="SG898" s="471"/>
      <c r="SH898" s="471"/>
      <c r="SI898" s="471"/>
      <c r="SJ898" s="471"/>
      <c r="SK898" s="471"/>
      <c r="SL898" s="471"/>
      <c r="SM898" s="471"/>
      <c r="SN898" s="471"/>
      <c r="SO898" s="471"/>
      <c r="SP898" s="471"/>
      <c r="SQ898" s="471"/>
      <c r="SR898" s="471"/>
      <c r="SS898" s="471"/>
      <c r="ST898" s="471"/>
      <c r="SU898" s="471"/>
      <c r="SV898" s="471"/>
      <c r="SW898" s="471"/>
      <c r="SX898" s="471"/>
      <c r="SY898" s="471"/>
      <c r="SZ898" s="471"/>
      <c r="TA898" s="471"/>
      <c r="TB898" s="471"/>
      <c r="TC898" s="471"/>
      <c r="TD898" s="471"/>
      <c r="TE898" s="471"/>
      <c r="TF898" s="471"/>
      <c r="TG898" s="471"/>
      <c r="TH898" s="471"/>
      <c r="TI898" s="471"/>
      <c r="TJ898" s="471"/>
      <c r="TK898" s="471"/>
      <c r="TL898" s="471"/>
      <c r="TM898" s="471"/>
      <c r="TN898" s="471"/>
      <c r="TO898" s="471"/>
      <c r="TP898" s="471"/>
      <c r="TQ898" s="471"/>
      <c r="TR898" s="471"/>
      <c r="TS898" s="471"/>
      <c r="TT898" s="471"/>
      <c r="TU898" s="471"/>
      <c r="TV898" s="471"/>
      <c r="TW898" s="471"/>
      <c r="TX898" s="471"/>
      <c r="TY898" s="471"/>
      <c r="TZ898" s="471"/>
      <c r="UA898" s="471"/>
      <c r="UB898" s="471"/>
      <c r="UC898" s="471"/>
      <c r="UD898" s="471"/>
      <c r="UE898" s="471"/>
      <c r="UF898" s="471"/>
      <c r="UG898" s="471"/>
      <c r="UH898" s="471"/>
      <c r="UI898" s="471"/>
      <c r="UJ898" s="471"/>
      <c r="UK898" s="471"/>
      <c r="UL898" s="471"/>
      <c r="UM898" s="471"/>
      <c r="UN898" s="471"/>
      <c r="UO898" s="471"/>
      <c r="UP898" s="471"/>
      <c r="UQ898" s="471"/>
      <c r="UR898" s="471"/>
      <c r="US898" s="471"/>
      <c r="UT898" s="471"/>
      <c r="UU898" s="471"/>
      <c r="UV898" s="471"/>
      <c r="UW898" s="471"/>
      <c r="UX898" s="471"/>
      <c r="UY898" s="471"/>
      <c r="UZ898" s="471"/>
      <c r="VA898" s="471"/>
      <c r="VB898" s="471"/>
      <c r="VC898" s="471"/>
      <c r="VD898" s="471"/>
      <c r="VE898" s="471"/>
      <c r="VF898" s="471"/>
      <c r="VG898" s="471"/>
      <c r="VH898" s="471"/>
      <c r="VI898" s="471"/>
      <c r="VJ898" s="471"/>
      <c r="VK898" s="471"/>
      <c r="VL898" s="471"/>
      <c r="VM898" s="471"/>
      <c r="VN898" s="471"/>
      <c r="VO898" s="471"/>
      <c r="VP898" s="471"/>
      <c r="VQ898" s="471"/>
      <c r="VR898" s="471"/>
      <c r="VS898" s="471"/>
      <c r="VT898" s="471"/>
      <c r="VU898" s="471"/>
      <c r="VV898" s="471"/>
      <c r="VW898" s="471"/>
      <c r="VX898" s="471"/>
      <c r="VY898" s="471"/>
      <c r="VZ898" s="471"/>
      <c r="WA898" s="471"/>
      <c r="WB898" s="471"/>
      <c r="WC898" s="471"/>
      <c r="WD898" s="471"/>
      <c r="WE898" s="471"/>
      <c r="WF898" s="471"/>
      <c r="WG898" s="471"/>
      <c r="WH898" s="471"/>
      <c r="WI898" s="471"/>
      <c r="WJ898" s="471"/>
      <c r="WK898" s="471"/>
      <c r="WL898" s="471"/>
      <c r="WM898" s="471"/>
      <c r="WN898" s="471"/>
      <c r="WO898" s="471"/>
      <c r="WP898" s="471"/>
      <c r="WQ898" s="471"/>
      <c r="WR898" s="471"/>
      <c r="WS898" s="471"/>
      <c r="WT898" s="471"/>
      <c r="WU898" s="471"/>
      <c r="WV898" s="471"/>
      <c r="WW898" s="471"/>
      <c r="WX898" s="471"/>
      <c r="WY898" s="471"/>
      <c r="WZ898" s="471"/>
      <c r="XA898" s="471"/>
      <c r="XB898" s="471"/>
      <c r="XC898" s="471"/>
      <c r="XD898" s="471"/>
      <c r="XE898" s="471"/>
      <c r="XF898" s="471"/>
      <c r="XG898" s="471"/>
      <c r="XH898" s="471"/>
      <c r="XI898" s="471"/>
      <c r="XJ898" s="471"/>
      <c r="XK898" s="471"/>
      <c r="XL898" s="471"/>
      <c r="XM898" s="471"/>
      <c r="XN898" s="471"/>
      <c r="XO898" s="471"/>
      <c r="XP898" s="471"/>
      <c r="XQ898" s="471"/>
      <c r="XR898" s="471"/>
      <c r="XS898" s="471"/>
      <c r="XT898" s="471"/>
      <c r="XU898" s="471"/>
      <c r="XV898" s="471"/>
      <c r="XW898" s="471"/>
      <c r="XX898" s="471"/>
      <c r="XY898" s="471"/>
      <c r="XZ898" s="471"/>
      <c r="YA898" s="471"/>
      <c r="YB898" s="471"/>
      <c r="YC898" s="471"/>
      <c r="YD898" s="471"/>
      <c r="YE898" s="471"/>
      <c r="YF898" s="471"/>
      <c r="YG898" s="471"/>
      <c r="YH898" s="471"/>
      <c r="YI898" s="471"/>
      <c r="YJ898" s="471"/>
      <c r="YK898" s="471"/>
      <c r="YL898" s="471"/>
      <c r="YM898" s="471"/>
      <c r="YN898" s="471"/>
      <c r="YO898" s="471"/>
      <c r="YP898" s="471"/>
      <c r="YQ898" s="471"/>
      <c r="YR898" s="471"/>
      <c r="YS898" s="471"/>
      <c r="YT898" s="471"/>
      <c r="YU898" s="471"/>
      <c r="YV898" s="471"/>
      <c r="YW898" s="471"/>
      <c r="YX898" s="471"/>
      <c r="YY898" s="471"/>
      <c r="YZ898" s="471"/>
      <c r="ZA898" s="471"/>
      <c r="ZB898" s="471"/>
      <c r="ZC898" s="471"/>
      <c r="ZD898" s="471"/>
      <c r="ZE898" s="471"/>
      <c r="ZF898" s="471"/>
      <c r="ZG898" s="471"/>
      <c r="ZH898" s="471"/>
      <c r="ZI898" s="471"/>
      <c r="ZJ898" s="471"/>
      <c r="ZK898" s="471"/>
      <c r="ZL898" s="471"/>
      <c r="ZM898" s="471"/>
      <c r="ZN898" s="471"/>
      <c r="ZO898" s="471"/>
      <c r="ZP898" s="471"/>
      <c r="ZQ898" s="471"/>
      <c r="ZR898" s="471"/>
      <c r="ZS898" s="471"/>
      <c r="ZT898" s="471"/>
      <c r="ZU898" s="471"/>
      <c r="ZV898" s="471"/>
      <c r="ZW898" s="471"/>
      <c r="ZX898" s="471"/>
      <c r="ZY898" s="471"/>
      <c r="ZZ898" s="471"/>
      <c r="AAA898" s="471"/>
      <c r="AAB898" s="471"/>
      <c r="AAC898" s="471"/>
      <c r="AAD898" s="471"/>
      <c r="AAE898" s="471"/>
      <c r="AAF898" s="471"/>
      <c r="AAG898" s="471"/>
      <c r="AAH898" s="471"/>
      <c r="AAI898" s="471"/>
      <c r="AAJ898" s="471"/>
      <c r="AAK898" s="471"/>
      <c r="AAL898" s="471"/>
      <c r="AAM898" s="471"/>
      <c r="AAN898" s="471"/>
      <c r="AAO898" s="471"/>
      <c r="AAP898" s="471"/>
      <c r="AAQ898" s="471"/>
      <c r="AAR898" s="471"/>
      <c r="AAS898" s="471"/>
      <c r="AAT898" s="471"/>
      <c r="AAU898" s="471"/>
      <c r="AAV898" s="471"/>
      <c r="AAW898" s="471"/>
      <c r="AAX898" s="471"/>
      <c r="AAY898" s="471"/>
      <c r="AAZ898" s="471"/>
      <c r="ABA898" s="471"/>
      <c r="ABB898" s="471"/>
      <c r="ABC898" s="471"/>
      <c r="ABD898" s="471"/>
      <c r="ABE898" s="471"/>
      <c r="ABF898" s="471"/>
      <c r="ABG898" s="471"/>
      <c r="ABH898" s="471"/>
      <c r="ABI898" s="471"/>
      <c r="ABJ898" s="471"/>
      <c r="ABK898" s="471"/>
      <c r="ABL898" s="471"/>
      <c r="ABM898" s="471"/>
      <c r="ABN898" s="471"/>
      <c r="ABO898" s="471"/>
      <c r="ABP898" s="471"/>
      <c r="ABQ898" s="471"/>
      <c r="ABR898" s="471"/>
      <c r="ABS898" s="471"/>
      <c r="ABT898" s="471"/>
      <c r="ABU898" s="471"/>
      <c r="ABV898" s="471"/>
      <c r="ABW898" s="471"/>
      <c r="ABX898" s="471"/>
      <c r="ABY898" s="471"/>
      <c r="ABZ898" s="471"/>
      <c r="ACA898" s="471"/>
      <c r="ACB898" s="471"/>
      <c r="ACC898" s="471"/>
      <c r="ACD898" s="471"/>
      <c r="ACE898" s="471"/>
      <c r="ACF898" s="471"/>
      <c r="ACG898" s="471"/>
      <c r="ACH898" s="471"/>
      <c r="ACI898" s="471"/>
      <c r="ACJ898" s="471"/>
      <c r="ACK898" s="471"/>
      <c r="ACL898" s="471"/>
      <c r="ACM898" s="471"/>
      <c r="ACN898" s="471"/>
      <c r="ACO898" s="471"/>
      <c r="ACP898" s="471"/>
      <c r="ACQ898" s="471"/>
      <c r="ACR898" s="471"/>
      <c r="ACS898" s="471"/>
      <c r="ACT898" s="471"/>
      <c r="ACU898" s="471"/>
      <c r="ACV898" s="471"/>
      <c r="ACW898" s="471"/>
      <c r="ACX898" s="471"/>
      <c r="ACY898" s="471"/>
      <c r="ACZ898" s="471"/>
      <c r="ADA898" s="471"/>
      <c r="ADB898" s="471"/>
      <c r="ADC898" s="471"/>
      <c r="ADD898" s="471"/>
      <c r="ADE898" s="471"/>
      <c r="ADF898" s="471"/>
      <c r="ADG898" s="471"/>
      <c r="ADH898" s="471"/>
      <c r="ADI898" s="471"/>
      <c r="ADJ898" s="471"/>
      <c r="ADK898" s="471"/>
      <c r="ADL898" s="471"/>
      <c r="ADM898" s="471"/>
      <c r="ADN898" s="471"/>
      <c r="ADO898" s="471"/>
      <c r="ADP898" s="471"/>
      <c r="ADQ898" s="471"/>
      <c r="ADR898" s="471"/>
      <c r="ADS898" s="471"/>
      <c r="ADT898" s="471"/>
      <c r="ADU898" s="471"/>
      <c r="ADV898" s="471"/>
      <c r="ADW898" s="471"/>
      <c r="ADX898" s="471"/>
      <c r="ADY898" s="471"/>
      <c r="ADZ898" s="471"/>
      <c r="AEA898" s="471"/>
      <c r="AEB898" s="471"/>
      <c r="AEC898" s="471"/>
      <c r="AED898" s="471"/>
      <c r="AEE898" s="471"/>
      <c r="AEF898" s="471"/>
      <c r="AEG898" s="471"/>
      <c r="AEH898" s="471"/>
      <c r="AEI898" s="471"/>
      <c r="AEJ898" s="471"/>
      <c r="AEK898" s="471"/>
      <c r="AEL898" s="471"/>
      <c r="AEM898" s="471"/>
      <c r="AEN898" s="471"/>
      <c r="AEO898" s="471"/>
      <c r="AEP898" s="471"/>
      <c r="AEQ898" s="471"/>
      <c r="AER898" s="471"/>
      <c r="AES898" s="471"/>
      <c r="AET898" s="471"/>
      <c r="AEU898" s="471"/>
      <c r="AEV898" s="471"/>
      <c r="AEW898" s="471"/>
      <c r="AEX898" s="471"/>
      <c r="AEY898" s="471"/>
      <c r="AEZ898" s="471"/>
      <c r="AFA898" s="471"/>
      <c r="AFB898" s="471"/>
      <c r="AFC898" s="471"/>
      <c r="AFD898" s="471"/>
      <c r="AFE898" s="471"/>
      <c r="AFF898" s="471"/>
      <c r="AFG898" s="471"/>
      <c r="AFH898" s="471"/>
      <c r="AFI898" s="471"/>
      <c r="AFJ898" s="471"/>
      <c r="AFK898" s="471"/>
      <c r="AFL898" s="471"/>
      <c r="AFM898" s="471"/>
      <c r="AFN898" s="471"/>
      <c r="AFO898" s="471"/>
      <c r="AFP898" s="471"/>
      <c r="AFQ898" s="471"/>
      <c r="AFR898" s="471"/>
      <c r="AFS898" s="471"/>
      <c r="AFT898" s="471"/>
      <c r="AFU898" s="471"/>
      <c r="AFV898" s="471"/>
      <c r="AFW898" s="471"/>
      <c r="AFX898" s="471"/>
      <c r="AFY898" s="471"/>
      <c r="AFZ898" s="471"/>
      <c r="AGA898" s="471"/>
      <c r="AGB898" s="471"/>
      <c r="AGC898" s="471"/>
      <c r="AGD898" s="471"/>
      <c r="AGE898" s="471"/>
      <c r="AGF898" s="471"/>
      <c r="AGG898" s="471"/>
      <c r="AGH898" s="471"/>
      <c r="AGI898" s="471"/>
      <c r="AGJ898" s="471"/>
      <c r="AGK898" s="471"/>
      <c r="AGL898" s="471"/>
      <c r="AGM898" s="471"/>
      <c r="AGN898" s="471"/>
      <c r="AGO898" s="471"/>
      <c r="AGP898" s="471"/>
      <c r="AGQ898" s="471"/>
      <c r="AGR898" s="471"/>
      <c r="AGS898" s="471"/>
      <c r="AGT898" s="471"/>
      <c r="AGU898" s="471"/>
      <c r="AGV898" s="471"/>
      <c r="AGW898" s="471"/>
      <c r="AGX898" s="471"/>
      <c r="AGY898" s="471"/>
      <c r="AGZ898" s="471"/>
      <c r="AHA898" s="471"/>
      <c r="AHB898" s="471"/>
      <c r="AHC898" s="471"/>
      <c r="AHD898" s="471"/>
      <c r="AHE898" s="471"/>
      <c r="AHF898" s="471"/>
      <c r="AHG898" s="471"/>
      <c r="AHH898" s="471"/>
      <c r="AHI898" s="471"/>
      <c r="AHJ898" s="471"/>
      <c r="AHK898" s="471"/>
      <c r="AHL898" s="471"/>
      <c r="AHM898" s="471"/>
      <c r="AHN898" s="471"/>
      <c r="AHO898" s="471"/>
      <c r="AHP898" s="471"/>
      <c r="AHQ898" s="471"/>
      <c r="AHR898" s="471"/>
      <c r="AHS898" s="471"/>
      <c r="AHT898" s="471"/>
      <c r="AHU898" s="471"/>
      <c r="AHV898" s="471"/>
      <c r="AHW898" s="471"/>
      <c r="AHX898" s="471"/>
      <c r="AHY898" s="471"/>
      <c r="AHZ898" s="471"/>
      <c r="AIA898" s="471"/>
      <c r="AIB898" s="471"/>
      <c r="AIC898" s="471"/>
      <c r="AID898" s="471"/>
      <c r="AIE898" s="471"/>
      <c r="AIF898" s="471"/>
      <c r="AIG898" s="471"/>
      <c r="AIH898" s="471"/>
      <c r="AII898" s="471"/>
      <c r="AIJ898" s="471"/>
      <c r="AIK898" s="471"/>
      <c r="AIL898" s="471"/>
      <c r="AIM898" s="471"/>
      <c r="AIN898" s="471"/>
      <c r="AIO898" s="471"/>
      <c r="AIP898" s="471"/>
      <c r="AIQ898" s="471"/>
      <c r="AIR898" s="471"/>
      <c r="AIS898" s="471"/>
      <c r="AIT898" s="471"/>
      <c r="AIU898" s="471"/>
      <c r="AIV898" s="471"/>
      <c r="AIW898" s="471"/>
      <c r="AIX898" s="471"/>
      <c r="AIY898" s="471"/>
      <c r="AIZ898" s="471"/>
      <c r="AJA898" s="471"/>
      <c r="AJB898" s="471"/>
      <c r="AJC898" s="471"/>
      <c r="AJD898" s="471"/>
      <c r="AJE898" s="471"/>
      <c r="AJF898" s="471"/>
      <c r="AJG898" s="471"/>
      <c r="AJH898" s="471"/>
      <c r="AJI898" s="471"/>
      <c r="AJJ898" s="471"/>
      <c r="AJK898" s="471"/>
      <c r="AJL898" s="471"/>
      <c r="AJM898" s="471"/>
      <c r="AJN898" s="471"/>
      <c r="AJO898" s="471"/>
      <c r="AJP898" s="471"/>
      <c r="AJQ898" s="471"/>
      <c r="AJR898" s="471"/>
      <c r="AJS898" s="471"/>
      <c r="AJT898" s="471"/>
      <c r="AJU898" s="471"/>
      <c r="AJV898" s="471"/>
      <c r="AJW898" s="471"/>
      <c r="AJX898" s="471"/>
      <c r="AJY898" s="471"/>
      <c r="AJZ898" s="471"/>
      <c r="AKA898" s="471"/>
      <c r="AKB898" s="471"/>
      <c r="AKC898" s="471"/>
      <c r="AKD898" s="471"/>
      <c r="AKE898" s="471"/>
      <c r="AKF898" s="471"/>
      <c r="AKG898" s="471"/>
      <c r="AKH898" s="471"/>
      <c r="AKI898" s="471"/>
      <c r="AKJ898" s="471"/>
      <c r="AKK898" s="471"/>
      <c r="AKL898" s="471"/>
      <c r="AKM898" s="471"/>
      <c r="AKN898" s="471"/>
      <c r="AKO898" s="471"/>
      <c r="AKP898" s="471"/>
      <c r="AKQ898" s="471"/>
      <c r="AKR898" s="471"/>
      <c r="AKS898" s="471"/>
      <c r="AKT898" s="471"/>
      <c r="AKU898" s="471"/>
      <c r="AKV898" s="471"/>
      <c r="AKW898" s="471"/>
      <c r="AKX898" s="471"/>
      <c r="AKY898" s="471"/>
      <c r="AKZ898" s="471"/>
      <c r="ALA898" s="471"/>
      <c r="ALB898" s="471"/>
      <c r="ALC898" s="471"/>
      <c r="ALD898" s="471"/>
      <c r="ALE898" s="471"/>
      <c r="ALF898" s="471"/>
      <c r="ALG898" s="471"/>
      <c r="ALH898" s="471"/>
      <c r="ALI898" s="471"/>
      <c r="ALJ898" s="471"/>
      <c r="ALK898" s="471"/>
      <c r="ALL898" s="471"/>
      <c r="ALM898" s="471"/>
      <c r="ALN898" s="471"/>
      <c r="ALO898" s="471"/>
      <c r="ALP898" s="471"/>
      <c r="ALQ898" s="471"/>
      <c r="ALR898" s="471"/>
      <c r="ALS898" s="471"/>
      <c r="ALT898" s="471"/>
      <c r="ALU898" s="471"/>
      <c r="ALV898" s="471"/>
      <c r="ALW898" s="471"/>
      <c r="ALX898" s="471"/>
      <c r="ALY898" s="471"/>
      <c r="ALZ898" s="471"/>
      <c r="AMA898" s="471"/>
      <c r="AMB898" s="471"/>
      <c r="AMC898" s="471"/>
      <c r="AMD898" s="471"/>
      <c r="AME898" s="471"/>
      <c r="AMF898" s="471"/>
      <c r="AMG898" s="471"/>
      <c r="AMH898" s="471"/>
      <c r="AMI898" s="471"/>
      <c r="AMJ898" s="471"/>
      <c r="AMK898" s="471"/>
      <c r="AML898" s="471"/>
      <c r="AMM898" s="471"/>
      <c r="AMN898" s="471"/>
      <c r="AMO898" s="471"/>
      <c r="AMP898" s="471"/>
      <c r="AMQ898" s="471"/>
      <c r="AMR898" s="471"/>
      <c r="AMS898" s="471"/>
      <c r="AMT898" s="471"/>
      <c r="AMU898" s="471"/>
      <c r="AMV898" s="471"/>
      <c r="AMW898" s="471"/>
      <c r="AMX898" s="471"/>
      <c r="AMY898" s="471"/>
      <c r="AMZ898" s="471"/>
      <c r="ANA898" s="471"/>
      <c r="ANB898" s="471"/>
      <c r="ANC898" s="471"/>
      <c r="AND898" s="471"/>
      <c r="ANE898" s="471"/>
      <c r="ANF898" s="471"/>
      <c r="ANG898" s="471"/>
      <c r="ANH898" s="471"/>
      <c r="ANI898" s="471"/>
      <c r="ANJ898" s="471"/>
      <c r="ANK898" s="471"/>
      <c r="ANL898" s="471"/>
      <c r="ANM898" s="471"/>
      <c r="ANN898" s="471"/>
      <c r="ANO898" s="471"/>
      <c r="ANP898" s="471"/>
      <c r="ANQ898" s="471"/>
      <c r="ANR898" s="471"/>
      <c r="ANS898" s="471"/>
      <c r="ANT898" s="471"/>
      <c r="ANU898" s="471"/>
      <c r="ANV898" s="471"/>
      <c r="ANW898" s="471"/>
      <c r="ANX898" s="471"/>
      <c r="ANY898" s="471"/>
      <c r="ANZ898" s="471"/>
      <c r="AOA898" s="471"/>
      <c r="AOB898" s="471"/>
      <c r="AOC898" s="471"/>
      <c r="AOD898" s="471"/>
      <c r="AOE898" s="471"/>
      <c r="AOF898" s="471"/>
      <c r="AOG898" s="471"/>
      <c r="AOH898" s="471"/>
      <c r="AOI898" s="471"/>
      <c r="AOJ898" s="471"/>
      <c r="AOK898" s="471"/>
      <c r="AOL898" s="471"/>
      <c r="AOM898" s="471"/>
      <c r="AON898" s="471"/>
      <c r="AOO898" s="471"/>
      <c r="AOP898" s="471"/>
      <c r="AOQ898" s="471"/>
      <c r="AOR898" s="471"/>
      <c r="AOS898" s="471"/>
      <c r="AOT898" s="471"/>
      <c r="AOU898" s="471"/>
      <c r="AOV898" s="471"/>
      <c r="AOW898" s="471"/>
      <c r="AOX898" s="471"/>
      <c r="AOY898" s="471"/>
      <c r="AOZ898" s="471"/>
      <c r="APA898" s="471"/>
      <c r="APB898" s="471"/>
      <c r="APC898" s="471"/>
      <c r="APD898" s="471"/>
      <c r="APE898" s="471"/>
      <c r="APF898" s="471"/>
      <c r="APG898" s="471"/>
      <c r="APH898" s="471"/>
      <c r="API898" s="471"/>
      <c r="APJ898" s="471"/>
      <c r="APK898" s="471"/>
      <c r="APL898" s="471"/>
      <c r="APM898" s="471"/>
      <c r="APN898" s="471"/>
      <c r="APO898" s="471"/>
      <c r="APP898" s="471"/>
      <c r="APQ898" s="471"/>
      <c r="APR898" s="471"/>
      <c r="APS898" s="471"/>
      <c r="APT898" s="471"/>
      <c r="APU898" s="471"/>
      <c r="APV898" s="471"/>
      <c r="APW898" s="471"/>
      <c r="APX898" s="471"/>
      <c r="APY898" s="471"/>
      <c r="APZ898" s="471"/>
      <c r="AQA898" s="471"/>
      <c r="AQB898" s="471"/>
      <c r="AQC898" s="471"/>
      <c r="AQD898" s="471"/>
      <c r="AQE898" s="471"/>
      <c r="AQF898" s="471"/>
      <c r="AQG898" s="471"/>
      <c r="AQH898" s="471"/>
      <c r="AQI898" s="471"/>
      <c r="AQJ898" s="471"/>
      <c r="AQK898" s="471"/>
      <c r="AQL898" s="471"/>
      <c r="AQM898" s="471"/>
      <c r="AQN898" s="471"/>
      <c r="AQO898" s="471"/>
      <c r="AQP898" s="471"/>
      <c r="AQQ898" s="471"/>
      <c r="AQR898" s="471"/>
      <c r="AQS898" s="471"/>
      <c r="AQT898" s="471"/>
      <c r="AQU898" s="471"/>
      <c r="AQV898" s="471"/>
      <c r="AQW898" s="471"/>
      <c r="AQX898" s="471"/>
      <c r="AQY898" s="471"/>
      <c r="AQZ898" s="471"/>
      <c r="ARA898" s="471"/>
      <c r="ARB898" s="471"/>
      <c r="ARC898" s="471"/>
      <c r="ARD898" s="471"/>
      <c r="ARE898" s="471"/>
      <c r="ARF898" s="471"/>
      <c r="ARG898" s="471"/>
      <c r="ARH898" s="471"/>
      <c r="ARI898" s="471"/>
      <c r="ARJ898" s="471"/>
      <c r="ARK898" s="471"/>
      <c r="ARL898" s="471"/>
      <c r="ARM898" s="471"/>
      <c r="ARN898" s="471"/>
      <c r="ARO898" s="471"/>
      <c r="ARP898" s="471"/>
      <c r="ARQ898" s="471"/>
      <c r="ARR898" s="471"/>
      <c r="ARS898" s="471"/>
      <c r="ART898" s="471"/>
      <c r="ARU898" s="471"/>
      <c r="ARV898" s="471"/>
      <c r="ARW898" s="471"/>
      <c r="ARX898" s="471"/>
      <c r="ARY898" s="471"/>
      <c r="ARZ898" s="471"/>
      <c r="ASA898" s="471"/>
      <c r="ASB898" s="471"/>
      <c r="ASC898" s="471"/>
      <c r="ASD898" s="471"/>
      <c r="ASE898" s="471"/>
      <c r="ASF898" s="471"/>
      <c r="ASG898" s="471"/>
      <c r="ASH898" s="471"/>
      <c r="ASI898" s="471"/>
      <c r="ASJ898" s="471"/>
      <c r="ASK898" s="471"/>
      <c r="ASL898" s="471"/>
      <c r="ASM898" s="471"/>
      <c r="ASN898" s="471"/>
      <c r="ASO898" s="471"/>
      <c r="ASP898" s="471"/>
      <c r="ASQ898" s="471"/>
      <c r="ASR898" s="471"/>
      <c r="ASS898" s="471"/>
      <c r="AST898" s="471"/>
      <c r="ASU898" s="471"/>
      <c r="ASV898" s="471"/>
      <c r="ASW898" s="471"/>
      <c r="ASX898" s="471"/>
      <c r="ASY898" s="471"/>
      <c r="ASZ898" s="471"/>
      <c r="ATA898" s="471"/>
      <c r="ATB898" s="471"/>
      <c r="ATC898" s="471"/>
      <c r="ATD898" s="471"/>
      <c r="ATE898" s="471"/>
      <c r="ATF898" s="471"/>
      <c r="ATG898" s="471"/>
      <c r="ATH898" s="471"/>
      <c r="ATI898" s="471"/>
      <c r="ATJ898" s="471"/>
      <c r="ATK898" s="471"/>
      <c r="ATL898" s="471"/>
      <c r="ATM898" s="471"/>
      <c r="ATN898" s="471"/>
      <c r="ATO898" s="471"/>
      <c r="ATP898" s="471"/>
      <c r="ATQ898" s="471"/>
      <c r="ATR898" s="471"/>
      <c r="ATS898" s="471"/>
      <c r="ATT898" s="471"/>
      <c r="ATU898" s="471"/>
      <c r="ATV898" s="471"/>
      <c r="ATW898" s="471"/>
      <c r="ATX898" s="471"/>
      <c r="ATY898" s="471"/>
      <c r="ATZ898" s="471"/>
      <c r="AUA898" s="471"/>
      <c r="AUB898" s="471"/>
      <c r="AUC898" s="471"/>
      <c r="AUD898" s="471"/>
      <c r="AUE898" s="471"/>
      <c r="AUF898" s="471"/>
      <c r="AUG898" s="471"/>
      <c r="AUH898" s="471"/>
      <c r="AUI898" s="471"/>
      <c r="AUJ898" s="471"/>
      <c r="AUK898" s="471"/>
      <c r="AUL898" s="471"/>
      <c r="AUM898" s="471"/>
      <c r="AUN898" s="471"/>
      <c r="AUO898" s="471"/>
      <c r="AUP898" s="471"/>
      <c r="AUQ898" s="471"/>
      <c r="AUR898" s="471"/>
      <c r="AUS898" s="471"/>
      <c r="AUT898" s="471"/>
      <c r="AUU898" s="471"/>
      <c r="AUV898" s="471"/>
      <c r="AUW898" s="471"/>
      <c r="AUX898" s="471"/>
      <c r="AUY898" s="471"/>
      <c r="AUZ898" s="471"/>
      <c r="AVA898" s="471"/>
      <c r="AVB898" s="471"/>
      <c r="AVC898" s="471"/>
      <c r="AVD898" s="471"/>
      <c r="AVE898" s="471"/>
      <c r="AVF898" s="471"/>
      <c r="AVG898" s="471"/>
      <c r="AVH898" s="471"/>
      <c r="AVI898" s="471"/>
      <c r="AVJ898" s="471"/>
      <c r="AVK898" s="471"/>
    </row>
    <row r="899" spans="1:1259" s="511" customFormat="1" ht="15" customHeight="1">
      <c r="A899" s="472"/>
      <c r="B899" s="472"/>
      <c r="C899" s="472"/>
      <c r="D899" s="512" t="s">
        <v>3186</v>
      </c>
      <c r="E899" s="501"/>
      <c r="F899" s="501"/>
      <c r="G899" s="501">
        <v>2022</v>
      </c>
      <c r="H899" s="501"/>
      <c r="I899" s="496" t="s">
        <v>1676</v>
      </c>
      <c r="J899" s="502"/>
      <c r="K899" s="503" t="s">
        <v>4869</v>
      </c>
      <c r="L899" s="501" t="s">
        <v>3297</v>
      </c>
      <c r="M899" s="504">
        <v>44601</v>
      </c>
      <c r="N899" s="504">
        <v>44648</v>
      </c>
      <c r="O899" s="504"/>
      <c r="P899" s="502"/>
      <c r="Q899" s="502"/>
      <c r="R899" s="502"/>
      <c r="S899" s="501" t="s">
        <v>2379</v>
      </c>
      <c r="T899" s="501">
        <v>60</v>
      </c>
      <c r="U899" s="501"/>
      <c r="V899" s="501" t="s">
        <v>973</v>
      </c>
      <c r="W899" s="501">
        <v>400</v>
      </c>
      <c r="X899" s="505">
        <v>416</v>
      </c>
      <c r="Y899" s="491">
        <f t="shared" si="130"/>
        <v>166400</v>
      </c>
      <c r="Z899" s="506">
        <v>0.54</v>
      </c>
      <c r="AA899" s="492">
        <f t="shared" si="129"/>
        <v>89856</v>
      </c>
      <c r="AB899" s="480"/>
      <c r="AC899" s="481">
        <f t="shared" si="131"/>
        <v>0</v>
      </c>
      <c r="AD899" s="508"/>
      <c r="AE899" s="507">
        <v>3987.36</v>
      </c>
      <c r="AF899" s="493">
        <f t="shared" si="132"/>
        <v>93843.36</v>
      </c>
      <c r="AG899" s="501" t="s">
        <v>47</v>
      </c>
      <c r="AH899" s="501"/>
      <c r="AI899" s="503">
        <v>60</v>
      </c>
      <c r="AJ899" s="501" t="s">
        <v>4867</v>
      </c>
      <c r="AK899" s="509" t="s">
        <v>50</v>
      </c>
      <c r="AL899" s="501">
        <v>94534</v>
      </c>
      <c r="AM899" s="501" t="s">
        <v>52</v>
      </c>
      <c r="AN899" s="501"/>
      <c r="AO899" s="501"/>
      <c r="AP899" s="510"/>
      <c r="AQ899" s="510" t="s">
        <v>37</v>
      </c>
      <c r="AR899" s="510"/>
      <c r="AS899" s="495"/>
      <c r="AT899" s="495"/>
      <c r="AU899" s="495"/>
      <c r="AV899" s="506">
        <f t="shared" si="133"/>
        <v>0.48000000000000004</v>
      </c>
      <c r="AW899" s="471"/>
      <c r="AX899" s="471"/>
      <c r="AY899" s="471"/>
      <c r="AZ899" s="471"/>
      <c r="BA899" s="471"/>
      <c r="BB899" s="471"/>
      <c r="BC899" s="471"/>
      <c r="BD899" s="471"/>
      <c r="BE899" s="471"/>
      <c r="BF899" s="471"/>
      <c r="BG899" s="471"/>
      <c r="BH899" s="471"/>
      <c r="BI899" s="471"/>
      <c r="BJ899" s="471"/>
      <c r="BK899" s="471"/>
      <c r="BL899" s="471"/>
      <c r="BM899" s="471"/>
      <c r="BN899" s="471"/>
      <c r="BO899" s="471"/>
      <c r="BP899" s="471"/>
      <c r="BQ899" s="471"/>
      <c r="BR899" s="471"/>
      <c r="BS899" s="471"/>
      <c r="BT899" s="471"/>
      <c r="BU899" s="471"/>
      <c r="BV899" s="471"/>
      <c r="BW899" s="471"/>
      <c r="BX899" s="471"/>
      <c r="BY899" s="471"/>
      <c r="BZ899" s="471"/>
      <c r="CA899" s="471"/>
      <c r="CB899" s="471"/>
      <c r="CC899" s="471"/>
      <c r="CD899" s="471"/>
      <c r="CE899" s="471"/>
      <c r="CF899" s="471"/>
      <c r="CG899" s="471"/>
      <c r="CH899" s="471"/>
      <c r="CI899" s="471"/>
      <c r="CJ899" s="471"/>
      <c r="CK899" s="471"/>
      <c r="CL899" s="471"/>
      <c r="CM899" s="471"/>
      <c r="CN899" s="471"/>
      <c r="CO899" s="471"/>
      <c r="CP899" s="471"/>
      <c r="CQ899" s="471"/>
      <c r="CR899" s="471"/>
      <c r="CS899" s="471"/>
      <c r="CT899" s="471"/>
      <c r="CU899" s="471"/>
      <c r="CV899" s="471"/>
      <c r="CW899" s="471"/>
      <c r="CX899" s="471"/>
      <c r="CY899" s="471"/>
      <c r="CZ899" s="471"/>
      <c r="DA899" s="471"/>
      <c r="DB899" s="471"/>
      <c r="DC899" s="471"/>
      <c r="DD899" s="471"/>
      <c r="DE899" s="471"/>
      <c r="DF899" s="471"/>
      <c r="DG899" s="471"/>
      <c r="DH899" s="471"/>
      <c r="DI899" s="471"/>
      <c r="DJ899" s="471"/>
      <c r="DK899" s="471"/>
      <c r="DL899" s="471"/>
      <c r="DM899" s="471"/>
      <c r="DN899" s="471"/>
      <c r="DO899" s="471"/>
      <c r="DP899" s="471"/>
      <c r="DQ899" s="471"/>
      <c r="DR899" s="471"/>
      <c r="DS899" s="471"/>
      <c r="DT899" s="471"/>
      <c r="DU899" s="471"/>
      <c r="DV899" s="471"/>
      <c r="DW899" s="471"/>
      <c r="DX899" s="471"/>
      <c r="DY899" s="471"/>
      <c r="DZ899" s="471"/>
      <c r="EA899" s="471"/>
      <c r="EB899" s="471"/>
      <c r="EC899" s="471"/>
      <c r="ED899" s="471"/>
      <c r="EE899" s="471"/>
      <c r="EF899" s="471"/>
      <c r="EG899" s="471"/>
      <c r="EH899" s="471"/>
      <c r="EI899" s="471"/>
      <c r="EJ899" s="471"/>
      <c r="EK899" s="471"/>
      <c r="EL899" s="471"/>
      <c r="EM899" s="471"/>
      <c r="EN899" s="471"/>
      <c r="EO899" s="471"/>
      <c r="EP899" s="471"/>
      <c r="EQ899" s="471"/>
      <c r="ER899" s="471"/>
      <c r="ES899" s="471"/>
      <c r="ET899" s="471"/>
      <c r="EU899" s="471"/>
      <c r="EV899" s="471"/>
      <c r="EW899" s="471"/>
      <c r="EX899" s="471"/>
      <c r="EY899" s="471"/>
      <c r="EZ899" s="471"/>
      <c r="FA899" s="471"/>
      <c r="FB899" s="471"/>
      <c r="FC899" s="471"/>
      <c r="FD899" s="471"/>
      <c r="FE899" s="471"/>
      <c r="FF899" s="471"/>
      <c r="FG899" s="471"/>
      <c r="FH899" s="471"/>
      <c r="FI899" s="471"/>
      <c r="FJ899" s="471"/>
      <c r="FK899" s="471"/>
      <c r="FL899" s="471"/>
      <c r="FM899" s="471"/>
      <c r="FN899" s="471"/>
      <c r="FO899" s="471"/>
      <c r="FP899" s="471"/>
      <c r="FQ899" s="471"/>
      <c r="FR899" s="471"/>
      <c r="FS899" s="471"/>
      <c r="FT899" s="471"/>
      <c r="FU899" s="471"/>
      <c r="FV899" s="471"/>
      <c r="FW899" s="471"/>
      <c r="FX899" s="471"/>
      <c r="FY899" s="471"/>
      <c r="FZ899" s="471"/>
      <c r="GA899" s="471"/>
      <c r="GB899" s="471"/>
      <c r="GC899" s="471"/>
      <c r="GD899" s="471"/>
      <c r="GE899" s="471"/>
      <c r="GF899" s="471"/>
      <c r="GG899" s="471"/>
      <c r="GH899" s="471"/>
      <c r="GI899" s="471"/>
      <c r="GJ899" s="471"/>
      <c r="GK899" s="471"/>
      <c r="GL899" s="471"/>
      <c r="GM899" s="471"/>
      <c r="GN899" s="471"/>
      <c r="GO899" s="471"/>
      <c r="GP899" s="471"/>
      <c r="GQ899" s="471"/>
      <c r="GR899" s="471"/>
      <c r="GS899" s="471"/>
      <c r="GT899" s="471"/>
      <c r="GU899" s="471"/>
      <c r="GV899" s="471"/>
      <c r="GW899" s="471"/>
      <c r="GX899" s="471"/>
      <c r="GY899" s="471"/>
      <c r="GZ899" s="471"/>
      <c r="HA899" s="471"/>
      <c r="HB899" s="471"/>
      <c r="HC899" s="471"/>
      <c r="HD899" s="471"/>
      <c r="HE899" s="471"/>
      <c r="HF899" s="471"/>
      <c r="HG899" s="471"/>
      <c r="HH899" s="471"/>
      <c r="HI899" s="471"/>
      <c r="HJ899" s="471"/>
      <c r="HK899" s="471"/>
      <c r="HL899" s="471"/>
      <c r="HM899" s="471"/>
      <c r="HN899" s="471"/>
      <c r="HO899" s="471"/>
      <c r="HP899" s="471"/>
      <c r="HQ899" s="471"/>
      <c r="HR899" s="471"/>
      <c r="HS899" s="471"/>
      <c r="HT899" s="471"/>
      <c r="HU899" s="471"/>
      <c r="HV899" s="471"/>
      <c r="HW899" s="471"/>
      <c r="HX899" s="471"/>
      <c r="HY899" s="471"/>
      <c r="HZ899" s="471"/>
      <c r="IA899" s="471"/>
      <c r="IB899" s="471"/>
      <c r="IC899" s="471"/>
      <c r="ID899" s="471"/>
      <c r="IE899" s="471"/>
      <c r="IF899" s="471"/>
      <c r="IG899" s="471"/>
      <c r="IH899" s="471"/>
      <c r="II899" s="471"/>
      <c r="IJ899" s="471"/>
      <c r="IK899" s="471"/>
      <c r="IL899" s="471"/>
      <c r="IM899" s="471"/>
      <c r="IN899" s="471"/>
      <c r="IO899" s="471"/>
      <c r="IP899" s="471"/>
      <c r="IQ899" s="471"/>
      <c r="IR899" s="471"/>
      <c r="IS899" s="471"/>
      <c r="IT899" s="471"/>
      <c r="IU899" s="471"/>
      <c r="IV899" s="471"/>
      <c r="IW899" s="471"/>
      <c r="IX899" s="471"/>
      <c r="IY899" s="471"/>
      <c r="IZ899" s="471"/>
      <c r="JA899" s="471"/>
      <c r="JB899" s="471"/>
      <c r="JC899" s="471"/>
      <c r="JD899" s="471"/>
      <c r="JE899" s="471"/>
      <c r="JF899" s="471"/>
      <c r="JG899" s="471"/>
      <c r="JH899" s="471"/>
      <c r="JI899" s="471"/>
      <c r="JJ899" s="471"/>
      <c r="JK899" s="471"/>
      <c r="JL899" s="471"/>
      <c r="JM899" s="471"/>
      <c r="JN899" s="471"/>
      <c r="JO899" s="471"/>
      <c r="JP899" s="471"/>
      <c r="JQ899" s="471"/>
      <c r="JR899" s="471"/>
      <c r="JS899" s="471"/>
      <c r="JT899" s="471"/>
      <c r="JU899" s="471"/>
      <c r="JV899" s="471"/>
      <c r="JW899" s="471"/>
      <c r="JX899" s="471"/>
      <c r="JY899" s="471"/>
      <c r="JZ899" s="471"/>
      <c r="KA899" s="471"/>
      <c r="KB899" s="471"/>
      <c r="KC899" s="471"/>
      <c r="KD899" s="471"/>
      <c r="KE899" s="471"/>
      <c r="KF899" s="471"/>
      <c r="KG899" s="471"/>
      <c r="KH899" s="471"/>
      <c r="KI899" s="471"/>
      <c r="KJ899" s="471"/>
      <c r="KK899" s="471"/>
      <c r="KL899" s="471"/>
      <c r="KM899" s="471"/>
      <c r="KN899" s="471"/>
      <c r="KO899" s="471"/>
      <c r="KP899" s="471"/>
      <c r="KQ899" s="471"/>
      <c r="KR899" s="471"/>
      <c r="KS899" s="471"/>
      <c r="KT899" s="471"/>
      <c r="KU899" s="471"/>
      <c r="KV899" s="471"/>
      <c r="KW899" s="471"/>
      <c r="KX899" s="471"/>
      <c r="KY899" s="471"/>
      <c r="KZ899" s="471"/>
      <c r="LA899" s="471"/>
      <c r="LB899" s="471"/>
      <c r="LC899" s="471"/>
      <c r="LD899" s="471"/>
      <c r="LE899" s="471"/>
      <c r="LF899" s="471"/>
      <c r="LG899" s="471"/>
      <c r="LH899" s="471"/>
      <c r="LI899" s="471"/>
      <c r="LJ899" s="471"/>
      <c r="LK899" s="471"/>
      <c r="LL899" s="471"/>
      <c r="LM899" s="471"/>
      <c r="LN899" s="471"/>
      <c r="LO899" s="471"/>
      <c r="LP899" s="471"/>
      <c r="LQ899" s="471"/>
      <c r="LR899" s="471"/>
      <c r="LS899" s="471"/>
      <c r="LT899" s="471"/>
      <c r="LU899" s="471"/>
      <c r="LV899" s="471"/>
      <c r="LW899" s="471"/>
      <c r="LX899" s="471"/>
      <c r="LY899" s="471"/>
      <c r="LZ899" s="471"/>
      <c r="MA899" s="471"/>
      <c r="MB899" s="471"/>
      <c r="MC899" s="471"/>
      <c r="MD899" s="471"/>
      <c r="ME899" s="471"/>
      <c r="MF899" s="471"/>
      <c r="MG899" s="471"/>
      <c r="MH899" s="471"/>
      <c r="MI899" s="471"/>
      <c r="MJ899" s="471"/>
      <c r="MK899" s="471"/>
      <c r="ML899" s="471"/>
      <c r="MM899" s="471"/>
      <c r="MN899" s="471"/>
      <c r="MO899" s="471"/>
      <c r="MP899" s="471"/>
      <c r="MQ899" s="471"/>
      <c r="MR899" s="471"/>
      <c r="MS899" s="471"/>
      <c r="MT899" s="471"/>
      <c r="MU899" s="471"/>
      <c r="MV899" s="471"/>
      <c r="MW899" s="471"/>
      <c r="MX899" s="471"/>
      <c r="MY899" s="471"/>
      <c r="MZ899" s="471"/>
      <c r="NA899" s="471"/>
      <c r="NB899" s="471"/>
      <c r="NC899" s="471"/>
      <c r="ND899" s="471"/>
      <c r="NE899" s="471"/>
      <c r="NF899" s="471"/>
      <c r="NG899" s="471"/>
      <c r="NH899" s="471"/>
      <c r="NI899" s="471"/>
      <c r="NJ899" s="471"/>
      <c r="NK899" s="471"/>
      <c r="NL899" s="471"/>
      <c r="NM899" s="471"/>
      <c r="NN899" s="471"/>
      <c r="NO899" s="471"/>
      <c r="NP899" s="471"/>
      <c r="NQ899" s="471"/>
      <c r="NR899" s="471"/>
      <c r="NS899" s="471"/>
      <c r="NT899" s="471"/>
      <c r="NU899" s="471"/>
      <c r="NV899" s="471"/>
      <c r="NW899" s="471"/>
      <c r="NX899" s="471"/>
      <c r="NY899" s="471"/>
      <c r="NZ899" s="471"/>
      <c r="OA899" s="471"/>
      <c r="OB899" s="471"/>
      <c r="OC899" s="471"/>
      <c r="OD899" s="471"/>
      <c r="OE899" s="471"/>
      <c r="OF899" s="471"/>
      <c r="OG899" s="471"/>
      <c r="OH899" s="471"/>
      <c r="OI899" s="471"/>
      <c r="OJ899" s="471"/>
      <c r="OK899" s="471"/>
      <c r="OL899" s="471"/>
      <c r="OM899" s="471"/>
      <c r="ON899" s="471"/>
      <c r="OO899" s="471"/>
      <c r="OP899" s="471"/>
      <c r="OQ899" s="471"/>
      <c r="OR899" s="471"/>
      <c r="OS899" s="471"/>
      <c r="OT899" s="471"/>
      <c r="OU899" s="471"/>
      <c r="OV899" s="471"/>
      <c r="OW899" s="471"/>
      <c r="OX899" s="471"/>
      <c r="OY899" s="471"/>
      <c r="OZ899" s="471"/>
      <c r="PA899" s="471"/>
      <c r="PB899" s="471"/>
      <c r="PC899" s="471"/>
      <c r="PD899" s="471"/>
      <c r="PE899" s="471"/>
      <c r="PF899" s="471"/>
      <c r="PG899" s="471"/>
      <c r="PH899" s="471"/>
      <c r="PI899" s="471"/>
      <c r="PJ899" s="471"/>
      <c r="PK899" s="471"/>
      <c r="PL899" s="471"/>
      <c r="PM899" s="471"/>
      <c r="PN899" s="471"/>
      <c r="PO899" s="471"/>
      <c r="PP899" s="471"/>
      <c r="PQ899" s="471"/>
      <c r="PR899" s="471"/>
      <c r="PS899" s="471"/>
      <c r="PT899" s="471"/>
      <c r="PU899" s="471"/>
      <c r="PV899" s="471"/>
      <c r="PW899" s="471"/>
      <c r="PX899" s="471"/>
      <c r="PY899" s="471"/>
      <c r="PZ899" s="471"/>
      <c r="QA899" s="471"/>
      <c r="QB899" s="471"/>
      <c r="QC899" s="471"/>
      <c r="QD899" s="471"/>
      <c r="QE899" s="471"/>
      <c r="QF899" s="471"/>
      <c r="QG899" s="471"/>
      <c r="QH899" s="471"/>
      <c r="QI899" s="471"/>
      <c r="QJ899" s="471"/>
      <c r="QK899" s="471"/>
      <c r="QL899" s="471"/>
      <c r="QM899" s="471"/>
      <c r="QN899" s="471"/>
      <c r="QO899" s="471"/>
      <c r="QP899" s="471"/>
      <c r="QQ899" s="471"/>
      <c r="QR899" s="471"/>
      <c r="QS899" s="471"/>
      <c r="QT899" s="471"/>
      <c r="QU899" s="471"/>
      <c r="QV899" s="471"/>
      <c r="QW899" s="471"/>
      <c r="QX899" s="471"/>
      <c r="QY899" s="471"/>
      <c r="QZ899" s="471"/>
      <c r="RA899" s="471"/>
      <c r="RB899" s="471"/>
      <c r="RC899" s="471"/>
      <c r="RD899" s="471"/>
      <c r="RE899" s="471"/>
      <c r="RF899" s="471"/>
      <c r="RG899" s="471"/>
      <c r="RH899" s="471"/>
      <c r="RI899" s="471"/>
      <c r="RJ899" s="471"/>
      <c r="RK899" s="471"/>
      <c r="RL899" s="471"/>
      <c r="RM899" s="471"/>
      <c r="RN899" s="471"/>
      <c r="RO899" s="471"/>
      <c r="RP899" s="471"/>
      <c r="RQ899" s="471"/>
      <c r="RR899" s="471"/>
      <c r="RS899" s="471"/>
      <c r="RT899" s="471"/>
      <c r="RU899" s="471"/>
      <c r="RV899" s="471"/>
      <c r="RW899" s="471"/>
      <c r="RX899" s="471"/>
      <c r="RY899" s="471"/>
      <c r="RZ899" s="471"/>
      <c r="SA899" s="471"/>
      <c r="SB899" s="471"/>
      <c r="SC899" s="471"/>
      <c r="SD899" s="471"/>
      <c r="SE899" s="471"/>
      <c r="SF899" s="471"/>
      <c r="SG899" s="471"/>
      <c r="SH899" s="471"/>
      <c r="SI899" s="471"/>
      <c r="SJ899" s="471"/>
      <c r="SK899" s="471"/>
      <c r="SL899" s="471"/>
      <c r="SM899" s="471"/>
      <c r="SN899" s="471"/>
      <c r="SO899" s="471"/>
      <c r="SP899" s="471"/>
      <c r="SQ899" s="471"/>
      <c r="SR899" s="471"/>
      <c r="SS899" s="471"/>
      <c r="ST899" s="471"/>
      <c r="SU899" s="471"/>
      <c r="SV899" s="471"/>
      <c r="SW899" s="471"/>
      <c r="SX899" s="471"/>
      <c r="SY899" s="471"/>
      <c r="SZ899" s="471"/>
      <c r="TA899" s="471"/>
      <c r="TB899" s="471"/>
      <c r="TC899" s="471"/>
      <c r="TD899" s="471"/>
      <c r="TE899" s="471"/>
      <c r="TF899" s="471"/>
      <c r="TG899" s="471"/>
      <c r="TH899" s="471"/>
      <c r="TI899" s="471"/>
      <c r="TJ899" s="471"/>
      <c r="TK899" s="471"/>
      <c r="TL899" s="471"/>
      <c r="TM899" s="471"/>
      <c r="TN899" s="471"/>
      <c r="TO899" s="471"/>
      <c r="TP899" s="471"/>
      <c r="TQ899" s="471"/>
      <c r="TR899" s="471"/>
      <c r="TS899" s="471"/>
      <c r="TT899" s="471"/>
      <c r="TU899" s="471"/>
      <c r="TV899" s="471"/>
      <c r="TW899" s="471"/>
      <c r="TX899" s="471"/>
      <c r="TY899" s="471"/>
      <c r="TZ899" s="471"/>
      <c r="UA899" s="471"/>
      <c r="UB899" s="471"/>
      <c r="UC899" s="471"/>
      <c r="UD899" s="471"/>
      <c r="UE899" s="471"/>
      <c r="UF899" s="471"/>
      <c r="UG899" s="471"/>
      <c r="UH899" s="471"/>
      <c r="UI899" s="471"/>
      <c r="UJ899" s="471"/>
      <c r="UK899" s="471"/>
      <c r="UL899" s="471"/>
      <c r="UM899" s="471"/>
      <c r="UN899" s="471"/>
      <c r="UO899" s="471"/>
      <c r="UP899" s="471"/>
      <c r="UQ899" s="471"/>
      <c r="UR899" s="471"/>
      <c r="US899" s="471"/>
      <c r="UT899" s="471"/>
      <c r="UU899" s="471"/>
      <c r="UV899" s="471"/>
      <c r="UW899" s="471"/>
      <c r="UX899" s="471"/>
      <c r="UY899" s="471"/>
      <c r="UZ899" s="471"/>
      <c r="VA899" s="471"/>
      <c r="VB899" s="471"/>
      <c r="VC899" s="471"/>
      <c r="VD899" s="471"/>
      <c r="VE899" s="471"/>
      <c r="VF899" s="471"/>
      <c r="VG899" s="471"/>
      <c r="VH899" s="471"/>
      <c r="VI899" s="471"/>
      <c r="VJ899" s="471"/>
      <c r="VK899" s="471"/>
      <c r="VL899" s="471"/>
      <c r="VM899" s="471"/>
      <c r="VN899" s="471"/>
      <c r="VO899" s="471"/>
      <c r="VP899" s="471"/>
      <c r="VQ899" s="471"/>
      <c r="VR899" s="471"/>
      <c r="VS899" s="471"/>
      <c r="VT899" s="471"/>
      <c r="VU899" s="471"/>
      <c r="VV899" s="471"/>
      <c r="VW899" s="471"/>
      <c r="VX899" s="471"/>
      <c r="VY899" s="471"/>
      <c r="VZ899" s="471"/>
      <c r="WA899" s="471"/>
      <c r="WB899" s="471"/>
      <c r="WC899" s="471"/>
      <c r="WD899" s="471"/>
      <c r="WE899" s="471"/>
      <c r="WF899" s="471"/>
      <c r="WG899" s="471"/>
      <c r="WH899" s="471"/>
      <c r="WI899" s="471"/>
      <c r="WJ899" s="471"/>
      <c r="WK899" s="471"/>
      <c r="WL899" s="471"/>
      <c r="WM899" s="471"/>
      <c r="WN899" s="471"/>
      <c r="WO899" s="471"/>
      <c r="WP899" s="471"/>
      <c r="WQ899" s="471"/>
      <c r="WR899" s="471"/>
      <c r="WS899" s="471"/>
      <c r="WT899" s="471"/>
      <c r="WU899" s="471"/>
      <c r="WV899" s="471"/>
      <c r="WW899" s="471"/>
      <c r="WX899" s="471"/>
      <c r="WY899" s="471"/>
      <c r="WZ899" s="471"/>
      <c r="XA899" s="471"/>
      <c r="XB899" s="471"/>
      <c r="XC899" s="471"/>
      <c r="XD899" s="471"/>
      <c r="XE899" s="471"/>
      <c r="XF899" s="471"/>
      <c r="XG899" s="471"/>
      <c r="XH899" s="471"/>
      <c r="XI899" s="471"/>
      <c r="XJ899" s="471"/>
      <c r="XK899" s="471"/>
      <c r="XL899" s="471"/>
      <c r="XM899" s="471"/>
      <c r="XN899" s="471"/>
      <c r="XO899" s="471"/>
      <c r="XP899" s="471"/>
      <c r="XQ899" s="471"/>
      <c r="XR899" s="471"/>
      <c r="XS899" s="471"/>
      <c r="XT899" s="471"/>
      <c r="XU899" s="471"/>
      <c r="XV899" s="471"/>
      <c r="XW899" s="471"/>
      <c r="XX899" s="471"/>
      <c r="XY899" s="471"/>
      <c r="XZ899" s="471"/>
      <c r="YA899" s="471"/>
      <c r="YB899" s="471"/>
      <c r="YC899" s="471"/>
      <c r="YD899" s="471"/>
      <c r="YE899" s="471"/>
      <c r="YF899" s="471"/>
      <c r="YG899" s="471"/>
      <c r="YH899" s="471"/>
      <c r="YI899" s="471"/>
      <c r="YJ899" s="471"/>
      <c r="YK899" s="471"/>
      <c r="YL899" s="471"/>
      <c r="YM899" s="471"/>
      <c r="YN899" s="471"/>
      <c r="YO899" s="471"/>
      <c r="YP899" s="471"/>
      <c r="YQ899" s="471"/>
      <c r="YR899" s="471"/>
      <c r="YS899" s="471"/>
      <c r="YT899" s="471"/>
      <c r="YU899" s="471"/>
      <c r="YV899" s="471"/>
      <c r="YW899" s="471"/>
      <c r="YX899" s="471"/>
      <c r="YY899" s="471"/>
      <c r="YZ899" s="471"/>
      <c r="ZA899" s="471"/>
      <c r="ZB899" s="471"/>
      <c r="ZC899" s="471"/>
      <c r="ZD899" s="471"/>
      <c r="ZE899" s="471"/>
      <c r="ZF899" s="471"/>
      <c r="ZG899" s="471"/>
      <c r="ZH899" s="471"/>
      <c r="ZI899" s="471"/>
      <c r="ZJ899" s="471"/>
      <c r="ZK899" s="471"/>
      <c r="ZL899" s="471"/>
      <c r="ZM899" s="471"/>
      <c r="ZN899" s="471"/>
      <c r="ZO899" s="471"/>
      <c r="ZP899" s="471"/>
      <c r="ZQ899" s="471"/>
      <c r="ZR899" s="471"/>
      <c r="ZS899" s="471"/>
      <c r="ZT899" s="471"/>
      <c r="ZU899" s="471"/>
      <c r="ZV899" s="471"/>
      <c r="ZW899" s="471"/>
      <c r="ZX899" s="471"/>
      <c r="ZY899" s="471"/>
      <c r="ZZ899" s="471"/>
      <c r="AAA899" s="471"/>
      <c r="AAB899" s="471"/>
      <c r="AAC899" s="471"/>
      <c r="AAD899" s="471"/>
      <c r="AAE899" s="471"/>
      <c r="AAF899" s="471"/>
      <c r="AAG899" s="471"/>
      <c r="AAH899" s="471"/>
      <c r="AAI899" s="471"/>
      <c r="AAJ899" s="471"/>
      <c r="AAK899" s="471"/>
      <c r="AAL899" s="471"/>
      <c r="AAM899" s="471"/>
      <c r="AAN899" s="471"/>
      <c r="AAO899" s="471"/>
      <c r="AAP899" s="471"/>
      <c r="AAQ899" s="471"/>
      <c r="AAR899" s="471"/>
      <c r="AAS899" s="471"/>
      <c r="AAT899" s="471"/>
      <c r="AAU899" s="471"/>
      <c r="AAV899" s="471"/>
      <c r="AAW899" s="471"/>
      <c r="AAX899" s="471"/>
      <c r="AAY899" s="471"/>
      <c r="AAZ899" s="471"/>
      <c r="ABA899" s="471"/>
      <c r="ABB899" s="471"/>
      <c r="ABC899" s="471"/>
      <c r="ABD899" s="471"/>
      <c r="ABE899" s="471"/>
      <c r="ABF899" s="471"/>
      <c r="ABG899" s="471"/>
      <c r="ABH899" s="471"/>
      <c r="ABI899" s="471"/>
      <c r="ABJ899" s="471"/>
      <c r="ABK899" s="471"/>
      <c r="ABL899" s="471"/>
      <c r="ABM899" s="471"/>
      <c r="ABN899" s="471"/>
      <c r="ABO899" s="471"/>
      <c r="ABP899" s="471"/>
      <c r="ABQ899" s="471"/>
      <c r="ABR899" s="471"/>
      <c r="ABS899" s="471"/>
      <c r="ABT899" s="471"/>
      <c r="ABU899" s="471"/>
      <c r="ABV899" s="471"/>
      <c r="ABW899" s="471"/>
      <c r="ABX899" s="471"/>
      <c r="ABY899" s="471"/>
      <c r="ABZ899" s="471"/>
      <c r="ACA899" s="471"/>
      <c r="ACB899" s="471"/>
      <c r="ACC899" s="471"/>
      <c r="ACD899" s="471"/>
      <c r="ACE899" s="471"/>
      <c r="ACF899" s="471"/>
      <c r="ACG899" s="471"/>
      <c r="ACH899" s="471"/>
      <c r="ACI899" s="471"/>
      <c r="ACJ899" s="471"/>
      <c r="ACK899" s="471"/>
      <c r="ACL899" s="471"/>
      <c r="ACM899" s="471"/>
      <c r="ACN899" s="471"/>
      <c r="ACO899" s="471"/>
      <c r="ACP899" s="471"/>
      <c r="ACQ899" s="471"/>
      <c r="ACR899" s="471"/>
      <c r="ACS899" s="471"/>
      <c r="ACT899" s="471"/>
      <c r="ACU899" s="471"/>
      <c r="ACV899" s="471"/>
      <c r="ACW899" s="471"/>
      <c r="ACX899" s="471"/>
      <c r="ACY899" s="471"/>
      <c r="ACZ899" s="471"/>
      <c r="ADA899" s="471"/>
      <c r="ADB899" s="471"/>
      <c r="ADC899" s="471"/>
      <c r="ADD899" s="471"/>
      <c r="ADE899" s="471"/>
      <c r="ADF899" s="471"/>
      <c r="ADG899" s="471"/>
      <c r="ADH899" s="471"/>
      <c r="ADI899" s="471"/>
      <c r="ADJ899" s="471"/>
      <c r="ADK899" s="471"/>
      <c r="ADL899" s="471"/>
      <c r="ADM899" s="471"/>
      <c r="ADN899" s="471"/>
      <c r="ADO899" s="471"/>
      <c r="ADP899" s="471"/>
      <c r="ADQ899" s="471"/>
      <c r="ADR899" s="471"/>
      <c r="ADS899" s="471"/>
      <c r="ADT899" s="471"/>
      <c r="ADU899" s="471"/>
      <c r="ADV899" s="471"/>
      <c r="ADW899" s="471"/>
      <c r="ADX899" s="471"/>
      <c r="ADY899" s="471"/>
      <c r="ADZ899" s="471"/>
      <c r="AEA899" s="471"/>
      <c r="AEB899" s="471"/>
      <c r="AEC899" s="471"/>
      <c r="AED899" s="471"/>
      <c r="AEE899" s="471"/>
      <c r="AEF899" s="471"/>
      <c r="AEG899" s="471"/>
      <c r="AEH899" s="471"/>
      <c r="AEI899" s="471"/>
      <c r="AEJ899" s="471"/>
      <c r="AEK899" s="471"/>
      <c r="AEL899" s="471"/>
      <c r="AEM899" s="471"/>
      <c r="AEN899" s="471"/>
      <c r="AEO899" s="471"/>
      <c r="AEP899" s="471"/>
      <c r="AEQ899" s="471"/>
      <c r="AER899" s="471"/>
      <c r="AES899" s="471"/>
      <c r="AET899" s="471"/>
      <c r="AEU899" s="471"/>
      <c r="AEV899" s="471"/>
      <c r="AEW899" s="471"/>
      <c r="AEX899" s="471"/>
      <c r="AEY899" s="471"/>
      <c r="AEZ899" s="471"/>
      <c r="AFA899" s="471"/>
      <c r="AFB899" s="471"/>
      <c r="AFC899" s="471"/>
      <c r="AFD899" s="471"/>
      <c r="AFE899" s="471"/>
      <c r="AFF899" s="471"/>
      <c r="AFG899" s="471"/>
      <c r="AFH899" s="471"/>
      <c r="AFI899" s="471"/>
      <c r="AFJ899" s="471"/>
      <c r="AFK899" s="471"/>
      <c r="AFL899" s="471"/>
      <c r="AFM899" s="471"/>
      <c r="AFN899" s="471"/>
      <c r="AFO899" s="471"/>
      <c r="AFP899" s="471"/>
      <c r="AFQ899" s="471"/>
      <c r="AFR899" s="471"/>
      <c r="AFS899" s="471"/>
      <c r="AFT899" s="471"/>
      <c r="AFU899" s="471"/>
      <c r="AFV899" s="471"/>
      <c r="AFW899" s="471"/>
      <c r="AFX899" s="471"/>
      <c r="AFY899" s="471"/>
      <c r="AFZ899" s="471"/>
      <c r="AGA899" s="471"/>
      <c r="AGB899" s="471"/>
      <c r="AGC899" s="471"/>
      <c r="AGD899" s="471"/>
      <c r="AGE899" s="471"/>
      <c r="AGF899" s="471"/>
      <c r="AGG899" s="471"/>
      <c r="AGH899" s="471"/>
      <c r="AGI899" s="471"/>
      <c r="AGJ899" s="471"/>
      <c r="AGK899" s="471"/>
      <c r="AGL899" s="471"/>
      <c r="AGM899" s="471"/>
      <c r="AGN899" s="471"/>
      <c r="AGO899" s="471"/>
      <c r="AGP899" s="471"/>
      <c r="AGQ899" s="471"/>
      <c r="AGR899" s="471"/>
      <c r="AGS899" s="471"/>
      <c r="AGT899" s="471"/>
      <c r="AGU899" s="471"/>
      <c r="AGV899" s="471"/>
      <c r="AGW899" s="471"/>
      <c r="AGX899" s="471"/>
      <c r="AGY899" s="471"/>
      <c r="AGZ899" s="471"/>
      <c r="AHA899" s="471"/>
      <c r="AHB899" s="471"/>
      <c r="AHC899" s="471"/>
      <c r="AHD899" s="471"/>
      <c r="AHE899" s="471"/>
      <c r="AHF899" s="471"/>
      <c r="AHG899" s="471"/>
      <c r="AHH899" s="471"/>
      <c r="AHI899" s="471"/>
      <c r="AHJ899" s="471"/>
      <c r="AHK899" s="471"/>
      <c r="AHL899" s="471"/>
      <c r="AHM899" s="471"/>
      <c r="AHN899" s="471"/>
      <c r="AHO899" s="471"/>
      <c r="AHP899" s="471"/>
      <c r="AHQ899" s="471"/>
      <c r="AHR899" s="471"/>
      <c r="AHS899" s="471"/>
      <c r="AHT899" s="471"/>
      <c r="AHU899" s="471"/>
      <c r="AHV899" s="471"/>
      <c r="AHW899" s="471"/>
      <c r="AHX899" s="471"/>
      <c r="AHY899" s="471"/>
      <c r="AHZ899" s="471"/>
      <c r="AIA899" s="471"/>
      <c r="AIB899" s="471"/>
      <c r="AIC899" s="471"/>
      <c r="AID899" s="471"/>
      <c r="AIE899" s="471"/>
      <c r="AIF899" s="471"/>
      <c r="AIG899" s="471"/>
      <c r="AIH899" s="471"/>
      <c r="AII899" s="471"/>
      <c r="AIJ899" s="471"/>
      <c r="AIK899" s="471"/>
      <c r="AIL899" s="471"/>
      <c r="AIM899" s="471"/>
      <c r="AIN899" s="471"/>
      <c r="AIO899" s="471"/>
      <c r="AIP899" s="471"/>
      <c r="AIQ899" s="471"/>
      <c r="AIR899" s="471"/>
      <c r="AIS899" s="471"/>
      <c r="AIT899" s="471"/>
      <c r="AIU899" s="471"/>
      <c r="AIV899" s="471"/>
      <c r="AIW899" s="471"/>
      <c r="AIX899" s="471"/>
      <c r="AIY899" s="471"/>
      <c r="AIZ899" s="471"/>
      <c r="AJA899" s="471"/>
      <c r="AJB899" s="471"/>
      <c r="AJC899" s="471"/>
      <c r="AJD899" s="471"/>
      <c r="AJE899" s="471"/>
      <c r="AJF899" s="471"/>
      <c r="AJG899" s="471"/>
      <c r="AJH899" s="471"/>
      <c r="AJI899" s="471"/>
      <c r="AJJ899" s="471"/>
      <c r="AJK899" s="471"/>
      <c r="AJL899" s="471"/>
      <c r="AJM899" s="471"/>
      <c r="AJN899" s="471"/>
      <c r="AJO899" s="471"/>
      <c r="AJP899" s="471"/>
      <c r="AJQ899" s="471"/>
      <c r="AJR899" s="471"/>
      <c r="AJS899" s="471"/>
      <c r="AJT899" s="471"/>
      <c r="AJU899" s="471"/>
      <c r="AJV899" s="471"/>
      <c r="AJW899" s="471"/>
      <c r="AJX899" s="471"/>
      <c r="AJY899" s="471"/>
      <c r="AJZ899" s="471"/>
      <c r="AKA899" s="471"/>
      <c r="AKB899" s="471"/>
      <c r="AKC899" s="471"/>
      <c r="AKD899" s="471"/>
      <c r="AKE899" s="471"/>
      <c r="AKF899" s="471"/>
      <c r="AKG899" s="471"/>
      <c r="AKH899" s="471"/>
      <c r="AKI899" s="471"/>
      <c r="AKJ899" s="471"/>
      <c r="AKK899" s="471"/>
      <c r="AKL899" s="471"/>
      <c r="AKM899" s="471"/>
      <c r="AKN899" s="471"/>
      <c r="AKO899" s="471"/>
      <c r="AKP899" s="471"/>
      <c r="AKQ899" s="471"/>
      <c r="AKR899" s="471"/>
      <c r="AKS899" s="471"/>
      <c r="AKT899" s="471"/>
      <c r="AKU899" s="471"/>
      <c r="AKV899" s="471"/>
      <c r="AKW899" s="471"/>
      <c r="AKX899" s="471"/>
      <c r="AKY899" s="471"/>
      <c r="AKZ899" s="471"/>
      <c r="ALA899" s="471"/>
      <c r="ALB899" s="471"/>
      <c r="ALC899" s="471"/>
      <c r="ALD899" s="471"/>
      <c r="ALE899" s="471"/>
      <c r="ALF899" s="471"/>
      <c r="ALG899" s="471"/>
      <c r="ALH899" s="471"/>
      <c r="ALI899" s="471"/>
      <c r="ALJ899" s="471"/>
      <c r="ALK899" s="471"/>
      <c r="ALL899" s="471"/>
      <c r="ALM899" s="471"/>
      <c r="ALN899" s="471"/>
      <c r="ALO899" s="471"/>
      <c r="ALP899" s="471"/>
      <c r="ALQ899" s="471"/>
      <c r="ALR899" s="471"/>
      <c r="ALS899" s="471"/>
      <c r="ALT899" s="471"/>
      <c r="ALU899" s="471"/>
      <c r="ALV899" s="471"/>
      <c r="ALW899" s="471"/>
      <c r="ALX899" s="471"/>
      <c r="ALY899" s="471"/>
      <c r="ALZ899" s="471"/>
      <c r="AMA899" s="471"/>
      <c r="AMB899" s="471"/>
      <c r="AMC899" s="471"/>
      <c r="AMD899" s="471"/>
      <c r="AME899" s="471"/>
      <c r="AMF899" s="471"/>
      <c r="AMG899" s="471"/>
      <c r="AMH899" s="471"/>
      <c r="AMI899" s="471"/>
      <c r="AMJ899" s="471"/>
      <c r="AMK899" s="471"/>
      <c r="AML899" s="471"/>
      <c r="AMM899" s="471"/>
      <c r="AMN899" s="471"/>
      <c r="AMO899" s="471"/>
      <c r="AMP899" s="471"/>
      <c r="AMQ899" s="471"/>
      <c r="AMR899" s="471"/>
      <c r="AMS899" s="471"/>
      <c r="AMT899" s="471"/>
      <c r="AMU899" s="471"/>
      <c r="AMV899" s="471"/>
      <c r="AMW899" s="471"/>
      <c r="AMX899" s="471"/>
      <c r="AMY899" s="471"/>
      <c r="AMZ899" s="471"/>
      <c r="ANA899" s="471"/>
      <c r="ANB899" s="471"/>
      <c r="ANC899" s="471"/>
      <c r="AND899" s="471"/>
      <c r="ANE899" s="471"/>
      <c r="ANF899" s="471"/>
      <c r="ANG899" s="471"/>
      <c r="ANH899" s="471"/>
      <c r="ANI899" s="471"/>
      <c r="ANJ899" s="471"/>
      <c r="ANK899" s="471"/>
      <c r="ANL899" s="471"/>
      <c r="ANM899" s="471"/>
      <c r="ANN899" s="471"/>
      <c r="ANO899" s="471"/>
      <c r="ANP899" s="471"/>
      <c r="ANQ899" s="471"/>
      <c r="ANR899" s="471"/>
      <c r="ANS899" s="471"/>
      <c r="ANT899" s="471"/>
      <c r="ANU899" s="471"/>
      <c r="ANV899" s="471"/>
      <c r="ANW899" s="471"/>
      <c r="ANX899" s="471"/>
      <c r="ANY899" s="471"/>
      <c r="ANZ899" s="471"/>
      <c r="AOA899" s="471"/>
      <c r="AOB899" s="471"/>
      <c r="AOC899" s="471"/>
      <c r="AOD899" s="471"/>
      <c r="AOE899" s="471"/>
      <c r="AOF899" s="471"/>
      <c r="AOG899" s="471"/>
      <c r="AOH899" s="471"/>
      <c r="AOI899" s="471"/>
      <c r="AOJ899" s="471"/>
      <c r="AOK899" s="471"/>
      <c r="AOL899" s="471"/>
      <c r="AOM899" s="471"/>
      <c r="AON899" s="471"/>
      <c r="AOO899" s="471"/>
      <c r="AOP899" s="471"/>
      <c r="AOQ899" s="471"/>
      <c r="AOR899" s="471"/>
      <c r="AOS899" s="471"/>
      <c r="AOT899" s="471"/>
      <c r="AOU899" s="471"/>
      <c r="AOV899" s="471"/>
      <c r="AOW899" s="471"/>
      <c r="AOX899" s="471"/>
      <c r="AOY899" s="471"/>
      <c r="AOZ899" s="471"/>
      <c r="APA899" s="471"/>
      <c r="APB899" s="471"/>
      <c r="APC899" s="471"/>
      <c r="APD899" s="471"/>
      <c r="APE899" s="471"/>
      <c r="APF899" s="471"/>
      <c r="APG899" s="471"/>
      <c r="APH899" s="471"/>
      <c r="API899" s="471"/>
      <c r="APJ899" s="471"/>
      <c r="APK899" s="471"/>
      <c r="APL899" s="471"/>
      <c r="APM899" s="471"/>
      <c r="APN899" s="471"/>
      <c r="APO899" s="471"/>
      <c r="APP899" s="471"/>
      <c r="APQ899" s="471"/>
      <c r="APR899" s="471"/>
      <c r="APS899" s="471"/>
      <c r="APT899" s="471"/>
      <c r="APU899" s="471"/>
      <c r="APV899" s="471"/>
      <c r="APW899" s="471"/>
      <c r="APX899" s="471"/>
      <c r="APY899" s="471"/>
      <c r="APZ899" s="471"/>
      <c r="AQA899" s="471"/>
      <c r="AQB899" s="471"/>
      <c r="AQC899" s="471"/>
      <c r="AQD899" s="471"/>
      <c r="AQE899" s="471"/>
      <c r="AQF899" s="471"/>
      <c r="AQG899" s="471"/>
      <c r="AQH899" s="471"/>
      <c r="AQI899" s="471"/>
      <c r="AQJ899" s="471"/>
      <c r="AQK899" s="471"/>
      <c r="AQL899" s="471"/>
      <c r="AQM899" s="471"/>
      <c r="AQN899" s="471"/>
      <c r="AQO899" s="471"/>
      <c r="AQP899" s="471"/>
      <c r="AQQ899" s="471"/>
      <c r="AQR899" s="471"/>
      <c r="AQS899" s="471"/>
      <c r="AQT899" s="471"/>
      <c r="AQU899" s="471"/>
      <c r="AQV899" s="471"/>
      <c r="AQW899" s="471"/>
      <c r="AQX899" s="471"/>
      <c r="AQY899" s="471"/>
      <c r="AQZ899" s="471"/>
      <c r="ARA899" s="471"/>
      <c r="ARB899" s="471"/>
      <c r="ARC899" s="471"/>
      <c r="ARD899" s="471"/>
      <c r="ARE899" s="471"/>
      <c r="ARF899" s="471"/>
      <c r="ARG899" s="471"/>
      <c r="ARH899" s="471"/>
      <c r="ARI899" s="471"/>
      <c r="ARJ899" s="471"/>
      <c r="ARK899" s="471"/>
      <c r="ARL899" s="471"/>
      <c r="ARM899" s="471"/>
      <c r="ARN899" s="471"/>
      <c r="ARO899" s="471"/>
      <c r="ARP899" s="471"/>
      <c r="ARQ899" s="471"/>
      <c r="ARR899" s="471"/>
      <c r="ARS899" s="471"/>
      <c r="ART899" s="471"/>
      <c r="ARU899" s="471"/>
      <c r="ARV899" s="471"/>
      <c r="ARW899" s="471"/>
      <c r="ARX899" s="471"/>
      <c r="ARY899" s="471"/>
      <c r="ARZ899" s="471"/>
      <c r="ASA899" s="471"/>
      <c r="ASB899" s="471"/>
      <c r="ASC899" s="471"/>
      <c r="ASD899" s="471"/>
      <c r="ASE899" s="471"/>
      <c r="ASF899" s="471"/>
      <c r="ASG899" s="471"/>
      <c r="ASH899" s="471"/>
      <c r="ASI899" s="471"/>
      <c r="ASJ899" s="471"/>
      <c r="ASK899" s="471"/>
      <c r="ASL899" s="471"/>
      <c r="ASM899" s="471"/>
      <c r="ASN899" s="471"/>
      <c r="ASO899" s="471"/>
      <c r="ASP899" s="471"/>
      <c r="ASQ899" s="471"/>
      <c r="ASR899" s="471"/>
      <c r="ASS899" s="471"/>
      <c r="AST899" s="471"/>
      <c r="ASU899" s="471"/>
      <c r="ASV899" s="471"/>
      <c r="ASW899" s="471"/>
      <c r="ASX899" s="471"/>
      <c r="ASY899" s="471"/>
      <c r="ASZ899" s="471"/>
      <c r="ATA899" s="471"/>
      <c r="ATB899" s="471"/>
      <c r="ATC899" s="471"/>
      <c r="ATD899" s="471"/>
      <c r="ATE899" s="471"/>
      <c r="ATF899" s="471"/>
      <c r="ATG899" s="471"/>
      <c r="ATH899" s="471"/>
      <c r="ATI899" s="471"/>
      <c r="ATJ899" s="471"/>
      <c r="ATK899" s="471"/>
      <c r="ATL899" s="471"/>
      <c r="ATM899" s="471"/>
      <c r="ATN899" s="471"/>
      <c r="ATO899" s="471"/>
      <c r="ATP899" s="471"/>
      <c r="ATQ899" s="471"/>
      <c r="ATR899" s="471"/>
      <c r="ATS899" s="471"/>
      <c r="ATT899" s="471"/>
      <c r="ATU899" s="471"/>
      <c r="ATV899" s="471"/>
      <c r="ATW899" s="471"/>
      <c r="ATX899" s="471"/>
      <c r="ATY899" s="471"/>
      <c r="ATZ899" s="471"/>
      <c r="AUA899" s="471"/>
      <c r="AUB899" s="471"/>
      <c r="AUC899" s="471"/>
      <c r="AUD899" s="471"/>
      <c r="AUE899" s="471"/>
      <c r="AUF899" s="471"/>
      <c r="AUG899" s="471"/>
      <c r="AUH899" s="471"/>
      <c r="AUI899" s="471"/>
      <c r="AUJ899" s="471"/>
      <c r="AUK899" s="471"/>
      <c r="AUL899" s="471"/>
      <c r="AUM899" s="471"/>
      <c r="AUN899" s="471"/>
      <c r="AUO899" s="471"/>
      <c r="AUP899" s="471"/>
      <c r="AUQ899" s="471"/>
      <c r="AUR899" s="471"/>
      <c r="AUS899" s="471"/>
      <c r="AUT899" s="471"/>
      <c r="AUU899" s="471"/>
      <c r="AUV899" s="471"/>
      <c r="AUW899" s="471"/>
      <c r="AUX899" s="471"/>
      <c r="AUY899" s="471"/>
      <c r="AUZ899" s="471"/>
      <c r="AVA899" s="471"/>
      <c r="AVB899" s="471"/>
      <c r="AVC899" s="471"/>
      <c r="AVD899" s="471"/>
      <c r="AVE899" s="471"/>
      <c r="AVF899" s="471"/>
      <c r="AVG899" s="471"/>
      <c r="AVH899" s="471"/>
      <c r="AVI899" s="471"/>
      <c r="AVJ899" s="471"/>
      <c r="AVK899" s="471"/>
    </row>
    <row r="900" spans="1:1259" s="511" customFormat="1" ht="15" customHeight="1">
      <c r="A900" s="472"/>
      <c r="B900" s="472"/>
      <c r="C900" s="472"/>
      <c r="D900" s="512" t="s">
        <v>3186</v>
      </c>
      <c r="E900" s="501"/>
      <c r="F900" s="501"/>
      <c r="G900" s="501">
        <v>2022</v>
      </c>
      <c r="H900" s="501"/>
      <c r="I900" s="496" t="s">
        <v>1676</v>
      </c>
      <c r="J900" s="502"/>
      <c r="K900" s="503" t="s">
        <v>4870</v>
      </c>
      <c r="L900" s="501" t="s">
        <v>3297</v>
      </c>
      <c r="M900" s="504">
        <v>44601</v>
      </c>
      <c r="N900" s="504">
        <v>44655</v>
      </c>
      <c r="O900" s="504"/>
      <c r="P900" s="502"/>
      <c r="Q900" s="502"/>
      <c r="R900" s="502"/>
      <c r="S900" s="501" t="s">
        <v>2379</v>
      </c>
      <c r="T900" s="501">
        <v>60</v>
      </c>
      <c r="U900" s="501"/>
      <c r="V900" s="501" t="s">
        <v>973</v>
      </c>
      <c r="W900" s="501">
        <v>400</v>
      </c>
      <c r="X900" s="505">
        <v>416</v>
      </c>
      <c r="Y900" s="491">
        <f t="shared" si="130"/>
        <v>166400</v>
      </c>
      <c r="Z900" s="506">
        <v>0.54</v>
      </c>
      <c r="AA900" s="492">
        <f t="shared" si="129"/>
        <v>89856</v>
      </c>
      <c r="AB900" s="480"/>
      <c r="AC900" s="481">
        <f t="shared" si="131"/>
        <v>0</v>
      </c>
      <c r="AD900" s="508"/>
      <c r="AE900" s="507">
        <v>3987.36</v>
      </c>
      <c r="AF900" s="493">
        <f t="shared" si="132"/>
        <v>93843.36</v>
      </c>
      <c r="AG900" s="501" t="s">
        <v>47</v>
      </c>
      <c r="AH900" s="501"/>
      <c r="AI900" s="503">
        <v>60</v>
      </c>
      <c r="AJ900" s="501" t="s">
        <v>4867</v>
      </c>
      <c r="AK900" s="509" t="s">
        <v>50</v>
      </c>
      <c r="AL900" s="501">
        <v>94534</v>
      </c>
      <c r="AM900" s="501" t="s">
        <v>52</v>
      </c>
      <c r="AN900" s="501"/>
      <c r="AO900" s="501"/>
      <c r="AP900" s="510"/>
      <c r="AQ900" s="510" t="s">
        <v>37</v>
      </c>
      <c r="AR900" s="510"/>
      <c r="AS900" s="495"/>
      <c r="AT900" s="495"/>
      <c r="AU900" s="495"/>
      <c r="AV900" s="506">
        <f t="shared" si="133"/>
        <v>0.48000000000000004</v>
      </c>
      <c r="AW900" s="471"/>
      <c r="AX900" s="471"/>
      <c r="AY900" s="471"/>
      <c r="AZ900" s="471"/>
      <c r="BA900" s="471"/>
      <c r="BB900" s="471"/>
      <c r="BC900" s="471"/>
      <c r="BD900" s="471"/>
      <c r="BE900" s="471"/>
      <c r="BF900" s="471"/>
      <c r="BG900" s="471"/>
      <c r="BH900" s="471"/>
      <c r="BI900" s="471"/>
      <c r="BJ900" s="471"/>
      <c r="BK900" s="471"/>
      <c r="BL900" s="471"/>
      <c r="BM900" s="471"/>
      <c r="BN900" s="471"/>
      <c r="BO900" s="471"/>
      <c r="BP900" s="471"/>
      <c r="BQ900" s="471"/>
      <c r="BR900" s="471"/>
      <c r="BS900" s="471"/>
      <c r="BT900" s="471"/>
      <c r="BU900" s="471"/>
      <c r="BV900" s="471"/>
      <c r="BW900" s="471"/>
      <c r="BX900" s="471"/>
      <c r="BY900" s="471"/>
      <c r="BZ900" s="471"/>
      <c r="CA900" s="471"/>
      <c r="CB900" s="471"/>
      <c r="CC900" s="471"/>
      <c r="CD900" s="471"/>
      <c r="CE900" s="471"/>
      <c r="CF900" s="471"/>
      <c r="CG900" s="471"/>
      <c r="CH900" s="471"/>
      <c r="CI900" s="471"/>
      <c r="CJ900" s="471"/>
      <c r="CK900" s="471"/>
      <c r="CL900" s="471"/>
      <c r="CM900" s="471"/>
      <c r="CN900" s="471"/>
      <c r="CO900" s="471"/>
      <c r="CP900" s="471"/>
      <c r="CQ900" s="471"/>
      <c r="CR900" s="471"/>
      <c r="CS900" s="471"/>
      <c r="CT900" s="471"/>
      <c r="CU900" s="471"/>
      <c r="CV900" s="471"/>
      <c r="CW900" s="471"/>
      <c r="CX900" s="471"/>
      <c r="CY900" s="471"/>
      <c r="CZ900" s="471"/>
      <c r="DA900" s="471"/>
      <c r="DB900" s="471"/>
      <c r="DC900" s="471"/>
      <c r="DD900" s="471"/>
      <c r="DE900" s="471"/>
      <c r="DF900" s="471"/>
      <c r="DG900" s="471"/>
      <c r="DH900" s="471"/>
      <c r="DI900" s="471"/>
      <c r="DJ900" s="471"/>
      <c r="DK900" s="471"/>
      <c r="DL900" s="471"/>
      <c r="DM900" s="471"/>
      <c r="DN900" s="471"/>
      <c r="DO900" s="471"/>
      <c r="DP900" s="471"/>
      <c r="DQ900" s="471"/>
      <c r="DR900" s="471"/>
      <c r="DS900" s="471"/>
      <c r="DT900" s="471"/>
      <c r="DU900" s="471"/>
      <c r="DV900" s="471"/>
      <c r="DW900" s="471"/>
      <c r="DX900" s="471"/>
      <c r="DY900" s="471"/>
      <c r="DZ900" s="471"/>
      <c r="EA900" s="471"/>
      <c r="EB900" s="471"/>
      <c r="EC900" s="471"/>
      <c r="ED900" s="471"/>
      <c r="EE900" s="471"/>
      <c r="EF900" s="471"/>
      <c r="EG900" s="471"/>
      <c r="EH900" s="471"/>
      <c r="EI900" s="471"/>
      <c r="EJ900" s="471"/>
      <c r="EK900" s="471"/>
      <c r="EL900" s="471"/>
      <c r="EM900" s="471"/>
      <c r="EN900" s="471"/>
      <c r="EO900" s="471"/>
      <c r="EP900" s="471"/>
      <c r="EQ900" s="471"/>
      <c r="ER900" s="471"/>
      <c r="ES900" s="471"/>
      <c r="ET900" s="471"/>
      <c r="EU900" s="471"/>
      <c r="EV900" s="471"/>
      <c r="EW900" s="471"/>
      <c r="EX900" s="471"/>
      <c r="EY900" s="471"/>
      <c r="EZ900" s="471"/>
      <c r="FA900" s="471"/>
      <c r="FB900" s="471"/>
      <c r="FC900" s="471"/>
      <c r="FD900" s="471"/>
      <c r="FE900" s="471"/>
      <c r="FF900" s="471"/>
      <c r="FG900" s="471"/>
      <c r="FH900" s="471"/>
      <c r="FI900" s="471"/>
      <c r="FJ900" s="471"/>
      <c r="FK900" s="471"/>
      <c r="FL900" s="471"/>
      <c r="FM900" s="471"/>
      <c r="FN900" s="471"/>
      <c r="FO900" s="471"/>
      <c r="FP900" s="471"/>
      <c r="FQ900" s="471"/>
      <c r="FR900" s="471"/>
      <c r="FS900" s="471"/>
      <c r="FT900" s="471"/>
      <c r="FU900" s="471"/>
      <c r="FV900" s="471"/>
      <c r="FW900" s="471"/>
      <c r="FX900" s="471"/>
      <c r="FY900" s="471"/>
      <c r="FZ900" s="471"/>
      <c r="GA900" s="471"/>
      <c r="GB900" s="471"/>
      <c r="GC900" s="471"/>
      <c r="GD900" s="471"/>
      <c r="GE900" s="471"/>
      <c r="GF900" s="471"/>
      <c r="GG900" s="471"/>
      <c r="GH900" s="471"/>
      <c r="GI900" s="471"/>
      <c r="GJ900" s="471"/>
      <c r="GK900" s="471"/>
      <c r="GL900" s="471"/>
      <c r="GM900" s="471"/>
      <c r="GN900" s="471"/>
      <c r="GO900" s="471"/>
      <c r="GP900" s="471"/>
      <c r="GQ900" s="471"/>
      <c r="GR900" s="471"/>
      <c r="GS900" s="471"/>
      <c r="GT900" s="471"/>
      <c r="GU900" s="471"/>
      <c r="GV900" s="471"/>
      <c r="GW900" s="471"/>
      <c r="GX900" s="471"/>
      <c r="GY900" s="471"/>
      <c r="GZ900" s="471"/>
      <c r="HA900" s="471"/>
      <c r="HB900" s="471"/>
      <c r="HC900" s="471"/>
      <c r="HD900" s="471"/>
      <c r="HE900" s="471"/>
      <c r="HF900" s="471"/>
      <c r="HG900" s="471"/>
      <c r="HH900" s="471"/>
      <c r="HI900" s="471"/>
      <c r="HJ900" s="471"/>
      <c r="HK900" s="471"/>
      <c r="HL900" s="471"/>
      <c r="HM900" s="471"/>
      <c r="HN900" s="471"/>
      <c r="HO900" s="471"/>
      <c r="HP900" s="471"/>
      <c r="HQ900" s="471"/>
      <c r="HR900" s="471"/>
      <c r="HS900" s="471"/>
      <c r="HT900" s="471"/>
      <c r="HU900" s="471"/>
      <c r="HV900" s="471"/>
      <c r="HW900" s="471"/>
      <c r="HX900" s="471"/>
      <c r="HY900" s="471"/>
      <c r="HZ900" s="471"/>
      <c r="IA900" s="471"/>
      <c r="IB900" s="471"/>
      <c r="IC900" s="471"/>
      <c r="ID900" s="471"/>
      <c r="IE900" s="471"/>
      <c r="IF900" s="471"/>
      <c r="IG900" s="471"/>
      <c r="IH900" s="471"/>
      <c r="II900" s="471"/>
      <c r="IJ900" s="471"/>
      <c r="IK900" s="471"/>
      <c r="IL900" s="471"/>
      <c r="IM900" s="471"/>
      <c r="IN900" s="471"/>
      <c r="IO900" s="471"/>
      <c r="IP900" s="471"/>
      <c r="IQ900" s="471"/>
      <c r="IR900" s="471"/>
      <c r="IS900" s="471"/>
      <c r="IT900" s="471"/>
      <c r="IU900" s="471"/>
      <c r="IV900" s="471"/>
      <c r="IW900" s="471"/>
      <c r="IX900" s="471"/>
      <c r="IY900" s="471"/>
      <c r="IZ900" s="471"/>
      <c r="JA900" s="471"/>
      <c r="JB900" s="471"/>
      <c r="JC900" s="471"/>
      <c r="JD900" s="471"/>
      <c r="JE900" s="471"/>
      <c r="JF900" s="471"/>
      <c r="JG900" s="471"/>
      <c r="JH900" s="471"/>
      <c r="JI900" s="471"/>
      <c r="JJ900" s="471"/>
      <c r="JK900" s="471"/>
      <c r="JL900" s="471"/>
      <c r="JM900" s="471"/>
      <c r="JN900" s="471"/>
      <c r="JO900" s="471"/>
      <c r="JP900" s="471"/>
      <c r="JQ900" s="471"/>
      <c r="JR900" s="471"/>
      <c r="JS900" s="471"/>
      <c r="JT900" s="471"/>
      <c r="JU900" s="471"/>
      <c r="JV900" s="471"/>
      <c r="JW900" s="471"/>
      <c r="JX900" s="471"/>
      <c r="JY900" s="471"/>
      <c r="JZ900" s="471"/>
      <c r="KA900" s="471"/>
      <c r="KB900" s="471"/>
      <c r="KC900" s="471"/>
      <c r="KD900" s="471"/>
      <c r="KE900" s="471"/>
      <c r="KF900" s="471"/>
      <c r="KG900" s="471"/>
      <c r="KH900" s="471"/>
      <c r="KI900" s="471"/>
      <c r="KJ900" s="471"/>
      <c r="KK900" s="471"/>
      <c r="KL900" s="471"/>
      <c r="KM900" s="471"/>
      <c r="KN900" s="471"/>
      <c r="KO900" s="471"/>
      <c r="KP900" s="471"/>
      <c r="KQ900" s="471"/>
      <c r="KR900" s="471"/>
      <c r="KS900" s="471"/>
      <c r="KT900" s="471"/>
      <c r="KU900" s="471"/>
      <c r="KV900" s="471"/>
      <c r="KW900" s="471"/>
      <c r="KX900" s="471"/>
      <c r="KY900" s="471"/>
      <c r="KZ900" s="471"/>
      <c r="LA900" s="471"/>
      <c r="LB900" s="471"/>
      <c r="LC900" s="471"/>
      <c r="LD900" s="471"/>
      <c r="LE900" s="471"/>
      <c r="LF900" s="471"/>
      <c r="LG900" s="471"/>
      <c r="LH900" s="471"/>
      <c r="LI900" s="471"/>
      <c r="LJ900" s="471"/>
      <c r="LK900" s="471"/>
      <c r="LL900" s="471"/>
      <c r="LM900" s="471"/>
      <c r="LN900" s="471"/>
      <c r="LO900" s="471"/>
      <c r="LP900" s="471"/>
      <c r="LQ900" s="471"/>
      <c r="LR900" s="471"/>
      <c r="LS900" s="471"/>
      <c r="LT900" s="471"/>
      <c r="LU900" s="471"/>
      <c r="LV900" s="471"/>
      <c r="LW900" s="471"/>
      <c r="LX900" s="471"/>
      <c r="LY900" s="471"/>
      <c r="LZ900" s="471"/>
      <c r="MA900" s="471"/>
      <c r="MB900" s="471"/>
      <c r="MC900" s="471"/>
      <c r="MD900" s="471"/>
      <c r="ME900" s="471"/>
      <c r="MF900" s="471"/>
      <c r="MG900" s="471"/>
      <c r="MH900" s="471"/>
      <c r="MI900" s="471"/>
      <c r="MJ900" s="471"/>
      <c r="MK900" s="471"/>
      <c r="ML900" s="471"/>
      <c r="MM900" s="471"/>
      <c r="MN900" s="471"/>
      <c r="MO900" s="471"/>
      <c r="MP900" s="471"/>
      <c r="MQ900" s="471"/>
      <c r="MR900" s="471"/>
      <c r="MS900" s="471"/>
      <c r="MT900" s="471"/>
      <c r="MU900" s="471"/>
      <c r="MV900" s="471"/>
      <c r="MW900" s="471"/>
      <c r="MX900" s="471"/>
      <c r="MY900" s="471"/>
      <c r="MZ900" s="471"/>
      <c r="NA900" s="471"/>
      <c r="NB900" s="471"/>
      <c r="NC900" s="471"/>
      <c r="ND900" s="471"/>
      <c r="NE900" s="471"/>
      <c r="NF900" s="471"/>
      <c r="NG900" s="471"/>
      <c r="NH900" s="471"/>
      <c r="NI900" s="471"/>
      <c r="NJ900" s="471"/>
      <c r="NK900" s="471"/>
      <c r="NL900" s="471"/>
      <c r="NM900" s="471"/>
      <c r="NN900" s="471"/>
      <c r="NO900" s="471"/>
      <c r="NP900" s="471"/>
      <c r="NQ900" s="471"/>
      <c r="NR900" s="471"/>
      <c r="NS900" s="471"/>
      <c r="NT900" s="471"/>
      <c r="NU900" s="471"/>
      <c r="NV900" s="471"/>
      <c r="NW900" s="471"/>
      <c r="NX900" s="471"/>
      <c r="NY900" s="471"/>
      <c r="NZ900" s="471"/>
      <c r="OA900" s="471"/>
      <c r="OB900" s="471"/>
      <c r="OC900" s="471"/>
      <c r="OD900" s="471"/>
      <c r="OE900" s="471"/>
      <c r="OF900" s="471"/>
      <c r="OG900" s="471"/>
      <c r="OH900" s="471"/>
      <c r="OI900" s="471"/>
      <c r="OJ900" s="471"/>
      <c r="OK900" s="471"/>
      <c r="OL900" s="471"/>
      <c r="OM900" s="471"/>
      <c r="ON900" s="471"/>
      <c r="OO900" s="471"/>
      <c r="OP900" s="471"/>
      <c r="OQ900" s="471"/>
      <c r="OR900" s="471"/>
      <c r="OS900" s="471"/>
      <c r="OT900" s="471"/>
      <c r="OU900" s="471"/>
      <c r="OV900" s="471"/>
      <c r="OW900" s="471"/>
      <c r="OX900" s="471"/>
      <c r="OY900" s="471"/>
      <c r="OZ900" s="471"/>
      <c r="PA900" s="471"/>
      <c r="PB900" s="471"/>
      <c r="PC900" s="471"/>
      <c r="PD900" s="471"/>
      <c r="PE900" s="471"/>
      <c r="PF900" s="471"/>
      <c r="PG900" s="471"/>
      <c r="PH900" s="471"/>
      <c r="PI900" s="471"/>
      <c r="PJ900" s="471"/>
      <c r="PK900" s="471"/>
      <c r="PL900" s="471"/>
      <c r="PM900" s="471"/>
      <c r="PN900" s="471"/>
      <c r="PO900" s="471"/>
      <c r="PP900" s="471"/>
      <c r="PQ900" s="471"/>
      <c r="PR900" s="471"/>
      <c r="PS900" s="471"/>
      <c r="PT900" s="471"/>
      <c r="PU900" s="471"/>
      <c r="PV900" s="471"/>
      <c r="PW900" s="471"/>
      <c r="PX900" s="471"/>
      <c r="PY900" s="471"/>
      <c r="PZ900" s="471"/>
      <c r="QA900" s="471"/>
      <c r="QB900" s="471"/>
      <c r="QC900" s="471"/>
      <c r="QD900" s="471"/>
      <c r="QE900" s="471"/>
      <c r="QF900" s="471"/>
      <c r="QG900" s="471"/>
      <c r="QH900" s="471"/>
      <c r="QI900" s="471"/>
      <c r="QJ900" s="471"/>
      <c r="QK900" s="471"/>
      <c r="QL900" s="471"/>
      <c r="QM900" s="471"/>
      <c r="QN900" s="471"/>
      <c r="QO900" s="471"/>
      <c r="QP900" s="471"/>
      <c r="QQ900" s="471"/>
      <c r="QR900" s="471"/>
      <c r="QS900" s="471"/>
      <c r="QT900" s="471"/>
      <c r="QU900" s="471"/>
      <c r="QV900" s="471"/>
      <c r="QW900" s="471"/>
      <c r="QX900" s="471"/>
      <c r="QY900" s="471"/>
      <c r="QZ900" s="471"/>
      <c r="RA900" s="471"/>
      <c r="RB900" s="471"/>
      <c r="RC900" s="471"/>
      <c r="RD900" s="471"/>
      <c r="RE900" s="471"/>
      <c r="RF900" s="471"/>
      <c r="RG900" s="471"/>
      <c r="RH900" s="471"/>
      <c r="RI900" s="471"/>
      <c r="RJ900" s="471"/>
      <c r="RK900" s="471"/>
      <c r="RL900" s="471"/>
      <c r="RM900" s="471"/>
      <c r="RN900" s="471"/>
      <c r="RO900" s="471"/>
      <c r="RP900" s="471"/>
      <c r="RQ900" s="471"/>
      <c r="RR900" s="471"/>
      <c r="RS900" s="471"/>
      <c r="RT900" s="471"/>
      <c r="RU900" s="471"/>
      <c r="RV900" s="471"/>
      <c r="RW900" s="471"/>
      <c r="RX900" s="471"/>
      <c r="RY900" s="471"/>
      <c r="RZ900" s="471"/>
      <c r="SA900" s="471"/>
      <c r="SB900" s="471"/>
      <c r="SC900" s="471"/>
      <c r="SD900" s="471"/>
      <c r="SE900" s="471"/>
      <c r="SF900" s="471"/>
      <c r="SG900" s="471"/>
      <c r="SH900" s="471"/>
      <c r="SI900" s="471"/>
      <c r="SJ900" s="471"/>
      <c r="SK900" s="471"/>
      <c r="SL900" s="471"/>
      <c r="SM900" s="471"/>
      <c r="SN900" s="471"/>
      <c r="SO900" s="471"/>
      <c r="SP900" s="471"/>
      <c r="SQ900" s="471"/>
      <c r="SR900" s="471"/>
      <c r="SS900" s="471"/>
      <c r="ST900" s="471"/>
      <c r="SU900" s="471"/>
      <c r="SV900" s="471"/>
      <c r="SW900" s="471"/>
      <c r="SX900" s="471"/>
      <c r="SY900" s="471"/>
      <c r="SZ900" s="471"/>
      <c r="TA900" s="471"/>
      <c r="TB900" s="471"/>
      <c r="TC900" s="471"/>
      <c r="TD900" s="471"/>
      <c r="TE900" s="471"/>
      <c r="TF900" s="471"/>
      <c r="TG900" s="471"/>
      <c r="TH900" s="471"/>
      <c r="TI900" s="471"/>
      <c r="TJ900" s="471"/>
      <c r="TK900" s="471"/>
      <c r="TL900" s="471"/>
      <c r="TM900" s="471"/>
      <c r="TN900" s="471"/>
      <c r="TO900" s="471"/>
      <c r="TP900" s="471"/>
      <c r="TQ900" s="471"/>
      <c r="TR900" s="471"/>
      <c r="TS900" s="471"/>
      <c r="TT900" s="471"/>
      <c r="TU900" s="471"/>
      <c r="TV900" s="471"/>
      <c r="TW900" s="471"/>
      <c r="TX900" s="471"/>
      <c r="TY900" s="471"/>
      <c r="TZ900" s="471"/>
      <c r="UA900" s="471"/>
      <c r="UB900" s="471"/>
      <c r="UC900" s="471"/>
      <c r="UD900" s="471"/>
      <c r="UE900" s="471"/>
      <c r="UF900" s="471"/>
      <c r="UG900" s="471"/>
      <c r="UH900" s="471"/>
      <c r="UI900" s="471"/>
      <c r="UJ900" s="471"/>
      <c r="UK900" s="471"/>
      <c r="UL900" s="471"/>
      <c r="UM900" s="471"/>
      <c r="UN900" s="471"/>
      <c r="UO900" s="471"/>
      <c r="UP900" s="471"/>
      <c r="UQ900" s="471"/>
      <c r="UR900" s="471"/>
      <c r="US900" s="471"/>
      <c r="UT900" s="471"/>
      <c r="UU900" s="471"/>
      <c r="UV900" s="471"/>
      <c r="UW900" s="471"/>
      <c r="UX900" s="471"/>
      <c r="UY900" s="471"/>
      <c r="UZ900" s="471"/>
      <c r="VA900" s="471"/>
      <c r="VB900" s="471"/>
      <c r="VC900" s="471"/>
      <c r="VD900" s="471"/>
      <c r="VE900" s="471"/>
      <c r="VF900" s="471"/>
      <c r="VG900" s="471"/>
      <c r="VH900" s="471"/>
      <c r="VI900" s="471"/>
      <c r="VJ900" s="471"/>
      <c r="VK900" s="471"/>
      <c r="VL900" s="471"/>
      <c r="VM900" s="471"/>
      <c r="VN900" s="471"/>
      <c r="VO900" s="471"/>
      <c r="VP900" s="471"/>
      <c r="VQ900" s="471"/>
      <c r="VR900" s="471"/>
      <c r="VS900" s="471"/>
      <c r="VT900" s="471"/>
      <c r="VU900" s="471"/>
      <c r="VV900" s="471"/>
      <c r="VW900" s="471"/>
      <c r="VX900" s="471"/>
      <c r="VY900" s="471"/>
      <c r="VZ900" s="471"/>
      <c r="WA900" s="471"/>
      <c r="WB900" s="471"/>
      <c r="WC900" s="471"/>
      <c r="WD900" s="471"/>
      <c r="WE900" s="471"/>
      <c r="WF900" s="471"/>
      <c r="WG900" s="471"/>
      <c r="WH900" s="471"/>
      <c r="WI900" s="471"/>
      <c r="WJ900" s="471"/>
      <c r="WK900" s="471"/>
      <c r="WL900" s="471"/>
      <c r="WM900" s="471"/>
      <c r="WN900" s="471"/>
      <c r="WO900" s="471"/>
      <c r="WP900" s="471"/>
      <c r="WQ900" s="471"/>
      <c r="WR900" s="471"/>
      <c r="WS900" s="471"/>
      <c r="WT900" s="471"/>
      <c r="WU900" s="471"/>
      <c r="WV900" s="471"/>
      <c r="WW900" s="471"/>
      <c r="WX900" s="471"/>
      <c r="WY900" s="471"/>
      <c r="WZ900" s="471"/>
      <c r="XA900" s="471"/>
      <c r="XB900" s="471"/>
      <c r="XC900" s="471"/>
      <c r="XD900" s="471"/>
      <c r="XE900" s="471"/>
      <c r="XF900" s="471"/>
      <c r="XG900" s="471"/>
      <c r="XH900" s="471"/>
      <c r="XI900" s="471"/>
      <c r="XJ900" s="471"/>
      <c r="XK900" s="471"/>
      <c r="XL900" s="471"/>
      <c r="XM900" s="471"/>
      <c r="XN900" s="471"/>
      <c r="XO900" s="471"/>
      <c r="XP900" s="471"/>
      <c r="XQ900" s="471"/>
      <c r="XR900" s="471"/>
      <c r="XS900" s="471"/>
      <c r="XT900" s="471"/>
      <c r="XU900" s="471"/>
      <c r="XV900" s="471"/>
      <c r="XW900" s="471"/>
      <c r="XX900" s="471"/>
      <c r="XY900" s="471"/>
      <c r="XZ900" s="471"/>
      <c r="YA900" s="471"/>
      <c r="YB900" s="471"/>
      <c r="YC900" s="471"/>
      <c r="YD900" s="471"/>
      <c r="YE900" s="471"/>
      <c r="YF900" s="471"/>
      <c r="YG900" s="471"/>
      <c r="YH900" s="471"/>
      <c r="YI900" s="471"/>
      <c r="YJ900" s="471"/>
      <c r="YK900" s="471"/>
      <c r="YL900" s="471"/>
      <c r="YM900" s="471"/>
      <c r="YN900" s="471"/>
      <c r="YO900" s="471"/>
      <c r="YP900" s="471"/>
      <c r="YQ900" s="471"/>
      <c r="YR900" s="471"/>
      <c r="YS900" s="471"/>
      <c r="YT900" s="471"/>
      <c r="YU900" s="471"/>
      <c r="YV900" s="471"/>
      <c r="YW900" s="471"/>
      <c r="YX900" s="471"/>
      <c r="YY900" s="471"/>
      <c r="YZ900" s="471"/>
      <c r="ZA900" s="471"/>
      <c r="ZB900" s="471"/>
      <c r="ZC900" s="471"/>
      <c r="ZD900" s="471"/>
      <c r="ZE900" s="471"/>
      <c r="ZF900" s="471"/>
      <c r="ZG900" s="471"/>
      <c r="ZH900" s="471"/>
      <c r="ZI900" s="471"/>
      <c r="ZJ900" s="471"/>
      <c r="ZK900" s="471"/>
      <c r="ZL900" s="471"/>
      <c r="ZM900" s="471"/>
      <c r="ZN900" s="471"/>
      <c r="ZO900" s="471"/>
      <c r="ZP900" s="471"/>
      <c r="ZQ900" s="471"/>
      <c r="ZR900" s="471"/>
      <c r="ZS900" s="471"/>
      <c r="ZT900" s="471"/>
      <c r="ZU900" s="471"/>
      <c r="ZV900" s="471"/>
      <c r="ZW900" s="471"/>
      <c r="ZX900" s="471"/>
      <c r="ZY900" s="471"/>
      <c r="ZZ900" s="471"/>
      <c r="AAA900" s="471"/>
      <c r="AAB900" s="471"/>
      <c r="AAC900" s="471"/>
      <c r="AAD900" s="471"/>
      <c r="AAE900" s="471"/>
      <c r="AAF900" s="471"/>
      <c r="AAG900" s="471"/>
      <c r="AAH900" s="471"/>
      <c r="AAI900" s="471"/>
      <c r="AAJ900" s="471"/>
      <c r="AAK900" s="471"/>
      <c r="AAL900" s="471"/>
      <c r="AAM900" s="471"/>
      <c r="AAN900" s="471"/>
      <c r="AAO900" s="471"/>
      <c r="AAP900" s="471"/>
      <c r="AAQ900" s="471"/>
      <c r="AAR900" s="471"/>
      <c r="AAS900" s="471"/>
      <c r="AAT900" s="471"/>
      <c r="AAU900" s="471"/>
      <c r="AAV900" s="471"/>
      <c r="AAW900" s="471"/>
      <c r="AAX900" s="471"/>
      <c r="AAY900" s="471"/>
      <c r="AAZ900" s="471"/>
      <c r="ABA900" s="471"/>
      <c r="ABB900" s="471"/>
      <c r="ABC900" s="471"/>
      <c r="ABD900" s="471"/>
      <c r="ABE900" s="471"/>
      <c r="ABF900" s="471"/>
      <c r="ABG900" s="471"/>
      <c r="ABH900" s="471"/>
      <c r="ABI900" s="471"/>
      <c r="ABJ900" s="471"/>
      <c r="ABK900" s="471"/>
      <c r="ABL900" s="471"/>
      <c r="ABM900" s="471"/>
      <c r="ABN900" s="471"/>
      <c r="ABO900" s="471"/>
      <c r="ABP900" s="471"/>
      <c r="ABQ900" s="471"/>
      <c r="ABR900" s="471"/>
      <c r="ABS900" s="471"/>
      <c r="ABT900" s="471"/>
      <c r="ABU900" s="471"/>
      <c r="ABV900" s="471"/>
      <c r="ABW900" s="471"/>
      <c r="ABX900" s="471"/>
      <c r="ABY900" s="471"/>
      <c r="ABZ900" s="471"/>
      <c r="ACA900" s="471"/>
      <c r="ACB900" s="471"/>
      <c r="ACC900" s="471"/>
      <c r="ACD900" s="471"/>
      <c r="ACE900" s="471"/>
      <c r="ACF900" s="471"/>
      <c r="ACG900" s="471"/>
      <c r="ACH900" s="471"/>
      <c r="ACI900" s="471"/>
      <c r="ACJ900" s="471"/>
      <c r="ACK900" s="471"/>
      <c r="ACL900" s="471"/>
      <c r="ACM900" s="471"/>
      <c r="ACN900" s="471"/>
      <c r="ACO900" s="471"/>
      <c r="ACP900" s="471"/>
      <c r="ACQ900" s="471"/>
      <c r="ACR900" s="471"/>
      <c r="ACS900" s="471"/>
      <c r="ACT900" s="471"/>
      <c r="ACU900" s="471"/>
      <c r="ACV900" s="471"/>
      <c r="ACW900" s="471"/>
      <c r="ACX900" s="471"/>
      <c r="ACY900" s="471"/>
      <c r="ACZ900" s="471"/>
      <c r="ADA900" s="471"/>
      <c r="ADB900" s="471"/>
      <c r="ADC900" s="471"/>
      <c r="ADD900" s="471"/>
      <c r="ADE900" s="471"/>
      <c r="ADF900" s="471"/>
      <c r="ADG900" s="471"/>
      <c r="ADH900" s="471"/>
      <c r="ADI900" s="471"/>
      <c r="ADJ900" s="471"/>
      <c r="ADK900" s="471"/>
      <c r="ADL900" s="471"/>
      <c r="ADM900" s="471"/>
      <c r="ADN900" s="471"/>
      <c r="ADO900" s="471"/>
      <c r="ADP900" s="471"/>
      <c r="ADQ900" s="471"/>
      <c r="ADR900" s="471"/>
      <c r="ADS900" s="471"/>
      <c r="ADT900" s="471"/>
      <c r="ADU900" s="471"/>
      <c r="ADV900" s="471"/>
      <c r="ADW900" s="471"/>
      <c r="ADX900" s="471"/>
      <c r="ADY900" s="471"/>
      <c r="ADZ900" s="471"/>
      <c r="AEA900" s="471"/>
      <c r="AEB900" s="471"/>
      <c r="AEC900" s="471"/>
      <c r="AED900" s="471"/>
      <c r="AEE900" s="471"/>
      <c r="AEF900" s="471"/>
      <c r="AEG900" s="471"/>
      <c r="AEH900" s="471"/>
      <c r="AEI900" s="471"/>
      <c r="AEJ900" s="471"/>
      <c r="AEK900" s="471"/>
      <c r="AEL900" s="471"/>
      <c r="AEM900" s="471"/>
      <c r="AEN900" s="471"/>
      <c r="AEO900" s="471"/>
      <c r="AEP900" s="471"/>
      <c r="AEQ900" s="471"/>
      <c r="AER900" s="471"/>
      <c r="AES900" s="471"/>
      <c r="AET900" s="471"/>
      <c r="AEU900" s="471"/>
      <c r="AEV900" s="471"/>
      <c r="AEW900" s="471"/>
      <c r="AEX900" s="471"/>
      <c r="AEY900" s="471"/>
      <c r="AEZ900" s="471"/>
      <c r="AFA900" s="471"/>
      <c r="AFB900" s="471"/>
      <c r="AFC900" s="471"/>
      <c r="AFD900" s="471"/>
      <c r="AFE900" s="471"/>
      <c r="AFF900" s="471"/>
      <c r="AFG900" s="471"/>
      <c r="AFH900" s="471"/>
      <c r="AFI900" s="471"/>
      <c r="AFJ900" s="471"/>
      <c r="AFK900" s="471"/>
      <c r="AFL900" s="471"/>
      <c r="AFM900" s="471"/>
      <c r="AFN900" s="471"/>
      <c r="AFO900" s="471"/>
      <c r="AFP900" s="471"/>
      <c r="AFQ900" s="471"/>
      <c r="AFR900" s="471"/>
      <c r="AFS900" s="471"/>
      <c r="AFT900" s="471"/>
      <c r="AFU900" s="471"/>
      <c r="AFV900" s="471"/>
      <c r="AFW900" s="471"/>
      <c r="AFX900" s="471"/>
      <c r="AFY900" s="471"/>
      <c r="AFZ900" s="471"/>
      <c r="AGA900" s="471"/>
      <c r="AGB900" s="471"/>
      <c r="AGC900" s="471"/>
      <c r="AGD900" s="471"/>
      <c r="AGE900" s="471"/>
      <c r="AGF900" s="471"/>
      <c r="AGG900" s="471"/>
      <c r="AGH900" s="471"/>
      <c r="AGI900" s="471"/>
      <c r="AGJ900" s="471"/>
      <c r="AGK900" s="471"/>
      <c r="AGL900" s="471"/>
      <c r="AGM900" s="471"/>
      <c r="AGN900" s="471"/>
      <c r="AGO900" s="471"/>
      <c r="AGP900" s="471"/>
      <c r="AGQ900" s="471"/>
      <c r="AGR900" s="471"/>
      <c r="AGS900" s="471"/>
      <c r="AGT900" s="471"/>
      <c r="AGU900" s="471"/>
      <c r="AGV900" s="471"/>
      <c r="AGW900" s="471"/>
      <c r="AGX900" s="471"/>
      <c r="AGY900" s="471"/>
      <c r="AGZ900" s="471"/>
      <c r="AHA900" s="471"/>
      <c r="AHB900" s="471"/>
      <c r="AHC900" s="471"/>
      <c r="AHD900" s="471"/>
      <c r="AHE900" s="471"/>
      <c r="AHF900" s="471"/>
      <c r="AHG900" s="471"/>
      <c r="AHH900" s="471"/>
      <c r="AHI900" s="471"/>
      <c r="AHJ900" s="471"/>
      <c r="AHK900" s="471"/>
      <c r="AHL900" s="471"/>
      <c r="AHM900" s="471"/>
      <c r="AHN900" s="471"/>
      <c r="AHO900" s="471"/>
      <c r="AHP900" s="471"/>
      <c r="AHQ900" s="471"/>
      <c r="AHR900" s="471"/>
      <c r="AHS900" s="471"/>
      <c r="AHT900" s="471"/>
      <c r="AHU900" s="471"/>
      <c r="AHV900" s="471"/>
      <c r="AHW900" s="471"/>
      <c r="AHX900" s="471"/>
      <c r="AHY900" s="471"/>
      <c r="AHZ900" s="471"/>
      <c r="AIA900" s="471"/>
      <c r="AIB900" s="471"/>
      <c r="AIC900" s="471"/>
      <c r="AID900" s="471"/>
      <c r="AIE900" s="471"/>
      <c r="AIF900" s="471"/>
      <c r="AIG900" s="471"/>
      <c r="AIH900" s="471"/>
      <c r="AII900" s="471"/>
      <c r="AIJ900" s="471"/>
      <c r="AIK900" s="471"/>
      <c r="AIL900" s="471"/>
      <c r="AIM900" s="471"/>
      <c r="AIN900" s="471"/>
      <c r="AIO900" s="471"/>
      <c r="AIP900" s="471"/>
      <c r="AIQ900" s="471"/>
      <c r="AIR900" s="471"/>
      <c r="AIS900" s="471"/>
      <c r="AIT900" s="471"/>
      <c r="AIU900" s="471"/>
      <c r="AIV900" s="471"/>
      <c r="AIW900" s="471"/>
      <c r="AIX900" s="471"/>
      <c r="AIY900" s="471"/>
      <c r="AIZ900" s="471"/>
      <c r="AJA900" s="471"/>
      <c r="AJB900" s="471"/>
      <c r="AJC900" s="471"/>
      <c r="AJD900" s="471"/>
      <c r="AJE900" s="471"/>
      <c r="AJF900" s="471"/>
      <c r="AJG900" s="471"/>
      <c r="AJH900" s="471"/>
      <c r="AJI900" s="471"/>
      <c r="AJJ900" s="471"/>
      <c r="AJK900" s="471"/>
      <c r="AJL900" s="471"/>
      <c r="AJM900" s="471"/>
      <c r="AJN900" s="471"/>
      <c r="AJO900" s="471"/>
      <c r="AJP900" s="471"/>
      <c r="AJQ900" s="471"/>
      <c r="AJR900" s="471"/>
      <c r="AJS900" s="471"/>
      <c r="AJT900" s="471"/>
      <c r="AJU900" s="471"/>
      <c r="AJV900" s="471"/>
      <c r="AJW900" s="471"/>
      <c r="AJX900" s="471"/>
      <c r="AJY900" s="471"/>
      <c r="AJZ900" s="471"/>
      <c r="AKA900" s="471"/>
      <c r="AKB900" s="471"/>
      <c r="AKC900" s="471"/>
      <c r="AKD900" s="471"/>
      <c r="AKE900" s="471"/>
      <c r="AKF900" s="471"/>
      <c r="AKG900" s="471"/>
      <c r="AKH900" s="471"/>
      <c r="AKI900" s="471"/>
      <c r="AKJ900" s="471"/>
      <c r="AKK900" s="471"/>
      <c r="AKL900" s="471"/>
      <c r="AKM900" s="471"/>
      <c r="AKN900" s="471"/>
      <c r="AKO900" s="471"/>
      <c r="AKP900" s="471"/>
      <c r="AKQ900" s="471"/>
      <c r="AKR900" s="471"/>
      <c r="AKS900" s="471"/>
      <c r="AKT900" s="471"/>
      <c r="AKU900" s="471"/>
      <c r="AKV900" s="471"/>
      <c r="AKW900" s="471"/>
      <c r="AKX900" s="471"/>
      <c r="AKY900" s="471"/>
      <c r="AKZ900" s="471"/>
      <c r="ALA900" s="471"/>
      <c r="ALB900" s="471"/>
      <c r="ALC900" s="471"/>
      <c r="ALD900" s="471"/>
      <c r="ALE900" s="471"/>
      <c r="ALF900" s="471"/>
      <c r="ALG900" s="471"/>
      <c r="ALH900" s="471"/>
      <c r="ALI900" s="471"/>
      <c r="ALJ900" s="471"/>
      <c r="ALK900" s="471"/>
      <c r="ALL900" s="471"/>
      <c r="ALM900" s="471"/>
      <c r="ALN900" s="471"/>
      <c r="ALO900" s="471"/>
      <c r="ALP900" s="471"/>
      <c r="ALQ900" s="471"/>
      <c r="ALR900" s="471"/>
      <c r="ALS900" s="471"/>
      <c r="ALT900" s="471"/>
      <c r="ALU900" s="471"/>
      <c r="ALV900" s="471"/>
      <c r="ALW900" s="471"/>
      <c r="ALX900" s="471"/>
      <c r="ALY900" s="471"/>
      <c r="ALZ900" s="471"/>
      <c r="AMA900" s="471"/>
      <c r="AMB900" s="471"/>
      <c r="AMC900" s="471"/>
      <c r="AMD900" s="471"/>
      <c r="AME900" s="471"/>
      <c r="AMF900" s="471"/>
      <c r="AMG900" s="471"/>
      <c r="AMH900" s="471"/>
      <c r="AMI900" s="471"/>
      <c r="AMJ900" s="471"/>
      <c r="AMK900" s="471"/>
      <c r="AML900" s="471"/>
      <c r="AMM900" s="471"/>
      <c r="AMN900" s="471"/>
      <c r="AMO900" s="471"/>
      <c r="AMP900" s="471"/>
      <c r="AMQ900" s="471"/>
      <c r="AMR900" s="471"/>
      <c r="AMS900" s="471"/>
      <c r="AMT900" s="471"/>
      <c r="AMU900" s="471"/>
      <c r="AMV900" s="471"/>
      <c r="AMW900" s="471"/>
      <c r="AMX900" s="471"/>
      <c r="AMY900" s="471"/>
      <c r="AMZ900" s="471"/>
      <c r="ANA900" s="471"/>
      <c r="ANB900" s="471"/>
      <c r="ANC900" s="471"/>
      <c r="AND900" s="471"/>
      <c r="ANE900" s="471"/>
      <c r="ANF900" s="471"/>
      <c r="ANG900" s="471"/>
      <c r="ANH900" s="471"/>
      <c r="ANI900" s="471"/>
      <c r="ANJ900" s="471"/>
      <c r="ANK900" s="471"/>
      <c r="ANL900" s="471"/>
      <c r="ANM900" s="471"/>
      <c r="ANN900" s="471"/>
      <c r="ANO900" s="471"/>
      <c r="ANP900" s="471"/>
      <c r="ANQ900" s="471"/>
      <c r="ANR900" s="471"/>
      <c r="ANS900" s="471"/>
      <c r="ANT900" s="471"/>
      <c r="ANU900" s="471"/>
      <c r="ANV900" s="471"/>
      <c r="ANW900" s="471"/>
      <c r="ANX900" s="471"/>
      <c r="ANY900" s="471"/>
      <c r="ANZ900" s="471"/>
      <c r="AOA900" s="471"/>
      <c r="AOB900" s="471"/>
      <c r="AOC900" s="471"/>
      <c r="AOD900" s="471"/>
      <c r="AOE900" s="471"/>
      <c r="AOF900" s="471"/>
      <c r="AOG900" s="471"/>
      <c r="AOH900" s="471"/>
      <c r="AOI900" s="471"/>
      <c r="AOJ900" s="471"/>
      <c r="AOK900" s="471"/>
      <c r="AOL900" s="471"/>
      <c r="AOM900" s="471"/>
      <c r="AON900" s="471"/>
      <c r="AOO900" s="471"/>
      <c r="AOP900" s="471"/>
      <c r="AOQ900" s="471"/>
      <c r="AOR900" s="471"/>
      <c r="AOS900" s="471"/>
      <c r="AOT900" s="471"/>
      <c r="AOU900" s="471"/>
      <c r="AOV900" s="471"/>
      <c r="AOW900" s="471"/>
      <c r="AOX900" s="471"/>
      <c r="AOY900" s="471"/>
      <c r="AOZ900" s="471"/>
      <c r="APA900" s="471"/>
      <c r="APB900" s="471"/>
      <c r="APC900" s="471"/>
      <c r="APD900" s="471"/>
      <c r="APE900" s="471"/>
      <c r="APF900" s="471"/>
      <c r="APG900" s="471"/>
      <c r="APH900" s="471"/>
      <c r="API900" s="471"/>
      <c r="APJ900" s="471"/>
      <c r="APK900" s="471"/>
      <c r="APL900" s="471"/>
      <c r="APM900" s="471"/>
      <c r="APN900" s="471"/>
      <c r="APO900" s="471"/>
      <c r="APP900" s="471"/>
      <c r="APQ900" s="471"/>
      <c r="APR900" s="471"/>
      <c r="APS900" s="471"/>
      <c r="APT900" s="471"/>
      <c r="APU900" s="471"/>
      <c r="APV900" s="471"/>
      <c r="APW900" s="471"/>
      <c r="APX900" s="471"/>
      <c r="APY900" s="471"/>
      <c r="APZ900" s="471"/>
      <c r="AQA900" s="471"/>
      <c r="AQB900" s="471"/>
      <c r="AQC900" s="471"/>
      <c r="AQD900" s="471"/>
      <c r="AQE900" s="471"/>
      <c r="AQF900" s="471"/>
      <c r="AQG900" s="471"/>
      <c r="AQH900" s="471"/>
      <c r="AQI900" s="471"/>
      <c r="AQJ900" s="471"/>
      <c r="AQK900" s="471"/>
      <c r="AQL900" s="471"/>
      <c r="AQM900" s="471"/>
      <c r="AQN900" s="471"/>
      <c r="AQO900" s="471"/>
      <c r="AQP900" s="471"/>
      <c r="AQQ900" s="471"/>
      <c r="AQR900" s="471"/>
      <c r="AQS900" s="471"/>
      <c r="AQT900" s="471"/>
      <c r="AQU900" s="471"/>
      <c r="AQV900" s="471"/>
      <c r="AQW900" s="471"/>
      <c r="AQX900" s="471"/>
      <c r="AQY900" s="471"/>
      <c r="AQZ900" s="471"/>
      <c r="ARA900" s="471"/>
      <c r="ARB900" s="471"/>
      <c r="ARC900" s="471"/>
      <c r="ARD900" s="471"/>
      <c r="ARE900" s="471"/>
      <c r="ARF900" s="471"/>
      <c r="ARG900" s="471"/>
      <c r="ARH900" s="471"/>
      <c r="ARI900" s="471"/>
      <c r="ARJ900" s="471"/>
      <c r="ARK900" s="471"/>
      <c r="ARL900" s="471"/>
      <c r="ARM900" s="471"/>
      <c r="ARN900" s="471"/>
      <c r="ARO900" s="471"/>
      <c r="ARP900" s="471"/>
      <c r="ARQ900" s="471"/>
      <c r="ARR900" s="471"/>
      <c r="ARS900" s="471"/>
      <c r="ART900" s="471"/>
      <c r="ARU900" s="471"/>
      <c r="ARV900" s="471"/>
      <c r="ARW900" s="471"/>
      <c r="ARX900" s="471"/>
      <c r="ARY900" s="471"/>
      <c r="ARZ900" s="471"/>
      <c r="ASA900" s="471"/>
      <c r="ASB900" s="471"/>
      <c r="ASC900" s="471"/>
      <c r="ASD900" s="471"/>
      <c r="ASE900" s="471"/>
      <c r="ASF900" s="471"/>
      <c r="ASG900" s="471"/>
      <c r="ASH900" s="471"/>
      <c r="ASI900" s="471"/>
      <c r="ASJ900" s="471"/>
      <c r="ASK900" s="471"/>
      <c r="ASL900" s="471"/>
      <c r="ASM900" s="471"/>
      <c r="ASN900" s="471"/>
      <c r="ASO900" s="471"/>
      <c r="ASP900" s="471"/>
      <c r="ASQ900" s="471"/>
      <c r="ASR900" s="471"/>
      <c r="ASS900" s="471"/>
      <c r="AST900" s="471"/>
      <c r="ASU900" s="471"/>
      <c r="ASV900" s="471"/>
      <c r="ASW900" s="471"/>
      <c r="ASX900" s="471"/>
      <c r="ASY900" s="471"/>
      <c r="ASZ900" s="471"/>
      <c r="ATA900" s="471"/>
      <c r="ATB900" s="471"/>
      <c r="ATC900" s="471"/>
      <c r="ATD900" s="471"/>
      <c r="ATE900" s="471"/>
      <c r="ATF900" s="471"/>
      <c r="ATG900" s="471"/>
      <c r="ATH900" s="471"/>
      <c r="ATI900" s="471"/>
      <c r="ATJ900" s="471"/>
      <c r="ATK900" s="471"/>
      <c r="ATL900" s="471"/>
      <c r="ATM900" s="471"/>
      <c r="ATN900" s="471"/>
      <c r="ATO900" s="471"/>
      <c r="ATP900" s="471"/>
      <c r="ATQ900" s="471"/>
      <c r="ATR900" s="471"/>
      <c r="ATS900" s="471"/>
      <c r="ATT900" s="471"/>
      <c r="ATU900" s="471"/>
      <c r="ATV900" s="471"/>
      <c r="ATW900" s="471"/>
      <c r="ATX900" s="471"/>
      <c r="ATY900" s="471"/>
      <c r="ATZ900" s="471"/>
      <c r="AUA900" s="471"/>
      <c r="AUB900" s="471"/>
      <c r="AUC900" s="471"/>
      <c r="AUD900" s="471"/>
      <c r="AUE900" s="471"/>
      <c r="AUF900" s="471"/>
      <c r="AUG900" s="471"/>
      <c r="AUH900" s="471"/>
      <c r="AUI900" s="471"/>
      <c r="AUJ900" s="471"/>
      <c r="AUK900" s="471"/>
      <c r="AUL900" s="471"/>
      <c r="AUM900" s="471"/>
      <c r="AUN900" s="471"/>
      <c r="AUO900" s="471"/>
      <c r="AUP900" s="471"/>
      <c r="AUQ900" s="471"/>
      <c r="AUR900" s="471"/>
      <c r="AUS900" s="471"/>
      <c r="AUT900" s="471"/>
      <c r="AUU900" s="471"/>
      <c r="AUV900" s="471"/>
      <c r="AUW900" s="471"/>
      <c r="AUX900" s="471"/>
      <c r="AUY900" s="471"/>
      <c r="AUZ900" s="471"/>
      <c r="AVA900" s="471"/>
      <c r="AVB900" s="471"/>
      <c r="AVC900" s="471"/>
      <c r="AVD900" s="471"/>
      <c r="AVE900" s="471"/>
      <c r="AVF900" s="471"/>
      <c r="AVG900" s="471"/>
      <c r="AVH900" s="471"/>
      <c r="AVI900" s="471"/>
      <c r="AVJ900" s="471"/>
      <c r="AVK900" s="471"/>
    </row>
    <row r="901" spans="1:1259" s="511" customFormat="1" ht="15" customHeight="1">
      <c r="A901" s="472"/>
      <c r="B901" s="472"/>
      <c r="C901" s="472"/>
      <c r="D901" s="512" t="s">
        <v>3186</v>
      </c>
      <c r="E901" s="501"/>
      <c r="F901" s="501"/>
      <c r="G901" s="501">
        <v>2022</v>
      </c>
      <c r="H901" s="501"/>
      <c r="I901" s="496" t="s">
        <v>1676</v>
      </c>
      <c r="J901" s="502"/>
      <c r="K901" s="503" t="s">
        <v>4871</v>
      </c>
      <c r="L901" s="501" t="s">
        <v>3297</v>
      </c>
      <c r="M901" s="504">
        <v>44601</v>
      </c>
      <c r="N901" s="504">
        <v>44662</v>
      </c>
      <c r="O901" s="504"/>
      <c r="P901" s="502"/>
      <c r="Q901" s="502"/>
      <c r="R901" s="502"/>
      <c r="S901" s="501" t="s">
        <v>2379</v>
      </c>
      <c r="T901" s="501">
        <v>60</v>
      </c>
      <c r="U901" s="501"/>
      <c r="V901" s="501" t="s">
        <v>973</v>
      </c>
      <c r="W901" s="501">
        <v>400</v>
      </c>
      <c r="X901" s="505">
        <v>416</v>
      </c>
      <c r="Y901" s="491">
        <f t="shared" si="130"/>
        <v>166400</v>
      </c>
      <c r="Z901" s="506">
        <v>0.54</v>
      </c>
      <c r="AA901" s="492">
        <f t="shared" si="129"/>
        <v>89856</v>
      </c>
      <c r="AB901" s="480"/>
      <c r="AC901" s="481">
        <f t="shared" si="131"/>
        <v>0</v>
      </c>
      <c r="AD901" s="508"/>
      <c r="AE901" s="507">
        <v>3987.36</v>
      </c>
      <c r="AF901" s="493">
        <f t="shared" si="132"/>
        <v>93843.36</v>
      </c>
      <c r="AG901" s="501" t="s">
        <v>47</v>
      </c>
      <c r="AH901" s="501"/>
      <c r="AI901" s="503">
        <v>60</v>
      </c>
      <c r="AJ901" s="501" t="s">
        <v>4867</v>
      </c>
      <c r="AK901" s="509" t="s">
        <v>50</v>
      </c>
      <c r="AL901" s="501">
        <v>94534</v>
      </c>
      <c r="AM901" s="501" t="s">
        <v>52</v>
      </c>
      <c r="AN901" s="501"/>
      <c r="AO901" s="501"/>
      <c r="AP901" s="510"/>
      <c r="AQ901" s="510" t="s">
        <v>37</v>
      </c>
      <c r="AR901" s="510"/>
      <c r="AS901" s="495"/>
      <c r="AT901" s="495"/>
      <c r="AU901" s="495"/>
      <c r="AV901" s="506">
        <f t="shared" si="133"/>
        <v>0.48000000000000004</v>
      </c>
      <c r="AW901" s="471"/>
      <c r="AX901" s="471"/>
      <c r="AY901" s="471"/>
      <c r="AZ901" s="471"/>
      <c r="BA901" s="471"/>
      <c r="BB901" s="471"/>
      <c r="BC901" s="471"/>
      <c r="BD901" s="471"/>
      <c r="BE901" s="471"/>
      <c r="BF901" s="471"/>
      <c r="BG901" s="471"/>
      <c r="BH901" s="471"/>
      <c r="BI901" s="471"/>
      <c r="BJ901" s="471"/>
      <c r="BK901" s="471"/>
      <c r="BL901" s="471"/>
      <c r="BM901" s="471"/>
      <c r="BN901" s="471"/>
      <c r="BO901" s="471"/>
      <c r="BP901" s="471"/>
      <c r="BQ901" s="471"/>
      <c r="BR901" s="471"/>
      <c r="BS901" s="471"/>
      <c r="BT901" s="471"/>
      <c r="BU901" s="471"/>
      <c r="BV901" s="471"/>
      <c r="BW901" s="471"/>
      <c r="BX901" s="471"/>
      <c r="BY901" s="471"/>
      <c r="BZ901" s="471"/>
      <c r="CA901" s="471"/>
      <c r="CB901" s="471"/>
      <c r="CC901" s="471"/>
      <c r="CD901" s="471"/>
      <c r="CE901" s="471"/>
      <c r="CF901" s="471"/>
      <c r="CG901" s="471"/>
      <c r="CH901" s="471"/>
      <c r="CI901" s="471"/>
      <c r="CJ901" s="471"/>
      <c r="CK901" s="471"/>
      <c r="CL901" s="471"/>
      <c r="CM901" s="471"/>
      <c r="CN901" s="471"/>
      <c r="CO901" s="471"/>
      <c r="CP901" s="471"/>
      <c r="CQ901" s="471"/>
      <c r="CR901" s="471"/>
      <c r="CS901" s="471"/>
      <c r="CT901" s="471"/>
      <c r="CU901" s="471"/>
      <c r="CV901" s="471"/>
      <c r="CW901" s="471"/>
      <c r="CX901" s="471"/>
      <c r="CY901" s="471"/>
      <c r="CZ901" s="471"/>
      <c r="DA901" s="471"/>
      <c r="DB901" s="471"/>
      <c r="DC901" s="471"/>
      <c r="DD901" s="471"/>
      <c r="DE901" s="471"/>
      <c r="DF901" s="471"/>
      <c r="DG901" s="471"/>
      <c r="DH901" s="471"/>
      <c r="DI901" s="471"/>
      <c r="DJ901" s="471"/>
      <c r="DK901" s="471"/>
      <c r="DL901" s="471"/>
      <c r="DM901" s="471"/>
      <c r="DN901" s="471"/>
      <c r="DO901" s="471"/>
      <c r="DP901" s="471"/>
      <c r="DQ901" s="471"/>
      <c r="DR901" s="471"/>
      <c r="DS901" s="471"/>
      <c r="DT901" s="471"/>
      <c r="DU901" s="471"/>
      <c r="DV901" s="471"/>
      <c r="DW901" s="471"/>
      <c r="DX901" s="471"/>
      <c r="DY901" s="471"/>
      <c r="DZ901" s="471"/>
      <c r="EA901" s="471"/>
      <c r="EB901" s="471"/>
      <c r="EC901" s="471"/>
      <c r="ED901" s="471"/>
      <c r="EE901" s="471"/>
      <c r="EF901" s="471"/>
      <c r="EG901" s="471"/>
      <c r="EH901" s="471"/>
      <c r="EI901" s="471"/>
      <c r="EJ901" s="471"/>
      <c r="EK901" s="471"/>
      <c r="EL901" s="471"/>
      <c r="EM901" s="471"/>
      <c r="EN901" s="471"/>
      <c r="EO901" s="471"/>
      <c r="EP901" s="471"/>
      <c r="EQ901" s="471"/>
      <c r="ER901" s="471"/>
      <c r="ES901" s="471"/>
      <c r="ET901" s="471"/>
      <c r="EU901" s="471"/>
      <c r="EV901" s="471"/>
      <c r="EW901" s="471"/>
      <c r="EX901" s="471"/>
      <c r="EY901" s="471"/>
      <c r="EZ901" s="471"/>
      <c r="FA901" s="471"/>
      <c r="FB901" s="471"/>
      <c r="FC901" s="471"/>
      <c r="FD901" s="471"/>
      <c r="FE901" s="471"/>
      <c r="FF901" s="471"/>
      <c r="FG901" s="471"/>
      <c r="FH901" s="471"/>
      <c r="FI901" s="471"/>
      <c r="FJ901" s="471"/>
      <c r="FK901" s="471"/>
      <c r="FL901" s="471"/>
      <c r="FM901" s="471"/>
      <c r="FN901" s="471"/>
      <c r="FO901" s="471"/>
      <c r="FP901" s="471"/>
      <c r="FQ901" s="471"/>
      <c r="FR901" s="471"/>
      <c r="FS901" s="471"/>
      <c r="FT901" s="471"/>
      <c r="FU901" s="471"/>
      <c r="FV901" s="471"/>
      <c r="FW901" s="471"/>
      <c r="FX901" s="471"/>
      <c r="FY901" s="471"/>
      <c r="FZ901" s="471"/>
      <c r="GA901" s="471"/>
      <c r="GB901" s="471"/>
      <c r="GC901" s="471"/>
      <c r="GD901" s="471"/>
      <c r="GE901" s="471"/>
      <c r="GF901" s="471"/>
      <c r="GG901" s="471"/>
      <c r="GH901" s="471"/>
      <c r="GI901" s="471"/>
      <c r="GJ901" s="471"/>
      <c r="GK901" s="471"/>
      <c r="GL901" s="471"/>
      <c r="GM901" s="471"/>
      <c r="GN901" s="471"/>
      <c r="GO901" s="471"/>
      <c r="GP901" s="471"/>
      <c r="GQ901" s="471"/>
      <c r="GR901" s="471"/>
      <c r="GS901" s="471"/>
      <c r="GT901" s="471"/>
      <c r="GU901" s="471"/>
      <c r="GV901" s="471"/>
      <c r="GW901" s="471"/>
      <c r="GX901" s="471"/>
      <c r="GY901" s="471"/>
      <c r="GZ901" s="471"/>
      <c r="HA901" s="471"/>
      <c r="HB901" s="471"/>
      <c r="HC901" s="471"/>
      <c r="HD901" s="471"/>
      <c r="HE901" s="471"/>
      <c r="HF901" s="471"/>
      <c r="HG901" s="471"/>
      <c r="HH901" s="471"/>
      <c r="HI901" s="471"/>
      <c r="HJ901" s="471"/>
      <c r="HK901" s="471"/>
      <c r="HL901" s="471"/>
      <c r="HM901" s="471"/>
      <c r="HN901" s="471"/>
      <c r="HO901" s="471"/>
      <c r="HP901" s="471"/>
      <c r="HQ901" s="471"/>
      <c r="HR901" s="471"/>
      <c r="HS901" s="471"/>
      <c r="HT901" s="471"/>
      <c r="HU901" s="471"/>
      <c r="HV901" s="471"/>
      <c r="HW901" s="471"/>
      <c r="HX901" s="471"/>
      <c r="HY901" s="471"/>
      <c r="HZ901" s="471"/>
      <c r="IA901" s="471"/>
      <c r="IB901" s="471"/>
      <c r="IC901" s="471"/>
      <c r="ID901" s="471"/>
      <c r="IE901" s="471"/>
      <c r="IF901" s="471"/>
      <c r="IG901" s="471"/>
      <c r="IH901" s="471"/>
      <c r="II901" s="471"/>
      <c r="IJ901" s="471"/>
      <c r="IK901" s="471"/>
      <c r="IL901" s="471"/>
      <c r="IM901" s="471"/>
      <c r="IN901" s="471"/>
      <c r="IO901" s="471"/>
      <c r="IP901" s="471"/>
      <c r="IQ901" s="471"/>
      <c r="IR901" s="471"/>
      <c r="IS901" s="471"/>
      <c r="IT901" s="471"/>
      <c r="IU901" s="471"/>
      <c r="IV901" s="471"/>
      <c r="IW901" s="471"/>
      <c r="IX901" s="471"/>
      <c r="IY901" s="471"/>
      <c r="IZ901" s="471"/>
      <c r="JA901" s="471"/>
      <c r="JB901" s="471"/>
      <c r="JC901" s="471"/>
      <c r="JD901" s="471"/>
      <c r="JE901" s="471"/>
      <c r="JF901" s="471"/>
      <c r="JG901" s="471"/>
      <c r="JH901" s="471"/>
      <c r="JI901" s="471"/>
      <c r="JJ901" s="471"/>
      <c r="JK901" s="471"/>
      <c r="JL901" s="471"/>
      <c r="JM901" s="471"/>
      <c r="JN901" s="471"/>
      <c r="JO901" s="471"/>
      <c r="JP901" s="471"/>
      <c r="JQ901" s="471"/>
      <c r="JR901" s="471"/>
      <c r="JS901" s="471"/>
      <c r="JT901" s="471"/>
      <c r="JU901" s="471"/>
      <c r="JV901" s="471"/>
      <c r="JW901" s="471"/>
      <c r="JX901" s="471"/>
      <c r="JY901" s="471"/>
      <c r="JZ901" s="471"/>
      <c r="KA901" s="471"/>
      <c r="KB901" s="471"/>
      <c r="KC901" s="471"/>
      <c r="KD901" s="471"/>
      <c r="KE901" s="471"/>
      <c r="KF901" s="471"/>
      <c r="KG901" s="471"/>
      <c r="KH901" s="471"/>
      <c r="KI901" s="471"/>
      <c r="KJ901" s="471"/>
      <c r="KK901" s="471"/>
      <c r="KL901" s="471"/>
      <c r="KM901" s="471"/>
      <c r="KN901" s="471"/>
      <c r="KO901" s="471"/>
      <c r="KP901" s="471"/>
      <c r="KQ901" s="471"/>
      <c r="KR901" s="471"/>
      <c r="KS901" s="471"/>
      <c r="KT901" s="471"/>
      <c r="KU901" s="471"/>
      <c r="KV901" s="471"/>
      <c r="KW901" s="471"/>
      <c r="KX901" s="471"/>
      <c r="KY901" s="471"/>
      <c r="KZ901" s="471"/>
      <c r="LA901" s="471"/>
      <c r="LB901" s="471"/>
      <c r="LC901" s="471"/>
      <c r="LD901" s="471"/>
      <c r="LE901" s="471"/>
      <c r="LF901" s="471"/>
      <c r="LG901" s="471"/>
      <c r="LH901" s="471"/>
      <c r="LI901" s="471"/>
      <c r="LJ901" s="471"/>
      <c r="LK901" s="471"/>
      <c r="LL901" s="471"/>
      <c r="LM901" s="471"/>
      <c r="LN901" s="471"/>
      <c r="LO901" s="471"/>
      <c r="LP901" s="471"/>
      <c r="LQ901" s="471"/>
      <c r="LR901" s="471"/>
      <c r="LS901" s="471"/>
      <c r="LT901" s="471"/>
      <c r="LU901" s="471"/>
      <c r="LV901" s="471"/>
      <c r="LW901" s="471"/>
      <c r="LX901" s="471"/>
      <c r="LY901" s="471"/>
      <c r="LZ901" s="471"/>
      <c r="MA901" s="471"/>
      <c r="MB901" s="471"/>
      <c r="MC901" s="471"/>
      <c r="MD901" s="471"/>
      <c r="ME901" s="471"/>
      <c r="MF901" s="471"/>
      <c r="MG901" s="471"/>
      <c r="MH901" s="471"/>
      <c r="MI901" s="471"/>
      <c r="MJ901" s="471"/>
      <c r="MK901" s="471"/>
      <c r="ML901" s="471"/>
      <c r="MM901" s="471"/>
      <c r="MN901" s="471"/>
      <c r="MO901" s="471"/>
      <c r="MP901" s="471"/>
      <c r="MQ901" s="471"/>
      <c r="MR901" s="471"/>
      <c r="MS901" s="471"/>
      <c r="MT901" s="471"/>
      <c r="MU901" s="471"/>
      <c r="MV901" s="471"/>
      <c r="MW901" s="471"/>
      <c r="MX901" s="471"/>
      <c r="MY901" s="471"/>
      <c r="MZ901" s="471"/>
      <c r="NA901" s="471"/>
      <c r="NB901" s="471"/>
      <c r="NC901" s="471"/>
      <c r="ND901" s="471"/>
      <c r="NE901" s="471"/>
      <c r="NF901" s="471"/>
      <c r="NG901" s="471"/>
      <c r="NH901" s="471"/>
      <c r="NI901" s="471"/>
      <c r="NJ901" s="471"/>
      <c r="NK901" s="471"/>
      <c r="NL901" s="471"/>
      <c r="NM901" s="471"/>
      <c r="NN901" s="471"/>
      <c r="NO901" s="471"/>
      <c r="NP901" s="471"/>
      <c r="NQ901" s="471"/>
      <c r="NR901" s="471"/>
      <c r="NS901" s="471"/>
      <c r="NT901" s="471"/>
      <c r="NU901" s="471"/>
      <c r="NV901" s="471"/>
      <c r="NW901" s="471"/>
      <c r="NX901" s="471"/>
      <c r="NY901" s="471"/>
      <c r="NZ901" s="471"/>
      <c r="OA901" s="471"/>
      <c r="OB901" s="471"/>
      <c r="OC901" s="471"/>
      <c r="OD901" s="471"/>
      <c r="OE901" s="471"/>
      <c r="OF901" s="471"/>
      <c r="OG901" s="471"/>
      <c r="OH901" s="471"/>
      <c r="OI901" s="471"/>
      <c r="OJ901" s="471"/>
      <c r="OK901" s="471"/>
      <c r="OL901" s="471"/>
      <c r="OM901" s="471"/>
      <c r="ON901" s="471"/>
      <c r="OO901" s="471"/>
      <c r="OP901" s="471"/>
      <c r="OQ901" s="471"/>
      <c r="OR901" s="471"/>
      <c r="OS901" s="471"/>
      <c r="OT901" s="471"/>
      <c r="OU901" s="471"/>
      <c r="OV901" s="471"/>
      <c r="OW901" s="471"/>
      <c r="OX901" s="471"/>
      <c r="OY901" s="471"/>
      <c r="OZ901" s="471"/>
      <c r="PA901" s="471"/>
      <c r="PB901" s="471"/>
      <c r="PC901" s="471"/>
      <c r="PD901" s="471"/>
      <c r="PE901" s="471"/>
      <c r="PF901" s="471"/>
      <c r="PG901" s="471"/>
      <c r="PH901" s="471"/>
      <c r="PI901" s="471"/>
      <c r="PJ901" s="471"/>
      <c r="PK901" s="471"/>
      <c r="PL901" s="471"/>
      <c r="PM901" s="471"/>
      <c r="PN901" s="471"/>
      <c r="PO901" s="471"/>
      <c r="PP901" s="471"/>
      <c r="PQ901" s="471"/>
      <c r="PR901" s="471"/>
      <c r="PS901" s="471"/>
      <c r="PT901" s="471"/>
      <c r="PU901" s="471"/>
      <c r="PV901" s="471"/>
      <c r="PW901" s="471"/>
      <c r="PX901" s="471"/>
      <c r="PY901" s="471"/>
      <c r="PZ901" s="471"/>
      <c r="QA901" s="471"/>
      <c r="QB901" s="471"/>
      <c r="QC901" s="471"/>
      <c r="QD901" s="471"/>
      <c r="QE901" s="471"/>
      <c r="QF901" s="471"/>
      <c r="QG901" s="471"/>
      <c r="QH901" s="471"/>
      <c r="QI901" s="471"/>
      <c r="QJ901" s="471"/>
      <c r="QK901" s="471"/>
      <c r="QL901" s="471"/>
      <c r="QM901" s="471"/>
      <c r="QN901" s="471"/>
      <c r="QO901" s="471"/>
      <c r="QP901" s="471"/>
      <c r="QQ901" s="471"/>
      <c r="QR901" s="471"/>
      <c r="QS901" s="471"/>
      <c r="QT901" s="471"/>
      <c r="QU901" s="471"/>
      <c r="QV901" s="471"/>
      <c r="QW901" s="471"/>
      <c r="QX901" s="471"/>
      <c r="QY901" s="471"/>
      <c r="QZ901" s="471"/>
      <c r="RA901" s="471"/>
      <c r="RB901" s="471"/>
      <c r="RC901" s="471"/>
      <c r="RD901" s="471"/>
      <c r="RE901" s="471"/>
      <c r="RF901" s="471"/>
      <c r="RG901" s="471"/>
      <c r="RH901" s="471"/>
      <c r="RI901" s="471"/>
      <c r="RJ901" s="471"/>
      <c r="RK901" s="471"/>
      <c r="RL901" s="471"/>
      <c r="RM901" s="471"/>
      <c r="RN901" s="471"/>
      <c r="RO901" s="471"/>
      <c r="RP901" s="471"/>
      <c r="RQ901" s="471"/>
      <c r="RR901" s="471"/>
      <c r="RS901" s="471"/>
      <c r="RT901" s="471"/>
      <c r="RU901" s="471"/>
      <c r="RV901" s="471"/>
      <c r="RW901" s="471"/>
      <c r="RX901" s="471"/>
      <c r="RY901" s="471"/>
      <c r="RZ901" s="471"/>
      <c r="SA901" s="471"/>
      <c r="SB901" s="471"/>
      <c r="SC901" s="471"/>
      <c r="SD901" s="471"/>
      <c r="SE901" s="471"/>
      <c r="SF901" s="471"/>
      <c r="SG901" s="471"/>
      <c r="SH901" s="471"/>
      <c r="SI901" s="471"/>
      <c r="SJ901" s="471"/>
      <c r="SK901" s="471"/>
      <c r="SL901" s="471"/>
      <c r="SM901" s="471"/>
      <c r="SN901" s="471"/>
      <c r="SO901" s="471"/>
      <c r="SP901" s="471"/>
      <c r="SQ901" s="471"/>
      <c r="SR901" s="471"/>
      <c r="SS901" s="471"/>
      <c r="ST901" s="471"/>
      <c r="SU901" s="471"/>
      <c r="SV901" s="471"/>
      <c r="SW901" s="471"/>
      <c r="SX901" s="471"/>
      <c r="SY901" s="471"/>
      <c r="SZ901" s="471"/>
      <c r="TA901" s="471"/>
      <c r="TB901" s="471"/>
      <c r="TC901" s="471"/>
      <c r="TD901" s="471"/>
      <c r="TE901" s="471"/>
      <c r="TF901" s="471"/>
      <c r="TG901" s="471"/>
      <c r="TH901" s="471"/>
      <c r="TI901" s="471"/>
      <c r="TJ901" s="471"/>
      <c r="TK901" s="471"/>
      <c r="TL901" s="471"/>
      <c r="TM901" s="471"/>
      <c r="TN901" s="471"/>
      <c r="TO901" s="471"/>
      <c r="TP901" s="471"/>
      <c r="TQ901" s="471"/>
      <c r="TR901" s="471"/>
      <c r="TS901" s="471"/>
      <c r="TT901" s="471"/>
      <c r="TU901" s="471"/>
      <c r="TV901" s="471"/>
      <c r="TW901" s="471"/>
      <c r="TX901" s="471"/>
      <c r="TY901" s="471"/>
      <c r="TZ901" s="471"/>
      <c r="UA901" s="471"/>
      <c r="UB901" s="471"/>
      <c r="UC901" s="471"/>
      <c r="UD901" s="471"/>
      <c r="UE901" s="471"/>
      <c r="UF901" s="471"/>
      <c r="UG901" s="471"/>
      <c r="UH901" s="471"/>
      <c r="UI901" s="471"/>
      <c r="UJ901" s="471"/>
      <c r="UK901" s="471"/>
      <c r="UL901" s="471"/>
      <c r="UM901" s="471"/>
      <c r="UN901" s="471"/>
      <c r="UO901" s="471"/>
      <c r="UP901" s="471"/>
      <c r="UQ901" s="471"/>
      <c r="UR901" s="471"/>
      <c r="US901" s="471"/>
      <c r="UT901" s="471"/>
      <c r="UU901" s="471"/>
      <c r="UV901" s="471"/>
      <c r="UW901" s="471"/>
      <c r="UX901" s="471"/>
      <c r="UY901" s="471"/>
      <c r="UZ901" s="471"/>
      <c r="VA901" s="471"/>
      <c r="VB901" s="471"/>
      <c r="VC901" s="471"/>
      <c r="VD901" s="471"/>
      <c r="VE901" s="471"/>
      <c r="VF901" s="471"/>
      <c r="VG901" s="471"/>
      <c r="VH901" s="471"/>
      <c r="VI901" s="471"/>
      <c r="VJ901" s="471"/>
      <c r="VK901" s="471"/>
      <c r="VL901" s="471"/>
      <c r="VM901" s="471"/>
      <c r="VN901" s="471"/>
      <c r="VO901" s="471"/>
      <c r="VP901" s="471"/>
      <c r="VQ901" s="471"/>
      <c r="VR901" s="471"/>
      <c r="VS901" s="471"/>
      <c r="VT901" s="471"/>
      <c r="VU901" s="471"/>
      <c r="VV901" s="471"/>
      <c r="VW901" s="471"/>
      <c r="VX901" s="471"/>
      <c r="VY901" s="471"/>
      <c r="VZ901" s="471"/>
      <c r="WA901" s="471"/>
      <c r="WB901" s="471"/>
      <c r="WC901" s="471"/>
      <c r="WD901" s="471"/>
      <c r="WE901" s="471"/>
      <c r="WF901" s="471"/>
      <c r="WG901" s="471"/>
      <c r="WH901" s="471"/>
      <c r="WI901" s="471"/>
      <c r="WJ901" s="471"/>
      <c r="WK901" s="471"/>
      <c r="WL901" s="471"/>
      <c r="WM901" s="471"/>
      <c r="WN901" s="471"/>
      <c r="WO901" s="471"/>
      <c r="WP901" s="471"/>
      <c r="WQ901" s="471"/>
      <c r="WR901" s="471"/>
      <c r="WS901" s="471"/>
      <c r="WT901" s="471"/>
      <c r="WU901" s="471"/>
      <c r="WV901" s="471"/>
      <c r="WW901" s="471"/>
      <c r="WX901" s="471"/>
      <c r="WY901" s="471"/>
      <c r="WZ901" s="471"/>
      <c r="XA901" s="471"/>
      <c r="XB901" s="471"/>
      <c r="XC901" s="471"/>
      <c r="XD901" s="471"/>
      <c r="XE901" s="471"/>
      <c r="XF901" s="471"/>
      <c r="XG901" s="471"/>
      <c r="XH901" s="471"/>
      <c r="XI901" s="471"/>
      <c r="XJ901" s="471"/>
      <c r="XK901" s="471"/>
      <c r="XL901" s="471"/>
      <c r="XM901" s="471"/>
      <c r="XN901" s="471"/>
      <c r="XO901" s="471"/>
      <c r="XP901" s="471"/>
      <c r="XQ901" s="471"/>
      <c r="XR901" s="471"/>
      <c r="XS901" s="471"/>
      <c r="XT901" s="471"/>
      <c r="XU901" s="471"/>
      <c r="XV901" s="471"/>
      <c r="XW901" s="471"/>
      <c r="XX901" s="471"/>
      <c r="XY901" s="471"/>
      <c r="XZ901" s="471"/>
      <c r="YA901" s="471"/>
      <c r="YB901" s="471"/>
      <c r="YC901" s="471"/>
      <c r="YD901" s="471"/>
      <c r="YE901" s="471"/>
      <c r="YF901" s="471"/>
      <c r="YG901" s="471"/>
      <c r="YH901" s="471"/>
      <c r="YI901" s="471"/>
      <c r="YJ901" s="471"/>
      <c r="YK901" s="471"/>
      <c r="YL901" s="471"/>
      <c r="YM901" s="471"/>
      <c r="YN901" s="471"/>
      <c r="YO901" s="471"/>
      <c r="YP901" s="471"/>
      <c r="YQ901" s="471"/>
      <c r="YR901" s="471"/>
      <c r="YS901" s="471"/>
      <c r="YT901" s="471"/>
      <c r="YU901" s="471"/>
      <c r="YV901" s="471"/>
      <c r="YW901" s="471"/>
      <c r="YX901" s="471"/>
      <c r="YY901" s="471"/>
      <c r="YZ901" s="471"/>
      <c r="ZA901" s="471"/>
      <c r="ZB901" s="471"/>
      <c r="ZC901" s="471"/>
      <c r="ZD901" s="471"/>
      <c r="ZE901" s="471"/>
      <c r="ZF901" s="471"/>
      <c r="ZG901" s="471"/>
      <c r="ZH901" s="471"/>
      <c r="ZI901" s="471"/>
      <c r="ZJ901" s="471"/>
      <c r="ZK901" s="471"/>
      <c r="ZL901" s="471"/>
      <c r="ZM901" s="471"/>
      <c r="ZN901" s="471"/>
      <c r="ZO901" s="471"/>
      <c r="ZP901" s="471"/>
      <c r="ZQ901" s="471"/>
      <c r="ZR901" s="471"/>
      <c r="ZS901" s="471"/>
      <c r="ZT901" s="471"/>
      <c r="ZU901" s="471"/>
      <c r="ZV901" s="471"/>
      <c r="ZW901" s="471"/>
      <c r="ZX901" s="471"/>
      <c r="ZY901" s="471"/>
      <c r="ZZ901" s="471"/>
      <c r="AAA901" s="471"/>
      <c r="AAB901" s="471"/>
      <c r="AAC901" s="471"/>
      <c r="AAD901" s="471"/>
      <c r="AAE901" s="471"/>
      <c r="AAF901" s="471"/>
      <c r="AAG901" s="471"/>
      <c r="AAH901" s="471"/>
      <c r="AAI901" s="471"/>
      <c r="AAJ901" s="471"/>
      <c r="AAK901" s="471"/>
      <c r="AAL901" s="471"/>
      <c r="AAM901" s="471"/>
      <c r="AAN901" s="471"/>
      <c r="AAO901" s="471"/>
      <c r="AAP901" s="471"/>
      <c r="AAQ901" s="471"/>
      <c r="AAR901" s="471"/>
      <c r="AAS901" s="471"/>
      <c r="AAT901" s="471"/>
      <c r="AAU901" s="471"/>
      <c r="AAV901" s="471"/>
      <c r="AAW901" s="471"/>
      <c r="AAX901" s="471"/>
      <c r="AAY901" s="471"/>
      <c r="AAZ901" s="471"/>
      <c r="ABA901" s="471"/>
      <c r="ABB901" s="471"/>
      <c r="ABC901" s="471"/>
      <c r="ABD901" s="471"/>
      <c r="ABE901" s="471"/>
      <c r="ABF901" s="471"/>
      <c r="ABG901" s="471"/>
      <c r="ABH901" s="471"/>
      <c r="ABI901" s="471"/>
      <c r="ABJ901" s="471"/>
      <c r="ABK901" s="471"/>
      <c r="ABL901" s="471"/>
      <c r="ABM901" s="471"/>
      <c r="ABN901" s="471"/>
      <c r="ABO901" s="471"/>
      <c r="ABP901" s="471"/>
      <c r="ABQ901" s="471"/>
      <c r="ABR901" s="471"/>
      <c r="ABS901" s="471"/>
      <c r="ABT901" s="471"/>
      <c r="ABU901" s="471"/>
      <c r="ABV901" s="471"/>
      <c r="ABW901" s="471"/>
      <c r="ABX901" s="471"/>
      <c r="ABY901" s="471"/>
      <c r="ABZ901" s="471"/>
      <c r="ACA901" s="471"/>
      <c r="ACB901" s="471"/>
      <c r="ACC901" s="471"/>
      <c r="ACD901" s="471"/>
      <c r="ACE901" s="471"/>
      <c r="ACF901" s="471"/>
      <c r="ACG901" s="471"/>
      <c r="ACH901" s="471"/>
      <c r="ACI901" s="471"/>
      <c r="ACJ901" s="471"/>
      <c r="ACK901" s="471"/>
      <c r="ACL901" s="471"/>
      <c r="ACM901" s="471"/>
      <c r="ACN901" s="471"/>
      <c r="ACO901" s="471"/>
      <c r="ACP901" s="471"/>
      <c r="ACQ901" s="471"/>
      <c r="ACR901" s="471"/>
      <c r="ACS901" s="471"/>
      <c r="ACT901" s="471"/>
      <c r="ACU901" s="471"/>
      <c r="ACV901" s="471"/>
      <c r="ACW901" s="471"/>
      <c r="ACX901" s="471"/>
      <c r="ACY901" s="471"/>
      <c r="ACZ901" s="471"/>
      <c r="ADA901" s="471"/>
      <c r="ADB901" s="471"/>
      <c r="ADC901" s="471"/>
      <c r="ADD901" s="471"/>
      <c r="ADE901" s="471"/>
      <c r="ADF901" s="471"/>
      <c r="ADG901" s="471"/>
      <c r="ADH901" s="471"/>
      <c r="ADI901" s="471"/>
      <c r="ADJ901" s="471"/>
      <c r="ADK901" s="471"/>
      <c r="ADL901" s="471"/>
      <c r="ADM901" s="471"/>
      <c r="ADN901" s="471"/>
      <c r="ADO901" s="471"/>
      <c r="ADP901" s="471"/>
      <c r="ADQ901" s="471"/>
      <c r="ADR901" s="471"/>
      <c r="ADS901" s="471"/>
      <c r="ADT901" s="471"/>
      <c r="ADU901" s="471"/>
      <c r="ADV901" s="471"/>
      <c r="ADW901" s="471"/>
      <c r="ADX901" s="471"/>
      <c r="ADY901" s="471"/>
      <c r="ADZ901" s="471"/>
      <c r="AEA901" s="471"/>
      <c r="AEB901" s="471"/>
      <c r="AEC901" s="471"/>
      <c r="AED901" s="471"/>
      <c r="AEE901" s="471"/>
      <c r="AEF901" s="471"/>
      <c r="AEG901" s="471"/>
      <c r="AEH901" s="471"/>
      <c r="AEI901" s="471"/>
      <c r="AEJ901" s="471"/>
      <c r="AEK901" s="471"/>
      <c r="AEL901" s="471"/>
      <c r="AEM901" s="471"/>
      <c r="AEN901" s="471"/>
      <c r="AEO901" s="471"/>
      <c r="AEP901" s="471"/>
      <c r="AEQ901" s="471"/>
      <c r="AER901" s="471"/>
      <c r="AES901" s="471"/>
      <c r="AET901" s="471"/>
      <c r="AEU901" s="471"/>
      <c r="AEV901" s="471"/>
      <c r="AEW901" s="471"/>
      <c r="AEX901" s="471"/>
      <c r="AEY901" s="471"/>
      <c r="AEZ901" s="471"/>
      <c r="AFA901" s="471"/>
      <c r="AFB901" s="471"/>
      <c r="AFC901" s="471"/>
      <c r="AFD901" s="471"/>
      <c r="AFE901" s="471"/>
      <c r="AFF901" s="471"/>
      <c r="AFG901" s="471"/>
      <c r="AFH901" s="471"/>
      <c r="AFI901" s="471"/>
      <c r="AFJ901" s="471"/>
      <c r="AFK901" s="471"/>
      <c r="AFL901" s="471"/>
      <c r="AFM901" s="471"/>
      <c r="AFN901" s="471"/>
      <c r="AFO901" s="471"/>
      <c r="AFP901" s="471"/>
      <c r="AFQ901" s="471"/>
      <c r="AFR901" s="471"/>
      <c r="AFS901" s="471"/>
      <c r="AFT901" s="471"/>
      <c r="AFU901" s="471"/>
      <c r="AFV901" s="471"/>
      <c r="AFW901" s="471"/>
      <c r="AFX901" s="471"/>
      <c r="AFY901" s="471"/>
      <c r="AFZ901" s="471"/>
      <c r="AGA901" s="471"/>
      <c r="AGB901" s="471"/>
      <c r="AGC901" s="471"/>
      <c r="AGD901" s="471"/>
      <c r="AGE901" s="471"/>
      <c r="AGF901" s="471"/>
      <c r="AGG901" s="471"/>
      <c r="AGH901" s="471"/>
      <c r="AGI901" s="471"/>
      <c r="AGJ901" s="471"/>
      <c r="AGK901" s="471"/>
      <c r="AGL901" s="471"/>
      <c r="AGM901" s="471"/>
      <c r="AGN901" s="471"/>
      <c r="AGO901" s="471"/>
      <c r="AGP901" s="471"/>
      <c r="AGQ901" s="471"/>
      <c r="AGR901" s="471"/>
      <c r="AGS901" s="471"/>
      <c r="AGT901" s="471"/>
      <c r="AGU901" s="471"/>
      <c r="AGV901" s="471"/>
      <c r="AGW901" s="471"/>
      <c r="AGX901" s="471"/>
      <c r="AGY901" s="471"/>
      <c r="AGZ901" s="471"/>
      <c r="AHA901" s="471"/>
      <c r="AHB901" s="471"/>
      <c r="AHC901" s="471"/>
      <c r="AHD901" s="471"/>
      <c r="AHE901" s="471"/>
      <c r="AHF901" s="471"/>
      <c r="AHG901" s="471"/>
      <c r="AHH901" s="471"/>
      <c r="AHI901" s="471"/>
      <c r="AHJ901" s="471"/>
      <c r="AHK901" s="471"/>
      <c r="AHL901" s="471"/>
      <c r="AHM901" s="471"/>
      <c r="AHN901" s="471"/>
      <c r="AHO901" s="471"/>
      <c r="AHP901" s="471"/>
      <c r="AHQ901" s="471"/>
      <c r="AHR901" s="471"/>
      <c r="AHS901" s="471"/>
      <c r="AHT901" s="471"/>
      <c r="AHU901" s="471"/>
      <c r="AHV901" s="471"/>
      <c r="AHW901" s="471"/>
      <c r="AHX901" s="471"/>
      <c r="AHY901" s="471"/>
      <c r="AHZ901" s="471"/>
      <c r="AIA901" s="471"/>
      <c r="AIB901" s="471"/>
      <c r="AIC901" s="471"/>
      <c r="AID901" s="471"/>
      <c r="AIE901" s="471"/>
      <c r="AIF901" s="471"/>
      <c r="AIG901" s="471"/>
      <c r="AIH901" s="471"/>
      <c r="AII901" s="471"/>
      <c r="AIJ901" s="471"/>
      <c r="AIK901" s="471"/>
      <c r="AIL901" s="471"/>
      <c r="AIM901" s="471"/>
      <c r="AIN901" s="471"/>
      <c r="AIO901" s="471"/>
      <c r="AIP901" s="471"/>
      <c r="AIQ901" s="471"/>
      <c r="AIR901" s="471"/>
      <c r="AIS901" s="471"/>
      <c r="AIT901" s="471"/>
      <c r="AIU901" s="471"/>
      <c r="AIV901" s="471"/>
      <c r="AIW901" s="471"/>
      <c r="AIX901" s="471"/>
      <c r="AIY901" s="471"/>
      <c r="AIZ901" s="471"/>
      <c r="AJA901" s="471"/>
      <c r="AJB901" s="471"/>
      <c r="AJC901" s="471"/>
      <c r="AJD901" s="471"/>
      <c r="AJE901" s="471"/>
      <c r="AJF901" s="471"/>
      <c r="AJG901" s="471"/>
      <c r="AJH901" s="471"/>
      <c r="AJI901" s="471"/>
      <c r="AJJ901" s="471"/>
      <c r="AJK901" s="471"/>
      <c r="AJL901" s="471"/>
      <c r="AJM901" s="471"/>
      <c r="AJN901" s="471"/>
      <c r="AJO901" s="471"/>
      <c r="AJP901" s="471"/>
      <c r="AJQ901" s="471"/>
      <c r="AJR901" s="471"/>
      <c r="AJS901" s="471"/>
      <c r="AJT901" s="471"/>
      <c r="AJU901" s="471"/>
      <c r="AJV901" s="471"/>
      <c r="AJW901" s="471"/>
      <c r="AJX901" s="471"/>
      <c r="AJY901" s="471"/>
      <c r="AJZ901" s="471"/>
      <c r="AKA901" s="471"/>
      <c r="AKB901" s="471"/>
      <c r="AKC901" s="471"/>
      <c r="AKD901" s="471"/>
      <c r="AKE901" s="471"/>
      <c r="AKF901" s="471"/>
      <c r="AKG901" s="471"/>
      <c r="AKH901" s="471"/>
      <c r="AKI901" s="471"/>
      <c r="AKJ901" s="471"/>
      <c r="AKK901" s="471"/>
      <c r="AKL901" s="471"/>
      <c r="AKM901" s="471"/>
      <c r="AKN901" s="471"/>
      <c r="AKO901" s="471"/>
      <c r="AKP901" s="471"/>
      <c r="AKQ901" s="471"/>
      <c r="AKR901" s="471"/>
      <c r="AKS901" s="471"/>
      <c r="AKT901" s="471"/>
      <c r="AKU901" s="471"/>
      <c r="AKV901" s="471"/>
      <c r="AKW901" s="471"/>
      <c r="AKX901" s="471"/>
      <c r="AKY901" s="471"/>
      <c r="AKZ901" s="471"/>
      <c r="ALA901" s="471"/>
      <c r="ALB901" s="471"/>
      <c r="ALC901" s="471"/>
      <c r="ALD901" s="471"/>
      <c r="ALE901" s="471"/>
      <c r="ALF901" s="471"/>
      <c r="ALG901" s="471"/>
      <c r="ALH901" s="471"/>
      <c r="ALI901" s="471"/>
      <c r="ALJ901" s="471"/>
      <c r="ALK901" s="471"/>
      <c r="ALL901" s="471"/>
      <c r="ALM901" s="471"/>
      <c r="ALN901" s="471"/>
      <c r="ALO901" s="471"/>
      <c r="ALP901" s="471"/>
      <c r="ALQ901" s="471"/>
      <c r="ALR901" s="471"/>
      <c r="ALS901" s="471"/>
      <c r="ALT901" s="471"/>
      <c r="ALU901" s="471"/>
      <c r="ALV901" s="471"/>
      <c r="ALW901" s="471"/>
      <c r="ALX901" s="471"/>
      <c r="ALY901" s="471"/>
      <c r="ALZ901" s="471"/>
      <c r="AMA901" s="471"/>
      <c r="AMB901" s="471"/>
      <c r="AMC901" s="471"/>
      <c r="AMD901" s="471"/>
      <c r="AME901" s="471"/>
      <c r="AMF901" s="471"/>
      <c r="AMG901" s="471"/>
      <c r="AMH901" s="471"/>
      <c r="AMI901" s="471"/>
      <c r="AMJ901" s="471"/>
      <c r="AMK901" s="471"/>
      <c r="AML901" s="471"/>
      <c r="AMM901" s="471"/>
      <c r="AMN901" s="471"/>
      <c r="AMO901" s="471"/>
      <c r="AMP901" s="471"/>
      <c r="AMQ901" s="471"/>
      <c r="AMR901" s="471"/>
      <c r="AMS901" s="471"/>
      <c r="AMT901" s="471"/>
      <c r="AMU901" s="471"/>
      <c r="AMV901" s="471"/>
      <c r="AMW901" s="471"/>
      <c r="AMX901" s="471"/>
      <c r="AMY901" s="471"/>
      <c r="AMZ901" s="471"/>
      <c r="ANA901" s="471"/>
      <c r="ANB901" s="471"/>
      <c r="ANC901" s="471"/>
      <c r="AND901" s="471"/>
      <c r="ANE901" s="471"/>
      <c r="ANF901" s="471"/>
      <c r="ANG901" s="471"/>
      <c r="ANH901" s="471"/>
      <c r="ANI901" s="471"/>
      <c r="ANJ901" s="471"/>
      <c r="ANK901" s="471"/>
      <c r="ANL901" s="471"/>
      <c r="ANM901" s="471"/>
      <c r="ANN901" s="471"/>
      <c r="ANO901" s="471"/>
      <c r="ANP901" s="471"/>
      <c r="ANQ901" s="471"/>
      <c r="ANR901" s="471"/>
      <c r="ANS901" s="471"/>
      <c r="ANT901" s="471"/>
      <c r="ANU901" s="471"/>
      <c r="ANV901" s="471"/>
      <c r="ANW901" s="471"/>
      <c r="ANX901" s="471"/>
      <c r="ANY901" s="471"/>
      <c r="ANZ901" s="471"/>
      <c r="AOA901" s="471"/>
      <c r="AOB901" s="471"/>
      <c r="AOC901" s="471"/>
      <c r="AOD901" s="471"/>
      <c r="AOE901" s="471"/>
      <c r="AOF901" s="471"/>
      <c r="AOG901" s="471"/>
      <c r="AOH901" s="471"/>
      <c r="AOI901" s="471"/>
      <c r="AOJ901" s="471"/>
      <c r="AOK901" s="471"/>
      <c r="AOL901" s="471"/>
      <c r="AOM901" s="471"/>
      <c r="AON901" s="471"/>
      <c r="AOO901" s="471"/>
      <c r="AOP901" s="471"/>
      <c r="AOQ901" s="471"/>
      <c r="AOR901" s="471"/>
      <c r="AOS901" s="471"/>
      <c r="AOT901" s="471"/>
      <c r="AOU901" s="471"/>
      <c r="AOV901" s="471"/>
      <c r="AOW901" s="471"/>
      <c r="AOX901" s="471"/>
      <c r="AOY901" s="471"/>
      <c r="AOZ901" s="471"/>
      <c r="APA901" s="471"/>
      <c r="APB901" s="471"/>
      <c r="APC901" s="471"/>
      <c r="APD901" s="471"/>
      <c r="APE901" s="471"/>
      <c r="APF901" s="471"/>
      <c r="APG901" s="471"/>
      <c r="APH901" s="471"/>
      <c r="API901" s="471"/>
      <c r="APJ901" s="471"/>
      <c r="APK901" s="471"/>
      <c r="APL901" s="471"/>
      <c r="APM901" s="471"/>
      <c r="APN901" s="471"/>
      <c r="APO901" s="471"/>
      <c r="APP901" s="471"/>
      <c r="APQ901" s="471"/>
      <c r="APR901" s="471"/>
      <c r="APS901" s="471"/>
      <c r="APT901" s="471"/>
      <c r="APU901" s="471"/>
      <c r="APV901" s="471"/>
      <c r="APW901" s="471"/>
      <c r="APX901" s="471"/>
      <c r="APY901" s="471"/>
      <c r="APZ901" s="471"/>
      <c r="AQA901" s="471"/>
      <c r="AQB901" s="471"/>
      <c r="AQC901" s="471"/>
      <c r="AQD901" s="471"/>
      <c r="AQE901" s="471"/>
      <c r="AQF901" s="471"/>
      <c r="AQG901" s="471"/>
      <c r="AQH901" s="471"/>
      <c r="AQI901" s="471"/>
      <c r="AQJ901" s="471"/>
      <c r="AQK901" s="471"/>
      <c r="AQL901" s="471"/>
      <c r="AQM901" s="471"/>
      <c r="AQN901" s="471"/>
      <c r="AQO901" s="471"/>
      <c r="AQP901" s="471"/>
      <c r="AQQ901" s="471"/>
      <c r="AQR901" s="471"/>
      <c r="AQS901" s="471"/>
      <c r="AQT901" s="471"/>
      <c r="AQU901" s="471"/>
      <c r="AQV901" s="471"/>
      <c r="AQW901" s="471"/>
      <c r="AQX901" s="471"/>
      <c r="AQY901" s="471"/>
      <c r="AQZ901" s="471"/>
      <c r="ARA901" s="471"/>
      <c r="ARB901" s="471"/>
      <c r="ARC901" s="471"/>
      <c r="ARD901" s="471"/>
      <c r="ARE901" s="471"/>
      <c r="ARF901" s="471"/>
      <c r="ARG901" s="471"/>
      <c r="ARH901" s="471"/>
      <c r="ARI901" s="471"/>
      <c r="ARJ901" s="471"/>
      <c r="ARK901" s="471"/>
      <c r="ARL901" s="471"/>
      <c r="ARM901" s="471"/>
      <c r="ARN901" s="471"/>
      <c r="ARO901" s="471"/>
      <c r="ARP901" s="471"/>
      <c r="ARQ901" s="471"/>
      <c r="ARR901" s="471"/>
      <c r="ARS901" s="471"/>
      <c r="ART901" s="471"/>
      <c r="ARU901" s="471"/>
      <c r="ARV901" s="471"/>
      <c r="ARW901" s="471"/>
      <c r="ARX901" s="471"/>
      <c r="ARY901" s="471"/>
      <c r="ARZ901" s="471"/>
      <c r="ASA901" s="471"/>
      <c r="ASB901" s="471"/>
      <c r="ASC901" s="471"/>
      <c r="ASD901" s="471"/>
      <c r="ASE901" s="471"/>
      <c r="ASF901" s="471"/>
      <c r="ASG901" s="471"/>
      <c r="ASH901" s="471"/>
      <c r="ASI901" s="471"/>
      <c r="ASJ901" s="471"/>
      <c r="ASK901" s="471"/>
      <c r="ASL901" s="471"/>
      <c r="ASM901" s="471"/>
      <c r="ASN901" s="471"/>
      <c r="ASO901" s="471"/>
      <c r="ASP901" s="471"/>
      <c r="ASQ901" s="471"/>
      <c r="ASR901" s="471"/>
      <c r="ASS901" s="471"/>
      <c r="AST901" s="471"/>
      <c r="ASU901" s="471"/>
      <c r="ASV901" s="471"/>
      <c r="ASW901" s="471"/>
      <c r="ASX901" s="471"/>
      <c r="ASY901" s="471"/>
      <c r="ASZ901" s="471"/>
      <c r="ATA901" s="471"/>
      <c r="ATB901" s="471"/>
      <c r="ATC901" s="471"/>
      <c r="ATD901" s="471"/>
      <c r="ATE901" s="471"/>
      <c r="ATF901" s="471"/>
      <c r="ATG901" s="471"/>
      <c r="ATH901" s="471"/>
      <c r="ATI901" s="471"/>
      <c r="ATJ901" s="471"/>
      <c r="ATK901" s="471"/>
      <c r="ATL901" s="471"/>
      <c r="ATM901" s="471"/>
      <c r="ATN901" s="471"/>
      <c r="ATO901" s="471"/>
      <c r="ATP901" s="471"/>
      <c r="ATQ901" s="471"/>
      <c r="ATR901" s="471"/>
      <c r="ATS901" s="471"/>
      <c r="ATT901" s="471"/>
      <c r="ATU901" s="471"/>
      <c r="ATV901" s="471"/>
      <c r="ATW901" s="471"/>
      <c r="ATX901" s="471"/>
      <c r="ATY901" s="471"/>
      <c r="ATZ901" s="471"/>
      <c r="AUA901" s="471"/>
      <c r="AUB901" s="471"/>
      <c r="AUC901" s="471"/>
      <c r="AUD901" s="471"/>
      <c r="AUE901" s="471"/>
      <c r="AUF901" s="471"/>
      <c r="AUG901" s="471"/>
      <c r="AUH901" s="471"/>
      <c r="AUI901" s="471"/>
      <c r="AUJ901" s="471"/>
      <c r="AUK901" s="471"/>
      <c r="AUL901" s="471"/>
      <c r="AUM901" s="471"/>
      <c r="AUN901" s="471"/>
      <c r="AUO901" s="471"/>
      <c r="AUP901" s="471"/>
      <c r="AUQ901" s="471"/>
      <c r="AUR901" s="471"/>
      <c r="AUS901" s="471"/>
      <c r="AUT901" s="471"/>
      <c r="AUU901" s="471"/>
      <c r="AUV901" s="471"/>
      <c r="AUW901" s="471"/>
      <c r="AUX901" s="471"/>
      <c r="AUY901" s="471"/>
      <c r="AUZ901" s="471"/>
      <c r="AVA901" s="471"/>
      <c r="AVB901" s="471"/>
      <c r="AVC901" s="471"/>
      <c r="AVD901" s="471"/>
      <c r="AVE901" s="471"/>
      <c r="AVF901" s="471"/>
      <c r="AVG901" s="471"/>
      <c r="AVH901" s="471"/>
      <c r="AVI901" s="471"/>
      <c r="AVJ901" s="471"/>
      <c r="AVK901" s="471"/>
    </row>
    <row r="902" spans="1:1259" s="511" customFormat="1" ht="15" customHeight="1">
      <c r="A902" s="472"/>
      <c r="B902" s="472"/>
      <c r="C902" s="472"/>
      <c r="D902" s="512" t="s">
        <v>3186</v>
      </c>
      <c r="E902" s="501"/>
      <c r="F902" s="501"/>
      <c r="G902" s="501">
        <v>2022</v>
      </c>
      <c r="H902" s="501"/>
      <c r="I902" s="496" t="s">
        <v>1676</v>
      </c>
      <c r="J902" s="502"/>
      <c r="K902" s="503" t="s">
        <v>4872</v>
      </c>
      <c r="L902" s="501" t="s">
        <v>3297</v>
      </c>
      <c r="M902" s="504">
        <v>44601</v>
      </c>
      <c r="N902" s="504">
        <v>44669</v>
      </c>
      <c r="O902" s="504"/>
      <c r="P902" s="502"/>
      <c r="Q902" s="502"/>
      <c r="R902" s="502"/>
      <c r="S902" s="501" t="s">
        <v>2379</v>
      </c>
      <c r="T902" s="501">
        <v>60</v>
      </c>
      <c r="U902" s="501"/>
      <c r="V902" s="501" t="s">
        <v>973</v>
      </c>
      <c r="W902" s="501">
        <v>400</v>
      </c>
      <c r="X902" s="505">
        <v>416</v>
      </c>
      <c r="Y902" s="491">
        <f t="shared" si="130"/>
        <v>166400</v>
      </c>
      <c r="Z902" s="506">
        <v>0.54</v>
      </c>
      <c r="AA902" s="492">
        <f t="shared" ref="AA902:AA980" si="134">Z902*Y902</f>
        <v>89856</v>
      </c>
      <c r="AB902" s="480"/>
      <c r="AC902" s="481">
        <f t="shared" si="131"/>
        <v>0</v>
      </c>
      <c r="AD902" s="508"/>
      <c r="AE902" s="507">
        <v>3987.36</v>
      </c>
      <c r="AF902" s="493">
        <f t="shared" si="132"/>
        <v>93843.36</v>
      </c>
      <c r="AG902" s="501" t="s">
        <v>47</v>
      </c>
      <c r="AH902" s="501"/>
      <c r="AI902" s="503">
        <v>60</v>
      </c>
      <c r="AJ902" s="501" t="s">
        <v>4867</v>
      </c>
      <c r="AK902" s="509" t="s">
        <v>50</v>
      </c>
      <c r="AL902" s="501">
        <v>94534</v>
      </c>
      <c r="AM902" s="501" t="s">
        <v>52</v>
      </c>
      <c r="AN902" s="501"/>
      <c r="AO902" s="501"/>
      <c r="AP902" s="510"/>
      <c r="AQ902" s="510" t="s">
        <v>37</v>
      </c>
      <c r="AR902" s="510"/>
      <c r="AS902" s="495"/>
      <c r="AT902" s="495"/>
      <c r="AU902" s="495"/>
      <c r="AV902" s="506">
        <f t="shared" si="133"/>
        <v>0.48000000000000004</v>
      </c>
      <c r="AW902" s="471"/>
      <c r="AX902" s="471"/>
      <c r="AY902" s="471"/>
      <c r="AZ902" s="471"/>
      <c r="BA902" s="471"/>
      <c r="BB902" s="471"/>
      <c r="BC902" s="471"/>
      <c r="BD902" s="471"/>
      <c r="BE902" s="471"/>
      <c r="BF902" s="471"/>
      <c r="BG902" s="471"/>
      <c r="BH902" s="471"/>
      <c r="BI902" s="471"/>
      <c r="BJ902" s="471"/>
      <c r="BK902" s="471"/>
      <c r="BL902" s="471"/>
      <c r="BM902" s="471"/>
      <c r="BN902" s="471"/>
      <c r="BO902" s="471"/>
      <c r="BP902" s="471"/>
      <c r="BQ902" s="471"/>
      <c r="BR902" s="471"/>
      <c r="BS902" s="471"/>
      <c r="BT902" s="471"/>
      <c r="BU902" s="471"/>
      <c r="BV902" s="471"/>
      <c r="BW902" s="471"/>
      <c r="BX902" s="471"/>
      <c r="BY902" s="471"/>
      <c r="BZ902" s="471"/>
      <c r="CA902" s="471"/>
      <c r="CB902" s="471"/>
      <c r="CC902" s="471"/>
      <c r="CD902" s="471"/>
      <c r="CE902" s="471"/>
      <c r="CF902" s="471"/>
      <c r="CG902" s="471"/>
      <c r="CH902" s="471"/>
      <c r="CI902" s="471"/>
      <c r="CJ902" s="471"/>
      <c r="CK902" s="471"/>
      <c r="CL902" s="471"/>
      <c r="CM902" s="471"/>
      <c r="CN902" s="471"/>
      <c r="CO902" s="471"/>
      <c r="CP902" s="471"/>
      <c r="CQ902" s="471"/>
      <c r="CR902" s="471"/>
      <c r="CS902" s="471"/>
      <c r="CT902" s="471"/>
      <c r="CU902" s="471"/>
      <c r="CV902" s="471"/>
      <c r="CW902" s="471"/>
      <c r="CX902" s="471"/>
      <c r="CY902" s="471"/>
      <c r="CZ902" s="471"/>
      <c r="DA902" s="471"/>
      <c r="DB902" s="471"/>
      <c r="DC902" s="471"/>
      <c r="DD902" s="471"/>
      <c r="DE902" s="471"/>
      <c r="DF902" s="471"/>
      <c r="DG902" s="471"/>
      <c r="DH902" s="471"/>
      <c r="DI902" s="471"/>
      <c r="DJ902" s="471"/>
      <c r="DK902" s="471"/>
      <c r="DL902" s="471"/>
      <c r="DM902" s="471"/>
      <c r="DN902" s="471"/>
      <c r="DO902" s="471"/>
      <c r="DP902" s="471"/>
      <c r="DQ902" s="471"/>
      <c r="DR902" s="471"/>
      <c r="DS902" s="471"/>
      <c r="DT902" s="471"/>
      <c r="DU902" s="471"/>
      <c r="DV902" s="471"/>
      <c r="DW902" s="471"/>
      <c r="DX902" s="471"/>
      <c r="DY902" s="471"/>
      <c r="DZ902" s="471"/>
      <c r="EA902" s="471"/>
      <c r="EB902" s="471"/>
      <c r="EC902" s="471"/>
      <c r="ED902" s="471"/>
      <c r="EE902" s="471"/>
      <c r="EF902" s="471"/>
      <c r="EG902" s="471"/>
      <c r="EH902" s="471"/>
      <c r="EI902" s="471"/>
      <c r="EJ902" s="471"/>
      <c r="EK902" s="471"/>
      <c r="EL902" s="471"/>
      <c r="EM902" s="471"/>
      <c r="EN902" s="471"/>
      <c r="EO902" s="471"/>
      <c r="EP902" s="471"/>
      <c r="EQ902" s="471"/>
      <c r="ER902" s="471"/>
      <c r="ES902" s="471"/>
      <c r="ET902" s="471"/>
      <c r="EU902" s="471"/>
      <c r="EV902" s="471"/>
      <c r="EW902" s="471"/>
      <c r="EX902" s="471"/>
      <c r="EY902" s="471"/>
      <c r="EZ902" s="471"/>
      <c r="FA902" s="471"/>
      <c r="FB902" s="471"/>
      <c r="FC902" s="471"/>
      <c r="FD902" s="471"/>
      <c r="FE902" s="471"/>
      <c r="FF902" s="471"/>
      <c r="FG902" s="471"/>
      <c r="FH902" s="471"/>
      <c r="FI902" s="471"/>
      <c r="FJ902" s="471"/>
      <c r="FK902" s="471"/>
      <c r="FL902" s="471"/>
      <c r="FM902" s="471"/>
      <c r="FN902" s="471"/>
      <c r="FO902" s="471"/>
      <c r="FP902" s="471"/>
      <c r="FQ902" s="471"/>
      <c r="FR902" s="471"/>
      <c r="FS902" s="471"/>
      <c r="FT902" s="471"/>
      <c r="FU902" s="471"/>
      <c r="FV902" s="471"/>
      <c r="FW902" s="471"/>
      <c r="FX902" s="471"/>
      <c r="FY902" s="471"/>
      <c r="FZ902" s="471"/>
      <c r="GA902" s="471"/>
      <c r="GB902" s="471"/>
      <c r="GC902" s="471"/>
      <c r="GD902" s="471"/>
      <c r="GE902" s="471"/>
      <c r="GF902" s="471"/>
      <c r="GG902" s="471"/>
      <c r="GH902" s="471"/>
      <c r="GI902" s="471"/>
      <c r="GJ902" s="471"/>
      <c r="GK902" s="471"/>
      <c r="GL902" s="471"/>
      <c r="GM902" s="471"/>
      <c r="GN902" s="471"/>
      <c r="GO902" s="471"/>
      <c r="GP902" s="471"/>
      <c r="GQ902" s="471"/>
      <c r="GR902" s="471"/>
      <c r="GS902" s="471"/>
      <c r="GT902" s="471"/>
      <c r="GU902" s="471"/>
      <c r="GV902" s="471"/>
      <c r="GW902" s="471"/>
      <c r="GX902" s="471"/>
      <c r="GY902" s="471"/>
      <c r="GZ902" s="471"/>
      <c r="HA902" s="471"/>
      <c r="HB902" s="471"/>
      <c r="HC902" s="471"/>
      <c r="HD902" s="471"/>
      <c r="HE902" s="471"/>
      <c r="HF902" s="471"/>
      <c r="HG902" s="471"/>
      <c r="HH902" s="471"/>
      <c r="HI902" s="471"/>
      <c r="HJ902" s="471"/>
      <c r="HK902" s="471"/>
      <c r="HL902" s="471"/>
      <c r="HM902" s="471"/>
      <c r="HN902" s="471"/>
      <c r="HO902" s="471"/>
      <c r="HP902" s="471"/>
      <c r="HQ902" s="471"/>
      <c r="HR902" s="471"/>
      <c r="HS902" s="471"/>
      <c r="HT902" s="471"/>
      <c r="HU902" s="471"/>
      <c r="HV902" s="471"/>
      <c r="HW902" s="471"/>
      <c r="HX902" s="471"/>
      <c r="HY902" s="471"/>
      <c r="HZ902" s="471"/>
      <c r="IA902" s="471"/>
      <c r="IB902" s="471"/>
      <c r="IC902" s="471"/>
      <c r="ID902" s="471"/>
      <c r="IE902" s="471"/>
      <c r="IF902" s="471"/>
      <c r="IG902" s="471"/>
      <c r="IH902" s="471"/>
      <c r="II902" s="471"/>
      <c r="IJ902" s="471"/>
      <c r="IK902" s="471"/>
      <c r="IL902" s="471"/>
      <c r="IM902" s="471"/>
      <c r="IN902" s="471"/>
      <c r="IO902" s="471"/>
      <c r="IP902" s="471"/>
      <c r="IQ902" s="471"/>
      <c r="IR902" s="471"/>
      <c r="IS902" s="471"/>
      <c r="IT902" s="471"/>
      <c r="IU902" s="471"/>
      <c r="IV902" s="471"/>
      <c r="IW902" s="471"/>
      <c r="IX902" s="471"/>
      <c r="IY902" s="471"/>
      <c r="IZ902" s="471"/>
      <c r="JA902" s="471"/>
      <c r="JB902" s="471"/>
      <c r="JC902" s="471"/>
      <c r="JD902" s="471"/>
      <c r="JE902" s="471"/>
      <c r="JF902" s="471"/>
      <c r="JG902" s="471"/>
      <c r="JH902" s="471"/>
      <c r="JI902" s="471"/>
      <c r="JJ902" s="471"/>
      <c r="JK902" s="471"/>
      <c r="JL902" s="471"/>
      <c r="JM902" s="471"/>
      <c r="JN902" s="471"/>
      <c r="JO902" s="471"/>
      <c r="JP902" s="471"/>
      <c r="JQ902" s="471"/>
      <c r="JR902" s="471"/>
      <c r="JS902" s="471"/>
      <c r="JT902" s="471"/>
      <c r="JU902" s="471"/>
      <c r="JV902" s="471"/>
      <c r="JW902" s="471"/>
      <c r="JX902" s="471"/>
      <c r="JY902" s="471"/>
      <c r="JZ902" s="471"/>
      <c r="KA902" s="471"/>
      <c r="KB902" s="471"/>
      <c r="KC902" s="471"/>
      <c r="KD902" s="471"/>
      <c r="KE902" s="471"/>
      <c r="KF902" s="471"/>
      <c r="KG902" s="471"/>
      <c r="KH902" s="471"/>
      <c r="KI902" s="471"/>
      <c r="KJ902" s="471"/>
      <c r="KK902" s="471"/>
      <c r="KL902" s="471"/>
      <c r="KM902" s="471"/>
      <c r="KN902" s="471"/>
      <c r="KO902" s="471"/>
      <c r="KP902" s="471"/>
      <c r="KQ902" s="471"/>
      <c r="KR902" s="471"/>
      <c r="KS902" s="471"/>
      <c r="KT902" s="471"/>
      <c r="KU902" s="471"/>
      <c r="KV902" s="471"/>
      <c r="KW902" s="471"/>
      <c r="KX902" s="471"/>
      <c r="KY902" s="471"/>
      <c r="KZ902" s="471"/>
      <c r="LA902" s="471"/>
      <c r="LB902" s="471"/>
      <c r="LC902" s="471"/>
      <c r="LD902" s="471"/>
      <c r="LE902" s="471"/>
      <c r="LF902" s="471"/>
      <c r="LG902" s="471"/>
      <c r="LH902" s="471"/>
      <c r="LI902" s="471"/>
      <c r="LJ902" s="471"/>
      <c r="LK902" s="471"/>
      <c r="LL902" s="471"/>
      <c r="LM902" s="471"/>
      <c r="LN902" s="471"/>
      <c r="LO902" s="471"/>
      <c r="LP902" s="471"/>
      <c r="LQ902" s="471"/>
      <c r="LR902" s="471"/>
      <c r="LS902" s="471"/>
      <c r="LT902" s="471"/>
      <c r="LU902" s="471"/>
      <c r="LV902" s="471"/>
      <c r="LW902" s="471"/>
      <c r="LX902" s="471"/>
      <c r="LY902" s="471"/>
      <c r="LZ902" s="471"/>
      <c r="MA902" s="471"/>
      <c r="MB902" s="471"/>
      <c r="MC902" s="471"/>
      <c r="MD902" s="471"/>
      <c r="ME902" s="471"/>
      <c r="MF902" s="471"/>
      <c r="MG902" s="471"/>
      <c r="MH902" s="471"/>
      <c r="MI902" s="471"/>
      <c r="MJ902" s="471"/>
      <c r="MK902" s="471"/>
      <c r="ML902" s="471"/>
      <c r="MM902" s="471"/>
      <c r="MN902" s="471"/>
      <c r="MO902" s="471"/>
      <c r="MP902" s="471"/>
      <c r="MQ902" s="471"/>
      <c r="MR902" s="471"/>
      <c r="MS902" s="471"/>
      <c r="MT902" s="471"/>
      <c r="MU902" s="471"/>
      <c r="MV902" s="471"/>
      <c r="MW902" s="471"/>
      <c r="MX902" s="471"/>
      <c r="MY902" s="471"/>
      <c r="MZ902" s="471"/>
      <c r="NA902" s="471"/>
      <c r="NB902" s="471"/>
      <c r="NC902" s="471"/>
      <c r="ND902" s="471"/>
      <c r="NE902" s="471"/>
      <c r="NF902" s="471"/>
      <c r="NG902" s="471"/>
      <c r="NH902" s="471"/>
      <c r="NI902" s="471"/>
      <c r="NJ902" s="471"/>
      <c r="NK902" s="471"/>
      <c r="NL902" s="471"/>
      <c r="NM902" s="471"/>
      <c r="NN902" s="471"/>
      <c r="NO902" s="471"/>
      <c r="NP902" s="471"/>
      <c r="NQ902" s="471"/>
      <c r="NR902" s="471"/>
      <c r="NS902" s="471"/>
      <c r="NT902" s="471"/>
      <c r="NU902" s="471"/>
      <c r="NV902" s="471"/>
      <c r="NW902" s="471"/>
      <c r="NX902" s="471"/>
      <c r="NY902" s="471"/>
      <c r="NZ902" s="471"/>
      <c r="OA902" s="471"/>
      <c r="OB902" s="471"/>
      <c r="OC902" s="471"/>
      <c r="OD902" s="471"/>
      <c r="OE902" s="471"/>
      <c r="OF902" s="471"/>
      <c r="OG902" s="471"/>
      <c r="OH902" s="471"/>
      <c r="OI902" s="471"/>
      <c r="OJ902" s="471"/>
      <c r="OK902" s="471"/>
      <c r="OL902" s="471"/>
      <c r="OM902" s="471"/>
      <c r="ON902" s="471"/>
      <c r="OO902" s="471"/>
      <c r="OP902" s="471"/>
      <c r="OQ902" s="471"/>
      <c r="OR902" s="471"/>
      <c r="OS902" s="471"/>
      <c r="OT902" s="471"/>
      <c r="OU902" s="471"/>
      <c r="OV902" s="471"/>
      <c r="OW902" s="471"/>
      <c r="OX902" s="471"/>
      <c r="OY902" s="471"/>
      <c r="OZ902" s="471"/>
      <c r="PA902" s="471"/>
      <c r="PB902" s="471"/>
      <c r="PC902" s="471"/>
      <c r="PD902" s="471"/>
      <c r="PE902" s="471"/>
      <c r="PF902" s="471"/>
      <c r="PG902" s="471"/>
      <c r="PH902" s="471"/>
      <c r="PI902" s="471"/>
      <c r="PJ902" s="471"/>
      <c r="PK902" s="471"/>
      <c r="PL902" s="471"/>
      <c r="PM902" s="471"/>
      <c r="PN902" s="471"/>
      <c r="PO902" s="471"/>
      <c r="PP902" s="471"/>
      <c r="PQ902" s="471"/>
      <c r="PR902" s="471"/>
      <c r="PS902" s="471"/>
      <c r="PT902" s="471"/>
      <c r="PU902" s="471"/>
      <c r="PV902" s="471"/>
      <c r="PW902" s="471"/>
      <c r="PX902" s="471"/>
      <c r="PY902" s="471"/>
      <c r="PZ902" s="471"/>
      <c r="QA902" s="471"/>
      <c r="QB902" s="471"/>
      <c r="QC902" s="471"/>
      <c r="QD902" s="471"/>
      <c r="QE902" s="471"/>
      <c r="QF902" s="471"/>
      <c r="QG902" s="471"/>
      <c r="QH902" s="471"/>
      <c r="QI902" s="471"/>
      <c r="QJ902" s="471"/>
      <c r="QK902" s="471"/>
      <c r="QL902" s="471"/>
      <c r="QM902" s="471"/>
      <c r="QN902" s="471"/>
      <c r="QO902" s="471"/>
      <c r="QP902" s="471"/>
      <c r="QQ902" s="471"/>
      <c r="QR902" s="471"/>
      <c r="QS902" s="471"/>
      <c r="QT902" s="471"/>
      <c r="QU902" s="471"/>
      <c r="QV902" s="471"/>
      <c r="QW902" s="471"/>
      <c r="QX902" s="471"/>
      <c r="QY902" s="471"/>
      <c r="QZ902" s="471"/>
      <c r="RA902" s="471"/>
      <c r="RB902" s="471"/>
      <c r="RC902" s="471"/>
      <c r="RD902" s="471"/>
      <c r="RE902" s="471"/>
      <c r="RF902" s="471"/>
      <c r="RG902" s="471"/>
      <c r="RH902" s="471"/>
      <c r="RI902" s="471"/>
      <c r="RJ902" s="471"/>
      <c r="RK902" s="471"/>
      <c r="RL902" s="471"/>
      <c r="RM902" s="471"/>
      <c r="RN902" s="471"/>
      <c r="RO902" s="471"/>
      <c r="RP902" s="471"/>
      <c r="RQ902" s="471"/>
      <c r="RR902" s="471"/>
      <c r="RS902" s="471"/>
      <c r="RT902" s="471"/>
      <c r="RU902" s="471"/>
      <c r="RV902" s="471"/>
      <c r="RW902" s="471"/>
      <c r="RX902" s="471"/>
      <c r="RY902" s="471"/>
      <c r="RZ902" s="471"/>
      <c r="SA902" s="471"/>
      <c r="SB902" s="471"/>
      <c r="SC902" s="471"/>
      <c r="SD902" s="471"/>
      <c r="SE902" s="471"/>
      <c r="SF902" s="471"/>
      <c r="SG902" s="471"/>
      <c r="SH902" s="471"/>
      <c r="SI902" s="471"/>
      <c r="SJ902" s="471"/>
      <c r="SK902" s="471"/>
      <c r="SL902" s="471"/>
      <c r="SM902" s="471"/>
      <c r="SN902" s="471"/>
      <c r="SO902" s="471"/>
      <c r="SP902" s="471"/>
      <c r="SQ902" s="471"/>
      <c r="SR902" s="471"/>
      <c r="SS902" s="471"/>
      <c r="ST902" s="471"/>
      <c r="SU902" s="471"/>
      <c r="SV902" s="471"/>
      <c r="SW902" s="471"/>
      <c r="SX902" s="471"/>
      <c r="SY902" s="471"/>
      <c r="SZ902" s="471"/>
      <c r="TA902" s="471"/>
      <c r="TB902" s="471"/>
      <c r="TC902" s="471"/>
      <c r="TD902" s="471"/>
      <c r="TE902" s="471"/>
      <c r="TF902" s="471"/>
      <c r="TG902" s="471"/>
      <c r="TH902" s="471"/>
      <c r="TI902" s="471"/>
      <c r="TJ902" s="471"/>
      <c r="TK902" s="471"/>
      <c r="TL902" s="471"/>
      <c r="TM902" s="471"/>
      <c r="TN902" s="471"/>
      <c r="TO902" s="471"/>
      <c r="TP902" s="471"/>
      <c r="TQ902" s="471"/>
      <c r="TR902" s="471"/>
      <c r="TS902" s="471"/>
      <c r="TT902" s="471"/>
      <c r="TU902" s="471"/>
      <c r="TV902" s="471"/>
      <c r="TW902" s="471"/>
      <c r="TX902" s="471"/>
      <c r="TY902" s="471"/>
      <c r="TZ902" s="471"/>
      <c r="UA902" s="471"/>
      <c r="UB902" s="471"/>
      <c r="UC902" s="471"/>
      <c r="UD902" s="471"/>
      <c r="UE902" s="471"/>
      <c r="UF902" s="471"/>
      <c r="UG902" s="471"/>
      <c r="UH902" s="471"/>
      <c r="UI902" s="471"/>
      <c r="UJ902" s="471"/>
      <c r="UK902" s="471"/>
      <c r="UL902" s="471"/>
      <c r="UM902" s="471"/>
      <c r="UN902" s="471"/>
      <c r="UO902" s="471"/>
      <c r="UP902" s="471"/>
      <c r="UQ902" s="471"/>
      <c r="UR902" s="471"/>
      <c r="US902" s="471"/>
      <c r="UT902" s="471"/>
      <c r="UU902" s="471"/>
      <c r="UV902" s="471"/>
      <c r="UW902" s="471"/>
      <c r="UX902" s="471"/>
      <c r="UY902" s="471"/>
      <c r="UZ902" s="471"/>
      <c r="VA902" s="471"/>
      <c r="VB902" s="471"/>
      <c r="VC902" s="471"/>
      <c r="VD902" s="471"/>
      <c r="VE902" s="471"/>
      <c r="VF902" s="471"/>
      <c r="VG902" s="471"/>
      <c r="VH902" s="471"/>
      <c r="VI902" s="471"/>
      <c r="VJ902" s="471"/>
      <c r="VK902" s="471"/>
      <c r="VL902" s="471"/>
      <c r="VM902" s="471"/>
      <c r="VN902" s="471"/>
      <c r="VO902" s="471"/>
      <c r="VP902" s="471"/>
      <c r="VQ902" s="471"/>
      <c r="VR902" s="471"/>
      <c r="VS902" s="471"/>
      <c r="VT902" s="471"/>
      <c r="VU902" s="471"/>
      <c r="VV902" s="471"/>
      <c r="VW902" s="471"/>
      <c r="VX902" s="471"/>
      <c r="VY902" s="471"/>
      <c r="VZ902" s="471"/>
      <c r="WA902" s="471"/>
      <c r="WB902" s="471"/>
      <c r="WC902" s="471"/>
      <c r="WD902" s="471"/>
      <c r="WE902" s="471"/>
      <c r="WF902" s="471"/>
      <c r="WG902" s="471"/>
      <c r="WH902" s="471"/>
      <c r="WI902" s="471"/>
      <c r="WJ902" s="471"/>
      <c r="WK902" s="471"/>
      <c r="WL902" s="471"/>
      <c r="WM902" s="471"/>
      <c r="WN902" s="471"/>
      <c r="WO902" s="471"/>
      <c r="WP902" s="471"/>
      <c r="WQ902" s="471"/>
      <c r="WR902" s="471"/>
      <c r="WS902" s="471"/>
      <c r="WT902" s="471"/>
      <c r="WU902" s="471"/>
      <c r="WV902" s="471"/>
      <c r="WW902" s="471"/>
      <c r="WX902" s="471"/>
      <c r="WY902" s="471"/>
      <c r="WZ902" s="471"/>
      <c r="XA902" s="471"/>
      <c r="XB902" s="471"/>
      <c r="XC902" s="471"/>
      <c r="XD902" s="471"/>
      <c r="XE902" s="471"/>
      <c r="XF902" s="471"/>
      <c r="XG902" s="471"/>
      <c r="XH902" s="471"/>
      <c r="XI902" s="471"/>
      <c r="XJ902" s="471"/>
      <c r="XK902" s="471"/>
      <c r="XL902" s="471"/>
      <c r="XM902" s="471"/>
      <c r="XN902" s="471"/>
      <c r="XO902" s="471"/>
      <c r="XP902" s="471"/>
      <c r="XQ902" s="471"/>
      <c r="XR902" s="471"/>
      <c r="XS902" s="471"/>
      <c r="XT902" s="471"/>
      <c r="XU902" s="471"/>
      <c r="XV902" s="471"/>
      <c r="XW902" s="471"/>
      <c r="XX902" s="471"/>
      <c r="XY902" s="471"/>
      <c r="XZ902" s="471"/>
      <c r="YA902" s="471"/>
      <c r="YB902" s="471"/>
      <c r="YC902" s="471"/>
      <c r="YD902" s="471"/>
      <c r="YE902" s="471"/>
      <c r="YF902" s="471"/>
      <c r="YG902" s="471"/>
      <c r="YH902" s="471"/>
      <c r="YI902" s="471"/>
      <c r="YJ902" s="471"/>
      <c r="YK902" s="471"/>
      <c r="YL902" s="471"/>
      <c r="YM902" s="471"/>
      <c r="YN902" s="471"/>
      <c r="YO902" s="471"/>
      <c r="YP902" s="471"/>
      <c r="YQ902" s="471"/>
      <c r="YR902" s="471"/>
      <c r="YS902" s="471"/>
      <c r="YT902" s="471"/>
      <c r="YU902" s="471"/>
      <c r="YV902" s="471"/>
      <c r="YW902" s="471"/>
      <c r="YX902" s="471"/>
      <c r="YY902" s="471"/>
      <c r="YZ902" s="471"/>
      <c r="ZA902" s="471"/>
      <c r="ZB902" s="471"/>
      <c r="ZC902" s="471"/>
      <c r="ZD902" s="471"/>
      <c r="ZE902" s="471"/>
      <c r="ZF902" s="471"/>
      <c r="ZG902" s="471"/>
      <c r="ZH902" s="471"/>
      <c r="ZI902" s="471"/>
      <c r="ZJ902" s="471"/>
      <c r="ZK902" s="471"/>
      <c r="ZL902" s="471"/>
      <c r="ZM902" s="471"/>
      <c r="ZN902" s="471"/>
      <c r="ZO902" s="471"/>
      <c r="ZP902" s="471"/>
      <c r="ZQ902" s="471"/>
      <c r="ZR902" s="471"/>
      <c r="ZS902" s="471"/>
      <c r="ZT902" s="471"/>
      <c r="ZU902" s="471"/>
      <c r="ZV902" s="471"/>
      <c r="ZW902" s="471"/>
      <c r="ZX902" s="471"/>
      <c r="ZY902" s="471"/>
      <c r="ZZ902" s="471"/>
      <c r="AAA902" s="471"/>
      <c r="AAB902" s="471"/>
      <c r="AAC902" s="471"/>
      <c r="AAD902" s="471"/>
      <c r="AAE902" s="471"/>
      <c r="AAF902" s="471"/>
      <c r="AAG902" s="471"/>
      <c r="AAH902" s="471"/>
      <c r="AAI902" s="471"/>
      <c r="AAJ902" s="471"/>
      <c r="AAK902" s="471"/>
      <c r="AAL902" s="471"/>
      <c r="AAM902" s="471"/>
      <c r="AAN902" s="471"/>
      <c r="AAO902" s="471"/>
      <c r="AAP902" s="471"/>
      <c r="AAQ902" s="471"/>
      <c r="AAR902" s="471"/>
      <c r="AAS902" s="471"/>
      <c r="AAT902" s="471"/>
      <c r="AAU902" s="471"/>
      <c r="AAV902" s="471"/>
      <c r="AAW902" s="471"/>
      <c r="AAX902" s="471"/>
      <c r="AAY902" s="471"/>
      <c r="AAZ902" s="471"/>
      <c r="ABA902" s="471"/>
      <c r="ABB902" s="471"/>
      <c r="ABC902" s="471"/>
      <c r="ABD902" s="471"/>
      <c r="ABE902" s="471"/>
      <c r="ABF902" s="471"/>
      <c r="ABG902" s="471"/>
      <c r="ABH902" s="471"/>
      <c r="ABI902" s="471"/>
      <c r="ABJ902" s="471"/>
      <c r="ABK902" s="471"/>
      <c r="ABL902" s="471"/>
      <c r="ABM902" s="471"/>
      <c r="ABN902" s="471"/>
      <c r="ABO902" s="471"/>
      <c r="ABP902" s="471"/>
      <c r="ABQ902" s="471"/>
      <c r="ABR902" s="471"/>
      <c r="ABS902" s="471"/>
      <c r="ABT902" s="471"/>
      <c r="ABU902" s="471"/>
      <c r="ABV902" s="471"/>
      <c r="ABW902" s="471"/>
      <c r="ABX902" s="471"/>
      <c r="ABY902" s="471"/>
      <c r="ABZ902" s="471"/>
      <c r="ACA902" s="471"/>
      <c r="ACB902" s="471"/>
      <c r="ACC902" s="471"/>
      <c r="ACD902" s="471"/>
      <c r="ACE902" s="471"/>
      <c r="ACF902" s="471"/>
      <c r="ACG902" s="471"/>
      <c r="ACH902" s="471"/>
      <c r="ACI902" s="471"/>
      <c r="ACJ902" s="471"/>
      <c r="ACK902" s="471"/>
      <c r="ACL902" s="471"/>
      <c r="ACM902" s="471"/>
      <c r="ACN902" s="471"/>
      <c r="ACO902" s="471"/>
      <c r="ACP902" s="471"/>
      <c r="ACQ902" s="471"/>
      <c r="ACR902" s="471"/>
      <c r="ACS902" s="471"/>
      <c r="ACT902" s="471"/>
      <c r="ACU902" s="471"/>
      <c r="ACV902" s="471"/>
      <c r="ACW902" s="471"/>
      <c r="ACX902" s="471"/>
      <c r="ACY902" s="471"/>
      <c r="ACZ902" s="471"/>
      <c r="ADA902" s="471"/>
      <c r="ADB902" s="471"/>
      <c r="ADC902" s="471"/>
      <c r="ADD902" s="471"/>
      <c r="ADE902" s="471"/>
      <c r="ADF902" s="471"/>
      <c r="ADG902" s="471"/>
      <c r="ADH902" s="471"/>
      <c r="ADI902" s="471"/>
      <c r="ADJ902" s="471"/>
      <c r="ADK902" s="471"/>
      <c r="ADL902" s="471"/>
      <c r="ADM902" s="471"/>
      <c r="ADN902" s="471"/>
      <c r="ADO902" s="471"/>
      <c r="ADP902" s="471"/>
      <c r="ADQ902" s="471"/>
      <c r="ADR902" s="471"/>
      <c r="ADS902" s="471"/>
      <c r="ADT902" s="471"/>
      <c r="ADU902" s="471"/>
      <c r="ADV902" s="471"/>
      <c r="ADW902" s="471"/>
      <c r="ADX902" s="471"/>
      <c r="ADY902" s="471"/>
      <c r="ADZ902" s="471"/>
      <c r="AEA902" s="471"/>
      <c r="AEB902" s="471"/>
      <c r="AEC902" s="471"/>
      <c r="AED902" s="471"/>
      <c r="AEE902" s="471"/>
      <c r="AEF902" s="471"/>
      <c r="AEG902" s="471"/>
      <c r="AEH902" s="471"/>
      <c r="AEI902" s="471"/>
      <c r="AEJ902" s="471"/>
      <c r="AEK902" s="471"/>
      <c r="AEL902" s="471"/>
      <c r="AEM902" s="471"/>
      <c r="AEN902" s="471"/>
      <c r="AEO902" s="471"/>
      <c r="AEP902" s="471"/>
      <c r="AEQ902" s="471"/>
      <c r="AER902" s="471"/>
      <c r="AES902" s="471"/>
      <c r="AET902" s="471"/>
      <c r="AEU902" s="471"/>
      <c r="AEV902" s="471"/>
      <c r="AEW902" s="471"/>
      <c r="AEX902" s="471"/>
      <c r="AEY902" s="471"/>
      <c r="AEZ902" s="471"/>
      <c r="AFA902" s="471"/>
      <c r="AFB902" s="471"/>
      <c r="AFC902" s="471"/>
      <c r="AFD902" s="471"/>
      <c r="AFE902" s="471"/>
      <c r="AFF902" s="471"/>
      <c r="AFG902" s="471"/>
      <c r="AFH902" s="471"/>
      <c r="AFI902" s="471"/>
      <c r="AFJ902" s="471"/>
      <c r="AFK902" s="471"/>
      <c r="AFL902" s="471"/>
      <c r="AFM902" s="471"/>
      <c r="AFN902" s="471"/>
      <c r="AFO902" s="471"/>
      <c r="AFP902" s="471"/>
      <c r="AFQ902" s="471"/>
      <c r="AFR902" s="471"/>
      <c r="AFS902" s="471"/>
      <c r="AFT902" s="471"/>
      <c r="AFU902" s="471"/>
      <c r="AFV902" s="471"/>
      <c r="AFW902" s="471"/>
      <c r="AFX902" s="471"/>
      <c r="AFY902" s="471"/>
      <c r="AFZ902" s="471"/>
      <c r="AGA902" s="471"/>
      <c r="AGB902" s="471"/>
      <c r="AGC902" s="471"/>
      <c r="AGD902" s="471"/>
      <c r="AGE902" s="471"/>
      <c r="AGF902" s="471"/>
      <c r="AGG902" s="471"/>
      <c r="AGH902" s="471"/>
      <c r="AGI902" s="471"/>
      <c r="AGJ902" s="471"/>
      <c r="AGK902" s="471"/>
      <c r="AGL902" s="471"/>
      <c r="AGM902" s="471"/>
      <c r="AGN902" s="471"/>
      <c r="AGO902" s="471"/>
      <c r="AGP902" s="471"/>
      <c r="AGQ902" s="471"/>
      <c r="AGR902" s="471"/>
      <c r="AGS902" s="471"/>
      <c r="AGT902" s="471"/>
      <c r="AGU902" s="471"/>
      <c r="AGV902" s="471"/>
      <c r="AGW902" s="471"/>
      <c r="AGX902" s="471"/>
      <c r="AGY902" s="471"/>
      <c r="AGZ902" s="471"/>
      <c r="AHA902" s="471"/>
      <c r="AHB902" s="471"/>
      <c r="AHC902" s="471"/>
      <c r="AHD902" s="471"/>
      <c r="AHE902" s="471"/>
      <c r="AHF902" s="471"/>
      <c r="AHG902" s="471"/>
      <c r="AHH902" s="471"/>
      <c r="AHI902" s="471"/>
      <c r="AHJ902" s="471"/>
      <c r="AHK902" s="471"/>
      <c r="AHL902" s="471"/>
      <c r="AHM902" s="471"/>
      <c r="AHN902" s="471"/>
      <c r="AHO902" s="471"/>
      <c r="AHP902" s="471"/>
      <c r="AHQ902" s="471"/>
      <c r="AHR902" s="471"/>
      <c r="AHS902" s="471"/>
      <c r="AHT902" s="471"/>
      <c r="AHU902" s="471"/>
      <c r="AHV902" s="471"/>
      <c r="AHW902" s="471"/>
      <c r="AHX902" s="471"/>
      <c r="AHY902" s="471"/>
      <c r="AHZ902" s="471"/>
      <c r="AIA902" s="471"/>
      <c r="AIB902" s="471"/>
      <c r="AIC902" s="471"/>
      <c r="AID902" s="471"/>
      <c r="AIE902" s="471"/>
      <c r="AIF902" s="471"/>
      <c r="AIG902" s="471"/>
      <c r="AIH902" s="471"/>
      <c r="AII902" s="471"/>
      <c r="AIJ902" s="471"/>
      <c r="AIK902" s="471"/>
      <c r="AIL902" s="471"/>
      <c r="AIM902" s="471"/>
      <c r="AIN902" s="471"/>
      <c r="AIO902" s="471"/>
      <c r="AIP902" s="471"/>
      <c r="AIQ902" s="471"/>
      <c r="AIR902" s="471"/>
      <c r="AIS902" s="471"/>
      <c r="AIT902" s="471"/>
      <c r="AIU902" s="471"/>
      <c r="AIV902" s="471"/>
      <c r="AIW902" s="471"/>
      <c r="AIX902" s="471"/>
      <c r="AIY902" s="471"/>
      <c r="AIZ902" s="471"/>
      <c r="AJA902" s="471"/>
      <c r="AJB902" s="471"/>
      <c r="AJC902" s="471"/>
      <c r="AJD902" s="471"/>
      <c r="AJE902" s="471"/>
      <c r="AJF902" s="471"/>
      <c r="AJG902" s="471"/>
      <c r="AJH902" s="471"/>
      <c r="AJI902" s="471"/>
      <c r="AJJ902" s="471"/>
      <c r="AJK902" s="471"/>
      <c r="AJL902" s="471"/>
      <c r="AJM902" s="471"/>
      <c r="AJN902" s="471"/>
      <c r="AJO902" s="471"/>
      <c r="AJP902" s="471"/>
      <c r="AJQ902" s="471"/>
      <c r="AJR902" s="471"/>
      <c r="AJS902" s="471"/>
      <c r="AJT902" s="471"/>
      <c r="AJU902" s="471"/>
      <c r="AJV902" s="471"/>
      <c r="AJW902" s="471"/>
      <c r="AJX902" s="471"/>
      <c r="AJY902" s="471"/>
      <c r="AJZ902" s="471"/>
      <c r="AKA902" s="471"/>
      <c r="AKB902" s="471"/>
      <c r="AKC902" s="471"/>
      <c r="AKD902" s="471"/>
      <c r="AKE902" s="471"/>
      <c r="AKF902" s="471"/>
      <c r="AKG902" s="471"/>
      <c r="AKH902" s="471"/>
      <c r="AKI902" s="471"/>
      <c r="AKJ902" s="471"/>
      <c r="AKK902" s="471"/>
      <c r="AKL902" s="471"/>
      <c r="AKM902" s="471"/>
      <c r="AKN902" s="471"/>
      <c r="AKO902" s="471"/>
      <c r="AKP902" s="471"/>
      <c r="AKQ902" s="471"/>
      <c r="AKR902" s="471"/>
      <c r="AKS902" s="471"/>
      <c r="AKT902" s="471"/>
      <c r="AKU902" s="471"/>
      <c r="AKV902" s="471"/>
      <c r="AKW902" s="471"/>
      <c r="AKX902" s="471"/>
      <c r="AKY902" s="471"/>
      <c r="AKZ902" s="471"/>
      <c r="ALA902" s="471"/>
      <c r="ALB902" s="471"/>
      <c r="ALC902" s="471"/>
      <c r="ALD902" s="471"/>
      <c r="ALE902" s="471"/>
      <c r="ALF902" s="471"/>
      <c r="ALG902" s="471"/>
      <c r="ALH902" s="471"/>
      <c r="ALI902" s="471"/>
      <c r="ALJ902" s="471"/>
      <c r="ALK902" s="471"/>
      <c r="ALL902" s="471"/>
      <c r="ALM902" s="471"/>
      <c r="ALN902" s="471"/>
      <c r="ALO902" s="471"/>
      <c r="ALP902" s="471"/>
      <c r="ALQ902" s="471"/>
      <c r="ALR902" s="471"/>
      <c r="ALS902" s="471"/>
      <c r="ALT902" s="471"/>
      <c r="ALU902" s="471"/>
      <c r="ALV902" s="471"/>
      <c r="ALW902" s="471"/>
      <c r="ALX902" s="471"/>
      <c r="ALY902" s="471"/>
      <c r="ALZ902" s="471"/>
      <c r="AMA902" s="471"/>
      <c r="AMB902" s="471"/>
      <c r="AMC902" s="471"/>
      <c r="AMD902" s="471"/>
      <c r="AME902" s="471"/>
      <c r="AMF902" s="471"/>
      <c r="AMG902" s="471"/>
      <c r="AMH902" s="471"/>
      <c r="AMI902" s="471"/>
      <c r="AMJ902" s="471"/>
      <c r="AMK902" s="471"/>
      <c r="AML902" s="471"/>
      <c r="AMM902" s="471"/>
      <c r="AMN902" s="471"/>
      <c r="AMO902" s="471"/>
      <c r="AMP902" s="471"/>
      <c r="AMQ902" s="471"/>
      <c r="AMR902" s="471"/>
      <c r="AMS902" s="471"/>
      <c r="AMT902" s="471"/>
      <c r="AMU902" s="471"/>
      <c r="AMV902" s="471"/>
      <c r="AMW902" s="471"/>
      <c r="AMX902" s="471"/>
      <c r="AMY902" s="471"/>
      <c r="AMZ902" s="471"/>
      <c r="ANA902" s="471"/>
      <c r="ANB902" s="471"/>
      <c r="ANC902" s="471"/>
      <c r="AND902" s="471"/>
      <c r="ANE902" s="471"/>
      <c r="ANF902" s="471"/>
      <c r="ANG902" s="471"/>
      <c r="ANH902" s="471"/>
      <c r="ANI902" s="471"/>
      <c r="ANJ902" s="471"/>
      <c r="ANK902" s="471"/>
      <c r="ANL902" s="471"/>
      <c r="ANM902" s="471"/>
      <c r="ANN902" s="471"/>
      <c r="ANO902" s="471"/>
      <c r="ANP902" s="471"/>
      <c r="ANQ902" s="471"/>
      <c r="ANR902" s="471"/>
      <c r="ANS902" s="471"/>
      <c r="ANT902" s="471"/>
      <c r="ANU902" s="471"/>
      <c r="ANV902" s="471"/>
      <c r="ANW902" s="471"/>
      <c r="ANX902" s="471"/>
      <c r="ANY902" s="471"/>
      <c r="ANZ902" s="471"/>
      <c r="AOA902" s="471"/>
      <c r="AOB902" s="471"/>
      <c r="AOC902" s="471"/>
      <c r="AOD902" s="471"/>
      <c r="AOE902" s="471"/>
      <c r="AOF902" s="471"/>
      <c r="AOG902" s="471"/>
      <c r="AOH902" s="471"/>
      <c r="AOI902" s="471"/>
      <c r="AOJ902" s="471"/>
      <c r="AOK902" s="471"/>
      <c r="AOL902" s="471"/>
      <c r="AOM902" s="471"/>
      <c r="AON902" s="471"/>
      <c r="AOO902" s="471"/>
      <c r="AOP902" s="471"/>
      <c r="AOQ902" s="471"/>
      <c r="AOR902" s="471"/>
      <c r="AOS902" s="471"/>
      <c r="AOT902" s="471"/>
      <c r="AOU902" s="471"/>
      <c r="AOV902" s="471"/>
      <c r="AOW902" s="471"/>
      <c r="AOX902" s="471"/>
      <c r="AOY902" s="471"/>
      <c r="AOZ902" s="471"/>
      <c r="APA902" s="471"/>
      <c r="APB902" s="471"/>
      <c r="APC902" s="471"/>
      <c r="APD902" s="471"/>
      <c r="APE902" s="471"/>
      <c r="APF902" s="471"/>
      <c r="APG902" s="471"/>
      <c r="APH902" s="471"/>
      <c r="API902" s="471"/>
      <c r="APJ902" s="471"/>
      <c r="APK902" s="471"/>
      <c r="APL902" s="471"/>
      <c r="APM902" s="471"/>
      <c r="APN902" s="471"/>
      <c r="APO902" s="471"/>
      <c r="APP902" s="471"/>
      <c r="APQ902" s="471"/>
      <c r="APR902" s="471"/>
      <c r="APS902" s="471"/>
      <c r="APT902" s="471"/>
      <c r="APU902" s="471"/>
      <c r="APV902" s="471"/>
      <c r="APW902" s="471"/>
      <c r="APX902" s="471"/>
      <c r="APY902" s="471"/>
      <c r="APZ902" s="471"/>
      <c r="AQA902" s="471"/>
      <c r="AQB902" s="471"/>
      <c r="AQC902" s="471"/>
      <c r="AQD902" s="471"/>
      <c r="AQE902" s="471"/>
      <c r="AQF902" s="471"/>
      <c r="AQG902" s="471"/>
      <c r="AQH902" s="471"/>
      <c r="AQI902" s="471"/>
      <c r="AQJ902" s="471"/>
      <c r="AQK902" s="471"/>
      <c r="AQL902" s="471"/>
      <c r="AQM902" s="471"/>
      <c r="AQN902" s="471"/>
      <c r="AQO902" s="471"/>
      <c r="AQP902" s="471"/>
      <c r="AQQ902" s="471"/>
      <c r="AQR902" s="471"/>
      <c r="AQS902" s="471"/>
      <c r="AQT902" s="471"/>
      <c r="AQU902" s="471"/>
      <c r="AQV902" s="471"/>
      <c r="AQW902" s="471"/>
      <c r="AQX902" s="471"/>
      <c r="AQY902" s="471"/>
      <c r="AQZ902" s="471"/>
      <c r="ARA902" s="471"/>
      <c r="ARB902" s="471"/>
      <c r="ARC902" s="471"/>
      <c r="ARD902" s="471"/>
      <c r="ARE902" s="471"/>
      <c r="ARF902" s="471"/>
      <c r="ARG902" s="471"/>
      <c r="ARH902" s="471"/>
      <c r="ARI902" s="471"/>
      <c r="ARJ902" s="471"/>
      <c r="ARK902" s="471"/>
      <c r="ARL902" s="471"/>
      <c r="ARM902" s="471"/>
      <c r="ARN902" s="471"/>
      <c r="ARO902" s="471"/>
      <c r="ARP902" s="471"/>
      <c r="ARQ902" s="471"/>
      <c r="ARR902" s="471"/>
      <c r="ARS902" s="471"/>
      <c r="ART902" s="471"/>
      <c r="ARU902" s="471"/>
      <c r="ARV902" s="471"/>
      <c r="ARW902" s="471"/>
      <c r="ARX902" s="471"/>
      <c r="ARY902" s="471"/>
      <c r="ARZ902" s="471"/>
      <c r="ASA902" s="471"/>
      <c r="ASB902" s="471"/>
      <c r="ASC902" s="471"/>
      <c r="ASD902" s="471"/>
      <c r="ASE902" s="471"/>
      <c r="ASF902" s="471"/>
      <c r="ASG902" s="471"/>
      <c r="ASH902" s="471"/>
      <c r="ASI902" s="471"/>
      <c r="ASJ902" s="471"/>
      <c r="ASK902" s="471"/>
      <c r="ASL902" s="471"/>
      <c r="ASM902" s="471"/>
      <c r="ASN902" s="471"/>
      <c r="ASO902" s="471"/>
      <c r="ASP902" s="471"/>
      <c r="ASQ902" s="471"/>
      <c r="ASR902" s="471"/>
      <c r="ASS902" s="471"/>
      <c r="AST902" s="471"/>
      <c r="ASU902" s="471"/>
      <c r="ASV902" s="471"/>
      <c r="ASW902" s="471"/>
      <c r="ASX902" s="471"/>
      <c r="ASY902" s="471"/>
      <c r="ASZ902" s="471"/>
      <c r="ATA902" s="471"/>
      <c r="ATB902" s="471"/>
      <c r="ATC902" s="471"/>
      <c r="ATD902" s="471"/>
      <c r="ATE902" s="471"/>
      <c r="ATF902" s="471"/>
      <c r="ATG902" s="471"/>
      <c r="ATH902" s="471"/>
      <c r="ATI902" s="471"/>
      <c r="ATJ902" s="471"/>
      <c r="ATK902" s="471"/>
      <c r="ATL902" s="471"/>
      <c r="ATM902" s="471"/>
      <c r="ATN902" s="471"/>
      <c r="ATO902" s="471"/>
      <c r="ATP902" s="471"/>
      <c r="ATQ902" s="471"/>
      <c r="ATR902" s="471"/>
      <c r="ATS902" s="471"/>
      <c r="ATT902" s="471"/>
      <c r="ATU902" s="471"/>
      <c r="ATV902" s="471"/>
      <c r="ATW902" s="471"/>
      <c r="ATX902" s="471"/>
      <c r="ATY902" s="471"/>
      <c r="ATZ902" s="471"/>
      <c r="AUA902" s="471"/>
      <c r="AUB902" s="471"/>
      <c r="AUC902" s="471"/>
      <c r="AUD902" s="471"/>
      <c r="AUE902" s="471"/>
      <c r="AUF902" s="471"/>
      <c r="AUG902" s="471"/>
      <c r="AUH902" s="471"/>
      <c r="AUI902" s="471"/>
      <c r="AUJ902" s="471"/>
      <c r="AUK902" s="471"/>
      <c r="AUL902" s="471"/>
      <c r="AUM902" s="471"/>
      <c r="AUN902" s="471"/>
      <c r="AUO902" s="471"/>
      <c r="AUP902" s="471"/>
      <c r="AUQ902" s="471"/>
      <c r="AUR902" s="471"/>
      <c r="AUS902" s="471"/>
      <c r="AUT902" s="471"/>
      <c r="AUU902" s="471"/>
      <c r="AUV902" s="471"/>
      <c r="AUW902" s="471"/>
      <c r="AUX902" s="471"/>
      <c r="AUY902" s="471"/>
      <c r="AUZ902" s="471"/>
      <c r="AVA902" s="471"/>
      <c r="AVB902" s="471"/>
      <c r="AVC902" s="471"/>
      <c r="AVD902" s="471"/>
      <c r="AVE902" s="471"/>
      <c r="AVF902" s="471"/>
      <c r="AVG902" s="471"/>
      <c r="AVH902" s="471"/>
      <c r="AVI902" s="471"/>
      <c r="AVJ902" s="471"/>
      <c r="AVK902" s="471"/>
    </row>
    <row r="903" spans="1:1259" s="511" customFormat="1" ht="15" customHeight="1">
      <c r="A903" s="472"/>
      <c r="B903" s="472"/>
      <c r="C903" s="472"/>
      <c r="D903" s="512" t="s">
        <v>3186</v>
      </c>
      <c r="E903" s="501"/>
      <c r="F903" s="501"/>
      <c r="G903" s="501">
        <v>2022</v>
      </c>
      <c r="H903" s="501"/>
      <c r="I903" s="496" t="s">
        <v>1676</v>
      </c>
      <c r="J903" s="502"/>
      <c r="K903" s="503" t="s">
        <v>4873</v>
      </c>
      <c r="L903" s="501" t="s">
        <v>3297</v>
      </c>
      <c r="M903" s="504">
        <v>44601</v>
      </c>
      <c r="N903" s="504">
        <v>44624</v>
      </c>
      <c r="O903" s="504"/>
      <c r="P903" s="502"/>
      <c r="Q903" s="502"/>
      <c r="R903" s="502"/>
      <c r="S903" s="501" t="s">
        <v>2379</v>
      </c>
      <c r="T903" s="501">
        <v>60</v>
      </c>
      <c r="U903" s="501"/>
      <c r="V903" s="501" t="s">
        <v>973</v>
      </c>
      <c r="W903" s="501">
        <v>400</v>
      </c>
      <c r="X903" s="505">
        <v>416</v>
      </c>
      <c r="Y903" s="491">
        <f t="shared" si="130"/>
        <v>166400</v>
      </c>
      <c r="Z903" s="506">
        <v>0.54</v>
      </c>
      <c r="AA903" s="492">
        <f t="shared" si="134"/>
        <v>89856</v>
      </c>
      <c r="AB903" s="480"/>
      <c r="AC903" s="481">
        <f t="shared" si="131"/>
        <v>0</v>
      </c>
      <c r="AD903" s="508"/>
      <c r="AE903" s="507">
        <v>3425.76</v>
      </c>
      <c r="AF903" s="493">
        <f t="shared" si="132"/>
        <v>93281.76</v>
      </c>
      <c r="AG903" s="501" t="s">
        <v>47</v>
      </c>
      <c r="AH903" s="501"/>
      <c r="AI903" s="503">
        <v>60</v>
      </c>
      <c r="AJ903" s="501" t="s">
        <v>1950</v>
      </c>
      <c r="AK903" s="509" t="s">
        <v>50</v>
      </c>
      <c r="AL903" s="501">
        <v>91761</v>
      </c>
      <c r="AM903" s="501" t="s">
        <v>52</v>
      </c>
      <c r="AN903" s="501"/>
      <c r="AO903" s="501"/>
      <c r="AP903" s="510"/>
      <c r="AQ903" s="510" t="s">
        <v>37</v>
      </c>
      <c r="AR903" s="510"/>
      <c r="AS903" s="495"/>
      <c r="AT903" s="495"/>
      <c r="AU903" s="495"/>
      <c r="AV903" s="506">
        <f t="shared" si="133"/>
        <v>0.48000000000000004</v>
      </c>
      <c r="AW903" s="471"/>
      <c r="AX903" s="471"/>
      <c r="AY903" s="471"/>
      <c r="AZ903" s="471"/>
      <c r="BA903" s="471"/>
      <c r="BB903" s="471"/>
      <c r="BC903" s="471"/>
      <c r="BD903" s="471"/>
      <c r="BE903" s="471"/>
      <c r="BF903" s="471"/>
      <c r="BG903" s="471"/>
      <c r="BH903" s="471"/>
      <c r="BI903" s="471"/>
      <c r="BJ903" s="471"/>
      <c r="BK903" s="471"/>
      <c r="BL903" s="471"/>
      <c r="BM903" s="471"/>
      <c r="BN903" s="471"/>
      <c r="BO903" s="471"/>
      <c r="BP903" s="471"/>
      <c r="BQ903" s="471"/>
      <c r="BR903" s="471"/>
      <c r="BS903" s="471"/>
      <c r="BT903" s="471"/>
      <c r="BU903" s="471"/>
      <c r="BV903" s="471"/>
      <c r="BW903" s="471"/>
      <c r="BX903" s="471"/>
      <c r="BY903" s="471"/>
      <c r="BZ903" s="471"/>
      <c r="CA903" s="471"/>
      <c r="CB903" s="471"/>
      <c r="CC903" s="471"/>
      <c r="CD903" s="471"/>
      <c r="CE903" s="471"/>
      <c r="CF903" s="471"/>
      <c r="CG903" s="471"/>
      <c r="CH903" s="471"/>
      <c r="CI903" s="471"/>
      <c r="CJ903" s="471"/>
      <c r="CK903" s="471"/>
      <c r="CL903" s="471"/>
      <c r="CM903" s="471"/>
      <c r="CN903" s="471"/>
      <c r="CO903" s="471"/>
      <c r="CP903" s="471"/>
      <c r="CQ903" s="471"/>
      <c r="CR903" s="471"/>
      <c r="CS903" s="471"/>
      <c r="CT903" s="471"/>
      <c r="CU903" s="471"/>
      <c r="CV903" s="471"/>
      <c r="CW903" s="471"/>
      <c r="CX903" s="471"/>
      <c r="CY903" s="471"/>
      <c r="CZ903" s="471"/>
      <c r="DA903" s="471"/>
      <c r="DB903" s="471"/>
      <c r="DC903" s="471"/>
      <c r="DD903" s="471"/>
      <c r="DE903" s="471"/>
      <c r="DF903" s="471"/>
      <c r="DG903" s="471"/>
      <c r="DH903" s="471"/>
      <c r="DI903" s="471"/>
      <c r="DJ903" s="471"/>
      <c r="DK903" s="471"/>
      <c r="DL903" s="471"/>
      <c r="DM903" s="471"/>
      <c r="DN903" s="471"/>
      <c r="DO903" s="471"/>
      <c r="DP903" s="471"/>
      <c r="DQ903" s="471"/>
      <c r="DR903" s="471"/>
      <c r="DS903" s="471"/>
      <c r="DT903" s="471"/>
      <c r="DU903" s="471"/>
      <c r="DV903" s="471"/>
      <c r="DW903" s="471"/>
      <c r="DX903" s="471"/>
      <c r="DY903" s="471"/>
      <c r="DZ903" s="471"/>
      <c r="EA903" s="471"/>
      <c r="EB903" s="471"/>
      <c r="EC903" s="471"/>
      <c r="ED903" s="471"/>
      <c r="EE903" s="471"/>
      <c r="EF903" s="471"/>
      <c r="EG903" s="471"/>
      <c r="EH903" s="471"/>
      <c r="EI903" s="471"/>
      <c r="EJ903" s="471"/>
      <c r="EK903" s="471"/>
      <c r="EL903" s="471"/>
      <c r="EM903" s="471"/>
      <c r="EN903" s="471"/>
      <c r="EO903" s="471"/>
      <c r="EP903" s="471"/>
      <c r="EQ903" s="471"/>
      <c r="ER903" s="471"/>
      <c r="ES903" s="471"/>
      <c r="ET903" s="471"/>
      <c r="EU903" s="471"/>
      <c r="EV903" s="471"/>
      <c r="EW903" s="471"/>
      <c r="EX903" s="471"/>
      <c r="EY903" s="471"/>
      <c r="EZ903" s="471"/>
      <c r="FA903" s="471"/>
      <c r="FB903" s="471"/>
      <c r="FC903" s="471"/>
      <c r="FD903" s="471"/>
      <c r="FE903" s="471"/>
      <c r="FF903" s="471"/>
      <c r="FG903" s="471"/>
      <c r="FH903" s="471"/>
      <c r="FI903" s="471"/>
      <c r="FJ903" s="471"/>
      <c r="FK903" s="471"/>
      <c r="FL903" s="471"/>
      <c r="FM903" s="471"/>
      <c r="FN903" s="471"/>
      <c r="FO903" s="471"/>
      <c r="FP903" s="471"/>
      <c r="FQ903" s="471"/>
      <c r="FR903" s="471"/>
      <c r="FS903" s="471"/>
      <c r="FT903" s="471"/>
      <c r="FU903" s="471"/>
      <c r="FV903" s="471"/>
      <c r="FW903" s="471"/>
      <c r="FX903" s="471"/>
      <c r="FY903" s="471"/>
      <c r="FZ903" s="471"/>
      <c r="GA903" s="471"/>
      <c r="GB903" s="471"/>
      <c r="GC903" s="471"/>
      <c r="GD903" s="471"/>
      <c r="GE903" s="471"/>
      <c r="GF903" s="471"/>
      <c r="GG903" s="471"/>
      <c r="GH903" s="471"/>
      <c r="GI903" s="471"/>
      <c r="GJ903" s="471"/>
      <c r="GK903" s="471"/>
      <c r="GL903" s="471"/>
      <c r="GM903" s="471"/>
      <c r="GN903" s="471"/>
      <c r="GO903" s="471"/>
      <c r="GP903" s="471"/>
      <c r="GQ903" s="471"/>
      <c r="GR903" s="471"/>
      <c r="GS903" s="471"/>
      <c r="GT903" s="471"/>
      <c r="GU903" s="471"/>
      <c r="GV903" s="471"/>
      <c r="GW903" s="471"/>
      <c r="GX903" s="471"/>
      <c r="GY903" s="471"/>
      <c r="GZ903" s="471"/>
      <c r="HA903" s="471"/>
      <c r="HB903" s="471"/>
      <c r="HC903" s="471"/>
      <c r="HD903" s="471"/>
      <c r="HE903" s="471"/>
      <c r="HF903" s="471"/>
      <c r="HG903" s="471"/>
      <c r="HH903" s="471"/>
      <c r="HI903" s="471"/>
      <c r="HJ903" s="471"/>
      <c r="HK903" s="471"/>
      <c r="HL903" s="471"/>
      <c r="HM903" s="471"/>
      <c r="HN903" s="471"/>
      <c r="HO903" s="471"/>
      <c r="HP903" s="471"/>
      <c r="HQ903" s="471"/>
      <c r="HR903" s="471"/>
      <c r="HS903" s="471"/>
      <c r="HT903" s="471"/>
      <c r="HU903" s="471"/>
      <c r="HV903" s="471"/>
      <c r="HW903" s="471"/>
      <c r="HX903" s="471"/>
      <c r="HY903" s="471"/>
      <c r="HZ903" s="471"/>
      <c r="IA903" s="471"/>
      <c r="IB903" s="471"/>
      <c r="IC903" s="471"/>
      <c r="ID903" s="471"/>
      <c r="IE903" s="471"/>
      <c r="IF903" s="471"/>
      <c r="IG903" s="471"/>
      <c r="IH903" s="471"/>
      <c r="II903" s="471"/>
      <c r="IJ903" s="471"/>
      <c r="IK903" s="471"/>
      <c r="IL903" s="471"/>
      <c r="IM903" s="471"/>
      <c r="IN903" s="471"/>
      <c r="IO903" s="471"/>
      <c r="IP903" s="471"/>
      <c r="IQ903" s="471"/>
      <c r="IR903" s="471"/>
      <c r="IS903" s="471"/>
      <c r="IT903" s="471"/>
      <c r="IU903" s="471"/>
      <c r="IV903" s="471"/>
      <c r="IW903" s="471"/>
      <c r="IX903" s="471"/>
      <c r="IY903" s="471"/>
      <c r="IZ903" s="471"/>
      <c r="JA903" s="471"/>
      <c r="JB903" s="471"/>
      <c r="JC903" s="471"/>
      <c r="JD903" s="471"/>
      <c r="JE903" s="471"/>
      <c r="JF903" s="471"/>
      <c r="JG903" s="471"/>
      <c r="JH903" s="471"/>
      <c r="JI903" s="471"/>
      <c r="JJ903" s="471"/>
      <c r="JK903" s="471"/>
      <c r="JL903" s="471"/>
      <c r="JM903" s="471"/>
      <c r="JN903" s="471"/>
      <c r="JO903" s="471"/>
      <c r="JP903" s="471"/>
      <c r="JQ903" s="471"/>
      <c r="JR903" s="471"/>
      <c r="JS903" s="471"/>
      <c r="JT903" s="471"/>
      <c r="JU903" s="471"/>
      <c r="JV903" s="471"/>
      <c r="JW903" s="471"/>
      <c r="JX903" s="471"/>
      <c r="JY903" s="471"/>
      <c r="JZ903" s="471"/>
      <c r="KA903" s="471"/>
      <c r="KB903" s="471"/>
      <c r="KC903" s="471"/>
      <c r="KD903" s="471"/>
      <c r="KE903" s="471"/>
      <c r="KF903" s="471"/>
      <c r="KG903" s="471"/>
      <c r="KH903" s="471"/>
      <c r="KI903" s="471"/>
      <c r="KJ903" s="471"/>
      <c r="KK903" s="471"/>
      <c r="KL903" s="471"/>
      <c r="KM903" s="471"/>
      <c r="KN903" s="471"/>
      <c r="KO903" s="471"/>
      <c r="KP903" s="471"/>
      <c r="KQ903" s="471"/>
      <c r="KR903" s="471"/>
      <c r="KS903" s="471"/>
      <c r="KT903" s="471"/>
      <c r="KU903" s="471"/>
      <c r="KV903" s="471"/>
      <c r="KW903" s="471"/>
      <c r="KX903" s="471"/>
      <c r="KY903" s="471"/>
      <c r="KZ903" s="471"/>
      <c r="LA903" s="471"/>
      <c r="LB903" s="471"/>
      <c r="LC903" s="471"/>
      <c r="LD903" s="471"/>
      <c r="LE903" s="471"/>
      <c r="LF903" s="471"/>
      <c r="LG903" s="471"/>
      <c r="LH903" s="471"/>
      <c r="LI903" s="471"/>
      <c r="LJ903" s="471"/>
      <c r="LK903" s="471"/>
      <c r="LL903" s="471"/>
      <c r="LM903" s="471"/>
      <c r="LN903" s="471"/>
      <c r="LO903" s="471"/>
      <c r="LP903" s="471"/>
      <c r="LQ903" s="471"/>
      <c r="LR903" s="471"/>
      <c r="LS903" s="471"/>
      <c r="LT903" s="471"/>
      <c r="LU903" s="471"/>
      <c r="LV903" s="471"/>
      <c r="LW903" s="471"/>
      <c r="LX903" s="471"/>
      <c r="LY903" s="471"/>
      <c r="LZ903" s="471"/>
      <c r="MA903" s="471"/>
      <c r="MB903" s="471"/>
      <c r="MC903" s="471"/>
      <c r="MD903" s="471"/>
      <c r="ME903" s="471"/>
      <c r="MF903" s="471"/>
      <c r="MG903" s="471"/>
      <c r="MH903" s="471"/>
      <c r="MI903" s="471"/>
      <c r="MJ903" s="471"/>
      <c r="MK903" s="471"/>
      <c r="ML903" s="471"/>
      <c r="MM903" s="471"/>
      <c r="MN903" s="471"/>
      <c r="MO903" s="471"/>
      <c r="MP903" s="471"/>
      <c r="MQ903" s="471"/>
      <c r="MR903" s="471"/>
      <c r="MS903" s="471"/>
      <c r="MT903" s="471"/>
      <c r="MU903" s="471"/>
      <c r="MV903" s="471"/>
      <c r="MW903" s="471"/>
      <c r="MX903" s="471"/>
      <c r="MY903" s="471"/>
      <c r="MZ903" s="471"/>
      <c r="NA903" s="471"/>
      <c r="NB903" s="471"/>
      <c r="NC903" s="471"/>
      <c r="ND903" s="471"/>
      <c r="NE903" s="471"/>
      <c r="NF903" s="471"/>
      <c r="NG903" s="471"/>
      <c r="NH903" s="471"/>
      <c r="NI903" s="471"/>
      <c r="NJ903" s="471"/>
      <c r="NK903" s="471"/>
      <c r="NL903" s="471"/>
      <c r="NM903" s="471"/>
      <c r="NN903" s="471"/>
      <c r="NO903" s="471"/>
      <c r="NP903" s="471"/>
      <c r="NQ903" s="471"/>
      <c r="NR903" s="471"/>
      <c r="NS903" s="471"/>
      <c r="NT903" s="471"/>
      <c r="NU903" s="471"/>
      <c r="NV903" s="471"/>
      <c r="NW903" s="471"/>
      <c r="NX903" s="471"/>
      <c r="NY903" s="471"/>
      <c r="NZ903" s="471"/>
      <c r="OA903" s="471"/>
      <c r="OB903" s="471"/>
      <c r="OC903" s="471"/>
      <c r="OD903" s="471"/>
      <c r="OE903" s="471"/>
      <c r="OF903" s="471"/>
      <c r="OG903" s="471"/>
      <c r="OH903" s="471"/>
      <c r="OI903" s="471"/>
      <c r="OJ903" s="471"/>
      <c r="OK903" s="471"/>
      <c r="OL903" s="471"/>
      <c r="OM903" s="471"/>
      <c r="ON903" s="471"/>
      <c r="OO903" s="471"/>
      <c r="OP903" s="471"/>
      <c r="OQ903" s="471"/>
      <c r="OR903" s="471"/>
      <c r="OS903" s="471"/>
      <c r="OT903" s="471"/>
      <c r="OU903" s="471"/>
      <c r="OV903" s="471"/>
      <c r="OW903" s="471"/>
      <c r="OX903" s="471"/>
      <c r="OY903" s="471"/>
      <c r="OZ903" s="471"/>
      <c r="PA903" s="471"/>
      <c r="PB903" s="471"/>
      <c r="PC903" s="471"/>
      <c r="PD903" s="471"/>
      <c r="PE903" s="471"/>
      <c r="PF903" s="471"/>
      <c r="PG903" s="471"/>
      <c r="PH903" s="471"/>
      <c r="PI903" s="471"/>
      <c r="PJ903" s="471"/>
      <c r="PK903" s="471"/>
      <c r="PL903" s="471"/>
      <c r="PM903" s="471"/>
      <c r="PN903" s="471"/>
      <c r="PO903" s="471"/>
      <c r="PP903" s="471"/>
      <c r="PQ903" s="471"/>
      <c r="PR903" s="471"/>
      <c r="PS903" s="471"/>
      <c r="PT903" s="471"/>
      <c r="PU903" s="471"/>
      <c r="PV903" s="471"/>
      <c r="PW903" s="471"/>
      <c r="PX903" s="471"/>
      <c r="PY903" s="471"/>
      <c r="PZ903" s="471"/>
      <c r="QA903" s="471"/>
      <c r="QB903" s="471"/>
      <c r="QC903" s="471"/>
      <c r="QD903" s="471"/>
      <c r="QE903" s="471"/>
      <c r="QF903" s="471"/>
      <c r="QG903" s="471"/>
      <c r="QH903" s="471"/>
      <c r="QI903" s="471"/>
      <c r="QJ903" s="471"/>
      <c r="QK903" s="471"/>
      <c r="QL903" s="471"/>
      <c r="QM903" s="471"/>
      <c r="QN903" s="471"/>
      <c r="QO903" s="471"/>
      <c r="QP903" s="471"/>
      <c r="QQ903" s="471"/>
      <c r="QR903" s="471"/>
      <c r="QS903" s="471"/>
      <c r="QT903" s="471"/>
      <c r="QU903" s="471"/>
      <c r="QV903" s="471"/>
      <c r="QW903" s="471"/>
      <c r="QX903" s="471"/>
      <c r="QY903" s="471"/>
      <c r="QZ903" s="471"/>
      <c r="RA903" s="471"/>
      <c r="RB903" s="471"/>
      <c r="RC903" s="471"/>
      <c r="RD903" s="471"/>
      <c r="RE903" s="471"/>
      <c r="RF903" s="471"/>
      <c r="RG903" s="471"/>
      <c r="RH903" s="471"/>
      <c r="RI903" s="471"/>
      <c r="RJ903" s="471"/>
      <c r="RK903" s="471"/>
      <c r="RL903" s="471"/>
      <c r="RM903" s="471"/>
      <c r="RN903" s="471"/>
      <c r="RO903" s="471"/>
      <c r="RP903" s="471"/>
      <c r="RQ903" s="471"/>
      <c r="RR903" s="471"/>
      <c r="RS903" s="471"/>
      <c r="RT903" s="471"/>
      <c r="RU903" s="471"/>
      <c r="RV903" s="471"/>
      <c r="RW903" s="471"/>
      <c r="RX903" s="471"/>
      <c r="RY903" s="471"/>
      <c r="RZ903" s="471"/>
      <c r="SA903" s="471"/>
      <c r="SB903" s="471"/>
      <c r="SC903" s="471"/>
      <c r="SD903" s="471"/>
      <c r="SE903" s="471"/>
      <c r="SF903" s="471"/>
      <c r="SG903" s="471"/>
      <c r="SH903" s="471"/>
      <c r="SI903" s="471"/>
      <c r="SJ903" s="471"/>
      <c r="SK903" s="471"/>
      <c r="SL903" s="471"/>
      <c r="SM903" s="471"/>
      <c r="SN903" s="471"/>
      <c r="SO903" s="471"/>
      <c r="SP903" s="471"/>
      <c r="SQ903" s="471"/>
      <c r="SR903" s="471"/>
      <c r="SS903" s="471"/>
      <c r="ST903" s="471"/>
      <c r="SU903" s="471"/>
      <c r="SV903" s="471"/>
      <c r="SW903" s="471"/>
      <c r="SX903" s="471"/>
      <c r="SY903" s="471"/>
      <c r="SZ903" s="471"/>
      <c r="TA903" s="471"/>
      <c r="TB903" s="471"/>
      <c r="TC903" s="471"/>
      <c r="TD903" s="471"/>
      <c r="TE903" s="471"/>
      <c r="TF903" s="471"/>
      <c r="TG903" s="471"/>
      <c r="TH903" s="471"/>
      <c r="TI903" s="471"/>
      <c r="TJ903" s="471"/>
      <c r="TK903" s="471"/>
      <c r="TL903" s="471"/>
      <c r="TM903" s="471"/>
      <c r="TN903" s="471"/>
      <c r="TO903" s="471"/>
      <c r="TP903" s="471"/>
      <c r="TQ903" s="471"/>
      <c r="TR903" s="471"/>
      <c r="TS903" s="471"/>
      <c r="TT903" s="471"/>
      <c r="TU903" s="471"/>
      <c r="TV903" s="471"/>
      <c r="TW903" s="471"/>
      <c r="TX903" s="471"/>
      <c r="TY903" s="471"/>
      <c r="TZ903" s="471"/>
      <c r="UA903" s="471"/>
      <c r="UB903" s="471"/>
      <c r="UC903" s="471"/>
      <c r="UD903" s="471"/>
      <c r="UE903" s="471"/>
      <c r="UF903" s="471"/>
      <c r="UG903" s="471"/>
      <c r="UH903" s="471"/>
      <c r="UI903" s="471"/>
      <c r="UJ903" s="471"/>
      <c r="UK903" s="471"/>
      <c r="UL903" s="471"/>
      <c r="UM903" s="471"/>
      <c r="UN903" s="471"/>
      <c r="UO903" s="471"/>
      <c r="UP903" s="471"/>
      <c r="UQ903" s="471"/>
      <c r="UR903" s="471"/>
      <c r="US903" s="471"/>
      <c r="UT903" s="471"/>
      <c r="UU903" s="471"/>
      <c r="UV903" s="471"/>
      <c r="UW903" s="471"/>
      <c r="UX903" s="471"/>
      <c r="UY903" s="471"/>
      <c r="UZ903" s="471"/>
      <c r="VA903" s="471"/>
      <c r="VB903" s="471"/>
      <c r="VC903" s="471"/>
      <c r="VD903" s="471"/>
      <c r="VE903" s="471"/>
      <c r="VF903" s="471"/>
      <c r="VG903" s="471"/>
      <c r="VH903" s="471"/>
      <c r="VI903" s="471"/>
      <c r="VJ903" s="471"/>
      <c r="VK903" s="471"/>
      <c r="VL903" s="471"/>
      <c r="VM903" s="471"/>
      <c r="VN903" s="471"/>
      <c r="VO903" s="471"/>
      <c r="VP903" s="471"/>
      <c r="VQ903" s="471"/>
      <c r="VR903" s="471"/>
      <c r="VS903" s="471"/>
      <c r="VT903" s="471"/>
      <c r="VU903" s="471"/>
      <c r="VV903" s="471"/>
      <c r="VW903" s="471"/>
      <c r="VX903" s="471"/>
      <c r="VY903" s="471"/>
      <c r="VZ903" s="471"/>
      <c r="WA903" s="471"/>
      <c r="WB903" s="471"/>
      <c r="WC903" s="471"/>
      <c r="WD903" s="471"/>
      <c r="WE903" s="471"/>
      <c r="WF903" s="471"/>
      <c r="WG903" s="471"/>
      <c r="WH903" s="471"/>
      <c r="WI903" s="471"/>
      <c r="WJ903" s="471"/>
      <c r="WK903" s="471"/>
      <c r="WL903" s="471"/>
      <c r="WM903" s="471"/>
      <c r="WN903" s="471"/>
      <c r="WO903" s="471"/>
      <c r="WP903" s="471"/>
      <c r="WQ903" s="471"/>
      <c r="WR903" s="471"/>
      <c r="WS903" s="471"/>
      <c r="WT903" s="471"/>
      <c r="WU903" s="471"/>
      <c r="WV903" s="471"/>
      <c r="WW903" s="471"/>
      <c r="WX903" s="471"/>
      <c r="WY903" s="471"/>
      <c r="WZ903" s="471"/>
      <c r="XA903" s="471"/>
      <c r="XB903" s="471"/>
      <c r="XC903" s="471"/>
      <c r="XD903" s="471"/>
      <c r="XE903" s="471"/>
      <c r="XF903" s="471"/>
      <c r="XG903" s="471"/>
      <c r="XH903" s="471"/>
      <c r="XI903" s="471"/>
      <c r="XJ903" s="471"/>
      <c r="XK903" s="471"/>
      <c r="XL903" s="471"/>
      <c r="XM903" s="471"/>
      <c r="XN903" s="471"/>
      <c r="XO903" s="471"/>
      <c r="XP903" s="471"/>
      <c r="XQ903" s="471"/>
      <c r="XR903" s="471"/>
      <c r="XS903" s="471"/>
      <c r="XT903" s="471"/>
      <c r="XU903" s="471"/>
      <c r="XV903" s="471"/>
      <c r="XW903" s="471"/>
      <c r="XX903" s="471"/>
      <c r="XY903" s="471"/>
      <c r="XZ903" s="471"/>
      <c r="YA903" s="471"/>
      <c r="YB903" s="471"/>
      <c r="YC903" s="471"/>
      <c r="YD903" s="471"/>
      <c r="YE903" s="471"/>
      <c r="YF903" s="471"/>
      <c r="YG903" s="471"/>
      <c r="YH903" s="471"/>
      <c r="YI903" s="471"/>
      <c r="YJ903" s="471"/>
      <c r="YK903" s="471"/>
      <c r="YL903" s="471"/>
      <c r="YM903" s="471"/>
      <c r="YN903" s="471"/>
      <c r="YO903" s="471"/>
      <c r="YP903" s="471"/>
      <c r="YQ903" s="471"/>
      <c r="YR903" s="471"/>
      <c r="YS903" s="471"/>
      <c r="YT903" s="471"/>
      <c r="YU903" s="471"/>
      <c r="YV903" s="471"/>
      <c r="YW903" s="471"/>
      <c r="YX903" s="471"/>
      <c r="YY903" s="471"/>
      <c r="YZ903" s="471"/>
      <c r="ZA903" s="471"/>
      <c r="ZB903" s="471"/>
      <c r="ZC903" s="471"/>
      <c r="ZD903" s="471"/>
      <c r="ZE903" s="471"/>
      <c r="ZF903" s="471"/>
      <c r="ZG903" s="471"/>
      <c r="ZH903" s="471"/>
      <c r="ZI903" s="471"/>
      <c r="ZJ903" s="471"/>
      <c r="ZK903" s="471"/>
      <c r="ZL903" s="471"/>
      <c r="ZM903" s="471"/>
      <c r="ZN903" s="471"/>
      <c r="ZO903" s="471"/>
      <c r="ZP903" s="471"/>
      <c r="ZQ903" s="471"/>
      <c r="ZR903" s="471"/>
      <c r="ZS903" s="471"/>
      <c r="ZT903" s="471"/>
      <c r="ZU903" s="471"/>
      <c r="ZV903" s="471"/>
      <c r="ZW903" s="471"/>
      <c r="ZX903" s="471"/>
      <c r="ZY903" s="471"/>
      <c r="ZZ903" s="471"/>
      <c r="AAA903" s="471"/>
      <c r="AAB903" s="471"/>
      <c r="AAC903" s="471"/>
      <c r="AAD903" s="471"/>
      <c r="AAE903" s="471"/>
      <c r="AAF903" s="471"/>
      <c r="AAG903" s="471"/>
      <c r="AAH903" s="471"/>
      <c r="AAI903" s="471"/>
      <c r="AAJ903" s="471"/>
      <c r="AAK903" s="471"/>
      <c r="AAL903" s="471"/>
      <c r="AAM903" s="471"/>
      <c r="AAN903" s="471"/>
      <c r="AAO903" s="471"/>
      <c r="AAP903" s="471"/>
      <c r="AAQ903" s="471"/>
      <c r="AAR903" s="471"/>
      <c r="AAS903" s="471"/>
      <c r="AAT903" s="471"/>
      <c r="AAU903" s="471"/>
      <c r="AAV903" s="471"/>
      <c r="AAW903" s="471"/>
      <c r="AAX903" s="471"/>
      <c r="AAY903" s="471"/>
      <c r="AAZ903" s="471"/>
      <c r="ABA903" s="471"/>
      <c r="ABB903" s="471"/>
      <c r="ABC903" s="471"/>
      <c r="ABD903" s="471"/>
      <c r="ABE903" s="471"/>
      <c r="ABF903" s="471"/>
      <c r="ABG903" s="471"/>
      <c r="ABH903" s="471"/>
      <c r="ABI903" s="471"/>
      <c r="ABJ903" s="471"/>
      <c r="ABK903" s="471"/>
      <c r="ABL903" s="471"/>
      <c r="ABM903" s="471"/>
      <c r="ABN903" s="471"/>
      <c r="ABO903" s="471"/>
      <c r="ABP903" s="471"/>
      <c r="ABQ903" s="471"/>
      <c r="ABR903" s="471"/>
      <c r="ABS903" s="471"/>
      <c r="ABT903" s="471"/>
      <c r="ABU903" s="471"/>
      <c r="ABV903" s="471"/>
      <c r="ABW903" s="471"/>
      <c r="ABX903" s="471"/>
      <c r="ABY903" s="471"/>
      <c r="ABZ903" s="471"/>
      <c r="ACA903" s="471"/>
      <c r="ACB903" s="471"/>
      <c r="ACC903" s="471"/>
      <c r="ACD903" s="471"/>
      <c r="ACE903" s="471"/>
      <c r="ACF903" s="471"/>
      <c r="ACG903" s="471"/>
      <c r="ACH903" s="471"/>
      <c r="ACI903" s="471"/>
      <c r="ACJ903" s="471"/>
      <c r="ACK903" s="471"/>
      <c r="ACL903" s="471"/>
      <c r="ACM903" s="471"/>
      <c r="ACN903" s="471"/>
      <c r="ACO903" s="471"/>
      <c r="ACP903" s="471"/>
      <c r="ACQ903" s="471"/>
      <c r="ACR903" s="471"/>
      <c r="ACS903" s="471"/>
      <c r="ACT903" s="471"/>
      <c r="ACU903" s="471"/>
      <c r="ACV903" s="471"/>
      <c r="ACW903" s="471"/>
      <c r="ACX903" s="471"/>
      <c r="ACY903" s="471"/>
      <c r="ACZ903" s="471"/>
      <c r="ADA903" s="471"/>
      <c r="ADB903" s="471"/>
      <c r="ADC903" s="471"/>
      <c r="ADD903" s="471"/>
      <c r="ADE903" s="471"/>
      <c r="ADF903" s="471"/>
      <c r="ADG903" s="471"/>
      <c r="ADH903" s="471"/>
      <c r="ADI903" s="471"/>
      <c r="ADJ903" s="471"/>
      <c r="ADK903" s="471"/>
      <c r="ADL903" s="471"/>
      <c r="ADM903" s="471"/>
      <c r="ADN903" s="471"/>
      <c r="ADO903" s="471"/>
      <c r="ADP903" s="471"/>
      <c r="ADQ903" s="471"/>
      <c r="ADR903" s="471"/>
      <c r="ADS903" s="471"/>
      <c r="ADT903" s="471"/>
      <c r="ADU903" s="471"/>
      <c r="ADV903" s="471"/>
      <c r="ADW903" s="471"/>
      <c r="ADX903" s="471"/>
      <c r="ADY903" s="471"/>
      <c r="ADZ903" s="471"/>
      <c r="AEA903" s="471"/>
      <c r="AEB903" s="471"/>
      <c r="AEC903" s="471"/>
      <c r="AED903" s="471"/>
      <c r="AEE903" s="471"/>
      <c r="AEF903" s="471"/>
      <c r="AEG903" s="471"/>
      <c r="AEH903" s="471"/>
      <c r="AEI903" s="471"/>
      <c r="AEJ903" s="471"/>
      <c r="AEK903" s="471"/>
      <c r="AEL903" s="471"/>
      <c r="AEM903" s="471"/>
      <c r="AEN903" s="471"/>
      <c r="AEO903" s="471"/>
      <c r="AEP903" s="471"/>
      <c r="AEQ903" s="471"/>
      <c r="AER903" s="471"/>
      <c r="AES903" s="471"/>
      <c r="AET903" s="471"/>
      <c r="AEU903" s="471"/>
      <c r="AEV903" s="471"/>
      <c r="AEW903" s="471"/>
      <c r="AEX903" s="471"/>
      <c r="AEY903" s="471"/>
      <c r="AEZ903" s="471"/>
      <c r="AFA903" s="471"/>
      <c r="AFB903" s="471"/>
      <c r="AFC903" s="471"/>
      <c r="AFD903" s="471"/>
      <c r="AFE903" s="471"/>
      <c r="AFF903" s="471"/>
      <c r="AFG903" s="471"/>
      <c r="AFH903" s="471"/>
      <c r="AFI903" s="471"/>
      <c r="AFJ903" s="471"/>
      <c r="AFK903" s="471"/>
      <c r="AFL903" s="471"/>
      <c r="AFM903" s="471"/>
      <c r="AFN903" s="471"/>
      <c r="AFO903" s="471"/>
      <c r="AFP903" s="471"/>
      <c r="AFQ903" s="471"/>
      <c r="AFR903" s="471"/>
      <c r="AFS903" s="471"/>
      <c r="AFT903" s="471"/>
      <c r="AFU903" s="471"/>
      <c r="AFV903" s="471"/>
      <c r="AFW903" s="471"/>
      <c r="AFX903" s="471"/>
      <c r="AFY903" s="471"/>
      <c r="AFZ903" s="471"/>
      <c r="AGA903" s="471"/>
      <c r="AGB903" s="471"/>
      <c r="AGC903" s="471"/>
      <c r="AGD903" s="471"/>
      <c r="AGE903" s="471"/>
      <c r="AGF903" s="471"/>
      <c r="AGG903" s="471"/>
      <c r="AGH903" s="471"/>
      <c r="AGI903" s="471"/>
      <c r="AGJ903" s="471"/>
      <c r="AGK903" s="471"/>
      <c r="AGL903" s="471"/>
      <c r="AGM903" s="471"/>
      <c r="AGN903" s="471"/>
      <c r="AGO903" s="471"/>
      <c r="AGP903" s="471"/>
      <c r="AGQ903" s="471"/>
      <c r="AGR903" s="471"/>
      <c r="AGS903" s="471"/>
      <c r="AGT903" s="471"/>
      <c r="AGU903" s="471"/>
      <c r="AGV903" s="471"/>
      <c r="AGW903" s="471"/>
      <c r="AGX903" s="471"/>
      <c r="AGY903" s="471"/>
      <c r="AGZ903" s="471"/>
      <c r="AHA903" s="471"/>
      <c r="AHB903" s="471"/>
      <c r="AHC903" s="471"/>
      <c r="AHD903" s="471"/>
      <c r="AHE903" s="471"/>
      <c r="AHF903" s="471"/>
      <c r="AHG903" s="471"/>
      <c r="AHH903" s="471"/>
      <c r="AHI903" s="471"/>
      <c r="AHJ903" s="471"/>
      <c r="AHK903" s="471"/>
      <c r="AHL903" s="471"/>
      <c r="AHM903" s="471"/>
      <c r="AHN903" s="471"/>
      <c r="AHO903" s="471"/>
      <c r="AHP903" s="471"/>
      <c r="AHQ903" s="471"/>
      <c r="AHR903" s="471"/>
      <c r="AHS903" s="471"/>
      <c r="AHT903" s="471"/>
      <c r="AHU903" s="471"/>
      <c r="AHV903" s="471"/>
      <c r="AHW903" s="471"/>
      <c r="AHX903" s="471"/>
      <c r="AHY903" s="471"/>
      <c r="AHZ903" s="471"/>
      <c r="AIA903" s="471"/>
      <c r="AIB903" s="471"/>
      <c r="AIC903" s="471"/>
      <c r="AID903" s="471"/>
      <c r="AIE903" s="471"/>
      <c r="AIF903" s="471"/>
      <c r="AIG903" s="471"/>
      <c r="AIH903" s="471"/>
      <c r="AII903" s="471"/>
      <c r="AIJ903" s="471"/>
      <c r="AIK903" s="471"/>
      <c r="AIL903" s="471"/>
      <c r="AIM903" s="471"/>
      <c r="AIN903" s="471"/>
      <c r="AIO903" s="471"/>
      <c r="AIP903" s="471"/>
      <c r="AIQ903" s="471"/>
      <c r="AIR903" s="471"/>
      <c r="AIS903" s="471"/>
      <c r="AIT903" s="471"/>
      <c r="AIU903" s="471"/>
      <c r="AIV903" s="471"/>
      <c r="AIW903" s="471"/>
      <c r="AIX903" s="471"/>
      <c r="AIY903" s="471"/>
      <c r="AIZ903" s="471"/>
      <c r="AJA903" s="471"/>
      <c r="AJB903" s="471"/>
      <c r="AJC903" s="471"/>
      <c r="AJD903" s="471"/>
      <c r="AJE903" s="471"/>
      <c r="AJF903" s="471"/>
      <c r="AJG903" s="471"/>
      <c r="AJH903" s="471"/>
      <c r="AJI903" s="471"/>
      <c r="AJJ903" s="471"/>
      <c r="AJK903" s="471"/>
      <c r="AJL903" s="471"/>
      <c r="AJM903" s="471"/>
      <c r="AJN903" s="471"/>
      <c r="AJO903" s="471"/>
      <c r="AJP903" s="471"/>
      <c r="AJQ903" s="471"/>
      <c r="AJR903" s="471"/>
      <c r="AJS903" s="471"/>
      <c r="AJT903" s="471"/>
      <c r="AJU903" s="471"/>
      <c r="AJV903" s="471"/>
      <c r="AJW903" s="471"/>
      <c r="AJX903" s="471"/>
      <c r="AJY903" s="471"/>
      <c r="AJZ903" s="471"/>
      <c r="AKA903" s="471"/>
      <c r="AKB903" s="471"/>
      <c r="AKC903" s="471"/>
      <c r="AKD903" s="471"/>
      <c r="AKE903" s="471"/>
      <c r="AKF903" s="471"/>
      <c r="AKG903" s="471"/>
      <c r="AKH903" s="471"/>
      <c r="AKI903" s="471"/>
      <c r="AKJ903" s="471"/>
      <c r="AKK903" s="471"/>
      <c r="AKL903" s="471"/>
      <c r="AKM903" s="471"/>
      <c r="AKN903" s="471"/>
      <c r="AKO903" s="471"/>
      <c r="AKP903" s="471"/>
      <c r="AKQ903" s="471"/>
      <c r="AKR903" s="471"/>
      <c r="AKS903" s="471"/>
      <c r="AKT903" s="471"/>
      <c r="AKU903" s="471"/>
      <c r="AKV903" s="471"/>
      <c r="AKW903" s="471"/>
      <c r="AKX903" s="471"/>
      <c r="AKY903" s="471"/>
      <c r="AKZ903" s="471"/>
      <c r="ALA903" s="471"/>
      <c r="ALB903" s="471"/>
      <c r="ALC903" s="471"/>
      <c r="ALD903" s="471"/>
      <c r="ALE903" s="471"/>
      <c r="ALF903" s="471"/>
      <c r="ALG903" s="471"/>
      <c r="ALH903" s="471"/>
      <c r="ALI903" s="471"/>
      <c r="ALJ903" s="471"/>
      <c r="ALK903" s="471"/>
      <c r="ALL903" s="471"/>
      <c r="ALM903" s="471"/>
      <c r="ALN903" s="471"/>
      <c r="ALO903" s="471"/>
      <c r="ALP903" s="471"/>
      <c r="ALQ903" s="471"/>
      <c r="ALR903" s="471"/>
      <c r="ALS903" s="471"/>
      <c r="ALT903" s="471"/>
      <c r="ALU903" s="471"/>
      <c r="ALV903" s="471"/>
      <c r="ALW903" s="471"/>
      <c r="ALX903" s="471"/>
      <c r="ALY903" s="471"/>
      <c r="ALZ903" s="471"/>
      <c r="AMA903" s="471"/>
      <c r="AMB903" s="471"/>
      <c r="AMC903" s="471"/>
      <c r="AMD903" s="471"/>
      <c r="AME903" s="471"/>
      <c r="AMF903" s="471"/>
      <c r="AMG903" s="471"/>
      <c r="AMH903" s="471"/>
      <c r="AMI903" s="471"/>
      <c r="AMJ903" s="471"/>
      <c r="AMK903" s="471"/>
      <c r="AML903" s="471"/>
      <c r="AMM903" s="471"/>
      <c r="AMN903" s="471"/>
      <c r="AMO903" s="471"/>
      <c r="AMP903" s="471"/>
      <c r="AMQ903" s="471"/>
      <c r="AMR903" s="471"/>
      <c r="AMS903" s="471"/>
      <c r="AMT903" s="471"/>
      <c r="AMU903" s="471"/>
      <c r="AMV903" s="471"/>
      <c r="AMW903" s="471"/>
      <c r="AMX903" s="471"/>
      <c r="AMY903" s="471"/>
      <c r="AMZ903" s="471"/>
      <c r="ANA903" s="471"/>
      <c r="ANB903" s="471"/>
      <c r="ANC903" s="471"/>
      <c r="AND903" s="471"/>
      <c r="ANE903" s="471"/>
      <c r="ANF903" s="471"/>
      <c r="ANG903" s="471"/>
      <c r="ANH903" s="471"/>
      <c r="ANI903" s="471"/>
      <c r="ANJ903" s="471"/>
      <c r="ANK903" s="471"/>
      <c r="ANL903" s="471"/>
      <c r="ANM903" s="471"/>
      <c r="ANN903" s="471"/>
      <c r="ANO903" s="471"/>
      <c r="ANP903" s="471"/>
      <c r="ANQ903" s="471"/>
      <c r="ANR903" s="471"/>
      <c r="ANS903" s="471"/>
      <c r="ANT903" s="471"/>
      <c r="ANU903" s="471"/>
      <c r="ANV903" s="471"/>
      <c r="ANW903" s="471"/>
      <c r="ANX903" s="471"/>
      <c r="ANY903" s="471"/>
      <c r="ANZ903" s="471"/>
      <c r="AOA903" s="471"/>
      <c r="AOB903" s="471"/>
      <c r="AOC903" s="471"/>
      <c r="AOD903" s="471"/>
      <c r="AOE903" s="471"/>
      <c r="AOF903" s="471"/>
      <c r="AOG903" s="471"/>
      <c r="AOH903" s="471"/>
      <c r="AOI903" s="471"/>
      <c r="AOJ903" s="471"/>
      <c r="AOK903" s="471"/>
      <c r="AOL903" s="471"/>
      <c r="AOM903" s="471"/>
      <c r="AON903" s="471"/>
      <c r="AOO903" s="471"/>
      <c r="AOP903" s="471"/>
      <c r="AOQ903" s="471"/>
      <c r="AOR903" s="471"/>
      <c r="AOS903" s="471"/>
      <c r="AOT903" s="471"/>
      <c r="AOU903" s="471"/>
      <c r="AOV903" s="471"/>
      <c r="AOW903" s="471"/>
      <c r="AOX903" s="471"/>
      <c r="AOY903" s="471"/>
      <c r="AOZ903" s="471"/>
      <c r="APA903" s="471"/>
      <c r="APB903" s="471"/>
      <c r="APC903" s="471"/>
      <c r="APD903" s="471"/>
      <c r="APE903" s="471"/>
      <c r="APF903" s="471"/>
      <c r="APG903" s="471"/>
      <c r="APH903" s="471"/>
      <c r="API903" s="471"/>
      <c r="APJ903" s="471"/>
      <c r="APK903" s="471"/>
      <c r="APL903" s="471"/>
      <c r="APM903" s="471"/>
      <c r="APN903" s="471"/>
      <c r="APO903" s="471"/>
      <c r="APP903" s="471"/>
      <c r="APQ903" s="471"/>
      <c r="APR903" s="471"/>
      <c r="APS903" s="471"/>
      <c r="APT903" s="471"/>
      <c r="APU903" s="471"/>
      <c r="APV903" s="471"/>
      <c r="APW903" s="471"/>
      <c r="APX903" s="471"/>
      <c r="APY903" s="471"/>
      <c r="APZ903" s="471"/>
      <c r="AQA903" s="471"/>
      <c r="AQB903" s="471"/>
      <c r="AQC903" s="471"/>
      <c r="AQD903" s="471"/>
      <c r="AQE903" s="471"/>
      <c r="AQF903" s="471"/>
      <c r="AQG903" s="471"/>
      <c r="AQH903" s="471"/>
      <c r="AQI903" s="471"/>
      <c r="AQJ903" s="471"/>
      <c r="AQK903" s="471"/>
      <c r="AQL903" s="471"/>
      <c r="AQM903" s="471"/>
      <c r="AQN903" s="471"/>
      <c r="AQO903" s="471"/>
      <c r="AQP903" s="471"/>
      <c r="AQQ903" s="471"/>
      <c r="AQR903" s="471"/>
      <c r="AQS903" s="471"/>
      <c r="AQT903" s="471"/>
      <c r="AQU903" s="471"/>
      <c r="AQV903" s="471"/>
      <c r="AQW903" s="471"/>
      <c r="AQX903" s="471"/>
      <c r="AQY903" s="471"/>
      <c r="AQZ903" s="471"/>
      <c r="ARA903" s="471"/>
      <c r="ARB903" s="471"/>
      <c r="ARC903" s="471"/>
      <c r="ARD903" s="471"/>
      <c r="ARE903" s="471"/>
      <c r="ARF903" s="471"/>
      <c r="ARG903" s="471"/>
      <c r="ARH903" s="471"/>
      <c r="ARI903" s="471"/>
      <c r="ARJ903" s="471"/>
      <c r="ARK903" s="471"/>
      <c r="ARL903" s="471"/>
      <c r="ARM903" s="471"/>
      <c r="ARN903" s="471"/>
      <c r="ARO903" s="471"/>
      <c r="ARP903" s="471"/>
      <c r="ARQ903" s="471"/>
      <c r="ARR903" s="471"/>
      <c r="ARS903" s="471"/>
      <c r="ART903" s="471"/>
      <c r="ARU903" s="471"/>
      <c r="ARV903" s="471"/>
      <c r="ARW903" s="471"/>
      <c r="ARX903" s="471"/>
      <c r="ARY903" s="471"/>
      <c r="ARZ903" s="471"/>
      <c r="ASA903" s="471"/>
      <c r="ASB903" s="471"/>
      <c r="ASC903" s="471"/>
      <c r="ASD903" s="471"/>
      <c r="ASE903" s="471"/>
      <c r="ASF903" s="471"/>
      <c r="ASG903" s="471"/>
      <c r="ASH903" s="471"/>
      <c r="ASI903" s="471"/>
      <c r="ASJ903" s="471"/>
      <c r="ASK903" s="471"/>
      <c r="ASL903" s="471"/>
      <c r="ASM903" s="471"/>
      <c r="ASN903" s="471"/>
      <c r="ASO903" s="471"/>
      <c r="ASP903" s="471"/>
      <c r="ASQ903" s="471"/>
      <c r="ASR903" s="471"/>
      <c r="ASS903" s="471"/>
      <c r="AST903" s="471"/>
      <c r="ASU903" s="471"/>
      <c r="ASV903" s="471"/>
      <c r="ASW903" s="471"/>
      <c r="ASX903" s="471"/>
      <c r="ASY903" s="471"/>
      <c r="ASZ903" s="471"/>
      <c r="ATA903" s="471"/>
      <c r="ATB903" s="471"/>
      <c r="ATC903" s="471"/>
      <c r="ATD903" s="471"/>
      <c r="ATE903" s="471"/>
      <c r="ATF903" s="471"/>
      <c r="ATG903" s="471"/>
      <c r="ATH903" s="471"/>
      <c r="ATI903" s="471"/>
      <c r="ATJ903" s="471"/>
      <c r="ATK903" s="471"/>
      <c r="ATL903" s="471"/>
      <c r="ATM903" s="471"/>
      <c r="ATN903" s="471"/>
      <c r="ATO903" s="471"/>
      <c r="ATP903" s="471"/>
      <c r="ATQ903" s="471"/>
      <c r="ATR903" s="471"/>
      <c r="ATS903" s="471"/>
      <c r="ATT903" s="471"/>
      <c r="ATU903" s="471"/>
      <c r="ATV903" s="471"/>
      <c r="ATW903" s="471"/>
      <c r="ATX903" s="471"/>
      <c r="ATY903" s="471"/>
      <c r="ATZ903" s="471"/>
      <c r="AUA903" s="471"/>
      <c r="AUB903" s="471"/>
      <c r="AUC903" s="471"/>
      <c r="AUD903" s="471"/>
      <c r="AUE903" s="471"/>
      <c r="AUF903" s="471"/>
      <c r="AUG903" s="471"/>
      <c r="AUH903" s="471"/>
      <c r="AUI903" s="471"/>
      <c r="AUJ903" s="471"/>
      <c r="AUK903" s="471"/>
      <c r="AUL903" s="471"/>
      <c r="AUM903" s="471"/>
      <c r="AUN903" s="471"/>
      <c r="AUO903" s="471"/>
      <c r="AUP903" s="471"/>
      <c r="AUQ903" s="471"/>
      <c r="AUR903" s="471"/>
      <c r="AUS903" s="471"/>
      <c r="AUT903" s="471"/>
      <c r="AUU903" s="471"/>
      <c r="AUV903" s="471"/>
      <c r="AUW903" s="471"/>
      <c r="AUX903" s="471"/>
      <c r="AUY903" s="471"/>
      <c r="AUZ903" s="471"/>
      <c r="AVA903" s="471"/>
      <c r="AVB903" s="471"/>
      <c r="AVC903" s="471"/>
      <c r="AVD903" s="471"/>
      <c r="AVE903" s="471"/>
      <c r="AVF903" s="471"/>
      <c r="AVG903" s="471"/>
      <c r="AVH903" s="471"/>
      <c r="AVI903" s="471"/>
      <c r="AVJ903" s="471"/>
      <c r="AVK903" s="471"/>
    </row>
    <row r="904" spans="1:1259" s="511" customFormat="1" ht="15" customHeight="1">
      <c r="A904" s="472"/>
      <c r="B904" s="472"/>
      <c r="C904" s="472"/>
      <c r="D904" s="512" t="s">
        <v>3186</v>
      </c>
      <c r="E904" s="501"/>
      <c r="F904" s="501"/>
      <c r="G904" s="501">
        <v>2022</v>
      </c>
      <c r="H904" s="501"/>
      <c r="I904" s="496" t="s">
        <v>1676</v>
      </c>
      <c r="J904" s="502"/>
      <c r="K904" s="503" t="s">
        <v>4874</v>
      </c>
      <c r="L904" s="501" t="s">
        <v>3297</v>
      </c>
      <c r="M904" s="504">
        <v>44601</v>
      </c>
      <c r="N904" s="504">
        <v>44650</v>
      </c>
      <c r="O904" s="504"/>
      <c r="P904" s="502"/>
      <c r="Q904" s="502"/>
      <c r="R904" s="502"/>
      <c r="S904" s="501" t="s">
        <v>2379</v>
      </c>
      <c r="T904" s="501">
        <v>60</v>
      </c>
      <c r="U904" s="501"/>
      <c r="V904" s="501" t="s">
        <v>973</v>
      </c>
      <c r="W904" s="501">
        <v>400</v>
      </c>
      <c r="X904" s="505">
        <v>416</v>
      </c>
      <c r="Y904" s="491">
        <f t="shared" si="130"/>
        <v>166400</v>
      </c>
      <c r="Z904" s="506">
        <v>0.54</v>
      </c>
      <c r="AA904" s="492">
        <f t="shared" si="134"/>
        <v>89856</v>
      </c>
      <c r="AB904" s="480"/>
      <c r="AC904" s="481">
        <f t="shared" si="131"/>
        <v>0</v>
      </c>
      <c r="AD904" s="508"/>
      <c r="AE904" s="507">
        <v>3425.76</v>
      </c>
      <c r="AF904" s="493">
        <f t="shared" si="132"/>
        <v>93281.76</v>
      </c>
      <c r="AG904" s="501" t="s">
        <v>47</v>
      </c>
      <c r="AH904" s="501"/>
      <c r="AI904" s="503">
        <v>60</v>
      </c>
      <c r="AJ904" s="501" t="s">
        <v>1950</v>
      </c>
      <c r="AK904" s="509" t="s">
        <v>50</v>
      </c>
      <c r="AL904" s="501">
        <v>91761</v>
      </c>
      <c r="AM904" s="501" t="s">
        <v>52</v>
      </c>
      <c r="AN904" s="501"/>
      <c r="AO904" s="501"/>
      <c r="AP904" s="510"/>
      <c r="AQ904" s="510" t="s">
        <v>37</v>
      </c>
      <c r="AR904" s="510"/>
      <c r="AS904" s="495"/>
      <c r="AT904" s="495"/>
      <c r="AU904" s="495"/>
      <c r="AV904" s="506">
        <f t="shared" si="133"/>
        <v>0.48000000000000004</v>
      </c>
      <c r="AW904" s="471"/>
      <c r="AX904" s="471"/>
      <c r="AY904" s="471"/>
      <c r="AZ904" s="471"/>
      <c r="BA904" s="471"/>
      <c r="BB904" s="471"/>
      <c r="BC904" s="471"/>
      <c r="BD904" s="471"/>
      <c r="BE904" s="471"/>
      <c r="BF904" s="471"/>
      <c r="BG904" s="471"/>
      <c r="BH904" s="471"/>
      <c r="BI904" s="471"/>
      <c r="BJ904" s="471"/>
      <c r="BK904" s="471"/>
      <c r="BL904" s="471"/>
      <c r="BM904" s="471"/>
      <c r="BN904" s="471"/>
      <c r="BO904" s="471"/>
      <c r="BP904" s="471"/>
      <c r="BQ904" s="471"/>
      <c r="BR904" s="471"/>
      <c r="BS904" s="471"/>
      <c r="BT904" s="471"/>
      <c r="BU904" s="471"/>
      <c r="BV904" s="471"/>
      <c r="BW904" s="471"/>
      <c r="BX904" s="471"/>
      <c r="BY904" s="471"/>
      <c r="BZ904" s="471"/>
      <c r="CA904" s="471"/>
      <c r="CB904" s="471"/>
      <c r="CC904" s="471"/>
      <c r="CD904" s="471"/>
      <c r="CE904" s="471"/>
      <c r="CF904" s="471"/>
      <c r="CG904" s="471"/>
      <c r="CH904" s="471"/>
      <c r="CI904" s="471"/>
      <c r="CJ904" s="471"/>
      <c r="CK904" s="471"/>
      <c r="CL904" s="471"/>
      <c r="CM904" s="471"/>
      <c r="CN904" s="471"/>
      <c r="CO904" s="471"/>
      <c r="CP904" s="471"/>
      <c r="CQ904" s="471"/>
      <c r="CR904" s="471"/>
      <c r="CS904" s="471"/>
      <c r="CT904" s="471"/>
      <c r="CU904" s="471"/>
      <c r="CV904" s="471"/>
      <c r="CW904" s="471"/>
      <c r="CX904" s="471"/>
      <c r="CY904" s="471"/>
      <c r="CZ904" s="471"/>
      <c r="DA904" s="471"/>
      <c r="DB904" s="471"/>
      <c r="DC904" s="471"/>
      <c r="DD904" s="471"/>
      <c r="DE904" s="471"/>
      <c r="DF904" s="471"/>
      <c r="DG904" s="471"/>
      <c r="DH904" s="471"/>
      <c r="DI904" s="471"/>
      <c r="DJ904" s="471"/>
      <c r="DK904" s="471"/>
      <c r="DL904" s="471"/>
      <c r="DM904" s="471"/>
      <c r="DN904" s="471"/>
      <c r="DO904" s="471"/>
      <c r="DP904" s="471"/>
      <c r="DQ904" s="471"/>
      <c r="DR904" s="471"/>
      <c r="DS904" s="471"/>
      <c r="DT904" s="471"/>
      <c r="DU904" s="471"/>
      <c r="DV904" s="471"/>
      <c r="DW904" s="471"/>
      <c r="DX904" s="471"/>
      <c r="DY904" s="471"/>
      <c r="DZ904" s="471"/>
      <c r="EA904" s="471"/>
      <c r="EB904" s="471"/>
      <c r="EC904" s="471"/>
      <c r="ED904" s="471"/>
      <c r="EE904" s="471"/>
      <c r="EF904" s="471"/>
      <c r="EG904" s="471"/>
      <c r="EH904" s="471"/>
      <c r="EI904" s="471"/>
      <c r="EJ904" s="471"/>
      <c r="EK904" s="471"/>
      <c r="EL904" s="471"/>
      <c r="EM904" s="471"/>
      <c r="EN904" s="471"/>
      <c r="EO904" s="471"/>
      <c r="EP904" s="471"/>
      <c r="EQ904" s="471"/>
      <c r="ER904" s="471"/>
      <c r="ES904" s="471"/>
      <c r="ET904" s="471"/>
      <c r="EU904" s="471"/>
      <c r="EV904" s="471"/>
      <c r="EW904" s="471"/>
      <c r="EX904" s="471"/>
      <c r="EY904" s="471"/>
      <c r="EZ904" s="471"/>
      <c r="FA904" s="471"/>
      <c r="FB904" s="471"/>
      <c r="FC904" s="471"/>
      <c r="FD904" s="471"/>
      <c r="FE904" s="471"/>
      <c r="FF904" s="471"/>
      <c r="FG904" s="471"/>
      <c r="FH904" s="471"/>
      <c r="FI904" s="471"/>
      <c r="FJ904" s="471"/>
      <c r="FK904" s="471"/>
      <c r="FL904" s="471"/>
      <c r="FM904" s="471"/>
      <c r="FN904" s="471"/>
      <c r="FO904" s="471"/>
      <c r="FP904" s="471"/>
      <c r="FQ904" s="471"/>
      <c r="FR904" s="471"/>
      <c r="FS904" s="471"/>
      <c r="FT904" s="471"/>
      <c r="FU904" s="471"/>
      <c r="FV904" s="471"/>
      <c r="FW904" s="471"/>
      <c r="FX904" s="471"/>
      <c r="FY904" s="471"/>
      <c r="FZ904" s="471"/>
      <c r="GA904" s="471"/>
      <c r="GB904" s="471"/>
      <c r="GC904" s="471"/>
      <c r="GD904" s="471"/>
      <c r="GE904" s="471"/>
      <c r="GF904" s="471"/>
      <c r="GG904" s="471"/>
      <c r="GH904" s="471"/>
      <c r="GI904" s="471"/>
      <c r="GJ904" s="471"/>
      <c r="GK904" s="471"/>
      <c r="GL904" s="471"/>
      <c r="GM904" s="471"/>
      <c r="GN904" s="471"/>
      <c r="GO904" s="471"/>
      <c r="GP904" s="471"/>
      <c r="GQ904" s="471"/>
      <c r="GR904" s="471"/>
      <c r="GS904" s="471"/>
      <c r="GT904" s="471"/>
      <c r="GU904" s="471"/>
      <c r="GV904" s="471"/>
      <c r="GW904" s="471"/>
      <c r="GX904" s="471"/>
      <c r="GY904" s="471"/>
      <c r="GZ904" s="471"/>
      <c r="HA904" s="471"/>
      <c r="HB904" s="471"/>
      <c r="HC904" s="471"/>
      <c r="HD904" s="471"/>
      <c r="HE904" s="471"/>
      <c r="HF904" s="471"/>
      <c r="HG904" s="471"/>
      <c r="HH904" s="471"/>
      <c r="HI904" s="471"/>
      <c r="HJ904" s="471"/>
      <c r="HK904" s="471"/>
      <c r="HL904" s="471"/>
      <c r="HM904" s="471"/>
      <c r="HN904" s="471"/>
      <c r="HO904" s="471"/>
      <c r="HP904" s="471"/>
      <c r="HQ904" s="471"/>
      <c r="HR904" s="471"/>
      <c r="HS904" s="471"/>
      <c r="HT904" s="471"/>
      <c r="HU904" s="471"/>
      <c r="HV904" s="471"/>
      <c r="HW904" s="471"/>
      <c r="HX904" s="471"/>
      <c r="HY904" s="471"/>
      <c r="HZ904" s="471"/>
      <c r="IA904" s="471"/>
      <c r="IB904" s="471"/>
      <c r="IC904" s="471"/>
      <c r="ID904" s="471"/>
      <c r="IE904" s="471"/>
      <c r="IF904" s="471"/>
      <c r="IG904" s="471"/>
      <c r="IH904" s="471"/>
      <c r="II904" s="471"/>
      <c r="IJ904" s="471"/>
      <c r="IK904" s="471"/>
      <c r="IL904" s="471"/>
      <c r="IM904" s="471"/>
      <c r="IN904" s="471"/>
      <c r="IO904" s="471"/>
      <c r="IP904" s="471"/>
      <c r="IQ904" s="471"/>
      <c r="IR904" s="471"/>
      <c r="IS904" s="471"/>
      <c r="IT904" s="471"/>
      <c r="IU904" s="471"/>
      <c r="IV904" s="471"/>
      <c r="IW904" s="471"/>
      <c r="IX904" s="471"/>
      <c r="IY904" s="471"/>
      <c r="IZ904" s="471"/>
      <c r="JA904" s="471"/>
      <c r="JB904" s="471"/>
      <c r="JC904" s="471"/>
      <c r="JD904" s="471"/>
      <c r="JE904" s="471"/>
      <c r="JF904" s="471"/>
      <c r="JG904" s="471"/>
      <c r="JH904" s="471"/>
      <c r="JI904" s="471"/>
      <c r="JJ904" s="471"/>
      <c r="JK904" s="471"/>
      <c r="JL904" s="471"/>
      <c r="JM904" s="471"/>
      <c r="JN904" s="471"/>
      <c r="JO904" s="471"/>
      <c r="JP904" s="471"/>
      <c r="JQ904" s="471"/>
      <c r="JR904" s="471"/>
      <c r="JS904" s="471"/>
      <c r="JT904" s="471"/>
      <c r="JU904" s="471"/>
      <c r="JV904" s="471"/>
      <c r="JW904" s="471"/>
      <c r="JX904" s="471"/>
      <c r="JY904" s="471"/>
      <c r="JZ904" s="471"/>
      <c r="KA904" s="471"/>
      <c r="KB904" s="471"/>
      <c r="KC904" s="471"/>
      <c r="KD904" s="471"/>
      <c r="KE904" s="471"/>
      <c r="KF904" s="471"/>
      <c r="KG904" s="471"/>
      <c r="KH904" s="471"/>
      <c r="KI904" s="471"/>
      <c r="KJ904" s="471"/>
      <c r="KK904" s="471"/>
      <c r="KL904" s="471"/>
      <c r="KM904" s="471"/>
      <c r="KN904" s="471"/>
      <c r="KO904" s="471"/>
      <c r="KP904" s="471"/>
      <c r="KQ904" s="471"/>
      <c r="KR904" s="471"/>
      <c r="KS904" s="471"/>
      <c r="KT904" s="471"/>
      <c r="KU904" s="471"/>
      <c r="KV904" s="471"/>
      <c r="KW904" s="471"/>
      <c r="KX904" s="471"/>
      <c r="KY904" s="471"/>
      <c r="KZ904" s="471"/>
      <c r="LA904" s="471"/>
      <c r="LB904" s="471"/>
      <c r="LC904" s="471"/>
      <c r="LD904" s="471"/>
      <c r="LE904" s="471"/>
      <c r="LF904" s="471"/>
      <c r="LG904" s="471"/>
      <c r="LH904" s="471"/>
      <c r="LI904" s="471"/>
      <c r="LJ904" s="471"/>
      <c r="LK904" s="471"/>
      <c r="LL904" s="471"/>
      <c r="LM904" s="471"/>
      <c r="LN904" s="471"/>
      <c r="LO904" s="471"/>
      <c r="LP904" s="471"/>
      <c r="LQ904" s="471"/>
      <c r="LR904" s="471"/>
      <c r="LS904" s="471"/>
      <c r="LT904" s="471"/>
      <c r="LU904" s="471"/>
      <c r="LV904" s="471"/>
      <c r="LW904" s="471"/>
      <c r="LX904" s="471"/>
      <c r="LY904" s="471"/>
      <c r="LZ904" s="471"/>
      <c r="MA904" s="471"/>
      <c r="MB904" s="471"/>
      <c r="MC904" s="471"/>
      <c r="MD904" s="471"/>
      <c r="ME904" s="471"/>
      <c r="MF904" s="471"/>
      <c r="MG904" s="471"/>
      <c r="MH904" s="471"/>
      <c r="MI904" s="471"/>
      <c r="MJ904" s="471"/>
      <c r="MK904" s="471"/>
      <c r="ML904" s="471"/>
      <c r="MM904" s="471"/>
      <c r="MN904" s="471"/>
      <c r="MO904" s="471"/>
      <c r="MP904" s="471"/>
      <c r="MQ904" s="471"/>
      <c r="MR904" s="471"/>
      <c r="MS904" s="471"/>
      <c r="MT904" s="471"/>
      <c r="MU904" s="471"/>
      <c r="MV904" s="471"/>
      <c r="MW904" s="471"/>
      <c r="MX904" s="471"/>
      <c r="MY904" s="471"/>
      <c r="MZ904" s="471"/>
      <c r="NA904" s="471"/>
      <c r="NB904" s="471"/>
      <c r="NC904" s="471"/>
      <c r="ND904" s="471"/>
      <c r="NE904" s="471"/>
      <c r="NF904" s="471"/>
      <c r="NG904" s="471"/>
      <c r="NH904" s="471"/>
      <c r="NI904" s="471"/>
      <c r="NJ904" s="471"/>
      <c r="NK904" s="471"/>
      <c r="NL904" s="471"/>
      <c r="NM904" s="471"/>
      <c r="NN904" s="471"/>
      <c r="NO904" s="471"/>
      <c r="NP904" s="471"/>
      <c r="NQ904" s="471"/>
      <c r="NR904" s="471"/>
      <c r="NS904" s="471"/>
      <c r="NT904" s="471"/>
      <c r="NU904" s="471"/>
      <c r="NV904" s="471"/>
      <c r="NW904" s="471"/>
      <c r="NX904" s="471"/>
      <c r="NY904" s="471"/>
      <c r="NZ904" s="471"/>
      <c r="OA904" s="471"/>
      <c r="OB904" s="471"/>
      <c r="OC904" s="471"/>
      <c r="OD904" s="471"/>
      <c r="OE904" s="471"/>
      <c r="OF904" s="471"/>
      <c r="OG904" s="471"/>
      <c r="OH904" s="471"/>
      <c r="OI904" s="471"/>
      <c r="OJ904" s="471"/>
      <c r="OK904" s="471"/>
      <c r="OL904" s="471"/>
      <c r="OM904" s="471"/>
      <c r="ON904" s="471"/>
      <c r="OO904" s="471"/>
      <c r="OP904" s="471"/>
      <c r="OQ904" s="471"/>
      <c r="OR904" s="471"/>
      <c r="OS904" s="471"/>
      <c r="OT904" s="471"/>
      <c r="OU904" s="471"/>
      <c r="OV904" s="471"/>
      <c r="OW904" s="471"/>
      <c r="OX904" s="471"/>
      <c r="OY904" s="471"/>
      <c r="OZ904" s="471"/>
      <c r="PA904" s="471"/>
      <c r="PB904" s="471"/>
      <c r="PC904" s="471"/>
      <c r="PD904" s="471"/>
      <c r="PE904" s="471"/>
      <c r="PF904" s="471"/>
      <c r="PG904" s="471"/>
      <c r="PH904" s="471"/>
      <c r="PI904" s="471"/>
      <c r="PJ904" s="471"/>
      <c r="PK904" s="471"/>
      <c r="PL904" s="471"/>
      <c r="PM904" s="471"/>
      <c r="PN904" s="471"/>
      <c r="PO904" s="471"/>
      <c r="PP904" s="471"/>
      <c r="PQ904" s="471"/>
      <c r="PR904" s="471"/>
      <c r="PS904" s="471"/>
      <c r="PT904" s="471"/>
      <c r="PU904" s="471"/>
      <c r="PV904" s="471"/>
      <c r="PW904" s="471"/>
      <c r="PX904" s="471"/>
      <c r="PY904" s="471"/>
      <c r="PZ904" s="471"/>
      <c r="QA904" s="471"/>
      <c r="QB904" s="471"/>
      <c r="QC904" s="471"/>
      <c r="QD904" s="471"/>
      <c r="QE904" s="471"/>
      <c r="QF904" s="471"/>
      <c r="QG904" s="471"/>
      <c r="QH904" s="471"/>
      <c r="QI904" s="471"/>
      <c r="QJ904" s="471"/>
      <c r="QK904" s="471"/>
      <c r="QL904" s="471"/>
      <c r="QM904" s="471"/>
      <c r="QN904" s="471"/>
      <c r="QO904" s="471"/>
      <c r="QP904" s="471"/>
      <c r="QQ904" s="471"/>
      <c r="QR904" s="471"/>
      <c r="QS904" s="471"/>
      <c r="QT904" s="471"/>
      <c r="QU904" s="471"/>
      <c r="QV904" s="471"/>
      <c r="QW904" s="471"/>
      <c r="QX904" s="471"/>
      <c r="QY904" s="471"/>
      <c r="QZ904" s="471"/>
      <c r="RA904" s="471"/>
      <c r="RB904" s="471"/>
      <c r="RC904" s="471"/>
      <c r="RD904" s="471"/>
      <c r="RE904" s="471"/>
      <c r="RF904" s="471"/>
      <c r="RG904" s="471"/>
      <c r="RH904" s="471"/>
      <c r="RI904" s="471"/>
      <c r="RJ904" s="471"/>
      <c r="RK904" s="471"/>
      <c r="RL904" s="471"/>
      <c r="RM904" s="471"/>
      <c r="RN904" s="471"/>
      <c r="RO904" s="471"/>
      <c r="RP904" s="471"/>
      <c r="RQ904" s="471"/>
      <c r="RR904" s="471"/>
      <c r="RS904" s="471"/>
      <c r="RT904" s="471"/>
      <c r="RU904" s="471"/>
      <c r="RV904" s="471"/>
      <c r="RW904" s="471"/>
      <c r="RX904" s="471"/>
      <c r="RY904" s="471"/>
      <c r="RZ904" s="471"/>
      <c r="SA904" s="471"/>
      <c r="SB904" s="471"/>
      <c r="SC904" s="471"/>
      <c r="SD904" s="471"/>
      <c r="SE904" s="471"/>
      <c r="SF904" s="471"/>
      <c r="SG904" s="471"/>
      <c r="SH904" s="471"/>
      <c r="SI904" s="471"/>
      <c r="SJ904" s="471"/>
      <c r="SK904" s="471"/>
      <c r="SL904" s="471"/>
      <c r="SM904" s="471"/>
      <c r="SN904" s="471"/>
      <c r="SO904" s="471"/>
      <c r="SP904" s="471"/>
      <c r="SQ904" s="471"/>
      <c r="SR904" s="471"/>
      <c r="SS904" s="471"/>
      <c r="ST904" s="471"/>
      <c r="SU904" s="471"/>
      <c r="SV904" s="471"/>
      <c r="SW904" s="471"/>
      <c r="SX904" s="471"/>
      <c r="SY904" s="471"/>
      <c r="SZ904" s="471"/>
      <c r="TA904" s="471"/>
      <c r="TB904" s="471"/>
      <c r="TC904" s="471"/>
      <c r="TD904" s="471"/>
      <c r="TE904" s="471"/>
      <c r="TF904" s="471"/>
      <c r="TG904" s="471"/>
      <c r="TH904" s="471"/>
      <c r="TI904" s="471"/>
      <c r="TJ904" s="471"/>
      <c r="TK904" s="471"/>
      <c r="TL904" s="471"/>
      <c r="TM904" s="471"/>
      <c r="TN904" s="471"/>
      <c r="TO904" s="471"/>
      <c r="TP904" s="471"/>
      <c r="TQ904" s="471"/>
      <c r="TR904" s="471"/>
      <c r="TS904" s="471"/>
      <c r="TT904" s="471"/>
      <c r="TU904" s="471"/>
      <c r="TV904" s="471"/>
      <c r="TW904" s="471"/>
      <c r="TX904" s="471"/>
      <c r="TY904" s="471"/>
      <c r="TZ904" s="471"/>
      <c r="UA904" s="471"/>
      <c r="UB904" s="471"/>
      <c r="UC904" s="471"/>
      <c r="UD904" s="471"/>
      <c r="UE904" s="471"/>
      <c r="UF904" s="471"/>
      <c r="UG904" s="471"/>
      <c r="UH904" s="471"/>
      <c r="UI904" s="471"/>
      <c r="UJ904" s="471"/>
      <c r="UK904" s="471"/>
      <c r="UL904" s="471"/>
      <c r="UM904" s="471"/>
      <c r="UN904" s="471"/>
      <c r="UO904" s="471"/>
      <c r="UP904" s="471"/>
      <c r="UQ904" s="471"/>
      <c r="UR904" s="471"/>
      <c r="US904" s="471"/>
      <c r="UT904" s="471"/>
      <c r="UU904" s="471"/>
      <c r="UV904" s="471"/>
      <c r="UW904" s="471"/>
      <c r="UX904" s="471"/>
      <c r="UY904" s="471"/>
      <c r="UZ904" s="471"/>
      <c r="VA904" s="471"/>
      <c r="VB904" s="471"/>
      <c r="VC904" s="471"/>
      <c r="VD904" s="471"/>
      <c r="VE904" s="471"/>
      <c r="VF904" s="471"/>
      <c r="VG904" s="471"/>
      <c r="VH904" s="471"/>
      <c r="VI904" s="471"/>
      <c r="VJ904" s="471"/>
      <c r="VK904" s="471"/>
      <c r="VL904" s="471"/>
      <c r="VM904" s="471"/>
      <c r="VN904" s="471"/>
      <c r="VO904" s="471"/>
      <c r="VP904" s="471"/>
      <c r="VQ904" s="471"/>
      <c r="VR904" s="471"/>
      <c r="VS904" s="471"/>
      <c r="VT904" s="471"/>
      <c r="VU904" s="471"/>
      <c r="VV904" s="471"/>
      <c r="VW904" s="471"/>
      <c r="VX904" s="471"/>
      <c r="VY904" s="471"/>
      <c r="VZ904" s="471"/>
      <c r="WA904" s="471"/>
      <c r="WB904" s="471"/>
      <c r="WC904" s="471"/>
      <c r="WD904" s="471"/>
      <c r="WE904" s="471"/>
      <c r="WF904" s="471"/>
      <c r="WG904" s="471"/>
      <c r="WH904" s="471"/>
      <c r="WI904" s="471"/>
      <c r="WJ904" s="471"/>
      <c r="WK904" s="471"/>
      <c r="WL904" s="471"/>
      <c r="WM904" s="471"/>
      <c r="WN904" s="471"/>
      <c r="WO904" s="471"/>
      <c r="WP904" s="471"/>
      <c r="WQ904" s="471"/>
      <c r="WR904" s="471"/>
      <c r="WS904" s="471"/>
      <c r="WT904" s="471"/>
      <c r="WU904" s="471"/>
      <c r="WV904" s="471"/>
      <c r="WW904" s="471"/>
      <c r="WX904" s="471"/>
      <c r="WY904" s="471"/>
      <c r="WZ904" s="471"/>
      <c r="XA904" s="471"/>
      <c r="XB904" s="471"/>
      <c r="XC904" s="471"/>
      <c r="XD904" s="471"/>
      <c r="XE904" s="471"/>
      <c r="XF904" s="471"/>
      <c r="XG904" s="471"/>
      <c r="XH904" s="471"/>
      <c r="XI904" s="471"/>
      <c r="XJ904" s="471"/>
      <c r="XK904" s="471"/>
      <c r="XL904" s="471"/>
      <c r="XM904" s="471"/>
      <c r="XN904" s="471"/>
      <c r="XO904" s="471"/>
      <c r="XP904" s="471"/>
      <c r="XQ904" s="471"/>
      <c r="XR904" s="471"/>
      <c r="XS904" s="471"/>
      <c r="XT904" s="471"/>
      <c r="XU904" s="471"/>
      <c r="XV904" s="471"/>
      <c r="XW904" s="471"/>
      <c r="XX904" s="471"/>
      <c r="XY904" s="471"/>
      <c r="XZ904" s="471"/>
      <c r="YA904" s="471"/>
      <c r="YB904" s="471"/>
      <c r="YC904" s="471"/>
      <c r="YD904" s="471"/>
      <c r="YE904" s="471"/>
      <c r="YF904" s="471"/>
      <c r="YG904" s="471"/>
      <c r="YH904" s="471"/>
      <c r="YI904" s="471"/>
      <c r="YJ904" s="471"/>
      <c r="YK904" s="471"/>
      <c r="YL904" s="471"/>
      <c r="YM904" s="471"/>
      <c r="YN904" s="471"/>
      <c r="YO904" s="471"/>
      <c r="YP904" s="471"/>
      <c r="YQ904" s="471"/>
      <c r="YR904" s="471"/>
      <c r="YS904" s="471"/>
      <c r="YT904" s="471"/>
      <c r="YU904" s="471"/>
      <c r="YV904" s="471"/>
      <c r="YW904" s="471"/>
      <c r="YX904" s="471"/>
      <c r="YY904" s="471"/>
      <c r="YZ904" s="471"/>
      <c r="ZA904" s="471"/>
      <c r="ZB904" s="471"/>
      <c r="ZC904" s="471"/>
      <c r="ZD904" s="471"/>
      <c r="ZE904" s="471"/>
      <c r="ZF904" s="471"/>
      <c r="ZG904" s="471"/>
      <c r="ZH904" s="471"/>
      <c r="ZI904" s="471"/>
      <c r="ZJ904" s="471"/>
      <c r="ZK904" s="471"/>
      <c r="ZL904" s="471"/>
      <c r="ZM904" s="471"/>
      <c r="ZN904" s="471"/>
      <c r="ZO904" s="471"/>
      <c r="ZP904" s="471"/>
      <c r="ZQ904" s="471"/>
      <c r="ZR904" s="471"/>
      <c r="ZS904" s="471"/>
      <c r="ZT904" s="471"/>
      <c r="ZU904" s="471"/>
      <c r="ZV904" s="471"/>
      <c r="ZW904" s="471"/>
      <c r="ZX904" s="471"/>
      <c r="ZY904" s="471"/>
      <c r="ZZ904" s="471"/>
      <c r="AAA904" s="471"/>
      <c r="AAB904" s="471"/>
      <c r="AAC904" s="471"/>
      <c r="AAD904" s="471"/>
      <c r="AAE904" s="471"/>
      <c r="AAF904" s="471"/>
      <c r="AAG904" s="471"/>
      <c r="AAH904" s="471"/>
      <c r="AAI904" s="471"/>
      <c r="AAJ904" s="471"/>
      <c r="AAK904" s="471"/>
      <c r="AAL904" s="471"/>
      <c r="AAM904" s="471"/>
      <c r="AAN904" s="471"/>
      <c r="AAO904" s="471"/>
      <c r="AAP904" s="471"/>
      <c r="AAQ904" s="471"/>
      <c r="AAR904" s="471"/>
      <c r="AAS904" s="471"/>
      <c r="AAT904" s="471"/>
      <c r="AAU904" s="471"/>
      <c r="AAV904" s="471"/>
      <c r="AAW904" s="471"/>
      <c r="AAX904" s="471"/>
      <c r="AAY904" s="471"/>
      <c r="AAZ904" s="471"/>
      <c r="ABA904" s="471"/>
      <c r="ABB904" s="471"/>
      <c r="ABC904" s="471"/>
      <c r="ABD904" s="471"/>
      <c r="ABE904" s="471"/>
      <c r="ABF904" s="471"/>
      <c r="ABG904" s="471"/>
      <c r="ABH904" s="471"/>
      <c r="ABI904" s="471"/>
      <c r="ABJ904" s="471"/>
      <c r="ABK904" s="471"/>
      <c r="ABL904" s="471"/>
      <c r="ABM904" s="471"/>
      <c r="ABN904" s="471"/>
      <c r="ABO904" s="471"/>
      <c r="ABP904" s="471"/>
      <c r="ABQ904" s="471"/>
      <c r="ABR904" s="471"/>
      <c r="ABS904" s="471"/>
      <c r="ABT904" s="471"/>
      <c r="ABU904" s="471"/>
      <c r="ABV904" s="471"/>
      <c r="ABW904" s="471"/>
      <c r="ABX904" s="471"/>
      <c r="ABY904" s="471"/>
      <c r="ABZ904" s="471"/>
      <c r="ACA904" s="471"/>
      <c r="ACB904" s="471"/>
      <c r="ACC904" s="471"/>
      <c r="ACD904" s="471"/>
      <c r="ACE904" s="471"/>
      <c r="ACF904" s="471"/>
      <c r="ACG904" s="471"/>
      <c r="ACH904" s="471"/>
      <c r="ACI904" s="471"/>
      <c r="ACJ904" s="471"/>
      <c r="ACK904" s="471"/>
      <c r="ACL904" s="471"/>
      <c r="ACM904" s="471"/>
      <c r="ACN904" s="471"/>
      <c r="ACO904" s="471"/>
      <c r="ACP904" s="471"/>
      <c r="ACQ904" s="471"/>
      <c r="ACR904" s="471"/>
      <c r="ACS904" s="471"/>
      <c r="ACT904" s="471"/>
      <c r="ACU904" s="471"/>
      <c r="ACV904" s="471"/>
      <c r="ACW904" s="471"/>
      <c r="ACX904" s="471"/>
      <c r="ACY904" s="471"/>
      <c r="ACZ904" s="471"/>
      <c r="ADA904" s="471"/>
      <c r="ADB904" s="471"/>
      <c r="ADC904" s="471"/>
      <c r="ADD904" s="471"/>
      <c r="ADE904" s="471"/>
      <c r="ADF904" s="471"/>
      <c r="ADG904" s="471"/>
      <c r="ADH904" s="471"/>
      <c r="ADI904" s="471"/>
      <c r="ADJ904" s="471"/>
      <c r="ADK904" s="471"/>
      <c r="ADL904" s="471"/>
      <c r="ADM904" s="471"/>
      <c r="ADN904" s="471"/>
      <c r="ADO904" s="471"/>
      <c r="ADP904" s="471"/>
      <c r="ADQ904" s="471"/>
      <c r="ADR904" s="471"/>
      <c r="ADS904" s="471"/>
      <c r="ADT904" s="471"/>
      <c r="ADU904" s="471"/>
      <c r="ADV904" s="471"/>
      <c r="ADW904" s="471"/>
      <c r="ADX904" s="471"/>
      <c r="ADY904" s="471"/>
      <c r="ADZ904" s="471"/>
      <c r="AEA904" s="471"/>
      <c r="AEB904" s="471"/>
      <c r="AEC904" s="471"/>
      <c r="AED904" s="471"/>
      <c r="AEE904" s="471"/>
      <c r="AEF904" s="471"/>
      <c r="AEG904" s="471"/>
      <c r="AEH904" s="471"/>
      <c r="AEI904" s="471"/>
      <c r="AEJ904" s="471"/>
      <c r="AEK904" s="471"/>
      <c r="AEL904" s="471"/>
      <c r="AEM904" s="471"/>
      <c r="AEN904" s="471"/>
      <c r="AEO904" s="471"/>
      <c r="AEP904" s="471"/>
      <c r="AEQ904" s="471"/>
      <c r="AER904" s="471"/>
      <c r="AES904" s="471"/>
      <c r="AET904" s="471"/>
      <c r="AEU904" s="471"/>
      <c r="AEV904" s="471"/>
      <c r="AEW904" s="471"/>
      <c r="AEX904" s="471"/>
      <c r="AEY904" s="471"/>
      <c r="AEZ904" s="471"/>
      <c r="AFA904" s="471"/>
      <c r="AFB904" s="471"/>
      <c r="AFC904" s="471"/>
      <c r="AFD904" s="471"/>
      <c r="AFE904" s="471"/>
      <c r="AFF904" s="471"/>
      <c r="AFG904" s="471"/>
      <c r="AFH904" s="471"/>
      <c r="AFI904" s="471"/>
      <c r="AFJ904" s="471"/>
      <c r="AFK904" s="471"/>
      <c r="AFL904" s="471"/>
      <c r="AFM904" s="471"/>
      <c r="AFN904" s="471"/>
      <c r="AFO904" s="471"/>
      <c r="AFP904" s="471"/>
      <c r="AFQ904" s="471"/>
      <c r="AFR904" s="471"/>
      <c r="AFS904" s="471"/>
      <c r="AFT904" s="471"/>
      <c r="AFU904" s="471"/>
      <c r="AFV904" s="471"/>
      <c r="AFW904" s="471"/>
      <c r="AFX904" s="471"/>
      <c r="AFY904" s="471"/>
      <c r="AFZ904" s="471"/>
      <c r="AGA904" s="471"/>
      <c r="AGB904" s="471"/>
      <c r="AGC904" s="471"/>
      <c r="AGD904" s="471"/>
      <c r="AGE904" s="471"/>
      <c r="AGF904" s="471"/>
      <c r="AGG904" s="471"/>
      <c r="AGH904" s="471"/>
      <c r="AGI904" s="471"/>
      <c r="AGJ904" s="471"/>
      <c r="AGK904" s="471"/>
      <c r="AGL904" s="471"/>
      <c r="AGM904" s="471"/>
      <c r="AGN904" s="471"/>
      <c r="AGO904" s="471"/>
      <c r="AGP904" s="471"/>
      <c r="AGQ904" s="471"/>
      <c r="AGR904" s="471"/>
      <c r="AGS904" s="471"/>
      <c r="AGT904" s="471"/>
      <c r="AGU904" s="471"/>
      <c r="AGV904" s="471"/>
      <c r="AGW904" s="471"/>
      <c r="AGX904" s="471"/>
      <c r="AGY904" s="471"/>
      <c r="AGZ904" s="471"/>
      <c r="AHA904" s="471"/>
      <c r="AHB904" s="471"/>
      <c r="AHC904" s="471"/>
      <c r="AHD904" s="471"/>
      <c r="AHE904" s="471"/>
      <c r="AHF904" s="471"/>
      <c r="AHG904" s="471"/>
      <c r="AHH904" s="471"/>
      <c r="AHI904" s="471"/>
      <c r="AHJ904" s="471"/>
      <c r="AHK904" s="471"/>
      <c r="AHL904" s="471"/>
      <c r="AHM904" s="471"/>
      <c r="AHN904" s="471"/>
      <c r="AHO904" s="471"/>
      <c r="AHP904" s="471"/>
      <c r="AHQ904" s="471"/>
      <c r="AHR904" s="471"/>
      <c r="AHS904" s="471"/>
      <c r="AHT904" s="471"/>
      <c r="AHU904" s="471"/>
      <c r="AHV904" s="471"/>
      <c r="AHW904" s="471"/>
      <c r="AHX904" s="471"/>
      <c r="AHY904" s="471"/>
      <c r="AHZ904" s="471"/>
      <c r="AIA904" s="471"/>
      <c r="AIB904" s="471"/>
      <c r="AIC904" s="471"/>
      <c r="AID904" s="471"/>
      <c r="AIE904" s="471"/>
      <c r="AIF904" s="471"/>
      <c r="AIG904" s="471"/>
      <c r="AIH904" s="471"/>
      <c r="AII904" s="471"/>
      <c r="AIJ904" s="471"/>
      <c r="AIK904" s="471"/>
      <c r="AIL904" s="471"/>
      <c r="AIM904" s="471"/>
      <c r="AIN904" s="471"/>
      <c r="AIO904" s="471"/>
      <c r="AIP904" s="471"/>
      <c r="AIQ904" s="471"/>
      <c r="AIR904" s="471"/>
      <c r="AIS904" s="471"/>
      <c r="AIT904" s="471"/>
      <c r="AIU904" s="471"/>
      <c r="AIV904" s="471"/>
      <c r="AIW904" s="471"/>
      <c r="AIX904" s="471"/>
      <c r="AIY904" s="471"/>
      <c r="AIZ904" s="471"/>
      <c r="AJA904" s="471"/>
      <c r="AJB904" s="471"/>
      <c r="AJC904" s="471"/>
      <c r="AJD904" s="471"/>
      <c r="AJE904" s="471"/>
      <c r="AJF904" s="471"/>
      <c r="AJG904" s="471"/>
      <c r="AJH904" s="471"/>
      <c r="AJI904" s="471"/>
      <c r="AJJ904" s="471"/>
      <c r="AJK904" s="471"/>
      <c r="AJL904" s="471"/>
      <c r="AJM904" s="471"/>
      <c r="AJN904" s="471"/>
      <c r="AJO904" s="471"/>
      <c r="AJP904" s="471"/>
      <c r="AJQ904" s="471"/>
      <c r="AJR904" s="471"/>
      <c r="AJS904" s="471"/>
      <c r="AJT904" s="471"/>
      <c r="AJU904" s="471"/>
      <c r="AJV904" s="471"/>
      <c r="AJW904" s="471"/>
      <c r="AJX904" s="471"/>
      <c r="AJY904" s="471"/>
      <c r="AJZ904" s="471"/>
      <c r="AKA904" s="471"/>
      <c r="AKB904" s="471"/>
      <c r="AKC904" s="471"/>
      <c r="AKD904" s="471"/>
      <c r="AKE904" s="471"/>
      <c r="AKF904" s="471"/>
      <c r="AKG904" s="471"/>
      <c r="AKH904" s="471"/>
      <c r="AKI904" s="471"/>
      <c r="AKJ904" s="471"/>
      <c r="AKK904" s="471"/>
      <c r="AKL904" s="471"/>
      <c r="AKM904" s="471"/>
      <c r="AKN904" s="471"/>
      <c r="AKO904" s="471"/>
      <c r="AKP904" s="471"/>
      <c r="AKQ904" s="471"/>
      <c r="AKR904" s="471"/>
      <c r="AKS904" s="471"/>
      <c r="AKT904" s="471"/>
      <c r="AKU904" s="471"/>
      <c r="AKV904" s="471"/>
      <c r="AKW904" s="471"/>
      <c r="AKX904" s="471"/>
      <c r="AKY904" s="471"/>
      <c r="AKZ904" s="471"/>
      <c r="ALA904" s="471"/>
      <c r="ALB904" s="471"/>
      <c r="ALC904" s="471"/>
      <c r="ALD904" s="471"/>
      <c r="ALE904" s="471"/>
      <c r="ALF904" s="471"/>
      <c r="ALG904" s="471"/>
      <c r="ALH904" s="471"/>
      <c r="ALI904" s="471"/>
      <c r="ALJ904" s="471"/>
      <c r="ALK904" s="471"/>
      <c r="ALL904" s="471"/>
      <c r="ALM904" s="471"/>
      <c r="ALN904" s="471"/>
      <c r="ALO904" s="471"/>
      <c r="ALP904" s="471"/>
      <c r="ALQ904" s="471"/>
      <c r="ALR904" s="471"/>
      <c r="ALS904" s="471"/>
      <c r="ALT904" s="471"/>
      <c r="ALU904" s="471"/>
      <c r="ALV904" s="471"/>
      <c r="ALW904" s="471"/>
      <c r="ALX904" s="471"/>
      <c r="ALY904" s="471"/>
      <c r="ALZ904" s="471"/>
      <c r="AMA904" s="471"/>
      <c r="AMB904" s="471"/>
      <c r="AMC904" s="471"/>
      <c r="AMD904" s="471"/>
      <c r="AME904" s="471"/>
      <c r="AMF904" s="471"/>
      <c r="AMG904" s="471"/>
      <c r="AMH904" s="471"/>
      <c r="AMI904" s="471"/>
      <c r="AMJ904" s="471"/>
      <c r="AMK904" s="471"/>
      <c r="AML904" s="471"/>
      <c r="AMM904" s="471"/>
      <c r="AMN904" s="471"/>
      <c r="AMO904" s="471"/>
      <c r="AMP904" s="471"/>
      <c r="AMQ904" s="471"/>
      <c r="AMR904" s="471"/>
      <c r="AMS904" s="471"/>
      <c r="AMT904" s="471"/>
      <c r="AMU904" s="471"/>
      <c r="AMV904" s="471"/>
      <c r="AMW904" s="471"/>
      <c r="AMX904" s="471"/>
      <c r="AMY904" s="471"/>
      <c r="AMZ904" s="471"/>
      <c r="ANA904" s="471"/>
      <c r="ANB904" s="471"/>
      <c r="ANC904" s="471"/>
      <c r="AND904" s="471"/>
      <c r="ANE904" s="471"/>
      <c r="ANF904" s="471"/>
      <c r="ANG904" s="471"/>
      <c r="ANH904" s="471"/>
      <c r="ANI904" s="471"/>
      <c r="ANJ904" s="471"/>
      <c r="ANK904" s="471"/>
      <c r="ANL904" s="471"/>
      <c r="ANM904" s="471"/>
      <c r="ANN904" s="471"/>
      <c r="ANO904" s="471"/>
      <c r="ANP904" s="471"/>
      <c r="ANQ904" s="471"/>
      <c r="ANR904" s="471"/>
      <c r="ANS904" s="471"/>
      <c r="ANT904" s="471"/>
      <c r="ANU904" s="471"/>
      <c r="ANV904" s="471"/>
      <c r="ANW904" s="471"/>
      <c r="ANX904" s="471"/>
      <c r="ANY904" s="471"/>
      <c r="ANZ904" s="471"/>
      <c r="AOA904" s="471"/>
      <c r="AOB904" s="471"/>
      <c r="AOC904" s="471"/>
      <c r="AOD904" s="471"/>
      <c r="AOE904" s="471"/>
      <c r="AOF904" s="471"/>
      <c r="AOG904" s="471"/>
      <c r="AOH904" s="471"/>
      <c r="AOI904" s="471"/>
      <c r="AOJ904" s="471"/>
      <c r="AOK904" s="471"/>
      <c r="AOL904" s="471"/>
      <c r="AOM904" s="471"/>
      <c r="AON904" s="471"/>
      <c r="AOO904" s="471"/>
      <c r="AOP904" s="471"/>
      <c r="AOQ904" s="471"/>
      <c r="AOR904" s="471"/>
      <c r="AOS904" s="471"/>
      <c r="AOT904" s="471"/>
      <c r="AOU904" s="471"/>
      <c r="AOV904" s="471"/>
      <c r="AOW904" s="471"/>
      <c r="AOX904" s="471"/>
      <c r="AOY904" s="471"/>
      <c r="AOZ904" s="471"/>
      <c r="APA904" s="471"/>
      <c r="APB904" s="471"/>
      <c r="APC904" s="471"/>
      <c r="APD904" s="471"/>
      <c r="APE904" s="471"/>
      <c r="APF904" s="471"/>
      <c r="APG904" s="471"/>
      <c r="APH904" s="471"/>
      <c r="API904" s="471"/>
      <c r="APJ904" s="471"/>
      <c r="APK904" s="471"/>
      <c r="APL904" s="471"/>
      <c r="APM904" s="471"/>
      <c r="APN904" s="471"/>
      <c r="APO904" s="471"/>
      <c r="APP904" s="471"/>
      <c r="APQ904" s="471"/>
      <c r="APR904" s="471"/>
      <c r="APS904" s="471"/>
      <c r="APT904" s="471"/>
      <c r="APU904" s="471"/>
      <c r="APV904" s="471"/>
      <c r="APW904" s="471"/>
      <c r="APX904" s="471"/>
      <c r="APY904" s="471"/>
      <c r="APZ904" s="471"/>
      <c r="AQA904" s="471"/>
      <c r="AQB904" s="471"/>
      <c r="AQC904" s="471"/>
      <c r="AQD904" s="471"/>
      <c r="AQE904" s="471"/>
      <c r="AQF904" s="471"/>
      <c r="AQG904" s="471"/>
      <c r="AQH904" s="471"/>
      <c r="AQI904" s="471"/>
      <c r="AQJ904" s="471"/>
      <c r="AQK904" s="471"/>
      <c r="AQL904" s="471"/>
      <c r="AQM904" s="471"/>
      <c r="AQN904" s="471"/>
      <c r="AQO904" s="471"/>
      <c r="AQP904" s="471"/>
      <c r="AQQ904" s="471"/>
      <c r="AQR904" s="471"/>
      <c r="AQS904" s="471"/>
      <c r="AQT904" s="471"/>
      <c r="AQU904" s="471"/>
      <c r="AQV904" s="471"/>
      <c r="AQW904" s="471"/>
      <c r="AQX904" s="471"/>
      <c r="AQY904" s="471"/>
      <c r="AQZ904" s="471"/>
      <c r="ARA904" s="471"/>
      <c r="ARB904" s="471"/>
      <c r="ARC904" s="471"/>
      <c r="ARD904" s="471"/>
      <c r="ARE904" s="471"/>
      <c r="ARF904" s="471"/>
      <c r="ARG904" s="471"/>
      <c r="ARH904" s="471"/>
      <c r="ARI904" s="471"/>
      <c r="ARJ904" s="471"/>
      <c r="ARK904" s="471"/>
      <c r="ARL904" s="471"/>
      <c r="ARM904" s="471"/>
      <c r="ARN904" s="471"/>
      <c r="ARO904" s="471"/>
      <c r="ARP904" s="471"/>
      <c r="ARQ904" s="471"/>
      <c r="ARR904" s="471"/>
      <c r="ARS904" s="471"/>
      <c r="ART904" s="471"/>
      <c r="ARU904" s="471"/>
      <c r="ARV904" s="471"/>
      <c r="ARW904" s="471"/>
      <c r="ARX904" s="471"/>
      <c r="ARY904" s="471"/>
      <c r="ARZ904" s="471"/>
      <c r="ASA904" s="471"/>
      <c r="ASB904" s="471"/>
      <c r="ASC904" s="471"/>
      <c r="ASD904" s="471"/>
      <c r="ASE904" s="471"/>
      <c r="ASF904" s="471"/>
      <c r="ASG904" s="471"/>
      <c r="ASH904" s="471"/>
      <c r="ASI904" s="471"/>
      <c r="ASJ904" s="471"/>
      <c r="ASK904" s="471"/>
      <c r="ASL904" s="471"/>
      <c r="ASM904" s="471"/>
      <c r="ASN904" s="471"/>
      <c r="ASO904" s="471"/>
      <c r="ASP904" s="471"/>
      <c r="ASQ904" s="471"/>
      <c r="ASR904" s="471"/>
      <c r="ASS904" s="471"/>
      <c r="AST904" s="471"/>
      <c r="ASU904" s="471"/>
      <c r="ASV904" s="471"/>
      <c r="ASW904" s="471"/>
      <c r="ASX904" s="471"/>
      <c r="ASY904" s="471"/>
      <c r="ASZ904" s="471"/>
      <c r="ATA904" s="471"/>
      <c r="ATB904" s="471"/>
      <c r="ATC904" s="471"/>
      <c r="ATD904" s="471"/>
      <c r="ATE904" s="471"/>
      <c r="ATF904" s="471"/>
      <c r="ATG904" s="471"/>
      <c r="ATH904" s="471"/>
      <c r="ATI904" s="471"/>
      <c r="ATJ904" s="471"/>
      <c r="ATK904" s="471"/>
      <c r="ATL904" s="471"/>
      <c r="ATM904" s="471"/>
      <c r="ATN904" s="471"/>
      <c r="ATO904" s="471"/>
      <c r="ATP904" s="471"/>
      <c r="ATQ904" s="471"/>
      <c r="ATR904" s="471"/>
      <c r="ATS904" s="471"/>
      <c r="ATT904" s="471"/>
      <c r="ATU904" s="471"/>
      <c r="ATV904" s="471"/>
      <c r="ATW904" s="471"/>
      <c r="ATX904" s="471"/>
      <c r="ATY904" s="471"/>
      <c r="ATZ904" s="471"/>
      <c r="AUA904" s="471"/>
      <c r="AUB904" s="471"/>
      <c r="AUC904" s="471"/>
      <c r="AUD904" s="471"/>
      <c r="AUE904" s="471"/>
      <c r="AUF904" s="471"/>
      <c r="AUG904" s="471"/>
      <c r="AUH904" s="471"/>
      <c r="AUI904" s="471"/>
      <c r="AUJ904" s="471"/>
      <c r="AUK904" s="471"/>
      <c r="AUL904" s="471"/>
      <c r="AUM904" s="471"/>
      <c r="AUN904" s="471"/>
      <c r="AUO904" s="471"/>
      <c r="AUP904" s="471"/>
      <c r="AUQ904" s="471"/>
      <c r="AUR904" s="471"/>
      <c r="AUS904" s="471"/>
      <c r="AUT904" s="471"/>
      <c r="AUU904" s="471"/>
      <c r="AUV904" s="471"/>
      <c r="AUW904" s="471"/>
      <c r="AUX904" s="471"/>
      <c r="AUY904" s="471"/>
      <c r="AUZ904" s="471"/>
      <c r="AVA904" s="471"/>
      <c r="AVB904" s="471"/>
      <c r="AVC904" s="471"/>
      <c r="AVD904" s="471"/>
      <c r="AVE904" s="471"/>
      <c r="AVF904" s="471"/>
      <c r="AVG904" s="471"/>
      <c r="AVH904" s="471"/>
      <c r="AVI904" s="471"/>
      <c r="AVJ904" s="471"/>
      <c r="AVK904" s="471"/>
    </row>
    <row r="905" spans="1:1259" s="511" customFormat="1" ht="15" customHeight="1">
      <c r="A905" s="472"/>
      <c r="B905" s="472"/>
      <c r="C905" s="472"/>
      <c r="D905" s="512" t="s">
        <v>3186</v>
      </c>
      <c r="E905" s="501"/>
      <c r="F905" s="501"/>
      <c r="G905" s="501">
        <v>2022</v>
      </c>
      <c r="H905" s="501"/>
      <c r="I905" s="496" t="s">
        <v>1676</v>
      </c>
      <c r="J905" s="502"/>
      <c r="K905" s="503" t="s">
        <v>4875</v>
      </c>
      <c r="L905" s="501" t="s">
        <v>3297</v>
      </c>
      <c r="M905" s="504">
        <v>44601</v>
      </c>
      <c r="N905" s="504">
        <v>44650</v>
      </c>
      <c r="O905" s="504"/>
      <c r="P905" s="502"/>
      <c r="Q905" s="502"/>
      <c r="R905" s="502"/>
      <c r="S905" s="501" t="s">
        <v>2379</v>
      </c>
      <c r="T905" s="501">
        <v>60</v>
      </c>
      <c r="U905" s="501"/>
      <c r="V905" s="501" t="s">
        <v>973</v>
      </c>
      <c r="W905" s="501">
        <v>400</v>
      </c>
      <c r="X905" s="505">
        <v>832</v>
      </c>
      <c r="Y905" s="491">
        <f t="shared" si="130"/>
        <v>332800</v>
      </c>
      <c r="Z905" s="506">
        <v>0.54</v>
      </c>
      <c r="AA905" s="492">
        <f t="shared" si="134"/>
        <v>179712</v>
      </c>
      <c r="AB905" s="480"/>
      <c r="AC905" s="481">
        <f t="shared" si="131"/>
        <v>0</v>
      </c>
      <c r="AD905" s="508"/>
      <c r="AE905" s="507">
        <v>6851.5230000000001</v>
      </c>
      <c r="AF905" s="493">
        <f t="shared" si="132"/>
        <v>186563.52299999999</v>
      </c>
      <c r="AG905" s="501" t="s">
        <v>47</v>
      </c>
      <c r="AH905" s="501"/>
      <c r="AI905" s="503">
        <v>60</v>
      </c>
      <c r="AJ905" s="501" t="s">
        <v>1790</v>
      </c>
      <c r="AK905" s="509" t="s">
        <v>50</v>
      </c>
      <c r="AL905" s="501">
        <v>95826</v>
      </c>
      <c r="AM905" s="501" t="s">
        <v>52</v>
      </c>
      <c r="AN905" s="501"/>
      <c r="AO905" s="501"/>
      <c r="AP905" s="510"/>
      <c r="AQ905" s="510" t="s">
        <v>37</v>
      </c>
      <c r="AR905" s="510"/>
      <c r="AS905" s="495"/>
      <c r="AT905" s="495"/>
      <c r="AU905" s="495"/>
      <c r="AV905" s="506">
        <f t="shared" si="133"/>
        <v>0.48000000000000004</v>
      </c>
      <c r="AW905" s="471"/>
      <c r="AX905" s="471"/>
      <c r="AY905" s="471"/>
      <c r="AZ905" s="471"/>
      <c r="BA905" s="471"/>
      <c r="BB905" s="471"/>
      <c r="BC905" s="471"/>
      <c r="BD905" s="471"/>
      <c r="BE905" s="471"/>
      <c r="BF905" s="471"/>
      <c r="BG905" s="471"/>
      <c r="BH905" s="471"/>
      <c r="BI905" s="471"/>
      <c r="BJ905" s="471"/>
      <c r="BK905" s="471"/>
      <c r="BL905" s="471"/>
      <c r="BM905" s="471"/>
      <c r="BN905" s="471"/>
      <c r="BO905" s="471"/>
      <c r="BP905" s="471"/>
      <c r="BQ905" s="471"/>
      <c r="BR905" s="471"/>
      <c r="BS905" s="471"/>
      <c r="BT905" s="471"/>
      <c r="BU905" s="471"/>
      <c r="BV905" s="471"/>
      <c r="BW905" s="471"/>
      <c r="BX905" s="471"/>
      <c r="BY905" s="471"/>
      <c r="BZ905" s="471"/>
      <c r="CA905" s="471"/>
      <c r="CB905" s="471"/>
      <c r="CC905" s="471"/>
      <c r="CD905" s="471"/>
      <c r="CE905" s="471"/>
      <c r="CF905" s="471"/>
      <c r="CG905" s="471"/>
      <c r="CH905" s="471"/>
      <c r="CI905" s="471"/>
      <c r="CJ905" s="471"/>
      <c r="CK905" s="471"/>
      <c r="CL905" s="471"/>
      <c r="CM905" s="471"/>
      <c r="CN905" s="471"/>
      <c r="CO905" s="471"/>
      <c r="CP905" s="471"/>
      <c r="CQ905" s="471"/>
      <c r="CR905" s="471"/>
      <c r="CS905" s="471"/>
      <c r="CT905" s="471"/>
      <c r="CU905" s="471"/>
      <c r="CV905" s="471"/>
      <c r="CW905" s="471"/>
      <c r="CX905" s="471"/>
      <c r="CY905" s="471"/>
      <c r="CZ905" s="471"/>
      <c r="DA905" s="471"/>
      <c r="DB905" s="471"/>
      <c r="DC905" s="471"/>
      <c r="DD905" s="471"/>
      <c r="DE905" s="471"/>
      <c r="DF905" s="471"/>
      <c r="DG905" s="471"/>
      <c r="DH905" s="471"/>
      <c r="DI905" s="471"/>
      <c r="DJ905" s="471"/>
      <c r="DK905" s="471"/>
      <c r="DL905" s="471"/>
      <c r="DM905" s="471"/>
      <c r="DN905" s="471"/>
      <c r="DO905" s="471"/>
      <c r="DP905" s="471"/>
      <c r="DQ905" s="471"/>
      <c r="DR905" s="471"/>
      <c r="DS905" s="471"/>
      <c r="DT905" s="471"/>
      <c r="DU905" s="471"/>
      <c r="DV905" s="471"/>
      <c r="DW905" s="471"/>
      <c r="DX905" s="471"/>
      <c r="DY905" s="471"/>
      <c r="DZ905" s="471"/>
      <c r="EA905" s="471"/>
      <c r="EB905" s="471"/>
      <c r="EC905" s="471"/>
      <c r="ED905" s="471"/>
      <c r="EE905" s="471"/>
      <c r="EF905" s="471"/>
      <c r="EG905" s="471"/>
      <c r="EH905" s="471"/>
      <c r="EI905" s="471"/>
      <c r="EJ905" s="471"/>
      <c r="EK905" s="471"/>
      <c r="EL905" s="471"/>
      <c r="EM905" s="471"/>
      <c r="EN905" s="471"/>
      <c r="EO905" s="471"/>
      <c r="EP905" s="471"/>
      <c r="EQ905" s="471"/>
      <c r="ER905" s="471"/>
      <c r="ES905" s="471"/>
      <c r="ET905" s="471"/>
      <c r="EU905" s="471"/>
      <c r="EV905" s="471"/>
      <c r="EW905" s="471"/>
      <c r="EX905" s="471"/>
      <c r="EY905" s="471"/>
      <c r="EZ905" s="471"/>
      <c r="FA905" s="471"/>
      <c r="FB905" s="471"/>
      <c r="FC905" s="471"/>
      <c r="FD905" s="471"/>
      <c r="FE905" s="471"/>
      <c r="FF905" s="471"/>
      <c r="FG905" s="471"/>
      <c r="FH905" s="471"/>
      <c r="FI905" s="471"/>
      <c r="FJ905" s="471"/>
      <c r="FK905" s="471"/>
      <c r="FL905" s="471"/>
      <c r="FM905" s="471"/>
      <c r="FN905" s="471"/>
      <c r="FO905" s="471"/>
      <c r="FP905" s="471"/>
      <c r="FQ905" s="471"/>
      <c r="FR905" s="471"/>
      <c r="FS905" s="471"/>
      <c r="FT905" s="471"/>
      <c r="FU905" s="471"/>
      <c r="FV905" s="471"/>
      <c r="FW905" s="471"/>
      <c r="FX905" s="471"/>
      <c r="FY905" s="471"/>
      <c r="FZ905" s="471"/>
      <c r="GA905" s="471"/>
      <c r="GB905" s="471"/>
      <c r="GC905" s="471"/>
      <c r="GD905" s="471"/>
      <c r="GE905" s="471"/>
      <c r="GF905" s="471"/>
      <c r="GG905" s="471"/>
      <c r="GH905" s="471"/>
      <c r="GI905" s="471"/>
      <c r="GJ905" s="471"/>
      <c r="GK905" s="471"/>
      <c r="GL905" s="471"/>
      <c r="GM905" s="471"/>
      <c r="GN905" s="471"/>
      <c r="GO905" s="471"/>
      <c r="GP905" s="471"/>
      <c r="GQ905" s="471"/>
      <c r="GR905" s="471"/>
      <c r="GS905" s="471"/>
      <c r="GT905" s="471"/>
      <c r="GU905" s="471"/>
      <c r="GV905" s="471"/>
      <c r="GW905" s="471"/>
      <c r="GX905" s="471"/>
      <c r="GY905" s="471"/>
      <c r="GZ905" s="471"/>
      <c r="HA905" s="471"/>
      <c r="HB905" s="471"/>
      <c r="HC905" s="471"/>
      <c r="HD905" s="471"/>
      <c r="HE905" s="471"/>
      <c r="HF905" s="471"/>
      <c r="HG905" s="471"/>
      <c r="HH905" s="471"/>
      <c r="HI905" s="471"/>
      <c r="HJ905" s="471"/>
      <c r="HK905" s="471"/>
      <c r="HL905" s="471"/>
      <c r="HM905" s="471"/>
      <c r="HN905" s="471"/>
      <c r="HO905" s="471"/>
      <c r="HP905" s="471"/>
      <c r="HQ905" s="471"/>
      <c r="HR905" s="471"/>
      <c r="HS905" s="471"/>
      <c r="HT905" s="471"/>
      <c r="HU905" s="471"/>
      <c r="HV905" s="471"/>
      <c r="HW905" s="471"/>
      <c r="HX905" s="471"/>
      <c r="HY905" s="471"/>
      <c r="HZ905" s="471"/>
      <c r="IA905" s="471"/>
      <c r="IB905" s="471"/>
      <c r="IC905" s="471"/>
      <c r="ID905" s="471"/>
      <c r="IE905" s="471"/>
      <c r="IF905" s="471"/>
      <c r="IG905" s="471"/>
      <c r="IH905" s="471"/>
      <c r="II905" s="471"/>
      <c r="IJ905" s="471"/>
      <c r="IK905" s="471"/>
      <c r="IL905" s="471"/>
      <c r="IM905" s="471"/>
      <c r="IN905" s="471"/>
      <c r="IO905" s="471"/>
      <c r="IP905" s="471"/>
      <c r="IQ905" s="471"/>
      <c r="IR905" s="471"/>
      <c r="IS905" s="471"/>
      <c r="IT905" s="471"/>
      <c r="IU905" s="471"/>
      <c r="IV905" s="471"/>
      <c r="IW905" s="471"/>
      <c r="IX905" s="471"/>
      <c r="IY905" s="471"/>
      <c r="IZ905" s="471"/>
      <c r="JA905" s="471"/>
      <c r="JB905" s="471"/>
      <c r="JC905" s="471"/>
      <c r="JD905" s="471"/>
      <c r="JE905" s="471"/>
      <c r="JF905" s="471"/>
      <c r="JG905" s="471"/>
      <c r="JH905" s="471"/>
      <c r="JI905" s="471"/>
      <c r="JJ905" s="471"/>
      <c r="JK905" s="471"/>
      <c r="JL905" s="471"/>
      <c r="JM905" s="471"/>
      <c r="JN905" s="471"/>
      <c r="JO905" s="471"/>
      <c r="JP905" s="471"/>
      <c r="JQ905" s="471"/>
      <c r="JR905" s="471"/>
      <c r="JS905" s="471"/>
      <c r="JT905" s="471"/>
      <c r="JU905" s="471"/>
      <c r="JV905" s="471"/>
      <c r="JW905" s="471"/>
      <c r="JX905" s="471"/>
      <c r="JY905" s="471"/>
      <c r="JZ905" s="471"/>
      <c r="KA905" s="471"/>
      <c r="KB905" s="471"/>
      <c r="KC905" s="471"/>
      <c r="KD905" s="471"/>
      <c r="KE905" s="471"/>
      <c r="KF905" s="471"/>
      <c r="KG905" s="471"/>
      <c r="KH905" s="471"/>
      <c r="KI905" s="471"/>
      <c r="KJ905" s="471"/>
      <c r="KK905" s="471"/>
      <c r="KL905" s="471"/>
      <c r="KM905" s="471"/>
      <c r="KN905" s="471"/>
      <c r="KO905" s="471"/>
      <c r="KP905" s="471"/>
      <c r="KQ905" s="471"/>
      <c r="KR905" s="471"/>
      <c r="KS905" s="471"/>
      <c r="KT905" s="471"/>
      <c r="KU905" s="471"/>
      <c r="KV905" s="471"/>
      <c r="KW905" s="471"/>
      <c r="KX905" s="471"/>
      <c r="KY905" s="471"/>
      <c r="KZ905" s="471"/>
      <c r="LA905" s="471"/>
      <c r="LB905" s="471"/>
      <c r="LC905" s="471"/>
      <c r="LD905" s="471"/>
      <c r="LE905" s="471"/>
      <c r="LF905" s="471"/>
      <c r="LG905" s="471"/>
      <c r="LH905" s="471"/>
      <c r="LI905" s="471"/>
      <c r="LJ905" s="471"/>
      <c r="LK905" s="471"/>
      <c r="LL905" s="471"/>
      <c r="LM905" s="471"/>
      <c r="LN905" s="471"/>
      <c r="LO905" s="471"/>
      <c r="LP905" s="471"/>
      <c r="LQ905" s="471"/>
      <c r="LR905" s="471"/>
      <c r="LS905" s="471"/>
      <c r="LT905" s="471"/>
      <c r="LU905" s="471"/>
      <c r="LV905" s="471"/>
      <c r="LW905" s="471"/>
      <c r="LX905" s="471"/>
      <c r="LY905" s="471"/>
      <c r="LZ905" s="471"/>
      <c r="MA905" s="471"/>
      <c r="MB905" s="471"/>
      <c r="MC905" s="471"/>
      <c r="MD905" s="471"/>
      <c r="ME905" s="471"/>
      <c r="MF905" s="471"/>
      <c r="MG905" s="471"/>
      <c r="MH905" s="471"/>
      <c r="MI905" s="471"/>
      <c r="MJ905" s="471"/>
      <c r="MK905" s="471"/>
      <c r="ML905" s="471"/>
      <c r="MM905" s="471"/>
      <c r="MN905" s="471"/>
      <c r="MO905" s="471"/>
      <c r="MP905" s="471"/>
      <c r="MQ905" s="471"/>
      <c r="MR905" s="471"/>
      <c r="MS905" s="471"/>
      <c r="MT905" s="471"/>
      <c r="MU905" s="471"/>
      <c r="MV905" s="471"/>
      <c r="MW905" s="471"/>
      <c r="MX905" s="471"/>
      <c r="MY905" s="471"/>
      <c r="MZ905" s="471"/>
      <c r="NA905" s="471"/>
      <c r="NB905" s="471"/>
      <c r="NC905" s="471"/>
      <c r="ND905" s="471"/>
      <c r="NE905" s="471"/>
      <c r="NF905" s="471"/>
      <c r="NG905" s="471"/>
      <c r="NH905" s="471"/>
      <c r="NI905" s="471"/>
      <c r="NJ905" s="471"/>
      <c r="NK905" s="471"/>
      <c r="NL905" s="471"/>
      <c r="NM905" s="471"/>
      <c r="NN905" s="471"/>
      <c r="NO905" s="471"/>
      <c r="NP905" s="471"/>
      <c r="NQ905" s="471"/>
      <c r="NR905" s="471"/>
      <c r="NS905" s="471"/>
      <c r="NT905" s="471"/>
      <c r="NU905" s="471"/>
      <c r="NV905" s="471"/>
      <c r="NW905" s="471"/>
      <c r="NX905" s="471"/>
      <c r="NY905" s="471"/>
      <c r="NZ905" s="471"/>
      <c r="OA905" s="471"/>
      <c r="OB905" s="471"/>
      <c r="OC905" s="471"/>
      <c r="OD905" s="471"/>
      <c r="OE905" s="471"/>
      <c r="OF905" s="471"/>
      <c r="OG905" s="471"/>
      <c r="OH905" s="471"/>
      <c r="OI905" s="471"/>
      <c r="OJ905" s="471"/>
      <c r="OK905" s="471"/>
      <c r="OL905" s="471"/>
      <c r="OM905" s="471"/>
      <c r="ON905" s="471"/>
      <c r="OO905" s="471"/>
      <c r="OP905" s="471"/>
      <c r="OQ905" s="471"/>
      <c r="OR905" s="471"/>
      <c r="OS905" s="471"/>
      <c r="OT905" s="471"/>
      <c r="OU905" s="471"/>
      <c r="OV905" s="471"/>
      <c r="OW905" s="471"/>
      <c r="OX905" s="471"/>
      <c r="OY905" s="471"/>
      <c r="OZ905" s="471"/>
      <c r="PA905" s="471"/>
      <c r="PB905" s="471"/>
      <c r="PC905" s="471"/>
      <c r="PD905" s="471"/>
      <c r="PE905" s="471"/>
      <c r="PF905" s="471"/>
      <c r="PG905" s="471"/>
      <c r="PH905" s="471"/>
      <c r="PI905" s="471"/>
      <c r="PJ905" s="471"/>
      <c r="PK905" s="471"/>
      <c r="PL905" s="471"/>
      <c r="PM905" s="471"/>
      <c r="PN905" s="471"/>
      <c r="PO905" s="471"/>
      <c r="PP905" s="471"/>
      <c r="PQ905" s="471"/>
      <c r="PR905" s="471"/>
      <c r="PS905" s="471"/>
      <c r="PT905" s="471"/>
      <c r="PU905" s="471"/>
      <c r="PV905" s="471"/>
      <c r="PW905" s="471"/>
      <c r="PX905" s="471"/>
      <c r="PY905" s="471"/>
      <c r="PZ905" s="471"/>
      <c r="QA905" s="471"/>
      <c r="QB905" s="471"/>
      <c r="QC905" s="471"/>
      <c r="QD905" s="471"/>
      <c r="QE905" s="471"/>
      <c r="QF905" s="471"/>
      <c r="QG905" s="471"/>
      <c r="QH905" s="471"/>
      <c r="QI905" s="471"/>
      <c r="QJ905" s="471"/>
      <c r="QK905" s="471"/>
      <c r="QL905" s="471"/>
      <c r="QM905" s="471"/>
      <c r="QN905" s="471"/>
      <c r="QO905" s="471"/>
      <c r="QP905" s="471"/>
      <c r="QQ905" s="471"/>
      <c r="QR905" s="471"/>
      <c r="QS905" s="471"/>
      <c r="QT905" s="471"/>
      <c r="QU905" s="471"/>
      <c r="QV905" s="471"/>
      <c r="QW905" s="471"/>
      <c r="QX905" s="471"/>
      <c r="QY905" s="471"/>
      <c r="QZ905" s="471"/>
      <c r="RA905" s="471"/>
      <c r="RB905" s="471"/>
      <c r="RC905" s="471"/>
      <c r="RD905" s="471"/>
      <c r="RE905" s="471"/>
      <c r="RF905" s="471"/>
      <c r="RG905" s="471"/>
      <c r="RH905" s="471"/>
      <c r="RI905" s="471"/>
      <c r="RJ905" s="471"/>
      <c r="RK905" s="471"/>
      <c r="RL905" s="471"/>
      <c r="RM905" s="471"/>
      <c r="RN905" s="471"/>
      <c r="RO905" s="471"/>
      <c r="RP905" s="471"/>
      <c r="RQ905" s="471"/>
      <c r="RR905" s="471"/>
      <c r="RS905" s="471"/>
      <c r="RT905" s="471"/>
      <c r="RU905" s="471"/>
      <c r="RV905" s="471"/>
      <c r="RW905" s="471"/>
      <c r="RX905" s="471"/>
      <c r="RY905" s="471"/>
      <c r="RZ905" s="471"/>
      <c r="SA905" s="471"/>
      <c r="SB905" s="471"/>
      <c r="SC905" s="471"/>
      <c r="SD905" s="471"/>
      <c r="SE905" s="471"/>
      <c r="SF905" s="471"/>
      <c r="SG905" s="471"/>
      <c r="SH905" s="471"/>
      <c r="SI905" s="471"/>
      <c r="SJ905" s="471"/>
      <c r="SK905" s="471"/>
      <c r="SL905" s="471"/>
      <c r="SM905" s="471"/>
      <c r="SN905" s="471"/>
      <c r="SO905" s="471"/>
      <c r="SP905" s="471"/>
      <c r="SQ905" s="471"/>
      <c r="SR905" s="471"/>
      <c r="SS905" s="471"/>
      <c r="ST905" s="471"/>
      <c r="SU905" s="471"/>
      <c r="SV905" s="471"/>
      <c r="SW905" s="471"/>
      <c r="SX905" s="471"/>
      <c r="SY905" s="471"/>
      <c r="SZ905" s="471"/>
      <c r="TA905" s="471"/>
      <c r="TB905" s="471"/>
      <c r="TC905" s="471"/>
      <c r="TD905" s="471"/>
      <c r="TE905" s="471"/>
      <c r="TF905" s="471"/>
      <c r="TG905" s="471"/>
      <c r="TH905" s="471"/>
      <c r="TI905" s="471"/>
      <c r="TJ905" s="471"/>
      <c r="TK905" s="471"/>
      <c r="TL905" s="471"/>
      <c r="TM905" s="471"/>
      <c r="TN905" s="471"/>
      <c r="TO905" s="471"/>
      <c r="TP905" s="471"/>
      <c r="TQ905" s="471"/>
      <c r="TR905" s="471"/>
      <c r="TS905" s="471"/>
      <c r="TT905" s="471"/>
      <c r="TU905" s="471"/>
      <c r="TV905" s="471"/>
      <c r="TW905" s="471"/>
      <c r="TX905" s="471"/>
      <c r="TY905" s="471"/>
      <c r="TZ905" s="471"/>
      <c r="UA905" s="471"/>
      <c r="UB905" s="471"/>
      <c r="UC905" s="471"/>
      <c r="UD905" s="471"/>
      <c r="UE905" s="471"/>
      <c r="UF905" s="471"/>
      <c r="UG905" s="471"/>
      <c r="UH905" s="471"/>
      <c r="UI905" s="471"/>
      <c r="UJ905" s="471"/>
      <c r="UK905" s="471"/>
      <c r="UL905" s="471"/>
      <c r="UM905" s="471"/>
      <c r="UN905" s="471"/>
      <c r="UO905" s="471"/>
      <c r="UP905" s="471"/>
      <c r="UQ905" s="471"/>
      <c r="UR905" s="471"/>
      <c r="US905" s="471"/>
      <c r="UT905" s="471"/>
      <c r="UU905" s="471"/>
      <c r="UV905" s="471"/>
      <c r="UW905" s="471"/>
      <c r="UX905" s="471"/>
      <c r="UY905" s="471"/>
      <c r="UZ905" s="471"/>
      <c r="VA905" s="471"/>
      <c r="VB905" s="471"/>
      <c r="VC905" s="471"/>
      <c r="VD905" s="471"/>
      <c r="VE905" s="471"/>
      <c r="VF905" s="471"/>
      <c r="VG905" s="471"/>
      <c r="VH905" s="471"/>
      <c r="VI905" s="471"/>
      <c r="VJ905" s="471"/>
      <c r="VK905" s="471"/>
      <c r="VL905" s="471"/>
      <c r="VM905" s="471"/>
      <c r="VN905" s="471"/>
      <c r="VO905" s="471"/>
      <c r="VP905" s="471"/>
      <c r="VQ905" s="471"/>
      <c r="VR905" s="471"/>
      <c r="VS905" s="471"/>
      <c r="VT905" s="471"/>
      <c r="VU905" s="471"/>
      <c r="VV905" s="471"/>
      <c r="VW905" s="471"/>
      <c r="VX905" s="471"/>
      <c r="VY905" s="471"/>
      <c r="VZ905" s="471"/>
      <c r="WA905" s="471"/>
      <c r="WB905" s="471"/>
      <c r="WC905" s="471"/>
      <c r="WD905" s="471"/>
      <c r="WE905" s="471"/>
      <c r="WF905" s="471"/>
      <c r="WG905" s="471"/>
      <c r="WH905" s="471"/>
      <c r="WI905" s="471"/>
      <c r="WJ905" s="471"/>
      <c r="WK905" s="471"/>
      <c r="WL905" s="471"/>
      <c r="WM905" s="471"/>
      <c r="WN905" s="471"/>
      <c r="WO905" s="471"/>
      <c r="WP905" s="471"/>
      <c r="WQ905" s="471"/>
      <c r="WR905" s="471"/>
      <c r="WS905" s="471"/>
      <c r="WT905" s="471"/>
      <c r="WU905" s="471"/>
      <c r="WV905" s="471"/>
      <c r="WW905" s="471"/>
      <c r="WX905" s="471"/>
      <c r="WY905" s="471"/>
      <c r="WZ905" s="471"/>
      <c r="XA905" s="471"/>
      <c r="XB905" s="471"/>
      <c r="XC905" s="471"/>
      <c r="XD905" s="471"/>
      <c r="XE905" s="471"/>
      <c r="XF905" s="471"/>
      <c r="XG905" s="471"/>
      <c r="XH905" s="471"/>
      <c r="XI905" s="471"/>
      <c r="XJ905" s="471"/>
      <c r="XK905" s="471"/>
      <c r="XL905" s="471"/>
      <c r="XM905" s="471"/>
      <c r="XN905" s="471"/>
      <c r="XO905" s="471"/>
      <c r="XP905" s="471"/>
      <c r="XQ905" s="471"/>
      <c r="XR905" s="471"/>
      <c r="XS905" s="471"/>
      <c r="XT905" s="471"/>
      <c r="XU905" s="471"/>
      <c r="XV905" s="471"/>
      <c r="XW905" s="471"/>
      <c r="XX905" s="471"/>
      <c r="XY905" s="471"/>
      <c r="XZ905" s="471"/>
      <c r="YA905" s="471"/>
      <c r="YB905" s="471"/>
      <c r="YC905" s="471"/>
      <c r="YD905" s="471"/>
      <c r="YE905" s="471"/>
      <c r="YF905" s="471"/>
      <c r="YG905" s="471"/>
      <c r="YH905" s="471"/>
      <c r="YI905" s="471"/>
      <c r="YJ905" s="471"/>
      <c r="YK905" s="471"/>
      <c r="YL905" s="471"/>
      <c r="YM905" s="471"/>
      <c r="YN905" s="471"/>
      <c r="YO905" s="471"/>
      <c r="YP905" s="471"/>
      <c r="YQ905" s="471"/>
      <c r="YR905" s="471"/>
      <c r="YS905" s="471"/>
      <c r="YT905" s="471"/>
      <c r="YU905" s="471"/>
      <c r="YV905" s="471"/>
      <c r="YW905" s="471"/>
      <c r="YX905" s="471"/>
      <c r="YY905" s="471"/>
      <c r="YZ905" s="471"/>
      <c r="ZA905" s="471"/>
      <c r="ZB905" s="471"/>
      <c r="ZC905" s="471"/>
      <c r="ZD905" s="471"/>
      <c r="ZE905" s="471"/>
      <c r="ZF905" s="471"/>
      <c r="ZG905" s="471"/>
      <c r="ZH905" s="471"/>
      <c r="ZI905" s="471"/>
      <c r="ZJ905" s="471"/>
      <c r="ZK905" s="471"/>
      <c r="ZL905" s="471"/>
      <c r="ZM905" s="471"/>
      <c r="ZN905" s="471"/>
      <c r="ZO905" s="471"/>
      <c r="ZP905" s="471"/>
      <c r="ZQ905" s="471"/>
      <c r="ZR905" s="471"/>
      <c r="ZS905" s="471"/>
      <c r="ZT905" s="471"/>
      <c r="ZU905" s="471"/>
      <c r="ZV905" s="471"/>
      <c r="ZW905" s="471"/>
      <c r="ZX905" s="471"/>
      <c r="ZY905" s="471"/>
      <c r="ZZ905" s="471"/>
      <c r="AAA905" s="471"/>
      <c r="AAB905" s="471"/>
      <c r="AAC905" s="471"/>
      <c r="AAD905" s="471"/>
      <c r="AAE905" s="471"/>
      <c r="AAF905" s="471"/>
      <c r="AAG905" s="471"/>
      <c r="AAH905" s="471"/>
      <c r="AAI905" s="471"/>
      <c r="AAJ905" s="471"/>
      <c r="AAK905" s="471"/>
      <c r="AAL905" s="471"/>
      <c r="AAM905" s="471"/>
      <c r="AAN905" s="471"/>
      <c r="AAO905" s="471"/>
      <c r="AAP905" s="471"/>
      <c r="AAQ905" s="471"/>
      <c r="AAR905" s="471"/>
      <c r="AAS905" s="471"/>
      <c r="AAT905" s="471"/>
      <c r="AAU905" s="471"/>
      <c r="AAV905" s="471"/>
      <c r="AAW905" s="471"/>
      <c r="AAX905" s="471"/>
      <c r="AAY905" s="471"/>
      <c r="AAZ905" s="471"/>
      <c r="ABA905" s="471"/>
      <c r="ABB905" s="471"/>
      <c r="ABC905" s="471"/>
      <c r="ABD905" s="471"/>
      <c r="ABE905" s="471"/>
      <c r="ABF905" s="471"/>
      <c r="ABG905" s="471"/>
      <c r="ABH905" s="471"/>
      <c r="ABI905" s="471"/>
      <c r="ABJ905" s="471"/>
      <c r="ABK905" s="471"/>
      <c r="ABL905" s="471"/>
      <c r="ABM905" s="471"/>
      <c r="ABN905" s="471"/>
      <c r="ABO905" s="471"/>
      <c r="ABP905" s="471"/>
      <c r="ABQ905" s="471"/>
      <c r="ABR905" s="471"/>
      <c r="ABS905" s="471"/>
      <c r="ABT905" s="471"/>
      <c r="ABU905" s="471"/>
      <c r="ABV905" s="471"/>
      <c r="ABW905" s="471"/>
      <c r="ABX905" s="471"/>
      <c r="ABY905" s="471"/>
      <c r="ABZ905" s="471"/>
      <c r="ACA905" s="471"/>
      <c r="ACB905" s="471"/>
      <c r="ACC905" s="471"/>
      <c r="ACD905" s="471"/>
      <c r="ACE905" s="471"/>
      <c r="ACF905" s="471"/>
      <c r="ACG905" s="471"/>
      <c r="ACH905" s="471"/>
      <c r="ACI905" s="471"/>
      <c r="ACJ905" s="471"/>
      <c r="ACK905" s="471"/>
      <c r="ACL905" s="471"/>
      <c r="ACM905" s="471"/>
      <c r="ACN905" s="471"/>
      <c r="ACO905" s="471"/>
      <c r="ACP905" s="471"/>
      <c r="ACQ905" s="471"/>
      <c r="ACR905" s="471"/>
      <c r="ACS905" s="471"/>
      <c r="ACT905" s="471"/>
      <c r="ACU905" s="471"/>
      <c r="ACV905" s="471"/>
      <c r="ACW905" s="471"/>
      <c r="ACX905" s="471"/>
      <c r="ACY905" s="471"/>
      <c r="ACZ905" s="471"/>
      <c r="ADA905" s="471"/>
      <c r="ADB905" s="471"/>
      <c r="ADC905" s="471"/>
      <c r="ADD905" s="471"/>
      <c r="ADE905" s="471"/>
      <c r="ADF905" s="471"/>
      <c r="ADG905" s="471"/>
      <c r="ADH905" s="471"/>
      <c r="ADI905" s="471"/>
      <c r="ADJ905" s="471"/>
      <c r="ADK905" s="471"/>
      <c r="ADL905" s="471"/>
      <c r="ADM905" s="471"/>
      <c r="ADN905" s="471"/>
      <c r="ADO905" s="471"/>
      <c r="ADP905" s="471"/>
      <c r="ADQ905" s="471"/>
      <c r="ADR905" s="471"/>
      <c r="ADS905" s="471"/>
      <c r="ADT905" s="471"/>
      <c r="ADU905" s="471"/>
      <c r="ADV905" s="471"/>
      <c r="ADW905" s="471"/>
      <c r="ADX905" s="471"/>
      <c r="ADY905" s="471"/>
      <c r="ADZ905" s="471"/>
      <c r="AEA905" s="471"/>
      <c r="AEB905" s="471"/>
      <c r="AEC905" s="471"/>
      <c r="AED905" s="471"/>
      <c r="AEE905" s="471"/>
      <c r="AEF905" s="471"/>
      <c r="AEG905" s="471"/>
      <c r="AEH905" s="471"/>
      <c r="AEI905" s="471"/>
      <c r="AEJ905" s="471"/>
      <c r="AEK905" s="471"/>
      <c r="AEL905" s="471"/>
      <c r="AEM905" s="471"/>
      <c r="AEN905" s="471"/>
      <c r="AEO905" s="471"/>
      <c r="AEP905" s="471"/>
      <c r="AEQ905" s="471"/>
      <c r="AER905" s="471"/>
      <c r="AES905" s="471"/>
      <c r="AET905" s="471"/>
      <c r="AEU905" s="471"/>
      <c r="AEV905" s="471"/>
      <c r="AEW905" s="471"/>
      <c r="AEX905" s="471"/>
      <c r="AEY905" s="471"/>
      <c r="AEZ905" s="471"/>
      <c r="AFA905" s="471"/>
      <c r="AFB905" s="471"/>
      <c r="AFC905" s="471"/>
      <c r="AFD905" s="471"/>
      <c r="AFE905" s="471"/>
      <c r="AFF905" s="471"/>
      <c r="AFG905" s="471"/>
      <c r="AFH905" s="471"/>
      <c r="AFI905" s="471"/>
      <c r="AFJ905" s="471"/>
      <c r="AFK905" s="471"/>
      <c r="AFL905" s="471"/>
      <c r="AFM905" s="471"/>
      <c r="AFN905" s="471"/>
      <c r="AFO905" s="471"/>
      <c r="AFP905" s="471"/>
      <c r="AFQ905" s="471"/>
      <c r="AFR905" s="471"/>
      <c r="AFS905" s="471"/>
      <c r="AFT905" s="471"/>
      <c r="AFU905" s="471"/>
      <c r="AFV905" s="471"/>
      <c r="AFW905" s="471"/>
      <c r="AFX905" s="471"/>
      <c r="AFY905" s="471"/>
      <c r="AFZ905" s="471"/>
      <c r="AGA905" s="471"/>
      <c r="AGB905" s="471"/>
      <c r="AGC905" s="471"/>
      <c r="AGD905" s="471"/>
      <c r="AGE905" s="471"/>
      <c r="AGF905" s="471"/>
      <c r="AGG905" s="471"/>
      <c r="AGH905" s="471"/>
      <c r="AGI905" s="471"/>
      <c r="AGJ905" s="471"/>
      <c r="AGK905" s="471"/>
      <c r="AGL905" s="471"/>
      <c r="AGM905" s="471"/>
      <c r="AGN905" s="471"/>
      <c r="AGO905" s="471"/>
      <c r="AGP905" s="471"/>
      <c r="AGQ905" s="471"/>
      <c r="AGR905" s="471"/>
      <c r="AGS905" s="471"/>
      <c r="AGT905" s="471"/>
      <c r="AGU905" s="471"/>
      <c r="AGV905" s="471"/>
      <c r="AGW905" s="471"/>
      <c r="AGX905" s="471"/>
      <c r="AGY905" s="471"/>
      <c r="AGZ905" s="471"/>
      <c r="AHA905" s="471"/>
      <c r="AHB905" s="471"/>
      <c r="AHC905" s="471"/>
      <c r="AHD905" s="471"/>
      <c r="AHE905" s="471"/>
      <c r="AHF905" s="471"/>
      <c r="AHG905" s="471"/>
      <c r="AHH905" s="471"/>
      <c r="AHI905" s="471"/>
      <c r="AHJ905" s="471"/>
      <c r="AHK905" s="471"/>
      <c r="AHL905" s="471"/>
      <c r="AHM905" s="471"/>
      <c r="AHN905" s="471"/>
      <c r="AHO905" s="471"/>
      <c r="AHP905" s="471"/>
      <c r="AHQ905" s="471"/>
      <c r="AHR905" s="471"/>
      <c r="AHS905" s="471"/>
      <c r="AHT905" s="471"/>
      <c r="AHU905" s="471"/>
      <c r="AHV905" s="471"/>
      <c r="AHW905" s="471"/>
      <c r="AHX905" s="471"/>
      <c r="AHY905" s="471"/>
      <c r="AHZ905" s="471"/>
      <c r="AIA905" s="471"/>
      <c r="AIB905" s="471"/>
      <c r="AIC905" s="471"/>
      <c r="AID905" s="471"/>
      <c r="AIE905" s="471"/>
      <c r="AIF905" s="471"/>
      <c r="AIG905" s="471"/>
      <c r="AIH905" s="471"/>
      <c r="AII905" s="471"/>
      <c r="AIJ905" s="471"/>
      <c r="AIK905" s="471"/>
      <c r="AIL905" s="471"/>
      <c r="AIM905" s="471"/>
      <c r="AIN905" s="471"/>
      <c r="AIO905" s="471"/>
      <c r="AIP905" s="471"/>
      <c r="AIQ905" s="471"/>
      <c r="AIR905" s="471"/>
      <c r="AIS905" s="471"/>
      <c r="AIT905" s="471"/>
      <c r="AIU905" s="471"/>
      <c r="AIV905" s="471"/>
      <c r="AIW905" s="471"/>
      <c r="AIX905" s="471"/>
      <c r="AIY905" s="471"/>
      <c r="AIZ905" s="471"/>
      <c r="AJA905" s="471"/>
      <c r="AJB905" s="471"/>
      <c r="AJC905" s="471"/>
      <c r="AJD905" s="471"/>
      <c r="AJE905" s="471"/>
      <c r="AJF905" s="471"/>
      <c r="AJG905" s="471"/>
      <c r="AJH905" s="471"/>
      <c r="AJI905" s="471"/>
      <c r="AJJ905" s="471"/>
      <c r="AJK905" s="471"/>
      <c r="AJL905" s="471"/>
      <c r="AJM905" s="471"/>
      <c r="AJN905" s="471"/>
      <c r="AJO905" s="471"/>
      <c r="AJP905" s="471"/>
      <c r="AJQ905" s="471"/>
      <c r="AJR905" s="471"/>
      <c r="AJS905" s="471"/>
      <c r="AJT905" s="471"/>
      <c r="AJU905" s="471"/>
      <c r="AJV905" s="471"/>
      <c r="AJW905" s="471"/>
      <c r="AJX905" s="471"/>
      <c r="AJY905" s="471"/>
      <c r="AJZ905" s="471"/>
      <c r="AKA905" s="471"/>
      <c r="AKB905" s="471"/>
      <c r="AKC905" s="471"/>
      <c r="AKD905" s="471"/>
      <c r="AKE905" s="471"/>
      <c r="AKF905" s="471"/>
      <c r="AKG905" s="471"/>
      <c r="AKH905" s="471"/>
      <c r="AKI905" s="471"/>
      <c r="AKJ905" s="471"/>
      <c r="AKK905" s="471"/>
      <c r="AKL905" s="471"/>
      <c r="AKM905" s="471"/>
      <c r="AKN905" s="471"/>
      <c r="AKO905" s="471"/>
      <c r="AKP905" s="471"/>
      <c r="AKQ905" s="471"/>
      <c r="AKR905" s="471"/>
      <c r="AKS905" s="471"/>
      <c r="AKT905" s="471"/>
      <c r="AKU905" s="471"/>
      <c r="AKV905" s="471"/>
      <c r="AKW905" s="471"/>
      <c r="AKX905" s="471"/>
      <c r="AKY905" s="471"/>
      <c r="AKZ905" s="471"/>
      <c r="ALA905" s="471"/>
      <c r="ALB905" s="471"/>
      <c r="ALC905" s="471"/>
      <c r="ALD905" s="471"/>
      <c r="ALE905" s="471"/>
      <c r="ALF905" s="471"/>
      <c r="ALG905" s="471"/>
      <c r="ALH905" s="471"/>
      <c r="ALI905" s="471"/>
      <c r="ALJ905" s="471"/>
      <c r="ALK905" s="471"/>
      <c r="ALL905" s="471"/>
      <c r="ALM905" s="471"/>
      <c r="ALN905" s="471"/>
      <c r="ALO905" s="471"/>
      <c r="ALP905" s="471"/>
      <c r="ALQ905" s="471"/>
      <c r="ALR905" s="471"/>
      <c r="ALS905" s="471"/>
      <c r="ALT905" s="471"/>
      <c r="ALU905" s="471"/>
      <c r="ALV905" s="471"/>
      <c r="ALW905" s="471"/>
      <c r="ALX905" s="471"/>
      <c r="ALY905" s="471"/>
      <c r="ALZ905" s="471"/>
      <c r="AMA905" s="471"/>
      <c r="AMB905" s="471"/>
      <c r="AMC905" s="471"/>
      <c r="AMD905" s="471"/>
      <c r="AME905" s="471"/>
      <c r="AMF905" s="471"/>
      <c r="AMG905" s="471"/>
      <c r="AMH905" s="471"/>
      <c r="AMI905" s="471"/>
      <c r="AMJ905" s="471"/>
      <c r="AMK905" s="471"/>
      <c r="AML905" s="471"/>
      <c r="AMM905" s="471"/>
      <c r="AMN905" s="471"/>
      <c r="AMO905" s="471"/>
      <c r="AMP905" s="471"/>
      <c r="AMQ905" s="471"/>
      <c r="AMR905" s="471"/>
      <c r="AMS905" s="471"/>
      <c r="AMT905" s="471"/>
      <c r="AMU905" s="471"/>
      <c r="AMV905" s="471"/>
      <c r="AMW905" s="471"/>
      <c r="AMX905" s="471"/>
      <c r="AMY905" s="471"/>
      <c r="AMZ905" s="471"/>
      <c r="ANA905" s="471"/>
      <c r="ANB905" s="471"/>
      <c r="ANC905" s="471"/>
      <c r="AND905" s="471"/>
      <c r="ANE905" s="471"/>
      <c r="ANF905" s="471"/>
      <c r="ANG905" s="471"/>
      <c r="ANH905" s="471"/>
      <c r="ANI905" s="471"/>
      <c r="ANJ905" s="471"/>
      <c r="ANK905" s="471"/>
      <c r="ANL905" s="471"/>
      <c r="ANM905" s="471"/>
      <c r="ANN905" s="471"/>
      <c r="ANO905" s="471"/>
      <c r="ANP905" s="471"/>
      <c r="ANQ905" s="471"/>
      <c r="ANR905" s="471"/>
      <c r="ANS905" s="471"/>
      <c r="ANT905" s="471"/>
      <c r="ANU905" s="471"/>
      <c r="ANV905" s="471"/>
      <c r="ANW905" s="471"/>
      <c r="ANX905" s="471"/>
      <c r="ANY905" s="471"/>
      <c r="ANZ905" s="471"/>
      <c r="AOA905" s="471"/>
      <c r="AOB905" s="471"/>
      <c r="AOC905" s="471"/>
      <c r="AOD905" s="471"/>
      <c r="AOE905" s="471"/>
      <c r="AOF905" s="471"/>
      <c r="AOG905" s="471"/>
      <c r="AOH905" s="471"/>
      <c r="AOI905" s="471"/>
      <c r="AOJ905" s="471"/>
      <c r="AOK905" s="471"/>
      <c r="AOL905" s="471"/>
      <c r="AOM905" s="471"/>
      <c r="AON905" s="471"/>
      <c r="AOO905" s="471"/>
      <c r="AOP905" s="471"/>
      <c r="AOQ905" s="471"/>
      <c r="AOR905" s="471"/>
      <c r="AOS905" s="471"/>
      <c r="AOT905" s="471"/>
      <c r="AOU905" s="471"/>
      <c r="AOV905" s="471"/>
      <c r="AOW905" s="471"/>
      <c r="AOX905" s="471"/>
      <c r="AOY905" s="471"/>
      <c r="AOZ905" s="471"/>
      <c r="APA905" s="471"/>
      <c r="APB905" s="471"/>
      <c r="APC905" s="471"/>
      <c r="APD905" s="471"/>
      <c r="APE905" s="471"/>
      <c r="APF905" s="471"/>
      <c r="APG905" s="471"/>
      <c r="APH905" s="471"/>
      <c r="API905" s="471"/>
      <c r="APJ905" s="471"/>
      <c r="APK905" s="471"/>
      <c r="APL905" s="471"/>
      <c r="APM905" s="471"/>
      <c r="APN905" s="471"/>
      <c r="APO905" s="471"/>
      <c r="APP905" s="471"/>
      <c r="APQ905" s="471"/>
      <c r="APR905" s="471"/>
      <c r="APS905" s="471"/>
      <c r="APT905" s="471"/>
      <c r="APU905" s="471"/>
      <c r="APV905" s="471"/>
      <c r="APW905" s="471"/>
      <c r="APX905" s="471"/>
      <c r="APY905" s="471"/>
      <c r="APZ905" s="471"/>
      <c r="AQA905" s="471"/>
      <c r="AQB905" s="471"/>
      <c r="AQC905" s="471"/>
      <c r="AQD905" s="471"/>
      <c r="AQE905" s="471"/>
      <c r="AQF905" s="471"/>
      <c r="AQG905" s="471"/>
      <c r="AQH905" s="471"/>
      <c r="AQI905" s="471"/>
      <c r="AQJ905" s="471"/>
      <c r="AQK905" s="471"/>
      <c r="AQL905" s="471"/>
      <c r="AQM905" s="471"/>
      <c r="AQN905" s="471"/>
      <c r="AQO905" s="471"/>
      <c r="AQP905" s="471"/>
      <c r="AQQ905" s="471"/>
      <c r="AQR905" s="471"/>
      <c r="AQS905" s="471"/>
      <c r="AQT905" s="471"/>
      <c r="AQU905" s="471"/>
      <c r="AQV905" s="471"/>
      <c r="AQW905" s="471"/>
      <c r="AQX905" s="471"/>
      <c r="AQY905" s="471"/>
      <c r="AQZ905" s="471"/>
      <c r="ARA905" s="471"/>
      <c r="ARB905" s="471"/>
      <c r="ARC905" s="471"/>
      <c r="ARD905" s="471"/>
      <c r="ARE905" s="471"/>
      <c r="ARF905" s="471"/>
      <c r="ARG905" s="471"/>
      <c r="ARH905" s="471"/>
      <c r="ARI905" s="471"/>
      <c r="ARJ905" s="471"/>
      <c r="ARK905" s="471"/>
      <c r="ARL905" s="471"/>
      <c r="ARM905" s="471"/>
      <c r="ARN905" s="471"/>
      <c r="ARO905" s="471"/>
      <c r="ARP905" s="471"/>
      <c r="ARQ905" s="471"/>
      <c r="ARR905" s="471"/>
      <c r="ARS905" s="471"/>
      <c r="ART905" s="471"/>
      <c r="ARU905" s="471"/>
      <c r="ARV905" s="471"/>
      <c r="ARW905" s="471"/>
      <c r="ARX905" s="471"/>
      <c r="ARY905" s="471"/>
      <c r="ARZ905" s="471"/>
      <c r="ASA905" s="471"/>
      <c r="ASB905" s="471"/>
      <c r="ASC905" s="471"/>
      <c r="ASD905" s="471"/>
      <c r="ASE905" s="471"/>
      <c r="ASF905" s="471"/>
      <c r="ASG905" s="471"/>
      <c r="ASH905" s="471"/>
      <c r="ASI905" s="471"/>
      <c r="ASJ905" s="471"/>
      <c r="ASK905" s="471"/>
      <c r="ASL905" s="471"/>
      <c r="ASM905" s="471"/>
      <c r="ASN905" s="471"/>
      <c r="ASO905" s="471"/>
      <c r="ASP905" s="471"/>
      <c r="ASQ905" s="471"/>
      <c r="ASR905" s="471"/>
      <c r="ASS905" s="471"/>
      <c r="AST905" s="471"/>
      <c r="ASU905" s="471"/>
      <c r="ASV905" s="471"/>
      <c r="ASW905" s="471"/>
      <c r="ASX905" s="471"/>
      <c r="ASY905" s="471"/>
      <c r="ASZ905" s="471"/>
      <c r="ATA905" s="471"/>
      <c r="ATB905" s="471"/>
      <c r="ATC905" s="471"/>
      <c r="ATD905" s="471"/>
      <c r="ATE905" s="471"/>
      <c r="ATF905" s="471"/>
      <c r="ATG905" s="471"/>
      <c r="ATH905" s="471"/>
      <c r="ATI905" s="471"/>
      <c r="ATJ905" s="471"/>
      <c r="ATK905" s="471"/>
      <c r="ATL905" s="471"/>
      <c r="ATM905" s="471"/>
      <c r="ATN905" s="471"/>
      <c r="ATO905" s="471"/>
      <c r="ATP905" s="471"/>
      <c r="ATQ905" s="471"/>
      <c r="ATR905" s="471"/>
      <c r="ATS905" s="471"/>
      <c r="ATT905" s="471"/>
      <c r="ATU905" s="471"/>
      <c r="ATV905" s="471"/>
      <c r="ATW905" s="471"/>
      <c r="ATX905" s="471"/>
      <c r="ATY905" s="471"/>
      <c r="ATZ905" s="471"/>
      <c r="AUA905" s="471"/>
      <c r="AUB905" s="471"/>
      <c r="AUC905" s="471"/>
      <c r="AUD905" s="471"/>
      <c r="AUE905" s="471"/>
      <c r="AUF905" s="471"/>
      <c r="AUG905" s="471"/>
      <c r="AUH905" s="471"/>
      <c r="AUI905" s="471"/>
      <c r="AUJ905" s="471"/>
      <c r="AUK905" s="471"/>
      <c r="AUL905" s="471"/>
      <c r="AUM905" s="471"/>
      <c r="AUN905" s="471"/>
      <c r="AUO905" s="471"/>
      <c r="AUP905" s="471"/>
      <c r="AUQ905" s="471"/>
      <c r="AUR905" s="471"/>
      <c r="AUS905" s="471"/>
      <c r="AUT905" s="471"/>
      <c r="AUU905" s="471"/>
      <c r="AUV905" s="471"/>
      <c r="AUW905" s="471"/>
      <c r="AUX905" s="471"/>
      <c r="AUY905" s="471"/>
      <c r="AUZ905" s="471"/>
      <c r="AVA905" s="471"/>
      <c r="AVB905" s="471"/>
      <c r="AVC905" s="471"/>
      <c r="AVD905" s="471"/>
      <c r="AVE905" s="471"/>
      <c r="AVF905" s="471"/>
      <c r="AVG905" s="471"/>
      <c r="AVH905" s="471"/>
      <c r="AVI905" s="471"/>
      <c r="AVJ905" s="471"/>
      <c r="AVK905" s="471"/>
    </row>
    <row r="906" spans="1:1259" s="511" customFormat="1" ht="15" customHeight="1">
      <c r="A906" s="472"/>
      <c r="B906" s="472"/>
      <c r="C906" s="472"/>
      <c r="D906" s="512" t="s">
        <v>3186</v>
      </c>
      <c r="E906" s="501"/>
      <c r="F906" s="501"/>
      <c r="G906" s="501">
        <v>2022</v>
      </c>
      <c r="H906" s="501"/>
      <c r="I906" s="496" t="s">
        <v>1676</v>
      </c>
      <c r="J906" s="502"/>
      <c r="K906" s="503" t="s">
        <v>4876</v>
      </c>
      <c r="L906" s="501" t="s">
        <v>3297</v>
      </c>
      <c r="M906" s="504">
        <v>44601</v>
      </c>
      <c r="N906" s="504">
        <v>44651</v>
      </c>
      <c r="O906" s="504"/>
      <c r="P906" s="502"/>
      <c r="Q906" s="502"/>
      <c r="R906" s="502"/>
      <c r="S906" s="501" t="s">
        <v>2379</v>
      </c>
      <c r="T906" s="501">
        <v>60</v>
      </c>
      <c r="U906" s="501"/>
      <c r="V906" s="501" t="s">
        <v>973</v>
      </c>
      <c r="W906" s="501">
        <v>400</v>
      </c>
      <c r="X906" s="505">
        <v>832</v>
      </c>
      <c r="Y906" s="491">
        <f t="shared" si="130"/>
        <v>332800</v>
      </c>
      <c r="Z906" s="506">
        <v>0.54</v>
      </c>
      <c r="AA906" s="492">
        <f t="shared" si="134"/>
        <v>179712</v>
      </c>
      <c r="AB906" s="480"/>
      <c r="AC906" s="481">
        <f t="shared" si="131"/>
        <v>0</v>
      </c>
      <c r="AD906" s="508"/>
      <c r="AE906" s="507">
        <v>6851.52</v>
      </c>
      <c r="AF906" s="493">
        <f t="shared" si="132"/>
        <v>186563.52</v>
      </c>
      <c r="AG906" s="501" t="s">
        <v>47</v>
      </c>
      <c r="AH906" s="501"/>
      <c r="AI906" s="503">
        <v>60</v>
      </c>
      <c r="AJ906" s="501" t="s">
        <v>1790</v>
      </c>
      <c r="AK906" s="509" t="s">
        <v>50</v>
      </c>
      <c r="AL906" s="501">
        <v>95826</v>
      </c>
      <c r="AM906" s="501" t="s">
        <v>52</v>
      </c>
      <c r="AN906" s="501"/>
      <c r="AO906" s="501"/>
      <c r="AP906" s="510"/>
      <c r="AQ906" s="510" t="s">
        <v>37</v>
      </c>
      <c r="AR906" s="510"/>
      <c r="AS906" s="495"/>
      <c r="AT906" s="495"/>
      <c r="AU906" s="495"/>
      <c r="AV906" s="506">
        <f t="shared" si="133"/>
        <v>0.48000000000000004</v>
      </c>
      <c r="AW906" s="471"/>
      <c r="AX906" s="471"/>
      <c r="AY906" s="471"/>
      <c r="AZ906" s="471"/>
      <c r="BA906" s="471"/>
      <c r="BB906" s="471"/>
      <c r="BC906" s="471"/>
      <c r="BD906" s="471"/>
      <c r="BE906" s="471"/>
      <c r="BF906" s="471"/>
      <c r="BG906" s="471"/>
      <c r="BH906" s="471"/>
      <c r="BI906" s="471"/>
      <c r="BJ906" s="471"/>
      <c r="BK906" s="471"/>
      <c r="BL906" s="471"/>
      <c r="BM906" s="471"/>
      <c r="BN906" s="471"/>
      <c r="BO906" s="471"/>
      <c r="BP906" s="471"/>
      <c r="BQ906" s="471"/>
      <c r="BR906" s="471"/>
      <c r="BS906" s="471"/>
      <c r="BT906" s="471"/>
      <c r="BU906" s="471"/>
      <c r="BV906" s="471"/>
      <c r="BW906" s="471"/>
      <c r="BX906" s="471"/>
      <c r="BY906" s="471"/>
      <c r="BZ906" s="471"/>
      <c r="CA906" s="471"/>
      <c r="CB906" s="471"/>
      <c r="CC906" s="471"/>
      <c r="CD906" s="471"/>
      <c r="CE906" s="471"/>
      <c r="CF906" s="471"/>
      <c r="CG906" s="471"/>
      <c r="CH906" s="471"/>
      <c r="CI906" s="471"/>
      <c r="CJ906" s="471"/>
      <c r="CK906" s="471"/>
      <c r="CL906" s="471"/>
      <c r="CM906" s="471"/>
      <c r="CN906" s="471"/>
      <c r="CO906" s="471"/>
      <c r="CP906" s="471"/>
      <c r="CQ906" s="471"/>
      <c r="CR906" s="471"/>
      <c r="CS906" s="471"/>
      <c r="CT906" s="471"/>
      <c r="CU906" s="471"/>
      <c r="CV906" s="471"/>
      <c r="CW906" s="471"/>
      <c r="CX906" s="471"/>
      <c r="CY906" s="471"/>
      <c r="CZ906" s="471"/>
      <c r="DA906" s="471"/>
      <c r="DB906" s="471"/>
      <c r="DC906" s="471"/>
      <c r="DD906" s="471"/>
      <c r="DE906" s="471"/>
      <c r="DF906" s="471"/>
      <c r="DG906" s="471"/>
      <c r="DH906" s="471"/>
      <c r="DI906" s="471"/>
      <c r="DJ906" s="471"/>
      <c r="DK906" s="471"/>
      <c r="DL906" s="471"/>
      <c r="DM906" s="471"/>
      <c r="DN906" s="471"/>
      <c r="DO906" s="471"/>
      <c r="DP906" s="471"/>
      <c r="DQ906" s="471"/>
      <c r="DR906" s="471"/>
      <c r="DS906" s="471"/>
      <c r="DT906" s="471"/>
      <c r="DU906" s="471"/>
      <c r="DV906" s="471"/>
      <c r="DW906" s="471"/>
      <c r="DX906" s="471"/>
      <c r="DY906" s="471"/>
      <c r="DZ906" s="471"/>
      <c r="EA906" s="471"/>
      <c r="EB906" s="471"/>
      <c r="EC906" s="471"/>
      <c r="ED906" s="471"/>
      <c r="EE906" s="471"/>
      <c r="EF906" s="471"/>
      <c r="EG906" s="471"/>
      <c r="EH906" s="471"/>
      <c r="EI906" s="471"/>
      <c r="EJ906" s="471"/>
      <c r="EK906" s="471"/>
      <c r="EL906" s="471"/>
      <c r="EM906" s="471"/>
      <c r="EN906" s="471"/>
      <c r="EO906" s="471"/>
      <c r="EP906" s="471"/>
      <c r="EQ906" s="471"/>
      <c r="ER906" s="471"/>
      <c r="ES906" s="471"/>
      <c r="ET906" s="471"/>
      <c r="EU906" s="471"/>
      <c r="EV906" s="471"/>
      <c r="EW906" s="471"/>
      <c r="EX906" s="471"/>
      <c r="EY906" s="471"/>
      <c r="EZ906" s="471"/>
      <c r="FA906" s="471"/>
      <c r="FB906" s="471"/>
      <c r="FC906" s="471"/>
      <c r="FD906" s="471"/>
      <c r="FE906" s="471"/>
      <c r="FF906" s="471"/>
      <c r="FG906" s="471"/>
      <c r="FH906" s="471"/>
      <c r="FI906" s="471"/>
      <c r="FJ906" s="471"/>
      <c r="FK906" s="471"/>
      <c r="FL906" s="471"/>
      <c r="FM906" s="471"/>
      <c r="FN906" s="471"/>
      <c r="FO906" s="471"/>
      <c r="FP906" s="471"/>
      <c r="FQ906" s="471"/>
      <c r="FR906" s="471"/>
      <c r="FS906" s="471"/>
      <c r="FT906" s="471"/>
      <c r="FU906" s="471"/>
      <c r="FV906" s="471"/>
      <c r="FW906" s="471"/>
      <c r="FX906" s="471"/>
      <c r="FY906" s="471"/>
      <c r="FZ906" s="471"/>
      <c r="GA906" s="471"/>
      <c r="GB906" s="471"/>
      <c r="GC906" s="471"/>
      <c r="GD906" s="471"/>
      <c r="GE906" s="471"/>
      <c r="GF906" s="471"/>
      <c r="GG906" s="471"/>
      <c r="GH906" s="471"/>
      <c r="GI906" s="471"/>
      <c r="GJ906" s="471"/>
      <c r="GK906" s="471"/>
      <c r="GL906" s="471"/>
      <c r="GM906" s="471"/>
      <c r="GN906" s="471"/>
      <c r="GO906" s="471"/>
      <c r="GP906" s="471"/>
      <c r="GQ906" s="471"/>
      <c r="GR906" s="471"/>
      <c r="GS906" s="471"/>
      <c r="GT906" s="471"/>
      <c r="GU906" s="471"/>
      <c r="GV906" s="471"/>
      <c r="GW906" s="471"/>
      <c r="GX906" s="471"/>
      <c r="GY906" s="471"/>
      <c r="GZ906" s="471"/>
      <c r="HA906" s="471"/>
      <c r="HB906" s="471"/>
      <c r="HC906" s="471"/>
      <c r="HD906" s="471"/>
      <c r="HE906" s="471"/>
      <c r="HF906" s="471"/>
      <c r="HG906" s="471"/>
      <c r="HH906" s="471"/>
      <c r="HI906" s="471"/>
      <c r="HJ906" s="471"/>
      <c r="HK906" s="471"/>
      <c r="HL906" s="471"/>
      <c r="HM906" s="471"/>
      <c r="HN906" s="471"/>
      <c r="HO906" s="471"/>
      <c r="HP906" s="471"/>
      <c r="HQ906" s="471"/>
      <c r="HR906" s="471"/>
      <c r="HS906" s="471"/>
      <c r="HT906" s="471"/>
      <c r="HU906" s="471"/>
      <c r="HV906" s="471"/>
      <c r="HW906" s="471"/>
      <c r="HX906" s="471"/>
      <c r="HY906" s="471"/>
      <c r="HZ906" s="471"/>
      <c r="IA906" s="471"/>
      <c r="IB906" s="471"/>
      <c r="IC906" s="471"/>
      <c r="ID906" s="471"/>
      <c r="IE906" s="471"/>
      <c r="IF906" s="471"/>
      <c r="IG906" s="471"/>
      <c r="IH906" s="471"/>
      <c r="II906" s="471"/>
      <c r="IJ906" s="471"/>
      <c r="IK906" s="471"/>
      <c r="IL906" s="471"/>
      <c r="IM906" s="471"/>
      <c r="IN906" s="471"/>
      <c r="IO906" s="471"/>
      <c r="IP906" s="471"/>
      <c r="IQ906" s="471"/>
      <c r="IR906" s="471"/>
      <c r="IS906" s="471"/>
      <c r="IT906" s="471"/>
      <c r="IU906" s="471"/>
      <c r="IV906" s="471"/>
      <c r="IW906" s="471"/>
      <c r="IX906" s="471"/>
      <c r="IY906" s="471"/>
      <c r="IZ906" s="471"/>
      <c r="JA906" s="471"/>
      <c r="JB906" s="471"/>
      <c r="JC906" s="471"/>
      <c r="JD906" s="471"/>
      <c r="JE906" s="471"/>
      <c r="JF906" s="471"/>
      <c r="JG906" s="471"/>
      <c r="JH906" s="471"/>
      <c r="JI906" s="471"/>
      <c r="JJ906" s="471"/>
      <c r="JK906" s="471"/>
      <c r="JL906" s="471"/>
      <c r="JM906" s="471"/>
      <c r="JN906" s="471"/>
      <c r="JO906" s="471"/>
      <c r="JP906" s="471"/>
      <c r="JQ906" s="471"/>
      <c r="JR906" s="471"/>
      <c r="JS906" s="471"/>
      <c r="JT906" s="471"/>
      <c r="JU906" s="471"/>
      <c r="JV906" s="471"/>
      <c r="JW906" s="471"/>
      <c r="JX906" s="471"/>
      <c r="JY906" s="471"/>
      <c r="JZ906" s="471"/>
      <c r="KA906" s="471"/>
      <c r="KB906" s="471"/>
      <c r="KC906" s="471"/>
      <c r="KD906" s="471"/>
      <c r="KE906" s="471"/>
      <c r="KF906" s="471"/>
      <c r="KG906" s="471"/>
      <c r="KH906" s="471"/>
      <c r="KI906" s="471"/>
      <c r="KJ906" s="471"/>
      <c r="KK906" s="471"/>
      <c r="KL906" s="471"/>
      <c r="KM906" s="471"/>
      <c r="KN906" s="471"/>
      <c r="KO906" s="471"/>
      <c r="KP906" s="471"/>
      <c r="KQ906" s="471"/>
      <c r="KR906" s="471"/>
      <c r="KS906" s="471"/>
      <c r="KT906" s="471"/>
      <c r="KU906" s="471"/>
      <c r="KV906" s="471"/>
      <c r="KW906" s="471"/>
      <c r="KX906" s="471"/>
      <c r="KY906" s="471"/>
      <c r="KZ906" s="471"/>
      <c r="LA906" s="471"/>
      <c r="LB906" s="471"/>
      <c r="LC906" s="471"/>
      <c r="LD906" s="471"/>
      <c r="LE906" s="471"/>
      <c r="LF906" s="471"/>
      <c r="LG906" s="471"/>
      <c r="LH906" s="471"/>
      <c r="LI906" s="471"/>
      <c r="LJ906" s="471"/>
      <c r="LK906" s="471"/>
      <c r="LL906" s="471"/>
      <c r="LM906" s="471"/>
      <c r="LN906" s="471"/>
      <c r="LO906" s="471"/>
      <c r="LP906" s="471"/>
      <c r="LQ906" s="471"/>
      <c r="LR906" s="471"/>
      <c r="LS906" s="471"/>
      <c r="LT906" s="471"/>
      <c r="LU906" s="471"/>
      <c r="LV906" s="471"/>
      <c r="LW906" s="471"/>
      <c r="LX906" s="471"/>
      <c r="LY906" s="471"/>
      <c r="LZ906" s="471"/>
      <c r="MA906" s="471"/>
      <c r="MB906" s="471"/>
      <c r="MC906" s="471"/>
      <c r="MD906" s="471"/>
      <c r="ME906" s="471"/>
      <c r="MF906" s="471"/>
      <c r="MG906" s="471"/>
      <c r="MH906" s="471"/>
      <c r="MI906" s="471"/>
      <c r="MJ906" s="471"/>
      <c r="MK906" s="471"/>
      <c r="ML906" s="471"/>
      <c r="MM906" s="471"/>
      <c r="MN906" s="471"/>
      <c r="MO906" s="471"/>
      <c r="MP906" s="471"/>
      <c r="MQ906" s="471"/>
      <c r="MR906" s="471"/>
      <c r="MS906" s="471"/>
      <c r="MT906" s="471"/>
      <c r="MU906" s="471"/>
      <c r="MV906" s="471"/>
      <c r="MW906" s="471"/>
      <c r="MX906" s="471"/>
      <c r="MY906" s="471"/>
      <c r="MZ906" s="471"/>
      <c r="NA906" s="471"/>
      <c r="NB906" s="471"/>
      <c r="NC906" s="471"/>
      <c r="ND906" s="471"/>
      <c r="NE906" s="471"/>
      <c r="NF906" s="471"/>
      <c r="NG906" s="471"/>
      <c r="NH906" s="471"/>
      <c r="NI906" s="471"/>
      <c r="NJ906" s="471"/>
      <c r="NK906" s="471"/>
      <c r="NL906" s="471"/>
      <c r="NM906" s="471"/>
      <c r="NN906" s="471"/>
      <c r="NO906" s="471"/>
      <c r="NP906" s="471"/>
      <c r="NQ906" s="471"/>
      <c r="NR906" s="471"/>
      <c r="NS906" s="471"/>
      <c r="NT906" s="471"/>
      <c r="NU906" s="471"/>
      <c r="NV906" s="471"/>
      <c r="NW906" s="471"/>
      <c r="NX906" s="471"/>
      <c r="NY906" s="471"/>
      <c r="NZ906" s="471"/>
      <c r="OA906" s="471"/>
      <c r="OB906" s="471"/>
      <c r="OC906" s="471"/>
      <c r="OD906" s="471"/>
      <c r="OE906" s="471"/>
      <c r="OF906" s="471"/>
      <c r="OG906" s="471"/>
      <c r="OH906" s="471"/>
      <c r="OI906" s="471"/>
      <c r="OJ906" s="471"/>
      <c r="OK906" s="471"/>
      <c r="OL906" s="471"/>
      <c r="OM906" s="471"/>
      <c r="ON906" s="471"/>
      <c r="OO906" s="471"/>
      <c r="OP906" s="471"/>
      <c r="OQ906" s="471"/>
      <c r="OR906" s="471"/>
      <c r="OS906" s="471"/>
      <c r="OT906" s="471"/>
      <c r="OU906" s="471"/>
      <c r="OV906" s="471"/>
      <c r="OW906" s="471"/>
      <c r="OX906" s="471"/>
      <c r="OY906" s="471"/>
      <c r="OZ906" s="471"/>
      <c r="PA906" s="471"/>
      <c r="PB906" s="471"/>
      <c r="PC906" s="471"/>
      <c r="PD906" s="471"/>
      <c r="PE906" s="471"/>
      <c r="PF906" s="471"/>
      <c r="PG906" s="471"/>
      <c r="PH906" s="471"/>
      <c r="PI906" s="471"/>
      <c r="PJ906" s="471"/>
      <c r="PK906" s="471"/>
      <c r="PL906" s="471"/>
      <c r="PM906" s="471"/>
      <c r="PN906" s="471"/>
      <c r="PO906" s="471"/>
      <c r="PP906" s="471"/>
      <c r="PQ906" s="471"/>
      <c r="PR906" s="471"/>
      <c r="PS906" s="471"/>
      <c r="PT906" s="471"/>
      <c r="PU906" s="471"/>
      <c r="PV906" s="471"/>
      <c r="PW906" s="471"/>
      <c r="PX906" s="471"/>
      <c r="PY906" s="471"/>
      <c r="PZ906" s="471"/>
      <c r="QA906" s="471"/>
      <c r="QB906" s="471"/>
      <c r="QC906" s="471"/>
      <c r="QD906" s="471"/>
      <c r="QE906" s="471"/>
      <c r="QF906" s="471"/>
      <c r="QG906" s="471"/>
      <c r="QH906" s="471"/>
      <c r="QI906" s="471"/>
      <c r="QJ906" s="471"/>
      <c r="QK906" s="471"/>
      <c r="QL906" s="471"/>
      <c r="QM906" s="471"/>
      <c r="QN906" s="471"/>
      <c r="QO906" s="471"/>
      <c r="QP906" s="471"/>
      <c r="QQ906" s="471"/>
      <c r="QR906" s="471"/>
      <c r="QS906" s="471"/>
      <c r="QT906" s="471"/>
      <c r="QU906" s="471"/>
      <c r="QV906" s="471"/>
      <c r="QW906" s="471"/>
      <c r="QX906" s="471"/>
      <c r="QY906" s="471"/>
      <c r="QZ906" s="471"/>
      <c r="RA906" s="471"/>
      <c r="RB906" s="471"/>
      <c r="RC906" s="471"/>
      <c r="RD906" s="471"/>
      <c r="RE906" s="471"/>
      <c r="RF906" s="471"/>
      <c r="RG906" s="471"/>
      <c r="RH906" s="471"/>
      <c r="RI906" s="471"/>
      <c r="RJ906" s="471"/>
      <c r="RK906" s="471"/>
      <c r="RL906" s="471"/>
      <c r="RM906" s="471"/>
      <c r="RN906" s="471"/>
      <c r="RO906" s="471"/>
      <c r="RP906" s="471"/>
      <c r="RQ906" s="471"/>
      <c r="RR906" s="471"/>
      <c r="RS906" s="471"/>
      <c r="RT906" s="471"/>
      <c r="RU906" s="471"/>
      <c r="RV906" s="471"/>
      <c r="RW906" s="471"/>
      <c r="RX906" s="471"/>
      <c r="RY906" s="471"/>
      <c r="RZ906" s="471"/>
      <c r="SA906" s="471"/>
      <c r="SB906" s="471"/>
      <c r="SC906" s="471"/>
      <c r="SD906" s="471"/>
      <c r="SE906" s="471"/>
      <c r="SF906" s="471"/>
      <c r="SG906" s="471"/>
      <c r="SH906" s="471"/>
      <c r="SI906" s="471"/>
      <c r="SJ906" s="471"/>
      <c r="SK906" s="471"/>
      <c r="SL906" s="471"/>
      <c r="SM906" s="471"/>
      <c r="SN906" s="471"/>
      <c r="SO906" s="471"/>
      <c r="SP906" s="471"/>
      <c r="SQ906" s="471"/>
      <c r="SR906" s="471"/>
      <c r="SS906" s="471"/>
      <c r="ST906" s="471"/>
      <c r="SU906" s="471"/>
      <c r="SV906" s="471"/>
      <c r="SW906" s="471"/>
      <c r="SX906" s="471"/>
      <c r="SY906" s="471"/>
      <c r="SZ906" s="471"/>
      <c r="TA906" s="471"/>
      <c r="TB906" s="471"/>
      <c r="TC906" s="471"/>
      <c r="TD906" s="471"/>
      <c r="TE906" s="471"/>
      <c r="TF906" s="471"/>
      <c r="TG906" s="471"/>
      <c r="TH906" s="471"/>
      <c r="TI906" s="471"/>
      <c r="TJ906" s="471"/>
      <c r="TK906" s="471"/>
      <c r="TL906" s="471"/>
      <c r="TM906" s="471"/>
      <c r="TN906" s="471"/>
      <c r="TO906" s="471"/>
      <c r="TP906" s="471"/>
      <c r="TQ906" s="471"/>
      <c r="TR906" s="471"/>
      <c r="TS906" s="471"/>
      <c r="TT906" s="471"/>
      <c r="TU906" s="471"/>
      <c r="TV906" s="471"/>
      <c r="TW906" s="471"/>
      <c r="TX906" s="471"/>
      <c r="TY906" s="471"/>
      <c r="TZ906" s="471"/>
      <c r="UA906" s="471"/>
      <c r="UB906" s="471"/>
      <c r="UC906" s="471"/>
      <c r="UD906" s="471"/>
      <c r="UE906" s="471"/>
      <c r="UF906" s="471"/>
      <c r="UG906" s="471"/>
      <c r="UH906" s="471"/>
      <c r="UI906" s="471"/>
      <c r="UJ906" s="471"/>
      <c r="UK906" s="471"/>
      <c r="UL906" s="471"/>
      <c r="UM906" s="471"/>
      <c r="UN906" s="471"/>
      <c r="UO906" s="471"/>
      <c r="UP906" s="471"/>
      <c r="UQ906" s="471"/>
      <c r="UR906" s="471"/>
      <c r="US906" s="471"/>
      <c r="UT906" s="471"/>
      <c r="UU906" s="471"/>
      <c r="UV906" s="471"/>
      <c r="UW906" s="471"/>
      <c r="UX906" s="471"/>
      <c r="UY906" s="471"/>
      <c r="UZ906" s="471"/>
      <c r="VA906" s="471"/>
      <c r="VB906" s="471"/>
      <c r="VC906" s="471"/>
      <c r="VD906" s="471"/>
      <c r="VE906" s="471"/>
      <c r="VF906" s="471"/>
      <c r="VG906" s="471"/>
      <c r="VH906" s="471"/>
      <c r="VI906" s="471"/>
      <c r="VJ906" s="471"/>
      <c r="VK906" s="471"/>
      <c r="VL906" s="471"/>
      <c r="VM906" s="471"/>
      <c r="VN906" s="471"/>
      <c r="VO906" s="471"/>
      <c r="VP906" s="471"/>
      <c r="VQ906" s="471"/>
      <c r="VR906" s="471"/>
      <c r="VS906" s="471"/>
      <c r="VT906" s="471"/>
      <c r="VU906" s="471"/>
      <c r="VV906" s="471"/>
      <c r="VW906" s="471"/>
      <c r="VX906" s="471"/>
      <c r="VY906" s="471"/>
      <c r="VZ906" s="471"/>
      <c r="WA906" s="471"/>
      <c r="WB906" s="471"/>
      <c r="WC906" s="471"/>
      <c r="WD906" s="471"/>
      <c r="WE906" s="471"/>
      <c r="WF906" s="471"/>
      <c r="WG906" s="471"/>
      <c r="WH906" s="471"/>
      <c r="WI906" s="471"/>
      <c r="WJ906" s="471"/>
      <c r="WK906" s="471"/>
      <c r="WL906" s="471"/>
      <c r="WM906" s="471"/>
      <c r="WN906" s="471"/>
      <c r="WO906" s="471"/>
      <c r="WP906" s="471"/>
      <c r="WQ906" s="471"/>
      <c r="WR906" s="471"/>
      <c r="WS906" s="471"/>
      <c r="WT906" s="471"/>
      <c r="WU906" s="471"/>
      <c r="WV906" s="471"/>
      <c r="WW906" s="471"/>
      <c r="WX906" s="471"/>
      <c r="WY906" s="471"/>
      <c r="WZ906" s="471"/>
      <c r="XA906" s="471"/>
      <c r="XB906" s="471"/>
      <c r="XC906" s="471"/>
      <c r="XD906" s="471"/>
      <c r="XE906" s="471"/>
      <c r="XF906" s="471"/>
      <c r="XG906" s="471"/>
      <c r="XH906" s="471"/>
      <c r="XI906" s="471"/>
      <c r="XJ906" s="471"/>
      <c r="XK906" s="471"/>
      <c r="XL906" s="471"/>
      <c r="XM906" s="471"/>
      <c r="XN906" s="471"/>
      <c r="XO906" s="471"/>
      <c r="XP906" s="471"/>
      <c r="XQ906" s="471"/>
      <c r="XR906" s="471"/>
      <c r="XS906" s="471"/>
      <c r="XT906" s="471"/>
      <c r="XU906" s="471"/>
      <c r="XV906" s="471"/>
      <c r="XW906" s="471"/>
      <c r="XX906" s="471"/>
      <c r="XY906" s="471"/>
      <c r="XZ906" s="471"/>
      <c r="YA906" s="471"/>
      <c r="YB906" s="471"/>
      <c r="YC906" s="471"/>
      <c r="YD906" s="471"/>
      <c r="YE906" s="471"/>
      <c r="YF906" s="471"/>
      <c r="YG906" s="471"/>
      <c r="YH906" s="471"/>
      <c r="YI906" s="471"/>
      <c r="YJ906" s="471"/>
      <c r="YK906" s="471"/>
      <c r="YL906" s="471"/>
      <c r="YM906" s="471"/>
      <c r="YN906" s="471"/>
      <c r="YO906" s="471"/>
      <c r="YP906" s="471"/>
      <c r="YQ906" s="471"/>
      <c r="YR906" s="471"/>
      <c r="YS906" s="471"/>
      <c r="YT906" s="471"/>
      <c r="YU906" s="471"/>
      <c r="YV906" s="471"/>
      <c r="YW906" s="471"/>
      <c r="YX906" s="471"/>
      <c r="YY906" s="471"/>
      <c r="YZ906" s="471"/>
      <c r="ZA906" s="471"/>
      <c r="ZB906" s="471"/>
      <c r="ZC906" s="471"/>
      <c r="ZD906" s="471"/>
      <c r="ZE906" s="471"/>
      <c r="ZF906" s="471"/>
      <c r="ZG906" s="471"/>
      <c r="ZH906" s="471"/>
      <c r="ZI906" s="471"/>
      <c r="ZJ906" s="471"/>
      <c r="ZK906" s="471"/>
      <c r="ZL906" s="471"/>
      <c r="ZM906" s="471"/>
      <c r="ZN906" s="471"/>
      <c r="ZO906" s="471"/>
      <c r="ZP906" s="471"/>
      <c r="ZQ906" s="471"/>
      <c r="ZR906" s="471"/>
      <c r="ZS906" s="471"/>
      <c r="ZT906" s="471"/>
      <c r="ZU906" s="471"/>
      <c r="ZV906" s="471"/>
      <c r="ZW906" s="471"/>
      <c r="ZX906" s="471"/>
      <c r="ZY906" s="471"/>
      <c r="ZZ906" s="471"/>
      <c r="AAA906" s="471"/>
      <c r="AAB906" s="471"/>
      <c r="AAC906" s="471"/>
      <c r="AAD906" s="471"/>
      <c r="AAE906" s="471"/>
      <c r="AAF906" s="471"/>
      <c r="AAG906" s="471"/>
      <c r="AAH906" s="471"/>
      <c r="AAI906" s="471"/>
      <c r="AAJ906" s="471"/>
      <c r="AAK906" s="471"/>
      <c r="AAL906" s="471"/>
      <c r="AAM906" s="471"/>
      <c r="AAN906" s="471"/>
      <c r="AAO906" s="471"/>
      <c r="AAP906" s="471"/>
      <c r="AAQ906" s="471"/>
      <c r="AAR906" s="471"/>
      <c r="AAS906" s="471"/>
      <c r="AAT906" s="471"/>
      <c r="AAU906" s="471"/>
      <c r="AAV906" s="471"/>
      <c r="AAW906" s="471"/>
      <c r="AAX906" s="471"/>
      <c r="AAY906" s="471"/>
      <c r="AAZ906" s="471"/>
      <c r="ABA906" s="471"/>
      <c r="ABB906" s="471"/>
      <c r="ABC906" s="471"/>
      <c r="ABD906" s="471"/>
      <c r="ABE906" s="471"/>
      <c r="ABF906" s="471"/>
      <c r="ABG906" s="471"/>
      <c r="ABH906" s="471"/>
      <c r="ABI906" s="471"/>
      <c r="ABJ906" s="471"/>
      <c r="ABK906" s="471"/>
      <c r="ABL906" s="471"/>
      <c r="ABM906" s="471"/>
      <c r="ABN906" s="471"/>
      <c r="ABO906" s="471"/>
      <c r="ABP906" s="471"/>
      <c r="ABQ906" s="471"/>
      <c r="ABR906" s="471"/>
      <c r="ABS906" s="471"/>
      <c r="ABT906" s="471"/>
      <c r="ABU906" s="471"/>
      <c r="ABV906" s="471"/>
      <c r="ABW906" s="471"/>
      <c r="ABX906" s="471"/>
      <c r="ABY906" s="471"/>
      <c r="ABZ906" s="471"/>
      <c r="ACA906" s="471"/>
      <c r="ACB906" s="471"/>
      <c r="ACC906" s="471"/>
      <c r="ACD906" s="471"/>
      <c r="ACE906" s="471"/>
      <c r="ACF906" s="471"/>
      <c r="ACG906" s="471"/>
      <c r="ACH906" s="471"/>
      <c r="ACI906" s="471"/>
      <c r="ACJ906" s="471"/>
      <c r="ACK906" s="471"/>
      <c r="ACL906" s="471"/>
      <c r="ACM906" s="471"/>
      <c r="ACN906" s="471"/>
      <c r="ACO906" s="471"/>
      <c r="ACP906" s="471"/>
      <c r="ACQ906" s="471"/>
      <c r="ACR906" s="471"/>
      <c r="ACS906" s="471"/>
      <c r="ACT906" s="471"/>
      <c r="ACU906" s="471"/>
      <c r="ACV906" s="471"/>
      <c r="ACW906" s="471"/>
      <c r="ACX906" s="471"/>
      <c r="ACY906" s="471"/>
      <c r="ACZ906" s="471"/>
      <c r="ADA906" s="471"/>
      <c r="ADB906" s="471"/>
      <c r="ADC906" s="471"/>
      <c r="ADD906" s="471"/>
      <c r="ADE906" s="471"/>
      <c r="ADF906" s="471"/>
      <c r="ADG906" s="471"/>
      <c r="ADH906" s="471"/>
      <c r="ADI906" s="471"/>
      <c r="ADJ906" s="471"/>
      <c r="ADK906" s="471"/>
      <c r="ADL906" s="471"/>
      <c r="ADM906" s="471"/>
      <c r="ADN906" s="471"/>
      <c r="ADO906" s="471"/>
      <c r="ADP906" s="471"/>
      <c r="ADQ906" s="471"/>
      <c r="ADR906" s="471"/>
      <c r="ADS906" s="471"/>
      <c r="ADT906" s="471"/>
      <c r="ADU906" s="471"/>
      <c r="ADV906" s="471"/>
      <c r="ADW906" s="471"/>
      <c r="ADX906" s="471"/>
      <c r="ADY906" s="471"/>
      <c r="ADZ906" s="471"/>
      <c r="AEA906" s="471"/>
      <c r="AEB906" s="471"/>
      <c r="AEC906" s="471"/>
      <c r="AED906" s="471"/>
      <c r="AEE906" s="471"/>
      <c r="AEF906" s="471"/>
      <c r="AEG906" s="471"/>
      <c r="AEH906" s="471"/>
      <c r="AEI906" s="471"/>
      <c r="AEJ906" s="471"/>
      <c r="AEK906" s="471"/>
      <c r="AEL906" s="471"/>
      <c r="AEM906" s="471"/>
      <c r="AEN906" s="471"/>
      <c r="AEO906" s="471"/>
      <c r="AEP906" s="471"/>
      <c r="AEQ906" s="471"/>
      <c r="AER906" s="471"/>
      <c r="AES906" s="471"/>
      <c r="AET906" s="471"/>
      <c r="AEU906" s="471"/>
      <c r="AEV906" s="471"/>
      <c r="AEW906" s="471"/>
      <c r="AEX906" s="471"/>
      <c r="AEY906" s="471"/>
      <c r="AEZ906" s="471"/>
      <c r="AFA906" s="471"/>
      <c r="AFB906" s="471"/>
      <c r="AFC906" s="471"/>
      <c r="AFD906" s="471"/>
      <c r="AFE906" s="471"/>
      <c r="AFF906" s="471"/>
      <c r="AFG906" s="471"/>
      <c r="AFH906" s="471"/>
      <c r="AFI906" s="471"/>
      <c r="AFJ906" s="471"/>
      <c r="AFK906" s="471"/>
      <c r="AFL906" s="471"/>
      <c r="AFM906" s="471"/>
      <c r="AFN906" s="471"/>
      <c r="AFO906" s="471"/>
      <c r="AFP906" s="471"/>
      <c r="AFQ906" s="471"/>
      <c r="AFR906" s="471"/>
      <c r="AFS906" s="471"/>
      <c r="AFT906" s="471"/>
      <c r="AFU906" s="471"/>
      <c r="AFV906" s="471"/>
      <c r="AFW906" s="471"/>
      <c r="AFX906" s="471"/>
      <c r="AFY906" s="471"/>
      <c r="AFZ906" s="471"/>
      <c r="AGA906" s="471"/>
      <c r="AGB906" s="471"/>
      <c r="AGC906" s="471"/>
      <c r="AGD906" s="471"/>
      <c r="AGE906" s="471"/>
      <c r="AGF906" s="471"/>
      <c r="AGG906" s="471"/>
      <c r="AGH906" s="471"/>
      <c r="AGI906" s="471"/>
      <c r="AGJ906" s="471"/>
      <c r="AGK906" s="471"/>
      <c r="AGL906" s="471"/>
      <c r="AGM906" s="471"/>
      <c r="AGN906" s="471"/>
      <c r="AGO906" s="471"/>
      <c r="AGP906" s="471"/>
      <c r="AGQ906" s="471"/>
      <c r="AGR906" s="471"/>
      <c r="AGS906" s="471"/>
      <c r="AGT906" s="471"/>
      <c r="AGU906" s="471"/>
      <c r="AGV906" s="471"/>
      <c r="AGW906" s="471"/>
      <c r="AGX906" s="471"/>
      <c r="AGY906" s="471"/>
      <c r="AGZ906" s="471"/>
      <c r="AHA906" s="471"/>
      <c r="AHB906" s="471"/>
      <c r="AHC906" s="471"/>
      <c r="AHD906" s="471"/>
      <c r="AHE906" s="471"/>
      <c r="AHF906" s="471"/>
      <c r="AHG906" s="471"/>
      <c r="AHH906" s="471"/>
      <c r="AHI906" s="471"/>
      <c r="AHJ906" s="471"/>
      <c r="AHK906" s="471"/>
      <c r="AHL906" s="471"/>
      <c r="AHM906" s="471"/>
      <c r="AHN906" s="471"/>
      <c r="AHO906" s="471"/>
      <c r="AHP906" s="471"/>
      <c r="AHQ906" s="471"/>
      <c r="AHR906" s="471"/>
      <c r="AHS906" s="471"/>
      <c r="AHT906" s="471"/>
      <c r="AHU906" s="471"/>
      <c r="AHV906" s="471"/>
      <c r="AHW906" s="471"/>
      <c r="AHX906" s="471"/>
      <c r="AHY906" s="471"/>
      <c r="AHZ906" s="471"/>
      <c r="AIA906" s="471"/>
      <c r="AIB906" s="471"/>
      <c r="AIC906" s="471"/>
      <c r="AID906" s="471"/>
      <c r="AIE906" s="471"/>
      <c r="AIF906" s="471"/>
      <c r="AIG906" s="471"/>
      <c r="AIH906" s="471"/>
      <c r="AII906" s="471"/>
      <c r="AIJ906" s="471"/>
      <c r="AIK906" s="471"/>
      <c r="AIL906" s="471"/>
      <c r="AIM906" s="471"/>
      <c r="AIN906" s="471"/>
      <c r="AIO906" s="471"/>
      <c r="AIP906" s="471"/>
      <c r="AIQ906" s="471"/>
      <c r="AIR906" s="471"/>
      <c r="AIS906" s="471"/>
      <c r="AIT906" s="471"/>
      <c r="AIU906" s="471"/>
      <c r="AIV906" s="471"/>
      <c r="AIW906" s="471"/>
      <c r="AIX906" s="471"/>
      <c r="AIY906" s="471"/>
      <c r="AIZ906" s="471"/>
      <c r="AJA906" s="471"/>
      <c r="AJB906" s="471"/>
      <c r="AJC906" s="471"/>
      <c r="AJD906" s="471"/>
      <c r="AJE906" s="471"/>
      <c r="AJF906" s="471"/>
      <c r="AJG906" s="471"/>
      <c r="AJH906" s="471"/>
      <c r="AJI906" s="471"/>
      <c r="AJJ906" s="471"/>
      <c r="AJK906" s="471"/>
      <c r="AJL906" s="471"/>
      <c r="AJM906" s="471"/>
      <c r="AJN906" s="471"/>
      <c r="AJO906" s="471"/>
      <c r="AJP906" s="471"/>
      <c r="AJQ906" s="471"/>
      <c r="AJR906" s="471"/>
      <c r="AJS906" s="471"/>
      <c r="AJT906" s="471"/>
      <c r="AJU906" s="471"/>
      <c r="AJV906" s="471"/>
      <c r="AJW906" s="471"/>
      <c r="AJX906" s="471"/>
      <c r="AJY906" s="471"/>
      <c r="AJZ906" s="471"/>
      <c r="AKA906" s="471"/>
      <c r="AKB906" s="471"/>
      <c r="AKC906" s="471"/>
      <c r="AKD906" s="471"/>
      <c r="AKE906" s="471"/>
      <c r="AKF906" s="471"/>
      <c r="AKG906" s="471"/>
      <c r="AKH906" s="471"/>
      <c r="AKI906" s="471"/>
      <c r="AKJ906" s="471"/>
      <c r="AKK906" s="471"/>
      <c r="AKL906" s="471"/>
      <c r="AKM906" s="471"/>
      <c r="AKN906" s="471"/>
      <c r="AKO906" s="471"/>
      <c r="AKP906" s="471"/>
      <c r="AKQ906" s="471"/>
      <c r="AKR906" s="471"/>
      <c r="AKS906" s="471"/>
      <c r="AKT906" s="471"/>
      <c r="AKU906" s="471"/>
      <c r="AKV906" s="471"/>
      <c r="AKW906" s="471"/>
      <c r="AKX906" s="471"/>
      <c r="AKY906" s="471"/>
      <c r="AKZ906" s="471"/>
      <c r="ALA906" s="471"/>
      <c r="ALB906" s="471"/>
      <c r="ALC906" s="471"/>
      <c r="ALD906" s="471"/>
      <c r="ALE906" s="471"/>
      <c r="ALF906" s="471"/>
      <c r="ALG906" s="471"/>
      <c r="ALH906" s="471"/>
      <c r="ALI906" s="471"/>
      <c r="ALJ906" s="471"/>
      <c r="ALK906" s="471"/>
      <c r="ALL906" s="471"/>
      <c r="ALM906" s="471"/>
      <c r="ALN906" s="471"/>
      <c r="ALO906" s="471"/>
      <c r="ALP906" s="471"/>
      <c r="ALQ906" s="471"/>
      <c r="ALR906" s="471"/>
      <c r="ALS906" s="471"/>
      <c r="ALT906" s="471"/>
      <c r="ALU906" s="471"/>
      <c r="ALV906" s="471"/>
      <c r="ALW906" s="471"/>
      <c r="ALX906" s="471"/>
      <c r="ALY906" s="471"/>
      <c r="ALZ906" s="471"/>
      <c r="AMA906" s="471"/>
      <c r="AMB906" s="471"/>
      <c r="AMC906" s="471"/>
      <c r="AMD906" s="471"/>
      <c r="AME906" s="471"/>
      <c r="AMF906" s="471"/>
      <c r="AMG906" s="471"/>
      <c r="AMH906" s="471"/>
      <c r="AMI906" s="471"/>
      <c r="AMJ906" s="471"/>
      <c r="AMK906" s="471"/>
      <c r="AML906" s="471"/>
      <c r="AMM906" s="471"/>
      <c r="AMN906" s="471"/>
      <c r="AMO906" s="471"/>
      <c r="AMP906" s="471"/>
      <c r="AMQ906" s="471"/>
      <c r="AMR906" s="471"/>
      <c r="AMS906" s="471"/>
      <c r="AMT906" s="471"/>
      <c r="AMU906" s="471"/>
      <c r="AMV906" s="471"/>
      <c r="AMW906" s="471"/>
      <c r="AMX906" s="471"/>
      <c r="AMY906" s="471"/>
      <c r="AMZ906" s="471"/>
      <c r="ANA906" s="471"/>
      <c r="ANB906" s="471"/>
      <c r="ANC906" s="471"/>
      <c r="AND906" s="471"/>
      <c r="ANE906" s="471"/>
      <c r="ANF906" s="471"/>
      <c r="ANG906" s="471"/>
      <c r="ANH906" s="471"/>
      <c r="ANI906" s="471"/>
      <c r="ANJ906" s="471"/>
      <c r="ANK906" s="471"/>
      <c r="ANL906" s="471"/>
      <c r="ANM906" s="471"/>
      <c r="ANN906" s="471"/>
      <c r="ANO906" s="471"/>
      <c r="ANP906" s="471"/>
      <c r="ANQ906" s="471"/>
      <c r="ANR906" s="471"/>
      <c r="ANS906" s="471"/>
      <c r="ANT906" s="471"/>
      <c r="ANU906" s="471"/>
      <c r="ANV906" s="471"/>
      <c r="ANW906" s="471"/>
      <c r="ANX906" s="471"/>
      <c r="ANY906" s="471"/>
      <c r="ANZ906" s="471"/>
      <c r="AOA906" s="471"/>
      <c r="AOB906" s="471"/>
      <c r="AOC906" s="471"/>
      <c r="AOD906" s="471"/>
      <c r="AOE906" s="471"/>
      <c r="AOF906" s="471"/>
      <c r="AOG906" s="471"/>
      <c r="AOH906" s="471"/>
      <c r="AOI906" s="471"/>
      <c r="AOJ906" s="471"/>
      <c r="AOK906" s="471"/>
      <c r="AOL906" s="471"/>
      <c r="AOM906" s="471"/>
      <c r="AON906" s="471"/>
      <c r="AOO906" s="471"/>
      <c r="AOP906" s="471"/>
      <c r="AOQ906" s="471"/>
      <c r="AOR906" s="471"/>
      <c r="AOS906" s="471"/>
      <c r="AOT906" s="471"/>
      <c r="AOU906" s="471"/>
      <c r="AOV906" s="471"/>
      <c r="AOW906" s="471"/>
      <c r="AOX906" s="471"/>
      <c r="AOY906" s="471"/>
      <c r="AOZ906" s="471"/>
      <c r="APA906" s="471"/>
      <c r="APB906" s="471"/>
      <c r="APC906" s="471"/>
      <c r="APD906" s="471"/>
      <c r="APE906" s="471"/>
      <c r="APF906" s="471"/>
      <c r="APG906" s="471"/>
      <c r="APH906" s="471"/>
      <c r="API906" s="471"/>
      <c r="APJ906" s="471"/>
      <c r="APK906" s="471"/>
      <c r="APL906" s="471"/>
      <c r="APM906" s="471"/>
      <c r="APN906" s="471"/>
      <c r="APO906" s="471"/>
      <c r="APP906" s="471"/>
      <c r="APQ906" s="471"/>
      <c r="APR906" s="471"/>
      <c r="APS906" s="471"/>
      <c r="APT906" s="471"/>
      <c r="APU906" s="471"/>
      <c r="APV906" s="471"/>
      <c r="APW906" s="471"/>
      <c r="APX906" s="471"/>
      <c r="APY906" s="471"/>
      <c r="APZ906" s="471"/>
      <c r="AQA906" s="471"/>
      <c r="AQB906" s="471"/>
      <c r="AQC906" s="471"/>
      <c r="AQD906" s="471"/>
      <c r="AQE906" s="471"/>
      <c r="AQF906" s="471"/>
      <c r="AQG906" s="471"/>
      <c r="AQH906" s="471"/>
      <c r="AQI906" s="471"/>
      <c r="AQJ906" s="471"/>
      <c r="AQK906" s="471"/>
      <c r="AQL906" s="471"/>
      <c r="AQM906" s="471"/>
      <c r="AQN906" s="471"/>
      <c r="AQO906" s="471"/>
      <c r="AQP906" s="471"/>
      <c r="AQQ906" s="471"/>
      <c r="AQR906" s="471"/>
      <c r="AQS906" s="471"/>
      <c r="AQT906" s="471"/>
      <c r="AQU906" s="471"/>
      <c r="AQV906" s="471"/>
      <c r="AQW906" s="471"/>
      <c r="AQX906" s="471"/>
      <c r="AQY906" s="471"/>
      <c r="AQZ906" s="471"/>
      <c r="ARA906" s="471"/>
      <c r="ARB906" s="471"/>
      <c r="ARC906" s="471"/>
      <c r="ARD906" s="471"/>
      <c r="ARE906" s="471"/>
      <c r="ARF906" s="471"/>
      <c r="ARG906" s="471"/>
      <c r="ARH906" s="471"/>
      <c r="ARI906" s="471"/>
      <c r="ARJ906" s="471"/>
      <c r="ARK906" s="471"/>
      <c r="ARL906" s="471"/>
      <c r="ARM906" s="471"/>
      <c r="ARN906" s="471"/>
      <c r="ARO906" s="471"/>
      <c r="ARP906" s="471"/>
      <c r="ARQ906" s="471"/>
      <c r="ARR906" s="471"/>
      <c r="ARS906" s="471"/>
      <c r="ART906" s="471"/>
      <c r="ARU906" s="471"/>
      <c r="ARV906" s="471"/>
      <c r="ARW906" s="471"/>
      <c r="ARX906" s="471"/>
      <c r="ARY906" s="471"/>
      <c r="ARZ906" s="471"/>
      <c r="ASA906" s="471"/>
      <c r="ASB906" s="471"/>
      <c r="ASC906" s="471"/>
      <c r="ASD906" s="471"/>
      <c r="ASE906" s="471"/>
      <c r="ASF906" s="471"/>
      <c r="ASG906" s="471"/>
      <c r="ASH906" s="471"/>
      <c r="ASI906" s="471"/>
      <c r="ASJ906" s="471"/>
      <c r="ASK906" s="471"/>
      <c r="ASL906" s="471"/>
      <c r="ASM906" s="471"/>
      <c r="ASN906" s="471"/>
      <c r="ASO906" s="471"/>
      <c r="ASP906" s="471"/>
      <c r="ASQ906" s="471"/>
      <c r="ASR906" s="471"/>
      <c r="ASS906" s="471"/>
      <c r="AST906" s="471"/>
      <c r="ASU906" s="471"/>
      <c r="ASV906" s="471"/>
      <c r="ASW906" s="471"/>
      <c r="ASX906" s="471"/>
      <c r="ASY906" s="471"/>
      <c r="ASZ906" s="471"/>
      <c r="ATA906" s="471"/>
      <c r="ATB906" s="471"/>
      <c r="ATC906" s="471"/>
      <c r="ATD906" s="471"/>
      <c r="ATE906" s="471"/>
      <c r="ATF906" s="471"/>
      <c r="ATG906" s="471"/>
      <c r="ATH906" s="471"/>
      <c r="ATI906" s="471"/>
      <c r="ATJ906" s="471"/>
      <c r="ATK906" s="471"/>
      <c r="ATL906" s="471"/>
      <c r="ATM906" s="471"/>
      <c r="ATN906" s="471"/>
      <c r="ATO906" s="471"/>
      <c r="ATP906" s="471"/>
      <c r="ATQ906" s="471"/>
      <c r="ATR906" s="471"/>
      <c r="ATS906" s="471"/>
      <c r="ATT906" s="471"/>
      <c r="ATU906" s="471"/>
      <c r="ATV906" s="471"/>
      <c r="ATW906" s="471"/>
      <c r="ATX906" s="471"/>
      <c r="ATY906" s="471"/>
      <c r="ATZ906" s="471"/>
      <c r="AUA906" s="471"/>
      <c r="AUB906" s="471"/>
      <c r="AUC906" s="471"/>
      <c r="AUD906" s="471"/>
      <c r="AUE906" s="471"/>
      <c r="AUF906" s="471"/>
      <c r="AUG906" s="471"/>
      <c r="AUH906" s="471"/>
      <c r="AUI906" s="471"/>
      <c r="AUJ906" s="471"/>
      <c r="AUK906" s="471"/>
      <c r="AUL906" s="471"/>
      <c r="AUM906" s="471"/>
      <c r="AUN906" s="471"/>
      <c r="AUO906" s="471"/>
      <c r="AUP906" s="471"/>
      <c r="AUQ906" s="471"/>
      <c r="AUR906" s="471"/>
      <c r="AUS906" s="471"/>
      <c r="AUT906" s="471"/>
      <c r="AUU906" s="471"/>
      <c r="AUV906" s="471"/>
      <c r="AUW906" s="471"/>
      <c r="AUX906" s="471"/>
      <c r="AUY906" s="471"/>
      <c r="AUZ906" s="471"/>
      <c r="AVA906" s="471"/>
      <c r="AVB906" s="471"/>
      <c r="AVC906" s="471"/>
      <c r="AVD906" s="471"/>
      <c r="AVE906" s="471"/>
      <c r="AVF906" s="471"/>
      <c r="AVG906" s="471"/>
      <c r="AVH906" s="471"/>
      <c r="AVI906" s="471"/>
      <c r="AVJ906" s="471"/>
      <c r="AVK906" s="471"/>
    </row>
    <row r="907" spans="1:1259" s="511" customFormat="1" ht="15" customHeight="1">
      <c r="A907" s="472"/>
      <c r="B907" s="472"/>
      <c r="C907" s="472"/>
      <c r="D907" s="512" t="s">
        <v>3186</v>
      </c>
      <c r="E907" s="501"/>
      <c r="F907" s="501"/>
      <c r="G907" s="501">
        <v>2022</v>
      </c>
      <c r="H907" s="501"/>
      <c r="I907" s="496" t="s">
        <v>1676</v>
      </c>
      <c r="J907" s="502"/>
      <c r="K907" s="503" t="s">
        <v>5768</v>
      </c>
      <c r="L907" s="501" t="s">
        <v>3297</v>
      </c>
      <c r="M907" s="504">
        <v>44671</v>
      </c>
      <c r="N907" s="504">
        <v>44697</v>
      </c>
      <c r="O907" s="504"/>
      <c r="P907" s="502"/>
      <c r="Q907" s="502"/>
      <c r="R907" s="502"/>
      <c r="S907" s="501" t="s">
        <v>2379</v>
      </c>
      <c r="T907" s="501">
        <v>60</v>
      </c>
      <c r="U907" s="501"/>
      <c r="V907" s="501" t="s">
        <v>973</v>
      </c>
      <c r="W907" s="501">
        <v>400</v>
      </c>
      <c r="X907" s="505">
        <v>2496</v>
      </c>
      <c r="Y907" s="491">
        <f t="shared" si="130"/>
        <v>998400</v>
      </c>
      <c r="Z907" s="506">
        <v>0.6</v>
      </c>
      <c r="AA907" s="492">
        <f t="shared" si="134"/>
        <v>599040</v>
      </c>
      <c r="AB907" s="480"/>
      <c r="AC907" s="481">
        <f t="shared" si="131"/>
        <v>0</v>
      </c>
      <c r="AD907" s="508"/>
      <c r="AE907" s="507">
        <v>22838.400000000001</v>
      </c>
      <c r="AF907" s="493">
        <f t="shared" si="132"/>
        <v>621878.4</v>
      </c>
      <c r="AG907" s="501" t="s">
        <v>47</v>
      </c>
      <c r="AH907" s="501"/>
      <c r="AI907" s="503">
        <v>60</v>
      </c>
      <c r="AJ907" s="501" t="s">
        <v>1790</v>
      </c>
      <c r="AK907" s="509" t="s">
        <v>50</v>
      </c>
      <c r="AL907" s="501">
        <v>95826</v>
      </c>
      <c r="AM907" s="501" t="s">
        <v>52</v>
      </c>
      <c r="AN907" s="501"/>
      <c r="AO907" s="501"/>
      <c r="AP907" s="510"/>
      <c r="AQ907" s="510" t="s">
        <v>37</v>
      </c>
      <c r="AR907" s="510"/>
      <c r="AS907" s="495"/>
      <c r="AT907" s="495"/>
      <c r="AU907" s="495"/>
      <c r="AV907" s="506">
        <f t="shared" si="133"/>
        <v>0.48000000000000004</v>
      </c>
      <c r="AW907" s="471"/>
      <c r="AX907" s="471"/>
      <c r="AY907" s="471"/>
      <c r="AZ907" s="471"/>
      <c r="BA907" s="471"/>
      <c r="BB907" s="471"/>
      <c r="BC907" s="471"/>
      <c r="BD907" s="471"/>
      <c r="BE907" s="471"/>
      <c r="BF907" s="471"/>
      <c r="BG907" s="471"/>
      <c r="BH907" s="471"/>
      <c r="BI907" s="471"/>
      <c r="BJ907" s="471"/>
      <c r="BK907" s="471"/>
      <c r="BL907" s="471"/>
      <c r="BM907" s="471"/>
      <c r="BN907" s="471"/>
      <c r="BO907" s="471"/>
      <c r="BP907" s="471"/>
      <c r="BQ907" s="471"/>
      <c r="BR907" s="471"/>
      <c r="BS907" s="471"/>
      <c r="BT907" s="471"/>
      <c r="BU907" s="471"/>
      <c r="BV907" s="471"/>
      <c r="BW907" s="471"/>
      <c r="BX907" s="471"/>
      <c r="BY907" s="471"/>
      <c r="BZ907" s="471"/>
      <c r="CA907" s="471"/>
      <c r="CB907" s="471"/>
      <c r="CC907" s="471"/>
      <c r="CD907" s="471"/>
      <c r="CE907" s="471"/>
      <c r="CF907" s="471"/>
      <c r="CG907" s="471"/>
      <c r="CH907" s="471"/>
      <c r="CI907" s="471"/>
      <c r="CJ907" s="471"/>
      <c r="CK907" s="471"/>
      <c r="CL907" s="471"/>
      <c r="CM907" s="471"/>
      <c r="CN907" s="471"/>
      <c r="CO907" s="471"/>
      <c r="CP907" s="471"/>
      <c r="CQ907" s="471"/>
      <c r="CR907" s="471"/>
      <c r="CS907" s="471"/>
      <c r="CT907" s="471"/>
      <c r="CU907" s="471"/>
      <c r="CV907" s="471"/>
      <c r="CW907" s="471"/>
      <c r="CX907" s="471"/>
      <c r="CY907" s="471"/>
      <c r="CZ907" s="471"/>
      <c r="DA907" s="471"/>
      <c r="DB907" s="471"/>
      <c r="DC907" s="471"/>
      <c r="DD907" s="471"/>
      <c r="DE907" s="471"/>
      <c r="DF907" s="471"/>
      <c r="DG907" s="471"/>
      <c r="DH907" s="471"/>
      <c r="DI907" s="471"/>
      <c r="DJ907" s="471"/>
      <c r="DK907" s="471"/>
      <c r="DL907" s="471"/>
      <c r="DM907" s="471"/>
      <c r="DN907" s="471"/>
      <c r="DO907" s="471"/>
      <c r="DP907" s="471"/>
      <c r="DQ907" s="471"/>
      <c r="DR907" s="471"/>
      <c r="DS907" s="471"/>
      <c r="DT907" s="471"/>
      <c r="DU907" s="471"/>
      <c r="DV907" s="471"/>
      <c r="DW907" s="471"/>
      <c r="DX907" s="471"/>
      <c r="DY907" s="471"/>
      <c r="DZ907" s="471"/>
      <c r="EA907" s="471"/>
      <c r="EB907" s="471"/>
      <c r="EC907" s="471"/>
      <c r="ED907" s="471"/>
      <c r="EE907" s="471"/>
      <c r="EF907" s="471"/>
      <c r="EG907" s="471"/>
      <c r="EH907" s="471"/>
      <c r="EI907" s="471"/>
      <c r="EJ907" s="471"/>
      <c r="EK907" s="471"/>
      <c r="EL907" s="471"/>
      <c r="EM907" s="471"/>
      <c r="EN907" s="471"/>
      <c r="EO907" s="471"/>
      <c r="EP907" s="471"/>
      <c r="EQ907" s="471"/>
      <c r="ER907" s="471"/>
      <c r="ES907" s="471"/>
      <c r="ET907" s="471"/>
      <c r="EU907" s="471"/>
      <c r="EV907" s="471"/>
      <c r="EW907" s="471"/>
      <c r="EX907" s="471"/>
      <c r="EY907" s="471"/>
      <c r="EZ907" s="471"/>
      <c r="FA907" s="471"/>
      <c r="FB907" s="471"/>
      <c r="FC907" s="471"/>
      <c r="FD907" s="471"/>
      <c r="FE907" s="471"/>
      <c r="FF907" s="471"/>
      <c r="FG907" s="471"/>
      <c r="FH907" s="471"/>
      <c r="FI907" s="471"/>
      <c r="FJ907" s="471"/>
      <c r="FK907" s="471"/>
      <c r="FL907" s="471"/>
      <c r="FM907" s="471"/>
      <c r="FN907" s="471"/>
      <c r="FO907" s="471"/>
      <c r="FP907" s="471"/>
      <c r="FQ907" s="471"/>
      <c r="FR907" s="471"/>
      <c r="FS907" s="471"/>
      <c r="FT907" s="471"/>
      <c r="FU907" s="471"/>
      <c r="FV907" s="471"/>
      <c r="FW907" s="471"/>
      <c r="FX907" s="471"/>
      <c r="FY907" s="471"/>
      <c r="FZ907" s="471"/>
      <c r="GA907" s="471"/>
      <c r="GB907" s="471"/>
      <c r="GC907" s="471"/>
      <c r="GD907" s="471"/>
      <c r="GE907" s="471"/>
      <c r="GF907" s="471"/>
      <c r="GG907" s="471"/>
      <c r="GH907" s="471"/>
      <c r="GI907" s="471"/>
      <c r="GJ907" s="471"/>
      <c r="GK907" s="471"/>
      <c r="GL907" s="471"/>
      <c r="GM907" s="471"/>
      <c r="GN907" s="471"/>
      <c r="GO907" s="471"/>
      <c r="GP907" s="471"/>
      <c r="GQ907" s="471"/>
      <c r="GR907" s="471"/>
      <c r="GS907" s="471"/>
      <c r="GT907" s="471"/>
      <c r="GU907" s="471"/>
      <c r="GV907" s="471"/>
      <c r="GW907" s="471"/>
      <c r="GX907" s="471"/>
      <c r="GY907" s="471"/>
      <c r="GZ907" s="471"/>
      <c r="HA907" s="471"/>
      <c r="HB907" s="471"/>
      <c r="HC907" s="471"/>
      <c r="HD907" s="471"/>
      <c r="HE907" s="471"/>
      <c r="HF907" s="471"/>
      <c r="HG907" s="471"/>
      <c r="HH907" s="471"/>
      <c r="HI907" s="471"/>
      <c r="HJ907" s="471"/>
      <c r="HK907" s="471"/>
      <c r="HL907" s="471"/>
      <c r="HM907" s="471"/>
      <c r="HN907" s="471"/>
      <c r="HO907" s="471"/>
      <c r="HP907" s="471"/>
      <c r="HQ907" s="471"/>
      <c r="HR907" s="471"/>
      <c r="HS907" s="471"/>
      <c r="HT907" s="471"/>
      <c r="HU907" s="471"/>
      <c r="HV907" s="471"/>
      <c r="HW907" s="471"/>
      <c r="HX907" s="471"/>
      <c r="HY907" s="471"/>
      <c r="HZ907" s="471"/>
      <c r="IA907" s="471"/>
      <c r="IB907" s="471"/>
      <c r="IC907" s="471"/>
      <c r="ID907" s="471"/>
      <c r="IE907" s="471"/>
      <c r="IF907" s="471"/>
      <c r="IG907" s="471"/>
      <c r="IH907" s="471"/>
      <c r="II907" s="471"/>
      <c r="IJ907" s="471"/>
      <c r="IK907" s="471"/>
      <c r="IL907" s="471"/>
      <c r="IM907" s="471"/>
      <c r="IN907" s="471"/>
      <c r="IO907" s="471"/>
      <c r="IP907" s="471"/>
      <c r="IQ907" s="471"/>
      <c r="IR907" s="471"/>
      <c r="IS907" s="471"/>
      <c r="IT907" s="471"/>
      <c r="IU907" s="471"/>
      <c r="IV907" s="471"/>
      <c r="IW907" s="471"/>
      <c r="IX907" s="471"/>
      <c r="IY907" s="471"/>
      <c r="IZ907" s="471"/>
      <c r="JA907" s="471"/>
      <c r="JB907" s="471"/>
      <c r="JC907" s="471"/>
      <c r="JD907" s="471"/>
      <c r="JE907" s="471"/>
      <c r="JF907" s="471"/>
      <c r="JG907" s="471"/>
      <c r="JH907" s="471"/>
      <c r="JI907" s="471"/>
      <c r="JJ907" s="471"/>
      <c r="JK907" s="471"/>
      <c r="JL907" s="471"/>
      <c r="JM907" s="471"/>
      <c r="JN907" s="471"/>
      <c r="JO907" s="471"/>
      <c r="JP907" s="471"/>
      <c r="JQ907" s="471"/>
      <c r="JR907" s="471"/>
      <c r="JS907" s="471"/>
      <c r="JT907" s="471"/>
      <c r="JU907" s="471"/>
      <c r="JV907" s="471"/>
      <c r="JW907" s="471"/>
      <c r="JX907" s="471"/>
      <c r="JY907" s="471"/>
      <c r="JZ907" s="471"/>
      <c r="KA907" s="471"/>
      <c r="KB907" s="471"/>
      <c r="KC907" s="471"/>
      <c r="KD907" s="471"/>
      <c r="KE907" s="471"/>
      <c r="KF907" s="471"/>
      <c r="KG907" s="471"/>
      <c r="KH907" s="471"/>
      <c r="KI907" s="471"/>
      <c r="KJ907" s="471"/>
      <c r="KK907" s="471"/>
      <c r="KL907" s="471"/>
      <c r="KM907" s="471"/>
      <c r="KN907" s="471"/>
      <c r="KO907" s="471"/>
      <c r="KP907" s="471"/>
      <c r="KQ907" s="471"/>
      <c r="KR907" s="471"/>
      <c r="KS907" s="471"/>
      <c r="KT907" s="471"/>
      <c r="KU907" s="471"/>
      <c r="KV907" s="471"/>
      <c r="KW907" s="471"/>
      <c r="KX907" s="471"/>
      <c r="KY907" s="471"/>
      <c r="KZ907" s="471"/>
      <c r="LA907" s="471"/>
      <c r="LB907" s="471"/>
      <c r="LC907" s="471"/>
      <c r="LD907" s="471"/>
      <c r="LE907" s="471"/>
      <c r="LF907" s="471"/>
      <c r="LG907" s="471"/>
      <c r="LH907" s="471"/>
      <c r="LI907" s="471"/>
      <c r="LJ907" s="471"/>
      <c r="LK907" s="471"/>
      <c r="LL907" s="471"/>
      <c r="LM907" s="471"/>
      <c r="LN907" s="471"/>
      <c r="LO907" s="471"/>
      <c r="LP907" s="471"/>
      <c r="LQ907" s="471"/>
      <c r="LR907" s="471"/>
      <c r="LS907" s="471"/>
      <c r="LT907" s="471"/>
      <c r="LU907" s="471"/>
      <c r="LV907" s="471"/>
      <c r="LW907" s="471"/>
      <c r="LX907" s="471"/>
      <c r="LY907" s="471"/>
      <c r="LZ907" s="471"/>
      <c r="MA907" s="471"/>
      <c r="MB907" s="471"/>
      <c r="MC907" s="471"/>
      <c r="MD907" s="471"/>
      <c r="ME907" s="471"/>
      <c r="MF907" s="471"/>
      <c r="MG907" s="471"/>
      <c r="MH907" s="471"/>
      <c r="MI907" s="471"/>
      <c r="MJ907" s="471"/>
      <c r="MK907" s="471"/>
      <c r="ML907" s="471"/>
      <c r="MM907" s="471"/>
      <c r="MN907" s="471"/>
      <c r="MO907" s="471"/>
      <c r="MP907" s="471"/>
      <c r="MQ907" s="471"/>
      <c r="MR907" s="471"/>
      <c r="MS907" s="471"/>
      <c r="MT907" s="471"/>
      <c r="MU907" s="471"/>
      <c r="MV907" s="471"/>
      <c r="MW907" s="471"/>
      <c r="MX907" s="471"/>
      <c r="MY907" s="471"/>
      <c r="MZ907" s="471"/>
      <c r="NA907" s="471"/>
      <c r="NB907" s="471"/>
      <c r="NC907" s="471"/>
      <c r="ND907" s="471"/>
      <c r="NE907" s="471"/>
      <c r="NF907" s="471"/>
      <c r="NG907" s="471"/>
      <c r="NH907" s="471"/>
      <c r="NI907" s="471"/>
      <c r="NJ907" s="471"/>
      <c r="NK907" s="471"/>
      <c r="NL907" s="471"/>
      <c r="NM907" s="471"/>
      <c r="NN907" s="471"/>
      <c r="NO907" s="471"/>
      <c r="NP907" s="471"/>
      <c r="NQ907" s="471"/>
      <c r="NR907" s="471"/>
      <c r="NS907" s="471"/>
      <c r="NT907" s="471"/>
      <c r="NU907" s="471"/>
      <c r="NV907" s="471"/>
      <c r="NW907" s="471"/>
      <c r="NX907" s="471"/>
      <c r="NY907" s="471"/>
      <c r="NZ907" s="471"/>
      <c r="OA907" s="471"/>
      <c r="OB907" s="471"/>
      <c r="OC907" s="471"/>
      <c r="OD907" s="471"/>
      <c r="OE907" s="471"/>
      <c r="OF907" s="471"/>
      <c r="OG907" s="471"/>
      <c r="OH907" s="471"/>
      <c r="OI907" s="471"/>
      <c r="OJ907" s="471"/>
      <c r="OK907" s="471"/>
      <c r="OL907" s="471"/>
      <c r="OM907" s="471"/>
      <c r="ON907" s="471"/>
      <c r="OO907" s="471"/>
      <c r="OP907" s="471"/>
      <c r="OQ907" s="471"/>
      <c r="OR907" s="471"/>
      <c r="OS907" s="471"/>
      <c r="OT907" s="471"/>
      <c r="OU907" s="471"/>
      <c r="OV907" s="471"/>
      <c r="OW907" s="471"/>
      <c r="OX907" s="471"/>
      <c r="OY907" s="471"/>
      <c r="OZ907" s="471"/>
      <c r="PA907" s="471"/>
      <c r="PB907" s="471"/>
      <c r="PC907" s="471"/>
      <c r="PD907" s="471"/>
      <c r="PE907" s="471"/>
      <c r="PF907" s="471"/>
      <c r="PG907" s="471"/>
      <c r="PH907" s="471"/>
      <c r="PI907" s="471"/>
      <c r="PJ907" s="471"/>
      <c r="PK907" s="471"/>
      <c r="PL907" s="471"/>
      <c r="PM907" s="471"/>
      <c r="PN907" s="471"/>
      <c r="PO907" s="471"/>
      <c r="PP907" s="471"/>
      <c r="PQ907" s="471"/>
      <c r="PR907" s="471"/>
      <c r="PS907" s="471"/>
      <c r="PT907" s="471"/>
      <c r="PU907" s="471"/>
      <c r="PV907" s="471"/>
      <c r="PW907" s="471"/>
      <c r="PX907" s="471"/>
      <c r="PY907" s="471"/>
      <c r="PZ907" s="471"/>
      <c r="QA907" s="471"/>
      <c r="QB907" s="471"/>
      <c r="QC907" s="471"/>
      <c r="QD907" s="471"/>
      <c r="QE907" s="471"/>
      <c r="QF907" s="471"/>
      <c r="QG907" s="471"/>
      <c r="QH907" s="471"/>
      <c r="QI907" s="471"/>
      <c r="QJ907" s="471"/>
      <c r="QK907" s="471"/>
      <c r="QL907" s="471"/>
      <c r="QM907" s="471"/>
      <c r="QN907" s="471"/>
      <c r="QO907" s="471"/>
      <c r="QP907" s="471"/>
      <c r="QQ907" s="471"/>
      <c r="QR907" s="471"/>
      <c r="QS907" s="471"/>
      <c r="QT907" s="471"/>
      <c r="QU907" s="471"/>
      <c r="QV907" s="471"/>
      <c r="QW907" s="471"/>
      <c r="QX907" s="471"/>
      <c r="QY907" s="471"/>
      <c r="QZ907" s="471"/>
      <c r="RA907" s="471"/>
      <c r="RB907" s="471"/>
      <c r="RC907" s="471"/>
      <c r="RD907" s="471"/>
      <c r="RE907" s="471"/>
      <c r="RF907" s="471"/>
      <c r="RG907" s="471"/>
      <c r="RH907" s="471"/>
      <c r="RI907" s="471"/>
      <c r="RJ907" s="471"/>
      <c r="RK907" s="471"/>
      <c r="RL907" s="471"/>
      <c r="RM907" s="471"/>
      <c r="RN907" s="471"/>
      <c r="RO907" s="471"/>
      <c r="RP907" s="471"/>
      <c r="RQ907" s="471"/>
      <c r="RR907" s="471"/>
      <c r="RS907" s="471"/>
      <c r="RT907" s="471"/>
      <c r="RU907" s="471"/>
      <c r="RV907" s="471"/>
      <c r="RW907" s="471"/>
      <c r="RX907" s="471"/>
      <c r="RY907" s="471"/>
      <c r="RZ907" s="471"/>
      <c r="SA907" s="471"/>
      <c r="SB907" s="471"/>
      <c r="SC907" s="471"/>
      <c r="SD907" s="471"/>
      <c r="SE907" s="471"/>
      <c r="SF907" s="471"/>
      <c r="SG907" s="471"/>
      <c r="SH907" s="471"/>
      <c r="SI907" s="471"/>
      <c r="SJ907" s="471"/>
      <c r="SK907" s="471"/>
      <c r="SL907" s="471"/>
      <c r="SM907" s="471"/>
      <c r="SN907" s="471"/>
      <c r="SO907" s="471"/>
      <c r="SP907" s="471"/>
      <c r="SQ907" s="471"/>
      <c r="SR907" s="471"/>
      <c r="SS907" s="471"/>
      <c r="ST907" s="471"/>
      <c r="SU907" s="471"/>
      <c r="SV907" s="471"/>
      <c r="SW907" s="471"/>
      <c r="SX907" s="471"/>
      <c r="SY907" s="471"/>
      <c r="SZ907" s="471"/>
      <c r="TA907" s="471"/>
      <c r="TB907" s="471"/>
      <c r="TC907" s="471"/>
      <c r="TD907" s="471"/>
      <c r="TE907" s="471"/>
      <c r="TF907" s="471"/>
      <c r="TG907" s="471"/>
      <c r="TH907" s="471"/>
      <c r="TI907" s="471"/>
      <c r="TJ907" s="471"/>
      <c r="TK907" s="471"/>
      <c r="TL907" s="471"/>
      <c r="TM907" s="471"/>
      <c r="TN907" s="471"/>
      <c r="TO907" s="471"/>
      <c r="TP907" s="471"/>
      <c r="TQ907" s="471"/>
      <c r="TR907" s="471"/>
      <c r="TS907" s="471"/>
      <c r="TT907" s="471"/>
      <c r="TU907" s="471"/>
      <c r="TV907" s="471"/>
      <c r="TW907" s="471"/>
      <c r="TX907" s="471"/>
      <c r="TY907" s="471"/>
      <c r="TZ907" s="471"/>
      <c r="UA907" s="471"/>
      <c r="UB907" s="471"/>
      <c r="UC907" s="471"/>
      <c r="UD907" s="471"/>
      <c r="UE907" s="471"/>
      <c r="UF907" s="471"/>
      <c r="UG907" s="471"/>
      <c r="UH907" s="471"/>
      <c r="UI907" s="471"/>
      <c r="UJ907" s="471"/>
      <c r="UK907" s="471"/>
      <c r="UL907" s="471"/>
      <c r="UM907" s="471"/>
      <c r="UN907" s="471"/>
      <c r="UO907" s="471"/>
      <c r="UP907" s="471"/>
      <c r="UQ907" s="471"/>
      <c r="UR907" s="471"/>
      <c r="US907" s="471"/>
      <c r="UT907" s="471"/>
      <c r="UU907" s="471"/>
      <c r="UV907" s="471"/>
      <c r="UW907" s="471"/>
      <c r="UX907" s="471"/>
      <c r="UY907" s="471"/>
      <c r="UZ907" s="471"/>
      <c r="VA907" s="471"/>
      <c r="VB907" s="471"/>
      <c r="VC907" s="471"/>
      <c r="VD907" s="471"/>
      <c r="VE907" s="471"/>
      <c r="VF907" s="471"/>
      <c r="VG907" s="471"/>
      <c r="VH907" s="471"/>
      <c r="VI907" s="471"/>
      <c r="VJ907" s="471"/>
      <c r="VK907" s="471"/>
      <c r="VL907" s="471"/>
      <c r="VM907" s="471"/>
      <c r="VN907" s="471"/>
      <c r="VO907" s="471"/>
      <c r="VP907" s="471"/>
      <c r="VQ907" s="471"/>
      <c r="VR907" s="471"/>
      <c r="VS907" s="471"/>
      <c r="VT907" s="471"/>
      <c r="VU907" s="471"/>
      <c r="VV907" s="471"/>
      <c r="VW907" s="471"/>
      <c r="VX907" s="471"/>
      <c r="VY907" s="471"/>
      <c r="VZ907" s="471"/>
      <c r="WA907" s="471"/>
      <c r="WB907" s="471"/>
      <c r="WC907" s="471"/>
      <c r="WD907" s="471"/>
      <c r="WE907" s="471"/>
      <c r="WF907" s="471"/>
      <c r="WG907" s="471"/>
      <c r="WH907" s="471"/>
      <c r="WI907" s="471"/>
      <c r="WJ907" s="471"/>
      <c r="WK907" s="471"/>
      <c r="WL907" s="471"/>
      <c r="WM907" s="471"/>
      <c r="WN907" s="471"/>
      <c r="WO907" s="471"/>
      <c r="WP907" s="471"/>
      <c r="WQ907" s="471"/>
      <c r="WR907" s="471"/>
      <c r="WS907" s="471"/>
      <c r="WT907" s="471"/>
      <c r="WU907" s="471"/>
      <c r="WV907" s="471"/>
      <c r="WW907" s="471"/>
      <c r="WX907" s="471"/>
      <c r="WY907" s="471"/>
      <c r="WZ907" s="471"/>
      <c r="XA907" s="471"/>
      <c r="XB907" s="471"/>
      <c r="XC907" s="471"/>
      <c r="XD907" s="471"/>
      <c r="XE907" s="471"/>
      <c r="XF907" s="471"/>
      <c r="XG907" s="471"/>
      <c r="XH907" s="471"/>
      <c r="XI907" s="471"/>
      <c r="XJ907" s="471"/>
      <c r="XK907" s="471"/>
      <c r="XL907" s="471"/>
      <c r="XM907" s="471"/>
      <c r="XN907" s="471"/>
      <c r="XO907" s="471"/>
      <c r="XP907" s="471"/>
      <c r="XQ907" s="471"/>
      <c r="XR907" s="471"/>
      <c r="XS907" s="471"/>
      <c r="XT907" s="471"/>
      <c r="XU907" s="471"/>
      <c r="XV907" s="471"/>
      <c r="XW907" s="471"/>
      <c r="XX907" s="471"/>
      <c r="XY907" s="471"/>
      <c r="XZ907" s="471"/>
      <c r="YA907" s="471"/>
      <c r="YB907" s="471"/>
      <c r="YC907" s="471"/>
      <c r="YD907" s="471"/>
      <c r="YE907" s="471"/>
      <c r="YF907" s="471"/>
      <c r="YG907" s="471"/>
      <c r="YH907" s="471"/>
      <c r="YI907" s="471"/>
      <c r="YJ907" s="471"/>
      <c r="YK907" s="471"/>
      <c r="YL907" s="471"/>
      <c r="YM907" s="471"/>
      <c r="YN907" s="471"/>
      <c r="YO907" s="471"/>
      <c r="YP907" s="471"/>
      <c r="YQ907" s="471"/>
      <c r="YR907" s="471"/>
      <c r="YS907" s="471"/>
      <c r="YT907" s="471"/>
      <c r="YU907" s="471"/>
      <c r="YV907" s="471"/>
      <c r="YW907" s="471"/>
      <c r="YX907" s="471"/>
      <c r="YY907" s="471"/>
      <c r="YZ907" s="471"/>
      <c r="ZA907" s="471"/>
      <c r="ZB907" s="471"/>
      <c r="ZC907" s="471"/>
      <c r="ZD907" s="471"/>
      <c r="ZE907" s="471"/>
      <c r="ZF907" s="471"/>
      <c r="ZG907" s="471"/>
      <c r="ZH907" s="471"/>
      <c r="ZI907" s="471"/>
      <c r="ZJ907" s="471"/>
      <c r="ZK907" s="471"/>
      <c r="ZL907" s="471"/>
      <c r="ZM907" s="471"/>
      <c r="ZN907" s="471"/>
      <c r="ZO907" s="471"/>
      <c r="ZP907" s="471"/>
      <c r="ZQ907" s="471"/>
      <c r="ZR907" s="471"/>
      <c r="ZS907" s="471"/>
      <c r="ZT907" s="471"/>
      <c r="ZU907" s="471"/>
      <c r="ZV907" s="471"/>
      <c r="ZW907" s="471"/>
      <c r="ZX907" s="471"/>
      <c r="ZY907" s="471"/>
      <c r="ZZ907" s="471"/>
      <c r="AAA907" s="471"/>
      <c r="AAB907" s="471"/>
      <c r="AAC907" s="471"/>
      <c r="AAD907" s="471"/>
      <c r="AAE907" s="471"/>
      <c r="AAF907" s="471"/>
      <c r="AAG907" s="471"/>
      <c r="AAH907" s="471"/>
      <c r="AAI907" s="471"/>
      <c r="AAJ907" s="471"/>
      <c r="AAK907" s="471"/>
      <c r="AAL907" s="471"/>
      <c r="AAM907" s="471"/>
      <c r="AAN907" s="471"/>
      <c r="AAO907" s="471"/>
      <c r="AAP907" s="471"/>
      <c r="AAQ907" s="471"/>
      <c r="AAR907" s="471"/>
      <c r="AAS907" s="471"/>
      <c r="AAT907" s="471"/>
      <c r="AAU907" s="471"/>
      <c r="AAV907" s="471"/>
      <c r="AAW907" s="471"/>
      <c r="AAX907" s="471"/>
      <c r="AAY907" s="471"/>
      <c r="AAZ907" s="471"/>
      <c r="ABA907" s="471"/>
      <c r="ABB907" s="471"/>
      <c r="ABC907" s="471"/>
      <c r="ABD907" s="471"/>
      <c r="ABE907" s="471"/>
      <c r="ABF907" s="471"/>
      <c r="ABG907" s="471"/>
      <c r="ABH907" s="471"/>
      <c r="ABI907" s="471"/>
      <c r="ABJ907" s="471"/>
      <c r="ABK907" s="471"/>
      <c r="ABL907" s="471"/>
      <c r="ABM907" s="471"/>
      <c r="ABN907" s="471"/>
      <c r="ABO907" s="471"/>
      <c r="ABP907" s="471"/>
      <c r="ABQ907" s="471"/>
      <c r="ABR907" s="471"/>
      <c r="ABS907" s="471"/>
      <c r="ABT907" s="471"/>
      <c r="ABU907" s="471"/>
      <c r="ABV907" s="471"/>
      <c r="ABW907" s="471"/>
      <c r="ABX907" s="471"/>
      <c r="ABY907" s="471"/>
      <c r="ABZ907" s="471"/>
      <c r="ACA907" s="471"/>
      <c r="ACB907" s="471"/>
      <c r="ACC907" s="471"/>
      <c r="ACD907" s="471"/>
      <c r="ACE907" s="471"/>
      <c r="ACF907" s="471"/>
      <c r="ACG907" s="471"/>
      <c r="ACH907" s="471"/>
      <c r="ACI907" s="471"/>
      <c r="ACJ907" s="471"/>
      <c r="ACK907" s="471"/>
      <c r="ACL907" s="471"/>
      <c r="ACM907" s="471"/>
      <c r="ACN907" s="471"/>
      <c r="ACO907" s="471"/>
      <c r="ACP907" s="471"/>
      <c r="ACQ907" s="471"/>
      <c r="ACR907" s="471"/>
      <c r="ACS907" s="471"/>
      <c r="ACT907" s="471"/>
      <c r="ACU907" s="471"/>
      <c r="ACV907" s="471"/>
      <c r="ACW907" s="471"/>
      <c r="ACX907" s="471"/>
      <c r="ACY907" s="471"/>
      <c r="ACZ907" s="471"/>
      <c r="ADA907" s="471"/>
      <c r="ADB907" s="471"/>
      <c r="ADC907" s="471"/>
      <c r="ADD907" s="471"/>
      <c r="ADE907" s="471"/>
      <c r="ADF907" s="471"/>
      <c r="ADG907" s="471"/>
      <c r="ADH907" s="471"/>
      <c r="ADI907" s="471"/>
      <c r="ADJ907" s="471"/>
      <c r="ADK907" s="471"/>
      <c r="ADL907" s="471"/>
      <c r="ADM907" s="471"/>
      <c r="ADN907" s="471"/>
      <c r="ADO907" s="471"/>
      <c r="ADP907" s="471"/>
      <c r="ADQ907" s="471"/>
      <c r="ADR907" s="471"/>
      <c r="ADS907" s="471"/>
      <c r="ADT907" s="471"/>
      <c r="ADU907" s="471"/>
      <c r="ADV907" s="471"/>
      <c r="ADW907" s="471"/>
      <c r="ADX907" s="471"/>
      <c r="ADY907" s="471"/>
      <c r="ADZ907" s="471"/>
      <c r="AEA907" s="471"/>
      <c r="AEB907" s="471"/>
      <c r="AEC907" s="471"/>
      <c r="AED907" s="471"/>
      <c r="AEE907" s="471"/>
      <c r="AEF907" s="471"/>
      <c r="AEG907" s="471"/>
      <c r="AEH907" s="471"/>
      <c r="AEI907" s="471"/>
      <c r="AEJ907" s="471"/>
      <c r="AEK907" s="471"/>
      <c r="AEL907" s="471"/>
      <c r="AEM907" s="471"/>
      <c r="AEN907" s="471"/>
      <c r="AEO907" s="471"/>
      <c r="AEP907" s="471"/>
      <c r="AEQ907" s="471"/>
      <c r="AER907" s="471"/>
      <c r="AES907" s="471"/>
      <c r="AET907" s="471"/>
      <c r="AEU907" s="471"/>
      <c r="AEV907" s="471"/>
      <c r="AEW907" s="471"/>
      <c r="AEX907" s="471"/>
      <c r="AEY907" s="471"/>
      <c r="AEZ907" s="471"/>
      <c r="AFA907" s="471"/>
      <c r="AFB907" s="471"/>
      <c r="AFC907" s="471"/>
      <c r="AFD907" s="471"/>
      <c r="AFE907" s="471"/>
      <c r="AFF907" s="471"/>
      <c r="AFG907" s="471"/>
      <c r="AFH907" s="471"/>
      <c r="AFI907" s="471"/>
      <c r="AFJ907" s="471"/>
      <c r="AFK907" s="471"/>
      <c r="AFL907" s="471"/>
      <c r="AFM907" s="471"/>
      <c r="AFN907" s="471"/>
      <c r="AFO907" s="471"/>
      <c r="AFP907" s="471"/>
      <c r="AFQ907" s="471"/>
      <c r="AFR907" s="471"/>
      <c r="AFS907" s="471"/>
      <c r="AFT907" s="471"/>
      <c r="AFU907" s="471"/>
      <c r="AFV907" s="471"/>
      <c r="AFW907" s="471"/>
      <c r="AFX907" s="471"/>
      <c r="AFY907" s="471"/>
      <c r="AFZ907" s="471"/>
      <c r="AGA907" s="471"/>
      <c r="AGB907" s="471"/>
      <c r="AGC907" s="471"/>
      <c r="AGD907" s="471"/>
      <c r="AGE907" s="471"/>
      <c r="AGF907" s="471"/>
      <c r="AGG907" s="471"/>
      <c r="AGH907" s="471"/>
      <c r="AGI907" s="471"/>
      <c r="AGJ907" s="471"/>
      <c r="AGK907" s="471"/>
      <c r="AGL907" s="471"/>
      <c r="AGM907" s="471"/>
      <c r="AGN907" s="471"/>
      <c r="AGO907" s="471"/>
      <c r="AGP907" s="471"/>
      <c r="AGQ907" s="471"/>
      <c r="AGR907" s="471"/>
      <c r="AGS907" s="471"/>
      <c r="AGT907" s="471"/>
      <c r="AGU907" s="471"/>
      <c r="AGV907" s="471"/>
      <c r="AGW907" s="471"/>
      <c r="AGX907" s="471"/>
      <c r="AGY907" s="471"/>
      <c r="AGZ907" s="471"/>
      <c r="AHA907" s="471"/>
      <c r="AHB907" s="471"/>
      <c r="AHC907" s="471"/>
      <c r="AHD907" s="471"/>
      <c r="AHE907" s="471"/>
      <c r="AHF907" s="471"/>
      <c r="AHG907" s="471"/>
      <c r="AHH907" s="471"/>
      <c r="AHI907" s="471"/>
      <c r="AHJ907" s="471"/>
      <c r="AHK907" s="471"/>
      <c r="AHL907" s="471"/>
      <c r="AHM907" s="471"/>
      <c r="AHN907" s="471"/>
      <c r="AHO907" s="471"/>
      <c r="AHP907" s="471"/>
      <c r="AHQ907" s="471"/>
      <c r="AHR907" s="471"/>
      <c r="AHS907" s="471"/>
      <c r="AHT907" s="471"/>
      <c r="AHU907" s="471"/>
      <c r="AHV907" s="471"/>
      <c r="AHW907" s="471"/>
      <c r="AHX907" s="471"/>
      <c r="AHY907" s="471"/>
      <c r="AHZ907" s="471"/>
      <c r="AIA907" s="471"/>
      <c r="AIB907" s="471"/>
      <c r="AIC907" s="471"/>
      <c r="AID907" s="471"/>
      <c r="AIE907" s="471"/>
      <c r="AIF907" s="471"/>
      <c r="AIG907" s="471"/>
      <c r="AIH907" s="471"/>
      <c r="AII907" s="471"/>
      <c r="AIJ907" s="471"/>
      <c r="AIK907" s="471"/>
      <c r="AIL907" s="471"/>
      <c r="AIM907" s="471"/>
      <c r="AIN907" s="471"/>
      <c r="AIO907" s="471"/>
      <c r="AIP907" s="471"/>
      <c r="AIQ907" s="471"/>
      <c r="AIR907" s="471"/>
      <c r="AIS907" s="471"/>
      <c r="AIT907" s="471"/>
      <c r="AIU907" s="471"/>
      <c r="AIV907" s="471"/>
      <c r="AIW907" s="471"/>
      <c r="AIX907" s="471"/>
      <c r="AIY907" s="471"/>
      <c r="AIZ907" s="471"/>
      <c r="AJA907" s="471"/>
      <c r="AJB907" s="471"/>
      <c r="AJC907" s="471"/>
      <c r="AJD907" s="471"/>
      <c r="AJE907" s="471"/>
      <c r="AJF907" s="471"/>
      <c r="AJG907" s="471"/>
      <c r="AJH907" s="471"/>
      <c r="AJI907" s="471"/>
      <c r="AJJ907" s="471"/>
      <c r="AJK907" s="471"/>
      <c r="AJL907" s="471"/>
      <c r="AJM907" s="471"/>
      <c r="AJN907" s="471"/>
      <c r="AJO907" s="471"/>
      <c r="AJP907" s="471"/>
      <c r="AJQ907" s="471"/>
      <c r="AJR907" s="471"/>
      <c r="AJS907" s="471"/>
      <c r="AJT907" s="471"/>
      <c r="AJU907" s="471"/>
      <c r="AJV907" s="471"/>
      <c r="AJW907" s="471"/>
      <c r="AJX907" s="471"/>
      <c r="AJY907" s="471"/>
      <c r="AJZ907" s="471"/>
      <c r="AKA907" s="471"/>
      <c r="AKB907" s="471"/>
      <c r="AKC907" s="471"/>
      <c r="AKD907" s="471"/>
      <c r="AKE907" s="471"/>
      <c r="AKF907" s="471"/>
      <c r="AKG907" s="471"/>
      <c r="AKH907" s="471"/>
      <c r="AKI907" s="471"/>
      <c r="AKJ907" s="471"/>
      <c r="AKK907" s="471"/>
      <c r="AKL907" s="471"/>
      <c r="AKM907" s="471"/>
      <c r="AKN907" s="471"/>
      <c r="AKO907" s="471"/>
      <c r="AKP907" s="471"/>
      <c r="AKQ907" s="471"/>
      <c r="AKR907" s="471"/>
      <c r="AKS907" s="471"/>
      <c r="AKT907" s="471"/>
      <c r="AKU907" s="471"/>
      <c r="AKV907" s="471"/>
      <c r="AKW907" s="471"/>
      <c r="AKX907" s="471"/>
      <c r="AKY907" s="471"/>
      <c r="AKZ907" s="471"/>
      <c r="ALA907" s="471"/>
      <c r="ALB907" s="471"/>
      <c r="ALC907" s="471"/>
      <c r="ALD907" s="471"/>
      <c r="ALE907" s="471"/>
      <c r="ALF907" s="471"/>
      <c r="ALG907" s="471"/>
      <c r="ALH907" s="471"/>
      <c r="ALI907" s="471"/>
      <c r="ALJ907" s="471"/>
      <c r="ALK907" s="471"/>
      <c r="ALL907" s="471"/>
      <c r="ALM907" s="471"/>
      <c r="ALN907" s="471"/>
      <c r="ALO907" s="471"/>
      <c r="ALP907" s="471"/>
      <c r="ALQ907" s="471"/>
      <c r="ALR907" s="471"/>
      <c r="ALS907" s="471"/>
      <c r="ALT907" s="471"/>
      <c r="ALU907" s="471"/>
      <c r="ALV907" s="471"/>
      <c r="ALW907" s="471"/>
      <c r="ALX907" s="471"/>
      <c r="ALY907" s="471"/>
      <c r="ALZ907" s="471"/>
      <c r="AMA907" s="471"/>
      <c r="AMB907" s="471"/>
      <c r="AMC907" s="471"/>
      <c r="AMD907" s="471"/>
      <c r="AME907" s="471"/>
      <c r="AMF907" s="471"/>
      <c r="AMG907" s="471"/>
      <c r="AMH907" s="471"/>
      <c r="AMI907" s="471"/>
      <c r="AMJ907" s="471"/>
      <c r="AMK907" s="471"/>
      <c r="AML907" s="471"/>
      <c r="AMM907" s="471"/>
      <c r="AMN907" s="471"/>
      <c r="AMO907" s="471"/>
      <c r="AMP907" s="471"/>
      <c r="AMQ907" s="471"/>
      <c r="AMR907" s="471"/>
      <c r="AMS907" s="471"/>
      <c r="AMT907" s="471"/>
      <c r="AMU907" s="471"/>
      <c r="AMV907" s="471"/>
      <c r="AMW907" s="471"/>
      <c r="AMX907" s="471"/>
      <c r="AMY907" s="471"/>
      <c r="AMZ907" s="471"/>
      <c r="ANA907" s="471"/>
      <c r="ANB907" s="471"/>
      <c r="ANC907" s="471"/>
      <c r="AND907" s="471"/>
      <c r="ANE907" s="471"/>
      <c r="ANF907" s="471"/>
      <c r="ANG907" s="471"/>
      <c r="ANH907" s="471"/>
      <c r="ANI907" s="471"/>
      <c r="ANJ907" s="471"/>
      <c r="ANK907" s="471"/>
      <c r="ANL907" s="471"/>
      <c r="ANM907" s="471"/>
      <c r="ANN907" s="471"/>
      <c r="ANO907" s="471"/>
      <c r="ANP907" s="471"/>
      <c r="ANQ907" s="471"/>
      <c r="ANR907" s="471"/>
      <c r="ANS907" s="471"/>
      <c r="ANT907" s="471"/>
      <c r="ANU907" s="471"/>
      <c r="ANV907" s="471"/>
      <c r="ANW907" s="471"/>
      <c r="ANX907" s="471"/>
      <c r="ANY907" s="471"/>
      <c r="ANZ907" s="471"/>
      <c r="AOA907" s="471"/>
      <c r="AOB907" s="471"/>
      <c r="AOC907" s="471"/>
      <c r="AOD907" s="471"/>
      <c r="AOE907" s="471"/>
      <c r="AOF907" s="471"/>
      <c r="AOG907" s="471"/>
      <c r="AOH907" s="471"/>
      <c r="AOI907" s="471"/>
      <c r="AOJ907" s="471"/>
      <c r="AOK907" s="471"/>
      <c r="AOL907" s="471"/>
      <c r="AOM907" s="471"/>
      <c r="AON907" s="471"/>
      <c r="AOO907" s="471"/>
      <c r="AOP907" s="471"/>
      <c r="AOQ907" s="471"/>
      <c r="AOR907" s="471"/>
      <c r="AOS907" s="471"/>
      <c r="AOT907" s="471"/>
      <c r="AOU907" s="471"/>
      <c r="AOV907" s="471"/>
      <c r="AOW907" s="471"/>
      <c r="AOX907" s="471"/>
      <c r="AOY907" s="471"/>
      <c r="AOZ907" s="471"/>
      <c r="APA907" s="471"/>
      <c r="APB907" s="471"/>
      <c r="APC907" s="471"/>
      <c r="APD907" s="471"/>
      <c r="APE907" s="471"/>
      <c r="APF907" s="471"/>
      <c r="APG907" s="471"/>
      <c r="APH907" s="471"/>
      <c r="API907" s="471"/>
      <c r="APJ907" s="471"/>
      <c r="APK907" s="471"/>
      <c r="APL907" s="471"/>
      <c r="APM907" s="471"/>
      <c r="APN907" s="471"/>
      <c r="APO907" s="471"/>
      <c r="APP907" s="471"/>
      <c r="APQ907" s="471"/>
      <c r="APR907" s="471"/>
      <c r="APS907" s="471"/>
      <c r="APT907" s="471"/>
      <c r="APU907" s="471"/>
      <c r="APV907" s="471"/>
      <c r="APW907" s="471"/>
      <c r="APX907" s="471"/>
      <c r="APY907" s="471"/>
      <c r="APZ907" s="471"/>
      <c r="AQA907" s="471"/>
      <c r="AQB907" s="471"/>
      <c r="AQC907" s="471"/>
      <c r="AQD907" s="471"/>
      <c r="AQE907" s="471"/>
      <c r="AQF907" s="471"/>
      <c r="AQG907" s="471"/>
      <c r="AQH907" s="471"/>
      <c r="AQI907" s="471"/>
      <c r="AQJ907" s="471"/>
      <c r="AQK907" s="471"/>
      <c r="AQL907" s="471"/>
      <c r="AQM907" s="471"/>
      <c r="AQN907" s="471"/>
      <c r="AQO907" s="471"/>
      <c r="AQP907" s="471"/>
      <c r="AQQ907" s="471"/>
      <c r="AQR907" s="471"/>
      <c r="AQS907" s="471"/>
      <c r="AQT907" s="471"/>
      <c r="AQU907" s="471"/>
      <c r="AQV907" s="471"/>
      <c r="AQW907" s="471"/>
      <c r="AQX907" s="471"/>
      <c r="AQY907" s="471"/>
      <c r="AQZ907" s="471"/>
      <c r="ARA907" s="471"/>
      <c r="ARB907" s="471"/>
      <c r="ARC907" s="471"/>
      <c r="ARD907" s="471"/>
      <c r="ARE907" s="471"/>
      <c r="ARF907" s="471"/>
      <c r="ARG907" s="471"/>
      <c r="ARH907" s="471"/>
      <c r="ARI907" s="471"/>
      <c r="ARJ907" s="471"/>
      <c r="ARK907" s="471"/>
      <c r="ARL907" s="471"/>
      <c r="ARM907" s="471"/>
      <c r="ARN907" s="471"/>
      <c r="ARO907" s="471"/>
      <c r="ARP907" s="471"/>
      <c r="ARQ907" s="471"/>
      <c r="ARR907" s="471"/>
      <c r="ARS907" s="471"/>
      <c r="ART907" s="471"/>
      <c r="ARU907" s="471"/>
      <c r="ARV907" s="471"/>
      <c r="ARW907" s="471"/>
      <c r="ARX907" s="471"/>
      <c r="ARY907" s="471"/>
      <c r="ARZ907" s="471"/>
      <c r="ASA907" s="471"/>
      <c r="ASB907" s="471"/>
      <c r="ASC907" s="471"/>
      <c r="ASD907" s="471"/>
      <c r="ASE907" s="471"/>
      <c r="ASF907" s="471"/>
      <c r="ASG907" s="471"/>
      <c r="ASH907" s="471"/>
      <c r="ASI907" s="471"/>
      <c r="ASJ907" s="471"/>
      <c r="ASK907" s="471"/>
      <c r="ASL907" s="471"/>
      <c r="ASM907" s="471"/>
      <c r="ASN907" s="471"/>
      <c r="ASO907" s="471"/>
      <c r="ASP907" s="471"/>
      <c r="ASQ907" s="471"/>
      <c r="ASR907" s="471"/>
      <c r="ASS907" s="471"/>
      <c r="AST907" s="471"/>
      <c r="ASU907" s="471"/>
      <c r="ASV907" s="471"/>
      <c r="ASW907" s="471"/>
      <c r="ASX907" s="471"/>
      <c r="ASY907" s="471"/>
      <c r="ASZ907" s="471"/>
      <c r="ATA907" s="471"/>
      <c r="ATB907" s="471"/>
      <c r="ATC907" s="471"/>
      <c r="ATD907" s="471"/>
      <c r="ATE907" s="471"/>
      <c r="ATF907" s="471"/>
      <c r="ATG907" s="471"/>
      <c r="ATH907" s="471"/>
      <c r="ATI907" s="471"/>
      <c r="ATJ907" s="471"/>
      <c r="ATK907" s="471"/>
      <c r="ATL907" s="471"/>
      <c r="ATM907" s="471"/>
      <c r="ATN907" s="471"/>
      <c r="ATO907" s="471"/>
      <c r="ATP907" s="471"/>
      <c r="ATQ907" s="471"/>
      <c r="ATR907" s="471"/>
      <c r="ATS907" s="471"/>
      <c r="ATT907" s="471"/>
      <c r="ATU907" s="471"/>
      <c r="ATV907" s="471"/>
      <c r="ATW907" s="471"/>
      <c r="ATX907" s="471"/>
      <c r="ATY907" s="471"/>
      <c r="ATZ907" s="471"/>
      <c r="AUA907" s="471"/>
      <c r="AUB907" s="471"/>
      <c r="AUC907" s="471"/>
      <c r="AUD907" s="471"/>
      <c r="AUE907" s="471"/>
      <c r="AUF907" s="471"/>
      <c r="AUG907" s="471"/>
      <c r="AUH907" s="471"/>
      <c r="AUI907" s="471"/>
      <c r="AUJ907" s="471"/>
      <c r="AUK907" s="471"/>
      <c r="AUL907" s="471"/>
      <c r="AUM907" s="471"/>
      <c r="AUN907" s="471"/>
      <c r="AUO907" s="471"/>
      <c r="AUP907" s="471"/>
      <c r="AUQ907" s="471"/>
      <c r="AUR907" s="471"/>
      <c r="AUS907" s="471"/>
      <c r="AUT907" s="471"/>
      <c r="AUU907" s="471"/>
      <c r="AUV907" s="471"/>
      <c r="AUW907" s="471"/>
      <c r="AUX907" s="471"/>
      <c r="AUY907" s="471"/>
      <c r="AUZ907" s="471"/>
      <c r="AVA907" s="471"/>
      <c r="AVB907" s="471"/>
      <c r="AVC907" s="471"/>
      <c r="AVD907" s="471"/>
      <c r="AVE907" s="471"/>
      <c r="AVF907" s="471"/>
      <c r="AVG907" s="471"/>
      <c r="AVH907" s="471"/>
      <c r="AVI907" s="471"/>
      <c r="AVJ907" s="471"/>
      <c r="AVK907" s="471"/>
    </row>
    <row r="908" spans="1:1259" s="511" customFormat="1" ht="15" customHeight="1">
      <c r="A908" s="472"/>
      <c r="B908" s="472"/>
      <c r="C908" s="472"/>
      <c r="D908" s="512" t="s">
        <v>3186</v>
      </c>
      <c r="E908" s="501"/>
      <c r="F908" s="501"/>
      <c r="G908" s="501">
        <v>2022</v>
      </c>
      <c r="H908" s="501"/>
      <c r="I908" s="496" t="s">
        <v>1676</v>
      </c>
      <c r="J908" s="502"/>
      <c r="K908" s="503" t="s">
        <v>5769</v>
      </c>
      <c r="L908" s="501" t="s">
        <v>3297</v>
      </c>
      <c r="M908" s="504">
        <v>44671</v>
      </c>
      <c r="N908" s="504">
        <v>44734</v>
      </c>
      <c r="O908" s="504"/>
      <c r="P908" s="502"/>
      <c r="Q908" s="502"/>
      <c r="R908" s="502"/>
      <c r="S908" s="501" t="s">
        <v>2379</v>
      </c>
      <c r="T908" s="501">
        <v>60</v>
      </c>
      <c r="U908" s="501"/>
      <c r="V908" s="501" t="s">
        <v>973</v>
      </c>
      <c r="W908" s="501">
        <v>400</v>
      </c>
      <c r="X908" s="505">
        <v>2496</v>
      </c>
      <c r="Y908" s="491">
        <f t="shared" si="130"/>
        <v>998400</v>
      </c>
      <c r="Z908" s="506">
        <v>0.6</v>
      </c>
      <c r="AA908" s="492">
        <f t="shared" si="134"/>
        <v>599040</v>
      </c>
      <c r="AB908" s="480"/>
      <c r="AC908" s="481">
        <f t="shared" si="131"/>
        <v>0</v>
      </c>
      <c r="AD908" s="508"/>
      <c r="AE908" s="507">
        <v>22838.400000000001</v>
      </c>
      <c r="AF908" s="493">
        <f t="shared" si="132"/>
        <v>621878.4</v>
      </c>
      <c r="AG908" s="501" t="s">
        <v>47</v>
      </c>
      <c r="AH908" s="501"/>
      <c r="AI908" s="503">
        <v>60</v>
      </c>
      <c r="AJ908" s="501" t="s">
        <v>1790</v>
      </c>
      <c r="AK908" s="509" t="s">
        <v>50</v>
      </c>
      <c r="AL908" s="501">
        <v>95826</v>
      </c>
      <c r="AM908" s="501" t="s">
        <v>52</v>
      </c>
      <c r="AN908" s="501"/>
      <c r="AO908" s="501"/>
      <c r="AP908" s="510"/>
      <c r="AQ908" s="510" t="s">
        <v>37</v>
      </c>
      <c r="AR908" s="510"/>
      <c r="AS908" s="495"/>
      <c r="AT908" s="495"/>
      <c r="AU908" s="495"/>
      <c r="AV908" s="506">
        <f t="shared" si="133"/>
        <v>0.48000000000000004</v>
      </c>
      <c r="AW908" s="471"/>
      <c r="AX908" s="471"/>
      <c r="AY908" s="471"/>
      <c r="AZ908" s="471"/>
      <c r="BA908" s="471"/>
      <c r="BB908" s="471"/>
      <c r="BC908" s="471"/>
      <c r="BD908" s="471"/>
      <c r="BE908" s="471"/>
      <c r="BF908" s="471"/>
      <c r="BG908" s="471"/>
      <c r="BH908" s="471"/>
      <c r="BI908" s="471"/>
      <c r="BJ908" s="471"/>
      <c r="BK908" s="471"/>
      <c r="BL908" s="471"/>
      <c r="BM908" s="471"/>
      <c r="BN908" s="471"/>
      <c r="BO908" s="471"/>
      <c r="BP908" s="471"/>
      <c r="BQ908" s="471"/>
      <c r="BR908" s="471"/>
      <c r="BS908" s="471"/>
      <c r="BT908" s="471"/>
      <c r="BU908" s="471"/>
      <c r="BV908" s="471"/>
      <c r="BW908" s="471"/>
      <c r="BX908" s="471"/>
      <c r="BY908" s="471"/>
      <c r="BZ908" s="471"/>
      <c r="CA908" s="471"/>
      <c r="CB908" s="471"/>
      <c r="CC908" s="471"/>
      <c r="CD908" s="471"/>
      <c r="CE908" s="471"/>
      <c r="CF908" s="471"/>
      <c r="CG908" s="471"/>
      <c r="CH908" s="471"/>
      <c r="CI908" s="471"/>
      <c r="CJ908" s="471"/>
      <c r="CK908" s="471"/>
      <c r="CL908" s="471"/>
      <c r="CM908" s="471"/>
      <c r="CN908" s="471"/>
      <c r="CO908" s="471"/>
      <c r="CP908" s="471"/>
      <c r="CQ908" s="471"/>
      <c r="CR908" s="471"/>
      <c r="CS908" s="471"/>
      <c r="CT908" s="471"/>
      <c r="CU908" s="471"/>
      <c r="CV908" s="471"/>
      <c r="CW908" s="471"/>
      <c r="CX908" s="471"/>
      <c r="CY908" s="471"/>
      <c r="CZ908" s="471"/>
      <c r="DA908" s="471"/>
      <c r="DB908" s="471"/>
      <c r="DC908" s="471"/>
      <c r="DD908" s="471"/>
      <c r="DE908" s="471"/>
      <c r="DF908" s="471"/>
      <c r="DG908" s="471"/>
      <c r="DH908" s="471"/>
      <c r="DI908" s="471"/>
      <c r="DJ908" s="471"/>
      <c r="DK908" s="471"/>
      <c r="DL908" s="471"/>
      <c r="DM908" s="471"/>
      <c r="DN908" s="471"/>
      <c r="DO908" s="471"/>
      <c r="DP908" s="471"/>
      <c r="DQ908" s="471"/>
      <c r="DR908" s="471"/>
      <c r="DS908" s="471"/>
      <c r="DT908" s="471"/>
      <c r="DU908" s="471"/>
      <c r="DV908" s="471"/>
      <c r="DW908" s="471"/>
      <c r="DX908" s="471"/>
      <c r="DY908" s="471"/>
      <c r="DZ908" s="471"/>
      <c r="EA908" s="471"/>
      <c r="EB908" s="471"/>
      <c r="EC908" s="471"/>
      <c r="ED908" s="471"/>
      <c r="EE908" s="471"/>
      <c r="EF908" s="471"/>
      <c r="EG908" s="471"/>
      <c r="EH908" s="471"/>
      <c r="EI908" s="471"/>
      <c r="EJ908" s="471"/>
      <c r="EK908" s="471"/>
      <c r="EL908" s="471"/>
      <c r="EM908" s="471"/>
      <c r="EN908" s="471"/>
      <c r="EO908" s="471"/>
      <c r="EP908" s="471"/>
      <c r="EQ908" s="471"/>
      <c r="ER908" s="471"/>
      <c r="ES908" s="471"/>
      <c r="ET908" s="471"/>
      <c r="EU908" s="471"/>
      <c r="EV908" s="471"/>
      <c r="EW908" s="471"/>
      <c r="EX908" s="471"/>
      <c r="EY908" s="471"/>
      <c r="EZ908" s="471"/>
      <c r="FA908" s="471"/>
      <c r="FB908" s="471"/>
      <c r="FC908" s="471"/>
      <c r="FD908" s="471"/>
      <c r="FE908" s="471"/>
      <c r="FF908" s="471"/>
      <c r="FG908" s="471"/>
      <c r="FH908" s="471"/>
      <c r="FI908" s="471"/>
      <c r="FJ908" s="471"/>
      <c r="FK908" s="471"/>
      <c r="FL908" s="471"/>
      <c r="FM908" s="471"/>
      <c r="FN908" s="471"/>
      <c r="FO908" s="471"/>
      <c r="FP908" s="471"/>
      <c r="FQ908" s="471"/>
      <c r="FR908" s="471"/>
      <c r="FS908" s="471"/>
      <c r="FT908" s="471"/>
      <c r="FU908" s="471"/>
      <c r="FV908" s="471"/>
      <c r="FW908" s="471"/>
      <c r="FX908" s="471"/>
      <c r="FY908" s="471"/>
      <c r="FZ908" s="471"/>
      <c r="GA908" s="471"/>
      <c r="GB908" s="471"/>
      <c r="GC908" s="471"/>
      <c r="GD908" s="471"/>
      <c r="GE908" s="471"/>
      <c r="GF908" s="471"/>
      <c r="GG908" s="471"/>
      <c r="GH908" s="471"/>
      <c r="GI908" s="471"/>
      <c r="GJ908" s="471"/>
      <c r="GK908" s="471"/>
      <c r="GL908" s="471"/>
      <c r="GM908" s="471"/>
      <c r="GN908" s="471"/>
      <c r="GO908" s="471"/>
      <c r="GP908" s="471"/>
      <c r="GQ908" s="471"/>
      <c r="GR908" s="471"/>
      <c r="GS908" s="471"/>
      <c r="GT908" s="471"/>
      <c r="GU908" s="471"/>
      <c r="GV908" s="471"/>
      <c r="GW908" s="471"/>
      <c r="GX908" s="471"/>
      <c r="GY908" s="471"/>
      <c r="GZ908" s="471"/>
      <c r="HA908" s="471"/>
      <c r="HB908" s="471"/>
      <c r="HC908" s="471"/>
      <c r="HD908" s="471"/>
      <c r="HE908" s="471"/>
      <c r="HF908" s="471"/>
      <c r="HG908" s="471"/>
      <c r="HH908" s="471"/>
      <c r="HI908" s="471"/>
      <c r="HJ908" s="471"/>
      <c r="HK908" s="471"/>
      <c r="HL908" s="471"/>
      <c r="HM908" s="471"/>
      <c r="HN908" s="471"/>
      <c r="HO908" s="471"/>
      <c r="HP908" s="471"/>
      <c r="HQ908" s="471"/>
      <c r="HR908" s="471"/>
      <c r="HS908" s="471"/>
      <c r="HT908" s="471"/>
      <c r="HU908" s="471"/>
      <c r="HV908" s="471"/>
      <c r="HW908" s="471"/>
      <c r="HX908" s="471"/>
      <c r="HY908" s="471"/>
      <c r="HZ908" s="471"/>
      <c r="IA908" s="471"/>
      <c r="IB908" s="471"/>
      <c r="IC908" s="471"/>
      <c r="ID908" s="471"/>
      <c r="IE908" s="471"/>
      <c r="IF908" s="471"/>
      <c r="IG908" s="471"/>
      <c r="IH908" s="471"/>
      <c r="II908" s="471"/>
      <c r="IJ908" s="471"/>
      <c r="IK908" s="471"/>
      <c r="IL908" s="471"/>
      <c r="IM908" s="471"/>
      <c r="IN908" s="471"/>
      <c r="IO908" s="471"/>
      <c r="IP908" s="471"/>
      <c r="IQ908" s="471"/>
      <c r="IR908" s="471"/>
      <c r="IS908" s="471"/>
      <c r="IT908" s="471"/>
      <c r="IU908" s="471"/>
      <c r="IV908" s="471"/>
      <c r="IW908" s="471"/>
      <c r="IX908" s="471"/>
      <c r="IY908" s="471"/>
      <c r="IZ908" s="471"/>
      <c r="JA908" s="471"/>
      <c r="JB908" s="471"/>
      <c r="JC908" s="471"/>
      <c r="JD908" s="471"/>
      <c r="JE908" s="471"/>
      <c r="JF908" s="471"/>
      <c r="JG908" s="471"/>
      <c r="JH908" s="471"/>
      <c r="JI908" s="471"/>
      <c r="JJ908" s="471"/>
      <c r="JK908" s="471"/>
      <c r="JL908" s="471"/>
      <c r="JM908" s="471"/>
      <c r="JN908" s="471"/>
      <c r="JO908" s="471"/>
      <c r="JP908" s="471"/>
      <c r="JQ908" s="471"/>
      <c r="JR908" s="471"/>
      <c r="JS908" s="471"/>
      <c r="JT908" s="471"/>
      <c r="JU908" s="471"/>
      <c r="JV908" s="471"/>
      <c r="JW908" s="471"/>
      <c r="JX908" s="471"/>
      <c r="JY908" s="471"/>
      <c r="JZ908" s="471"/>
      <c r="KA908" s="471"/>
      <c r="KB908" s="471"/>
      <c r="KC908" s="471"/>
      <c r="KD908" s="471"/>
      <c r="KE908" s="471"/>
      <c r="KF908" s="471"/>
      <c r="KG908" s="471"/>
      <c r="KH908" s="471"/>
      <c r="KI908" s="471"/>
      <c r="KJ908" s="471"/>
      <c r="KK908" s="471"/>
      <c r="KL908" s="471"/>
      <c r="KM908" s="471"/>
      <c r="KN908" s="471"/>
      <c r="KO908" s="471"/>
      <c r="KP908" s="471"/>
      <c r="KQ908" s="471"/>
      <c r="KR908" s="471"/>
      <c r="KS908" s="471"/>
      <c r="KT908" s="471"/>
      <c r="KU908" s="471"/>
      <c r="KV908" s="471"/>
      <c r="KW908" s="471"/>
      <c r="KX908" s="471"/>
      <c r="KY908" s="471"/>
      <c r="KZ908" s="471"/>
      <c r="LA908" s="471"/>
      <c r="LB908" s="471"/>
      <c r="LC908" s="471"/>
      <c r="LD908" s="471"/>
      <c r="LE908" s="471"/>
      <c r="LF908" s="471"/>
      <c r="LG908" s="471"/>
      <c r="LH908" s="471"/>
      <c r="LI908" s="471"/>
      <c r="LJ908" s="471"/>
      <c r="LK908" s="471"/>
      <c r="LL908" s="471"/>
      <c r="LM908" s="471"/>
      <c r="LN908" s="471"/>
      <c r="LO908" s="471"/>
      <c r="LP908" s="471"/>
      <c r="LQ908" s="471"/>
      <c r="LR908" s="471"/>
      <c r="LS908" s="471"/>
      <c r="LT908" s="471"/>
      <c r="LU908" s="471"/>
      <c r="LV908" s="471"/>
      <c r="LW908" s="471"/>
      <c r="LX908" s="471"/>
      <c r="LY908" s="471"/>
      <c r="LZ908" s="471"/>
      <c r="MA908" s="471"/>
      <c r="MB908" s="471"/>
      <c r="MC908" s="471"/>
      <c r="MD908" s="471"/>
      <c r="ME908" s="471"/>
      <c r="MF908" s="471"/>
      <c r="MG908" s="471"/>
      <c r="MH908" s="471"/>
      <c r="MI908" s="471"/>
      <c r="MJ908" s="471"/>
      <c r="MK908" s="471"/>
      <c r="ML908" s="471"/>
      <c r="MM908" s="471"/>
      <c r="MN908" s="471"/>
      <c r="MO908" s="471"/>
      <c r="MP908" s="471"/>
      <c r="MQ908" s="471"/>
      <c r="MR908" s="471"/>
      <c r="MS908" s="471"/>
      <c r="MT908" s="471"/>
      <c r="MU908" s="471"/>
      <c r="MV908" s="471"/>
      <c r="MW908" s="471"/>
      <c r="MX908" s="471"/>
      <c r="MY908" s="471"/>
      <c r="MZ908" s="471"/>
      <c r="NA908" s="471"/>
      <c r="NB908" s="471"/>
      <c r="NC908" s="471"/>
      <c r="ND908" s="471"/>
      <c r="NE908" s="471"/>
      <c r="NF908" s="471"/>
      <c r="NG908" s="471"/>
      <c r="NH908" s="471"/>
      <c r="NI908" s="471"/>
      <c r="NJ908" s="471"/>
      <c r="NK908" s="471"/>
      <c r="NL908" s="471"/>
      <c r="NM908" s="471"/>
      <c r="NN908" s="471"/>
      <c r="NO908" s="471"/>
      <c r="NP908" s="471"/>
      <c r="NQ908" s="471"/>
      <c r="NR908" s="471"/>
      <c r="NS908" s="471"/>
      <c r="NT908" s="471"/>
      <c r="NU908" s="471"/>
      <c r="NV908" s="471"/>
      <c r="NW908" s="471"/>
      <c r="NX908" s="471"/>
      <c r="NY908" s="471"/>
      <c r="NZ908" s="471"/>
      <c r="OA908" s="471"/>
      <c r="OB908" s="471"/>
      <c r="OC908" s="471"/>
      <c r="OD908" s="471"/>
      <c r="OE908" s="471"/>
      <c r="OF908" s="471"/>
      <c r="OG908" s="471"/>
      <c r="OH908" s="471"/>
      <c r="OI908" s="471"/>
      <c r="OJ908" s="471"/>
      <c r="OK908" s="471"/>
      <c r="OL908" s="471"/>
      <c r="OM908" s="471"/>
      <c r="ON908" s="471"/>
      <c r="OO908" s="471"/>
      <c r="OP908" s="471"/>
      <c r="OQ908" s="471"/>
      <c r="OR908" s="471"/>
      <c r="OS908" s="471"/>
      <c r="OT908" s="471"/>
      <c r="OU908" s="471"/>
      <c r="OV908" s="471"/>
      <c r="OW908" s="471"/>
      <c r="OX908" s="471"/>
      <c r="OY908" s="471"/>
      <c r="OZ908" s="471"/>
      <c r="PA908" s="471"/>
      <c r="PB908" s="471"/>
      <c r="PC908" s="471"/>
      <c r="PD908" s="471"/>
      <c r="PE908" s="471"/>
      <c r="PF908" s="471"/>
      <c r="PG908" s="471"/>
      <c r="PH908" s="471"/>
      <c r="PI908" s="471"/>
      <c r="PJ908" s="471"/>
      <c r="PK908" s="471"/>
      <c r="PL908" s="471"/>
      <c r="PM908" s="471"/>
      <c r="PN908" s="471"/>
      <c r="PO908" s="471"/>
      <c r="PP908" s="471"/>
      <c r="PQ908" s="471"/>
      <c r="PR908" s="471"/>
      <c r="PS908" s="471"/>
      <c r="PT908" s="471"/>
      <c r="PU908" s="471"/>
      <c r="PV908" s="471"/>
      <c r="PW908" s="471"/>
      <c r="PX908" s="471"/>
      <c r="PY908" s="471"/>
      <c r="PZ908" s="471"/>
      <c r="QA908" s="471"/>
      <c r="QB908" s="471"/>
      <c r="QC908" s="471"/>
      <c r="QD908" s="471"/>
      <c r="QE908" s="471"/>
      <c r="QF908" s="471"/>
      <c r="QG908" s="471"/>
      <c r="QH908" s="471"/>
      <c r="QI908" s="471"/>
      <c r="QJ908" s="471"/>
      <c r="QK908" s="471"/>
      <c r="QL908" s="471"/>
      <c r="QM908" s="471"/>
      <c r="QN908" s="471"/>
      <c r="QO908" s="471"/>
      <c r="QP908" s="471"/>
      <c r="QQ908" s="471"/>
      <c r="QR908" s="471"/>
      <c r="QS908" s="471"/>
      <c r="QT908" s="471"/>
      <c r="QU908" s="471"/>
      <c r="QV908" s="471"/>
      <c r="QW908" s="471"/>
      <c r="QX908" s="471"/>
      <c r="QY908" s="471"/>
      <c r="QZ908" s="471"/>
      <c r="RA908" s="471"/>
      <c r="RB908" s="471"/>
      <c r="RC908" s="471"/>
      <c r="RD908" s="471"/>
      <c r="RE908" s="471"/>
      <c r="RF908" s="471"/>
      <c r="RG908" s="471"/>
      <c r="RH908" s="471"/>
      <c r="RI908" s="471"/>
      <c r="RJ908" s="471"/>
      <c r="RK908" s="471"/>
      <c r="RL908" s="471"/>
      <c r="RM908" s="471"/>
      <c r="RN908" s="471"/>
      <c r="RO908" s="471"/>
      <c r="RP908" s="471"/>
      <c r="RQ908" s="471"/>
      <c r="RR908" s="471"/>
      <c r="RS908" s="471"/>
      <c r="RT908" s="471"/>
      <c r="RU908" s="471"/>
      <c r="RV908" s="471"/>
      <c r="RW908" s="471"/>
      <c r="RX908" s="471"/>
      <c r="RY908" s="471"/>
      <c r="RZ908" s="471"/>
      <c r="SA908" s="471"/>
      <c r="SB908" s="471"/>
      <c r="SC908" s="471"/>
      <c r="SD908" s="471"/>
      <c r="SE908" s="471"/>
      <c r="SF908" s="471"/>
      <c r="SG908" s="471"/>
      <c r="SH908" s="471"/>
      <c r="SI908" s="471"/>
      <c r="SJ908" s="471"/>
      <c r="SK908" s="471"/>
      <c r="SL908" s="471"/>
      <c r="SM908" s="471"/>
      <c r="SN908" s="471"/>
      <c r="SO908" s="471"/>
      <c r="SP908" s="471"/>
      <c r="SQ908" s="471"/>
      <c r="SR908" s="471"/>
      <c r="SS908" s="471"/>
      <c r="ST908" s="471"/>
      <c r="SU908" s="471"/>
      <c r="SV908" s="471"/>
      <c r="SW908" s="471"/>
      <c r="SX908" s="471"/>
      <c r="SY908" s="471"/>
      <c r="SZ908" s="471"/>
      <c r="TA908" s="471"/>
      <c r="TB908" s="471"/>
      <c r="TC908" s="471"/>
      <c r="TD908" s="471"/>
      <c r="TE908" s="471"/>
      <c r="TF908" s="471"/>
      <c r="TG908" s="471"/>
      <c r="TH908" s="471"/>
      <c r="TI908" s="471"/>
      <c r="TJ908" s="471"/>
      <c r="TK908" s="471"/>
      <c r="TL908" s="471"/>
      <c r="TM908" s="471"/>
      <c r="TN908" s="471"/>
      <c r="TO908" s="471"/>
      <c r="TP908" s="471"/>
      <c r="TQ908" s="471"/>
      <c r="TR908" s="471"/>
      <c r="TS908" s="471"/>
      <c r="TT908" s="471"/>
      <c r="TU908" s="471"/>
      <c r="TV908" s="471"/>
      <c r="TW908" s="471"/>
      <c r="TX908" s="471"/>
      <c r="TY908" s="471"/>
      <c r="TZ908" s="471"/>
      <c r="UA908" s="471"/>
      <c r="UB908" s="471"/>
      <c r="UC908" s="471"/>
      <c r="UD908" s="471"/>
      <c r="UE908" s="471"/>
      <c r="UF908" s="471"/>
      <c r="UG908" s="471"/>
      <c r="UH908" s="471"/>
      <c r="UI908" s="471"/>
      <c r="UJ908" s="471"/>
      <c r="UK908" s="471"/>
      <c r="UL908" s="471"/>
      <c r="UM908" s="471"/>
      <c r="UN908" s="471"/>
      <c r="UO908" s="471"/>
      <c r="UP908" s="471"/>
      <c r="UQ908" s="471"/>
      <c r="UR908" s="471"/>
      <c r="US908" s="471"/>
      <c r="UT908" s="471"/>
      <c r="UU908" s="471"/>
      <c r="UV908" s="471"/>
      <c r="UW908" s="471"/>
      <c r="UX908" s="471"/>
      <c r="UY908" s="471"/>
      <c r="UZ908" s="471"/>
      <c r="VA908" s="471"/>
      <c r="VB908" s="471"/>
      <c r="VC908" s="471"/>
      <c r="VD908" s="471"/>
      <c r="VE908" s="471"/>
      <c r="VF908" s="471"/>
      <c r="VG908" s="471"/>
      <c r="VH908" s="471"/>
      <c r="VI908" s="471"/>
      <c r="VJ908" s="471"/>
      <c r="VK908" s="471"/>
      <c r="VL908" s="471"/>
      <c r="VM908" s="471"/>
      <c r="VN908" s="471"/>
      <c r="VO908" s="471"/>
      <c r="VP908" s="471"/>
      <c r="VQ908" s="471"/>
      <c r="VR908" s="471"/>
      <c r="VS908" s="471"/>
      <c r="VT908" s="471"/>
      <c r="VU908" s="471"/>
      <c r="VV908" s="471"/>
      <c r="VW908" s="471"/>
      <c r="VX908" s="471"/>
      <c r="VY908" s="471"/>
      <c r="VZ908" s="471"/>
      <c r="WA908" s="471"/>
      <c r="WB908" s="471"/>
      <c r="WC908" s="471"/>
      <c r="WD908" s="471"/>
      <c r="WE908" s="471"/>
      <c r="WF908" s="471"/>
      <c r="WG908" s="471"/>
      <c r="WH908" s="471"/>
      <c r="WI908" s="471"/>
      <c r="WJ908" s="471"/>
      <c r="WK908" s="471"/>
      <c r="WL908" s="471"/>
      <c r="WM908" s="471"/>
      <c r="WN908" s="471"/>
      <c r="WO908" s="471"/>
      <c r="WP908" s="471"/>
      <c r="WQ908" s="471"/>
      <c r="WR908" s="471"/>
      <c r="WS908" s="471"/>
      <c r="WT908" s="471"/>
      <c r="WU908" s="471"/>
      <c r="WV908" s="471"/>
      <c r="WW908" s="471"/>
      <c r="WX908" s="471"/>
      <c r="WY908" s="471"/>
      <c r="WZ908" s="471"/>
      <c r="XA908" s="471"/>
      <c r="XB908" s="471"/>
      <c r="XC908" s="471"/>
      <c r="XD908" s="471"/>
      <c r="XE908" s="471"/>
      <c r="XF908" s="471"/>
      <c r="XG908" s="471"/>
      <c r="XH908" s="471"/>
      <c r="XI908" s="471"/>
      <c r="XJ908" s="471"/>
      <c r="XK908" s="471"/>
      <c r="XL908" s="471"/>
      <c r="XM908" s="471"/>
      <c r="XN908" s="471"/>
      <c r="XO908" s="471"/>
      <c r="XP908" s="471"/>
      <c r="XQ908" s="471"/>
      <c r="XR908" s="471"/>
      <c r="XS908" s="471"/>
      <c r="XT908" s="471"/>
      <c r="XU908" s="471"/>
      <c r="XV908" s="471"/>
      <c r="XW908" s="471"/>
      <c r="XX908" s="471"/>
      <c r="XY908" s="471"/>
      <c r="XZ908" s="471"/>
      <c r="YA908" s="471"/>
      <c r="YB908" s="471"/>
      <c r="YC908" s="471"/>
      <c r="YD908" s="471"/>
      <c r="YE908" s="471"/>
      <c r="YF908" s="471"/>
      <c r="YG908" s="471"/>
      <c r="YH908" s="471"/>
      <c r="YI908" s="471"/>
      <c r="YJ908" s="471"/>
      <c r="YK908" s="471"/>
      <c r="YL908" s="471"/>
      <c r="YM908" s="471"/>
      <c r="YN908" s="471"/>
      <c r="YO908" s="471"/>
      <c r="YP908" s="471"/>
      <c r="YQ908" s="471"/>
      <c r="YR908" s="471"/>
      <c r="YS908" s="471"/>
      <c r="YT908" s="471"/>
      <c r="YU908" s="471"/>
      <c r="YV908" s="471"/>
      <c r="YW908" s="471"/>
      <c r="YX908" s="471"/>
      <c r="YY908" s="471"/>
      <c r="YZ908" s="471"/>
      <c r="ZA908" s="471"/>
      <c r="ZB908" s="471"/>
      <c r="ZC908" s="471"/>
      <c r="ZD908" s="471"/>
      <c r="ZE908" s="471"/>
      <c r="ZF908" s="471"/>
      <c r="ZG908" s="471"/>
      <c r="ZH908" s="471"/>
      <c r="ZI908" s="471"/>
      <c r="ZJ908" s="471"/>
      <c r="ZK908" s="471"/>
      <c r="ZL908" s="471"/>
      <c r="ZM908" s="471"/>
      <c r="ZN908" s="471"/>
      <c r="ZO908" s="471"/>
      <c r="ZP908" s="471"/>
      <c r="ZQ908" s="471"/>
      <c r="ZR908" s="471"/>
      <c r="ZS908" s="471"/>
      <c r="ZT908" s="471"/>
      <c r="ZU908" s="471"/>
      <c r="ZV908" s="471"/>
      <c r="ZW908" s="471"/>
      <c r="ZX908" s="471"/>
      <c r="ZY908" s="471"/>
      <c r="ZZ908" s="471"/>
      <c r="AAA908" s="471"/>
      <c r="AAB908" s="471"/>
      <c r="AAC908" s="471"/>
      <c r="AAD908" s="471"/>
      <c r="AAE908" s="471"/>
      <c r="AAF908" s="471"/>
      <c r="AAG908" s="471"/>
      <c r="AAH908" s="471"/>
      <c r="AAI908" s="471"/>
      <c r="AAJ908" s="471"/>
      <c r="AAK908" s="471"/>
      <c r="AAL908" s="471"/>
      <c r="AAM908" s="471"/>
      <c r="AAN908" s="471"/>
      <c r="AAO908" s="471"/>
      <c r="AAP908" s="471"/>
      <c r="AAQ908" s="471"/>
      <c r="AAR908" s="471"/>
      <c r="AAS908" s="471"/>
      <c r="AAT908" s="471"/>
      <c r="AAU908" s="471"/>
      <c r="AAV908" s="471"/>
      <c r="AAW908" s="471"/>
      <c r="AAX908" s="471"/>
      <c r="AAY908" s="471"/>
      <c r="AAZ908" s="471"/>
      <c r="ABA908" s="471"/>
      <c r="ABB908" s="471"/>
      <c r="ABC908" s="471"/>
      <c r="ABD908" s="471"/>
      <c r="ABE908" s="471"/>
      <c r="ABF908" s="471"/>
      <c r="ABG908" s="471"/>
      <c r="ABH908" s="471"/>
      <c r="ABI908" s="471"/>
      <c r="ABJ908" s="471"/>
      <c r="ABK908" s="471"/>
      <c r="ABL908" s="471"/>
      <c r="ABM908" s="471"/>
      <c r="ABN908" s="471"/>
      <c r="ABO908" s="471"/>
      <c r="ABP908" s="471"/>
      <c r="ABQ908" s="471"/>
      <c r="ABR908" s="471"/>
      <c r="ABS908" s="471"/>
      <c r="ABT908" s="471"/>
      <c r="ABU908" s="471"/>
      <c r="ABV908" s="471"/>
      <c r="ABW908" s="471"/>
      <c r="ABX908" s="471"/>
      <c r="ABY908" s="471"/>
      <c r="ABZ908" s="471"/>
      <c r="ACA908" s="471"/>
      <c r="ACB908" s="471"/>
      <c r="ACC908" s="471"/>
      <c r="ACD908" s="471"/>
      <c r="ACE908" s="471"/>
      <c r="ACF908" s="471"/>
      <c r="ACG908" s="471"/>
      <c r="ACH908" s="471"/>
      <c r="ACI908" s="471"/>
      <c r="ACJ908" s="471"/>
      <c r="ACK908" s="471"/>
      <c r="ACL908" s="471"/>
      <c r="ACM908" s="471"/>
      <c r="ACN908" s="471"/>
      <c r="ACO908" s="471"/>
      <c r="ACP908" s="471"/>
      <c r="ACQ908" s="471"/>
      <c r="ACR908" s="471"/>
      <c r="ACS908" s="471"/>
      <c r="ACT908" s="471"/>
      <c r="ACU908" s="471"/>
      <c r="ACV908" s="471"/>
      <c r="ACW908" s="471"/>
      <c r="ACX908" s="471"/>
      <c r="ACY908" s="471"/>
      <c r="ACZ908" s="471"/>
      <c r="ADA908" s="471"/>
      <c r="ADB908" s="471"/>
      <c r="ADC908" s="471"/>
      <c r="ADD908" s="471"/>
      <c r="ADE908" s="471"/>
      <c r="ADF908" s="471"/>
      <c r="ADG908" s="471"/>
      <c r="ADH908" s="471"/>
      <c r="ADI908" s="471"/>
      <c r="ADJ908" s="471"/>
      <c r="ADK908" s="471"/>
      <c r="ADL908" s="471"/>
      <c r="ADM908" s="471"/>
      <c r="ADN908" s="471"/>
      <c r="ADO908" s="471"/>
      <c r="ADP908" s="471"/>
      <c r="ADQ908" s="471"/>
      <c r="ADR908" s="471"/>
      <c r="ADS908" s="471"/>
      <c r="ADT908" s="471"/>
      <c r="ADU908" s="471"/>
      <c r="ADV908" s="471"/>
      <c r="ADW908" s="471"/>
      <c r="ADX908" s="471"/>
      <c r="ADY908" s="471"/>
      <c r="ADZ908" s="471"/>
      <c r="AEA908" s="471"/>
      <c r="AEB908" s="471"/>
      <c r="AEC908" s="471"/>
      <c r="AED908" s="471"/>
      <c r="AEE908" s="471"/>
      <c r="AEF908" s="471"/>
      <c r="AEG908" s="471"/>
      <c r="AEH908" s="471"/>
      <c r="AEI908" s="471"/>
      <c r="AEJ908" s="471"/>
      <c r="AEK908" s="471"/>
      <c r="AEL908" s="471"/>
      <c r="AEM908" s="471"/>
      <c r="AEN908" s="471"/>
      <c r="AEO908" s="471"/>
      <c r="AEP908" s="471"/>
      <c r="AEQ908" s="471"/>
      <c r="AER908" s="471"/>
      <c r="AES908" s="471"/>
      <c r="AET908" s="471"/>
      <c r="AEU908" s="471"/>
      <c r="AEV908" s="471"/>
      <c r="AEW908" s="471"/>
      <c r="AEX908" s="471"/>
      <c r="AEY908" s="471"/>
      <c r="AEZ908" s="471"/>
      <c r="AFA908" s="471"/>
      <c r="AFB908" s="471"/>
      <c r="AFC908" s="471"/>
      <c r="AFD908" s="471"/>
      <c r="AFE908" s="471"/>
      <c r="AFF908" s="471"/>
      <c r="AFG908" s="471"/>
      <c r="AFH908" s="471"/>
      <c r="AFI908" s="471"/>
      <c r="AFJ908" s="471"/>
      <c r="AFK908" s="471"/>
      <c r="AFL908" s="471"/>
      <c r="AFM908" s="471"/>
      <c r="AFN908" s="471"/>
      <c r="AFO908" s="471"/>
      <c r="AFP908" s="471"/>
      <c r="AFQ908" s="471"/>
      <c r="AFR908" s="471"/>
      <c r="AFS908" s="471"/>
      <c r="AFT908" s="471"/>
      <c r="AFU908" s="471"/>
      <c r="AFV908" s="471"/>
      <c r="AFW908" s="471"/>
      <c r="AFX908" s="471"/>
      <c r="AFY908" s="471"/>
      <c r="AFZ908" s="471"/>
      <c r="AGA908" s="471"/>
      <c r="AGB908" s="471"/>
      <c r="AGC908" s="471"/>
      <c r="AGD908" s="471"/>
      <c r="AGE908" s="471"/>
      <c r="AGF908" s="471"/>
      <c r="AGG908" s="471"/>
      <c r="AGH908" s="471"/>
      <c r="AGI908" s="471"/>
      <c r="AGJ908" s="471"/>
      <c r="AGK908" s="471"/>
      <c r="AGL908" s="471"/>
      <c r="AGM908" s="471"/>
      <c r="AGN908" s="471"/>
      <c r="AGO908" s="471"/>
      <c r="AGP908" s="471"/>
      <c r="AGQ908" s="471"/>
      <c r="AGR908" s="471"/>
      <c r="AGS908" s="471"/>
      <c r="AGT908" s="471"/>
      <c r="AGU908" s="471"/>
      <c r="AGV908" s="471"/>
      <c r="AGW908" s="471"/>
      <c r="AGX908" s="471"/>
      <c r="AGY908" s="471"/>
      <c r="AGZ908" s="471"/>
      <c r="AHA908" s="471"/>
      <c r="AHB908" s="471"/>
      <c r="AHC908" s="471"/>
      <c r="AHD908" s="471"/>
      <c r="AHE908" s="471"/>
      <c r="AHF908" s="471"/>
      <c r="AHG908" s="471"/>
      <c r="AHH908" s="471"/>
      <c r="AHI908" s="471"/>
      <c r="AHJ908" s="471"/>
      <c r="AHK908" s="471"/>
      <c r="AHL908" s="471"/>
      <c r="AHM908" s="471"/>
      <c r="AHN908" s="471"/>
      <c r="AHO908" s="471"/>
      <c r="AHP908" s="471"/>
      <c r="AHQ908" s="471"/>
      <c r="AHR908" s="471"/>
      <c r="AHS908" s="471"/>
      <c r="AHT908" s="471"/>
      <c r="AHU908" s="471"/>
      <c r="AHV908" s="471"/>
      <c r="AHW908" s="471"/>
      <c r="AHX908" s="471"/>
      <c r="AHY908" s="471"/>
      <c r="AHZ908" s="471"/>
      <c r="AIA908" s="471"/>
      <c r="AIB908" s="471"/>
      <c r="AIC908" s="471"/>
      <c r="AID908" s="471"/>
      <c r="AIE908" s="471"/>
      <c r="AIF908" s="471"/>
      <c r="AIG908" s="471"/>
      <c r="AIH908" s="471"/>
      <c r="AII908" s="471"/>
      <c r="AIJ908" s="471"/>
      <c r="AIK908" s="471"/>
      <c r="AIL908" s="471"/>
      <c r="AIM908" s="471"/>
      <c r="AIN908" s="471"/>
      <c r="AIO908" s="471"/>
      <c r="AIP908" s="471"/>
      <c r="AIQ908" s="471"/>
      <c r="AIR908" s="471"/>
      <c r="AIS908" s="471"/>
      <c r="AIT908" s="471"/>
      <c r="AIU908" s="471"/>
      <c r="AIV908" s="471"/>
      <c r="AIW908" s="471"/>
      <c r="AIX908" s="471"/>
      <c r="AIY908" s="471"/>
      <c r="AIZ908" s="471"/>
      <c r="AJA908" s="471"/>
      <c r="AJB908" s="471"/>
      <c r="AJC908" s="471"/>
      <c r="AJD908" s="471"/>
      <c r="AJE908" s="471"/>
      <c r="AJF908" s="471"/>
      <c r="AJG908" s="471"/>
      <c r="AJH908" s="471"/>
      <c r="AJI908" s="471"/>
      <c r="AJJ908" s="471"/>
      <c r="AJK908" s="471"/>
      <c r="AJL908" s="471"/>
      <c r="AJM908" s="471"/>
      <c r="AJN908" s="471"/>
      <c r="AJO908" s="471"/>
      <c r="AJP908" s="471"/>
      <c r="AJQ908" s="471"/>
      <c r="AJR908" s="471"/>
      <c r="AJS908" s="471"/>
      <c r="AJT908" s="471"/>
      <c r="AJU908" s="471"/>
      <c r="AJV908" s="471"/>
      <c r="AJW908" s="471"/>
      <c r="AJX908" s="471"/>
      <c r="AJY908" s="471"/>
      <c r="AJZ908" s="471"/>
      <c r="AKA908" s="471"/>
      <c r="AKB908" s="471"/>
      <c r="AKC908" s="471"/>
      <c r="AKD908" s="471"/>
      <c r="AKE908" s="471"/>
      <c r="AKF908" s="471"/>
      <c r="AKG908" s="471"/>
      <c r="AKH908" s="471"/>
      <c r="AKI908" s="471"/>
      <c r="AKJ908" s="471"/>
      <c r="AKK908" s="471"/>
      <c r="AKL908" s="471"/>
      <c r="AKM908" s="471"/>
      <c r="AKN908" s="471"/>
      <c r="AKO908" s="471"/>
      <c r="AKP908" s="471"/>
      <c r="AKQ908" s="471"/>
      <c r="AKR908" s="471"/>
      <c r="AKS908" s="471"/>
      <c r="AKT908" s="471"/>
      <c r="AKU908" s="471"/>
      <c r="AKV908" s="471"/>
      <c r="AKW908" s="471"/>
      <c r="AKX908" s="471"/>
      <c r="AKY908" s="471"/>
      <c r="AKZ908" s="471"/>
      <c r="ALA908" s="471"/>
      <c r="ALB908" s="471"/>
      <c r="ALC908" s="471"/>
      <c r="ALD908" s="471"/>
      <c r="ALE908" s="471"/>
      <c r="ALF908" s="471"/>
      <c r="ALG908" s="471"/>
      <c r="ALH908" s="471"/>
      <c r="ALI908" s="471"/>
      <c r="ALJ908" s="471"/>
      <c r="ALK908" s="471"/>
      <c r="ALL908" s="471"/>
      <c r="ALM908" s="471"/>
      <c r="ALN908" s="471"/>
      <c r="ALO908" s="471"/>
      <c r="ALP908" s="471"/>
      <c r="ALQ908" s="471"/>
      <c r="ALR908" s="471"/>
      <c r="ALS908" s="471"/>
      <c r="ALT908" s="471"/>
      <c r="ALU908" s="471"/>
      <c r="ALV908" s="471"/>
      <c r="ALW908" s="471"/>
      <c r="ALX908" s="471"/>
      <c r="ALY908" s="471"/>
      <c r="ALZ908" s="471"/>
      <c r="AMA908" s="471"/>
      <c r="AMB908" s="471"/>
      <c r="AMC908" s="471"/>
      <c r="AMD908" s="471"/>
      <c r="AME908" s="471"/>
      <c r="AMF908" s="471"/>
      <c r="AMG908" s="471"/>
      <c r="AMH908" s="471"/>
      <c r="AMI908" s="471"/>
      <c r="AMJ908" s="471"/>
      <c r="AMK908" s="471"/>
      <c r="AML908" s="471"/>
      <c r="AMM908" s="471"/>
      <c r="AMN908" s="471"/>
      <c r="AMO908" s="471"/>
      <c r="AMP908" s="471"/>
      <c r="AMQ908" s="471"/>
      <c r="AMR908" s="471"/>
      <c r="AMS908" s="471"/>
      <c r="AMT908" s="471"/>
      <c r="AMU908" s="471"/>
      <c r="AMV908" s="471"/>
      <c r="AMW908" s="471"/>
      <c r="AMX908" s="471"/>
      <c r="AMY908" s="471"/>
      <c r="AMZ908" s="471"/>
      <c r="ANA908" s="471"/>
      <c r="ANB908" s="471"/>
      <c r="ANC908" s="471"/>
      <c r="AND908" s="471"/>
      <c r="ANE908" s="471"/>
      <c r="ANF908" s="471"/>
      <c r="ANG908" s="471"/>
      <c r="ANH908" s="471"/>
      <c r="ANI908" s="471"/>
      <c r="ANJ908" s="471"/>
      <c r="ANK908" s="471"/>
      <c r="ANL908" s="471"/>
      <c r="ANM908" s="471"/>
      <c r="ANN908" s="471"/>
      <c r="ANO908" s="471"/>
      <c r="ANP908" s="471"/>
      <c r="ANQ908" s="471"/>
      <c r="ANR908" s="471"/>
      <c r="ANS908" s="471"/>
      <c r="ANT908" s="471"/>
      <c r="ANU908" s="471"/>
      <c r="ANV908" s="471"/>
      <c r="ANW908" s="471"/>
      <c r="ANX908" s="471"/>
      <c r="ANY908" s="471"/>
      <c r="ANZ908" s="471"/>
      <c r="AOA908" s="471"/>
      <c r="AOB908" s="471"/>
      <c r="AOC908" s="471"/>
      <c r="AOD908" s="471"/>
      <c r="AOE908" s="471"/>
      <c r="AOF908" s="471"/>
      <c r="AOG908" s="471"/>
      <c r="AOH908" s="471"/>
      <c r="AOI908" s="471"/>
      <c r="AOJ908" s="471"/>
      <c r="AOK908" s="471"/>
      <c r="AOL908" s="471"/>
      <c r="AOM908" s="471"/>
      <c r="AON908" s="471"/>
      <c r="AOO908" s="471"/>
      <c r="AOP908" s="471"/>
      <c r="AOQ908" s="471"/>
      <c r="AOR908" s="471"/>
      <c r="AOS908" s="471"/>
      <c r="AOT908" s="471"/>
      <c r="AOU908" s="471"/>
      <c r="AOV908" s="471"/>
      <c r="AOW908" s="471"/>
      <c r="AOX908" s="471"/>
      <c r="AOY908" s="471"/>
      <c r="AOZ908" s="471"/>
      <c r="APA908" s="471"/>
      <c r="APB908" s="471"/>
      <c r="APC908" s="471"/>
      <c r="APD908" s="471"/>
      <c r="APE908" s="471"/>
      <c r="APF908" s="471"/>
      <c r="APG908" s="471"/>
      <c r="APH908" s="471"/>
      <c r="API908" s="471"/>
      <c r="APJ908" s="471"/>
      <c r="APK908" s="471"/>
      <c r="APL908" s="471"/>
      <c r="APM908" s="471"/>
      <c r="APN908" s="471"/>
      <c r="APO908" s="471"/>
      <c r="APP908" s="471"/>
      <c r="APQ908" s="471"/>
      <c r="APR908" s="471"/>
      <c r="APS908" s="471"/>
      <c r="APT908" s="471"/>
      <c r="APU908" s="471"/>
      <c r="APV908" s="471"/>
      <c r="APW908" s="471"/>
      <c r="APX908" s="471"/>
      <c r="APY908" s="471"/>
      <c r="APZ908" s="471"/>
      <c r="AQA908" s="471"/>
      <c r="AQB908" s="471"/>
      <c r="AQC908" s="471"/>
      <c r="AQD908" s="471"/>
      <c r="AQE908" s="471"/>
      <c r="AQF908" s="471"/>
      <c r="AQG908" s="471"/>
      <c r="AQH908" s="471"/>
      <c r="AQI908" s="471"/>
      <c r="AQJ908" s="471"/>
      <c r="AQK908" s="471"/>
      <c r="AQL908" s="471"/>
      <c r="AQM908" s="471"/>
      <c r="AQN908" s="471"/>
      <c r="AQO908" s="471"/>
      <c r="AQP908" s="471"/>
      <c r="AQQ908" s="471"/>
      <c r="AQR908" s="471"/>
      <c r="AQS908" s="471"/>
      <c r="AQT908" s="471"/>
      <c r="AQU908" s="471"/>
      <c r="AQV908" s="471"/>
      <c r="AQW908" s="471"/>
      <c r="AQX908" s="471"/>
      <c r="AQY908" s="471"/>
      <c r="AQZ908" s="471"/>
      <c r="ARA908" s="471"/>
      <c r="ARB908" s="471"/>
      <c r="ARC908" s="471"/>
      <c r="ARD908" s="471"/>
      <c r="ARE908" s="471"/>
      <c r="ARF908" s="471"/>
      <c r="ARG908" s="471"/>
      <c r="ARH908" s="471"/>
      <c r="ARI908" s="471"/>
      <c r="ARJ908" s="471"/>
      <c r="ARK908" s="471"/>
      <c r="ARL908" s="471"/>
      <c r="ARM908" s="471"/>
      <c r="ARN908" s="471"/>
      <c r="ARO908" s="471"/>
      <c r="ARP908" s="471"/>
      <c r="ARQ908" s="471"/>
      <c r="ARR908" s="471"/>
      <c r="ARS908" s="471"/>
      <c r="ART908" s="471"/>
      <c r="ARU908" s="471"/>
      <c r="ARV908" s="471"/>
      <c r="ARW908" s="471"/>
      <c r="ARX908" s="471"/>
      <c r="ARY908" s="471"/>
      <c r="ARZ908" s="471"/>
      <c r="ASA908" s="471"/>
      <c r="ASB908" s="471"/>
      <c r="ASC908" s="471"/>
      <c r="ASD908" s="471"/>
      <c r="ASE908" s="471"/>
      <c r="ASF908" s="471"/>
      <c r="ASG908" s="471"/>
      <c r="ASH908" s="471"/>
      <c r="ASI908" s="471"/>
      <c r="ASJ908" s="471"/>
      <c r="ASK908" s="471"/>
      <c r="ASL908" s="471"/>
      <c r="ASM908" s="471"/>
      <c r="ASN908" s="471"/>
      <c r="ASO908" s="471"/>
      <c r="ASP908" s="471"/>
      <c r="ASQ908" s="471"/>
      <c r="ASR908" s="471"/>
      <c r="ASS908" s="471"/>
      <c r="AST908" s="471"/>
      <c r="ASU908" s="471"/>
      <c r="ASV908" s="471"/>
      <c r="ASW908" s="471"/>
      <c r="ASX908" s="471"/>
      <c r="ASY908" s="471"/>
      <c r="ASZ908" s="471"/>
      <c r="ATA908" s="471"/>
      <c r="ATB908" s="471"/>
      <c r="ATC908" s="471"/>
      <c r="ATD908" s="471"/>
      <c r="ATE908" s="471"/>
      <c r="ATF908" s="471"/>
      <c r="ATG908" s="471"/>
      <c r="ATH908" s="471"/>
      <c r="ATI908" s="471"/>
      <c r="ATJ908" s="471"/>
      <c r="ATK908" s="471"/>
      <c r="ATL908" s="471"/>
      <c r="ATM908" s="471"/>
      <c r="ATN908" s="471"/>
      <c r="ATO908" s="471"/>
      <c r="ATP908" s="471"/>
      <c r="ATQ908" s="471"/>
      <c r="ATR908" s="471"/>
      <c r="ATS908" s="471"/>
      <c r="ATT908" s="471"/>
      <c r="ATU908" s="471"/>
      <c r="ATV908" s="471"/>
      <c r="ATW908" s="471"/>
      <c r="ATX908" s="471"/>
      <c r="ATY908" s="471"/>
      <c r="ATZ908" s="471"/>
      <c r="AUA908" s="471"/>
      <c r="AUB908" s="471"/>
      <c r="AUC908" s="471"/>
      <c r="AUD908" s="471"/>
      <c r="AUE908" s="471"/>
      <c r="AUF908" s="471"/>
      <c r="AUG908" s="471"/>
      <c r="AUH908" s="471"/>
      <c r="AUI908" s="471"/>
      <c r="AUJ908" s="471"/>
      <c r="AUK908" s="471"/>
      <c r="AUL908" s="471"/>
      <c r="AUM908" s="471"/>
      <c r="AUN908" s="471"/>
      <c r="AUO908" s="471"/>
      <c r="AUP908" s="471"/>
      <c r="AUQ908" s="471"/>
      <c r="AUR908" s="471"/>
      <c r="AUS908" s="471"/>
      <c r="AUT908" s="471"/>
      <c r="AUU908" s="471"/>
      <c r="AUV908" s="471"/>
      <c r="AUW908" s="471"/>
      <c r="AUX908" s="471"/>
      <c r="AUY908" s="471"/>
      <c r="AUZ908" s="471"/>
      <c r="AVA908" s="471"/>
      <c r="AVB908" s="471"/>
      <c r="AVC908" s="471"/>
      <c r="AVD908" s="471"/>
      <c r="AVE908" s="471"/>
      <c r="AVF908" s="471"/>
      <c r="AVG908" s="471"/>
      <c r="AVH908" s="471"/>
      <c r="AVI908" s="471"/>
      <c r="AVJ908" s="471"/>
      <c r="AVK908" s="471"/>
    </row>
    <row r="909" spans="1:1259" s="511" customFormat="1" ht="15" customHeight="1">
      <c r="A909" s="472"/>
      <c r="B909" s="472"/>
      <c r="C909" s="472"/>
      <c r="D909" s="512" t="s">
        <v>3186</v>
      </c>
      <c r="E909" s="501"/>
      <c r="F909" s="501"/>
      <c r="G909" s="501">
        <v>2022</v>
      </c>
      <c r="H909" s="501"/>
      <c r="I909" s="496" t="s">
        <v>1676</v>
      </c>
      <c r="J909" s="502"/>
      <c r="K909" s="503" t="s">
        <v>5770</v>
      </c>
      <c r="L909" s="501" t="s">
        <v>3297</v>
      </c>
      <c r="M909" s="504">
        <v>44671</v>
      </c>
      <c r="N909" s="504">
        <v>44762</v>
      </c>
      <c r="O909" s="504"/>
      <c r="P909" s="502"/>
      <c r="Q909" s="502"/>
      <c r="R909" s="502"/>
      <c r="S909" s="501" t="s">
        <v>2379</v>
      </c>
      <c r="T909" s="501">
        <v>60</v>
      </c>
      <c r="U909" s="501"/>
      <c r="V909" s="501" t="s">
        <v>973</v>
      </c>
      <c r="W909" s="501">
        <v>400</v>
      </c>
      <c r="X909" s="505">
        <v>2496</v>
      </c>
      <c r="Y909" s="491">
        <f t="shared" si="130"/>
        <v>998400</v>
      </c>
      <c r="Z909" s="506">
        <v>0.6</v>
      </c>
      <c r="AA909" s="492">
        <f t="shared" si="134"/>
        <v>599040</v>
      </c>
      <c r="AB909" s="480"/>
      <c r="AC909" s="481">
        <f t="shared" si="131"/>
        <v>0</v>
      </c>
      <c r="AD909" s="508"/>
      <c r="AE909" s="507">
        <v>22838.400000000001</v>
      </c>
      <c r="AF909" s="493">
        <f t="shared" si="132"/>
        <v>621878.4</v>
      </c>
      <c r="AG909" s="501" t="s">
        <v>47</v>
      </c>
      <c r="AH909" s="501"/>
      <c r="AI909" s="503">
        <v>60</v>
      </c>
      <c r="AJ909" s="501" t="s">
        <v>1790</v>
      </c>
      <c r="AK909" s="509" t="s">
        <v>50</v>
      </c>
      <c r="AL909" s="501">
        <v>95826</v>
      </c>
      <c r="AM909" s="501" t="s">
        <v>52</v>
      </c>
      <c r="AN909" s="501"/>
      <c r="AO909" s="501"/>
      <c r="AP909" s="510"/>
      <c r="AQ909" s="510" t="s">
        <v>37</v>
      </c>
      <c r="AR909" s="510"/>
      <c r="AS909" s="495"/>
      <c r="AT909" s="495"/>
      <c r="AU909" s="495"/>
      <c r="AV909" s="506">
        <f t="shared" si="133"/>
        <v>0.48000000000000004</v>
      </c>
      <c r="AW909" s="471"/>
      <c r="AX909" s="471"/>
      <c r="AY909" s="471"/>
      <c r="AZ909" s="471"/>
      <c r="BA909" s="471"/>
      <c r="BB909" s="471"/>
      <c r="BC909" s="471"/>
      <c r="BD909" s="471"/>
      <c r="BE909" s="471"/>
      <c r="BF909" s="471"/>
      <c r="BG909" s="471"/>
      <c r="BH909" s="471"/>
      <c r="BI909" s="471"/>
      <c r="BJ909" s="471"/>
      <c r="BK909" s="471"/>
      <c r="BL909" s="471"/>
      <c r="BM909" s="471"/>
      <c r="BN909" s="471"/>
      <c r="BO909" s="471"/>
      <c r="BP909" s="471"/>
      <c r="BQ909" s="471"/>
      <c r="BR909" s="471"/>
      <c r="BS909" s="471"/>
      <c r="BT909" s="471"/>
      <c r="BU909" s="471"/>
      <c r="BV909" s="471"/>
      <c r="BW909" s="471"/>
      <c r="BX909" s="471"/>
      <c r="BY909" s="471"/>
      <c r="BZ909" s="471"/>
      <c r="CA909" s="471"/>
      <c r="CB909" s="471"/>
      <c r="CC909" s="471"/>
      <c r="CD909" s="471"/>
      <c r="CE909" s="471"/>
      <c r="CF909" s="471"/>
      <c r="CG909" s="471"/>
      <c r="CH909" s="471"/>
      <c r="CI909" s="471"/>
      <c r="CJ909" s="471"/>
      <c r="CK909" s="471"/>
      <c r="CL909" s="471"/>
      <c r="CM909" s="471"/>
      <c r="CN909" s="471"/>
      <c r="CO909" s="471"/>
      <c r="CP909" s="471"/>
      <c r="CQ909" s="471"/>
      <c r="CR909" s="471"/>
      <c r="CS909" s="471"/>
      <c r="CT909" s="471"/>
      <c r="CU909" s="471"/>
      <c r="CV909" s="471"/>
      <c r="CW909" s="471"/>
      <c r="CX909" s="471"/>
      <c r="CY909" s="471"/>
      <c r="CZ909" s="471"/>
      <c r="DA909" s="471"/>
      <c r="DB909" s="471"/>
      <c r="DC909" s="471"/>
      <c r="DD909" s="471"/>
      <c r="DE909" s="471"/>
      <c r="DF909" s="471"/>
      <c r="DG909" s="471"/>
      <c r="DH909" s="471"/>
      <c r="DI909" s="471"/>
      <c r="DJ909" s="471"/>
      <c r="DK909" s="471"/>
      <c r="DL909" s="471"/>
      <c r="DM909" s="471"/>
      <c r="DN909" s="471"/>
      <c r="DO909" s="471"/>
      <c r="DP909" s="471"/>
      <c r="DQ909" s="471"/>
      <c r="DR909" s="471"/>
      <c r="DS909" s="471"/>
      <c r="DT909" s="471"/>
      <c r="DU909" s="471"/>
      <c r="DV909" s="471"/>
      <c r="DW909" s="471"/>
      <c r="DX909" s="471"/>
      <c r="DY909" s="471"/>
      <c r="DZ909" s="471"/>
      <c r="EA909" s="471"/>
      <c r="EB909" s="471"/>
      <c r="EC909" s="471"/>
      <c r="ED909" s="471"/>
      <c r="EE909" s="471"/>
      <c r="EF909" s="471"/>
      <c r="EG909" s="471"/>
      <c r="EH909" s="471"/>
      <c r="EI909" s="471"/>
      <c r="EJ909" s="471"/>
      <c r="EK909" s="471"/>
      <c r="EL909" s="471"/>
      <c r="EM909" s="471"/>
      <c r="EN909" s="471"/>
      <c r="EO909" s="471"/>
      <c r="EP909" s="471"/>
      <c r="EQ909" s="471"/>
      <c r="ER909" s="471"/>
      <c r="ES909" s="471"/>
      <c r="ET909" s="471"/>
      <c r="EU909" s="471"/>
      <c r="EV909" s="471"/>
      <c r="EW909" s="471"/>
      <c r="EX909" s="471"/>
      <c r="EY909" s="471"/>
      <c r="EZ909" s="471"/>
      <c r="FA909" s="471"/>
      <c r="FB909" s="471"/>
      <c r="FC909" s="471"/>
      <c r="FD909" s="471"/>
      <c r="FE909" s="471"/>
      <c r="FF909" s="471"/>
      <c r="FG909" s="471"/>
      <c r="FH909" s="471"/>
      <c r="FI909" s="471"/>
      <c r="FJ909" s="471"/>
      <c r="FK909" s="471"/>
      <c r="FL909" s="471"/>
      <c r="FM909" s="471"/>
      <c r="FN909" s="471"/>
      <c r="FO909" s="471"/>
      <c r="FP909" s="471"/>
      <c r="FQ909" s="471"/>
      <c r="FR909" s="471"/>
      <c r="FS909" s="471"/>
      <c r="FT909" s="471"/>
      <c r="FU909" s="471"/>
      <c r="FV909" s="471"/>
      <c r="FW909" s="471"/>
      <c r="FX909" s="471"/>
      <c r="FY909" s="471"/>
      <c r="FZ909" s="471"/>
      <c r="GA909" s="471"/>
      <c r="GB909" s="471"/>
      <c r="GC909" s="471"/>
      <c r="GD909" s="471"/>
      <c r="GE909" s="471"/>
      <c r="GF909" s="471"/>
      <c r="GG909" s="471"/>
      <c r="GH909" s="471"/>
      <c r="GI909" s="471"/>
      <c r="GJ909" s="471"/>
      <c r="GK909" s="471"/>
      <c r="GL909" s="471"/>
      <c r="GM909" s="471"/>
      <c r="GN909" s="471"/>
      <c r="GO909" s="471"/>
      <c r="GP909" s="471"/>
      <c r="GQ909" s="471"/>
      <c r="GR909" s="471"/>
      <c r="GS909" s="471"/>
      <c r="GT909" s="471"/>
      <c r="GU909" s="471"/>
      <c r="GV909" s="471"/>
      <c r="GW909" s="471"/>
      <c r="GX909" s="471"/>
      <c r="GY909" s="471"/>
      <c r="GZ909" s="471"/>
      <c r="HA909" s="471"/>
      <c r="HB909" s="471"/>
      <c r="HC909" s="471"/>
      <c r="HD909" s="471"/>
      <c r="HE909" s="471"/>
      <c r="HF909" s="471"/>
      <c r="HG909" s="471"/>
      <c r="HH909" s="471"/>
      <c r="HI909" s="471"/>
      <c r="HJ909" s="471"/>
      <c r="HK909" s="471"/>
      <c r="HL909" s="471"/>
      <c r="HM909" s="471"/>
      <c r="HN909" s="471"/>
      <c r="HO909" s="471"/>
      <c r="HP909" s="471"/>
      <c r="HQ909" s="471"/>
      <c r="HR909" s="471"/>
      <c r="HS909" s="471"/>
      <c r="HT909" s="471"/>
      <c r="HU909" s="471"/>
      <c r="HV909" s="471"/>
      <c r="HW909" s="471"/>
      <c r="HX909" s="471"/>
      <c r="HY909" s="471"/>
      <c r="HZ909" s="471"/>
      <c r="IA909" s="471"/>
      <c r="IB909" s="471"/>
      <c r="IC909" s="471"/>
      <c r="ID909" s="471"/>
      <c r="IE909" s="471"/>
      <c r="IF909" s="471"/>
      <c r="IG909" s="471"/>
      <c r="IH909" s="471"/>
      <c r="II909" s="471"/>
      <c r="IJ909" s="471"/>
      <c r="IK909" s="471"/>
      <c r="IL909" s="471"/>
      <c r="IM909" s="471"/>
      <c r="IN909" s="471"/>
      <c r="IO909" s="471"/>
      <c r="IP909" s="471"/>
      <c r="IQ909" s="471"/>
      <c r="IR909" s="471"/>
      <c r="IS909" s="471"/>
      <c r="IT909" s="471"/>
      <c r="IU909" s="471"/>
      <c r="IV909" s="471"/>
      <c r="IW909" s="471"/>
      <c r="IX909" s="471"/>
      <c r="IY909" s="471"/>
      <c r="IZ909" s="471"/>
      <c r="JA909" s="471"/>
      <c r="JB909" s="471"/>
      <c r="JC909" s="471"/>
      <c r="JD909" s="471"/>
      <c r="JE909" s="471"/>
      <c r="JF909" s="471"/>
      <c r="JG909" s="471"/>
      <c r="JH909" s="471"/>
      <c r="JI909" s="471"/>
      <c r="JJ909" s="471"/>
      <c r="JK909" s="471"/>
      <c r="JL909" s="471"/>
      <c r="JM909" s="471"/>
      <c r="JN909" s="471"/>
      <c r="JO909" s="471"/>
      <c r="JP909" s="471"/>
      <c r="JQ909" s="471"/>
      <c r="JR909" s="471"/>
      <c r="JS909" s="471"/>
      <c r="JT909" s="471"/>
      <c r="JU909" s="471"/>
      <c r="JV909" s="471"/>
      <c r="JW909" s="471"/>
      <c r="JX909" s="471"/>
      <c r="JY909" s="471"/>
      <c r="JZ909" s="471"/>
      <c r="KA909" s="471"/>
      <c r="KB909" s="471"/>
      <c r="KC909" s="471"/>
      <c r="KD909" s="471"/>
      <c r="KE909" s="471"/>
      <c r="KF909" s="471"/>
      <c r="KG909" s="471"/>
      <c r="KH909" s="471"/>
      <c r="KI909" s="471"/>
      <c r="KJ909" s="471"/>
      <c r="KK909" s="471"/>
      <c r="KL909" s="471"/>
      <c r="KM909" s="471"/>
      <c r="KN909" s="471"/>
      <c r="KO909" s="471"/>
      <c r="KP909" s="471"/>
      <c r="KQ909" s="471"/>
      <c r="KR909" s="471"/>
      <c r="KS909" s="471"/>
      <c r="KT909" s="471"/>
      <c r="KU909" s="471"/>
      <c r="KV909" s="471"/>
      <c r="KW909" s="471"/>
      <c r="KX909" s="471"/>
      <c r="KY909" s="471"/>
      <c r="KZ909" s="471"/>
      <c r="LA909" s="471"/>
      <c r="LB909" s="471"/>
      <c r="LC909" s="471"/>
      <c r="LD909" s="471"/>
      <c r="LE909" s="471"/>
      <c r="LF909" s="471"/>
      <c r="LG909" s="471"/>
      <c r="LH909" s="471"/>
      <c r="LI909" s="471"/>
      <c r="LJ909" s="471"/>
      <c r="LK909" s="471"/>
      <c r="LL909" s="471"/>
      <c r="LM909" s="471"/>
      <c r="LN909" s="471"/>
      <c r="LO909" s="471"/>
      <c r="LP909" s="471"/>
      <c r="LQ909" s="471"/>
      <c r="LR909" s="471"/>
      <c r="LS909" s="471"/>
      <c r="LT909" s="471"/>
      <c r="LU909" s="471"/>
      <c r="LV909" s="471"/>
      <c r="LW909" s="471"/>
      <c r="LX909" s="471"/>
      <c r="LY909" s="471"/>
      <c r="LZ909" s="471"/>
      <c r="MA909" s="471"/>
      <c r="MB909" s="471"/>
      <c r="MC909" s="471"/>
      <c r="MD909" s="471"/>
      <c r="ME909" s="471"/>
      <c r="MF909" s="471"/>
      <c r="MG909" s="471"/>
      <c r="MH909" s="471"/>
      <c r="MI909" s="471"/>
      <c r="MJ909" s="471"/>
      <c r="MK909" s="471"/>
      <c r="ML909" s="471"/>
      <c r="MM909" s="471"/>
      <c r="MN909" s="471"/>
      <c r="MO909" s="471"/>
      <c r="MP909" s="471"/>
      <c r="MQ909" s="471"/>
      <c r="MR909" s="471"/>
      <c r="MS909" s="471"/>
      <c r="MT909" s="471"/>
      <c r="MU909" s="471"/>
      <c r="MV909" s="471"/>
      <c r="MW909" s="471"/>
      <c r="MX909" s="471"/>
      <c r="MY909" s="471"/>
      <c r="MZ909" s="471"/>
      <c r="NA909" s="471"/>
      <c r="NB909" s="471"/>
      <c r="NC909" s="471"/>
      <c r="ND909" s="471"/>
      <c r="NE909" s="471"/>
      <c r="NF909" s="471"/>
      <c r="NG909" s="471"/>
      <c r="NH909" s="471"/>
      <c r="NI909" s="471"/>
      <c r="NJ909" s="471"/>
      <c r="NK909" s="471"/>
      <c r="NL909" s="471"/>
      <c r="NM909" s="471"/>
      <c r="NN909" s="471"/>
      <c r="NO909" s="471"/>
      <c r="NP909" s="471"/>
      <c r="NQ909" s="471"/>
      <c r="NR909" s="471"/>
      <c r="NS909" s="471"/>
      <c r="NT909" s="471"/>
      <c r="NU909" s="471"/>
      <c r="NV909" s="471"/>
      <c r="NW909" s="471"/>
      <c r="NX909" s="471"/>
      <c r="NY909" s="471"/>
      <c r="NZ909" s="471"/>
      <c r="OA909" s="471"/>
      <c r="OB909" s="471"/>
      <c r="OC909" s="471"/>
      <c r="OD909" s="471"/>
      <c r="OE909" s="471"/>
      <c r="OF909" s="471"/>
      <c r="OG909" s="471"/>
      <c r="OH909" s="471"/>
      <c r="OI909" s="471"/>
      <c r="OJ909" s="471"/>
      <c r="OK909" s="471"/>
      <c r="OL909" s="471"/>
      <c r="OM909" s="471"/>
      <c r="ON909" s="471"/>
      <c r="OO909" s="471"/>
      <c r="OP909" s="471"/>
      <c r="OQ909" s="471"/>
      <c r="OR909" s="471"/>
      <c r="OS909" s="471"/>
      <c r="OT909" s="471"/>
      <c r="OU909" s="471"/>
      <c r="OV909" s="471"/>
      <c r="OW909" s="471"/>
      <c r="OX909" s="471"/>
      <c r="OY909" s="471"/>
      <c r="OZ909" s="471"/>
      <c r="PA909" s="471"/>
      <c r="PB909" s="471"/>
      <c r="PC909" s="471"/>
      <c r="PD909" s="471"/>
      <c r="PE909" s="471"/>
      <c r="PF909" s="471"/>
      <c r="PG909" s="471"/>
      <c r="PH909" s="471"/>
      <c r="PI909" s="471"/>
      <c r="PJ909" s="471"/>
      <c r="PK909" s="471"/>
      <c r="PL909" s="471"/>
      <c r="PM909" s="471"/>
      <c r="PN909" s="471"/>
      <c r="PO909" s="471"/>
      <c r="PP909" s="471"/>
      <c r="PQ909" s="471"/>
      <c r="PR909" s="471"/>
      <c r="PS909" s="471"/>
      <c r="PT909" s="471"/>
      <c r="PU909" s="471"/>
      <c r="PV909" s="471"/>
      <c r="PW909" s="471"/>
      <c r="PX909" s="471"/>
      <c r="PY909" s="471"/>
      <c r="PZ909" s="471"/>
      <c r="QA909" s="471"/>
      <c r="QB909" s="471"/>
      <c r="QC909" s="471"/>
      <c r="QD909" s="471"/>
      <c r="QE909" s="471"/>
      <c r="QF909" s="471"/>
      <c r="QG909" s="471"/>
      <c r="QH909" s="471"/>
      <c r="QI909" s="471"/>
      <c r="QJ909" s="471"/>
      <c r="QK909" s="471"/>
      <c r="QL909" s="471"/>
      <c r="QM909" s="471"/>
      <c r="QN909" s="471"/>
      <c r="QO909" s="471"/>
      <c r="QP909" s="471"/>
      <c r="QQ909" s="471"/>
      <c r="QR909" s="471"/>
      <c r="QS909" s="471"/>
      <c r="QT909" s="471"/>
      <c r="QU909" s="471"/>
      <c r="QV909" s="471"/>
      <c r="QW909" s="471"/>
      <c r="QX909" s="471"/>
      <c r="QY909" s="471"/>
      <c r="QZ909" s="471"/>
      <c r="RA909" s="471"/>
      <c r="RB909" s="471"/>
      <c r="RC909" s="471"/>
      <c r="RD909" s="471"/>
      <c r="RE909" s="471"/>
      <c r="RF909" s="471"/>
      <c r="RG909" s="471"/>
      <c r="RH909" s="471"/>
      <c r="RI909" s="471"/>
      <c r="RJ909" s="471"/>
      <c r="RK909" s="471"/>
      <c r="RL909" s="471"/>
      <c r="RM909" s="471"/>
      <c r="RN909" s="471"/>
      <c r="RO909" s="471"/>
      <c r="RP909" s="471"/>
      <c r="RQ909" s="471"/>
      <c r="RR909" s="471"/>
      <c r="RS909" s="471"/>
      <c r="RT909" s="471"/>
      <c r="RU909" s="471"/>
      <c r="RV909" s="471"/>
      <c r="RW909" s="471"/>
      <c r="RX909" s="471"/>
      <c r="RY909" s="471"/>
      <c r="RZ909" s="471"/>
      <c r="SA909" s="471"/>
      <c r="SB909" s="471"/>
      <c r="SC909" s="471"/>
      <c r="SD909" s="471"/>
      <c r="SE909" s="471"/>
      <c r="SF909" s="471"/>
      <c r="SG909" s="471"/>
      <c r="SH909" s="471"/>
      <c r="SI909" s="471"/>
      <c r="SJ909" s="471"/>
      <c r="SK909" s="471"/>
      <c r="SL909" s="471"/>
      <c r="SM909" s="471"/>
      <c r="SN909" s="471"/>
      <c r="SO909" s="471"/>
      <c r="SP909" s="471"/>
      <c r="SQ909" s="471"/>
      <c r="SR909" s="471"/>
      <c r="SS909" s="471"/>
      <c r="ST909" s="471"/>
      <c r="SU909" s="471"/>
      <c r="SV909" s="471"/>
      <c r="SW909" s="471"/>
      <c r="SX909" s="471"/>
      <c r="SY909" s="471"/>
      <c r="SZ909" s="471"/>
      <c r="TA909" s="471"/>
      <c r="TB909" s="471"/>
      <c r="TC909" s="471"/>
      <c r="TD909" s="471"/>
      <c r="TE909" s="471"/>
      <c r="TF909" s="471"/>
      <c r="TG909" s="471"/>
      <c r="TH909" s="471"/>
      <c r="TI909" s="471"/>
      <c r="TJ909" s="471"/>
      <c r="TK909" s="471"/>
      <c r="TL909" s="471"/>
      <c r="TM909" s="471"/>
      <c r="TN909" s="471"/>
      <c r="TO909" s="471"/>
      <c r="TP909" s="471"/>
      <c r="TQ909" s="471"/>
      <c r="TR909" s="471"/>
      <c r="TS909" s="471"/>
      <c r="TT909" s="471"/>
      <c r="TU909" s="471"/>
      <c r="TV909" s="471"/>
      <c r="TW909" s="471"/>
      <c r="TX909" s="471"/>
      <c r="TY909" s="471"/>
      <c r="TZ909" s="471"/>
      <c r="UA909" s="471"/>
      <c r="UB909" s="471"/>
      <c r="UC909" s="471"/>
      <c r="UD909" s="471"/>
      <c r="UE909" s="471"/>
      <c r="UF909" s="471"/>
      <c r="UG909" s="471"/>
      <c r="UH909" s="471"/>
      <c r="UI909" s="471"/>
      <c r="UJ909" s="471"/>
      <c r="UK909" s="471"/>
      <c r="UL909" s="471"/>
      <c r="UM909" s="471"/>
      <c r="UN909" s="471"/>
      <c r="UO909" s="471"/>
      <c r="UP909" s="471"/>
      <c r="UQ909" s="471"/>
      <c r="UR909" s="471"/>
      <c r="US909" s="471"/>
      <c r="UT909" s="471"/>
      <c r="UU909" s="471"/>
      <c r="UV909" s="471"/>
      <c r="UW909" s="471"/>
      <c r="UX909" s="471"/>
      <c r="UY909" s="471"/>
      <c r="UZ909" s="471"/>
      <c r="VA909" s="471"/>
      <c r="VB909" s="471"/>
      <c r="VC909" s="471"/>
      <c r="VD909" s="471"/>
      <c r="VE909" s="471"/>
      <c r="VF909" s="471"/>
      <c r="VG909" s="471"/>
      <c r="VH909" s="471"/>
      <c r="VI909" s="471"/>
      <c r="VJ909" s="471"/>
      <c r="VK909" s="471"/>
      <c r="VL909" s="471"/>
      <c r="VM909" s="471"/>
      <c r="VN909" s="471"/>
      <c r="VO909" s="471"/>
      <c r="VP909" s="471"/>
      <c r="VQ909" s="471"/>
      <c r="VR909" s="471"/>
      <c r="VS909" s="471"/>
      <c r="VT909" s="471"/>
      <c r="VU909" s="471"/>
      <c r="VV909" s="471"/>
      <c r="VW909" s="471"/>
      <c r="VX909" s="471"/>
      <c r="VY909" s="471"/>
      <c r="VZ909" s="471"/>
      <c r="WA909" s="471"/>
      <c r="WB909" s="471"/>
      <c r="WC909" s="471"/>
      <c r="WD909" s="471"/>
      <c r="WE909" s="471"/>
      <c r="WF909" s="471"/>
      <c r="WG909" s="471"/>
      <c r="WH909" s="471"/>
      <c r="WI909" s="471"/>
      <c r="WJ909" s="471"/>
      <c r="WK909" s="471"/>
      <c r="WL909" s="471"/>
      <c r="WM909" s="471"/>
      <c r="WN909" s="471"/>
      <c r="WO909" s="471"/>
      <c r="WP909" s="471"/>
      <c r="WQ909" s="471"/>
      <c r="WR909" s="471"/>
      <c r="WS909" s="471"/>
      <c r="WT909" s="471"/>
      <c r="WU909" s="471"/>
      <c r="WV909" s="471"/>
      <c r="WW909" s="471"/>
      <c r="WX909" s="471"/>
      <c r="WY909" s="471"/>
      <c r="WZ909" s="471"/>
      <c r="XA909" s="471"/>
      <c r="XB909" s="471"/>
      <c r="XC909" s="471"/>
      <c r="XD909" s="471"/>
      <c r="XE909" s="471"/>
      <c r="XF909" s="471"/>
      <c r="XG909" s="471"/>
      <c r="XH909" s="471"/>
      <c r="XI909" s="471"/>
      <c r="XJ909" s="471"/>
      <c r="XK909" s="471"/>
      <c r="XL909" s="471"/>
      <c r="XM909" s="471"/>
      <c r="XN909" s="471"/>
      <c r="XO909" s="471"/>
      <c r="XP909" s="471"/>
      <c r="XQ909" s="471"/>
      <c r="XR909" s="471"/>
      <c r="XS909" s="471"/>
      <c r="XT909" s="471"/>
      <c r="XU909" s="471"/>
      <c r="XV909" s="471"/>
      <c r="XW909" s="471"/>
      <c r="XX909" s="471"/>
      <c r="XY909" s="471"/>
      <c r="XZ909" s="471"/>
      <c r="YA909" s="471"/>
      <c r="YB909" s="471"/>
      <c r="YC909" s="471"/>
      <c r="YD909" s="471"/>
      <c r="YE909" s="471"/>
      <c r="YF909" s="471"/>
      <c r="YG909" s="471"/>
      <c r="YH909" s="471"/>
      <c r="YI909" s="471"/>
      <c r="YJ909" s="471"/>
      <c r="YK909" s="471"/>
      <c r="YL909" s="471"/>
      <c r="YM909" s="471"/>
      <c r="YN909" s="471"/>
      <c r="YO909" s="471"/>
      <c r="YP909" s="471"/>
      <c r="YQ909" s="471"/>
      <c r="YR909" s="471"/>
      <c r="YS909" s="471"/>
      <c r="YT909" s="471"/>
      <c r="YU909" s="471"/>
      <c r="YV909" s="471"/>
      <c r="YW909" s="471"/>
      <c r="YX909" s="471"/>
      <c r="YY909" s="471"/>
      <c r="YZ909" s="471"/>
      <c r="ZA909" s="471"/>
      <c r="ZB909" s="471"/>
      <c r="ZC909" s="471"/>
      <c r="ZD909" s="471"/>
      <c r="ZE909" s="471"/>
      <c r="ZF909" s="471"/>
      <c r="ZG909" s="471"/>
      <c r="ZH909" s="471"/>
      <c r="ZI909" s="471"/>
      <c r="ZJ909" s="471"/>
      <c r="ZK909" s="471"/>
      <c r="ZL909" s="471"/>
      <c r="ZM909" s="471"/>
      <c r="ZN909" s="471"/>
      <c r="ZO909" s="471"/>
      <c r="ZP909" s="471"/>
      <c r="ZQ909" s="471"/>
      <c r="ZR909" s="471"/>
      <c r="ZS909" s="471"/>
      <c r="ZT909" s="471"/>
      <c r="ZU909" s="471"/>
      <c r="ZV909" s="471"/>
      <c r="ZW909" s="471"/>
      <c r="ZX909" s="471"/>
      <c r="ZY909" s="471"/>
      <c r="ZZ909" s="471"/>
      <c r="AAA909" s="471"/>
      <c r="AAB909" s="471"/>
      <c r="AAC909" s="471"/>
      <c r="AAD909" s="471"/>
      <c r="AAE909" s="471"/>
      <c r="AAF909" s="471"/>
      <c r="AAG909" s="471"/>
      <c r="AAH909" s="471"/>
      <c r="AAI909" s="471"/>
      <c r="AAJ909" s="471"/>
      <c r="AAK909" s="471"/>
      <c r="AAL909" s="471"/>
      <c r="AAM909" s="471"/>
      <c r="AAN909" s="471"/>
      <c r="AAO909" s="471"/>
      <c r="AAP909" s="471"/>
      <c r="AAQ909" s="471"/>
      <c r="AAR909" s="471"/>
      <c r="AAS909" s="471"/>
      <c r="AAT909" s="471"/>
      <c r="AAU909" s="471"/>
      <c r="AAV909" s="471"/>
      <c r="AAW909" s="471"/>
      <c r="AAX909" s="471"/>
      <c r="AAY909" s="471"/>
      <c r="AAZ909" s="471"/>
      <c r="ABA909" s="471"/>
      <c r="ABB909" s="471"/>
      <c r="ABC909" s="471"/>
      <c r="ABD909" s="471"/>
      <c r="ABE909" s="471"/>
      <c r="ABF909" s="471"/>
      <c r="ABG909" s="471"/>
      <c r="ABH909" s="471"/>
      <c r="ABI909" s="471"/>
      <c r="ABJ909" s="471"/>
      <c r="ABK909" s="471"/>
      <c r="ABL909" s="471"/>
      <c r="ABM909" s="471"/>
      <c r="ABN909" s="471"/>
      <c r="ABO909" s="471"/>
      <c r="ABP909" s="471"/>
      <c r="ABQ909" s="471"/>
      <c r="ABR909" s="471"/>
      <c r="ABS909" s="471"/>
      <c r="ABT909" s="471"/>
      <c r="ABU909" s="471"/>
      <c r="ABV909" s="471"/>
      <c r="ABW909" s="471"/>
      <c r="ABX909" s="471"/>
      <c r="ABY909" s="471"/>
      <c r="ABZ909" s="471"/>
      <c r="ACA909" s="471"/>
      <c r="ACB909" s="471"/>
      <c r="ACC909" s="471"/>
      <c r="ACD909" s="471"/>
      <c r="ACE909" s="471"/>
      <c r="ACF909" s="471"/>
      <c r="ACG909" s="471"/>
      <c r="ACH909" s="471"/>
      <c r="ACI909" s="471"/>
      <c r="ACJ909" s="471"/>
      <c r="ACK909" s="471"/>
      <c r="ACL909" s="471"/>
      <c r="ACM909" s="471"/>
      <c r="ACN909" s="471"/>
      <c r="ACO909" s="471"/>
      <c r="ACP909" s="471"/>
      <c r="ACQ909" s="471"/>
      <c r="ACR909" s="471"/>
      <c r="ACS909" s="471"/>
      <c r="ACT909" s="471"/>
      <c r="ACU909" s="471"/>
      <c r="ACV909" s="471"/>
      <c r="ACW909" s="471"/>
      <c r="ACX909" s="471"/>
      <c r="ACY909" s="471"/>
      <c r="ACZ909" s="471"/>
      <c r="ADA909" s="471"/>
      <c r="ADB909" s="471"/>
      <c r="ADC909" s="471"/>
      <c r="ADD909" s="471"/>
      <c r="ADE909" s="471"/>
      <c r="ADF909" s="471"/>
      <c r="ADG909" s="471"/>
      <c r="ADH909" s="471"/>
      <c r="ADI909" s="471"/>
      <c r="ADJ909" s="471"/>
      <c r="ADK909" s="471"/>
      <c r="ADL909" s="471"/>
      <c r="ADM909" s="471"/>
      <c r="ADN909" s="471"/>
      <c r="ADO909" s="471"/>
      <c r="ADP909" s="471"/>
      <c r="ADQ909" s="471"/>
      <c r="ADR909" s="471"/>
      <c r="ADS909" s="471"/>
      <c r="ADT909" s="471"/>
      <c r="ADU909" s="471"/>
      <c r="ADV909" s="471"/>
      <c r="ADW909" s="471"/>
      <c r="ADX909" s="471"/>
      <c r="ADY909" s="471"/>
      <c r="ADZ909" s="471"/>
      <c r="AEA909" s="471"/>
      <c r="AEB909" s="471"/>
      <c r="AEC909" s="471"/>
      <c r="AED909" s="471"/>
      <c r="AEE909" s="471"/>
      <c r="AEF909" s="471"/>
      <c r="AEG909" s="471"/>
      <c r="AEH909" s="471"/>
      <c r="AEI909" s="471"/>
      <c r="AEJ909" s="471"/>
      <c r="AEK909" s="471"/>
      <c r="AEL909" s="471"/>
      <c r="AEM909" s="471"/>
      <c r="AEN909" s="471"/>
      <c r="AEO909" s="471"/>
      <c r="AEP909" s="471"/>
      <c r="AEQ909" s="471"/>
      <c r="AER909" s="471"/>
      <c r="AES909" s="471"/>
      <c r="AET909" s="471"/>
      <c r="AEU909" s="471"/>
      <c r="AEV909" s="471"/>
      <c r="AEW909" s="471"/>
      <c r="AEX909" s="471"/>
      <c r="AEY909" s="471"/>
      <c r="AEZ909" s="471"/>
      <c r="AFA909" s="471"/>
      <c r="AFB909" s="471"/>
      <c r="AFC909" s="471"/>
      <c r="AFD909" s="471"/>
      <c r="AFE909" s="471"/>
      <c r="AFF909" s="471"/>
      <c r="AFG909" s="471"/>
      <c r="AFH909" s="471"/>
      <c r="AFI909" s="471"/>
      <c r="AFJ909" s="471"/>
      <c r="AFK909" s="471"/>
      <c r="AFL909" s="471"/>
      <c r="AFM909" s="471"/>
      <c r="AFN909" s="471"/>
      <c r="AFO909" s="471"/>
      <c r="AFP909" s="471"/>
      <c r="AFQ909" s="471"/>
      <c r="AFR909" s="471"/>
      <c r="AFS909" s="471"/>
      <c r="AFT909" s="471"/>
      <c r="AFU909" s="471"/>
      <c r="AFV909" s="471"/>
      <c r="AFW909" s="471"/>
      <c r="AFX909" s="471"/>
      <c r="AFY909" s="471"/>
      <c r="AFZ909" s="471"/>
      <c r="AGA909" s="471"/>
      <c r="AGB909" s="471"/>
      <c r="AGC909" s="471"/>
      <c r="AGD909" s="471"/>
      <c r="AGE909" s="471"/>
      <c r="AGF909" s="471"/>
      <c r="AGG909" s="471"/>
      <c r="AGH909" s="471"/>
      <c r="AGI909" s="471"/>
      <c r="AGJ909" s="471"/>
      <c r="AGK909" s="471"/>
      <c r="AGL909" s="471"/>
      <c r="AGM909" s="471"/>
      <c r="AGN909" s="471"/>
      <c r="AGO909" s="471"/>
      <c r="AGP909" s="471"/>
      <c r="AGQ909" s="471"/>
      <c r="AGR909" s="471"/>
      <c r="AGS909" s="471"/>
      <c r="AGT909" s="471"/>
      <c r="AGU909" s="471"/>
      <c r="AGV909" s="471"/>
      <c r="AGW909" s="471"/>
      <c r="AGX909" s="471"/>
      <c r="AGY909" s="471"/>
      <c r="AGZ909" s="471"/>
      <c r="AHA909" s="471"/>
      <c r="AHB909" s="471"/>
      <c r="AHC909" s="471"/>
      <c r="AHD909" s="471"/>
      <c r="AHE909" s="471"/>
      <c r="AHF909" s="471"/>
      <c r="AHG909" s="471"/>
      <c r="AHH909" s="471"/>
      <c r="AHI909" s="471"/>
      <c r="AHJ909" s="471"/>
      <c r="AHK909" s="471"/>
      <c r="AHL909" s="471"/>
      <c r="AHM909" s="471"/>
      <c r="AHN909" s="471"/>
      <c r="AHO909" s="471"/>
      <c r="AHP909" s="471"/>
      <c r="AHQ909" s="471"/>
      <c r="AHR909" s="471"/>
      <c r="AHS909" s="471"/>
      <c r="AHT909" s="471"/>
      <c r="AHU909" s="471"/>
      <c r="AHV909" s="471"/>
      <c r="AHW909" s="471"/>
      <c r="AHX909" s="471"/>
      <c r="AHY909" s="471"/>
      <c r="AHZ909" s="471"/>
      <c r="AIA909" s="471"/>
      <c r="AIB909" s="471"/>
      <c r="AIC909" s="471"/>
      <c r="AID909" s="471"/>
      <c r="AIE909" s="471"/>
      <c r="AIF909" s="471"/>
      <c r="AIG909" s="471"/>
      <c r="AIH909" s="471"/>
      <c r="AII909" s="471"/>
      <c r="AIJ909" s="471"/>
      <c r="AIK909" s="471"/>
      <c r="AIL909" s="471"/>
      <c r="AIM909" s="471"/>
      <c r="AIN909" s="471"/>
      <c r="AIO909" s="471"/>
      <c r="AIP909" s="471"/>
      <c r="AIQ909" s="471"/>
      <c r="AIR909" s="471"/>
      <c r="AIS909" s="471"/>
      <c r="AIT909" s="471"/>
      <c r="AIU909" s="471"/>
      <c r="AIV909" s="471"/>
      <c r="AIW909" s="471"/>
      <c r="AIX909" s="471"/>
      <c r="AIY909" s="471"/>
      <c r="AIZ909" s="471"/>
      <c r="AJA909" s="471"/>
      <c r="AJB909" s="471"/>
      <c r="AJC909" s="471"/>
      <c r="AJD909" s="471"/>
      <c r="AJE909" s="471"/>
      <c r="AJF909" s="471"/>
      <c r="AJG909" s="471"/>
      <c r="AJH909" s="471"/>
      <c r="AJI909" s="471"/>
      <c r="AJJ909" s="471"/>
      <c r="AJK909" s="471"/>
      <c r="AJL909" s="471"/>
      <c r="AJM909" s="471"/>
      <c r="AJN909" s="471"/>
      <c r="AJO909" s="471"/>
      <c r="AJP909" s="471"/>
      <c r="AJQ909" s="471"/>
      <c r="AJR909" s="471"/>
      <c r="AJS909" s="471"/>
      <c r="AJT909" s="471"/>
      <c r="AJU909" s="471"/>
      <c r="AJV909" s="471"/>
      <c r="AJW909" s="471"/>
      <c r="AJX909" s="471"/>
      <c r="AJY909" s="471"/>
      <c r="AJZ909" s="471"/>
      <c r="AKA909" s="471"/>
      <c r="AKB909" s="471"/>
      <c r="AKC909" s="471"/>
      <c r="AKD909" s="471"/>
      <c r="AKE909" s="471"/>
      <c r="AKF909" s="471"/>
      <c r="AKG909" s="471"/>
      <c r="AKH909" s="471"/>
      <c r="AKI909" s="471"/>
      <c r="AKJ909" s="471"/>
      <c r="AKK909" s="471"/>
      <c r="AKL909" s="471"/>
      <c r="AKM909" s="471"/>
      <c r="AKN909" s="471"/>
      <c r="AKO909" s="471"/>
      <c r="AKP909" s="471"/>
      <c r="AKQ909" s="471"/>
      <c r="AKR909" s="471"/>
      <c r="AKS909" s="471"/>
      <c r="AKT909" s="471"/>
      <c r="AKU909" s="471"/>
      <c r="AKV909" s="471"/>
      <c r="AKW909" s="471"/>
      <c r="AKX909" s="471"/>
      <c r="AKY909" s="471"/>
      <c r="AKZ909" s="471"/>
      <c r="ALA909" s="471"/>
      <c r="ALB909" s="471"/>
      <c r="ALC909" s="471"/>
      <c r="ALD909" s="471"/>
      <c r="ALE909" s="471"/>
      <c r="ALF909" s="471"/>
      <c r="ALG909" s="471"/>
      <c r="ALH909" s="471"/>
      <c r="ALI909" s="471"/>
      <c r="ALJ909" s="471"/>
      <c r="ALK909" s="471"/>
      <c r="ALL909" s="471"/>
      <c r="ALM909" s="471"/>
      <c r="ALN909" s="471"/>
      <c r="ALO909" s="471"/>
      <c r="ALP909" s="471"/>
      <c r="ALQ909" s="471"/>
      <c r="ALR909" s="471"/>
      <c r="ALS909" s="471"/>
      <c r="ALT909" s="471"/>
      <c r="ALU909" s="471"/>
      <c r="ALV909" s="471"/>
      <c r="ALW909" s="471"/>
      <c r="ALX909" s="471"/>
      <c r="ALY909" s="471"/>
      <c r="ALZ909" s="471"/>
      <c r="AMA909" s="471"/>
      <c r="AMB909" s="471"/>
      <c r="AMC909" s="471"/>
      <c r="AMD909" s="471"/>
      <c r="AME909" s="471"/>
      <c r="AMF909" s="471"/>
      <c r="AMG909" s="471"/>
      <c r="AMH909" s="471"/>
      <c r="AMI909" s="471"/>
      <c r="AMJ909" s="471"/>
      <c r="AMK909" s="471"/>
      <c r="AML909" s="471"/>
      <c r="AMM909" s="471"/>
      <c r="AMN909" s="471"/>
      <c r="AMO909" s="471"/>
      <c r="AMP909" s="471"/>
      <c r="AMQ909" s="471"/>
      <c r="AMR909" s="471"/>
      <c r="AMS909" s="471"/>
      <c r="AMT909" s="471"/>
      <c r="AMU909" s="471"/>
      <c r="AMV909" s="471"/>
      <c r="AMW909" s="471"/>
      <c r="AMX909" s="471"/>
      <c r="AMY909" s="471"/>
      <c r="AMZ909" s="471"/>
      <c r="ANA909" s="471"/>
      <c r="ANB909" s="471"/>
      <c r="ANC909" s="471"/>
      <c r="AND909" s="471"/>
      <c r="ANE909" s="471"/>
      <c r="ANF909" s="471"/>
      <c r="ANG909" s="471"/>
      <c r="ANH909" s="471"/>
      <c r="ANI909" s="471"/>
      <c r="ANJ909" s="471"/>
      <c r="ANK909" s="471"/>
      <c r="ANL909" s="471"/>
      <c r="ANM909" s="471"/>
      <c r="ANN909" s="471"/>
      <c r="ANO909" s="471"/>
      <c r="ANP909" s="471"/>
      <c r="ANQ909" s="471"/>
      <c r="ANR909" s="471"/>
      <c r="ANS909" s="471"/>
      <c r="ANT909" s="471"/>
      <c r="ANU909" s="471"/>
      <c r="ANV909" s="471"/>
      <c r="ANW909" s="471"/>
      <c r="ANX909" s="471"/>
      <c r="ANY909" s="471"/>
      <c r="ANZ909" s="471"/>
      <c r="AOA909" s="471"/>
      <c r="AOB909" s="471"/>
      <c r="AOC909" s="471"/>
      <c r="AOD909" s="471"/>
      <c r="AOE909" s="471"/>
      <c r="AOF909" s="471"/>
      <c r="AOG909" s="471"/>
      <c r="AOH909" s="471"/>
      <c r="AOI909" s="471"/>
      <c r="AOJ909" s="471"/>
      <c r="AOK909" s="471"/>
      <c r="AOL909" s="471"/>
      <c r="AOM909" s="471"/>
      <c r="AON909" s="471"/>
      <c r="AOO909" s="471"/>
      <c r="AOP909" s="471"/>
      <c r="AOQ909" s="471"/>
      <c r="AOR909" s="471"/>
      <c r="AOS909" s="471"/>
      <c r="AOT909" s="471"/>
      <c r="AOU909" s="471"/>
      <c r="AOV909" s="471"/>
      <c r="AOW909" s="471"/>
      <c r="AOX909" s="471"/>
      <c r="AOY909" s="471"/>
      <c r="AOZ909" s="471"/>
      <c r="APA909" s="471"/>
      <c r="APB909" s="471"/>
      <c r="APC909" s="471"/>
      <c r="APD909" s="471"/>
      <c r="APE909" s="471"/>
      <c r="APF909" s="471"/>
      <c r="APG909" s="471"/>
      <c r="APH909" s="471"/>
      <c r="API909" s="471"/>
      <c r="APJ909" s="471"/>
      <c r="APK909" s="471"/>
      <c r="APL909" s="471"/>
      <c r="APM909" s="471"/>
      <c r="APN909" s="471"/>
      <c r="APO909" s="471"/>
      <c r="APP909" s="471"/>
      <c r="APQ909" s="471"/>
      <c r="APR909" s="471"/>
      <c r="APS909" s="471"/>
      <c r="APT909" s="471"/>
      <c r="APU909" s="471"/>
      <c r="APV909" s="471"/>
      <c r="APW909" s="471"/>
      <c r="APX909" s="471"/>
      <c r="APY909" s="471"/>
      <c r="APZ909" s="471"/>
      <c r="AQA909" s="471"/>
      <c r="AQB909" s="471"/>
      <c r="AQC909" s="471"/>
      <c r="AQD909" s="471"/>
      <c r="AQE909" s="471"/>
      <c r="AQF909" s="471"/>
      <c r="AQG909" s="471"/>
      <c r="AQH909" s="471"/>
      <c r="AQI909" s="471"/>
      <c r="AQJ909" s="471"/>
      <c r="AQK909" s="471"/>
      <c r="AQL909" s="471"/>
      <c r="AQM909" s="471"/>
      <c r="AQN909" s="471"/>
      <c r="AQO909" s="471"/>
      <c r="AQP909" s="471"/>
      <c r="AQQ909" s="471"/>
      <c r="AQR909" s="471"/>
      <c r="AQS909" s="471"/>
      <c r="AQT909" s="471"/>
      <c r="AQU909" s="471"/>
      <c r="AQV909" s="471"/>
      <c r="AQW909" s="471"/>
      <c r="AQX909" s="471"/>
      <c r="AQY909" s="471"/>
      <c r="AQZ909" s="471"/>
      <c r="ARA909" s="471"/>
      <c r="ARB909" s="471"/>
      <c r="ARC909" s="471"/>
      <c r="ARD909" s="471"/>
      <c r="ARE909" s="471"/>
      <c r="ARF909" s="471"/>
      <c r="ARG909" s="471"/>
      <c r="ARH909" s="471"/>
      <c r="ARI909" s="471"/>
      <c r="ARJ909" s="471"/>
      <c r="ARK909" s="471"/>
      <c r="ARL909" s="471"/>
      <c r="ARM909" s="471"/>
      <c r="ARN909" s="471"/>
      <c r="ARO909" s="471"/>
      <c r="ARP909" s="471"/>
      <c r="ARQ909" s="471"/>
      <c r="ARR909" s="471"/>
      <c r="ARS909" s="471"/>
      <c r="ART909" s="471"/>
      <c r="ARU909" s="471"/>
      <c r="ARV909" s="471"/>
      <c r="ARW909" s="471"/>
      <c r="ARX909" s="471"/>
      <c r="ARY909" s="471"/>
      <c r="ARZ909" s="471"/>
      <c r="ASA909" s="471"/>
      <c r="ASB909" s="471"/>
      <c r="ASC909" s="471"/>
      <c r="ASD909" s="471"/>
      <c r="ASE909" s="471"/>
      <c r="ASF909" s="471"/>
      <c r="ASG909" s="471"/>
      <c r="ASH909" s="471"/>
      <c r="ASI909" s="471"/>
      <c r="ASJ909" s="471"/>
      <c r="ASK909" s="471"/>
      <c r="ASL909" s="471"/>
      <c r="ASM909" s="471"/>
      <c r="ASN909" s="471"/>
      <c r="ASO909" s="471"/>
      <c r="ASP909" s="471"/>
      <c r="ASQ909" s="471"/>
      <c r="ASR909" s="471"/>
      <c r="ASS909" s="471"/>
      <c r="AST909" s="471"/>
      <c r="ASU909" s="471"/>
      <c r="ASV909" s="471"/>
      <c r="ASW909" s="471"/>
      <c r="ASX909" s="471"/>
      <c r="ASY909" s="471"/>
      <c r="ASZ909" s="471"/>
      <c r="ATA909" s="471"/>
      <c r="ATB909" s="471"/>
      <c r="ATC909" s="471"/>
      <c r="ATD909" s="471"/>
      <c r="ATE909" s="471"/>
      <c r="ATF909" s="471"/>
      <c r="ATG909" s="471"/>
      <c r="ATH909" s="471"/>
      <c r="ATI909" s="471"/>
      <c r="ATJ909" s="471"/>
      <c r="ATK909" s="471"/>
      <c r="ATL909" s="471"/>
      <c r="ATM909" s="471"/>
      <c r="ATN909" s="471"/>
      <c r="ATO909" s="471"/>
      <c r="ATP909" s="471"/>
      <c r="ATQ909" s="471"/>
      <c r="ATR909" s="471"/>
      <c r="ATS909" s="471"/>
      <c r="ATT909" s="471"/>
      <c r="ATU909" s="471"/>
      <c r="ATV909" s="471"/>
      <c r="ATW909" s="471"/>
      <c r="ATX909" s="471"/>
      <c r="ATY909" s="471"/>
      <c r="ATZ909" s="471"/>
      <c r="AUA909" s="471"/>
      <c r="AUB909" s="471"/>
      <c r="AUC909" s="471"/>
      <c r="AUD909" s="471"/>
      <c r="AUE909" s="471"/>
      <c r="AUF909" s="471"/>
      <c r="AUG909" s="471"/>
      <c r="AUH909" s="471"/>
      <c r="AUI909" s="471"/>
      <c r="AUJ909" s="471"/>
      <c r="AUK909" s="471"/>
      <c r="AUL909" s="471"/>
      <c r="AUM909" s="471"/>
      <c r="AUN909" s="471"/>
      <c r="AUO909" s="471"/>
      <c r="AUP909" s="471"/>
      <c r="AUQ909" s="471"/>
      <c r="AUR909" s="471"/>
      <c r="AUS909" s="471"/>
      <c r="AUT909" s="471"/>
      <c r="AUU909" s="471"/>
      <c r="AUV909" s="471"/>
      <c r="AUW909" s="471"/>
      <c r="AUX909" s="471"/>
      <c r="AUY909" s="471"/>
      <c r="AUZ909" s="471"/>
      <c r="AVA909" s="471"/>
      <c r="AVB909" s="471"/>
      <c r="AVC909" s="471"/>
      <c r="AVD909" s="471"/>
      <c r="AVE909" s="471"/>
      <c r="AVF909" s="471"/>
      <c r="AVG909" s="471"/>
      <c r="AVH909" s="471"/>
      <c r="AVI909" s="471"/>
      <c r="AVJ909" s="471"/>
      <c r="AVK909" s="471"/>
    </row>
    <row r="910" spans="1:1259" s="511" customFormat="1" ht="15" customHeight="1">
      <c r="A910" s="472"/>
      <c r="B910" s="472"/>
      <c r="C910" s="472"/>
      <c r="D910" s="512" t="s">
        <v>3186</v>
      </c>
      <c r="E910" s="501"/>
      <c r="F910" s="501"/>
      <c r="G910" s="501">
        <v>2022</v>
      </c>
      <c r="H910" s="501"/>
      <c r="I910" s="496" t="s">
        <v>1676</v>
      </c>
      <c r="J910" s="502"/>
      <c r="K910" s="503" t="s">
        <v>5771</v>
      </c>
      <c r="L910" s="501" t="s">
        <v>3297</v>
      </c>
      <c r="M910" s="504">
        <v>44671</v>
      </c>
      <c r="N910" s="504">
        <v>44797</v>
      </c>
      <c r="O910" s="504"/>
      <c r="P910" s="502"/>
      <c r="Q910" s="502"/>
      <c r="R910" s="502"/>
      <c r="S910" s="501" t="s">
        <v>2379</v>
      </c>
      <c r="T910" s="501">
        <v>60</v>
      </c>
      <c r="U910" s="501"/>
      <c r="V910" s="501" t="s">
        <v>973</v>
      </c>
      <c r="W910" s="501">
        <v>400</v>
      </c>
      <c r="X910" s="505">
        <v>2496</v>
      </c>
      <c r="Y910" s="491">
        <f t="shared" si="130"/>
        <v>998400</v>
      </c>
      <c r="Z910" s="506">
        <v>0.6</v>
      </c>
      <c r="AA910" s="492">
        <f t="shared" si="134"/>
        <v>599040</v>
      </c>
      <c r="AB910" s="480"/>
      <c r="AC910" s="481">
        <f t="shared" si="131"/>
        <v>0</v>
      </c>
      <c r="AD910" s="508"/>
      <c r="AE910" s="507">
        <v>22838.400000000001</v>
      </c>
      <c r="AF910" s="493">
        <f t="shared" si="132"/>
        <v>621878.4</v>
      </c>
      <c r="AG910" s="501" t="s">
        <v>47</v>
      </c>
      <c r="AH910" s="501"/>
      <c r="AI910" s="503">
        <v>60</v>
      </c>
      <c r="AJ910" s="501" t="s">
        <v>1790</v>
      </c>
      <c r="AK910" s="509" t="s">
        <v>50</v>
      </c>
      <c r="AL910" s="501">
        <v>95826</v>
      </c>
      <c r="AM910" s="501" t="s">
        <v>52</v>
      </c>
      <c r="AN910" s="501"/>
      <c r="AO910" s="501"/>
      <c r="AP910" s="510"/>
      <c r="AQ910" s="510" t="s">
        <v>37</v>
      </c>
      <c r="AR910" s="510"/>
      <c r="AS910" s="495"/>
      <c r="AT910" s="495"/>
      <c r="AU910" s="495"/>
      <c r="AV910" s="506">
        <f t="shared" si="133"/>
        <v>0.48000000000000004</v>
      </c>
      <c r="AW910" s="471"/>
      <c r="AX910" s="471"/>
      <c r="AY910" s="471"/>
      <c r="AZ910" s="471"/>
      <c r="BA910" s="471"/>
      <c r="BB910" s="471"/>
      <c r="BC910" s="471"/>
      <c r="BD910" s="471"/>
      <c r="BE910" s="471"/>
      <c r="BF910" s="471"/>
      <c r="BG910" s="471"/>
      <c r="BH910" s="471"/>
      <c r="BI910" s="471"/>
      <c r="BJ910" s="471"/>
      <c r="BK910" s="471"/>
      <c r="BL910" s="471"/>
      <c r="BM910" s="471"/>
      <c r="BN910" s="471"/>
      <c r="BO910" s="471"/>
      <c r="BP910" s="471"/>
      <c r="BQ910" s="471"/>
      <c r="BR910" s="471"/>
      <c r="BS910" s="471"/>
      <c r="BT910" s="471"/>
      <c r="BU910" s="471"/>
      <c r="BV910" s="471"/>
      <c r="BW910" s="471"/>
      <c r="BX910" s="471"/>
      <c r="BY910" s="471"/>
      <c r="BZ910" s="471"/>
      <c r="CA910" s="471"/>
      <c r="CB910" s="471"/>
      <c r="CC910" s="471"/>
      <c r="CD910" s="471"/>
      <c r="CE910" s="471"/>
      <c r="CF910" s="471"/>
      <c r="CG910" s="471"/>
      <c r="CH910" s="471"/>
      <c r="CI910" s="471"/>
      <c r="CJ910" s="471"/>
      <c r="CK910" s="471"/>
      <c r="CL910" s="471"/>
      <c r="CM910" s="471"/>
      <c r="CN910" s="471"/>
      <c r="CO910" s="471"/>
      <c r="CP910" s="471"/>
      <c r="CQ910" s="471"/>
      <c r="CR910" s="471"/>
      <c r="CS910" s="471"/>
      <c r="CT910" s="471"/>
      <c r="CU910" s="471"/>
      <c r="CV910" s="471"/>
      <c r="CW910" s="471"/>
      <c r="CX910" s="471"/>
      <c r="CY910" s="471"/>
      <c r="CZ910" s="471"/>
      <c r="DA910" s="471"/>
      <c r="DB910" s="471"/>
      <c r="DC910" s="471"/>
      <c r="DD910" s="471"/>
      <c r="DE910" s="471"/>
      <c r="DF910" s="471"/>
      <c r="DG910" s="471"/>
      <c r="DH910" s="471"/>
      <c r="DI910" s="471"/>
      <c r="DJ910" s="471"/>
      <c r="DK910" s="471"/>
      <c r="DL910" s="471"/>
      <c r="DM910" s="471"/>
      <c r="DN910" s="471"/>
      <c r="DO910" s="471"/>
      <c r="DP910" s="471"/>
      <c r="DQ910" s="471"/>
      <c r="DR910" s="471"/>
      <c r="DS910" s="471"/>
      <c r="DT910" s="471"/>
      <c r="DU910" s="471"/>
      <c r="DV910" s="471"/>
      <c r="DW910" s="471"/>
      <c r="DX910" s="471"/>
      <c r="DY910" s="471"/>
      <c r="DZ910" s="471"/>
      <c r="EA910" s="471"/>
      <c r="EB910" s="471"/>
      <c r="EC910" s="471"/>
      <c r="ED910" s="471"/>
      <c r="EE910" s="471"/>
      <c r="EF910" s="471"/>
      <c r="EG910" s="471"/>
      <c r="EH910" s="471"/>
      <c r="EI910" s="471"/>
      <c r="EJ910" s="471"/>
      <c r="EK910" s="471"/>
      <c r="EL910" s="471"/>
      <c r="EM910" s="471"/>
      <c r="EN910" s="471"/>
      <c r="EO910" s="471"/>
      <c r="EP910" s="471"/>
      <c r="EQ910" s="471"/>
      <c r="ER910" s="471"/>
      <c r="ES910" s="471"/>
      <c r="ET910" s="471"/>
      <c r="EU910" s="471"/>
      <c r="EV910" s="471"/>
      <c r="EW910" s="471"/>
      <c r="EX910" s="471"/>
      <c r="EY910" s="471"/>
      <c r="EZ910" s="471"/>
      <c r="FA910" s="471"/>
      <c r="FB910" s="471"/>
      <c r="FC910" s="471"/>
      <c r="FD910" s="471"/>
      <c r="FE910" s="471"/>
      <c r="FF910" s="471"/>
      <c r="FG910" s="471"/>
      <c r="FH910" s="471"/>
      <c r="FI910" s="471"/>
      <c r="FJ910" s="471"/>
      <c r="FK910" s="471"/>
      <c r="FL910" s="471"/>
      <c r="FM910" s="471"/>
      <c r="FN910" s="471"/>
      <c r="FO910" s="471"/>
      <c r="FP910" s="471"/>
      <c r="FQ910" s="471"/>
      <c r="FR910" s="471"/>
      <c r="FS910" s="471"/>
      <c r="FT910" s="471"/>
      <c r="FU910" s="471"/>
      <c r="FV910" s="471"/>
      <c r="FW910" s="471"/>
      <c r="FX910" s="471"/>
      <c r="FY910" s="471"/>
      <c r="FZ910" s="471"/>
      <c r="GA910" s="471"/>
      <c r="GB910" s="471"/>
      <c r="GC910" s="471"/>
      <c r="GD910" s="471"/>
      <c r="GE910" s="471"/>
      <c r="GF910" s="471"/>
      <c r="GG910" s="471"/>
      <c r="GH910" s="471"/>
      <c r="GI910" s="471"/>
      <c r="GJ910" s="471"/>
      <c r="GK910" s="471"/>
      <c r="GL910" s="471"/>
      <c r="GM910" s="471"/>
      <c r="GN910" s="471"/>
      <c r="GO910" s="471"/>
      <c r="GP910" s="471"/>
      <c r="GQ910" s="471"/>
      <c r="GR910" s="471"/>
      <c r="GS910" s="471"/>
      <c r="GT910" s="471"/>
      <c r="GU910" s="471"/>
      <c r="GV910" s="471"/>
      <c r="GW910" s="471"/>
      <c r="GX910" s="471"/>
      <c r="GY910" s="471"/>
      <c r="GZ910" s="471"/>
      <c r="HA910" s="471"/>
      <c r="HB910" s="471"/>
      <c r="HC910" s="471"/>
      <c r="HD910" s="471"/>
      <c r="HE910" s="471"/>
      <c r="HF910" s="471"/>
      <c r="HG910" s="471"/>
      <c r="HH910" s="471"/>
      <c r="HI910" s="471"/>
      <c r="HJ910" s="471"/>
      <c r="HK910" s="471"/>
      <c r="HL910" s="471"/>
      <c r="HM910" s="471"/>
      <c r="HN910" s="471"/>
      <c r="HO910" s="471"/>
      <c r="HP910" s="471"/>
      <c r="HQ910" s="471"/>
      <c r="HR910" s="471"/>
      <c r="HS910" s="471"/>
      <c r="HT910" s="471"/>
      <c r="HU910" s="471"/>
      <c r="HV910" s="471"/>
      <c r="HW910" s="471"/>
      <c r="HX910" s="471"/>
      <c r="HY910" s="471"/>
      <c r="HZ910" s="471"/>
      <c r="IA910" s="471"/>
      <c r="IB910" s="471"/>
      <c r="IC910" s="471"/>
      <c r="ID910" s="471"/>
      <c r="IE910" s="471"/>
      <c r="IF910" s="471"/>
      <c r="IG910" s="471"/>
      <c r="IH910" s="471"/>
      <c r="II910" s="471"/>
      <c r="IJ910" s="471"/>
      <c r="IK910" s="471"/>
      <c r="IL910" s="471"/>
      <c r="IM910" s="471"/>
      <c r="IN910" s="471"/>
      <c r="IO910" s="471"/>
      <c r="IP910" s="471"/>
      <c r="IQ910" s="471"/>
      <c r="IR910" s="471"/>
      <c r="IS910" s="471"/>
      <c r="IT910" s="471"/>
      <c r="IU910" s="471"/>
      <c r="IV910" s="471"/>
      <c r="IW910" s="471"/>
      <c r="IX910" s="471"/>
      <c r="IY910" s="471"/>
      <c r="IZ910" s="471"/>
      <c r="JA910" s="471"/>
      <c r="JB910" s="471"/>
      <c r="JC910" s="471"/>
      <c r="JD910" s="471"/>
      <c r="JE910" s="471"/>
      <c r="JF910" s="471"/>
      <c r="JG910" s="471"/>
      <c r="JH910" s="471"/>
      <c r="JI910" s="471"/>
      <c r="JJ910" s="471"/>
      <c r="JK910" s="471"/>
      <c r="JL910" s="471"/>
      <c r="JM910" s="471"/>
      <c r="JN910" s="471"/>
      <c r="JO910" s="471"/>
      <c r="JP910" s="471"/>
      <c r="JQ910" s="471"/>
      <c r="JR910" s="471"/>
      <c r="JS910" s="471"/>
      <c r="JT910" s="471"/>
      <c r="JU910" s="471"/>
      <c r="JV910" s="471"/>
      <c r="JW910" s="471"/>
      <c r="JX910" s="471"/>
      <c r="JY910" s="471"/>
      <c r="JZ910" s="471"/>
      <c r="KA910" s="471"/>
      <c r="KB910" s="471"/>
      <c r="KC910" s="471"/>
      <c r="KD910" s="471"/>
      <c r="KE910" s="471"/>
      <c r="KF910" s="471"/>
      <c r="KG910" s="471"/>
      <c r="KH910" s="471"/>
      <c r="KI910" s="471"/>
      <c r="KJ910" s="471"/>
      <c r="KK910" s="471"/>
      <c r="KL910" s="471"/>
      <c r="KM910" s="471"/>
      <c r="KN910" s="471"/>
      <c r="KO910" s="471"/>
      <c r="KP910" s="471"/>
      <c r="KQ910" s="471"/>
      <c r="KR910" s="471"/>
      <c r="KS910" s="471"/>
      <c r="KT910" s="471"/>
      <c r="KU910" s="471"/>
      <c r="KV910" s="471"/>
      <c r="KW910" s="471"/>
      <c r="KX910" s="471"/>
      <c r="KY910" s="471"/>
      <c r="KZ910" s="471"/>
      <c r="LA910" s="471"/>
      <c r="LB910" s="471"/>
      <c r="LC910" s="471"/>
      <c r="LD910" s="471"/>
      <c r="LE910" s="471"/>
      <c r="LF910" s="471"/>
      <c r="LG910" s="471"/>
      <c r="LH910" s="471"/>
      <c r="LI910" s="471"/>
      <c r="LJ910" s="471"/>
      <c r="LK910" s="471"/>
      <c r="LL910" s="471"/>
      <c r="LM910" s="471"/>
      <c r="LN910" s="471"/>
      <c r="LO910" s="471"/>
      <c r="LP910" s="471"/>
      <c r="LQ910" s="471"/>
      <c r="LR910" s="471"/>
      <c r="LS910" s="471"/>
      <c r="LT910" s="471"/>
      <c r="LU910" s="471"/>
      <c r="LV910" s="471"/>
      <c r="LW910" s="471"/>
      <c r="LX910" s="471"/>
      <c r="LY910" s="471"/>
      <c r="LZ910" s="471"/>
      <c r="MA910" s="471"/>
      <c r="MB910" s="471"/>
      <c r="MC910" s="471"/>
      <c r="MD910" s="471"/>
      <c r="ME910" s="471"/>
      <c r="MF910" s="471"/>
      <c r="MG910" s="471"/>
      <c r="MH910" s="471"/>
      <c r="MI910" s="471"/>
      <c r="MJ910" s="471"/>
      <c r="MK910" s="471"/>
      <c r="ML910" s="471"/>
      <c r="MM910" s="471"/>
      <c r="MN910" s="471"/>
      <c r="MO910" s="471"/>
      <c r="MP910" s="471"/>
      <c r="MQ910" s="471"/>
      <c r="MR910" s="471"/>
      <c r="MS910" s="471"/>
      <c r="MT910" s="471"/>
      <c r="MU910" s="471"/>
      <c r="MV910" s="471"/>
      <c r="MW910" s="471"/>
      <c r="MX910" s="471"/>
      <c r="MY910" s="471"/>
      <c r="MZ910" s="471"/>
      <c r="NA910" s="471"/>
      <c r="NB910" s="471"/>
      <c r="NC910" s="471"/>
      <c r="ND910" s="471"/>
      <c r="NE910" s="471"/>
      <c r="NF910" s="471"/>
      <c r="NG910" s="471"/>
      <c r="NH910" s="471"/>
      <c r="NI910" s="471"/>
      <c r="NJ910" s="471"/>
      <c r="NK910" s="471"/>
      <c r="NL910" s="471"/>
      <c r="NM910" s="471"/>
      <c r="NN910" s="471"/>
      <c r="NO910" s="471"/>
      <c r="NP910" s="471"/>
      <c r="NQ910" s="471"/>
      <c r="NR910" s="471"/>
      <c r="NS910" s="471"/>
      <c r="NT910" s="471"/>
      <c r="NU910" s="471"/>
      <c r="NV910" s="471"/>
      <c r="NW910" s="471"/>
      <c r="NX910" s="471"/>
      <c r="NY910" s="471"/>
      <c r="NZ910" s="471"/>
      <c r="OA910" s="471"/>
      <c r="OB910" s="471"/>
      <c r="OC910" s="471"/>
      <c r="OD910" s="471"/>
      <c r="OE910" s="471"/>
      <c r="OF910" s="471"/>
      <c r="OG910" s="471"/>
      <c r="OH910" s="471"/>
      <c r="OI910" s="471"/>
      <c r="OJ910" s="471"/>
      <c r="OK910" s="471"/>
      <c r="OL910" s="471"/>
      <c r="OM910" s="471"/>
      <c r="ON910" s="471"/>
      <c r="OO910" s="471"/>
      <c r="OP910" s="471"/>
      <c r="OQ910" s="471"/>
      <c r="OR910" s="471"/>
      <c r="OS910" s="471"/>
      <c r="OT910" s="471"/>
      <c r="OU910" s="471"/>
      <c r="OV910" s="471"/>
      <c r="OW910" s="471"/>
      <c r="OX910" s="471"/>
      <c r="OY910" s="471"/>
      <c r="OZ910" s="471"/>
      <c r="PA910" s="471"/>
      <c r="PB910" s="471"/>
      <c r="PC910" s="471"/>
      <c r="PD910" s="471"/>
      <c r="PE910" s="471"/>
      <c r="PF910" s="471"/>
      <c r="PG910" s="471"/>
      <c r="PH910" s="471"/>
      <c r="PI910" s="471"/>
      <c r="PJ910" s="471"/>
      <c r="PK910" s="471"/>
      <c r="PL910" s="471"/>
      <c r="PM910" s="471"/>
      <c r="PN910" s="471"/>
      <c r="PO910" s="471"/>
      <c r="PP910" s="471"/>
      <c r="PQ910" s="471"/>
      <c r="PR910" s="471"/>
      <c r="PS910" s="471"/>
      <c r="PT910" s="471"/>
      <c r="PU910" s="471"/>
      <c r="PV910" s="471"/>
      <c r="PW910" s="471"/>
      <c r="PX910" s="471"/>
      <c r="PY910" s="471"/>
      <c r="PZ910" s="471"/>
      <c r="QA910" s="471"/>
      <c r="QB910" s="471"/>
      <c r="QC910" s="471"/>
      <c r="QD910" s="471"/>
      <c r="QE910" s="471"/>
      <c r="QF910" s="471"/>
      <c r="QG910" s="471"/>
      <c r="QH910" s="471"/>
      <c r="QI910" s="471"/>
      <c r="QJ910" s="471"/>
      <c r="QK910" s="471"/>
      <c r="QL910" s="471"/>
      <c r="QM910" s="471"/>
      <c r="QN910" s="471"/>
      <c r="QO910" s="471"/>
      <c r="QP910" s="471"/>
      <c r="QQ910" s="471"/>
      <c r="QR910" s="471"/>
      <c r="QS910" s="471"/>
      <c r="QT910" s="471"/>
      <c r="QU910" s="471"/>
      <c r="QV910" s="471"/>
      <c r="QW910" s="471"/>
      <c r="QX910" s="471"/>
      <c r="QY910" s="471"/>
      <c r="QZ910" s="471"/>
      <c r="RA910" s="471"/>
      <c r="RB910" s="471"/>
      <c r="RC910" s="471"/>
      <c r="RD910" s="471"/>
      <c r="RE910" s="471"/>
      <c r="RF910" s="471"/>
      <c r="RG910" s="471"/>
      <c r="RH910" s="471"/>
      <c r="RI910" s="471"/>
      <c r="RJ910" s="471"/>
      <c r="RK910" s="471"/>
      <c r="RL910" s="471"/>
      <c r="RM910" s="471"/>
      <c r="RN910" s="471"/>
      <c r="RO910" s="471"/>
      <c r="RP910" s="471"/>
      <c r="RQ910" s="471"/>
      <c r="RR910" s="471"/>
      <c r="RS910" s="471"/>
      <c r="RT910" s="471"/>
      <c r="RU910" s="471"/>
      <c r="RV910" s="471"/>
      <c r="RW910" s="471"/>
      <c r="RX910" s="471"/>
      <c r="RY910" s="471"/>
      <c r="RZ910" s="471"/>
      <c r="SA910" s="471"/>
      <c r="SB910" s="471"/>
      <c r="SC910" s="471"/>
      <c r="SD910" s="471"/>
      <c r="SE910" s="471"/>
      <c r="SF910" s="471"/>
      <c r="SG910" s="471"/>
      <c r="SH910" s="471"/>
      <c r="SI910" s="471"/>
      <c r="SJ910" s="471"/>
      <c r="SK910" s="471"/>
      <c r="SL910" s="471"/>
      <c r="SM910" s="471"/>
      <c r="SN910" s="471"/>
      <c r="SO910" s="471"/>
      <c r="SP910" s="471"/>
      <c r="SQ910" s="471"/>
      <c r="SR910" s="471"/>
      <c r="SS910" s="471"/>
      <c r="ST910" s="471"/>
      <c r="SU910" s="471"/>
      <c r="SV910" s="471"/>
      <c r="SW910" s="471"/>
      <c r="SX910" s="471"/>
      <c r="SY910" s="471"/>
      <c r="SZ910" s="471"/>
      <c r="TA910" s="471"/>
      <c r="TB910" s="471"/>
      <c r="TC910" s="471"/>
      <c r="TD910" s="471"/>
      <c r="TE910" s="471"/>
      <c r="TF910" s="471"/>
      <c r="TG910" s="471"/>
      <c r="TH910" s="471"/>
      <c r="TI910" s="471"/>
      <c r="TJ910" s="471"/>
      <c r="TK910" s="471"/>
      <c r="TL910" s="471"/>
      <c r="TM910" s="471"/>
      <c r="TN910" s="471"/>
      <c r="TO910" s="471"/>
      <c r="TP910" s="471"/>
      <c r="TQ910" s="471"/>
      <c r="TR910" s="471"/>
      <c r="TS910" s="471"/>
      <c r="TT910" s="471"/>
      <c r="TU910" s="471"/>
      <c r="TV910" s="471"/>
      <c r="TW910" s="471"/>
      <c r="TX910" s="471"/>
      <c r="TY910" s="471"/>
      <c r="TZ910" s="471"/>
      <c r="UA910" s="471"/>
      <c r="UB910" s="471"/>
      <c r="UC910" s="471"/>
      <c r="UD910" s="471"/>
      <c r="UE910" s="471"/>
      <c r="UF910" s="471"/>
      <c r="UG910" s="471"/>
      <c r="UH910" s="471"/>
      <c r="UI910" s="471"/>
      <c r="UJ910" s="471"/>
      <c r="UK910" s="471"/>
      <c r="UL910" s="471"/>
      <c r="UM910" s="471"/>
      <c r="UN910" s="471"/>
      <c r="UO910" s="471"/>
      <c r="UP910" s="471"/>
      <c r="UQ910" s="471"/>
      <c r="UR910" s="471"/>
      <c r="US910" s="471"/>
      <c r="UT910" s="471"/>
      <c r="UU910" s="471"/>
      <c r="UV910" s="471"/>
      <c r="UW910" s="471"/>
      <c r="UX910" s="471"/>
      <c r="UY910" s="471"/>
      <c r="UZ910" s="471"/>
      <c r="VA910" s="471"/>
      <c r="VB910" s="471"/>
      <c r="VC910" s="471"/>
      <c r="VD910" s="471"/>
      <c r="VE910" s="471"/>
      <c r="VF910" s="471"/>
      <c r="VG910" s="471"/>
      <c r="VH910" s="471"/>
      <c r="VI910" s="471"/>
      <c r="VJ910" s="471"/>
      <c r="VK910" s="471"/>
      <c r="VL910" s="471"/>
      <c r="VM910" s="471"/>
      <c r="VN910" s="471"/>
      <c r="VO910" s="471"/>
      <c r="VP910" s="471"/>
      <c r="VQ910" s="471"/>
      <c r="VR910" s="471"/>
      <c r="VS910" s="471"/>
      <c r="VT910" s="471"/>
      <c r="VU910" s="471"/>
      <c r="VV910" s="471"/>
      <c r="VW910" s="471"/>
      <c r="VX910" s="471"/>
      <c r="VY910" s="471"/>
      <c r="VZ910" s="471"/>
      <c r="WA910" s="471"/>
      <c r="WB910" s="471"/>
      <c r="WC910" s="471"/>
      <c r="WD910" s="471"/>
      <c r="WE910" s="471"/>
      <c r="WF910" s="471"/>
      <c r="WG910" s="471"/>
      <c r="WH910" s="471"/>
      <c r="WI910" s="471"/>
      <c r="WJ910" s="471"/>
      <c r="WK910" s="471"/>
      <c r="WL910" s="471"/>
      <c r="WM910" s="471"/>
      <c r="WN910" s="471"/>
      <c r="WO910" s="471"/>
      <c r="WP910" s="471"/>
      <c r="WQ910" s="471"/>
      <c r="WR910" s="471"/>
      <c r="WS910" s="471"/>
      <c r="WT910" s="471"/>
      <c r="WU910" s="471"/>
      <c r="WV910" s="471"/>
      <c r="WW910" s="471"/>
      <c r="WX910" s="471"/>
      <c r="WY910" s="471"/>
      <c r="WZ910" s="471"/>
      <c r="XA910" s="471"/>
      <c r="XB910" s="471"/>
      <c r="XC910" s="471"/>
      <c r="XD910" s="471"/>
      <c r="XE910" s="471"/>
      <c r="XF910" s="471"/>
      <c r="XG910" s="471"/>
      <c r="XH910" s="471"/>
      <c r="XI910" s="471"/>
      <c r="XJ910" s="471"/>
      <c r="XK910" s="471"/>
      <c r="XL910" s="471"/>
      <c r="XM910" s="471"/>
      <c r="XN910" s="471"/>
      <c r="XO910" s="471"/>
      <c r="XP910" s="471"/>
      <c r="XQ910" s="471"/>
      <c r="XR910" s="471"/>
      <c r="XS910" s="471"/>
      <c r="XT910" s="471"/>
      <c r="XU910" s="471"/>
      <c r="XV910" s="471"/>
      <c r="XW910" s="471"/>
      <c r="XX910" s="471"/>
      <c r="XY910" s="471"/>
      <c r="XZ910" s="471"/>
      <c r="YA910" s="471"/>
      <c r="YB910" s="471"/>
      <c r="YC910" s="471"/>
      <c r="YD910" s="471"/>
      <c r="YE910" s="471"/>
      <c r="YF910" s="471"/>
      <c r="YG910" s="471"/>
      <c r="YH910" s="471"/>
      <c r="YI910" s="471"/>
      <c r="YJ910" s="471"/>
      <c r="YK910" s="471"/>
      <c r="YL910" s="471"/>
      <c r="YM910" s="471"/>
      <c r="YN910" s="471"/>
      <c r="YO910" s="471"/>
      <c r="YP910" s="471"/>
      <c r="YQ910" s="471"/>
      <c r="YR910" s="471"/>
      <c r="YS910" s="471"/>
      <c r="YT910" s="471"/>
      <c r="YU910" s="471"/>
      <c r="YV910" s="471"/>
      <c r="YW910" s="471"/>
      <c r="YX910" s="471"/>
      <c r="YY910" s="471"/>
      <c r="YZ910" s="471"/>
      <c r="ZA910" s="471"/>
      <c r="ZB910" s="471"/>
      <c r="ZC910" s="471"/>
      <c r="ZD910" s="471"/>
      <c r="ZE910" s="471"/>
      <c r="ZF910" s="471"/>
      <c r="ZG910" s="471"/>
      <c r="ZH910" s="471"/>
      <c r="ZI910" s="471"/>
      <c r="ZJ910" s="471"/>
      <c r="ZK910" s="471"/>
      <c r="ZL910" s="471"/>
      <c r="ZM910" s="471"/>
      <c r="ZN910" s="471"/>
      <c r="ZO910" s="471"/>
      <c r="ZP910" s="471"/>
      <c r="ZQ910" s="471"/>
      <c r="ZR910" s="471"/>
      <c r="ZS910" s="471"/>
      <c r="ZT910" s="471"/>
      <c r="ZU910" s="471"/>
      <c r="ZV910" s="471"/>
      <c r="ZW910" s="471"/>
      <c r="ZX910" s="471"/>
      <c r="ZY910" s="471"/>
      <c r="ZZ910" s="471"/>
      <c r="AAA910" s="471"/>
      <c r="AAB910" s="471"/>
      <c r="AAC910" s="471"/>
      <c r="AAD910" s="471"/>
      <c r="AAE910" s="471"/>
      <c r="AAF910" s="471"/>
      <c r="AAG910" s="471"/>
      <c r="AAH910" s="471"/>
      <c r="AAI910" s="471"/>
      <c r="AAJ910" s="471"/>
      <c r="AAK910" s="471"/>
      <c r="AAL910" s="471"/>
      <c r="AAM910" s="471"/>
      <c r="AAN910" s="471"/>
      <c r="AAO910" s="471"/>
      <c r="AAP910" s="471"/>
      <c r="AAQ910" s="471"/>
      <c r="AAR910" s="471"/>
      <c r="AAS910" s="471"/>
      <c r="AAT910" s="471"/>
      <c r="AAU910" s="471"/>
      <c r="AAV910" s="471"/>
      <c r="AAW910" s="471"/>
      <c r="AAX910" s="471"/>
      <c r="AAY910" s="471"/>
      <c r="AAZ910" s="471"/>
      <c r="ABA910" s="471"/>
      <c r="ABB910" s="471"/>
      <c r="ABC910" s="471"/>
      <c r="ABD910" s="471"/>
      <c r="ABE910" s="471"/>
      <c r="ABF910" s="471"/>
      <c r="ABG910" s="471"/>
      <c r="ABH910" s="471"/>
      <c r="ABI910" s="471"/>
      <c r="ABJ910" s="471"/>
      <c r="ABK910" s="471"/>
      <c r="ABL910" s="471"/>
      <c r="ABM910" s="471"/>
      <c r="ABN910" s="471"/>
      <c r="ABO910" s="471"/>
      <c r="ABP910" s="471"/>
      <c r="ABQ910" s="471"/>
      <c r="ABR910" s="471"/>
      <c r="ABS910" s="471"/>
      <c r="ABT910" s="471"/>
      <c r="ABU910" s="471"/>
      <c r="ABV910" s="471"/>
      <c r="ABW910" s="471"/>
      <c r="ABX910" s="471"/>
      <c r="ABY910" s="471"/>
      <c r="ABZ910" s="471"/>
      <c r="ACA910" s="471"/>
      <c r="ACB910" s="471"/>
      <c r="ACC910" s="471"/>
      <c r="ACD910" s="471"/>
      <c r="ACE910" s="471"/>
      <c r="ACF910" s="471"/>
      <c r="ACG910" s="471"/>
      <c r="ACH910" s="471"/>
      <c r="ACI910" s="471"/>
      <c r="ACJ910" s="471"/>
      <c r="ACK910" s="471"/>
      <c r="ACL910" s="471"/>
      <c r="ACM910" s="471"/>
      <c r="ACN910" s="471"/>
      <c r="ACO910" s="471"/>
      <c r="ACP910" s="471"/>
      <c r="ACQ910" s="471"/>
      <c r="ACR910" s="471"/>
      <c r="ACS910" s="471"/>
      <c r="ACT910" s="471"/>
      <c r="ACU910" s="471"/>
      <c r="ACV910" s="471"/>
      <c r="ACW910" s="471"/>
      <c r="ACX910" s="471"/>
      <c r="ACY910" s="471"/>
      <c r="ACZ910" s="471"/>
      <c r="ADA910" s="471"/>
      <c r="ADB910" s="471"/>
      <c r="ADC910" s="471"/>
      <c r="ADD910" s="471"/>
      <c r="ADE910" s="471"/>
      <c r="ADF910" s="471"/>
      <c r="ADG910" s="471"/>
      <c r="ADH910" s="471"/>
      <c r="ADI910" s="471"/>
      <c r="ADJ910" s="471"/>
      <c r="ADK910" s="471"/>
      <c r="ADL910" s="471"/>
      <c r="ADM910" s="471"/>
      <c r="ADN910" s="471"/>
      <c r="ADO910" s="471"/>
      <c r="ADP910" s="471"/>
      <c r="ADQ910" s="471"/>
      <c r="ADR910" s="471"/>
      <c r="ADS910" s="471"/>
      <c r="ADT910" s="471"/>
      <c r="ADU910" s="471"/>
      <c r="ADV910" s="471"/>
      <c r="ADW910" s="471"/>
      <c r="ADX910" s="471"/>
      <c r="ADY910" s="471"/>
      <c r="ADZ910" s="471"/>
      <c r="AEA910" s="471"/>
      <c r="AEB910" s="471"/>
      <c r="AEC910" s="471"/>
      <c r="AED910" s="471"/>
      <c r="AEE910" s="471"/>
      <c r="AEF910" s="471"/>
      <c r="AEG910" s="471"/>
      <c r="AEH910" s="471"/>
      <c r="AEI910" s="471"/>
      <c r="AEJ910" s="471"/>
      <c r="AEK910" s="471"/>
      <c r="AEL910" s="471"/>
      <c r="AEM910" s="471"/>
      <c r="AEN910" s="471"/>
      <c r="AEO910" s="471"/>
      <c r="AEP910" s="471"/>
      <c r="AEQ910" s="471"/>
      <c r="AER910" s="471"/>
      <c r="AES910" s="471"/>
      <c r="AET910" s="471"/>
      <c r="AEU910" s="471"/>
      <c r="AEV910" s="471"/>
      <c r="AEW910" s="471"/>
      <c r="AEX910" s="471"/>
      <c r="AEY910" s="471"/>
      <c r="AEZ910" s="471"/>
      <c r="AFA910" s="471"/>
      <c r="AFB910" s="471"/>
      <c r="AFC910" s="471"/>
      <c r="AFD910" s="471"/>
      <c r="AFE910" s="471"/>
      <c r="AFF910" s="471"/>
      <c r="AFG910" s="471"/>
      <c r="AFH910" s="471"/>
      <c r="AFI910" s="471"/>
      <c r="AFJ910" s="471"/>
      <c r="AFK910" s="471"/>
      <c r="AFL910" s="471"/>
      <c r="AFM910" s="471"/>
      <c r="AFN910" s="471"/>
      <c r="AFO910" s="471"/>
      <c r="AFP910" s="471"/>
      <c r="AFQ910" s="471"/>
      <c r="AFR910" s="471"/>
      <c r="AFS910" s="471"/>
      <c r="AFT910" s="471"/>
      <c r="AFU910" s="471"/>
      <c r="AFV910" s="471"/>
      <c r="AFW910" s="471"/>
      <c r="AFX910" s="471"/>
      <c r="AFY910" s="471"/>
      <c r="AFZ910" s="471"/>
      <c r="AGA910" s="471"/>
      <c r="AGB910" s="471"/>
      <c r="AGC910" s="471"/>
      <c r="AGD910" s="471"/>
      <c r="AGE910" s="471"/>
      <c r="AGF910" s="471"/>
      <c r="AGG910" s="471"/>
      <c r="AGH910" s="471"/>
      <c r="AGI910" s="471"/>
      <c r="AGJ910" s="471"/>
      <c r="AGK910" s="471"/>
      <c r="AGL910" s="471"/>
      <c r="AGM910" s="471"/>
      <c r="AGN910" s="471"/>
      <c r="AGO910" s="471"/>
      <c r="AGP910" s="471"/>
      <c r="AGQ910" s="471"/>
      <c r="AGR910" s="471"/>
      <c r="AGS910" s="471"/>
      <c r="AGT910" s="471"/>
      <c r="AGU910" s="471"/>
      <c r="AGV910" s="471"/>
      <c r="AGW910" s="471"/>
      <c r="AGX910" s="471"/>
      <c r="AGY910" s="471"/>
      <c r="AGZ910" s="471"/>
      <c r="AHA910" s="471"/>
      <c r="AHB910" s="471"/>
      <c r="AHC910" s="471"/>
      <c r="AHD910" s="471"/>
      <c r="AHE910" s="471"/>
      <c r="AHF910" s="471"/>
      <c r="AHG910" s="471"/>
      <c r="AHH910" s="471"/>
      <c r="AHI910" s="471"/>
      <c r="AHJ910" s="471"/>
      <c r="AHK910" s="471"/>
      <c r="AHL910" s="471"/>
      <c r="AHM910" s="471"/>
      <c r="AHN910" s="471"/>
      <c r="AHO910" s="471"/>
      <c r="AHP910" s="471"/>
      <c r="AHQ910" s="471"/>
      <c r="AHR910" s="471"/>
      <c r="AHS910" s="471"/>
      <c r="AHT910" s="471"/>
      <c r="AHU910" s="471"/>
      <c r="AHV910" s="471"/>
      <c r="AHW910" s="471"/>
      <c r="AHX910" s="471"/>
      <c r="AHY910" s="471"/>
      <c r="AHZ910" s="471"/>
      <c r="AIA910" s="471"/>
      <c r="AIB910" s="471"/>
      <c r="AIC910" s="471"/>
      <c r="AID910" s="471"/>
      <c r="AIE910" s="471"/>
      <c r="AIF910" s="471"/>
      <c r="AIG910" s="471"/>
      <c r="AIH910" s="471"/>
      <c r="AII910" s="471"/>
      <c r="AIJ910" s="471"/>
      <c r="AIK910" s="471"/>
      <c r="AIL910" s="471"/>
      <c r="AIM910" s="471"/>
      <c r="AIN910" s="471"/>
      <c r="AIO910" s="471"/>
      <c r="AIP910" s="471"/>
      <c r="AIQ910" s="471"/>
      <c r="AIR910" s="471"/>
      <c r="AIS910" s="471"/>
      <c r="AIT910" s="471"/>
      <c r="AIU910" s="471"/>
      <c r="AIV910" s="471"/>
      <c r="AIW910" s="471"/>
      <c r="AIX910" s="471"/>
      <c r="AIY910" s="471"/>
      <c r="AIZ910" s="471"/>
      <c r="AJA910" s="471"/>
      <c r="AJB910" s="471"/>
      <c r="AJC910" s="471"/>
      <c r="AJD910" s="471"/>
      <c r="AJE910" s="471"/>
      <c r="AJF910" s="471"/>
      <c r="AJG910" s="471"/>
      <c r="AJH910" s="471"/>
      <c r="AJI910" s="471"/>
      <c r="AJJ910" s="471"/>
      <c r="AJK910" s="471"/>
      <c r="AJL910" s="471"/>
      <c r="AJM910" s="471"/>
      <c r="AJN910" s="471"/>
      <c r="AJO910" s="471"/>
      <c r="AJP910" s="471"/>
      <c r="AJQ910" s="471"/>
      <c r="AJR910" s="471"/>
      <c r="AJS910" s="471"/>
      <c r="AJT910" s="471"/>
      <c r="AJU910" s="471"/>
      <c r="AJV910" s="471"/>
      <c r="AJW910" s="471"/>
      <c r="AJX910" s="471"/>
      <c r="AJY910" s="471"/>
      <c r="AJZ910" s="471"/>
      <c r="AKA910" s="471"/>
      <c r="AKB910" s="471"/>
      <c r="AKC910" s="471"/>
      <c r="AKD910" s="471"/>
      <c r="AKE910" s="471"/>
      <c r="AKF910" s="471"/>
      <c r="AKG910" s="471"/>
      <c r="AKH910" s="471"/>
      <c r="AKI910" s="471"/>
      <c r="AKJ910" s="471"/>
      <c r="AKK910" s="471"/>
      <c r="AKL910" s="471"/>
      <c r="AKM910" s="471"/>
      <c r="AKN910" s="471"/>
      <c r="AKO910" s="471"/>
      <c r="AKP910" s="471"/>
      <c r="AKQ910" s="471"/>
      <c r="AKR910" s="471"/>
      <c r="AKS910" s="471"/>
      <c r="AKT910" s="471"/>
      <c r="AKU910" s="471"/>
      <c r="AKV910" s="471"/>
      <c r="AKW910" s="471"/>
      <c r="AKX910" s="471"/>
      <c r="AKY910" s="471"/>
      <c r="AKZ910" s="471"/>
      <c r="ALA910" s="471"/>
      <c r="ALB910" s="471"/>
      <c r="ALC910" s="471"/>
      <c r="ALD910" s="471"/>
      <c r="ALE910" s="471"/>
      <c r="ALF910" s="471"/>
      <c r="ALG910" s="471"/>
      <c r="ALH910" s="471"/>
      <c r="ALI910" s="471"/>
      <c r="ALJ910" s="471"/>
      <c r="ALK910" s="471"/>
      <c r="ALL910" s="471"/>
      <c r="ALM910" s="471"/>
      <c r="ALN910" s="471"/>
      <c r="ALO910" s="471"/>
      <c r="ALP910" s="471"/>
      <c r="ALQ910" s="471"/>
      <c r="ALR910" s="471"/>
      <c r="ALS910" s="471"/>
      <c r="ALT910" s="471"/>
      <c r="ALU910" s="471"/>
      <c r="ALV910" s="471"/>
      <c r="ALW910" s="471"/>
      <c r="ALX910" s="471"/>
      <c r="ALY910" s="471"/>
      <c r="ALZ910" s="471"/>
      <c r="AMA910" s="471"/>
      <c r="AMB910" s="471"/>
      <c r="AMC910" s="471"/>
      <c r="AMD910" s="471"/>
      <c r="AME910" s="471"/>
      <c r="AMF910" s="471"/>
      <c r="AMG910" s="471"/>
      <c r="AMH910" s="471"/>
      <c r="AMI910" s="471"/>
      <c r="AMJ910" s="471"/>
      <c r="AMK910" s="471"/>
      <c r="AML910" s="471"/>
      <c r="AMM910" s="471"/>
      <c r="AMN910" s="471"/>
      <c r="AMO910" s="471"/>
      <c r="AMP910" s="471"/>
      <c r="AMQ910" s="471"/>
      <c r="AMR910" s="471"/>
      <c r="AMS910" s="471"/>
      <c r="AMT910" s="471"/>
      <c r="AMU910" s="471"/>
      <c r="AMV910" s="471"/>
      <c r="AMW910" s="471"/>
      <c r="AMX910" s="471"/>
      <c r="AMY910" s="471"/>
      <c r="AMZ910" s="471"/>
      <c r="ANA910" s="471"/>
      <c r="ANB910" s="471"/>
      <c r="ANC910" s="471"/>
      <c r="AND910" s="471"/>
      <c r="ANE910" s="471"/>
      <c r="ANF910" s="471"/>
      <c r="ANG910" s="471"/>
      <c r="ANH910" s="471"/>
      <c r="ANI910" s="471"/>
      <c r="ANJ910" s="471"/>
      <c r="ANK910" s="471"/>
      <c r="ANL910" s="471"/>
      <c r="ANM910" s="471"/>
      <c r="ANN910" s="471"/>
      <c r="ANO910" s="471"/>
      <c r="ANP910" s="471"/>
      <c r="ANQ910" s="471"/>
      <c r="ANR910" s="471"/>
      <c r="ANS910" s="471"/>
      <c r="ANT910" s="471"/>
      <c r="ANU910" s="471"/>
      <c r="ANV910" s="471"/>
      <c r="ANW910" s="471"/>
      <c r="ANX910" s="471"/>
      <c r="ANY910" s="471"/>
      <c r="ANZ910" s="471"/>
      <c r="AOA910" s="471"/>
      <c r="AOB910" s="471"/>
      <c r="AOC910" s="471"/>
      <c r="AOD910" s="471"/>
      <c r="AOE910" s="471"/>
      <c r="AOF910" s="471"/>
      <c r="AOG910" s="471"/>
      <c r="AOH910" s="471"/>
      <c r="AOI910" s="471"/>
      <c r="AOJ910" s="471"/>
      <c r="AOK910" s="471"/>
      <c r="AOL910" s="471"/>
      <c r="AOM910" s="471"/>
      <c r="AON910" s="471"/>
      <c r="AOO910" s="471"/>
      <c r="AOP910" s="471"/>
      <c r="AOQ910" s="471"/>
      <c r="AOR910" s="471"/>
      <c r="AOS910" s="471"/>
      <c r="AOT910" s="471"/>
      <c r="AOU910" s="471"/>
      <c r="AOV910" s="471"/>
      <c r="AOW910" s="471"/>
      <c r="AOX910" s="471"/>
      <c r="AOY910" s="471"/>
      <c r="AOZ910" s="471"/>
      <c r="APA910" s="471"/>
      <c r="APB910" s="471"/>
      <c r="APC910" s="471"/>
      <c r="APD910" s="471"/>
      <c r="APE910" s="471"/>
      <c r="APF910" s="471"/>
      <c r="APG910" s="471"/>
      <c r="APH910" s="471"/>
      <c r="API910" s="471"/>
      <c r="APJ910" s="471"/>
      <c r="APK910" s="471"/>
      <c r="APL910" s="471"/>
      <c r="APM910" s="471"/>
      <c r="APN910" s="471"/>
      <c r="APO910" s="471"/>
      <c r="APP910" s="471"/>
      <c r="APQ910" s="471"/>
      <c r="APR910" s="471"/>
      <c r="APS910" s="471"/>
      <c r="APT910" s="471"/>
      <c r="APU910" s="471"/>
      <c r="APV910" s="471"/>
      <c r="APW910" s="471"/>
      <c r="APX910" s="471"/>
      <c r="APY910" s="471"/>
      <c r="APZ910" s="471"/>
      <c r="AQA910" s="471"/>
      <c r="AQB910" s="471"/>
      <c r="AQC910" s="471"/>
      <c r="AQD910" s="471"/>
      <c r="AQE910" s="471"/>
      <c r="AQF910" s="471"/>
      <c r="AQG910" s="471"/>
      <c r="AQH910" s="471"/>
      <c r="AQI910" s="471"/>
      <c r="AQJ910" s="471"/>
      <c r="AQK910" s="471"/>
      <c r="AQL910" s="471"/>
      <c r="AQM910" s="471"/>
      <c r="AQN910" s="471"/>
      <c r="AQO910" s="471"/>
      <c r="AQP910" s="471"/>
      <c r="AQQ910" s="471"/>
      <c r="AQR910" s="471"/>
      <c r="AQS910" s="471"/>
      <c r="AQT910" s="471"/>
      <c r="AQU910" s="471"/>
      <c r="AQV910" s="471"/>
      <c r="AQW910" s="471"/>
      <c r="AQX910" s="471"/>
      <c r="AQY910" s="471"/>
      <c r="AQZ910" s="471"/>
      <c r="ARA910" s="471"/>
      <c r="ARB910" s="471"/>
      <c r="ARC910" s="471"/>
      <c r="ARD910" s="471"/>
      <c r="ARE910" s="471"/>
      <c r="ARF910" s="471"/>
      <c r="ARG910" s="471"/>
      <c r="ARH910" s="471"/>
      <c r="ARI910" s="471"/>
      <c r="ARJ910" s="471"/>
      <c r="ARK910" s="471"/>
      <c r="ARL910" s="471"/>
      <c r="ARM910" s="471"/>
      <c r="ARN910" s="471"/>
      <c r="ARO910" s="471"/>
      <c r="ARP910" s="471"/>
      <c r="ARQ910" s="471"/>
      <c r="ARR910" s="471"/>
      <c r="ARS910" s="471"/>
      <c r="ART910" s="471"/>
      <c r="ARU910" s="471"/>
      <c r="ARV910" s="471"/>
      <c r="ARW910" s="471"/>
      <c r="ARX910" s="471"/>
      <c r="ARY910" s="471"/>
      <c r="ARZ910" s="471"/>
      <c r="ASA910" s="471"/>
      <c r="ASB910" s="471"/>
      <c r="ASC910" s="471"/>
      <c r="ASD910" s="471"/>
      <c r="ASE910" s="471"/>
      <c r="ASF910" s="471"/>
      <c r="ASG910" s="471"/>
      <c r="ASH910" s="471"/>
      <c r="ASI910" s="471"/>
      <c r="ASJ910" s="471"/>
      <c r="ASK910" s="471"/>
      <c r="ASL910" s="471"/>
      <c r="ASM910" s="471"/>
      <c r="ASN910" s="471"/>
      <c r="ASO910" s="471"/>
      <c r="ASP910" s="471"/>
      <c r="ASQ910" s="471"/>
      <c r="ASR910" s="471"/>
      <c r="ASS910" s="471"/>
      <c r="AST910" s="471"/>
      <c r="ASU910" s="471"/>
      <c r="ASV910" s="471"/>
      <c r="ASW910" s="471"/>
      <c r="ASX910" s="471"/>
      <c r="ASY910" s="471"/>
      <c r="ASZ910" s="471"/>
      <c r="ATA910" s="471"/>
      <c r="ATB910" s="471"/>
      <c r="ATC910" s="471"/>
      <c r="ATD910" s="471"/>
      <c r="ATE910" s="471"/>
      <c r="ATF910" s="471"/>
      <c r="ATG910" s="471"/>
      <c r="ATH910" s="471"/>
      <c r="ATI910" s="471"/>
      <c r="ATJ910" s="471"/>
      <c r="ATK910" s="471"/>
      <c r="ATL910" s="471"/>
      <c r="ATM910" s="471"/>
      <c r="ATN910" s="471"/>
      <c r="ATO910" s="471"/>
      <c r="ATP910" s="471"/>
      <c r="ATQ910" s="471"/>
      <c r="ATR910" s="471"/>
      <c r="ATS910" s="471"/>
      <c r="ATT910" s="471"/>
      <c r="ATU910" s="471"/>
      <c r="ATV910" s="471"/>
      <c r="ATW910" s="471"/>
      <c r="ATX910" s="471"/>
      <c r="ATY910" s="471"/>
      <c r="ATZ910" s="471"/>
      <c r="AUA910" s="471"/>
      <c r="AUB910" s="471"/>
      <c r="AUC910" s="471"/>
      <c r="AUD910" s="471"/>
      <c r="AUE910" s="471"/>
      <c r="AUF910" s="471"/>
      <c r="AUG910" s="471"/>
      <c r="AUH910" s="471"/>
      <c r="AUI910" s="471"/>
      <c r="AUJ910" s="471"/>
      <c r="AUK910" s="471"/>
      <c r="AUL910" s="471"/>
      <c r="AUM910" s="471"/>
      <c r="AUN910" s="471"/>
      <c r="AUO910" s="471"/>
      <c r="AUP910" s="471"/>
      <c r="AUQ910" s="471"/>
      <c r="AUR910" s="471"/>
      <c r="AUS910" s="471"/>
      <c r="AUT910" s="471"/>
      <c r="AUU910" s="471"/>
      <c r="AUV910" s="471"/>
      <c r="AUW910" s="471"/>
      <c r="AUX910" s="471"/>
      <c r="AUY910" s="471"/>
      <c r="AUZ910" s="471"/>
      <c r="AVA910" s="471"/>
      <c r="AVB910" s="471"/>
      <c r="AVC910" s="471"/>
      <c r="AVD910" s="471"/>
      <c r="AVE910" s="471"/>
      <c r="AVF910" s="471"/>
      <c r="AVG910" s="471"/>
      <c r="AVH910" s="471"/>
      <c r="AVI910" s="471"/>
      <c r="AVJ910" s="471"/>
      <c r="AVK910" s="471"/>
    </row>
    <row r="911" spans="1:1259" s="511" customFormat="1" ht="15" customHeight="1">
      <c r="A911" s="472"/>
      <c r="B911" s="472"/>
      <c r="C911" s="472"/>
      <c r="D911" s="512" t="s">
        <v>3186</v>
      </c>
      <c r="E911" s="501"/>
      <c r="F911" s="501"/>
      <c r="G911" s="501">
        <v>2022</v>
      </c>
      <c r="H911" s="501"/>
      <c r="I911" s="496" t="s">
        <v>1676</v>
      </c>
      <c r="J911" s="502"/>
      <c r="K911" s="503" t="s">
        <v>5772</v>
      </c>
      <c r="L911" s="501" t="s">
        <v>3297</v>
      </c>
      <c r="M911" s="504">
        <v>44671</v>
      </c>
      <c r="N911" s="504">
        <v>44825</v>
      </c>
      <c r="O911" s="504"/>
      <c r="P911" s="502"/>
      <c r="Q911" s="502"/>
      <c r="R911" s="502"/>
      <c r="S911" s="501" t="s">
        <v>2379</v>
      </c>
      <c r="T911" s="501">
        <v>60</v>
      </c>
      <c r="U911" s="501"/>
      <c r="V911" s="501" t="s">
        <v>973</v>
      </c>
      <c r="W911" s="501">
        <v>400</v>
      </c>
      <c r="X911" s="505">
        <v>2496</v>
      </c>
      <c r="Y911" s="491">
        <f t="shared" si="130"/>
        <v>998400</v>
      </c>
      <c r="Z911" s="506">
        <v>0.6</v>
      </c>
      <c r="AA911" s="492">
        <f t="shared" si="134"/>
        <v>599040</v>
      </c>
      <c r="AB911" s="480"/>
      <c r="AC911" s="481">
        <f t="shared" si="131"/>
        <v>0</v>
      </c>
      <c r="AD911" s="508"/>
      <c r="AE911" s="507">
        <v>22838.400000000001</v>
      </c>
      <c r="AF911" s="493">
        <f t="shared" si="132"/>
        <v>621878.4</v>
      </c>
      <c r="AG911" s="501" t="s">
        <v>47</v>
      </c>
      <c r="AH911" s="501"/>
      <c r="AI911" s="503">
        <v>60</v>
      </c>
      <c r="AJ911" s="501" t="s">
        <v>1790</v>
      </c>
      <c r="AK911" s="509" t="s">
        <v>50</v>
      </c>
      <c r="AL911" s="501">
        <v>95826</v>
      </c>
      <c r="AM911" s="501" t="s">
        <v>52</v>
      </c>
      <c r="AN911" s="501"/>
      <c r="AO911" s="501"/>
      <c r="AP911" s="510"/>
      <c r="AQ911" s="510" t="s">
        <v>37</v>
      </c>
      <c r="AR911" s="510"/>
      <c r="AS911" s="495"/>
      <c r="AT911" s="495"/>
      <c r="AU911" s="495"/>
      <c r="AV911" s="506">
        <f t="shared" si="133"/>
        <v>0.48000000000000004</v>
      </c>
      <c r="AW911" s="471"/>
      <c r="AX911" s="471"/>
      <c r="AY911" s="471"/>
      <c r="AZ911" s="471"/>
      <c r="BA911" s="471"/>
      <c r="BB911" s="471"/>
      <c r="BC911" s="471"/>
      <c r="BD911" s="471"/>
      <c r="BE911" s="471"/>
      <c r="BF911" s="471"/>
      <c r="BG911" s="471"/>
      <c r="BH911" s="471"/>
      <c r="BI911" s="471"/>
      <c r="BJ911" s="471"/>
      <c r="BK911" s="471"/>
      <c r="BL911" s="471"/>
      <c r="BM911" s="471"/>
      <c r="BN911" s="471"/>
      <c r="BO911" s="471"/>
      <c r="BP911" s="471"/>
      <c r="BQ911" s="471"/>
      <c r="BR911" s="471"/>
      <c r="BS911" s="471"/>
      <c r="BT911" s="471"/>
      <c r="BU911" s="471"/>
      <c r="BV911" s="471"/>
      <c r="BW911" s="471"/>
      <c r="BX911" s="471"/>
      <c r="BY911" s="471"/>
      <c r="BZ911" s="471"/>
      <c r="CA911" s="471"/>
      <c r="CB911" s="471"/>
      <c r="CC911" s="471"/>
      <c r="CD911" s="471"/>
      <c r="CE911" s="471"/>
      <c r="CF911" s="471"/>
      <c r="CG911" s="471"/>
      <c r="CH911" s="471"/>
      <c r="CI911" s="471"/>
      <c r="CJ911" s="471"/>
      <c r="CK911" s="471"/>
      <c r="CL911" s="471"/>
      <c r="CM911" s="471"/>
      <c r="CN911" s="471"/>
      <c r="CO911" s="471"/>
      <c r="CP911" s="471"/>
      <c r="CQ911" s="471"/>
      <c r="CR911" s="471"/>
      <c r="CS911" s="471"/>
      <c r="CT911" s="471"/>
      <c r="CU911" s="471"/>
      <c r="CV911" s="471"/>
      <c r="CW911" s="471"/>
      <c r="CX911" s="471"/>
      <c r="CY911" s="471"/>
      <c r="CZ911" s="471"/>
      <c r="DA911" s="471"/>
      <c r="DB911" s="471"/>
      <c r="DC911" s="471"/>
      <c r="DD911" s="471"/>
      <c r="DE911" s="471"/>
      <c r="DF911" s="471"/>
      <c r="DG911" s="471"/>
      <c r="DH911" s="471"/>
      <c r="DI911" s="471"/>
      <c r="DJ911" s="471"/>
      <c r="DK911" s="471"/>
      <c r="DL911" s="471"/>
      <c r="DM911" s="471"/>
      <c r="DN911" s="471"/>
      <c r="DO911" s="471"/>
      <c r="DP911" s="471"/>
      <c r="DQ911" s="471"/>
      <c r="DR911" s="471"/>
      <c r="DS911" s="471"/>
      <c r="DT911" s="471"/>
      <c r="DU911" s="471"/>
      <c r="DV911" s="471"/>
      <c r="DW911" s="471"/>
      <c r="DX911" s="471"/>
      <c r="DY911" s="471"/>
      <c r="DZ911" s="471"/>
      <c r="EA911" s="471"/>
      <c r="EB911" s="471"/>
      <c r="EC911" s="471"/>
      <c r="ED911" s="471"/>
      <c r="EE911" s="471"/>
      <c r="EF911" s="471"/>
      <c r="EG911" s="471"/>
      <c r="EH911" s="471"/>
      <c r="EI911" s="471"/>
      <c r="EJ911" s="471"/>
      <c r="EK911" s="471"/>
      <c r="EL911" s="471"/>
      <c r="EM911" s="471"/>
      <c r="EN911" s="471"/>
      <c r="EO911" s="471"/>
      <c r="EP911" s="471"/>
      <c r="EQ911" s="471"/>
      <c r="ER911" s="471"/>
      <c r="ES911" s="471"/>
      <c r="ET911" s="471"/>
      <c r="EU911" s="471"/>
      <c r="EV911" s="471"/>
      <c r="EW911" s="471"/>
      <c r="EX911" s="471"/>
      <c r="EY911" s="471"/>
      <c r="EZ911" s="471"/>
      <c r="FA911" s="471"/>
      <c r="FB911" s="471"/>
      <c r="FC911" s="471"/>
      <c r="FD911" s="471"/>
      <c r="FE911" s="471"/>
      <c r="FF911" s="471"/>
      <c r="FG911" s="471"/>
      <c r="FH911" s="471"/>
      <c r="FI911" s="471"/>
      <c r="FJ911" s="471"/>
      <c r="FK911" s="471"/>
      <c r="FL911" s="471"/>
      <c r="FM911" s="471"/>
      <c r="FN911" s="471"/>
      <c r="FO911" s="471"/>
      <c r="FP911" s="471"/>
      <c r="FQ911" s="471"/>
      <c r="FR911" s="471"/>
      <c r="FS911" s="471"/>
      <c r="FT911" s="471"/>
      <c r="FU911" s="471"/>
      <c r="FV911" s="471"/>
      <c r="FW911" s="471"/>
      <c r="FX911" s="471"/>
      <c r="FY911" s="471"/>
      <c r="FZ911" s="471"/>
      <c r="GA911" s="471"/>
      <c r="GB911" s="471"/>
      <c r="GC911" s="471"/>
      <c r="GD911" s="471"/>
      <c r="GE911" s="471"/>
      <c r="GF911" s="471"/>
      <c r="GG911" s="471"/>
      <c r="GH911" s="471"/>
      <c r="GI911" s="471"/>
      <c r="GJ911" s="471"/>
      <c r="GK911" s="471"/>
      <c r="GL911" s="471"/>
      <c r="GM911" s="471"/>
      <c r="GN911" s="471"/>
      <c r="GO911" s="471"/>
      <c r="GP911" s="471"/>
      <c r="GQ911" s="471"/>
      <c r="GR911" s="471"/>
      <c r="GS911" s="471"/>
      <c r="GT911" s="471"/>
      <c r="GU911" s="471"/>
      <c r="GV911" s="471"/>
      <c r="GW911" s="471"/>
      <c r="GX911" s="471"/>
      <c r="GY911" s="471"/>
      <c r="GZ911" s="471"/>
      <c r="HA911" s="471"/>
      <c r="HB911" s="471"/>
      <c r="HC911" s="471"/>
      <c r="HD911" s="471"/>
      <c r="HE911" s="471"/>
      <c r="HF911" s="471"/>
      <c r="HG911" s="471"/>
      <c r="HH911" s="471"/>
      <c r="HI911" s="471"/>
      <c r="HJ911" s="471"/>
      <c r="HK911" s="471"/>
      <c r="HL911" s="471"/>
      <c r="HM911" s="471"/>
      <c r="HN911" s="471"/>
      <c r="HO911" s="471"/>
      <c r="HP911" s="471"/>
      <c r="HQ911" s="471"/>
      <c r="HR911" s="471"/>
      <c r="HS911" s="471"/>
      <c r="HT911" s="471"/>
      <c r="HU911" s="471"/>
      <c r="HV911" s="471"/>
      <c r="HW911" s="471"/>
      <c r="HX911" s="471"/>
      <c r="HY911" s="471"/>
      <c r="HZ911" s="471"/>
      <c r="IA911" s="471"/>
      <c r="IB911" s="471"/>
      <c r="IC911" s="471"/>
      <c r="ID911" s="471"/>
      <c r="IE911" s="471"/>
      <c r="IF911" s="471"/>
      <c r="IG911" s="471"/>
      <c r="IH911" s="471"/>
      <c r="II911" s="471"/>
      <c r="IJ911" s="471"/>
      <c r="IK911" s="471"/>
      <c r="IL911" s="471"/>
      <c r="IM911" s="471"/>
      <c r="IN911" s="471"/>
      <c r="IO911" s="471"/>
      <c r="IP911" s="471"/>
      <c r="IQ911" s="471"/>
      <c r="IR911" s="471"/>
      <c r="IS911" s="471"/>
      <c r="IT911" s="471"/>
      <c r="IU911" s="471"/>
      <c r="IV911" s="471"/>
      <c r="IW911" s="471"/>
      <c r="IX911" s="471"/>
      <c r="IY911" s="471"/>
      <c r="IZ911" s="471"/>
      <c r="JA911" s="471"/>
      <c r="JB911" s="471"/>
      <c r="JC911" s="471"/>
      <c r="JD911" s="471"/>
      <c r="JE911" s="471"/>
      <c r="JF911" s="471"/>
      <c r="JG911" s="471"/>
      <c r="JH911" s="471"/>
      <c r="JI911" s="471"/>
      <c r="JJ911" s="471"/>
      <c r="JK911" s="471"/>
      <c r="JL911" s="471"/>
      <c r="JM911" s="471"/>
      <c r="JN911" s="471"/>
      <c r="JO911" s="471"/>
      <c r="JP911" s="471"/>
      <c r="JQ911" s="471"/>
      <c r="JR911" s="471"/>
      <c r="JS911" s="471"/>
      <c r="JT911" s="471"/>
      <c r="JU911" s="471"/>
      <c r="JV911" s="471"/>
      <c r="JW911" s="471"/>
      <c r="JX911" s="471"/>
      <c r="JY911" s="471"/>
      <c r="JZ911" s="471"/>
      <c r="KA911" s="471"/>
      <c r="KB911" s="471"/>
      <c r="KC911" s="471"/>
      <c r="KD911" s="471"/>
      <c r="KE911" s="471"/>
      <c r="KF911" s="471"/>
      <c r="KG911" s="471"/>
      <c r="KH911" s="471"/>
      <c r="KI911" s="471"/>
      <c r="KJ911" s="471"/>
      <c r="KK911" s="471"/>
      <c r="KL911" s="471"/>
      <c r="KM911" s="471"/>
      <c r="KN911" s="471"/>
      <c r="KO911" s="471"/>
      <c r="KP911" s="471"/>
      <c r="KQ911" s="471"/>
      <c r="KR911" s="471"/>
      <c r="KS911" s="471"/>
      <c r="KT911" s="471"/>
      <c r="KU911" s="471"/>
      <c r="KV911" s="471"/>
      <c r="KW911" s="471"/>
      <c r="KX911" s="471"/>
      <c r="KY911" s="471"/>
      <c r="KZ911" s="471"/>
      <c r="LA911" s="471"/>
      <c r="LB911" s="471"/>
      <c r="LC911" s="471"/>
      <c r="LD911" s="471"/>
      <c r="LE911" s="471"/>
      <c r="LF911" s="471"/>
      <c r="LG911" s="471"/>
      <c r="LH911" s="471"/>
      <c r="LI911" s="471"/>
      <c r="LJ911" s="471"/>
      <c r="LK911" s="471"/>
      <c r="LL911" s="471"/>
      <c r="LM911" s="471"/>
      <c r="LN911" s="471"/>
      <c r="LO911" s="471"/>
      <c r="LP911" s="471"/>
      <c r="LQ911" s="471"/>
      <c r="LR911" s="471"/>
      <c r="LS911" s="471"/>
      <c r="LT911" s="471"/>
      <c r="LU911" s="471"/>
      <c r="LV911" s="471"/>
      <c r="LW911" s="471"/>
      <c r="LX911" s="471"/>
      <c r="LY911" s="471"/>
      <c r="LZ911" s="471"/>
      <c r="MA911" s="471"/>
      <c r="MB911" s="471"/>
      <c r="MC911" s="471"/>
      <c r="MD911" s="471"/>
      <c r="ME911" s="471"/>
      <c r="MF911" s="471"/>
      <c r="MG911" s="471"/>
      <c r="MH911" s="471"/>
      <c r="MI911" s="471"/>
      <c r="MJ911" s="471"/>
      <c r="MK911" s="471"/>
      <c r="ML911" s="471"/>
      <c r="MM911" s="471"/>
      <c r="MN911" s="471"/>
      <c r="MO911" s="471"/>
      <c r="MP911" s="471"/>
      <c r="MQ911" s="471"/>
      <c r="MR911" s="471"/>
      <c r="MS911" s="471"/>
      <c r="MT911" s="471"/>
      <c r="MU911" s="471"/>
      <c r="MV911" s="471"/>
      <c r="MW911" s="471"/>
      <c r="MX911" s="471"/>
      <c r="MY911" s="471"/>
      <c r="MZ911" s="471"/>
      <c r="NA911" s="471"/>
      <c r="NB911" s="471"/>
      <c r="NC911" s="471"/>
      <c r="ND911" s="471"/>
      <c r="NE911" s="471"/>
      <c r="NF911" s="471"/>
      <c r="NG911" s="471"/>
      <c r="NH911" s="471"/>
      <c r="NI911" s="471"/>
      <c r="NJ911" s="471"/>
      <c r="NK911" s="471"/>
      <c r="NL911" s="471"/>
      <c r="NM911" s="471"/>
      <c r="NN911" s="471"/>
      <c r="NO911" s="471"/>
      <c r="NP911" s="471"/>
      <c r="NQ911" s="471"/>
      <c r="NR911" s="471"/>
      <c r="NS911" s="471"/>
      <c r="NT911" s="471"/>
      <c r="NU911" s="471"/>
      <c r="NV911" s="471"/>
      <c r="NW911" s="471"/>
      <c r="NX911" s="471"/>
      <c r="NY911" s="471"/>
      <c r="NZ911" s="471"/>
      <c r="OA911" s="471"/>
      <c r="OB911" s="471"/>
      <c r="OC911" s="471"/>
      <c r="OD911" s="471"/>
      <c r="OE911" s="471"/>
      <c r="OF911" s="471"/>
      <c r="OG911" s="471"/>
      <c r="OH911" s="471"/>
      <c r="OI911" s="471"/>
      <c r="OJ911" s="471"/>
      <c r="OK911" s="471"/>
      <c r="OL911" s="471"/>
      <c r="OM911" s="471"/>
      <c r="ON911" s="471"/>
      <c r="OO911" s="471"/>
      <c r="OP911" s="471"/>
      <c r="OQ911" s="471"/>
      <c r="OR911" s="471"/>
      <c r="OS911" s="471"/>
      <c r="OT911" s="471"/>
      <c r="OU911" s="471"/>
      <c r="OV911" s="471"/>
      <c r="OW911" s="471"/>
      <c r="OX911" s="471"/>
      <c r="OY911" s="471"/>
      <c r="OZ911" s="471"/>
      <c r="PA911" s="471"/>
      <c r="PB911" s="471"/>
      <c r="PC911" s="471"/>
      <c r="PD911" s="471"/>
      <c r="PE911" s="471"/>
      <c r="PF911" s="471"/>
      <c r="PG911" s="471"/>
      <c r="PH911" s="471"/>
      <c r="PI911" s="471"/>
      <c r="PJ911" s="471"/>
      <c r="PK911" s="471"/>
      <c r="PL911" s="471"/>
      <c r="PM911" s="471"/>
      <c r="PN911" s="471"/>
      <c r="PO911" s="471"/>
      <c r="PP911" s="471"/>
      <c r="PQ911" s="471"/>
      <c r="PR911" s="471"/>
      <c r="PS911" s="471"/>
      <c r="PT911" s="471"/>
      <c r="PU911" s="471"/>
      <c r="PV911" s="471"/>
      <c r="PW911" s="471"/>
      <c r="PX911" s="471"/>
      <c r="PY911" s="471"/>
      <c r="PZ911" s="471"/>
      <c r="QA911" s="471"/>
      <c r="QB911" s="471"/>
      <c r="QC911" s="471"/>
      <c r="QD911" s="471"/>
      <c r="QE911" s="471"/>
      <c r="QF911" s="471"/>
      <c r="QG911" s="471"/>
      <c r="QH911" s="471"/>
      <c r="QI911" s="471"/>
      <c r="QJ911" s="471"/>
      <c r="QK911" s="471"/>
      <c r="QL911" s="471"/>
      <c r="QM911" s="471"/>
      <c r="QN911" s="471"/>
      <c r="QO911" s="471"/>
      <c r="QP911" s="471"/>
      <c r="QQ911" s="471"/>
      <c r="QR911" s="471"/>
      <c r="QS911" s="471"/>
      <c r="QT911" s="471"/>
      <c r="QU911" s="471"/>
      <c r="QV911" s="471"/>
      <c r="QW911" s="471"/>
      <c r="QX911" s="471"/>
      <c r="QY911" s="471"/>
      <c r="QZ911" s="471"/>
      <c r="RA911" s="471"/>
      <c r="RB911" s="471"/>
      <c r="RC911" s="471"/>
      <c r="RD911" s="471"/>
      <c r="RE911" s="471"/>
      <c r="RF911" s="471"/>
      <c r="RG911" s="471"/>
      <c r="RH911" s="471"/>
      <c r="RI911" s="471"/>
      <c r="RJ911" s="471"/>
      <c r="RK911" s="471"/>
      <c r="RL911" s="471"/>
      <c r="RM911" s="471"/>
      <c r="RN911" s="471"/>
      <c r="RO911" s="471"/>
      <c r="RP911" s="471"/>
      <c r="RQ911" s="471"/>
      <c r="RR911" s="471"/>
      <c r="RS911" s="471"/>
      <c r="RT911" s="471"/>
      <c r="RU911" s="471"/>
      <c r="RV911" s="471"/>
      <c r="RW911" s="471"/>
      <c r="RX911" s="471"/>
      <c r="RY911" s="471"/>
      <c r="RZ911" s="471"/>
      <c r="SA911" s="471"/>
      <c r="SB911" s="471"/>
      <c r="SC911" s="471"/>
      <c r="SD911" s="471"/>
      <c r="SE911" s="471"/>
      <c r="SF911" s="471"/>
      <c r="SG911" s="471"/>
      <c r="SH911" s="471"/>
      <c r="SI911" s="471"/>
      <c r="SJ911" s="471"/>
      <c r="SK911" s="471"/>
      <c r="SL911" s="471"/>
      <c r="SM911" s="471"/>
      <c r="SN911" s="471"/>
      <c r="SO911" s="471"/>
      <c r="SP911" s="471"/>
      <c r="SQ911" s="471"/>
      <c r="SR911" s="471"/>
      <c r="SS911" s="471"/>
      <c r="ST911" s="471"/>
      <c r="SU911" s="471"/>
      <c r="SV911" s="471"/>
      <c r="SW911" s="471"/>
      <c r="SX911" s="471"/>
      <c r="SY911" s="471"/>
      <c r="SZ911" s="471"/>
      <c r="TA911" s="471"/>
      <c r="TB911" s="471"/>
      <c r="TC911" s="471"/>
      <c r="TD911" s="471"/>
      <c r="TE911" s="471"/>
      <c r="TF911" s="471"/>
      <c r="TG911" s="471"/>
      <c r="TH911" s="471"/>
      <c r="TI911" s="471"/>
      <c r="TJ911" s="471"/>
      <c r="TK911" s="471"/>
      <c r="TL911" s="471"/>
      <c r="TM911" s="471"/>
      <c r="TN911" s="471"/>
      <c r="TO911" s="471"/>
      <c r="TP911" s="471"/>
      <c r="TQ911" s="471"/>
      <c r="TR911" s="471"/>
      <c r="TS911" s="471"/>
      <c r="TT911" s="471"/>
      <c r="TU911" s="471"/>
      <c r="TV911" s="471"/>
      <c r="TW911" s="471"/>
      <c r="TX911" s="471"/>
      <c r="TY911" s="471"/>
      <c r="TZ911" s="471"/>
      <c r="UA911" s="471"/>
      <c r="UB911" s="471"/>
      <c r="UC911" s="471"/>
      <c r="UD911" s="471"/>
      <c r="UE911" s="471"/>
      <c r="UF911" s="471"/>
      <c r="UG911" s="471"/>
      <c r="UH911" s="471"/>
      <c r="UI911" s="471"/>
      <c r="UJ911" s="471"/>
      <c r="UK911" s="471"/>
      <c r="UL911" s="471"/>
      <c r="UM911" s="471"/>
      <c r="UN911" s="471"/>
      <c r="UO911" s="471"/>
      <c r="UP911" s="471"/>
      <c r="UQ911" s="471"/>
      <c r="UR911" s="471"/>
      <c r="US911" s="471"/>
      <c r="UT911" s="471"/>
      <c r="UU911" s="471"/>
      <c r="UV911" s="471"/>
      <c r="UW911" s="471"/>
      <c r="UX911" s="471"/>
      <c r="UY911" s="471"/>
      <c r="UZ911" s="471"/>
      <c r="VA911" s="471"/>
      <c r="VB911" s="471"/>
      <c r="VC911" s="471"/>
      <c r="VD911" s="471"/>
      <c r="VE911" s="471"/>
      <c r="VF911" s="471"/>
      <c r="VG911" s="471"/>
      <c r="VH911" s="471"/>
      <c r="VI911" s="471"/>
      <c r="VJ911" s="471"/>
      <c r="VK911" s="471"/>
      <c r="VL911" s="471"/>
      <c r="VM911" s="471"/>
      <c r="VN911" s="471"/>
      <c r="VO911" s="471"/>
      <c r="VP911" s="471"/>
      <c r="VQ911" s="471"/>
      <c r="VR911" s="471"/>
      <c r="VS911" s="471"/>
      <c r="VT911" s="471"/>
      <c r="VU911" s="471"/>
      <c r="VV911" s="471"/>
      <c r="VW911" s="471"/>
      <c r="VX911" s="471"/>
      <c r="VY911" s="471"/>
      <c r="VZ911" s="471"/>
      <c r="WA911" s="471"/>
      <c r="WB911" s="471"/>
      <c r="WC911" s="471"/>
      <c r="WD911" s="471"/>
      <c r="WE911" s="471"/>
      <c r="WF911" s="471"/>
      <c r="WG911" s="471"/>
      <c r="WH911" s="471"/>
      <c r="WI911" s="471"/>
      <c r="WJ911" s="471"/>
      <c r="WK911" s="471"/>
      <c r="WL911" s="471"/>
      <c r="WM911" s="471"/>
      <c r="WN911" s="471"/>
      <c r="WO911" s="471"/>
      <c r="WP911" s="471"/>
      <c r="WQ911" s="471"/>
      <c r="WR911" s="471"/>
      <c r="WS911" s="471"/>
      <c r="WT911" s="471"/>
      <c r="WU911" s="471"/>
      <c r="WV911" s="471"/>
      <c r="WW911" s="471"/>
      <c r="WX911" s="471"/>
      <c r="WY911" s="471"/>
      <c r="WZ911" s="471"/>
      <c r="XA911" s="471"/>
      <c r="XB911" s="471"/>
      <c r="XC911" s="471"/>
      <c r="XD911" s="471"/>
      <c r="XE911" s="471"/>
      <c r="XF911" s="471"/>
      <c r="XG911" s="471"/>
      <c r="XH911" s="471"/>
      <c r="XI911" s="471"/>
      <c r="XJ911" s="471"/>
      <c r="XK911" s="471"/>
      <c r="XL911" s="471"/>
      <c r="XM911" s="471"/>
      <c r="XN911" s="471"/>
      <c r="XO911" s="471"/>
      <c r="XP911" s="471"/>
      <c r="XQ911" s="471"/>
      <c r="XR911" s="471"/>
      <c r="XS911" s="471"/>
      <c r="XT911" s="471"/>
      <c r="XU911" s="471"/>
      <c r="XV911" s="471"/>
      <c r="XW911" s="471"/>
      <c r="XX911" s="471"/>
      <c r="XY911" s="471"/>
      <c r="XZ911" s="471"/>
      <c r="YA911" s="471"/>
      <c r="YB911" s="471"/>
      <c r="YC911" s="471"/>
      <c r="YD911" s="471"/>
      <c r="YE911" s="471"/>
      <c r="YF911" s="471"/>
      <c r="YG911" s="471"/>
      <c r="YH911" s="471"/>
      <c r="YI911" s="471"/>
      <c r="YJ911" s="471"/>
      <c r="YK911" s="471"/>
      <c r="YL911" s="471"/>
      <c r="YM911" s="471"/>
      <c r="YN911" s="471"/>
      <c r="YO911" s="471"/>
      <c r="YP911" s="471"/>
      <c r="YQ911" s="471"/>
      <c r="YR911" s="471"/>
      <c r="YS911" s="471"/>
      <c r="YT911" s="471"/>
      <c r="YU911" s="471"/>
      <c r="YV911" s="471"/>
      <c r="YW911" s="471"/>
      <c r="YX911" s="471"/>
      <c r="YY911" s="471"/>
      <c r="YZ911" s="471"/>
      <c r="ZA911" s="471"/>
      <c r="ZB911" s="471"/>
      <c r="ZC911" s="471"/>
      <c r="ZD911" s="471"/>
      <c r="ZE911" s="471"/>
      <c r="ZF911" s="471"/>
      <c r="ZG911" s="471"/>
      <c r="ZH911" s="471"/>
      <c r="ZI911" s="471"/>
      <c r="ZJ911" s="471"/>
      <c r="ZK911" s="471"/>
      <c r="ZL911" s="471"/>
      <c r="ZM911" s="471"/>
      <c r="ZN911" s="471"/>
      <c r="ZO911" s="471"/>
      <c r="ZP911" s="471"/>
      <c r="ZQ911" s="471"/>
      <c r="ZR911" s="471"/>
      <c r="ZS911" s="471"/>
      <c r="ZT911" s="471"/>
      <c r="ZU911" s="471"/>
      <c r="ZV911" s="471"/>
      <c r="ZW911" s="471"/>
      <c r="ZX911" s="471"/>
      <c r="ZY911" s="471"/>
      <c r="ZZ911" s="471"/>
      <c r="AAA911" s="471"/>
      <c r="AAB911" s="471"/>
      <c r="AAC911" s="471"/>
      <c r="AAD911" s="471"/>
      <c r="AAE911" s="471"/>
      <c r="AAF911" s="471"/>
      <c r="AAG911" s="471"/>
      <c r="AAH911" s="471"/>
      <c r="AAI911" s="471"/>
      <c r="AAJ911" s="471"/>
      <c r="AAK911" s="471"/>
      <c r="AAL911" s="471"/>
      <c r="AAM911" s="471"/>
      <c r="AAN911" s="471"/>
      <c r="AAO911" s="471"/>
      <c r="AAP911" s="471"/>
      <c r="AAQ911" s="471"/>
      <c r="AAR911" s="471"/>
      <c r="AAS911" s="471"/>
      <c r="AAT911" s="471"/>
      <c r="AAU911" s="471"/>
      <c r="AAV911" s="471"/>
      <c r="AAW911" s="471"/>
      <c r="AAX911" s="471"/>
      <c r="AAY911" s="471"/>
      <c r="AAZ911" s="471"/>
      <c r="ABA911" s="471"/>
      <c r="ABB911" s="471"/>
      <c r="ABC911" s="471"/>
      <c r="ABD911" s="471"/>
      <c r="ABE911" s="471"/>
      <c r="ABF911" s="471"/>
      <c r="ABG911" s="471"/>
      <c r="ABH911" s="471"/>
      <c r="ABI911" s="471"/>
      <c r="ABJ911" s="471"/>
      <c r="ABK911" s="471"/>
      <c r="ABL911" s="471"/>
      <c r="ABM911" s="471"/>
      <c r="ABN911" s="471"/>
      <c r="ABO911" s="471"/>
      <c r="ABP911" s="471"/>
      <c r="ABQ911" s="471"/>
      <c r="ABR911" s="471"/>
      <c r="ABS911" s="471"/>
      <c r="ABT911" s="471"/>
      <c r="ABU911" s="471"/>
      <c r="ABV911" s="471"/>
      <c r="ABW911" s="471"/>
      <c r="ABX911" s="471"/>
      <c r="ABY911" s="471"/>
      <c r="ABZ911" s="471"/>
      <c r="ACA911" s="471"/>
      <c r="ACB911" s="471"/>
      <c r="ACC911" s="471"/>
      <c r="ACD911" s="471"/>
      <c r="ACE911" s="471"/>
      <c r="ACF911" s="471"/>
      <c r="ACG911" s="471"/>
      <c r="ACH911" s="471"/>
      <c r="ACI911" s="471"/>
      <c r="ACJ911" s="471"/>
      <c r="ACK911" s="471"/>
      <c r="ACL911" s="471"/>
      <c r="ACM911" s="471"/>
      <c r="ACN911" s="471"/>
      <c r="ACO911" s="471"/>
      <c r="ACP911" s="471"/>
      <c r="ACQ911" s="471"/>
      <c r="ACR911" s="471"/>
      <c r="ACS911" s="471"/>
      <c r="ACT911" s="471"/>
      <c r="ACU911" s="471"/>
      <c r="ACV911" s="471"/>
      <c r="ACW911" s="471"/>
      <c r="ACX911" s="471"/>
      <c r="ACY911" s="471"/>
      <c r="ACZ911" s="471"/>
      <c r="ADA911" s="471"/>
      <c r="ADB911" s="471"/>
      <c r="ADC911" s="471"/>
      <c r="ADD911" s="471"/>
      <c r="ADE911" s="471"/>
      <c r="ADF911" s="471"/>
      <c r="ADG911" s="471"/>
      <c r="ADH911" s="471"/>
      <c r="ADI911" s="471"/>
      <c r="ADJ911" s="471"/>
      <c r="ADK911" s="471"/>
      <c r="ADL911" s="471"/>
      <c r="ADM911" s="471"/>
      <c r="ADN911" s="471"/>
      <c r="ADO911" s="471"/>
      <c r="ADP911" s="471"/>
      <c r="ADQ911" s="471"/>
      <c r="ADR911" s="471"/>
      <c r="ADS911" s="471"/>
      <c r="ADT911" s="471"/>
      <c r="ADU911" s="471"/>
      <c r="ADV911" s="471"/>
      <c r="ADW911" s="471"/>
      <c r="ADX911" s="471"/>
      <c r="ADY911" s="471"/>
      <c r="ADZ911" s="471"/>
      <c r="AEA911" s="471"/>
      <c r="AEB911" s="471"/>
      <c r="AEC911" s="471"/>
      <c r="AED911" s="471"/>
      <c r="AEE911" s="471"/>
      <c r="AEF911" s="471"/>
      <c r="AEG911" s="471"/>
      <c r="AEH911" s="471"/>
      <c r="AEI911" s="471"/>
      <c r="AEJ911" s="471"/>
      <c r="AEK911" s="471"/>
      <c r="AEL911" s="471"/>
      <c r="AEM911" s="471"/>
      <c r="AEN911" s="471"/>
      <c r="AEO911" s="471"/>
      <c r="AEP911" s="471"/>
      <c r="AEQ911" s="471"/>
      <c r="AER911" s="471"/>
      <c r="AES911" s="471"/>
      <c r="AET911" s="471"/>
      <c r="AEU911" s="471"/>
      <c r="AEV911" s="471"/>
      <c r="AEW911" s="471"/>
      <c r="AEX911" s="471"/>
      <c r="AEY911" s="471"/>
      <c r="AEZ911" s="471"/>
      <c r="AFA911" s="471"/>
      <c r="AFB911" s="471"/>
      <c r="AFC911" s="471"/>
      <c r="AFD911" s="471"/>
      <c r="AFE911" s="471"/>
      <c r="AFF911" s="471"/>
      <c r="AFG911" s="471"/>
      <c r="AFH911" s="471"/>
      <c r="AFI911" s="471"/>
      <c r="AFJ911" s="471"/>
      <c r="AFK911" s="471"/>
      <c r="AFL911" s="471"/>
      <c r="AFM911" s="471"/>
      <c r="AFN911" s="471"/>
      <c r="AFO911" s="471"/>
      <c r="AFP911" s="471"/>
      <c r="AFQ911" s="471"/>
      <c r="AFR911" s="471"/>
      <c r="AFS911" s="471"/>
      <c r="AFT911" s="471"/>
      <c r="AFU911" s="471"/>
      <c r="AFV911" s="471"/>
      <c r="AFW911" s="471"/>
      <c r="AFX911" s="471"/>
      <c r="AFY911" s="471"/>
      <c r="AFZ911" s="471"/>
      <c r="AGA911" s="471"/>
      <c r="AGB911" s="471"/>
      <c r="AGC911" s="471"/>
      <c r="AGD911" s="471"/>
      <c r="AGE911" s="471"/>
      <c r="AGF911" s="471"/>
      <c r="AGG911" s="471"/>
      <c r="AGH911" s="471"/>
      <c r="AGI911" s="471"/>
      <c r="AGJ911" s="471"/>
      <c r="AGK911" s="471"/>
      <c r="AGL911" s="471"/>
      <c r="AGM911" s="471"/>
      <c r="AGN911" s="471"/>
      <c r="AGO911" s="471"/>
      <c r="AGP911" s="471"/>
      <c r="AGQ911" s="471"/>
      <c r="AGR911" s="471"/>
      <c r="AGS911" s="471"/>
      <c r="AGT911" s="471"/>
      <c r="AGU911" s="471"/>
      <c r="AGV911" s="471"/>
      <c r="AGW911" s="471"/>
      <c r="AGX911" s="471"/>
      <c r="AGY911" s="471"/>
      <c r="AGZ911" s="471"/>
      <c r="AHA911" s="471"/>
      <c r="AHB911" s="471"/>
      <c r="AHC911" s="471"/>
      <c r="AHD911" s="471"/>
      <c r="AHE911" s="471"/>
      <c r="AHF911" s="471"/>
      <c r="AHG911" s="471"/>
      <c r="AHH911" s="471"/>
      <c r="AHI911" s="471"/>
      <c r="AHJ911" s="471"/>
      <c r="AHK911" s="471"/>
      <c r="AHL911" s="471"/>
      <c r="AHM911" s="471"/>
      <c r="AHN911" s="471"/>
      <c r="AHO911" s="471"/>
      <c r="AHP911" s="471"/>
      <c r="AHQ911" s="471"/>
      <c r="AHR911" s="471"/>
      <c r="AHS911" s="471"/>
      <c r="AHT911" s="471"/>
      <c r="AHU911" s="471"/>
      <c r="AHV911" s="471"/>
      <c r="AHW911" s="471"/>
      <c r="AHX911" s="471"/>
      <c r="AHY911" s="471"/>
      <c r="AHZ911" s="471"/>
      <c r="AIA911" s="471"/>
      <c r="AIB911" s="471"/>
      <c r="AIC911" s="471"/>
      <c r="AID911" s="471"/>
      <c r="AIE911" s="471"/>
      <c r="AIF911" s="471"/>
      <c r="AIG911" s="471"/>
      <c r="AIH911" s="471"/>
      <c r="AII911" s="471"/>
      <c r="AIJ911" s="471"/>
      <c r="AIK911" s="471"/>
      <c r="AIL911" s="471"/>
      <c r="AIM911" s="471"/>
      <c r="AIN911" s="471"/>
      <c r="AIO911" s="471"/>
      <c r="AIP911" s="471"/>
      <c r="AIQ911" s="471"/>
      <c r="AIR911" s="471"/>
      <c r="AIS911" s="471"/>
      <c r="AIT911" s="471"/>
      <c r="AIU911" s="471"/>
      <c r="AIV911" s="471"/>
      <c r="AIW911" s="471"/>
      <c r="AIX911" s="471"/>
      <c r="AIY911" s="471"/>
      <c r="AIZ911" s="471"/>
      <c r="AJA911" s="471"/>
      <c r="AJB911" s="471"/>
      <c r="AJC911" s="471"/>
      <c r="AJD911" s="471"/>
      <c r="AJE911" s="471"/>
      <c r="AJF911" s="471"/>
      <c r="AJG911" s="471"/>
      <c r="AJH911" s="471"/>
      <c r="AJI911" s="471"/>
      <c r="AJJ911" s="471"/>
      <c r="AJK911" s="471"/>
      <c r="AJL911" s="471"/>
      <c r="AJM911" s="471"/>
      <c r="AJN911" s="471"/>
      <c r="AJO911" s="471"/>
      <c r="AJP911" s="471"/>
      <c r="AJQ911" s="471"/>
      <c r="AJR911" s="471"/>
      <c r="AJS911" s="471"/>
      <c r="AJT911" s="471"/>
      <c r="AJU911" s="471"/>
      <c r="AJV911" s="471"/>
      <c r="AJW911" s="471"/>
      <c r="AJX911" s="471"/>
      <c r="AJY911" s="471"/>
      <c r="AJZ911" s="471"/>
      <c r="AKA911" s="471"/>
      <c r="AKB911" s="471"/>
      <c r="AKC911" s="471"/>
      <c r="AKD911" s="471"/>
      <c r="AKE911" s="471"/>
      <c r="AKF911" s="471"/>
      <c r="AKG911" s="471"/>
      <c r="AKH911" s="471"/>
      <c r="AKI911" s="471"/>
      <c r="AKJ911" s="471"/>
      <c r="AKK911" s="471"/>
      <c r="AKL911" s="471"/>
      <c r="AKM911" s="471"/>
      <c r="AKN911" s="471"/>
      <c r="AKO911" s="471"/>
      <c r="AKP911" s="471"/>
      <c r="AKQ911" s="471"/>
      <c r="AKR911" s="471"/>
      <c r="AKS911" s="471"/>
      <c r="AKT911" s="471"/>
      <c r="AKU911" s="471"/>
      <c r="AKV911" s="471"/>
      <c r="AKW911" s="471"/>
      <c r="AKX911" s="471"/>
      <c r="AKY911" s="471"/>
      <c r="AKZ911" s="471"/>
      <c r="ALA911" s="471"/>
      <c r="ALB911" s="471"/>
      <c r="ALC911" s="471"/>
      <c r="ALD911" s="471"/>
      <c r="ALE911" s="471"/>
      <c r="ALF911" s="471"/>
      <c r="ALG911" s="471"/>
      <c r="ALH911" s="471"/>
      <c r="ALI911" s="471"/>
      <c r="ALJ911" s="471"/>
      <c r="ALK911" s="471"/>
      <c r="ALL911" s="471"/>
      <c r="ALM911" s="471"/>
      <c r="ALN911" s="471"/>
      <c r="ALO911" s="471"/>
      <c r="ALP911" s="471"/>
      <c r="ALQ911" s="471"/>
      <c r="ALR911" s="471"/>
      <c r="ALS911" s="471"/>
      <c r="ALT911" s="471"/>
      <c r="ALU911" s="471"/>
      <c r="ALV911" s="471"/>
      <c r="ALW911" s="471"/>
      <c r="ALX911" s="471"/>
      <c r="ALY911" s="471"/>
      <c r="ALZ911" s="471"/>
      <c r="AMA911" s="471"/>
      <c r="AMB911" s="471"/>
      <c r="AMC911" s="471"/>
      <c r="AMD911" s="471"/>
      <c r="AME911" s="471"/>
      <c r="AMF911" s="471"/>
      <c r="AMG911" s="471"/>
      <c r="AMH911" s="471"/>
      <c r="AMI911" s="471"/>
      <c r="AMJ911" s="471"/>
      <c r="AMK911" s="471"/>
      <c r="AML911" s="471"/>
      <c r="AMM911" s="471"/>
      <c r="AMN911" s="471"/>
      <c r="AMO911" s="471"/>
      <c r="AMP911" s="471"/>
      <c r="AMQ911" s="471"/>
      <c r="AMR911" s="471"/>
      <c r="AMS911" s="471"/>
      <c r="AMT911" s="471"/>
      <c r="AMU911" s="471"/>
      <c r="AMV911" s="471"/>
      <c r="AMW911" s="471"/>
      <c r="AMX911" s="471"/>
      <c r="AMY911" s="471"/>
      <c r="AMZ911" s="471"/>
      <c r="ANA911" s="471"/>
      <c r="ANB911" s="471"/>
      <c r="ANC911" s="471"/>
      <c r="AND911" s="471"/>
      <c r="ANE911" s="471"/>
      <c r="ANF911" s="471"/>
      <c r="ANG911" s="471"/>
      <c r="ANH911" s="471"/>
      <c r="ANI911" s="471"/>
      <c r="ANJ911" s="471"/>
      <c r="ANK911" s="471"/>
      <c r="ANL911" s="471"/>
      <c r="ANM911" s="471"/>
      <c r="ANN911" s="471"/>
      <c r="ANO911" s="471"/>
      <c r="ANP911" s="471"/>
      <c r="ANQ911" s="471"/>
      <c r="ANR911" s="471"/>
      <c r="ANS911" s="471"/>
      <c r="ANT911" s="471"/>
      <c r="ANU911" s="471"/>
      <c r="ANV911" s="471"/>
      <c r="ANW911" s="471"/>
      <c r="ANX911" s="471"/>
      <c r="ANY911" s="471"/>
      <c r="ANZ911" s="471"/>
      <c r="AOA911" s="471"/>
      <c r="AOB911" s="471"/>
      <c r="AOC911" s="471"/>
      <c r="AOD911" s="471"/>
      <c r="AOE911" s="471"/>
      <c r="AOF911" s="471"/>
      <c r="AOG911" s="471"/>
      <c r="AOH911" s="471"/>
      <c r="AOI911" s="471"/>
      <c r="AOJ911" s="471"/>
      <c r="AOK911" s="471"/>
      <c r="AOL911" s="471"/>
      <c r="AOM911" s="471"/>
      <c r="AON911" s="471"/>
      <c r="AOO911" s="471"/>
      <c r="AOP911" s="471"/>
      <c r="AOQ911" s="471"/>
      <c r="AOR911" s="471"/>
      <c r="AOS911" s="471"/>
      <c r="AOT911" s="471"/>
      <c r="AOU911" s="471"/>
      <c r="AOV911" s="471"/>
      <c r="AOW911" s="471"/>
      <c r="AOX911" s="471"/>
      <c r="AOY911" s="471"/>
      <c r="AOZ911" s="471"/>
      <c r="APA911" s="471"/>
      <c r="APB911" s="471"/>
      <c r="APC911" s="471"/>
      <c r="APD911" s="471"/>
      <c r="APE911" s="471"/>
      <c r="APF911" s="471"/>
      <c r="APG911" s="471"/>
      <c r="APH911" s="471"/>
      <c r="API911" s="471"/>
      <c r="APJ911" s="471"/>
      <c r="APK911" s="471"/>
      <c r="APL911" s="471"/>
      <c r="APM911" s="471"/>
      <c r="APN911" s="471"/>
      <c r="APO911" s="471"/>
      <c r="APP911" s="471"/>
      <c r="APQ911" s="471"/>
      <c r="APR911" s="471"/>
      <c r="APS911" s="471"/>
      <c r="APT911" s="471"/>
      <c r="APU911" s="471"/>
      <c r="APV911" s="471"/>
      <c r="APW911" s="471"/>
      <c r="APX911" s="471"/>
      <c r="APY911" s="471"/>
      <c r="APZ911" s="471"/>
      <c r="AQA911" s="471"/>
      <c r="AQB911" s="471"/>
      <c r="AQC911" s="471"/>
      <c r="AQD911" s="471"/>
      <c r="AQE911" s="471"/>
      <c r="AQF911" s="471"/>
      <c r="AQG911" s="471"/>
      <c r="AQH911" s="471"/>
      <c r="AQI911" s="471"/>
      <c r="AQJ911" s="471"/>
      <c r="AQK911" s="471"/>
      <c r="AQL911" s="471"/>
      <c r="AQM911" s="471"/>
      <c r="AQN911" s="471"/>
      <c r="AQO911" s="471"/>
      <c r="AQP911" s="471"/>
      <c r="AQQ911" s="471"/>
      <c r="AQR911" s="471"/>
      <c r="AQS911" s="471"/>
      <c r="AQT911" s="471"/>
      <c r="AQU911" s="471"/>
      <c r="AQV911" s="471"/>
      <c r="AQW911" s="471"/>
      <c r="AQX911" s="471"/>
      <c r="AQY911" s="471"/>
      <c r="AQZ911" s="471"/>
      <c r="ARA911" s="471"/>
      <c r="ARB911" s="471"/>
      <c r="ARC911" s="471"/>
      <c r="ARD911" s="471"/>
      <c r="ARE911" s="471"/>
      <c r="ARF911" s="471"/>
      <c r="ARG911" s="471"/>
      <c r="ARH911" s="471"/>
      <c r="ARI911" s="471"/>
      <c r="ARJ911" s="471"/>
      <c r="ARK911" s="471"/>
      <c r="ARL911" s="471"/>
      <c r="ARM911" s="471"/>
      <c r="ARN911" s="471"/>
      <c r="ARO911" s="471"/>
      <c r="ARP911" s="471"/>
      <c r="ARQ911" s="471"/>
      <c r="ARR911" s="471"/>
      <c r="ARS911" s="471"/>
      <c r="ART911" s="471"/>
      <c r="ARU911" s="471"/>
      <c r="ARV911" s="471"/>
      <c r="ARW911" s="471"/>
      <c r="ARX911" s="471"/>
      <c r="ARY911" s="471"/>
      <c r="ARZ911" s="471"/>
      <c r="ASA911" s="471"/>
      <c r="ASB911" s="471"/>
      <c r="ASC911" s="471"/>
      <c r="ASD911" s="471"/>
      <c r="ASE911" s="471"/>
      <c r="ASF911" s="471"/>
      <c r="ASG911" s="471"/>
      <c r="ASH911" s="471"/>
      <c r="ASI911" s="471"/>
      <c r="ASJ911" s="471"/>
      <c r="ASK911" s="471"/>
      <c r="ASL911" s="471"/>
      <c r="ASM911" s="471"/>
      <c r="ASN911" s="471"/>
      <c r="ASO911" s="471"/>
      <c r="ASP911" s="471"/>
      <c r="ASQ911" s="471"/>
      <c r="ASR911" s="471"/>
      <c r="ASS911" s="471"/>
      <c r="AST911" s="471"/>
      <c r="ASU911" s="471"/>
      <c r="ASV911" s="471"/>
      <c r="ASW911" s="471"/>
      <c r="ASX911" s="471"/>
      <c r="ASY911" s="471"/>
      <c r="ASZ911" s="471"/>
      <c r="ATA911" s="471"/>
      <c r="ATB911" s="471"/>
      <c r="ATC911" s="471"/>
      <c r="ATD911" s="471"/>
      <c r="ATE911" s="471"/>
      <c r="ATF911" s="471"/>
      <c r="ATG911" s="471"/>
      <c r="ATH911" s="471"/>
      <c r="ATI911" s="471"/>
      <c r="ATJ911" s="471"/>
      <c r="ATK911" s="471"/>
      <c r="ATL911" s="471"/>
      <c r="ATM911" s="471"/>
      <c r="ATN911" s="471"/>
      <c r="ATO911" s="471"/>
      <c r="ATP911" s="471"/>
      <c r="ATQ911" s="471"/>
      <c r="ATR911" s="471"/>
      <c r="ATS911" s="471"/>
      <c r="ATT911" s="471"/>
      <c r="ATU911" s="471"/>
      <c r="ATV911" s="471"/>
      <c r="ATW911" s="471"/>
      <c r="ATX911" s="471"/>
      <c r="ATY911" s="471"/>
      <c r="ATZ911" s="471"/>
      <c r="AUA911" s="471"/>
      <c r="AUB911" s="471"/>
      <c r="AUC911" s="471"/>
      <c r="AUD911" s="471"/>
      <c r="AUE911" s="471"/>
      <c r="AUF911" s="471"/>
      <c r="AUG911" s="471"/>
      <c r="AUH911" s="471"/>
      <c r="AUI911" s="471"/>
      <c r="AUJ911" s="471"/>
      <c r="AUK911" s="471"/>
      <c r="AUL911" s="471"/>
      <c r="AUM911" s="471"/>
      <c r="AUN911" s="471"/>
      <c r="AUO911" s="471"/>
      <c r="AUP911" s="471"/>
      <c r="AUQ911" s="471"/>
      <c r="AUR911" s="471"/>
      <c r="AUS911" s="471"/>
      <c r="AUT911" s="471"/>
      <c r="AUU911" s="471"/>
      <c r="AUV911" s="471"/>
      <c r="AUW911" s="471"/>
      <c r="AUX911" s="471"/>
      <c r="AUY911" s="471"/>
      <c r="AUZ911" s="471"/>
      <c r="AVA911" s="471"/>
      <c r="AVB911" s="471"/>
      <c r="AVC911" s="471"/>
      <c r="AVD911" s="471"/>
      <c r="AVE911" s="471"/>
      <c r="AVF911" s="471"/>
      <c r="AVG911" s="471"/>
      <c r="AVH911" s="471"/>
      <c r="AVI911" s="471"/>
      <c r="AVJ911" s="471"/>
      <c r="AVK911" s="471"/>
    </row>
    <row r="912" spans="1:1259" s="511" customFormat="1" ht="15" customHeight="1">
      <c r="A912" s="472"/>
      <c r="B912" s="472"/>
      <c r="C912" s="472"/>
      <c r="D912" s="512" t="s">
        <v>3186</v>
      </c>
      <c r="E912" s="501"/>
      <c r="F912" s="501"/>
      <c r="G912" s="501">
        <v>2022</v>
      </c>
      <c r="H912" s="501"/>
      <c r="I912" s="496" t="s">
        <v>1676</v>
      </c>
      <c r="J912" s="502"/>
      <c r="K912" s="503" t="s">
        <v>5773</v>
      </c>
      <c r="L912" s="501" t="s">
        <v>3297</v>
      </c>
      <c r="M912" s="504">
        <v>44671</v>
      </c>
      <c r="N912" s="504">
        <v>44853</v>
      </c>
      <c r="O912" s="504"/>
      <c r="P912" s="502"/>
      <c r="Q912" s="502"/>
      <c r="R912" s="502"/>
      <c r="S912" s="501" t="s">
        <v>2379</v>
      </c>
      <c r="T912" s="501">
        <v>60</v>
      </c>
      <c r="U912" s="501"/>
      <c r="V912" s="501" t="s">
        <v>973</v>
      </c>
      <c r="W912" s="501">
        <v>400</v>
      </c>
      <c r="X912" s="505">
        <v>4992</v>
      </c>
      <c r="Y912" s="491">
        <f t="shared" si="130"/>
        <v>1996800</v>
      </c>
      <c r="Z912" s="506">
        <v>0.6</v>
      </c>
      <c r="AA912" s="492">
        <f t="shared" si="134"/>
        <v>1198080</v>
      </c>
      <c r="AB912" s="480"/>
      <c r="AC912" s="481">
        <f t="shared" si="131"/>
        <v>0</v>
      </c>
      <c r="AD912" s="508"/>
      <c r="AE912" s="507">
        <v>45676.800000000003</v>
      </c>
      <c r="AF912" s="493">
        <f t="shared" si="132"/>
        <v>1243756.8</v>
      </c>
      <c r="AG912" s="501" t="s">
        <v>47</v>
      </c>
      <c r="AH912" s="501"/>
      <c r="AI912" s="503">
        <v>60</v>
      </c>
      <c r="AJ912" s="501" t="s">
        <v>1790</v>
      </c>
      <c r="AK912" s="509" t="s">
        <v>50</v>
      </c>
      <c r="AL912" s="501">
        <v>95826</v>
      </c>
      <c r="AM912" s="501" t="s">
        <v>52</v>
      </c>
      <c r="AN912" s="501"/>
      <c r="AO912" s="501"/>
      <c r="AP912" s="510"/>
      <c r="AQ912" s="510" t="s">
        <v>37</v>
      </c>
      <c r="AR912" s="510"/>
      <c r="AS912" s="495"/>
      <c r="AT912" s="495"/>
      <c r="AU912" s="495"/>
      <c r="AV912" s="506">
        <f t="shared" si="133"/>
        <v>0.48000000000000004</v>
      </c>
      <c r="AW912" s="471"/>
      <c r="AX912" s="471"/>
      <c r="AY912" s="471"/>
      <c r="AZ912" s="471"/>
      <c r="BA912" s="471"/>
      <c r="BB912" s="471"/>
      <c r="BC912" s="471"/>
      <c r="BD912" s="471"/>
      <c r="BE912" s="471"/>
      <c r="BF912" s="471"/>
      <c r="BG912" s="471"/>
      <c r="BH912" s="471"/>
      <c r="BI912" s="471"/>
      <c r="BJ912" s="471"/>
      <c r="BK912" s="471"/>
      <c r="BL912" s="471"/>
      <c r="BM912" s="471"/>
      <c r="BN912" s="471"/>
      <c r="BO912" s="471"/>
      <c r="BP912" s="471"/>
      <c r="BQ912" s="471"/>
      <c r="BR912" s="471"/>
      <c r="BS912" s="471"/>
      <c r="BT912" s="471"/>
      <c r="BU912" s="471"/>
      <c r="BV912" s="471"/>
      <c r="BW912" s="471"/>
      <c r="BX912" s="471"/>
      <c r="BY912" s="471"/>
      <c r="BZ912" s="471"/>
      <c r="CA912" s="471"/>
      <c r="CB912" s="471"/>
      <c r="CC912" s="471"/>
      <c r="CD912" s="471"/>
      <c r="CE912" s="471"/>
      <c r="CF912" s="471"/>
      <c r="CG912" s="471"/>
      <c r="CH912" s="471"/>
      <c r="CI912" s="471"/>
      <c r="CJ912" s="471"/>
      <c r="CK912" s="471"/>
      <c r="CL912" s="471"/>
      <c r="CM912" s="471"/>
      <c r="CN912" s="471"/>
      <c r="CO912" s="471"/>
      <c r="CP912" s="471"/>
      <c r="CQ912" s="471"/>
      <c r="CR912" s="471"/>
      <c r="CS912" s="471"/>
      <c r="CT912" s="471"/>
      <c r="CU912" s="471"/>
      <c r="CV912" s="471"/>
      <c r="CW912" s="471"/>
      <c r="CX912" s="471"/>
      <c r="CY912" s="471"/>
      <c r="CZ912" s="471"/>
      <c r="DA912" s="471"/>
      <c r="DB912" s="471"/>
      <c r="DC912" s="471"/>
      <c r="DD912" s="471"/>
      <c r="DE912" s="471"/>
      <c r="DF912" s="471"/>
      <c r="DG912" s="471"/>
      <c r="DH912" s="471"/>
      <c r="DI912" s="471"/>
      <c r="DJ912" s="471"/>
      <c r="DK912" s="471"/>
      <c r="DL912" s="471"/>
      <c r="DM912" s="471"/>
      <c r="DN912" s="471"/>
      <c r="DO912" s="471"/>
      <c r="DP912" s="471"/>
      <c r="DQ912" s="471"/>
      <c r="DR912" s="471"/>
      <c r="DS912" s="471"/>
      <c r="DT912" s="471"/>
      <c r="DU912" s="471"/>
      <c r="DV912" s="471"/>
      <c r="DW912" s="471"/>
      <c r="DX912" s="471"/>
      <c r="DY912" s="471"/>
      <c r="DZ912" s="471"/>
      <c r="EA912" s="471"/>
      <c r="EB912" s="471"/>
      <c r="EC912" s="471"/>
      <c r="ED912" s="471"/>
      <c r="EE912" s="471"/>
      <c r="EF912" s="471"/>
      <c r="EG912" s="471"/>
      <c r="EH912" s="471"/>
      <c r="EI912" s="471"/>
      <c r="EJ912" s="471"/>
      <c r="EK912" s="471"/>
      <c r="EL912" s="471"/>
      <c r="EM912" s="471"/>
      <c r="EN912" s="471"/>
      <c r="EO912" s="471"/>
      <c r="EP912" s="471"/>
      <c r="EQ912" s="471"/>
      <c r="ER912" s="471"/>
      <c r="ES912" s="471"/>
      <c r="ET912" s="471"/>
      <c r="EU912" s="471"/>
      <c r="EV912" s="471"/>
      <c r="EW912" s="471"/>
      <c r="EX912" s="471"/>
      <c r="EY912" s="471"/>
      <c r="EZ912" s="471"/>
      <c r="FA912" s="471"/>
      <c r="FB912" s="471"/>
      <c r="FC912" s="471"/>
      <c r="FD912" s="471"/>
      <c r="FE912" s="471"/>
      <c r="FF912" s="471"/>
      <c r="FG912" s="471"/>
      <c r="FH912" s="471"/>
      <c r="FI912" s="471"/>
      <c r="FJ912" s="471"/>
      <c r="FK912" s="471"/>
      <c r="FL912" s="471"/>
      <c r="FM912" s="471"/>
      <c r="FN912" s="471"/>
      <c r="FO912" s="471"/>
      <c r="FP912" s="471"/>
      <c r="FQ912" s="471"/>
      <c r="FR912" s="471"/>
      <c r="FS912" s="471"/>
      <c r="FT912" s="471"/>
      <c r="FU912" s="471"/>
      <c r="FV912" s="471"/>
      <c r="FW912" s="471"/>
      <c r="FX912" s="471"/>
      <c r="FY912" s="471"/>
      <c r="FZ912" s="471"/>
      <c r="GA912" s="471"/>
      <c r="GB912" s="471"/>
      <c r="GC912" s="471"/>
      <c r="GD912" s="471"/>
      <c r="GE912" s="471"/>
      <c r="GF912" s="471"/>
      <c r="GG912" s="471"/>
      <c r="GH912" s="471"/>
      <c r="GI912" s="471"/>
      <c r="GJ912" s="471"/>
      <c r="GK912" s="471"/>
      <c r="GL912" s="471"/>
      <c r="GM912" s="471"/>
      <c r="GN912" s="471"/>
      <c r="GO912" s="471"/>
      <c r="GP912" s="471"/>
      <c r="GQ912" s="471"/>
      <c r="GR912" s="471"/>
      <c r="GS912" s="471"/>
      <c r="GT912" s="471"/>
      <c r="GU912" s="471"/>
      <c r="GV912" s="471"/>
      <c r="GW912" s="471"/>
      <c r="GX912" s="471"/>
      <c r="GY912" s="471"/>
      <c r="GZ912" s="471"/>
      <c r="HA912" s="471"/>
      <c r="HB912" s="471"/>
      <c r="HC912" s="471"/>
      <c r="HD912" s="471"/>
      <c r="HE912" s="471"/>
      <c r="HF912" s="471"/>
      <c r="HG912" s="471"/>
      <c r="HH912" s="471"/>
      <c r="HI912" s="471"/>
      <c r="HJ912" s="471"/>
      <c r="HK912" s="471"/>
      <c r="HL912" s="471"/>
      <c r="HM912" s="471"/>
      <c r="HN912" s="471"/>
      <c r="HO912" s="471"/>
      <c r="HP912" s="471"/>
      <c r="HQ912" s="471"/>
      <c r="HR912" s="471"/>
      <c r="HS912" s="471"/>
      <c r="HT912" s="471"/>
      <c r="HU912" s="471"/>
      <c r="HV912" s="471"/>
      <c r="HW912" s="471"/>
      <c r="HX912" s="471"/>
      <c r="HY912" s="471"/>
      <c r="HZ912" s="471"/>
      <c r="IA912" s="471"/>
      <c r="IB912" s="471"/>
      <c r="IC912" s="471"/>
      <c r="ID912" s="471"/>
      <c r="IE912" s="471"/>
      <c r="IF912" s="471"/>
      <c r="IG912" s="471"/>
      <c r="IH912" s="471"/>
      <c r="II912" s="471"/>
      <c r="IJ912" s="471"/>
      <c r="IK912" s="471"/>
      <c r="IL912" s="471"/>
      <c r="IM912" s="471"/>
      <c r="IN912" s="471"/>
      <c r="IO912" s="471"/>
      <c r="IP912" s="471"/>
      <c r="IQ912" s="471"/>
      <c r="IR912" s="471"/>
      <c r="IS912" s="471"/>
      <c r="IT912" s="471"/>
      <c r="IU912" s="471"/>
      <c r="IV912" s="471"/>
      <c r="IW912" s="471"/>
      <c r="IX912" s="471"/>
      <c r="IY912" s="471"/>
      <c r="IZ912" s="471"/>
      <c r="JA912" s="471"/>
      <c r="JB912" s="471"/>
      <c r="JC912" s="471"/>
      <c r="JD912" s="471"/>
      <c r="JE912" s="471"/>
      <c r="JF912" s="471"/>
      <c r="JG912" s="471"/>
      <c r="JH912" s="471"/>
      <c r="JI912" s="471"/>
      <c r="JJ912" s="471"/>
      <c r="JK912" s="471"/>
      <c r="JL912" s="471"/>
      <c r="JM912" s="471"/>
      <c r="JN912" s="471"/>
      <c r="JO912" s="471"/>
      <c r="JP912" s="471"/>
      <c r="JQ912" s="471"/>
      <c r="JR912" s="471"/>
      <c r="JS912" s="471"/>
      <c r="JT912" s="471"/>
      <c r="JU912" s="471"/>
      <c r="JV912" s="471"/>
      <c r="JW912" s="471"/>
      <c r="JX912" s="471"/>
      <c r="JY912" s="471"/>
      <c r="JZ912" s="471"/>
      <c r="KA912" s="471"/>
      <c r="KB912" s="471"/>
      <c r="KC912" s="471"/>
      <c r="KD912" s="471"/>
      <c r="KE912" s="471"/>
      <c r="KF912" s="471"/>
      <c r="KG912" s="471"/>
      <c r="KH912" s="471"/>
      <c r="KI912" s="471"/>
      <c r="KJ912" s="471"/>
      <c r="KK912" s="471"/>
      <c r="KL912" s="471"/>
      <c r="KM912" s="471"/>
      <c r="KN912" s="471"/>
      <c r="KO912" s="471"/>
      <c r="KP912" s="471"/>
      <c r="KQ912" s="471"/>
      <c r="KR912" s="471"/>
      <c r="KS912" s="471"/>
      <c r="KT912" s="471"/>
      <c r="KU912" s="471"/>
      <c r="KV912" s="471"/>
      <c r="KW912" s="471"/>
      <c r="KX912" s="471"/>
      <c r="KY912" s="471"/>
      <c r="KZ912" s="471"/>
      <c r="LA912" s="471"/>
      <c r="LB912" s="471"/>
      <c r="LC912" s="471"/>
      <c r="LD912" s="471"/>
      <c r="LE912" s="471"/>
      <c r="LF912" s="471"/>
      <c r="LG912" s="471"/>
      <c r="LH912" s="471"/>
      <c r="LI912" s="471"/>
      <c r="LJ912" s="471"/>
      <c r="LK912" s="471"/>
      <c r="LL912" s="471"/>
      <c r="LM912" s="471"/>
      <c r="LN912" s="471"/>
      <c r="LO912" s="471"/>
      <c r="LP912" s="471"/>
      <c r="LQ912" s="471"/>
      <c r="LR912" s="471"/>
      <c r="LS912" s="471"/>
      <c r="LT912" s="471"/>
      <c r="LU912" s="471"/>
      <c r="LV912" s="471"/>
      <c r="LW912" s="471"/>
      <c r="LX912" s="471"/>
      <c r="LY912" s="471"/>
      <c r="LZ912" s="471"/>
      <c r="MA912" s="471"/>
      <c r="MB912" s="471"/>
      <c r="MC912" s="471"/>
      <c r="MD912" s="471"/>
      <c r="ME912" s="471"/>
      <c r="MF912" s="471"/>
      <c r="MG912" s="471"/>
      <c r="MH912" s="471"/>
      <c r="MI912" s="471"/>
      <c r="MJ912" s="471"/>
      <c r="MK912" s="471"/>
      <c r="ML912" s="471"/>
      <c r="MM912" s="471"/>
      <c r="MN912" s="471"/>
      <c r="MO912" s="471"/>
      <c r="MP912" s="471"/>
      <c r="MQ912" s="471"/>
      <c r="MR912" s="471"/>
      <c r="MS912" s="471"/>
      <c r="MT912" s="471"/>
      <c r="MU912" s="471"/>
      <c r="MV912" s="471"/>
      <c r="MW912" s="471"/>
      <c r="MX912" s="471"/>
      <c r="MY912" s="471"/>
      <c r="MZ912" s="471"/>
      <c r="NA912" s="471"/>
      <c r="NB912" s="471"/>
      <c r="NC912" s="471"/>
      <c r="ND912" s="471"/>
      <c r="NE912" s="471"/>
      <c r="NF912" s="471"/>
      <c r="NG912" s="471"/>
      <c r="NH912" s="471"/>
      <c r="NI912" s="471"/>
      <c r="NJ912" s="471"/>
      <c r="NK912" s="471"/>
      <c r="NL912" s="471"/>
      <c r="NM912" s="471"/>
      <c r="NN912" s="471"/>
      <c r="NO912" s="471"/>
      <c r="NP912" s="471"/>
      <c r="NQ912" s="471"/>
      <c r="NR912" s="471"/>
      <c r="NS912" s="471"/>
      <c r="NT912" s="471"/>
      <c r="NU912" s="471"/>
      <c r="NV912" s="471"/>
      <c r="NW912" s="471"/>
      <c r="NX912" s="471"/>
      <c r="NY912" s="471"/>
      <c r="NZ912" s="471"/>
      <c r="OA912" s="471"/>
      <c r="OB912" s="471"/>
      <c r="OC912" s="471"/>
      <c r="OD912" s="471"/>
      <c r="OE912" s="471"/>
      <c r="OF912" s="471"/>
      <c r="OG912" s="471"/>
      <c r="OH912" s="471"/>
      <c r="OI912" s="471"/>
      <c r="OJ912" s="471"/>
      <c r="OK912" s="471"/>
      <c r="OL912" s="471"/>
      <c r="OM912" s="471"/>
      <c r="ON912" s="471"/>
      <c r="OO912" s="471"/>
      <c r="OP912" s="471"/>
      <c r="OQ912" s="471"/>
      <c r="OR912" s="471"/>
      <c r="OS912" s="471"/>
      <c r="OT912" s="471"/>
      <c r="OU912" s="471"/>
      <c r="OV912" s="471"/>
      <c r="OW912" s="471"/>
      <c r="OX912" s="471"/>
      <c r="OY912" s="471"/>
      <c r="OZ912" s="471"/>
      <c r="PA912" s="471"/>
      <c r="PB912" s="471"/>
      <c r="PC912" s="471"/>
      <c r="PD912" s="471"/>
      <c r="PE912" s="471"/>
      <c r="PF912" s="471"/>
      <c r="PG912" s="471"/>
      <c r="PH912" s="471"/>
      <c r="PI912" s="471"/>
      <c r="PJ912" s="471"/>
      <c r="PK912" s="471"/>
      <c r="PL912" s="471"/>
      <c r="PM912" s="471"/>
      <c r="PN912" s="471"/>
      <c r="PO912" s="471"/>
      <c r="PP912" s="471"/>
      <c r="PQ912" s="471"/>
      <c r="PR912" s="471"/>
      <c r="PS912" s="471"/>
      <c r="PT912" s="471"/>
      <c r="PU912" s="471"/>
      <c r="PV912" s="471"/>
      <c r="PW912" s="471"/>
      <c r="PX912" s="471"/>
      <c r="PY912" s="471"/>
      <c r="PZ912" s="471"/>
      <c r="QA912" s="471"/>
      <c r="QB912" s="471"/>
      <c r="QC912" s="471"/>
      <c r="QD912" s="471"/>
      <c r="QE912" s="471"/>
      <c r="QF912" s="471"/>
      <c r="QG912" s="471"/>
      <c r="QH912" s="471"/>
      <c r="QI912" s="471"/>
      <c r="QJ912" s="471"/>
      <c r="QK912" s="471"/>
      <c r="QL912" s="471"/>
      <c r="QM912" s="471"/>
      <c r="QN912" s="471"/>
      <c r="QO912" s="471"/>
      <c r="QP912" s="471"/>
      <c r="QQ912" s="471"/>
      <c r="QR912" s="471"/>
      <c r="QS912" s="471"/>
      <c r="QT912" s="471"/>
      <c r="QU912" s="471"/>
      <c r="QV912" s="471"/>
      <c r="QW912" s="471"/>
      <c r="QX912" s="471"/>
      <c r="QY912" s="471"/>
      <c r="QZ912" s="471"/>
      <c r="RA912" s="471"/>
      <c r="RB912" s="471"/>
      <c r="RC912" s="471"/>
      <c r="RD912" s="471"/>
      <c r="RE912" s="471"/>
      <c r="RF912" s="471"/>
      <c r="RG912" s="471"/>
      <c r="RH912" s="471"/>
      <c r="RI912" s="471"/>
      <c r="RJ912" s="471"/>
      <c r="RK912" s="471"/>
      <c r="RL912" s="471"/>
      <c r="RM912" s="471"/>
      <c r="RN912" s="471"/>
      <c r="RO912" s="471"/>
      <c r="RP912" s="471"/>
      <c r="RQ912" s="471"/>
      <c r="RR912" s="471"/>
      <c r="RS912" s="471"/>
      <c r="RT912" s="471"/>
      <c r="RU912" s="471"/>
      <c r="RV912" s="471"/>
      <c r="RW912" s="471"/>
      <c r="RX912" s="471"/>
      <c r="RY912" s="471"/>
      <c r="RZ912" s="471"/>
      <c r="SA912" s="471"/>
      <c r="SB912" s="471"/>
      <c r="SC912" s="471"/>
      <c r="SD912" s="471"/>
      <c r="SE912" s="471"/>
      <c r="SF912" s="471"/>
      <c r="SG912" s="471"/>
      <c r="SH912" s="471"/>
      <c r="SI912" s="471"/>
      <c r="SJ912" s="471"/>
      <c r="SK912" s="471"/>
      <c r="SL912" s="471"/>
      <c r="SM912" s="471"/>
      <c r="SN912" s="471"/>
      <c r="SO912" s="471"/>
      <c r="SP912" s="471"/>
      <c r="SQ912" s="471"/>
      <c r="SR912" s="471"/>
      <c r="SS912" s="471"/>
      <c r="ST912" s="471"/>
      <c r="SU912" s="471"/>
      <c r="SV912" s="471"/>
      <c r="SW912" s="471"/>
      <c r="SX912" s="471"/>
      <c r="SY912" s="471"/>
      <c r="SZ912" s="471"/>
      <c r="TA912" s="471"/>
      <c r="TB912" s="471"/>
      <c r="TC912" s="471"/>
      <c r="TD912" s="471"/>
      <c r="TE912" s="471"/>
      <c r="TF912" s="471"/>
      <c r="TG912" s="471"/>
      <c r="TH912" s="471"/>
      <c r="TI912" s="471"/>
      <c r="TJ912" s="471"/>
      <c r="TK912" s="471"/>
      <c r="TL912" s="471"/>
      <c r="TM912" s="471"/>
      <c r="TN912" s="471"/>
      <c r="TO912" s="471"/>
      <c r="TP912" s="471"/>
      <c r="TQ912" s="471"/>
      <c r="TR912" s="471"/>
      <c r="TS912" s="471"/>
      <c r="TT912" s="471"/>
      <c r="TU912" s="471"/>
      <c r="TV912" s="471"/>
      <c r="TW912" s="471"/>
      <c r="TX912" s="471"/>
      <c r="TY912" s="471"/>
      <c r="TZ912" s="471"/>
      <c r="UA912" s="471"/>
      <c r="UB912" s="471"/>
      <c r="UC912" s="471"/>
      <c r="UD912" s="471"/>
      <c r="UE912" s="471"/>
      <c r="UF912" s="471"/>
      <c r="UG912" s="471"/>
      <c r="UH912" s="471"/>
      <c r="UI912" s="471"/>
      <c r="UJ912" s="471"/>
      <c r="UK912" s="471"/>
      <c r="UL912" s="471"/>
      <c r="UM912" s="471"/>
      <c r="UN912" s="471"/>
      <c r="UO912" s="471"/>
      <c r="UP912" s="471"/>
      <c r="UQ912" s="471"/>
      <c r="UR912" s="471"/>
      <c r="US912" s="471"/>
      <c r="UT912" s="471"/>
      <c r="UU912" s="471"/>
      <c r="UV912" s="471"/>
      <c r="UW912" s="471"/>
      <c r="UX912" s="471"/>
      <c r="UY912" s="471"/>
      <c r="UZ912" s="471"/>
      <c r="VA912" s="471"/>
      <c r="VB912" s="471"/>
      <c r="VC912" s="471"/>
      <c r="VD912" s="471"/>
      <c r="VE912" s="471"/>
      <c r="VF912" s="471"/>
      <c r="VG912" s="471"/>
      <c r="VH912" s="471"/>
      <c r="VI912" s="471"/>
      <c r="VJ912" s="471"/>
      <c r="VK912" s="471"/>
      <c r="VL912" s="471"/>
      <c r="VM912" s="471"/>
      <c r="VN912" s="471"/>
      <c r="VO912" s="471"/>
      <c r="VP912" s="471"/>
      <c r="VQ912" s="471"/>
      <c r="VR912" s="471"/>
      <c r="VS912" s="471"/>
      <c r="VT912" s="471"/>
      <c r="VU912" s="471"/>
      <c r="VV912" s="471"/>
      <c r="VW912" s="471"/>
      <c r="VX912" s="471"/>
      <c r="VY912" s="471"/>
      <c r="VZ912" s="471"/>
      <c r="WA912" s="471"/>
      <c r="WB912" s="471"/>
      <c r="WC912" s="471"/>
      <c r="WD912" s="471"/>
      <c r="WE912" s="471"/>
      <c r="WF912" s="471"/>
      <c r="WG912" s="471"/>
      <c r="WH912" s="471"/>
      <c r="WI912" s="471"/>
      <c r="WJ912" s="471"/>
      <c r="WK912" s="471"/>
      <c r="WL912" s="471"/>
      <c r="WM912" s="471"/>
      <c r="WN912" s="471"/>
      <c r="WO912" s="471"/>
      <c r="WP912" s="471"/>
      <c r="WQ912" s="471"/>
      <c r="WR912" s="471"/>
      <c r="WS912" s="471"/>
      <c r="WT912" s="471"/>
      <c r="WU912" s="471"/>
      <c r="WV912" s="471"/>
      <c r="WW912" s="471"/>
      <c r="WX912" s="471"/>
      <c r="WY912" s="471"/>
      <c r="WZ912" s="471"/>
      <c r="XA912" s="471"/>
      <c r="XB912" s="471"/>
      <c r="XC912" s="471"/>
      <c r="XD912" s="471"/>
      <c r="XE912" s="471"/>
      <c r="XF912" s="471"/>
      <c r="XG912" s="471"/>
      <c r="XH912" s="471"/>
      <c r="XI912" s="471"/>
      <c r="XJ912" s="471"/>
      <c r="XK912" s="471"/>
      <c r="XL912" s="471"/>
      <c r="XM912" s="471"/>
      <c r="XN912" s="471"/>
      <c r="XO912" s="471"/>
      <c r="XP912" s="471"/>
      <c r="XQ912" s="471"/>
      <c r="XR912" s="471"/>
      <c r="XS912" s="471"/>
      <c r="XT912" s="471"/>
      <c r="XU912" s="471"/>
      <c r="XV912" s="471"/>
      <c r="XW912" s="471"/>
      <c r="XX912" s="471"/>
      <c r="XY912" s="471"/>
      <c r="XZ912" s="471"/>
      <c r="YA912" s="471"/>
      <c r="YB912" s="471"/>
      <c r="YC912" s="471"/>
      <c r="YD912" s="471"/>
      <c r="YE912" s="471"/>
      <c r="YF912" s="471"/>
      <c r="YG912" s="471"/>
      <c r="YH912" s="471"/>
      <c r="YI912" s="471"/>
      <c r="YJ912" s="471"/>
      <c r="YK912" s="471"/>
      <c r="YL912" s="471"/>
      <c r="YM912" s="471"/>
      <c r="YN912" s="471"/>
      <c r="YO912" s="471"/>
      <c r="YP912" s="471"/>
      <c r="YQ912" s="471"/>
      <c r="YR912" s="471"/>
      <c r="YS912" s="471"/>
      <c r="YT912" s="471"/>
      <c r="YU912" s="471"/>
      <c r="YV912" s="471"/>
      <c r="YW912" s="471"/>
      <c r="YX912" s="471"/>
      <c r="YY912" s="471"/>
      <c r="YZ912" s="471"/>
      <c r="ZA912" s="471"/>
      <c r="ZB912" s="471"/>
      <c r="ZC912" s="471"/>
      <c r="ZD912" s="471"/>
      <c r="ZE912" s="471"/>
      <c r="ZF912" s="471"/>
      <c r="ZG912" s="471"/>
      <c r="ZH912" s="471"/>
      <c r="ZI912" s="471"/>
      <c r="ZJ912" s="471"/>
      <c r="ZK912" s="471"/>
      <c r="ZL912" s="471"/>
      <c r="ZM912" s="471"/>
      <c r="ZN912" s="471"/>
      <c r="ZO912" s="471"/>
      <c r="ZP912" s="471"/>
      <c r="ZQ912" s="471"/>
      <c r="ZR912" s="471"/>
      <c r="ZS912" s="471"/>
      <c r="ZT912" s="471"/>
      <c r="ZU912" s="471"/>
      <c r="ZV912" s="471"/>
      <c r="ZW912" s="471"/>
      <c r="ZX912" s="471"/>
      <c r="ZY912" s="471"/>
      <c r="ZZ912" s="471"/>
      <c r="AAA912" s="471"/>
      <c r="AAB912" s="471"/>
      <c r="AAC912" s="471"/>
      <c r="AAD912" s="471"/>
      <c r="AAE912" s="471"/>
      <c r="AAF912" s="471"/>
      <c r="AAG912" s="471"/>
      <c r="AAH912" s="471"/>
      <c r="AAI912" s="471"/>
      <c r="AAJ912" s="471"/>
      <c r="AAK912" s="471"/>
      <c r="AAL912" s="471"/>
      <c r="AAM912" s="471"/>
      <c r="AAN912" s="471"/>
      <c r="AAO912" s="471"/>
      <c r="AAP912" s="471"/>
      <c r="AAQ912" s="471"/>
      <c r="AAR912" s="471"/>
      <c r="AAS912" s="471"/>
      <c r="AAT912" s="471"/>
      <c r="AAU912" s="471"/>
      <c r="AAV912" s="471"/>
      <c r="AAW912" s="471"/>
      <c r="AAX912" s="471"/>
      <c r="AAY912" s="471"/>
      <c r="AAZ912" s="471"/>
      <c r="ABA912" s="471"/>
      <c r="ABB912" s="471"/>
      <c r="ABC912" s="471"/>
      <c r="ABD912" s="471"/>
      <c r="ABE912" s="471"/>
      <c r="ABF912" s="471"/>
      <c r="ABG912" s="471"/>
      <c r="ABH912" s="471"/>
      <c r="ABI912" s="471"/>
      <c r="ABJ912" s="471"/>
      <c r="ABK912" s="471"/>
      <c r="ABL912" s="471"/>
      <c r="ABM912" s="471"/>
      <c r="ABN912" s="471"/>
      <c r="ABO912" s="471"/>
      <c r="ABP912" s="471"/>
      <c r="ABQ912" s="471"/>
      <c r="ABR912" s="471"/>
      <c r="ABS912" s="471"/>
      <c r="ABT912" s="471"/>
      <c r="ABU912" s="471"/>
      <c r="ABV912" s="471"/>
      <c r="ABW912" s="471"/>
      <c r="ABX912" s="471"/>
      <c r="ABY912" s="471"/>
      <c r="ABZ912" s="471"/>
      <c r="ACA912" s="471"/>
      <c r="ACB912" s="471"/>
      <c r="ACC912" s="471"/>
      <c r="ACD912" s="471"/>
      <c r="ACE912" s="471"/>
      <c r="ACF912" s="471"/>
      <c r="ACG912" s="471"/>
      <c r="ACH912" s="471"/>
      <c r="ACI912" s="471"/>
      <c r="ACJ912" s="471"/>
      <c r="ACK912" s="471"/>
      <c r="ACL912" s="471"/>
      <c r="ACM912" s="471"/>
      <c r="ACN912" s="471"/>
      <c r="ACO912" s="471"/>
      <c r="ACP912" s="471"/>
      <c r="ACQ912" s="471"/>
      <c r="ACR912" s="471"/>
      <c r="ACS912" s="471"/>
      <c r="ACT912" s="471"/>
      <c r="ACU912" s="471"/>
      <c r="ACV912" s="471"/>
      <c r="ACW912" s="471"/>
      <c r="ACX912" s="471"/>
      <c r="ACY912" s="471"/>
      <c r="ACZ912" s="471"/>
      <c r="ADA912" s="471"/>
      <c r="ADB912" s="471"/>
      <c r="ADC912" s="471"/>
      <c r="ADD912" s="471"/>
      <c r="ADE912" s="471"/>
      <c r="ADF912" s="471"/>
      <c r="ADG912" s="471"/>
      <c r="ADH912" s="471"/>
      <c r="ADI912" s="471"/>
      <c r="ADJ912" s="471"/>
      <c r="ADK912" s="471"/>
      <c r="ADL912" s="471"/>
      <c r="ADM912" s="471"/>
      <c r="ADN912" s="471"/>
      <c r="ADO912" s="471"/>
      <c r="ADP912" s="471"/>
      <c r="ADQ912" s="471"/>
      <c r="ADR912" s="471"/>
      <c r="ADS912" s="471"/>
      <c r="ADT912" s="471"/>
      <c r="ADU912" s="471"/>
      <c r="ADV912" s="471"/>
      <c r="ADW912" s="471"/>
      <c r="ADX912" s="471"/>
      <c r="ADY912" s="471"/>
      <c r="ADZ912" s="471"/>
      <c r="AEA912" s="471"/>
      <c r="AEB912" s="471"/>
      <c r="AEC912" s="471"/>
      <c r="AED912" s="471"/>
      <c r="AEE912" s="471"/>
      <c r="AEF912" s="471"/>
      <c r="AEG912" s="471"/>
      <c r="AEH912" s="471"/>
      <c r="AEI912" s="471"/>
      <c r="AEJ912" s="471"/>
      <c r="AEK912" s="471"/>
      <c r="AEL912" s="471"/>
      <c r="AEM912" s="471"/>
      <c r="AEN912" s="471"/>
      <c r="AEO912" s="471"/>
      <c r="AEP912" s="471"/>
      <c r="AEQ912" s="471"/>
      <c r="AER912" s="471"/>
      <c r="AES912" s="471"/>
      <c r="AET912" s="471"/>
      <c r="AEU912" s="471"/>
      <c r="AEV912" s="471"/>
      <c r="AEW912" s="471"/>
      <c r="AEX912" s="471"/>
      <c r="AEY912" s="471"/>
      <c r="AEZ912" s="471"/>
      <c r="AFA912" s="471"/>
      <c r="AFB912" s="471"/>
      <c r="AFC912" s="471"/>
      <c r="AFD912" s="471"/>
      <c r="AFE912" s="471"/>
      <c r="AFF912" s="471"/>
      <c r="AFG912" s="471"/>
      <c r="AFH912" s="471"/>
      <c r="AFI912" s="471"/>
      <c r="AFJ912" s="471"/>
      <c r="AFK912" s="471"/>
      <c r="AFL912" s="471"/>
      <c r="AFM912" s="471"/>
      <c r="AFN912" s="471"/>
      <c r="AFO912" s="471"/>
      <c r="AFP912" s="471"/>
      <c r="AFQ912" s="471"/>
      <c r="AFR912" s="471"/>
      <c r="AFS912" s="471"/>
      <c r="AFT912" s="471"/>
      <c r="AFU912" s="471"/>
      <c r="AFV912" s="471"/>
      <c r="AFW912" s="471"/>
      <c r="AFX912" s="471"/>
      <c r="AFY912" s="471"/>
      <c r="AFZ912" s="471"/>
      <c r="AGA912" s="471"/>
      <c r="AGB912" s="471"/>
      <c r="AGC912" s="471"/>
      <c r="AGD912" s="471"/>
      <c r="AGE912" s="471"/>
      <c r="AGF912" s="471"/>
      <c r="AGG912" s="471"/>
      <c r="AGH912" s="471"/>
      <c r="AGI912" s="471"/>
      <c r="AGJ912" s="471"/>
      <c r="AGK912" s="471"/>
      <c r="AGL912" s="471"/>
      <c r="AGM912" s="471"/>
      <c r="AGN912" s="471"/>
      <c r="AGO912" s="471"/>
      <c r="AGP912" s="471"/>
      <c r="AGQ912" s="471"/>
      <c r="AGR912" s="471"/>
      <c r="AGS912" s="471"/>
      <c r="AGT912" s="471"/>
      <c r="AGU912" s="471"/>
      <c r="AGV912" s="471"/>
      <c r="AGW912" s="471"/>
      <c r="AGX912" s="471"/>
      <c r="AGY912" s="471"/>
      <c r="AGZ912" s="471"/>
      <c r="AHA912" s="471"/>
      <c r="AHB912" s="471"/>
      <c r="AHC912" s="471"/>
      <c r="AHD912" s="471"/>
      <c r="AHE912" s="471"/>
      <c r="AHF912" s="471"/>
      <c r="AHG912" s="471"/>
      <c r="AHH912" s="471"/>
      <c r="AHI912" s="471"/>
      <c r="AHJ912" s="471"/>
      <c r="AHK912" s="471"/>
      <c r="AHL912" s="471"/>
      <c r="AHM912" s="471"/>
      <c r="AHN912" s="471"/>
      <c r="AHO912" s="471"/>
      <c r="AHP912" s="471"/>
      <c r="AHQ912" s="471"/>
      <c r="AHR912" s="471"/>
      <c r="AHS912" s="471"/>
      <c r="AHT912" s="471"/>
      <c r="AHU912" s="471"/>
      <c r="AHV912" s="471"/>
      <c r="AHW912" s="471"/>
      <c r="AHX912" s="471"/>
      <c r="AHY912" s="471"/>
      <c r="AHZ912" s="471"/>
      <c r="AIA912" s="471"/>
      <c r="AIB912" s="471"/>
      <c r="AIC912" s="471"/>
      <c r="AID912" s="471"/>
      <c r="AIE912" s="471"/>
      <c r="AIF912" s="471"/>
      <c r="AIG912" s="471"/>
      <c r="AIH912" s="471"/>
      <c r="AII912" s="471"/>
      <c r="AIJ912" s="471"/>
      <c r="AIK912" s="471"/>
      <c r="AIL912" s="471"/>
      <c r="AIM912" s="471"/>
      <c r="AIN912" s="471"/>
      <c r="AIO912" s="471"/>
      <c r="AIP912" s="471"/>
      <c r="AIQ912" s="471"/>
      <c r="AIR912" s="471"/>
      <c r="AIS912" s="471"/>
      <c r="AIT912" s="471"/>
      <c r="AIU912" s="471"/>
      <c r="AIV912" s="471"/>
      <c r="AIW912" s="471"/>
      <c r="AIX912" s="471"/>
      <c r="AIY912" s="471"/>
      <c r="AIZ912" s="471"/>
      <c r="AJA912" s="471"/>
      <c r="AJB912" s="471"/>
      <c r="AJC912" s="471"/>
      <c r="AJD912" s="471"/>
      <c r="AJE912" s="471"/>
      <c r="AJF912" s="471"/>
      <c r="AJG912" s="471"/>
      <c r="AJH912" s="471"/>
      <c r="AJI912" s="471"/>
      <c r="AJJ912" s="471"/>
      <c r="AJK912" s="471"/>
      <c r="AJL912" s="471"/>
      <c r="AJM912" s="471"/>
      <c r="AJN912" s="471"/>
      <c r="AJO912" s="471"/>
      <c r="AJP912" s="471"/>
      <c r="AJQ912" s="471"/>
      <c r="AJR912" s="471"/>
      <c r="AJS912" s="471"/>
      <c r="AJT912" s="471"/>
      <c r="AJU912" s="471"/>
      <c r="AJV912" s="471"/>
      <c r="AJW912" s="471"/>
      <c r="AJX912" s="471"/>
      <c r="AJY912" s="471"/>
      <c r="AJZ912" s="471"/>
      <c r="AKA912" s="471"/>
      <c r="AKB912" s="471"/>
      <c r="AKC912" s="471"/>
      <c r="AKD912" s="471"/>
      <c r="AKE912" s="471"/>
      <c r="AKF912" s="471"/>
      <c r="AKG912" s="471"/>
      <c r="AKH912" s="471"/>
      <c r="AKI912" s="471"/>
      <c r="AKJ912" s="471"/>
      <c r="AKK912" s="471"/>
      <c r="AKL912" s="471"/>
      <c r="AKM912" s="471"/>
      <c r="AKN912" s="471"/>
      <c r="AKO912" s="471"/>
      <c r="AKP912" s="471"/>
      <c r="AKQ912" s="471"/>
      <c r="AKR912" s="471"/>
      <c r="AKS912" s="471"/>
      <c r="AKT912" s="471"/>
      <c r="AKU912" s="471"/>
      <c r="AKV912" s="471"/>
      <c r="AKW912" s="471"/>
      <c r="AKX912" s="471"/>
      <c r="AKY912" s="471"/>
      <c r="AKZ912" s="471"/>
      <c r="ALA912" s="471"/>
      <c r="ALB912" s="471"/>
      <c r="ALC912" s="471"/>
      <c r="ALD912" s="471"/>
      <c r="ALE912" s="471"/>
      <c r="ALF912" s="471"/>
      <c r="ALG912" s="471"/>
      <c r="ALH912" s="471"/>
      <c r="ALI912" s="471"/>
      <c r="ALJ912" s="471"/>
      <c r="ALK912" s="471"/>
      <c r="ALL912" s="471"/>
      <c r="ALM912" s="471"/>
      <c r="ALN912" s="471"/>
      <c r="ALO912" s="471"/>
      <c r="ALP912" s="471"/>
      <c r="ALQ912" s="471"/>
      <c r="ALR912" s="471"/>
      <c r="ALS912" s="471"/>
      <c r="ALT912" s="471"/>
      <c r="ALU912" s="471"/>
      <c r="ALV912" s="471"/>
      <c r="ALW912" s="471"/>
      <c r="ALX912" s="471"/>
      <c r="ALY912" s="471"/>
      <c r="ALZ912" s="471"/>
      <c r="AMA912" s="471"/>
      <c r="AMB912" s="471"/>
      <c r="AMC912" s="471"/>
      <c r="AMD912" s="471"/>
      <c r="AME912" s="471"/>
      <c r="AMF912" s="471"/>
      <c r="AMG912" s="471"/>
      <c r="AMH912" s="471"/>
      <c r="AMI912" s="471"/>
      <c r="AMJ912" s="471"/>
      <c r="AMK912" s="471"/>
      <c r="AML912" s="471"/>
      <c r="AMM912" s="471"/>
      <c r="AMN912" s="471"/>
      <c r="AMO912" s="471"/>
      <c r="AMP912" s="471"/>
      <c r="AMQ912" s="471"/>
      <c r="AMR912" s="471"/>
      <c r="AMS912" s="471"/>
      <c r="AMT912" s="471"/>
      <c r="AMU912" s="471"/>
      <c r="AMV912" s="471"/>
      <c r="AMW912" s="471"/>
      <c r="AMX912" s="471"/>
      <c r="AMY912" s="471"/>
      <c r="AMZ912" s="471"/>
      <c r="ANA912" s="471"/>
      <c r="ANB912" s="471"/>
      <c r="ANC912" s="471"/>
      <c r="AND912" s="471"/>
      <c r="ANE912" s="471"/>
      <c r="ANF912" s="471"/>
      <c r="ANG912" s="471"/>
      <c r="ANH912" s="471"/>
      <c r="ANI912" s="471"/>
      <c r="ANJ912" s="471"/>
      <c r="ANK912" s="471"/>
      <c r="ANL912" s="471"/>
      <c r="ANM912" s="471"/>
      <c r="ANN912" s="471"/>
      <c r="ANO912" s="471"/>
      <c r="ANP912" s="471"/>
      <c r="ANQ912" s="471"/>
      <c r="ANR912" s="471"/>
      <c r="ANS912" s="471"/>
      <c r="ANT912" s="471"/>
      <c r="ANU912" s="471"/>
      <c r="ANV912" s="471"/>
      <c r="ANW912" s="471"/>
      <c r="ANX912" s="471"/>
      <c r="ANY912" s="471"/>
      <c r="ANZ912" s="471"/>
      <c r="AOA912" s="471"/>
      <c r="AOB912" s="471"/>
      <c r="AOC912" s="471"/>
      <c r="AOD912" s="471"/>
      <c r="AOE912" s="471"/>
      <c r="AOF912" s="471"/>
      <c r="AOG912" s="471"/>
      <c r="AOH912" s="471"/>
      <c r="AOI912" s="471"/>
      <c r="AOJ912" s="471"/>
      <c r="AOK912" s="471"/>
      <c r="AOL912" s="471"/>
      <c r="AOM912" s="471"/>
      <c r="AON912" s="471"/>
      <c r="AOO912" s="471"/>
      <c r="AOP912" s="471"/>
      <c r="AOQ912" s="471"/>
      <c r="AOR912" s="471"/>
      <c r="AOS912" s="471"/>
      <c r="AOT912" s="471"/>
      <c r="AOU912" s="471"/>
      <c r="AOV912" s="471"/>
      <c r="AOW912" s="471"/>
      <c r="AOX912" s="471"/>
      <c r="AOY912" s="471"/>
      <c r="AOZ912" s="471"/>
      <c r="APA912" s="471"/>
      <c r="APB912" s="471"/>
      <c r="APC912" s="471"/>
      <c r="APD912" s="471"/>
      <c r="APE912" s="471"/>
      <c r="APF912" s="471"/>
      <c r="APG912" s="471"/>
      <c r="APH912" s="471"/>
      <c r="API912" s="471"/>
      <c r="APJ912" s="471"/>
      <c r="APK912" s="471"/>
      <c r="APL912" s="471"/>
      <c r="APM912" s="471"/>
      <c r="APN912" s="471"/>
      <c r="APO912" s="471"/>
      <c r="APP912" s="471"/>
      <c r="APQ912" s="471"/>
      <c r="APR912" s="471"/>
      <c r="APS912" s="471"/>
      <c r="APT912" s="471"/>
      <c r="APU912" s="471"/>
      <c r="APV912" s="471"/>
      <c r="APW912" s="471"/>
      <c r="APX912" s="471"/>
      <c r="APY912" s="471"/>
      <c r="APZ912" s="471"/>
      <c r="AQA912" s="471"/>
      <c r="AQB912" s="471"/>
      <c r="AQC912" s="471"/>
      <c r="AQD912" s="471"/>
      <c r="AQE912" s="471"/>
      <c r="AQF912" s="471"/>
      <c r="AQG912" s="471"/>
      <c r="AQH912" s="471"/>
      <c r="AQI912" s="471"/>
      <c r="AQJ912" s="471"/>
      <c r="AQK912" s="471"/>
      <c r="AQL912" s="471"/>
      <c r="AQM912" s="471"/>
      <c r="AQN912" s="471"/>
      <c r="AQO912" s="471"/>
      <c r="AQP912" s="471"/>
      <c r="AQQ912" s="471"/>
      <c r="AQR912" s="471"/>
      <c r="AQS912" s="471"/>
      <c r="AQT912" s="471"/>
      <c r="AQU912" s="471"/>
      <c r="AQV912" s="471"/>
      <c r="AQW912" s="471"/>
      <c r="AQX912" s="471"/>
      <c r="AQY912" s="471"/>
      <c r="AQZ912" s="471"/>
      <c r="ARA912" s="471"/>
      <c r="ARB912" s="471"/>
      <c r="ARC912" s="471"/>
      <c r="ARD912" s="471"/>
      <c r="ARE912" s="471"/>
      <c r="ARF912" s="471"/>
      <c r="ARG912" s="471"/>
      <c r="ARH912" s="471"/>
      <c r="ARI912" s="471"/>
      <c r="ARJ912" s="471"/>
      <c r="ARK912" s="471"/>
      <c r="ARL912" s="471"/>
      <c r="ARM912" s="471"/>
      <c r="ARN912" s="471"/>
      <c r="ARO912" s="471"/>
      <c r="ARP912" s="471"/>
      <c r="ARQ912" s="471"/>
      <c r="ARR912" s="471"/>
      <c r="ARS912" s="471"/>
      <c r="ART912" s="471"/>
      <c r="ARU912" s="471"/>
      <c r="ARV912" s="471"/>
      <c r="ARW912" s="471"/>
      <c r="ARX912" s="471"/>
      <c r="ARY912" s="471"/>
      <c r="ARZ912" s="471"/>
      <c r="ASA912" s="471"/>
      <c r="ASB912" s="471"/>
      <c r="ASC912" s="471"/>
      <c r="ASD912" s="471"/>
      <c r="ASE912" s="471"/>
      <c r="ASF912" s="471"/>
      <c r="ASG912" s="471"/>
      <c r="ASH912" s="471"/>
      <c r="ASI912" s="471"/>
      <c r="ASJ912" s="471"/>
      <c r="ASK912" s="471"/>
      <c r="ASL912" s="471"/>
      <c r="ASM912" s="471"/>
      <c r="ASN912" s="471"/>
      <c r="ASO912" s="471"/>
      <c r="ASP912" s="471"/>
      <c r="ASQ912" s="471"/>
      <c r="ASR912" s="471"/>
      <c r="ASS912" s="471"/>
      <c r="AST912" s="471"/>
      <c r="ASU912" s="471"/>
      <c r="ASV912" s="471"/>
      <c r="ASW912" s="471"/>
      <c r="ASX912" s="471"/>
      <c r="ASY912" s="471"/>
      <c r="ASZ912" s="471"/>
      <c r="ATA912" s="471"/>
      <c r="ATB912" s="471"/>
      <c r="ATC912" s="471"/>
      <c r="ATD912" s="471"/>
      <c r="ATE912" s="471"/>
      <c r="ATF912" s="471"/>
      <c r="ATG912" s="471"/>
      <c r="ATH912" s="471"/>
      <c r="ATI912" s="471"/>
      <c r="ATJ912" s="471"/>
      <c r="ATK912" s="471"/>
      <c r="ATL912" s="471"/>
      <c r="ATM912" s="471"/>
      <c r="ATN912" s="471"/>
      <c r="ATO912" s="471"/>
      <c r="ATP912" s="471"/>
      <c r="ATQ912" s="471"/>
      <c r="ATR912" s="471"/>
      <c r="ATS912" s="471"/>
      <c r="ATT912" s="471"/>
      <c r="ATU912" s="471"/>
      <c r="ATV912" s="471"/>
      <c r="ATW912" s="471"/>
      <c r="ATX912" s="471"/>
      <c r="ATY912" s="471"/>
      <c r="ATZ912" s="471"/>
      <c r="AUA912" s="471"/>
      <c r="AUB912" s="471"/>
      <c r="AUC912" s="471"/>
      <c r="AUD912" s="471"/>
      <c r="AUE912" s="471"/>
      <c r="AUF912" s="471"/>
      <c r="AUG912" s="471"/>
      <c r="AUH912" s="471"/>
      <c r="AUI912" s="471"/>
      <c r="AUJ912" s="471"/>
      <c r="AUK912" s="471"/>
      <c r="AUL912" s="471"/>
      <c r="AUM912" s="471"/>
      <c r="AUN912" s="471"/>
      <c r="AUO912" s="471"/>
      <c r="AUP912" s="471"/>
      <c r="AUQ912" s="471"/>
      <c r="AUR912" s="471"/>
      <c r="AUS912" s="471"/>
      <c r="AUT912" s="471"/>
      <c r="AUU912" s="471"/>
      <c r="AUV912" s="471"/>
      <c r="AUW912" s="471"/>
      <c r="AUX912" s="471"/>
      <c r="AUY912" s="471"/>
      <c r="AUZ912" s="471"/>
      <c r="AVA912" s="471"/>
      <c r="AVB912" s="471"/>
      <c r="AVC912" s="471"/>
      <c r="AVD912" s="471"/>
      <c r="AVE912" s="471"/>
      <c r="AVF912" s="471"/>
      <c r="AVG912" s="471"/>
      <c r="AVH912" s="471"/>
      <c r="AVI912" s="471"/>
      <c r="AVJ912" s="471"/>
      <c r="AVK912" s="471"/>
    </row>
    <row r="913" spans="1:1259" s="511" customFormat="1" ht="15" customHeight="1">
      <c r="A913" s="472"/>
      <c r="B913" s="472"/>
      <c r="C913" s="472"/>
      <c r="D913" s="512" t="s">
        <v>3186</v>
      </c>
      <c r="E913" s="501"/>
      <c r="F913" s="501"/>
      <c r="G913" s="501">
        <v>2022</v>
      </c>
      <c r="H913" s="501"/>
      <c r="I913" s="496" t="s">
        <v>1676</v>
      </c>
      <c r="J913" s="502"/>
      <c r="K913" s="503" t="s">
        <v>5774</v>
      </c>
      <c r="L913" s="501" t="s">
        <v>3297</v>
      </c>
      <c r="M913" s="504">
        <v>44671</v>
      </c>
      <c r="N913" s="504">
        <v>44881</v>
      </c>
      <c r="O913" s="504"/>
      <c r="P913" s="502"/>
      <c r="Q913" s="502"/>
      <c r="R913" s="502"/>
      <c r="S913" s="501" t="s">
        <v>2379</v>
      </c>
      <c r="T913" s="501">
        <v>60</v>
      </c>
      <c r="U913" s="501"/>
      <c r="V913" s="501" t="s">
        <v>973</v>
      </c>
      <c r="W913" s="501">
        <v>400</v>
      </c>
      <c r="X913" s="505">
        <v>4992</v>
      </c>
      <c r="Y913" s="491">
        <f t="shared" si="130"/>
        <v>1996800</v>
      </c>
      <c r="Z913" s="506">
        <v>0.6</v>
      </c>
      <c r="AA913" s="492">
        <f t="shared" si="134"/>
        <v>1198080</v>
      </c>
      <c r="AB913" s="480"/>
      <c r="AC913" s="481">
        <f t="shared" si="131"/>
        <v>0</v>
      </c>
      <c r="AD913" s="508"/>
      <c r="AE913" s="507">
        <v>45676.800000000003</v>
      </c>
      <c r="AF913" s="493">
        <f t="shared" si="132"/>
        <v>1243756.8</v>
      </c>
      <c r="AG913" s="501" t="s">
        <v>47</v>
      </c>
      <c r="AH913" s="501"/>
      <c r="AI913" s="503">
        <v>60</v>
      </c>
      <c r="AJ913" s="501" t="s">
        <v>1790</v>
      </c>
      <c r="AK913" s="509" t="s">
        <v>50</v>
      </c>
      <c r="AL913" s="501">
        <v>95826</v>
      </c>
      <c r="AM913" s="501" t="s">
        <v>52</v>
      </c>
      <c r="AN913" s="501"/>
      <c r="AO913" s="501"/>
      <c r="AP913" s="510"/>
      <c r="AQ913" s="510" t="s">
        <v>37</v>
      </c>
      <c r="AR913" s="510"/>
      <c r="AS913" s="495"/>
      <c r="AT913" s="495"/>
      <c r="AU913" s="495"/>
      <c r="AV913" s="506">
        <f t="shared" si="133"/>
        <v>0.48000000000000004</v>
      </c>
      <c r="AW913" s="471"/>
      <c r="AX913" s="471"/>
      <c r="AY913" s="471"/>
      <c r="AZ913" s="471"/>
      <c r="BA913" s="471"/>
      <c r="BB913" s="471"/>
      <c r="BC913" s="471"/>
      <c r="BD913" s="471"/>
      <c r="BE913" s="471"/>
      <c r="BF913" s="471"/>
      <c r="BG913" s="471"/>
      <c r="BH913" s="471"/>
      <c r="BI913" s="471"/>
      <c r="BJ913" s="471"/>
      <c r="BK913" s="471"/>
      <c r="BL913" s="471"/>
      <c r="BM913" s="471"/>
      <c r="BN913" s="471"/>
      <c r="BO913" s="471"/>
      <c r="BP913" s="471"/>
      <c r="BQ913" s="471"/>
      <c r="BR913" s="471"/>
      <c r="BS913" s="471"/>
      <c r="BT913" s="471"/>
      <c r="BU913" s="471"/>
      <c r="BV913" s="471"/>
      <c r="BW913" s="471"/>
      <c r="BX913" s="471"/>
      <c r="BY913" s="471"/>
      <c r="BZ913" s="471"/>
      <c r="CA913" s="471"/>
      <c r="CB913" s="471"/>
      <c r="CC913" s="471"/>
      <c r="CD913" s="471"/>
      <c r="CE913" s="471"/>
      <c r="CF913" s="471"/>
      <c r="CG913" s="471"/>
      <c r="CH913" s="471"/>
      <c r="CI913" s="471"/>
      <c r="CJ913" s="471"/>
      <c r="CK913" s="471"/>
      <c r="CL913" s="471"/>
      <c r="CM913" s="471"/>
      <c r="CN913" s="471"/>
      <c r="CO913" s="471"/>
      <c r="CP913" s="471"/>
      <c r="CQ913" s="471"/>
      <c r="CR913" s="471"/>
      <c r="CS913" s="471"/>
      <c r="CT913" s="471"/>
      <c r="CU913" s="471"/>
      <c r="CV913" s="471"/>
      <c r="CW913" s="471"/>
      <c r="CX913" s="471"/>
      <c r="CY913" s="471"/>
      <c r="CZ913" s="471"/>
      <c r="DA913" s="471"/>
      <c r="DB913" s="471"/>
      <c r="DC913" s="471"/>
      <c r="DD913" s="471"/>
      <c r="DE913" s="471"/>
      <c r="DF913" s="471"/>
      <c r="DG913" s="471"/>
      <c r="DH913" s="471"/>
      <c r="DI913" s="471"/>
      <c r="DJ913" s="471"/>
      <c r="DK913" s="471"/>
      <c r="DL913" s="471"/>
      <c r="DM913" s="471"/>
      <c r="DN913" s="471"/>
      <c r="DO913" s="471"/>
      <c r="DP913" s="471"/>
      <c r="DQ913" s="471"/>
      <c r="DR913" s="471"/>
      <c r="DS913" s="471"/>
      <c r="DT913" s="471"/>
      <c r="DU913" s="471"/>
      <c r="DV913" s="471"/>
      <c r="DW913" s="471"/>
      <c r="DX913" s="471"/>
      <c r="DY913" s="471"/>
      <c r="DZ913" s="471"/>
      <c r="EA913" s="471"/>
      <c r="EB913" s="471"/>
      <c r="EC913" s="471"/>
      <c r="ED913" s="471"/>
      <c r="EE913" s="471"/>
      <c r="EF913" s="471"/>
      <c r="EG913" s="471"/>
      <c r="EH913" s="471"/>
      <c r="EI913" s="471"/>
      <c r="EJ913" s="471"/>
      <c r="EK913" s="471"/>
      <c r="EL913" s="471"/>
      <c r="EM913" s="471"/>
      <c r="EN913" s="471"/>
      <c r="EO913" s="471"/>
      <c r="EP913" s="471"/>
      <c r="EQ913" s="471"/>
      <c r="ER913" s="471"/>
      <c r="ES913" s="471"/>
      <c r="ET913" s="471"/>
      <c r="EU913" s="471"/>
      <c r="EV913" s="471"/>
      <c r="EW913" s="471"/>
      <c r="EX913" s="471"/>
      <c r="EY913" s="471"/>
      <c r="EZ913" s="471"/>
      <c r="FA913" s="471"/>
      <c r="FB913" s="471"/>
      <c r="FC913" s="471"/>
      <c r="FD913" s="471"/>
      <c r="FE913" s="471"/>
      <c r="FF913" s="471"/>
      <c r="FG913" s="471"/>
      <c r="FH913" s="471"/>
      <c r="FI913" s="471"/>
      <c r="FJ913" s="471"/>
      <c r="FK913" s="471"/>
      <c r="FL913" s="471"/>
      <c r="FM913" s="471"/>
      <c r="FN913" s="471"/>
      <c r="FO913" s="471"/>
      <c r="FP913" s="471"/>
      <c r="FQ913" s="471"/>
      <c r="FR913" s="471"/>
      <c r="FS913" s="471"/>
      <c r="FT913" s="471"/>
      <c r="FU913" s="471"/>
      <c r="FV913" s="471"/>
      <c r="FW913" s="471"/>
      <c r="FX913" s="471"/>
      <c r="FY913" s="471"/>
      <c r="FZ913" s="471"/>
      <c r="GA913" s="471"/>
      <c r="GB913" s="471"/>
      <c r="GC913" s="471"/>
      <c r="GD913" s="471"/>
      <c r="GE913" s="471"/>
      <c r="GF913" s="471"/>
      <c r="GG913" s="471"/>
      <c r="GH913" s="471"/>
      <c r="GI913" s="471"/>
      <c r="GJ913" s="471"/>
      <c r="GK913" s="471"/>
      <c r="GL913" s="471"/>
      <c r="GM913" s="471"/>
      <c r="GN913" s="471"/>
      <c r="GO913" s="471"/>
      <c r="GP913" s="471"/>
      <c r="GQ913" s="471"/>
      <c r="GR913" s="471"/>
      <c r="GS913" s="471"/>
      <c r="GT913" s="471"/>
      <c r="GU913" s="471"/>
      <c r="GV913" s="471"/>
      <c r="GW913" s="471"/>
      <c r="GX913" s="471"/>
      <c r="GY913" s="471"/>
      <c r="GZ913" s="471"/>
      <c r="HA913" s="471"/>
      <c r="HB913" s="471"/>
      <c r="HC913" s="471"/>
      <c r="HD913" s="471"/>
      <c r="HE913" s="471"/>
      <c r="HF913" s="471"/>
      <c r="HG913" s="471"/>
      <c r="HH913" s="471"/>
      <c r="HI913" s="471"/>
      <c r="HJ913" s="471"/>
      <c r="HK913" s="471"/>
      <c r="HL913" s="471"/>
      <c r="HM913" s="471"/>
      <c r="HN913" s="471"/>
      <c r="HO913" s="471"/>
      <c r="HP913" s="471"/>
      <c r="HQ913" s="471"/>
      <c r="HR913" s="471"/>
      <c r="HS913" s="471"/>
      <c r="HT913" s="471"/>
      <c r="HU913" s="471"/>
      <c r="HV913" s="471"/>
      <c r="HW913" s="471"/>
      <c r="HX913" s="471"/>
      <c r="HY913" s="471"/>
      <c r="HZ913" s="471"/>
      <c r="IA913" s="471"/>
      <c r="IB913" s="471"/>
      <c r="IC913" s="471"/>
      <c r="ID913" s="471"/>
      <c r="IE913" s="471"/>
      <c r="IF913" s="471"/>
      <c r="IG913" s="471"/>
      <c r="IH913" s="471"/>
      <c r="II913" s="471"/>
      <c r="IJ913" s="471"/>
      <c r="IK913" s="471"/>
      <c r="IL913" s="471"/>
      <c r="IM913" s="471"/>
      <c r="IN913" s="471"/>
      <c r="IO913" s="471"/>
      <c r="IP913" s="471"/>
      <c r="IQ913" s="471"/>
      <c r="IR913" s="471"/>
      <c r="IS913" s="471"/>
      <c r="IT913" s="471"/>
      <c r="IU913" s="471"/>
      <c r="IV913" s="471"/>
      <c r="IW913" s="471"/>
      <c r="IX913" s="471"/>
      <c r="IY913" s="471"/>
      <c r="IZ913" s="471"/>
      <c r="JA913" s="471"/>
      <c r="JB913" s="471"/>
      <c r="JC913" s="471"/>
      <c r="JD913" s="471"/>
      <c r="JE913" s="471"/>
      <c r="JF913" s="471"/>
      <c r="JG913" s="471"/>
      <c r="JH913" s="471"/>
      <c r="JI913" s="471"/>
      <c r="JJ913" s="471"/>
      <c r="JK913" s="471"/>
      <c r="JL913" s="471"/>
      <c r="JM913" s="471"/>
      <c r="JN913" s="471"/>
      <c r="JO913" s="471"/>
      <c r="JP913" s="471"/>
      <c r="JQ913" s="471"/>
      <c r="JR913" s="471"/>
      <c r="JS913" s="471"/>
      <c r="JT913" s="471"/>
      <c r="JU913" s="471"/>
      <c r="JV913" s="471"/>
      <c r="JW913" s="471"/>
      <c r="JX913" s="471"/>
      <c r="JY913" s="471"/>
      <c r="JZ913" s="471"/>
      <c r="KA913" s="471"/>
      <c r="KB913" s="471"/>
      <c r="KC913" s="471"/>
      <c r="KD913" s="471"/>
      <c r="KE913" s="471"/>
      <c r="KF913" s="471"/>
      <c r="KG913" s="471"/>
      <c r="KH913" s="471"/>
      <c r="KI913" s="471"/>
      <c r="KJ913" s="471"/>
      <c r="KK913" s="471"/>
      <c r="KL913" s="471"/>
      <c r="KM913" s="471"/>
      <c r="KN913" s="471"/>
      <c r="KO913" s="471"/>
      <c r="KP913" s="471"/>
      <c r="KQ913" s="471"/>
      <c r="KR913" s="471"/>
      <c r="KS913" s="471"/>
      <c r="KT913" s="471"/>
      <c r="KU913" s="471"/>
      <c r="KV913" s="471"/>
      <c r="KW913" s="471"/>
      <c r="KX913" s="471"/>
      <c r="KY913" s="471"/>
      <c r="KZ913" s="471"/>
      <c r="LA913" s="471"/>
      <c r="LB913" s="471"/>
      <c r="LC913" s="471"/>
      <c r="LD913" s="471"/>
      <c r="LE913" s="471"/>
      <c r="LF913" s="471"/>
      <c r="LG913" s="471"/>
      <c r="LH913" s="471"/>
      <c r="LI913" s="471"/>
      <c r="LJ913" s="471"/>
      <c r="LK913" s="471"/>
      <c r="LL913" s="471"/>
      <c r="LM913" s="471"/>
      <c r="LN913" s="471"/>
      <c r="LO913" s="471"/>
      <c r="LP913" s="471"/>
      <c r="LQ913" s="471"/>
      <c r="LR913" s="471"/>
      <c r="LS913" s="471"/>
      <c r="LT913" s="471"/>
      <c r="LU913" s="471"/>
      <c r="LV913" s="471"/>
      <c r="LW913" s="471"/>
      <c r="LX913" s="471"/>
      <c r="LY913" s="471"/>
      <c r="LZ913" s="471"/>
      <c r="MA913" s="471"/>
      <c r="MB913" s="471"/>
      <c r="MC913" s="471"/>
      <c r="MD913" s="471"/>
      <c r="ME913" s="471"/>
      <c r="MF913" s="471"/>
      <c r="MG913" s="471"/>
      <c r="MH913" s="471"/>
      <c r="MI913" s="471"/>
      <c r="MJ913" s="471"/>
      <c r="MK913" s="471"/>
      <c r="ML913" s="471"/>
      <c r="MM913" s="471"/>
      <c r="MN913" s="471"/>
      <c r="MO913" s="471"/>
      <c r="MP913" s="471"/>
      <c r="MQ913" s="471"/>
      <c r="MR913" s="471"/>
      <c r="MS913" s="471"/>
      <c r="MT913" s="471"/>
      <c r="MU913" s="471"/>
      <c r="MV913" s="471"/>
      <c r="MW913" s="471"/>
      <c r="MX913" s="471"/>
      <c r="MY913" s="471"/>
      <c r="MZ913" s="471"/>
      <c r="NA913" s="471"/>
      <c r="NB913" s="471"/>
      <c r="NC913" s="471"/>
      <c r="ND913" s="471"/>
      <c r="NE913" s="471"/>
      <c r="NF913" s="471"/>
      <c r="NG913" s="471"/>
      <c r="NH913" s="471"/>
      <c r="NI913" s="471"/>
      <c r="NJ913" s="471"/>
      <c r="NK913" s="471"/>
      <c r="NL913" s="471"/>
      <c r="NM913" s="471"/>
      <c r="NN913" s="471"/>
      <c r="NO913" s="471"/>
      <c r="NP913" s="471"/>
      <c r="NQ913" s="471"/>
      <c r="NR913" s="471"/>
      <c r="NS913" s="471"/>
      <c r="NT913" s="471"/>
      <c r="NU913" s="471"/>
      <c r="NV913" s="471"/>
      <c r="NW913" s="471"/>
      <c r="NX913" s="471"/>
      <c r="NY913" s="471"/>
      <c r="NZ913" s="471"/>
      <c r="OA913" s="471"/>
      <c r="OB913" s="471"/>
      <c r="OC913" s="471"/>
      <c r="OD913" s="471"/>
      <c r="OE913" s="471"/>
      <c r="OF913" s="471"/>
      <c r="OG913" s="471"/>
      <c r="OH913" s="471"/>
      <c r="OI913" s="471"/>
      <c r="OJ913" s="471"/>
      <c r="OK913" s="471"/>
      <c r="OL913" s="471"/>
      <c r="OM913" s="471"/>
      <c r="ON913" s="471"/>
      <c r="OO913" s="471"/>
      <c r="OP913" s="471"/>
      <c r="OQ913" s="471"/>
      <c r="OR913" s="471"/>
      <c r="OS913" s="471"/>
      <c r="OT913" s="471"/>
      <c r="OU913" s="471"/>
      <c r="OV913" s="471"/>
      <c r="OW913" s="471"/>
      <c r="OX913" s="471"/>
      <c r="OY913" s="471"/>
      <c r="OZ913" s="471"/>
      <c r="PA913" s="471"/>
      <c r="PB913" s="471"/>
      <c r="PC913" s="471"/>
      <c r="PD913" s="471"/>
      <c r="PE913" s="471"/>
      <c r="PF913" s="471"/>
      <c r="PG913" s="471"/>
      <c r="PH913" s="471"/>
      <c r="PI913" s="471"/>
      <c r="PJ913" s="471"/>
      <c r="PK913" s="471"/>
      <c r="PL913" s="471"/>
      <c r="PM913" s="471"/>
      <c r="PN913" s="471"/>
      <c r="PO913" s="471"/>
      <c r="PP913" s="471"/>
      <c r="PQ913" s="471"/>
      <c r="PR913" s="471"/>
      <c r="PS913" s="471"/>
      <c r="PT913" s="471"/>
      <c r="PU913" s="471"/>
      <c r="PV913" s="471"/>
      <c r="PW913" s="471"/>
      <c r="PX913" s="471"/>
      <c r="PY913" s="471"/>
      <c r="PZ913" s="471"/>
      <c r="QA913" s="471"/>
      <c r="QB913" s="471"/>
      <c r="QC913" s="471"/>
      <c r="QD913" s="471"/>
      <c r="QE913" s="471"/>
      <c r="QF913" s="471"/>
      <c r="QG913" s="471"/>
      <c r="QH913" s="471"/>
      <c r="QI913" s="471"/>
      <c r="QJ913" s="471"/>
      <c r="QK913" s="471"/>
      <c r="QL913" s="471"/>
      <c r="QM913" s="471"/>
      <c r="QN913" s="471"/>
      <c r="QO913" s="471"/>
      <c r="QP913" s="471"/>
      <c r="QQ913" s="471"/>
      <c r="QR913" s="471"/>
      <c r="QS913" s="471"/>
      <c r="QT913" s="471"/>
      <c r="QU913" s="471"/>
      <c r="QV913" s="471"/>
      <c r="QW913" s="471"/>
      <c r="QX913" s="471"/>
      <c r="QY913" s="471"/>
      <c r="QZ913" s="471"/>
      <c r="RA913" s="471"/>
      <c r="RB913" s="471"/>
      <c r="RC913" s="471"/>
      <c r="RD913" s="471"/>
      <c r="RE913" s="471"/>
      <c r="RF913" s="471"/>
      <c r="RG913" s="471"/>
      <c r="RH913" s="471"/>
      <c r="RI913" s="471"/>
      <c r="RJ913" s="471"/>
      <c r="RK913" s="471"/>
      <c r="RL913" s="471"/>
      <c r="RM913" s="471"/>
      <c r="RN913" s="471"/>
      <c r="RO913" s="471"/>
      <c r="RP913" s="471"/>
      <c r="RQ913" s="471"/>
      <c r="RR913" s="471"/>
      <c r="RS913" s="471"/>
      <c r="RT913" s="471"/>
      <c r="RU913" s="471"/>
      <c r="RV913" s="471"/>
      <c r="RW913" s="471"/>
      <c r="RX913" s="471"/>
      <c r="RY913" s="471"/>
      <c r="RZ913" s="471"/>
      <c r="SA913" s="471"/>
      <c r="SB913" s="471"/>
      <c r="SC913" s="471"/>
      <c r="SD913" s="471"/>
      <c r="SE913" s="471"/>
      <c r="SF913" s="471"/>
      <c r="SG913" s="471"/>
      <c r="SH913" s="471"/>
      <c r="SI913" s="471"/>
      <c r="SJ913" s="471"/>
      <c r="SK913" s="471"/>
      <c r="SL913" s="471"/>
      <c r="SM913" s="471"/>
      <c r="SN913" s="471"/>
      <c r="SO913" s="471"/>
      <c r="SP913" s="471"/>
      <c r="SQ913" s="471"/>
      <c r="SR913" s="471"/>
      <c r="SS913" s="471"/>
      <c r="ST913" s="471"/>
      <c r="SU913" s="471"/>
      <c r="SV913" s="471"/>
      <c r="SW913" s="471"/>
      <c r="SX913" s="471"/>
      <c r="SY913" s="471"/>
      <c r="SZ913" s="471"/>
      <c r="TA913" s="471"/>
      <c r="TB913" s="471"/>
      <c r="TC913" s="471"/>
      <c r="TD913" s="471"/>
      <c r="TE913" s="471"/>
      <c r="TF913" s="471"/>
      <c r="TG913" s="471"/>
      <c r="TH913" s="471"/>
      <c r="TI913" s="471"/>
      <c r="TJ913" s="471"/>
      <c r="TK913" s="471"/>
      <c r="TL913" s="471"/>
      <c r="TM913" s="471"/>
      <c r="TN913" s="471"/>
      <c r="TO913" s="471"/>
      <c r="TP913" s="471"/>
      <c r="TQ913" s="471"/>
      <c r="TR913" s="471"/>
      <c r="TS913" s="471"/>
      <c r="TT913" s="471"/>
      <c r="TU913" s="471"/>
      <c r="TV913" s="471"/>
      <c r="TW913" s="471"/>
      <c r="TX913" s="471"/>
      <c r="TY913" s="471"/>
      <c r="TZ913" s="471"/>
      <c r="UA913" s="471"/>
      <c r="UB913" s="471"/>
      <c r="UC913" s="471"/>
      <c r="UD913" s="471"/>
      <c r="UE913" s="471"/>
      <c r="UF913" s="471"/>
      <c r="UG913" s="471"/>
      <c r="UH913" s="471"/>
      <c r="UI913" s="471"/>
      <c r="UJ913" s="471"/>
      <c r="UK913" s="471"/>
      <c r="UL913" s="471"/>
      <c r="UM913" s="471"/>
      <c r="UN913" s="471"/>
      <c r="UO913" s="471"/>
      <c r="UP913" s="471"/>
      <c r="UQ913" s="471"/>
      <c r="UR913" s="471"/>
      <c r="US913" s="471"/>
      <c r="UT913" s="471"/>
      <c r="UU913" s="471"/>
      <c r="UV913" s="471"/>
      <c r="UW913" s="471"/>
      <c r="UX913" s="471"/>
      <c r="UY913" s="471"/>
      <c r="UZ913" s="471"/>
      <c r="VA913" s="471"/>
      <c r="VB913" s="471"/>
      <c r="VC913" s="471"/>
      <c r="VD913" s="471"/>
      <c r="VE913" s="471"/>
      <c r="VF913" s="471"/>
      <c r="VG913" s="471"/>
      <c r="VH913" s="471"/>
      <c r="VI913" s="471"/>
      <c r="VJ913" s="471"/>
      <c r="VK913" s="471"/>
      <c r="VL913" s="471"/>
      <c r="VM913" s="471"/>
      <c r="VN913" s="471"/>
      <c r="VO913" s="471"/>
      <c r="VP913" s="471"/>
      <c r="VQ913" s="471"/>
      <c r="VR913" s="471"/>
      <c r="VS913" s="471"/>
      <c r="VT913" s="471"/>
      <c r="VU913" s="471"/>
      <c r="VV913" s="471"/>
      <c r="VW913" s="471"/>
      <c r="VX913" s="471"/>
      <c r="VY913" s="471"/>
      <c r="VZ913" s="471"/>
      <c r="WA913" s="471"/>
      <c r="WB913" s="471"/>
      <c r="WC913" s="471"/>
      <c r="WD913" s="471"/>
      <c r="WE913" s="471"/>
      <c r="WF913" s="471"/>
      <c r="WG913" s="471"/>
      <c r="WH913" s="471"/>
      <c r="WI913" s="471"/>
      <c r="WJ913" s="471"/>
      <c r="WK913" s="471"/>
      <c r="WL913" s="471"/>
      <c r="WM913" s="471"/>
      <c r="WN913" s="471"/>
      <c r="WO913" s="471"/>
      <c r="WP913" s="471"/>
      <c r="WQ913" s="471"/>
      <c r="WR913" s="471"/>
      <c r="WS913" s="471"/>
      <c r="WT913" s="471"/>
      <c r="WU913" s="471"/>
      <c r="WV913" s="471"/>
      <c r="WW913" s="471"/>
      <c r="WX913" s="471"/>
      <c r="WY913" s="471"/>
      <c r="WZ913" s="471"/>
      <c r="XA913" s="471"/>
      <c r="XB913" s="471"/>
      <c r="XC913" s="471"/>
      <c r="XD913" s="471"/>
      <c r="XE913" s="471"/>
      <c r="XF913" s="471"/>
      <c r="XG913" s="471"/>
      <c r="XH913" s="471"/>
      <c r="XI913" s="471"/>
      <c r="XJ913" s="471"/>
      <c r="XK913" s="471"/>
      <c r="XL913" s="471"/>
      <c r="XM913" s="471"/>
      <c r="XN913" s="471"/>
      <c r="XO913" s="471"/>
      <c r="XP913" s="471"/>
      <c r="XQ913" s="471"/>
      <c r="XR913" s="471"/>
      <c r="XS913" s="471"/>
      <c r="XT913" s="471"/>
      <c r="XU913" s="471"/>
      <c r="XV913" s="471"/>
      <c r="XW913" s="471"/>
      <c r="XX913" s="471"/>
      <c r="XY913" s="471"/>
      <c r="XZ913" s="471"/>
      <c r="YA913" s="471"/>
      <c r="YB913" s="471"/>
      <c r="YC913" s="471"/>
      <c r="YD913" s="471"/>
      <c r="YE913" s="471"/>
      <c r="YF913" s="471"/>
      <c r="YG913" s="471"/>
      <c r="YH913" s="471"/>
      <c r="YI913" s="471"/>
      <c r="YJ913" s="471"/>
      <c r="YK913" s="471"/>
      <c r="YL913" s="471"/>
      <c r="YM913" s="471"/>
      <c r="YN913" s="471"/>
      <c r="YO913" s="471"/>
      <c r="YP913" s="471"/>
      <c r="YQ913" s="471"/>
      <c r="YR913" s="471"/>
      <c r="YS913" s="471"/>
      <c r="YT913" s="471"/>
      <c r="YU913" s="471"/>
      <c r="YV913" s="471"/>
      <c r="YW913" s="471"/>
      <c r="YX913" s="471"/>
      <c r="YY913" s="471"/>
      <c r="YZ913" s="471"/>
      <c r="ZA913" s="471"/>
      <c r="ZB913" s="471"/>
      <c r="ZC913" s="471"/>
      <c r="ZD913" s="471"/>
      <c r="ZE913" s="471"/>
      <c r="ZF913" s="471"/>
      <c r="ZG913" s="471"/>
      <c r="ZH913" s="471"/>
      <c r="ZI913" s="471"/>
      <c r="ZJ913" s="471"/>
      <c r="ZK913" s="471"/>
      <c r="ZL913" s="471"/>
      <c r="ZM913" s="471"/>
      <c r="ZN913" s="471"/>
      <c r="ZO913" s="471"/>
      <c r="ZP913" s="471"/>
      <c r="ZQ913" s="471"/>
      <c r="ZR913" s="471"/>
      <c r="ZS913" s="471"/>
      <c r="ZT913" s="471"/>
      <c r="ZU913" s="471"/>
      <c r="ZV913" s="471"/>
      <c r="ZW913" s="471"/>
      <c r="ZX913" s="471"/>
      <c r="ZY913" s="471"/>
      <c r="ZZ913" s="471"/>
      <c r="AAA913" s="471"/>
      <c r="AAB913" s="471"/>
      <c r="AAC913" s="471"/>
      <c r="AAD913" s="471"/>
      <c r="AAE913" s="471"/>
      <c r="AAF913" s="471"/>
      <c r="AAG913" s="471"/>
      <c r="AAH913" s="471"/>
      <c r="AAI913" s="471"/>
      <c r="AAJ913" s="471"/>
      <c r="AAK913" s="471"/>
      <c r="AAL913" s="471"/>
      <c r="AAM913" s="471"/>
      <c r="AAN913" s="471"/>
      <c r="AAO913" s="471"/>
      <c r="AAP913" s="471"/>
      <c r="AAQ913" s="471"/>
      <c r="AAR913" s="471"/>
      <c r="AAS913" s="471"/>
      <c r="AAT913" s="471"/>
      <c r="AAU913" s="471"/>
      <c r="AAV913" s="471"/>
      <c r="AAW913" s="471"/>
      <c r="AAX913" s="471"/>
      <c r="AAY913" s="471"/>
      <c r="AAZ913" s="471"/>
      <c r="ABA913" s="471"/>
      <c r="ABB913" s="471"/>
      <c r="ABC913" s="471"/>
      <c r="ABD913" s="471"/>
      <c r="ABE913" s="471"/>
      <c r="ABF913" s="471"/>
      <c r="ABG913" s="471"/>
      <c r="ABH913" s="471"/>
      <c r="ABI913" s="471"/>
      <c r="ABJ913" s="471"/>
      <c r="ABK913" s="471"/>
      <c r="ABL913" s="471"/>
      <c r="ABM913" s="471"/>
      <c r="ABN913" s="471"/>
      <c r="ABO913" s="471"/>
      <c r="ABP913" s="471"/>
      <c r="ABQ913" s="471"/>
      <c r="ABR913" s="471"/>
      <c r="ABS913" s="471"/>
      <c r="ABT913" s="471"/>
      <c r="ABU913" s="471"/>
      <c r="ABV913" s="471"/>
      <c r="ABW913" s="471"/>
      <c r="ABX913" s="471"/>
      <c r="ABY913" s="471"/>
      <c r="ABZ913" s="471"/>
      <c r="ACA913" s="471"/>
      <c r="ACB913" s="471"/>
      <c r="ACC913" s="471"/>
      <c r="ACD913" s="471"/>
      <c r="ACE913" s="471"/>
      <c r="ACF913" s="471"/>
      <c r="ACG913" s="471"/>
      <c r="ACH913" s="471"/>
      <c r="ACI913" s="471"/>
      <c r="ACJ913" s="471"/>
      <c r="ACK913" s="471"/>
      <c r="ACL913" s="471"/>
      <c r="ACM913" s="471"/>
      <c r="ACN913" s="471"/>
      <c r="ACO913" s="471"/>
      <c r="ACP913" s="471"/>
      <c r="ACQ913" s="471"/>
      <c r="ACR913" s="471"/>
      <c r="ACS913" s="471"/>
      <c r="ACT913" s="471"/>
      <c r="ACU913" s="471"/>
      <c r="ACV913" s="471"/>
      <c r="ACW913" s="471"/>
      <c r="ACX913" s="471"/>
      <c r="ACY913" s="471"/>
      <c r="ACZ913" s="471"/>
      <c r="ADA913" s="471"/>
      <c r="ADB913" s="471"/>
      <c r="ADC913" s="471"/>
      <c r="ADD913" s="471"/>
      <c r="ADE913" s="471"/>
      <c r="ADF913" s="471"/>
      <c r="ADG913" s="471"/>
      <c r="ADH913" s="471"/>
      <c r="ADI913" s="471"/>
      <c r="ADJ913" s="471"/>
      <c r="ADK913" s="471"/>
      <c r="ADL913" s="471"/>
      <c r="ADM913" s="471"/>
      <c r="ADN913" s="471"/>
      <c r="ADO913" s="471"/>
      <c r="ADP913" s="471"/>
      <c r="ADQ913" s="471"/>
      <c r="ADR913" s="471"/>
      <c r="ADS913" s="471"/>
      <c r="ADT913" s="471"/>
      <c r="ADU913" s="471"/>
      <c r="ADV913" s="471"/>
      <c r="ADW913" s="471"/>
      <c r="ADX913" s="471"/>
      <c r="ADY913" s="471"/>
      <c r="ADZ913" s="471"/>
      <c r="AEA913" s="471"/>
      <c r="AEB913" s="471"/>
      <c r="AEC913" s="471"/>
      <c r="AED913" s="471"/>
      <c r="AEE913" s="471"/>
      <c r="AEF913" s="471"/>
      <c r="AEG913" s="471"/>
      <c r="AEH913" s="471"/>
      <c r="AEI913" s="471"/>
      <c r="AEJ913" s="471"/>
      <c r="AEK913" s="471"/>
      <c r="AEL913" s="471"/>
      <c r="AEM913" s="471"/>
      <c r="AEN913" s="471"/>
      <c r="AEO913" s="471"/>
      <c r="AEP913" s="471"/>
      <c r="AEQ913" s="471"/>
      <c r="AER913" s="471"/>
      <c r="AES913" s="471"/>
      <c r="AET913" s="471"/>
      <c r="AEU913" s="471"/>
      <c r="AEV913" s="471"/>
      <c r="AEW913" s="471"/>
      <c r="AEX913" s="471"/>
      <c r="AEY913" s="471"/>
      <c r="AEZ913" s="471"/>
      <c r="AFA913" s="471"/>
      <c r="AFB913" s="471"/>
      <c r="AFC913" s="471"/>
      <c r="AFD913" s="471"/>
      <c r="AFE913" s="471"/>
      <c r="AFF913" s="471"/>
      <c r="AFG913" s="471"/>
      <c r="AFH913" s="471"/>
      <c r="AFI913" s="471"/>
      <c r="AFJ913" s="471"/>
      <c r="AFK913" s="471"/>
      <c r="AFL913" s="471"/>
      <c r="AFM913" s="471"/>
      <c r="AFN913" s="471"/>
      <c r="AFO913" s="471"/>
      <c r="AFP913" s="471"/>
      <c r="AFQ913" s="471"/>
      <c r="AFR913" s="471"/>
      <c r="AFS913" s="471"/>
      <c r="AFT913" s="471"/>
      <c r="AFU913" s="471"/>
      <c r="AFV913" s="471"/>
      <c r="AFW913" s="471"/>
      <c r="AFX913" s="471"/>
      <c r="AFY913" s="471"/>
      <c r="AFZ913" s="471"/>
      <c r="AGA913" s="471"/>
      <c r="AGB913" s="471"/>
      <c r="AGC913" s="471"/>
      <c r="AGD913" s="471"/>
      <c r="AGE913" s="471"/>
      <c r="AGF913" s="471"/>
      <c r="AGG913" s="471"/>
      <c r="AGH913" s="471"/>
      <c r="AGI913" s="471"/>
      <c r="AGJ913" s="471"/>
      <c r="AGK913" s="471"/>
      <c r="AGL913" s="471"/>
      <c r="AGM913" s="471"/>
      <c r="AGN913" s="471"/>
      <c r="AGO913" s="471"/>
      <c r="AGP913" s="471"/>
      <c r="AGQ913" s="471"/>
      <c r="AGR913" s="471"/>
      <c r="AGS913" s="471"/>
      <c r="AGT913" s="471"/>
      <c r="AGU913" s="471"/>
      <c r="AGV913" s="471"/>
      <c r="AGW913" s="471"/>
      <c r="AGX913" s="471"/>
      <c r="AGY913" s="471"/>
      <c r="AGZ913" s="471"/>
      <c r="AHA913" s="471"/>
      <c r="AHB913" s="471"/>
      <c r="AHC913" s="471"/>
      <c r="AHD913" s="471"/>
      <c r="AHE913" s="471"/>
      <c r="AHF913" s="471"/>
      <c r="AHG913" s="471"/>
      <c r="AHH913" s="471"/>
      <c r="AHI913" s="471"/>
      <c r="AHJ913" s="471"/>
      <c r="AHK913" s="471"/>
      <c r="AHL913" s="471"/>
      <c r="AHM913" s="471"/>
      <c r="AHN913" s="471"/>
      <c r="AHO913" s="471"/>
      <c r="AHP913" s="471"/>
      <c r="AHQ913" s="471"/>
      <c r="AHR913" s="471"/>
      <c r="AHS913" s="471"/>
      <c r="AHT913" s="471"/>
      <c r="AHU913" s="471"/>
      <c r="AHV913" s="471"/>
      <c r="AHW913" s="471"/>
      <c r="AHX913" s="471"/>
      <c r="AHY913" s="471"/>
      <c r="AHZ913" s="471"/>
      <c r="AIA913" s="471"/>
      <c r="AIB913" s="471"/>
      <c r="AIC913" s="471"/>
      <c r="AID913" s="471"/>
      <c r="AIE913" s="471"/>
      <c r="AIF913" s="471"/>
      <c r="AIG913" s="471"/>
      <c r="AIH913" s="471"/>
      <c r="AII913" s="471"/>
      <c r="AIJ913" s="471"/>
      <c r="AIK913" s="471"/>
      <c r="AIL913" s="471"/>
      <c r="AIM913" s="471"/>
      <c r="AIN913" s="471"/>
      <c r="AIO913" s="471"/>
      <c r="AIP913" s="471"/>
      <c r="AIQ913" s="471"/>
      <c r="AIR913" s="471"/>
      <c r="AIS913" s="471"/>
      <c r="AIT913" s="471"/>
      <c r="AIU913" s="471"/>
      <c r="AIV913" s="471"/>
      <c r="AIW913" s="471"/>
      <c r="AIX913" s="471"/>
      <c r="AIY913" s="471"/>
      <c r="AIZ913" s="471"/>
      <c r="AJA913" s="471"/>
      <c r="AJB913" s="471"/>
      <c r="AJC913" s="471"/>
      <c r="AJD913" s="471"/>
      <c r="AJE913" s="471"/>
      <c r="AJF913" s="471"/>
      <c r="AJG913" s="471"/>
      <c r="AJH913" s="471"/>
      <c r="AJI913" s="471"/>
      <c r="AJJ913" s="471"/>
      <c r="AJK913" s="471"/>
      <c r="AJL913" s="471"/>
      <c r="AJM913" s="471"/>
      <c r="AJN913" s="471"/>
      <c r="AJO913" s="471"/>
      <c r="AJP913" s="471"/>
      <c r="AJQ913" s="471"/>
      <c r="AJR913" s="471"/>
      <c r="AJS913" s="471"/>
      <c r="AJT913" s="471"/>
      <c r="AJU913" s="471"/>
      <c r="AJV913" s="471"/>
      <c r="AJW913" s="471"/>
      <c r="AJX913" s="471"/>
      <c r="AJY913" s="471"/>
      <c r="AJZ913" s="471"/>
      <c r="AKA913" s="471"/>
      <c r="AKB913" s="471"/>
      <c r="AKC913" s="471"/>
      <c r="AKD913" s="471"/>
      <c r="AKE913" s="471"/>
      <c r="AKF913" s="471"/>
      <c r="AKG913" s="471"/>
      <c r="AKH913" s="471"/>
      <c r="AKI913" s="471"/>
      <c r="AKJ913" s="471"/>
      <c r="AKK913" s="471"/>
      <c r="AKL913" s="471"/>
      <c r="AKM913" s="471"/>
      <c r="AKN913" s="471"/>
      <c r="AKO913" s="471"/>
      <c r="AKP913" s="471"/>
      <c r="AKQ913" s="471"/>
      <c r="AKR913" s="471"/>
      <c r="AKS913" s="471"/>
      <c r="AKT913" s="471"/>
      <c r="AKU913" s="471"/>
      <c r="AKV913" s="471"/>
      <c r="AKW913" s="471"/>
      <c r="AKX913" s="471"/>
      <c r="AKY913" s="471"/>
      <c r="AKZ913" s="471"/>
      <c r="ALA913" s="471"/>
      <c r="ALB913" s="471"/>
      <c r="ALC913" s="471"/>
      <c r="ALD913" s="471"/>
      <c r="ALE913" s="471"/>
      <c r="ALF913" s="471"/>
      <c r="ALG913" s="471"/>
      <c r="ALH913" s="471"/>
      <c r="ALI913" s="471"/>
      <c r="ALJ913" s="471"/>
      <c r="ALK913" s="471"/>
      <c r="ALL913" s="471"/>
      <c r="ALM913" s="471"/>
      <c r="ALN913" s="471"/>
      <c r="ALO913" s="471"/>
      <c r="ALP913" s="471"/>
      <c r="ALQ913" s="471"/>
      <c r="ALR913" s="471"/>
      <c r="ALS913" s="471"/>
      <c r="ALT913" s="471"/>
      <c r="ALU913" s="471"/>
      <c r="ALV913" s="471"/>
      <c r="ALW913" s="471"/>
      <c r="ALX913" s="471"/>
      <c r="ALY913" s="471"/>
      <c r="ALZ913" s="471"/>
      <c r="AMA913" s="471"/>
      <c r="AMB913" s="471"/>
      <c r="AMC913" s="471"/>
      <c r="AMD913" s="471"/>
      <c r="AME913" s="471"/>
      <c r="AMF913" s="471"/>
      <c r="AMG913" s="471"/>
      <c r="AMH913" s="471"/>
      <c r="AMI913" s="471"/>
      <c r="AMJ913" s="471"/>
      <c r="AMK913" s="471"/>
      <c r="AML913" s="471"/>
      <c r="AMM913" s="471"/>
      <c r="AMN913" s="471"/>
      <c r="AMO913" s="471"/>
      <c r="AMP913" s="471"/>
      <c r="AMQ913" s="471"/>
      <c r="AMR913" s="471"/>
      <c r="AMS913" s="471"/>
      <c r="AMT913" s="471"/>
      <c r="AMU913" s="471"/>
      <c r="AMV913" s="471"/>
      <c r="AMW913" s="471"/>
      <c r="AMX913" s="471"/>
      <c r="AMY913" s="471"/>
      <c r="AMZ913" s="471"/>
      <c r="ANA913" s="471"/>
      <c r="ANB913" s="471"/>
      <c r="ANC913" s="471"/>
      <c r="AND913" s="471"/>
      <c r="ANE913" s="471"/>
      <c r="ANF913" s="471"/>
      <c r="ANG913" s="471"/>
      <c r="ANH913" s="471"/>
      <c r="ANI913" s="471"/>
      <c r="ANJ913" s="471"/>
      <c r="ANK913" s="471"/>
      <c r="ANL913" s="471"/>
      <c r="ANM913" s="471"/>
      <c r="ANN913" s="471"/>
      <c r="ANO913" s="471"/>
      <c r="ANP913" s="471"/>
      <c r="ANQ913" s="471"/>
      <c r="ANR913" s="471"/>
      <c r="ANS913" s="471"/>
      <c r="ANT913" s="471"/>
      <c r="ANU913" s="471"/>
      <c r="ANV913" s="471"/>
      <c r="ANW913" s="471"/>
      <c r="ANX913" s="471"/>
      <c r="ANY913" s="471"/>
      <c r="ANZ913" s="471"/>
      <c r="AOA913" s="471"/>
      <c r="AOB913" s="471"/>
      <c r="AOC913" s="471"/>
      <c r="AOD913" s="471"/>
      <c r="AOE913" s="471"/>
      <c r="AOF913" s="471"/>
      <c r="AOG913" s="471"/>
      <c r="AOH913" s="471"/>
      <c r="AOI913" s="471"/>
      <c r="AOJ913" s="471"/>
      <c r="AOK913" s="471"/>
      <c r="AOL913" s="471"/>
      <c r="AOM913" s="471"/>
      <c r="AON913" s="471"/>
      <c r="AOO913" s="471"/>
      <c r="AOP913" s="471"/>
      <c r="AOQ913" s="471"/>
      <c r="AOR913" s="471"/>
      <c r="AOS913" s="471"/>
      <c r="AOT913" s="471"/>
      <c r="AOU913" s="471"/>
      <c r="AOV913" s="471"/>
      <c r="AOW913" s="471"/>
      <c r="AOX913" s="471"/>
      <c r="AOY913" s="471"/>
      <c r="AOZ913" s="471"/>
      <c r="APA913" s="471"/>
      <c r="APB913" s="471"/>
      <c r="APC913" s="471"/>
      <c r="APD913" s="471"/>
      <c r="APE913" s="471"/>
      <c r="APF913" s="471"/>
      <c r="APG913" s="471"/>
      <c r="APH913" s="471"/>
      <c r="API913" s="471"/>
      <c r="APJ913" s="471"/>
      <c r="APK913" s="471"/>
      <c r="APL913" s="471"/>
      <c r="APM913" s="471"/>
      <c r="APN913" s="471"/>
      <c r="APO913" s="471"/>
      <c r="APP913" s="471"/>
      <c r="APQ913" s="471"/>
      <c r="APR913" s="471"/>
      <c r="APS913" s="471"/>
      <c r="APT913" s="471"/>
      <c r="APU913" s="471"/>
      <c r="APV913" s="471"/>
      <c r="APW913" s="471"/>
      <c r="APX913" s="471"/>
      <c r="APY913" s="471"/>
      <c r="APZ913" s="471"/>
      <c r="AQA913" s="471"/>
      <c r="AQB913" s="471"/>
      <c r="AQC913" s="471"/>
      <c r="AQD913" s="471"/>
      <c r="AQE913" s="471"/>
      <c r="AQF913" s="471"/>
      <c r="AQG913" s="471"/>
      <c r="AQH913" s="471"/>
      <c r="AQI913" s="471"/>
      <c r="AQJ913" s="471"/>
      <c r="AQK913" s="471"/>
      <c r="AQL913" s="471"/>
      <c r="AQM913" s="471"/>
      <c r="AQN913" s="471"/>
      <c r="AQO913" s="471"/>
      <c r="AQP913" s="471"/>
      <c r="AQQ913" s="471"/>
      <c r="AQR913" s="471"/>
      <c r="AQS913" s="471"/>
      <c r="AQT913" s="471"/>
      <c r="AQU913" s="471"/>
      <c r="AQV913" s="471"/>
      <c r="AQW913" s="471"/>
      <c r="AQX913" s="471"/>
      <c r="AQY913" s="471"/>
      <c r="AQZ913" s="471"/>
      <c r="ARA913" s="471"/>
      <c r="ARB913" s="471"/>
      <c r="ARC913" s="471"/>
      <c r="ARD913" s="471"/>
      <c r="ARE913" s="471"/>
      <c r="ARF913" s="471"/>
      <c r="ARG913" s="471"/>
      <c r="ARH913" s="471"/>
      <c r="ARI913" s="471"/>
      <c r="ARJ913" s="471"/>
      <c r="ARK913" s="471"/>
      <c r="ARL913" s="471"/>
      <c r="ARM913" s="471"/>
      <c r="ARN913" s="471"/>
      <c r="ARO913" s="471"/>
      <c r="ARP913" s="471"/>
      <c r="ARQ913" s="471"/>
      <c r="ARR913" s="471"/>
      <c r="ARS913" s="471"/>
      <c r="ART913" s="471"/>
      <c r="ARU913" s="471"/>
      <c r="ARV913" s="471"/>
      <c r="ARW913" s="471"/>
      <c r="ARX913" s="471"/>
      <c r="ARY913" s="471"/>
      <c r="ARZ913" s="471"/>
      <c r="ASA913" s="471"/>
      <c r="ASB913" s="471"/>
      <c r="ASC913" s="471"/>
      <c r="ASD913" s="471"/>
      <c r="ASE913" s="471"/>
      <c r="ASF913" s="471"/>
      <c r="ASG913" s="471"/>
      <c r="ASH913" s="471"/>
      <c r="ASI913" s="471"/>
      <c r="ASJ913" s="471"/>
      <c r="ASK913" s="471"/>
      <c r="ASL913" s="471"/>
      <c r="ASM913" s="471"/>
      <c r="ASN913" s="471"/>
      <c r="ASO913" s="471"/>
      <c r="ASP913" s="471"/>
      <c r="ASQ913" s="471"/>
      <c r="ASR913" s="471"/>
      <c r="ASS913" s="471"/>
      <c r="AST913" s="471"/>
      <c r="ASU913" s="471"/>
      <c r="ASV913" s="471"/>
      <c r="ASW913" s="471"/>
      <c r="ASX913" s="471"/>
      <c r="ASY913" s="471"/>
      <c r="ASZ913" s="471"/>
      <c r="ATA913" s="471"/>
      <c r="ATB913" s="471"/>
      <c r="ATC913" s="471"/>
      <c r="ATD913" s="471"/>
      <c r="ATE913" s="471"/>
      <c r="ATF913" s="471"/>
      <c r="ATG913" s="471"/>
      <c r="ATH913" s="471"/>
      <c r="ATI913" s="471"/>
      <c r="ATJ913" s="471"/>
      <c r="ATK913" s="471"/>
      <c r="ATL913" s="471"/>
      <c r="ATM913" s="471"/>
      <c r="ATN913" s="471"/>
      <c r="ATO913" s="471"/>
      <c r="ATP913" s="471"/>
      <c r="ATQ913" s="471"/>
      <c r="ATR913" s="471"/>
      <c r="ATS913" s="471"/>
      <c r="ATT913" s="471"/>
      <c r="ATU913" s="471"/>
      <c r="ATV913" s="471"/>
      <c r="ATW913" s="471"/>
      <c r="ATX913" s="471"/>
      <c r="ATY913" s="471"/>
      <c r="ATZ913" s="471"/>
      <c r="AUA913" s="471"/>
      <c r="AUB913" s="471"/>
      <c r="AUC913" s="471"/>
      <c r="AUD913" s="471"/>
      <c r="AUE913" s="471"/>
      <c r="AUF913" s="471"/>
      <c r="AUG913" s="471"/>
      <c r="AUH913" s="471"/>
      <c r="AUI913" s="471"/>
      <c r="AUJ913" s="471"/>
      <c r="AUK913" s="471"/>
      <c r="AUL913" s="471"/>
      <c r="AUM913" s="471"/>
      <c r="AUN913" s="471"/>
      <c r="AUO913" s="471"/>
      <c r="AUP913" s="471"/>
      <c r="AUQ913" s="471"/>
      <c r="AUR913" s="471"/>
      <c r="AUS913" s="471"/>
      <c r="AUT913" s="471"/>
      <c r="AUU913" s="471"/>
      <c r="AUV913" s="471"/>
      <c r="AUW913" s="471"/>
      <c r="AUX913" s="471"/>
      <c r="AUY913" s="471"/>
      <c r="AUZ913" s="471"/>
      <c r="AVA913" s="471"/>
      <c r="AVB913" s="471"/>
      <c r="AVC913" s="471"/>
      <c r="AVD913" s="471"/>
      <c r="AVE913" s="471"/>
      <c r="AVF913" s="471"/>
      <c r="AVG913" s="471"/>
      <c r="AVH913" s="471"/>
      <c r="AVI913" s="471"/>
      <c r="AVJ913" s="471"/>
      <c r="AVK913" s="471"/>
    </row>
    <row r="914" spans="1:1259" s="511" customFormat="1" ht="15" customHeight="1">
      <c r="A914" s="472"/>
      <c r="B914" s="472"/>
      <c r="C914" s="472"/>
      <c r="D914" s="512" t="s">
        <v>3186</v>
      </c>
      <c r="E914" s="501"/>
      <c r="F914" s="501"/>
      <c r="G914" s="501">
        <v>2022</v>
      </c>
      <c r="H914" s="501"/>
      <c r="I914" s="496" t="s">
        <v>1676</v>
      </c>
      <c r="J914" s="502"/>
      <c r="K914" s="503" t="s">
        <v>5775</v>
      </c>
      <c r="L914" s="501" t="s">
        <v>3297</v>
      </c>
      <c r="M914" s="504">
        <v>44671</v>
      </c>
      <c r="N914" s="504">
        <v>44909</v>
      </c>
      <c r="O914" s="504"/>
      <c r="P914" s="502"/>
      <c r="Q914" s="502"/>
      <c r="R914" s="502"/>
      <c r="S914" s="501" t="s">
        <v>2379</v>
      </c>
      <c r="T914" s="501">
        <v>60</v>
      </c>
      <c r="U914" s="501"/>
      <c r="V914" s="501" t="s">
        <v>973</v>
      </c>
      <c r="W914" s="501">
        <v>400</v>
      </c>
      <c r="X914" s="505">
        <v>4992</v>
      </c>
      <c r="Y914" s="491">
        <f t="shared" si="130"/>
        <v>1996800</v>
      </c>
      <c r="Z914" s="506">
        <v>0.6</v>
      </c>
      <c r="AA914" s="492">
        <f t="shared" si="134"/>
        <v>1198080</v>
      </c>
      <c r="AB914" s="480"/>
      <c r="AC914" s="481">
        <f t="shared" si="131"/>
        <v>0</v>
      </c>
      <c r="AD914" s="508"/>
      <c r="AE914" s="507">
        <v>45676.800000000003</v>
      </c>
      <c r="AF914" s="493">
        <f t="shared" si="132"/>
        <v>1243756.8</v>
      </c>
      <c r="AG914" s="501" t="s">
        <v>47</v>
      </c>
      <c r="AH914" s="501"/>
      <c r="AI914" s="503">
        <v>60</v>
      </c>
      <c r="AJ914" s="501" t="s">
        <v>1790</v>
      </c>
      <c r="AK914" s="509" t="s">
        <v>50</v>
      </c>
      <c r="AL914" s="501">
        <v>95826</v>
      </c>
      <c r="AM914" s="501" t="s">
        <v>52</v>
      </c>
      <c r="AN914" s="501"/>
      <c r="AO914" s="501"/>
      <c r="AP914" s="510"/>
      <c r="AQ914" s="510" t="s">
        <v>37</v>
      </c>
      <c r="AR914" s="510"/>
      <c r="AS914" s="495"/>
      <c r="AT914" s="495"/>
      <c r="AU914" s="495"/>
      <c r="AV914" s="506">
        <f t="shared" si="133"/>
        <v>0.48000000000000004</v>
      </c>
      <c r="AW914" s="471"/>
      <c r="AX914" s="471"/>
      <c r="AY914" s="471"/>
      <c r="AZ914" s="471"/>
      <c r="BA914" s="471"/>
      <c r="BB914" s="471"/>
      <c r="BC914" s="471"/>
      <c r="BD914" s="471"/>
      <c r="BE914" s="471"/>
      <c r="BF914" s="471"/>
      <c r="BG914" s="471"/>
      <c r="BH914" s="471"/>
      <c r="BI914" s="471"/>
      <c r="BJ914" s="471"/>
      <c r="BK914" s="471"/>
      <c r="BL914" s="471"/>
      <c r="BM914" s="471"/>
      <c r="BN914" s="471"/>
      <c r="BO914" s="471"/>
      <c r="BP914" s="471"/>
      <c r="BQ914" s="471"/>
      <c r="BR914" s="471"/>
      <c r="BS914" s="471"/>
      <c r="BT914" s="471"/>
      <c r="BU914" s="471"/>
      <c r="BV914" s="471"/>
      <c r="BW914" s="471"/>
      <c r="BX914" s="471"/>
      <c r="BY914" s="471"/>
      <c r="BZ914" s="471"/>
      <c r="CA914" s="471"/>
      <c r="CB914" s="471"/>
      <c r="CC914" s="471"/>
      <c r="CD914" s="471"/>
      <c r="CE914" s="471"/>
      <c r="CF914" s="471"/>
      <c r="CG914" s="471"/>
      <c r="CH914" s="471"/>
      <c r="CI914" s="471"/>
      <c r="CJ914" s="471"/>
      <c r="CK914" s="471"/>
      <c r="CL914" s="471"/>
      <c r="CM914" s="471"/>
      <c r="CN914" s="471"/>
      <c r="CO914" s="471"/>
      <c r="CP914" s="471"/>
      <c r="CQ914" s="471"/>
      <c r="CR914" s="471"/>
      <c r="CS914" s="471"/>
      <c r="CT914" s="471"/>
      <c r="CU914" s="471"/>
      <c r="CV914" s="471"/>
      <c r="CW914" s="471"/>
      <c r="CX914" s="471"/>
      <c r="CY914" s="471"/>
      <c r="CZ914" s="471"/>
      <c r="DA914" s="471"/>
      <c r="DB914" s="471"/>
      <c r="DC914" s="471"/>
      <c r="DD914" s="471"/>
      <c r="DE914" s="471"/>
      <c r="DF914" s="471"/>
      <c r="DG914" s="471"/>
      <c r="DH914" s="471"/>
      <c r="DI914" s="471"/>
      <c r="DJ914" s="471"/>
      <c r="DK914" s="471"/>
      <c r="DL914" s="471"/>
      <c r="DM914" s="471"/>
      <c r="DN914" s="471"/>
      <c r="DO914" s="471"/>
      <c r="DP914" s="471"/>
      <c r="DQ914" s="471"/>
      <c r="DR914" s="471"/>
      <c r="DS914" s="471"/>
      <c r="DT914" s="471"/>
      <c r="DU914" s="471"/>
      <c r="DV914" s="471"/>
      <c r="DW914" s="471"/>
      <c r="DX914" s="471"/>
      <c r="DY914" s="471"/>
      <c r="DZ914" s="471"/>
      <c r="EA914" s="471"/>
      <c r="EB914" s="471"/>
      <c r="EC914" s="471"/>
      <c r="ED914" s="471"/>
      <c r="EE914" s="471"/>
      <c r="EF914" s="471"/>
      <c r="EG914" s="471"/>
      <c r="EH914" s="471"/>
      <c r="EI914" s="471"/>
      <c r="EJ914" s="471"/>
      <c r="EK914" s="471"/>
      <c r="EL914" s="471"/>
      <c r="EM914" s="471"/>
      <c r="EN914" s="471"/>
      <c r="EO914" s="471"/>
      <c r="EP914" s="471"/>
      <c r="EQ914" s="471"/>
      <c r="ER914" s="471"/>
      <c r="ES914" s="471"/>
      <c r="ET914" s="471"/>
      <c r="EU914" s="471"/>
      <c r="EV914" s="471"/>
      <c r="EW914" s="471"/>
      <c r="EX914" s="471"/>
      <c r="EY914" s="471"/>
      <c r="EZ914" s="471"/>
      <c r="FA914" s="471"/>
      <c r="FB914" s="471"/>
      <c r="FC914" s="471"/>
      <c r="FD914" s="471"/>
      <c r="FE914" s="471"/>
      <c r="FF914" s="471"/>
      <c r="FG914" s="471"/>
      <c r="FH914" s="471"/>
      <c r="FI914" s="471"/>
      <c r="FJ914" s="471"/>
      <c r="FK914" s="471"/>
      <c r="FL914" s="471"/>
      <c r="FM914" s="471"/>
      <c r="FN914" s="471"/>
      <c r="FO914" s="471"/>
      <c r="FP914" s="471"/>
      <c r="FQ914" s="471"/>
      <c r="FR914" s="471"/>
      <c r="FS914" s="471"/>
      <c r="FT914" s="471"/>
      <c r="FU914" s="471"/>
      <c r="FV914" s="471"/>
      <c r="FW914" s="471"/>
      <c r="FX914" s="471"/>
      <c r="FY914" s="471"/>
      <c r="FZ914" s="471"/>
      <c r="GA914" s="471"/>
      <c r="GB914" s="471"/>
      <c r="GC914" s="471"/>
      <c r="GD914" s="471"/>
      <c r="GE914" s="471"/>
      <c r="GF914" s="471"/>
      <c r="GG914" s="471"/>
      <c r="GH914" s="471"/>
      <c r="GI914" s="471"/>
      <c r="GJ914" s="471"/>
      <c r="GK914" s="471"/>
      <c r="GL914" s="471"/>
      <c r="GM914" s="471"/>
      <c r="GN914" s="471"/>
      <c r="GO914" s="471"/>
      <c r="GP914" s="471"/>
      <c r="GQ914" s="471"/>
      <c r="GR914" s="471"/>
      <c r="GS914" s="471"/>
      <c r="GT914" s="471"/>
      <c r="GU914" s="471"/>
      <c r="GV914" s="471"/>
      <c r="GW914" s="471"/>
      <c r="GX914" s="471"/>
      <c r="GY914" s="471"/>
      <c r="GZ914" s="471"/>
      <c r="HA914" s="471"/>
      <c r="HB914" s="471"/>
      <c r="HC914" s="471"/>
      <c r="HD914" s="471"/>
      <c r="HE914" s="471"/>
      <c r="HF914" s="471"/>
      <c r="HG914" s="471"/>
      <c r="HH914" s="471"/>
      <c r="HI914" s="471"/>
      <c r="HJ914" s="471"/>
      <c r="HK914" s="471"/>
      <c r="HL914" s="471"/>
      <c r="HM914" s="471"/>
      <c r="HN914" s="471"/>
      <c r="HO914" s="471"/>
      <c r="HP914" s="471"/>
      <c r="HQ914" s="471"/>
      <c r="HR914" s="471"/>
      <c r="HS914" s="471"/>
      <c r="HT914" s="471"/>
      <c r="HU914" s="471"/>
      <c r="HV914" s="471"/>
      <c r="HW914" s="471"/>
      <c r="HX914" s="471"/>
      <c r="HY914" s="471"/>
      <c r="HZ914" s="471"/>
      <c r="IA914" s="471"/>
      <c r="IB914" s="471"/>
      <c r="IC914" s="471"/>
      <c r="ID914" s="471"/>
      <c r="IE914" s="471"/>
      <c r="IF914" s="471"/>
      <c r="IG914" s="471"/>
      <c r="IH914" s="471"/>
      <c r="II914" s="471"/>
      <c r="IJ914" s="471"/>
      <c r="IK914" s="471"/>
      <c r="IL914" s="471"/>
      <c r="IM914" s="471"/>
      <c r="IN914" s="471"/>
      <c r="IO914" s="471"/>
      <c r="IP914" s="471"/>
      <c r="IQ914" s="471"/>
      <c r="IR914" s="471"/>
      <c r="IS914" s="471"/>
      <c r="IT914" s="471"/>
      <c r="IU914" s="471"/>
      <c r="IV914" s="471"/>
      <c r="IW914" s="471"/>
      <c r="IX914" s="471"/>
      <c r="IY914" s="471"/>
      <c r="IZ914" s="471"/>
      <c r="JA914" s="471"/>
      <c r="JB914" s="471"/>
      <c r="JC914" s="471"/>
      <c r="JD914" s="471"/>
      <c r="JE914" s="471"/>
      <c r="JF914" s="471"/>
      <c r="JG914" s="471"/>
      <c r="JH914" s="471"/>
      <c r="JI914" s="471"/>
      <c r="JJ914" s="471"/>
      <c r="JK914" s="471"/>
      <c r="JL914" s="471"/>
      <c r="JM914" s="471"/>
      <c r="JN914" s="471"/>
      <c r="JO914" s="471"/>
      <c r="JP914" s="471"/>
      <c r="JQ914" s="471"/>
      <c r="JR914" s="471"/>
      <c r="JS914" s="471"/>
      <c r="JT914" s="471"/>
      <c r="JU914" s="471"/>
      <c r="JV914" s="471"/>
      <c r="JW914" s="471"/>
      <c r="JX914" s="471"/>
      <c r="JY914" s="471"/>
      <c r="JZ914" s="471"/>
      <c r="KA914" s="471"/>
      <c r="KB914" s="471"/>
      <c r="KC914" s="471"/>
      <c r="KD914" s="471"/>
      <c r="KE914" s="471"/>
      <c r="KF914" s="471"/>
      <c r="KG914" s="471"/>
      <c r="KH914" s="471"/>
      <c r="KI914" s="471"/>
      <c r="KJ914" s="471"/>
      <c r="KK914" s="471"/>
      <c r="KL914" s="471"/>
      <c r="KM914" s="471"/>
      <c r="KN914" s="471"/>
      <c r="KO914" s="471"/>
      <c r="KP914" s="471"/>
      <c r="KQ914" s="471"/>
      <c r="KR914" s="471"/>
      <c r="KS914" s="471"/>
      <c r="KT914" s="471"/>
      <c r="KU914" s="471"/>
      <c r="KV914" s="471"/>
      <c r="KW914" s="471"/>
      <c r="KX914" s="471"/>
      <c r="KY914" s="471"/>
      <c r="KZ914" s="471"/>
      <c r="LA914" s="471"/>
      <c r="LB914" s="471"/>
      <c r="LC914" s="471"/>
      <c r="LD914" s="471"/>
      <c r="LE914" s="471"/>
      <c r="LF914" s="471"/>
      <c r="LG914" s="471"/>
      <c r="LH914" s="471"/>
      <c r="LI914" s="471"/>
      <c r="LJ914" s="471"/>
      <c r="LK914" s="471"/>
      <c r="LL914" s="471"/>
      <c r="LM914" s="471"/>
      <c r="LN914" s="471"/>
      <c r="LO914" s="471"/>
      <c r="LP914" s="471"/>
      <c r="LQ914" s="471"/>
      <c r="LR914" s="471"/>
      <c r="LS914" s="471"/>
      <c r="LT914" s="471"/>
      <c r="LU914" s="471"/>
      <c r="LV914" s="471"/>
      <c r="LW914" s="471"/>
      <c r="LX914" s="471"/>
      <c r="LY914" s="471"/>
      <c r="LZ914" s="471"/>
      <c r="MA914" s="471"/>
      <c r="MB914" s="471"/>
      <c r="MC914" s="471"/>
      <c r="MD914" s="471"/>
      <c r="ME914" s="471"/>
      <c r="MF914" s="471"/>
      <c r="MG914" s="471"/>
      <c r="MH914" s="471"/>
      <c r="MI914" s="471"/>
      <c r="MJ914" s="471"/>
      <c r="MK914" s="471"/>
      <c r="ML914" s="471"/>
      <c r="MM914" s="471"/>
      <c r="MN914" s="471"/>
      <c r="MO914" s="471"/>
      <c r="MP914" s="471"/>
      <c r="MQ914" s="471"/>
      <c r="MR914" s="471"/>
      <c r="MS914" s="471"/>
      <c r="MT914" s="471"/>
      <c r="MU914" s="471"/>
      <c r="MV914" s="471"/>
      <c r="MW914" s="471"/>
      <c r="MX914" s="471"/>
      <c r="MY914" s="471"/>
      <c r="MZ914" s="471"/>
      <c r="NA914" s="471"/>
      <c r="NB914" s="471"/>
      <c r="NC914" s="471"/>
      <c r="ND914" s="471"/>
      <c r="NE914" s="471"/>
      <c r="NF914" s="471"/>
      <c r="NG914" s="471"/>
      <c r="NH914" s="471"/>
      <c r="NI914" s="471"/>
      <c r="NJ914" s="471"/>
      <c r="NK914" s="471"/>
      <c r="NL914" s="471"/>
      <c r="NM914" s="471"/>
      <c r="NN914" s="471"/>
      <c r="NO914" s="471"/>
      <c r="NP914" s="471"/>
      <c r="NQ914" s="471"/>
      <c r="NR914" s="471"/>
      <c r="NS914" s="471"/>
      <c r="NT914" s="471"/>
      <c r="NU914" s="471"/>
      <c r="NV914" s="471"/>
      <c r="NW914" s="471"/>
      <c r="NX914" s="471"/>
      <c r="NY914" s="471"/>
      <c r="NZ914" s="471"/>
      <c r="OA914" s="471"/>
      <c r="OB914" s="471"/>
      <c r="OC914" s="471"/>
      <c r="OD914" s="471"/>
      <c r="OE914" s="471"/>
      <c r="OF914" s="471"/>
      <c r="OG914" s="471"/>
      <c r="OH914" s="471"/>
      <c r="OI914" s="471"/>
      <c r="OJ914" s="471"/>
      <c r="OK914" s="471"/>
      <c r="OL914" s="471"/>
      <c r="OM914" s="471"/>
      <c r="ON914" s="471"/>
      <c r="OO914" s="471"/>
      <c r="OP914" s="471"/>
      <c r="OQ914" s="471"/>
      <c r="OR914" s="471"/>
      <c r="OS914" s="471"/>
      <c r="OT914" s="471"/>
      <c r="OU914" s="471"/>
      <c r="OV914" s="471"/>
      <c r="OW914" s="471"/>
      <c r="OX914" s="471"/>
      <c r="OY914" s="471"/>
      <c r="OZ914" s="471"/>
      <c r="PA914" s="471"/>
      <c r="PB914" s="471"/>
      <c r="PC914" s="471"/>
      <c r="PD914" s="471"/>
      <c r="PE914" s="471"/>
      <c r="PF914" s="471"/>
      <c r="PG914" s="471"/>
      <c r="PH914" s="471"/>
      <c r="PI914" s="471"/>
      <c r="PJ914" s="471"/>
      <c r="PK914" s="471"/>
      <c r="PL914" s="471"/>
      <c r="PM914" s="471"/>
      <c r="PN914" s="471"/>
      <c r="PO914" s="471"/>
      <c r="PP914" s="471"/>
      <c r="PQ914" s="471"/>
      <c r="PR914" s="471"/>
      <c r="PS914" s="471"/>
      <c r="PT914" s="471"/>
      <c r="PU914" s="471"/>
      <c r="PV914" s="471"/>
      <c r="PW914" s="471"/>
      <c r="PX914" s="471"/>
      <c r="PY914" s="471"/>
      <c r="PZ914" s="471"/>
      <c r="QA914" s="471"/>
      <c r="QB914" s="471"/>
      <c r="QC914" s="471"/>
      <c r="QD914" s="471"/>
      <c r="QE914" s="471"/>
      <c r="QF914" s="471"/>
      <c r="QG914" s="471"/>
      <c r="QH914" s="471"/>
      <c r="QI914" s="471"/>
      <c r="QJ914" s="471"/>
      <c r="QK914" s="471"/>
      <c r="QL914" s="471"/>
      <c r="QM914" s="471"/>
      <c r="QN914" s="471"/>
      <c r="QO914" s="471"/>
      <c r="QP914" s="471"/>
      <c r="QQ914" s="471"/>
      <c r="QR914" s="471"/>
      <c r="QS914" s="471"/>
      <c r="QT914" s="471"/>
      <c r="QU914" s="471"/>
      <c r="QV914" s="471"/>
      <c r="QW914" s="471"/>
      <c r="QX914" s="471"/>
      <c r="QY914" s="471"/>
      <c r="QZ914" s="471"/>
      <c r="RA914" s="471"/>
      <c r="RB914" s="471"/>
      <c r="RC914" s="471"/>
      <c r="RD914" s="471"/>
      <c r="RE914" s="471"/>
      <c r="RF914" s="471"/>
      <c r="RG914" s="471"/>
      <c r="RH914" s="471"/>
      <c r="RI914" s="471"/>
      <c r="RJ914" s="471"/>
      <c r="RK914" s="471"/>
      <c r="RL914" s="471"/>
      <c r="RM914" s="471"/>
      <c r="RN914" s="471"/>
      <c r="RO914" s="471"/>
      <c r="RP914" s="471"/>
      <c r="RQ914" s="471"/>
      <c r="RR914" s="471"/>
      <c r="RS914" s="471"/>
      <c r="RT914" s="471"/>
      <c r="RU914" s="471"/>
      <c r="RV914" s="471"/>
      <c r="RW914" s="471"/>
      <c r="RX914" s="471"/>
      <c r="RY914" s="471"/>
      <c r="RZ914" s="471"/>
      <c r="SA914" s="471"/>
      <c r="SB914" s="471"/>
      <c r="SC914" s="471"/>
      <c r="SD914" s="471"/>
      <c r="SE914" s="471"/>
      <c r="SF914" s="471"/>
      <c r="SG914" s="471"/>
      <c r="SH914" s="471"/>
      <c r="SI914" s="471"/>
      <c r="SJ914" s="471"/>
      <c r="SK914" s="471"/>
      <c r="SL914" s="471"/>
      <c r="SM914" s="471"/>
      <c r="SN914" s="471"/>
      <c r="SO914" s="471"/>
      <c r="SP914" s="471"/>
      <c r="SQ914" s="471"/>
      <c r="SR914" s="471"/>
      <c r="SS914" s="471"/>
      <c r="ST914" s="471"/>
      <c r="SU914" s="471"/>
      <c r="SV914" s="471"/>
      <c r="SW914" s="471"/>
      <c r="SX914" s="471"/>
      <c r="SY914" s="471"/>
      <c r="SZ914" s="471"/>
      <c r="TA914" s="471"/>
      <c r="TB914" s="471"/>
      <c r="TC914" s="471"/>
      <c r="TD914" s="471"/>
      <c r="TE914" s="471"/>
      <c r="TF914" s="471"/>
      <c r="TG914" s="471"/>
      <c r="TH914" s="471"/>
      <c r="TI914" s="471"/>
      <c r="TJ914" s="471"/>
      <c r="TK914" s="471"/>
      <c r="TL914" s="471"/>
      <c r="TM914" s="471"/>
      <c r="TN914" s="471"/>
      <c r="TO914" s="471"/>
      <c r="TP914" s="471"/>
      <c r="TQ914" s="471"/>
      <c r="TR914" s="471"/>
      <c r="TS914" s="471"/>
      <c r="TT914" s="471"/>
      <c r="TU914" s="471"/>
      <c r="TV914" s="471"/>
      <c r="TW914" s="471"/>
      <c r="TX914" s="471"/>
      <c r="TY914" s="471"/>
      <c r="TZ914" s="471"/>
      <c r="UA914" s="471"/>
      <c r="UB914" s="471"/>
      <c r="UC914" s="471"/>
      <c r="UD914" s="471"/>
      <c r="UE914" s="471"/>
      <c r="UF914" s="471"/>
      <c r="UG914" s="471"/>
      <c r="UH914" s="471"/>
      <c r="UI914" s="471"/>
      <c r="UJ914" s="471"/>
      <c r="UK914" s="471"/>
      <c r="UL914" s="471"/>
      <c r="UM914" s="471"/>
      <c r="UN914" s="471"/>
      <c r="UO914" s="471"/>
      <c r="UP914" s="471"/>
      <c r="UQ914" s="471"/>
      <c r="UR914" s="471"/>
      <c r="US914" s="471"/>
      <c r="UT914" s="471"/>
      <c r="UU914" s="471"/>
      <c r="UV914" s="471"/>
      <c r="UW914" s="471"/>
      <c r="UX914" s="471"/>
      <c r="UY914" s="471"/>
      <c r="UZ914" s="471"/>
      <c r="VA914" s="471"/>
      <c r="VB914" s="471"/>
      <c r="VC914" s="471"/>
      <c r="VD914" s="471"/>
      <c r="VE914" s="471"/>
      <c r="VF914" s="471"/>
      <c r="VG914" s="471"/>
      <c r="VH914" s="471"/>
      <c r="VI914" s="471"/>
      <c r="VJ914" s="471"/>
      <c r="VK914" s="471"/>
      <c r="VL914" s="471"/>
      <c r="VM914" s="471"/>
      <c r="VN914" s="471"/>
      <c r="VO914" s="471"/>
      <c r="VP914" s="471"/>
      <c r="VQ914" s="471"/>
      <c r="VR914" s="471"/>
      <c r="VS914" s="471"/>
      <c r="VT914" s="471"/>
      <c r="VU914" s="471"/>
      <c r="VV914" s="471"/>
      <c r="VW914" s="471"/>
      <c r="VX914" s="471"/>
      <c r="VY914" s="471"/>
      <c r="VZ914" s="471"/>
      <c r="WA914" s="471"/>
      <c r="WB914" s="471"/>
      <c r="WC914" s="471"/>
      <c r="WD914" s="471"/>
      <c r="WE914" s="471"/>
      <c r="WF914" s="471"/>
      <c r="WG914" s="471"/>
      <c r="WH914" s="471"/>
      <c r="WI914" s="471"/>
      <c r="WJ914" s="471"/>
      <c r="WK914" s="471"/>
      <c r="WL914" s="471"/>
      <c r="WM914" s="471"/>
      <c r="WN914" s="471"/>
      <c r="WO914" s="471"/>
      <c r="WP914" s="471"/>
      <c r="WQ914" s="471"/>
      <c r="WR914" s="471"/>
      <c r="WS914" s="471"/>
      <c r="WT914" s="471"/>
      <c r="WU914" s="471"/>
      <c r="WV914" s="471"/>
      <c r="WW914" s="471"/>
      <c r="WX914" s="471"/>
      <c r="WY914" s="471"/>
      <c r="WZ914" s="471"/>
      <c r="XA914" s="471"/>
      <c r="XB914" s="471"/>
      <c r="XC914" s="471"/>
      <c r="XD914" s="471"/>
      <c r="XE914" s="471"/>
      <c r="XF914" s="471"/>
      <c r="XG914" s="471"/>
      <c r="XH914" s="471"/>
      <c r="XI914" s="471"/>
      <c r="XJ914" s="471"/>
      <c r="XK914" s="471"/>
      <c r="XL914" s="471"/>
      <c r="XM914" s="471"/>
      <c r="XN914" s="471"/>
      <c r="XO914" s="471"/>
      <c r="XP914" s="471"/>
      <c r="XQ914" s="471"/>
      <c r="XR914" s="471"/>
      <c r="XS914" s="471"/>
      <c r="XT914" s="471"/>
      <c r="XU914" s="471"/>
      <c r="XV914" s="471"/>
      <c r="XW914" s="471"/>
      <c r="XX914" s="471"/>
      <c r="XY914" s="471"/>
      <c r="XZ914" s="471"/>
      <c r="YA914" s="471"/>
      <c r="YB914" s="471"/>
      <c r="YC914" s="471"/>
      <c r="YD914" s="471"/>
      <c r="YE914" s="471"/>
      <c r="YF914" s="471"/>
      <c r="YG914" s="471"/>
      <c r="YH914" s="471"/>
      <c r="YI914" s="471"/>
      <c r="YJ914" s="471"/>
      <c r="YK914" s="471"/>
      <c r="YL914" s="471"/>
      <c r="YM914" s="471"/>
      <c r="YN914" s="471"/>
      <c r="YO914" s="471"/>
      <c r="YP914" s="471"/>
      <c r="YQ914" s="471"/>
      <c r="YR914" s="471"/>
      <c r="YS914" s="471"/>
      <c r="YT914" s="471"/>
      <c r="YU914" s="471"/>
      <c r="YV914" s="471"/>
      <c r="YW914" s="471"/>
      <c r="YX914" s="471"/>
      <c r="YY914" s="471"/>
      <c r="YZ914" s="471"/>
      <c r="ZA914" s="471"/>
      <c r="ZB914" s="471"/>
      <c r="ZC914" s="471"/>
      <c r="ZD914" s="471"/>
      <c r="ZE914" s="471"/>
      <c r="ZF914" s="471"/>
      <c r="ZG914" s="471"/>
      <c r="ZH914" s="471"/>
      <c r="ZI914" s="471"/>
      <c r="ZJ914" s="471"/>
      <c r="ZK914" s="471"/>
      <c r="ZL914" s="471"/>
      <c r="ZM914" s="471"/>
      <c r="ZN914" s="471"/>
      <c r="ZO914" s="471"/>
      <c r="ZP914" s="471"/>
      <c r="ZQ914" s="471"/>
      <c r="ZR914" s="471"/>
      <c r="ZS914" s="471"/>
      <c r="ZT914" s="471"/>
      <c r="ZU914" s="471"/>
      <c r="ZV914" s="471"/>
      <c r="ZW914" s="471"/>
      <c r="ZX914" s="471"/>
      <c r="ZY914" s="471"/>
      <c r="ZZ914" s="471"/>
      <c r="AAA914" s="471"/>
      <c r="AAB914" s="471"/>
      <c r="AAC914" s="471"/>
      <c r="AAD914" s="471"/>
      <c r="AAE914" s="471"/>
      <c r="AAF914" s="471"/>
      <c r="AAG914" s="471"/>
      <c r="AAH914" s="471"/>
      <c r="AAI914" s="471"/>
      <c r="AAJ914" s="471"/>
      <c r="AAK914" s="471"/>
      <c r="AAL914" s="471"/>
      <c r="AAM914" s="471"/>
      <c r="AAN914" s="471"/>
      <c r="AAO914" s="471"/>
      <c r="AAP914" s="471"/>
      <c r="AAQ914" s="471"/>
      <c r="AAR914" s="471"/>
      <c r="AAS914" s="471"/>
      <c r="AAT914" s="471"/>
      <c r="AAU914" s="471"/>
      <c r="AAV914" s="471"/>
      <c r="AAW914" s="471"/>
      <c r="AAX914" s="471"/>
      <c r="AAY914" s="471"/>
      <c r="AAZ914" s="471"/>
      <c r="ABA914" s="471"/>
      <c r="ABB914" s="471"/>
      <c r="ABC914" s="471"/>
      <c r="ABD914" s="471"/>
      <c r="ABE914" s="471"/>
      <c r="ABF914" s="471"/>
      <c r="ABG914" s="471"/>
      <c r="ABH914" s="471"/>
      <c r="ABI914" s="471"/>
      <c r="ABJ914" s="471"/>
      <c r="ABK914" s="471"/>
      <c r="ABL914" s="471"/>
      <c r="ABM914" s="471"/>
      <c r="ABN914" s="471"/>
      <c r="ABO914" s="471"/>
      <c r="ABP914" s="471"/>
      <c r="ABQ914" s="471"/>
      <c r="ABR914" s="471"/>
      <c r="ABS914" s="471"/>
      <c r="ABT914" s="471"/>
      <c r="ABU914" s="471"/>
      <c r="ABV914" s="471"/>
      <c r="ABW914" s="471"/>
      <c r="ABX914" s="471"/>
      <c r="ABY914" s="471"/>
      <c r="ABZ914" s="471"/>
      <c r="ACA914" s="471"/>
      <c r="ACB914" s="471"/>
      <c r="ACC914" s="471"/>
      <c r="ACD914" s="471"/>
      <c r="ACE914" s="471"/>
      <c r="ACF914" s="471"/>
      <c r="ACG914" s="471"/>
      <c r="ACH914" s="471"/>
      <c r="ACI914" s="471"/>
      <c r="ACJ914" s="471"/>
      <c r="ACK914" s="471"/>
      <c r="ACL914" s="471"/>
      <c r="ACM914" s="471"/>
      <c r="ACN914" s="471"/>
      <c r="ACO914" s="471"/>
      <c r="ACP914" s="471"/>
      <c r="ACQ914" s="471"/>
      <c r="ACR914" s="471"/>
      <c r="ACS914" s="471"/>
      <c r="ACT914" s="471"/>
      <c r="ACU914" s="471"/>
      <c r="ACV914" s="471"/>
      <c r="ACW914" s="471"/>
      <c r="ACX914" s="471"/>
      <c r="ACY914" s="471"/>
      <c r="ACZ914" s="471"/>
      <c r="ADA914" s="471"/>
      <c r="ADB914" s="471"/>
      <c r="ADC914" s="471"/>
      <c r="ADD914" s="471"/>
      <c r="ADE914" s="471"/>
      <c r="ADF914" s="471"/>
      <c r="ADG914" s="471"/>
      <c r="ADH914" s="471"/>
      <c r="ADI914" s="471"/>
      <c r="ADJ914" s="471"/>
      <c r="ADK914" s="471"/>
      <c r="ADL914" s="471"/>
      <c r="ADM914" s="471"/>
      <c r="ADN914" s="471"/>
      <c r="ADO914" s="471"/>
      <c r="ADP914" s="471"/>
      <c r="ADQ914" s="471"/>
      <c r="ADR914" s="471"/>
      <c r="ADS914" s="471"/>
      <c r="ADT914" s="471"/>
      <c r="ADU914" s="471"/>
      <c r="ADV914" s="471"/>
      <c r="ADW914" s="471"/>
      <c r="ADX914" s="471"/>
      <c r="ADY914" s="471"/>
      <c r="ADZ914" s="471"/>
      <c r="AEA914" s="471"/>
      <c r="AEB914" s="471"/>
      <c r="AEC914" s="471"/>
      <c r="AED914" s="471"/>
      <c r="AEE914" s="471"/>
      <c r="AEF914" s="471"/>
      <c r="AEG914" s="471"/>
      <c r="AEH914" s="471"/>
      <c r="AEI914" s="471"/>
      <c r="AEJ914" s="471"/>
      <c r="AEK914" s="471"/>
      <c r="AEL914" s="471"/>
      <c r="AEM914" s="471"/>
      <c r="AEN914" s="471"/>
      <c r="AEO914" s="471"/>
      <c r="AEP914" s="471"/>
      <c r="AEQ914" s="471"/>
      <c r="AER914" s="471"/>
      <c r="AES914" s="471"/>
      <c r="AET914" s="471"/>
      <c r="AEU914" s="471"/>
      <c r="AEV914" s="471"/>
      <c r="AEW914" s="471"/>
      <c r="AEX914" s="471"/>
      <c r="AEY914" s="471"/>
      <c r="AEZ914" s="471"/>
      <c r="AFA914" s="471"/>
      <c r="AFB914" s="471"/>
      <c r="AFC914" s="471"/>
      <c r="AFD914" s="471"/>
      <c r="AFE914" s="471"/>
      <c r="AFF914" s="471"/>
      <c r="AFG914" s="471"/>
      <c r="AFH914" s="471"/>
      <c r="AFI914" s="471"/>
      <c r="AFJ914" s="471"/>
      <c r="AFK914" s="471"/>
      <c r="AFL914" s="471"/>
      <c r="AFM914" s="471"/>
      <c r="AFN914" s="471"/>
      <c r="AFO914" s="471"/>
      <c r="AFP914" s="471"/>
      <c r="AFQ914" s="471"/>
      <c r="AFR914" s="471"/>
      <c r="AFS914" s="471"/>
      <c r="AFT914" s="471"/>
      <c r="AFU914" s="471"/>
      <c r="AFV914" s="471"/>
      <c r="AFW914" s="471"/>
      <c r="AFX914" s="471"/>
      <c r="AFY914" s="471"/>
      <c r="AFZ914" s="471"/>
      <c r="AGA914" s="471"/>
      <c r="AGB914" s="471"/>
      <c r="AGC914" s="471"/>
      <c r="AGD914" s="471"/>
      <c r="AGE914" s="471"/>
      <c r="AGF914" s="471"/>
      <c r="AGG914" s="471"/>
      <c r="AGH914" s="471"/>
      <c r="AGI914" s="471"/>
      <c r="AGJ914" s="471"/>
      <c r="AGK914" s="471"/>
      <c r="AGL914" s="471"/>
      <c r="AGM914" s="471"/>
      <c r="AGN914" s="471"/>
      <c r="AGO914" s="471"/>
      <c r="AGP914" s="471"/>
      <c r="AGQ914" s="471"/>
      <c r="AGR914" s="471"/>
      <c r="AGS914" s="471"/>
      <c r="AGT914" s="471"/>
      <c r="AGU914" s="471"/>
      <c r="AGV914" s="471"/>
      <c r="AGW914" s="471"/>
      <c r="AGX914" s="471"/>
      <c r="AGY914" s="471"/>
      <c r="AGZ914" s="471"/>
      <c r="AHA914" s="471"/>
      <c r="AHB914" s="471"/>
      <c r="AHC914" s="471"/>
      <c r="AHD914" s="471"/>
      <c r="AHE914" s="471"/>
      <c r="AHF914" s="471"/>
      <c r="AHG914" s="471"/>
      <c r="AHH914" s="471"/>
      <c r="AHI914" s="471"/>
      <c r="AHJ914" s="471"/>
      <c r="AHK914" s="471"/>
      <c r="AHL914" s="471"/>
      <c r="AHM914" s="471"/>
      <c r="AHN914" s="471"/>
      <c r="AHO914" s="471"/>
      <c r="AHP914" s="471"/>
      <c r="AHQ914" s="471"/>
      <c r="AHR914" s="471"/>
      <c r="AHS914" s="471"/>
      <c r="AHT914" s="471"/>
      <c r="AHU914" s="471"/>
      <c r="AHV914" s="471"/>
      <c r="AHW914" s="471"/>
      <c r="AHX914" s="471"/>
      <c r="AHY914" s="471"/>
      <c r="AHZ914" s="471"/>
      <c r="AIA914" s="471"/>
      <c r="AIB914" s="471"/>
      <c r="AIC914" s="471"/>
      <c r="AID914" s="471"/>
      <c r="AIE914" s="471"/>
      <c r="AIF914" s="471"/>
      <c r="AIG914" s="471"/>
      <c r="AIH914" s="471"/>
      <c r="AII914" s="471"/>
      <c r="AIJ914" s="471"/>
      <c r="AIK914" s="471"/>
      <c r="AIL914" s="471"/>
      <c r="AIM914" s="471"/>
      <c r="AIN914" s="471"/>
      <c r="AIO914" s="471"/>
      <c r="AIP914" s="471"/>
      <c r="AIQ914" s="471"/>
      <c r="AIR914" s="471"/>
      <c r="AIS914" s="471"/>
      <c r="AIT914" s="471"/>
      <c r="AIU914" s="471"/>
      <c r="AIV914" s="471"/>
      <c r="AIW914" s="471"/>
      <c r="AIX914" s="471"/>
      <c r="AIY914" s="471"/>
      <c r="AIZ914" s="471"/>
      <c r="AJA914" s="471"/>
      <c r="AJB914" s="471"/>
      <c r="AJC914" s="471"/>
      <c r="AJD914" s="471"/>
      <c r="AJE914" s="471"/>
      <c r="AJF914" s="471"/>
      <c r="AJG914" s="471"/>
      <c r="AJH914" s="471"/>
      <c r="AJI914" s="471"/>
      <c r="AJJ914" s="471"/>
      <c r="AJK914" s="471"/>
      <c r="AJL914" s="471"/>
      <c r="AJM914" s="471"/>
      <c r="AJN914" s="471"/>
      <c r="AJO914" s="471"/>
      <c r="AJP914" s="471"/>
      <c r="AJQ914" s="471"/>
      <c r="AJR914" s="471"/>
      <c r="AJS914" s="471"/>
      <c r="AJT914" s="471"/>
      <c r="AJU914" s="471"/>
      <c r="AJV914" s="471"/>
      <c r="AJW914" s="471"/>
      <c r="AJX914" s="471"/>
      <c r="AJY914" s="471"/>
      <c r="AJZ914" s="471"/>
      <c r="AKA914" s="471"/>
      <c r="AKB914" s="471"/>
      <c r="AKC914" s="471"/>
      <c r="AKD914" s="471"/>
      <c r="AKE914" s="471"/>
      <c r="AKF914" s="471"/>
      <c r="AKG914" s="471"/>
      <c r="AKH914" s="471"/>
      <c r="AKI914" s="471"/>
      <c r="AKJ914" s="471"/>
      <c r="AKK914" s="471"/>
      <c r="AKL914" s="471"/>
      <c r="AKM914" s="471"/>
      <c r="AKN914" s="471"/>
      <c r="AKO914" s="471"/>
      <c r="AKP914" s="471"/>
      <c r="AKQ914" s="471"/>
      <c r="AKR914" s="471"/>
      <c r="AKS914" s="471"/>
      <c r="AKT914" s="471"/>
      <c r="AKU914" s="471"/>
      <c r="AKV914" s="471"/>
      <c r="AKW914" s="471"/>
      <c r="AKX914" s="471"/>
      <c r="AKY914" s="471"/>
      <c r="AKZ914" s="471"/>
      <c r="ALA914" s="471"/>
      <c r="ALB914" s="471"/>
      <c r="ALC914" s="471"/>
      <c r="ALD914" s="471"/>
      <c r="ALE914" s="471"/>
      <c r="ALF914" s="471"/>
      <c r="ALG914" s="471"/>
      <c r="ALH914" s="471"/>
      <c r="ALI914" s="471"/>
      <c r="ALJ914" s="471"/>
      <c r="ALK914" s="471"/>
      <c r="ALL914" s="471"/>
      <c r="ALM914" s="471"/>
      <c r="ALN914" s="471"/>
      <c r="ALO914" s="471"/>
      <c r="ALP914" s="471"/>
      <c r="ALQ914" s="471"/>
      <c r="ALR914" s="471"/>
      <c r="ALS914" s="471"/>
      <c r="ALT914" s="471"/>
      <c r="ALU914" s="471"/>
      <c r="ALV914" s="471"/>
      <c r="ALW914" s="471"/>
      <c r="ALX914" s="471"/>
      <c r="ALY914" s="471"/>
      <c r="ALZ914" s="471"/>
      <c r="AMA914" s="471"/>
      <c r="AMB914" s="471"/>
      <c r="AMC914" s="471"/>
      <c r="AMD914" s="471"/>
      <c r="AME914" s="471"/>
      <c r="AMF914" s="471"/>
      <c r="AMG914" s="471"/>
      <c r="AMH914" s="471"/>
      <c r="AMI914" s="471"/>
      <c r="AMJ914" s="471"/>
      <c r="AMK914" s="471"/>
      <c r="AML914" s="471"/>
      <c r="AMM914" s="471"/>
      <c r="AMN914" s="471"/>
      <c r="AMO914" s="471"/>
      <c r="AMP914" s="471"/>
      <c r="AMQ914" s="471"/>
      <c r="AMR914" s="471"/>
      <c r="AMS914" s="471"/>
      <c r="AMT914" s="471"/>
      <c r="AMU914" s="471"/>
      <c r="AMV914" s="471"/>
      <c r="AMW914" s="471"/>
      <c r="AMX914" s="471"/>
      <c r="AMY914" s="471"/>
      <c r="AMZ914" s="471"/>
      <c r="ANA914" s="471"/>
      <c r="ANB914" s="471"/>
      <c r="ANC914" s="471"/>
      <c r="AND914" s="471"/>
      <c r="ANE914" s="471"/>
      <c r="ANF914" s="471"/>
      <c r="ANG914" s="471"/>
      <c r="ANH914" s="471"/>
      <c r="ANI914" s="471"/>
      <c r="ANJ914" s="471"/>
      <c r="ANK914" s="471"/>
      <c r="ANL914" s="471"/>
      <c r="ANM914" s="471"/>
      <c r="ANN914" s="471"/>
      <c r="ANO914" s="471"/>
      <c r="ANP914" s="471"/>
      <c r="ANQ914" s="471"/>
      <c r="ANR914" s="471"/>
      <c r="ANS914" s="471"/>
      <c r="ANT914" s="471"/>
      <c r="ANU914" s="471"/>
      <c r="ANV914" s="471"/>
      <c r="ANW914" s="471"/>
      <c r="ANX914" s="471"/>
      <c r="ANY914" s="471"/>
      <c r="ANZ914" s="471"/>
      <c r="AOA914" s="471"/>
      <c r="AOB914" s="471"/>
      <c r="AOC914" s="471"/>
      <c r="AOD914" s="471"/>
      <c r="AOE914" s="471"/>
      <c r="AOF914" s="471"/>
      <c r="AOG914" s="471"/>
      <c r="AOH914" s="471"/>
      <c r="AOI914" s="471"/>
      <c r="AOJ914" s="471"/>
      <c r="AOK914" s="471"/>
      <c r="AOL914" s="471"/>
      <c r="AOM914" s="471"/>
      <c r="AON914" s="471"/>
      <c r="AOO914" s="471"/>
      <c r="AOP914" s="471"/>
      <c r="AOQ914" s="471"/>
      <c r="AOR914" s="471"/>
      <c r="AOS914" s="471"/>
      <c r="AOT914" s="471"/>
      <c r="AOU914" s="471"/>
      <c r="AOV914" s="471"/>
      <c r="AOW914" s="471"/>
      <c r="AOX914" s="471"/>
      <c r="AOY914" s="471"/>
      <c r="AOZ914" s="471"/>
      <c r="APA914" s="471"/>
      <c r="APB914" s="471"/>
      <c r="APC914" s="471"/>
      <c r="APD914" s="471"/>
      <c r="APE914" s="471"/>
      <c r="APF914" s="471"/>
      <c r="APG914" s="471"/>
      <c r="APH914" s="471"/>
      <c r="API914" s="471"/>
      <c r="APJ914" s="471"/>
      <c r="APK914" s="471"/>
      <c r="APL914" s="471"/>
      <c r="APM914" s="471"/>
      <c r="APN914" s="471"/>
      <c r="APO914" s="471"/>
      <c r="APP914" s="471"/>
      <c r="APQ914" s="471"/>
      <c r="APR914" s="471"/>
      <c r="APS914" s="471"/>
      <c r="APT914" s="471"/>
      <c r="APU914" s="471"/>
      <c r="APV914" s="471"/>
      <c r="APW914" s="471"/>
      <c r="APX914" s="471"/>
      <c r="APY914" s="471"/>
      <c r="APZ914" s="471"/>
      <c r="AQA914" s="471"/>
      <c r="AQB914" s="471"/>
      <c r="AQC914" s="471"/>
      <c r="AQD914" s="471"/>
      <c r="AQE914" s="471"/>
      <c r="AQF914" s="471"/>
      <c r="AQG914" s="471"/>
      <c r="AQH914" s="471"/>
      <c r="AQI914" s="471"/>
      <c r="AQJ914" s="471"/>
      <c r="AQK914" s="471"/>
      <c r="AQL914" s="471"/>
      <c r="AQM914" s="471"/>
      <c r="AQN914" s="471"/>
      <c r="AQO914" s="471"/>
      <c r="AQP914" s="471"/>
      <c r="AQQ914" s="471"/>
      <c r="AQR914" s="471"/>
      <c r="AQS914" s="471"/>
      <c r="AQT914" s="471"/>
      <c r="AQU914" s="471"/>
      <c r="AQV914" s="471"/>
      <c r="AQW914" s="471"/>
      <c r="AQX914" s="471"/>
      <c r="AQY914" s="471"/>
      <c r="AQZ914" s="471"/>
      <c r="ARA914" s="471"/>
      <c r="ARB914" s="471"/>
      <c r="ARC914" s="471"/>
      <c r="ARD914" s="471"/>
      <c r="ARE914" s="471"/>
      <c r="ARF914" s="471"/>
      <c r="ARG914" s="471"/>
      <c r="ARH914" s="471"/>
      <c r="ARI914" s="471"/>
      <c r="ARJ914" s="471"/>
      <c r="ARK914" s="471"/>
      <c r="ARL914" s="471"/>
      <c r="ARM914" s="471"/>
      <c r="ARN914" s="471"/>
      <c r="ARO914" s="471"/>
      <c r="ARP914" s="471"/>
      <c r="ARQ914" s="471"/>
      <c r="ARR914" s="471"/>
      <c r="ARS914" s="471"/>
      <c r="ART914" s="471"/>
      <c r="ARU914" s="471"/>
      <c r="ARV914" s="471"/>
      <c r="ARW914" s="471"/>
      <c r="ARX914" s="471"/>
      <c r="ARY914" s="471"/>
      <c r="ARZ914" s="471"/>
      <c r="ASA914" s="471"/>
      <c r="ASB914" s="471"/>
      <c r="ASC914" s="471"/>
      <c r="ASD914" s="471"/>
      <c r="ASE914" s="471"/>
      <c r="ASF914" s="471"/>
      <c r="ASG914" s="471"/>
      <c r="ASH914" s="471"/>
      <c r="ASI914" s="471"/>
      <c r="ASJ914" s="471"/>
      <c r="ASK914" s="471"/>
      <c r="ASL914" s="471"/>
      <c r="ASM914" s="471"/>
      <c r="ASN914" s="471"/>
      <c r="ASO914" s="471"/>
      <c r="ASP914" s="471"/>
      <c r="ASQ914" s="471"/>
      <c r="ASR914" s="471"/>
      <c r="ASS914" s="471"/>
      <c r="AST914" s="471"/>
      <c r="ASU914" s="471"/>
      <c r="ASV914" s="471"/>
      <c r="ASW914" s="471"/>
      <c r="ASX914" s="471"/>
      <c r="ASY914" s="471"/>
      <c r="ASZ914" s="471"/>
      <c r="ATA914" s="471"/>
      <c r="ATB914" s="471"/>
      <c r="ATC914" s="471"/>
      <c r="ATD914" s="471"/>
      <c r="ATE914" s="471"/>
      <c r="ATF914" s="471"/>
      <c r="ATG914" s="471"/>
      <c r="ATH914" s="471"/>
      <c r="ATI914" s="471"/>
      <c r="ATJ914" s="471"/>
      <c r="ATK914" s="471"/>
      <c r="ATL914" s="471"/>
      <c r="ATM914" s="471"/>
      <c r="ATN914" s="471"/>
      <c r="ATO914" s="471"/>
      <c r="ATP914" s="471"/>
      <c r="ATQ914" s="471"/>
      <c r="ATR914" s="471"/>
      <c r="ATS914" s="471"/>
      <c r="ATT914" s="471"/>
      <c r="ATU914" s="471"/>
      <c r="ATV914" s="471"/>
      <c r="ATW914" s="471"/>
      <c r="ATX914" s="471"/>
      <c r="ATY914" s="471"/>
      <c r="ATZ914" s="471"/>
      <c r="AUA914" s="471"/>
      <c r="AUB914" s="471"/>
      <c r="AUC914" s="471"/>
      <c r="AUD914" s="471"/>
      <c r="AUE914" s="471"/>
      <c r="AUF914" s="471"/>
      <c r="AUG914" s="471"/>
      <c r="AUH914" s="471"/>
      <c r="AUI914" s="471"/>
      <c r="AUJ914" s="471"/>
      <c r="AUK914" s="471"/>
      <c r="AUL914" s="471"/>
      <c r="AUM914" s="471"/>
      <c r="AUN914" s="471"/>
      <c r="AUO914" s="471"/>
      <c r="AUP914" s="471"/>
      <c r="AUQ914" s="471"/>
      <c r="AUR914" s="471"/>
      <c r="AUS914" s="471"/>
      <c r="AUT914" s="471"/>
      <c r="AUU914" s="471"/>
      <c r="AUV914" s="471"/>
      <c r="AUW914" s="471"/>
      <c r="AUX914" s="471"/>
      <c r="AUY914" s="471"/>
      <c r="AUZ914" s="471"/>
      <c r="AVA914" s="471"/>
      <c r="AVB914" s="471"/>
      <c r="AVC914" s="471"/>
      <c r="AVD914" s="471"/>
      <c r="AVE914" s="471"/>
      <c r="AVF914" s="471"/>
      <c r="AVG914" s="471"/>
      <c r="AVH914" s="471"/>
      <c r="AVI914" s="471"/>
      <c r="AVJ914" s="471"/>
      <c r="AVK914" s="471"/>
    </row>
    <row r="915" spans="1:1259" s="511" customFormat="1" ht="15" customHeight="1">
      <c r="A915" s="472"/>
      <c r="B915" s="472"/>
      <c r="C915" s="472"/>
      <c r="D915" s="512" t="s">
        <v>3186</v>
      </c>
      <c r="E915" s="512" t="s">
        <v>3044</v>
      </c>
      <c r="F915" s="501"/>
      <c r="G915" s="501"/>
      <c r="H915" s="524"/>
      <c r="I915" s="496" t="s">
        <v>1676</v>
      </c>
      <c r="J915" s="502"/>
      <c r="K915" s="502" t="s">
        <v>4877</v>
      </c>
      <c r="L915" s="502" t="s">
        <v>3278</v>
      </c>
      <c r="M915" s="502">
        <v>44550</v>
      </c>
      <c r="N915" s="502">
        <v>44687</v>
      </c>
      <c r="O915" s="504"/>
      <c r="P915" s="502"/>
      <c r="Q915" s="502"/>
      <c r="R915" s="502"/>
      <c r="S915" s="501" t="s">
        <v>2379</v>
      </c>
      <c r="T915" s="501">
        <v>60</v>
      </c>
      <c r="U915" s="501"/>
      <c r="V915" s="501" t="s">
        <v>973</v>
      </c>
      <c r="W915" s="501">
        <v>400</v>
      </c>
      <c r="X915" s="505">
        <v>768</v>
      </c>
      <c r="Y915" s="491">
        <f t="shared" si="130"/>
        <v>307200</v>
      </c>
      <c r="Z915" s="506">
        <v>0.53</v>
      </c>
      <c r="AA915" s="492">
        <f t="shared" si="134"/>
        <v>162816</v>
      </c>
      <c r="AB915" s="480"/>
      <c r="AC915" s="481">
        <f t="shared" si="131"/>
        <v>0</v>
      </c>
      <c r="AD915" s="508"/>
      <c r="AE915" s="507"/>
      <c r="AF915" s="493">
        <f t="shared" si="132"/>
        <v>162816</v>
      </c>
      <c r="AG915" s="501" t="s">
        <v>1071</v>
      </c>
      <c r="AH915" s="501"/>
      <c r="AI915" s="503">
        <v>60</v>
      </c>
      <c r="AJ915" s="501" t="s">
        <v>1593</v>
      </c>
      <c r="AK915" s="509" t="s">
        <v>1144</v>
      </c>
      <c r="AL915" s="501">
        <v>78744</v>
      </c>
      <c r="AM915" s="501" t="s">
        <v>52</v>
      </c>
      <c r="AN915" s="501"/>
      <c r="AO915" s="501"/>
      <c r="AP915" s="510"/>
      <c r="AQ915" s="510" t="s">
        <v>37</v>
      </c>
      <c r="AR915" s="510"/>
      <c r="AS915" s="495" t="s">
        <v>1152</v>
      </c>
      <c r="AT915" s="495" t="s">
        <v>1076</v>
      </c>
      <c r="AU915" s="495" t="s">
        <v>1076</v>
      </c>
      <c r="AV915" s="506">
        <v>0.53</v>
      </c>
      <c r="AW915" s="471"/>
      <c r="AX915" s="471"/>
      <c r="AY915" s="471"/>
      <c r="AZ915" s="471"/>
      <c r="BA915" s="471"/>
      <c r="BB915" s="471"/>
      <c r="BC915" s="471"/>
      <c r="BD915" s="471"/>
      <c r="BE915" s="471"/>
      <c r="BF915" s="471"/>
      <c r="BG915" s="471"/>
      <c r="BH915" s="471"/>
      <c r="BI915" s="471"/>
      <c r="BJ915" s="471"/>
      <c r="BK915" s="471"/>
      <c r="BL915" s="471"/>
      <c r="BM915" s="471"/>
      <c r="BN915" s="471"/>
      <c r="BO915" s="471"/>
      <c r="BP915" s="471"/>
      <c r="BQ915" s="471"/>
      <c r="BR915" s="471"/>
      <c r="BS915" s="471"/>
      <c r="BT915" s="471"/>
      <c r="BU915" s="471"/>
      <c r="BV915" s="471"/>
      <c r="BW915" s="471"/>
      <c r="BX915" s="471"/>
      <c r="BY915" s="471"/>
      <c r="BZ915" s="471"/>
      <c r="CA915" s="471"/>
      <c r="CB915" s="471"/>
      <c r="CC915" s="471"/>
      <c r="CD915" s="471"/>
      <c r="CE915" s="471"/>
      <c r="CF915" s="471"/>
      <c r="CG915" s="471"/>
      <c r="CH915" s="471"/>
      <c r="CI915" s="471"/>
      <c r="CJ915" s="471"/>
      <c r="CK915" s="471"/>
      <c r="CL915" s="471"/>
      <c r="CM915" s="471"/>
      <c r="CN915" s="471"/>
      <c r="CO915" s="471"/>
      <c r="CP915" s="471"/>
      <c r="CQ915" s="471"/>
      <c r="CR915" s="471"/>
      <c r="CS915" s="471"/>
      <c r="CT915" s="471"/>
      <c r="CU915" s="471"/>
      <c r="CV915" s="471"/>
      <c r="CW915" s="471"/>
      <c r="CX915" s="471"/>
      <c r="CY915" s="471"/>
      <c r="CZ915" s="471"/>
      <c r="DA915" s="471"/>
      <c r="DB915" s="471"/>
      <c r="DC915" s="471"/>
      <c r="DD915" s="471"/>
      <c r="DE915" s="471"/>
      <c r="DF915" s="471"/>
      <c r="DG915" s="471"/>
      <c r="DH915" s="471"/>
      <c r="DI915" s="471"/>
      <c r="DJ915" s="471"/>
      <c r="DK915" s="471"/>
      <c r="DL915" s="471"/>
      <c r="DM915" s="471"/>
      <c r="DN915" s="471"/>
      <c r="DO915" s="471"/>
      <c r="DP915" s="471"/>
      <c r="DQ915" s="471"/>
      <c r="DR915" s="471"/>
      <c r="DS915" s="471"/>
      <c r="DT915" s="471"/>
      <c r="DU915" s="471"/>
      <c r="DV915" s="471"/>
      <c r="DW915" s="471"/>
      <c r="DX915" s="471"/>
      <c r="DY915" s="471"/>
      <c r="DZ915" s="471"/>
      <c r="EA915" s="471"/>
      <c r="EB915" s="471"/>
      <c r="EC915" s="471"/>
      <c r="ED915" s="471"/>
      <c r="EE915" s="471"/>
      <c r="EF915" s="471"/>
      <c r="EG915" s="471"/>
      <c r="EH915" s="471"/>
      <c r="EI915" s="471"/>
      <c r="EJ915" s="471"/>
      <c r="EK915" s="471"/>
      <c r="EL915" s="471"/>
      <c r="EM915" s="471"/>
      <c r="EN915" s="471"/>
      <c r="EO915" s="471"/>
      <c r="EP915" s="471"/>
      <c r="EQ915" s="471"/>
      <c r="ER915" s="471"/>
      <c r="ES915" s="471"/>
      <c r="ET915" s="471"/>
      <c r="EU915" s="471"/>
      <c r="EV915" s="471"/>
      <c r="EW915" s="471"/>
      <c r="EX915" s="471"/>
      <c r="EY915" s="471"/>
      <c r="EZ915" s="471"/>
      <c r="FA915" s="471"/>
      <c r="FB915" s="471"/>
      <c r="FC915" s="471"/>
      <c r="FD915" s="471"/>
      <c r="FE915" s="471"/>
      <c r="FF915" s="471"/>
      <c r="FG915" s="471"/>
      <c r="FH915" s="471"/>
      <c r="FI915" s="471"/>
      <c r="FJ915" s="471"/>
      <c r="FK915" s="471"/>
      <c r="FL915" s="471"/>
      <c r="FM915" s="471"/>
      <c r="FN915" s="471"/>
      <c r="FO915" s="471"/>
      <c r="FP915" s="471"/>
      <c r="FQ915" s="471"/>
      <c r="FR915" s="471"/>
      <c r="FS915" s="471"/>
      <c r="FT915" s="471"/>
      <c r="FU915" s="471"/>
      <c r="FV915" s="471"/>
      <c r="FW915" s="471"/>
      <c r="FX915" s="471"/>
      <c r="FY915" s="471"/>
      <c r="FZ915" s="471"/>
      <c r="GA915" s="471"/>
      <c r="GB915" s="471"/>
      <c r="GC915" s="471"/>
      <c r="GD915" s="471"/>
      <c r="GE915" s="471"/>
      <c r="GF915" s="471"/>
      <c r="GG915" s="471"/>
      <c r="GH915" s="471"/>
      <c r="GI915" s="471"/>
      <c r="GJ915" s="471"/>
      <c r="GK915" s="471"/>
      <c r="GL915" s="471"/>
      <c r="GM915" s="471"/>
      <c r="GN915" s="471"/>
      <c r="GO915" s="471"/>
      <c r="GP915" s="471"/>
      <c r="GQ915" s="471"/>
      <c r="GR915" s="471"/>
      <c r="GS915" s="471"/>
      <c r="GT915" s="471"/>
      <c r="GU915" s="471"/>
      <c r="GV915" s="471"/>
      <c r="GW915" s="471"/>
      <c r="GX915" s="471"/>
      <c r="GY915" s="471"/>
      <c r="GZ915" s="471"/>
      <c r="HA915" s="471"/>
      <c r="HB915" s="471"/>
      <c r="HC915" s="471"/>
      <c r="HD915" s="471"/>
      <c r="HE915" s="471"/>
      <c r="HF915" s="471"/>
      <c r="HG915" s="471"/>
      <c r="HH915" s="471"/>
      <c r="HI915" s="471"/>
      <c r="HJ915" s="471"/>
      <c r="HK915" s="471"/>
      <c r="HL915" s="471"/>
      <c r="HM915" s="471"/>
      <c r="HN915" s="471"/>
      <c r="HO915" s="471"/>
      <c r="HP915" s="471"/>
      <c r="HQ915" s="471"/>
      <c r="HR915" s="471"/>
      <c r="HS915" s="471"/>
      <c r="HT915" s="471"/>
      <c r="HU915" s="471"/>
      <c r="HV915" s="471"/>
      <c r="HW915" s="471"/>
      <c r="HX915" s="471"/>
      <c r="HY915" s="471"/>
      <c r="HZ915" s="471"/>
      <c r="IA915" s="471"/>
      <c r="IB915" s="471"/>
      <c r="IC915" s="471"/>
      <c r="ID915" s="471"/>
      <c r="IE915" s="471"/>
      <c r="IF915" s="471"/>
      <c r="IG915" s="471"/>
      <c r="IH915" s="471"/>
      <c r="II915" s="471"/>
      <c r="IJ915" s="471"/>
      <c r="IK915" s="471"/>
      <c r="IL915" s="471"/>
      <c r="IM915" s="471"/>
      <c r="IN915" s="471"/>
      <c r="IO915" s="471"/>
      <c r="IP915" s="471"/>
      <c r="IQ915" s="471"/>
      <c r="IR915" s="471"/>
      <c r="IS915" s="471"/>
      <c r="IT915" s="471"/>
      <c r="IU915" s="471"/>
      <c r="IV915" s="471"/>
      <c r="IW915" s="471"/>
      <c r="IX915" s="471"/>
      <c r="IY915" s="471"/>
      <c r="IZ915" s="471"/>
      <c r="JA915" s="471"/>
      <c r="JB915" s="471"/>
      <c r="JC915" s="471"/>
      <c r="JD915" s="471"/>
      <c r="JE915" s="471"/>
      <c r="JF915" s="471"/>
      <c r="JG915" s="471"/>
      <c r="JH915" s="471"/>
      <c r="JI915" s="471"/>
      <c r="JJ915" s="471"/>
      <c r="JK915" s="471"/>
      <c r="JL915" s="471"/>
      <c r="JM915" s="471"/>
      <c r="JN915" s="471"/>
      <c r="JO915" s="471"/>
      <c r="JP915" s="471"/>
      <c r="JQ915" s="471"/>
      <c r="JR915" s="471"/>
      <c r="JS915" s="471"/>
      <c r="JT915" s="471"/>
      <c r="JU915" s="471"/>
      <c r="JV915" s="471"/>
      <c r="JW915" s="471"/>
      <c r="JX915" s="471"/>
      <c r="JY915" s="471"/>
      <c r="JZ915" s="471"/>
      <c r="KA915" s="471"/>
      <c r="KB915" s="471"/>
      <c r="KC915" s="471"/>
      <c r="KD915" s="471"/>
      <c r="KE915" s="471"/>
      <c r="KF915" s="471"/>
      <c r="KG915" s="471"/>
      <c r="KH915" s="471"/>
      <c r="KI915" s="471"/>
      <c r="KJ915" s="471"/>
      <c r="KK915" s="471"/>
      <c r="KL915" s="471"/>
      <c r="KM915" s="471"/>
      <c r="KN915" s="471"/>
      <c r="KO915" s="471"/>
      <c r="KP915" s="471"/>
      <c r="KQ915" s="471"/>
      <c r="KR915" s="471"/>
      <c r="KS915" s="471"/>
      <c r="KT915" s="471"/>
      <c r="KU915" s="471"/>
      <c r="KV915" s="471"/>
      <c r="KW915" s="471"/>
      <c r="KX915" s="471"/>
      <c r="KY915" s="471"/>
      <c r="KZ915" s="471"/>
      <c r="LA915" s="471"/>
      <c r="LB915" s="471"/>
      <c r="LC915" s="471"/>
      <c r="LD915" s="471"/>
      <c r="LE915" s="471"/>
      <c r="LF915" s="471"/>
      <c r="LG915" s="471"/>
      <c r="LH915" s="471"/>
      <c r="LI915" s="471"/>
      <c r="LJ915" s="471"/>
      <c r="LK915" s="471"/>
      <c r="LL915" s="471"/>
      <c r="LM915" s="471"/>
      <c r="LN915" s="471"/>
      <c r="LO915" s="471"/>
      <c r="LP915" s="471"/>
      <c r="LQ915" s="471"/>
      <c r="LR915" s="471"/>
      <c r="LS915" s="471"/>
      <c r="LT915" s="471"/>
      <c r="LU915" s="471"/>
      <c r="LV915" s="471"/>
      <c r="LW915" s="471"/>
      <c r="LX915" s="471"/>
      <c r="LY915" s="471"/>
      <c r="LZ915" s="471"/>
      <c r="MA915" s="471"/>
      <c r="MB915" s="471"/>
      <c r="MC915" s="471"/>
      <c r="MD915" s="471"/>
      <c r="ME915" s="471"/>
      <c r="MF915" s="471"/>
      <c r="MG915" s="471"/>
      <c r="MH915" s="471"/>
      <c r="MI915" s="471"/>
      <c r="MJ915" s="471"/>
      <c r="MK915" s="471"/>
      <c r="ML915" s="471"/>
      <c r="MM915" s="471"/>
      <c r="MN915" s="471"/>
      <c r="MO915" s="471"/>
      <c r="MP915" s="471"/>
      <c r="MQ915" s="471"/>
      <c r="MR915" s="471"/>
      <c r="MS915" s="471"/>
      <c r="MT915" s="471"/>
      <c r="MU915" s="471"/>
      <c r="MV915" s="471"/>
      <c r="MW915" s="471"/>
      <c r="MX915" s="471"/>
      <c r="MY915" s="471"/>
      <c r="MZ915" s="471"/>
      <c r="NA915" s="471"/>
      <c r="NB915" s="471"/>
      <c r="NC915" s="471"/>
      <c r="ND915" s="471"/>
      <c r="NE915" s="471"/>
      <c r="NF915" s="471"/>
      <c r="NG915" s="471"/>
      <c r="NH915" s="471"/>
      <c r="NI915" s="471"/>
      <c r="NJ915" s="471"/>
      <c r="NK915" s="471"/>
      <c r="NL915" s="471"/>
      <c r="NM915" s="471"/>
      <c r="NN915" s="471"/>
      <c r="NO915" s="471"/>
      <c r="NP915" s="471"/>
      <c r="NQ915" s="471"/>
      <c r="NR915" s="471"/>
      <c r="NS915" s="471"/>
      <c r="NT915" s="471"/>
      <c r="NU915" s="471"/>
      <c r="NV915" s="471"/>
      <c r="NW915" s="471"/>
      <c r="NX915" s="471"/>
      <c r="NY915" s="471"/>
      <c r="NZ915" s="471"/>
      <c r="OA915" s="471"/>
      <c r="OB915" s="471"/>
      <c r="OC915" s="471"/>
      <c r="OD915" s="471"/>
      <c r="OE915" s="471"/>
      <c r="OF915" s="471"/>
      <c r="OG915" s="471"/>
      <c r="OH915" s="471"/>
      <c r="OI915" s="471"/>
      <c r="OJ915" s="471"/>
      <c r="OK915" s="471"/>
      <c r="OL915" s="471"/>
      <c r="OM915" s="471"/>
      <c r="ON915" s="471"/>
      <c r="OO915" s="471"/>
      <c r="OP915" s="471"/>
      <c r="OQ915" s="471"/>
      <c r="OR915" s="471"/>
      <c r="OS915" s="471"/>
      <c r="OT915" s="471"/>
      <c r="OU915" s="471"/>
      <c r="OV915" s="471"/>
      <c r="OW915" s="471"/>
      <c r="OX915" s="471"/>
      <c r="OY915" s="471"/>
      <c r="OZ915" s="471"/>
      <c r="PA915" s="471"/>
      <c r="PB915" s="471"/>
      <c r="PC915" s="471"/>
      <c r="PD915" s="471"/>
      <c r="PE915" s="471"/>
      <c r="PF915" s="471"/>
      <c r="PG915" s="471"/>
      <c r="PH915" s="471"/>
      <c r="PI915" s="471"/>
      <c r="PJ915" s="471"/>
      <c r="PK915" s="471"/>
      <c r="PL915" s="471"/>
      <c r="PM915" s="471"/>
      <c r="PN915" s="471"/>
      <c r="PO915" s="471"/>
      <c r="PP915" s="471"/>
      <c r="PQ915" s="471"/>
      <c r="PR915" s="471"/>
      <c r="PS915" s="471"/>
      <c r="PT915" s="471"/>
      <c r="PU915" s="471"/>
      <c r="PV915" s="471"/>
      <c r="PW915" s="471"/>
      <c r="PX915" s="471"/>
      <c r="PY915" s="471"/>
      <c r="PZ915" s="471"/>
      <c r="QA915" s="471"/>
      <c r="QB915" s="471"/>
      <c r="QC915" s="471"/>
      <c r="QD915" s="471"/>
      <c r="QE915" s="471"/>
      <c r="QF915" s="471"/>
      <c r="QG915" s="471"/>
      <c r="QH915" s="471"/>
      <c r="QI915" s="471"/>
      <c r="QJ915" s="471"/>
      <c r="QK915" s="471"/>
      <c r="QL915" s="471"/>
      <c r="QM915" s="471"/>
      <c r="QN915" s="471"/>
      <c r="QO915" s="471"/>
      <c r="QP915" s="471"/>
      <c r="QQ915" s="471"/>
      <c r="QR915" s="471"/>
      <c r="QS915" s="471"/>
      <c r="QT915" s="471"/>
      <c r="QU915" s="471"/>
      <c r="QV915" s="471"/>
      <c r="QW915" s="471"/>
      <c r="QX915" s="471"/>
      <c r="QY915" s="471"/>
      <c r="QZ915" s="471"/>
      <c r="RA915" s="471"/>
      <c r="RB915" s="471"/>
      <c r="RC915" s="471"/>
      <c r="RD915" s="471"/>
      <c r="RE915" s="471"/>
      <c r="RF915" s="471"/>
      <c r="RG915" s="471"/>
      <c r="RH915" s="471"/>
      <c r="RI915" s="471"/>
      <c r="RJ915" s="471"/>
      <c r="RK915" s="471"/>
      <c r="RL915" s="471"/>
      <c r="RM915" s="471"/>
      <c r="RN915" s="471"/>
      <c r="RO915" s="471"/>
      <c r="RP915" s="471"/>
      <c r="RQ915" s="471"/>
      <c r="RR915" s="471"/>
      <c r="RS915" s="471"/>
      <c r="RT915" s="471"/>
      <c r="RU915" s="471"/>
      <c r="RV915" s="471"/>
      <c r="RW915" s="471"/>
      <c r="RX915" s="471"/>
      <c r="RY915" s="471"/>
      <c r="RZ915" s="471"/>
      <c r="SA915" s="471"/>
      <c r="SB915" s="471"/>
      <c r="SC915" s="471"/>
      <c r="SD915" s="471"/>
      <c r="SE915" s="471"/>
      <c r="SF915" s="471"/>
      <c r="SG915" s="471"/>
      <c r="SH915" s="471"/>
      <c r="SI915" s="471"/>
      <c r="SJ915" s="471"/>
      <c r="SK915" s="471"/>
      <c r="SL915" s="471"/>
      <c r="SM915" s="471"/>
      <c r="SN915" s="471"/>
      <c r="SO915" s="471"/>
      <c r="SP915" s="471"/>
      <c r="SQ915" s="471"/>
      <c r="SR915" s="471"/>
      <c r="SS915" s="471"/>
      <c r="ST915" s="471"/>
      <c r="SU915" s="471"/>
      <c r="SV915" s="471"/>
      <c r="SW915" s="471"/>
      <c r="SX915" s="471"/>
      <c r="SY915" s="471"/>
      <c r="SZ915" s="471"/>
      <c r="TA915" s="471"/>
      <c r="TB915" s="471"/>
      <c r="TC915" s="471"/>
      <c r="TD915" s="471"/>
      <c r="TE915" s="471"/>
      <c r="TF915" s="471"/>
      <c r="TG915" s="471"/>
      <c r="TH915" s="471"/>
      <c r="TI915" s="471"/>
      <c r="TJ915" s="471"/>
      <c r="TK915" s="471"/>
      <c r="TL915" s="471"/>
      <c r="TM915" s="471"/>
      <c r="TN915" s="471"/>
      <c r="TO915" s="471"/>
      <c r="TP915" s="471"/>
      <c r="TQ915" s="471"/>
      <c r="TR915" s="471"/>
      <c r="TS915" s="471"/>
      <c r="TT915" s="471"/>
      <c r="TU915" s="471"/>
      <c r="TV915" s="471"/>
      <c r="TW915" s="471"/>
      <c r="TX915" s="471"/>
      <c r="TY915" s="471"/>
      <c r="TZ915" s="471"/>
      <c r="UA915" s="471"/>
      <c r="UB915" s="471"/>
      <c r="UC915" s="471"/>
      <c r="UD915" s="471"/>
      <c r="UE915" s="471"/>
      <c r="UF915" s="471"/>
      <c r="UG915" s="471"/>
      <c r="UH915" s="471"/>
      <c r="UI915" s="471"/>
      <c r="UJ915" s="471"/>
      <c r="UK915" s="471"/>
      <c r="UL915" s="471"/>
      <c r="UM915" s="471"/>
      <c r="UN915" s="471"/>
      <c r="UO915" s="471"/>
      <c r="UP915" s="471"/>
      <c r="UQ915" s="471"/>
      <c r="UR915" s="471"/>
      <c r="US915" s="471"/>
      <c r="UT915" s="471"/>
      <c r="UU915" s="471"/>
      <c r="UV915" s="471"/>
      <c r="UW915" s="471"/>
      <c r="UX915" s="471"/>
      <c r="UY915" s="471"/>
      <c r="UZ915" s="471"/>
      <c r="VA915" s="471"/>
      <c r="VB915" s="471"/>
      <c r="VC915" s="471"/>
      <c r="VD915" s="471"/>
      <c r="VE915" s="471"/>
      <c r="VF915" s="471"/>
      <c r="VG915" s="471"/>
      <c r="VH915" s="471"/>
      <c r="VI915" s="471"/>
      <c r="VJ915" s="471"/>
      <c r="VK915" s="471"/>
      <c r="VL915" s="471"/>
      <c r="VM915" s="471"/>
      <c r="VN915" s="471"/>
      <c r="VO915" s="471"/>
      <c r="VP915" s="471"/>
      <c r="VQ915" s="471"/>
      <c r="VR915" s="471"/>
      <c r="VS915" s="471"/>
      <c r="VT915" s="471"/>
      <c r="VU915" s="471"/>
      <c r="VV915" s="471"/>
      <c r="VW915" s="471"/>
      <c r="VX915" s="471"/>
      <c r="VY915" s="471"/>
      <c r="VZ915" s="471"/>
      <c r="WA915" s="471"/>
      <c r="WB915" s="471"/>
      <c r="WC915" s="471"/>
      <c r="WD915" s="471"/>
      <c r="WE915" s="471"/>
      <c r="WF915" s="471"/>
      <c r="WG915" s="471"/>
      <c r="WH915" s="471"/>
      <c r="WI915" s="471"/>
      <c r="WJ915" s="471"/>
      <c r="WK915" s="471"/>
      <c r="WL915" s="471"/>
      <c r="WM915" s="471"/>
      <c r="WN915" s="471"/>
      <c r="WO915" s="471"/>
      <c r="WP915" s="471"/>
      <c r="WQ915" s="471"/>
      <c r="WR915" s="471"/>
      <c r="WS915" s="471"/>
      <c r="WT915" s="471"/>
      <c r="WU915" s="471"/>
      <c r="WV915" s="471"/>
      <c r="WW915" s="471"/>
      <c r="WX915" s="471"/>
      <c r="WY915" s="471"/>
      <c r="WZ915" s="471"/>
      <c r="XA915" s="471"/>
      <c r="XB915" s="471"/>
      <c r="XC915" s="471"/>
      <c r="XD915" s="471"/>
      <c r="XE915" s="471"/>
      <c r="XF915" s="471"/>
      <c r="XG915" s="471"/>
      <c r="XH915" s="471"/>
      <c r="XI915" s="471"/>
      <c r="XJ915" s="471"/>
      <c r="XK915" s="471"/>
      <c r="XL915" s="471"/>
      <c r="XM915" s="471"/>
      <c r="XN915" s="471"/>
      <c r="XO915" s="471"/>
      <c r="XP915" s="471"/>
      <c r="XQ915" s="471"/>
      <c r="XR915" s="471"/>
      <c r="XS915" s="471"/>
      <c r="XT915" s="471"/>
      <c r="XU915" s="471"/>
      <c r="XV915" s="471"/>
      <c r="XW915" s="471"/>
      <c r="XX915" s="471"/>
      <c r="XY915" s="471"/>
      <c r="XZ915" s="471"/>
      <c r="YA915" s="471"/>
      <c r="YB915" s="471"/>
      <c r="YC915" s="471"/>
      <c r="YD915" s="471"/>
      <c r="YE915" s="471"/>
      <c r="YF915" s="471"/>
      <c r="YG915" s="471"/>
      <c r="YH915" s="471"/>
      <c r="YI915" s="471"/>
      <c r="YJ915" s="471"/>
      <c r="YK915" s="471"/>
      <c r="YL915" s="471"/>
      <c r="YM915" s="471"/>
      <c r="YN915" s="471"/>
      <c r="YO915" s="471"/>
      <c r="YP915" s="471"/>
      <c r="YQ915" s="471"/>
      <c r="YR915" s="471"/>
      <c r="YS915" s="471"/>
      <c r="YT915" s="471"/>
      <c r="YU915" s="471"/>
      <c r="YV915" s="471"/>
      <c r="YW915" s="471"/>
      <c r="YX915" s="471"/>
      <c r="YY915" s="471"/>
      <c r="YZ915" s="471"/>
      <c r="ZA915" s="471"/>
      <c r="ZB915" s="471"/>
      <c r="ZC915" s="471"/>
      <c r="ZD915" s="471"/>
      <c r="ZE915" s="471"/>
      <c r="ZF915" s="471"/>
      <c r="ZG915" s="471"/>
      <c r="ZH915" s="471"/>
      <c r="ZI915" s="471"/>
      <c r="ZJ915" s="471"/>
      <c r="ZK915" s="471"/>
      <c r="ZL915" s="471"/>
      <c r="ZM915" s="471"/>
      <c r="ZN915" s="471"/>
      <c r="ZO915" s="471"/>
      <c r="ZP915" s="471"/>
      <c r="ZQ915" s="471"/>
      <c r="ZR915" s="471"/>
      <c r="ZS915" s="471"/>
      <c r="ZT915" s="471"/>
      <c r="ZU915" s="471"/>
      <c r="ZV915" s="471"/>
      <c r="ZW915" s="471"/>
      <c r="ZX915" s="471"/>
      <c r="ZY915" s="471"/>
      <c r="ZZ915" s="471"/>
      <c r="AAA915" s="471"/>
      <c r="AAB915" s="471"/>
      <c r="AAC915" s="471"/>
      <c r="AAD915" s="471"/>
      <c r="AAE915" s="471"/>
      <c r="AAF915" s="471"/>
      <c r="AAG915" s="471"/>
      <c r="AAH915" s="471"/>
      <c r="AAI915" s="471"/>
      <c r="AAJ915" s="471"/>
      <c r="AAK915" s="471"/>
      <c r="AAL915" s="471"/>
      <c r="AAM915" s="471"/>
      <c r="AAN915" s="471"/>
      <c r="AAO915" s="471"/>
      <c r="AAP915" s="471"/>
      <c r="AAQ915" s="471"/>
      <c r="AAR915" s="471"/>
      <c r="AAS915" s="471"/>
      <c r="AAT915" s="471"/>
      <c r="AAU915" s="471"/>
      <c r="AAV915" s="471"/>
      <c r="AAW915" s="471"/>
      <c r="AAX915" s="471"/>
      <c r="AAY915" s="471"/>
      <c r="AAZ915" s="471"/>
      <c r="ABA915" s="471"/>
      <c r="ABB915" s="471"/>
      <c r="ABC915" s="471"/>
      <c r="ABD915" s="471"/>
      <c r="ABE915" s="471"/>
      <c r="ABF915" s="471"/>
      <c r="ABG915" s="471"/>
      <c r="ABH915" s="471"/>
      <c r="ABI915" s="471"/>
      <c r="ABJ915" s="471"/>
      <c r="ABK915" s="471"/>
      <c r="ABL915" s="471"/>
      <c r="ABM915" s="471"/>
      <c r="ABN915" s="471"/>
      <c r="ABO915" s="471"/>
      <c r="ABP915" s="471"/>
      <c r="ABQ915" s="471"/>
      <c r="ABR915" s="471"/>
      <c r="ABS915" s="471"/>
      <c r="ABT915" s="471"/>
      <c r="ABU915" s="471"/>
      <c r="ABV915" s="471"/>
      <c r="ABW915" s="471"/>
      <c r="ABX915" s="471"/>
      <c r="ABY915" s="471"/>
      <c r="ABZ915" s="471"/>
      <c r="ACA915" s="471"/>
      <c r="ACB915" s="471"/>
      <c r="ACC915" s="471"/>
      <c r="ACD915" s="471"/>
      <c r="ACE915" s="471"/>
      <c r="ACF915" s="471"/>
      <c r="ACG915" s="471"/>
      <c r="ACH915" s="471"/>
      <c r="ACI915" s="471"/>
      <c r="ACJ915" s="471"/>
      <c r="ACK915" s="471"/>
      <c r="ACL915" s="471"/>
      <c r="ACM915" s="471"/>
      <c r="ACN915" s="471"/>
      <c r="ACO915" s="471"/>
      <c r="ACP915" s="471"/>
      <c r="ACQ915" s="471"/>
      <c r="ACR915" s="471"/>
      <c r="ACS915" s="471"/>
      <c r="ACT915" s="471"/>
      <c r="ACU915" s="471"/>
      <c r="ACV915" s="471"/>
      <c r="ACW915" s="471"/>
      <c r="ACX915" s="471"/>
      <c r="ACY915" s="471"/>
      <c r="ACZ915" s="471"/>
      <c r="ADA915" s="471"/>
      <c r="ADB915" s="471"/>
      <c r="ADC915" s="471"/>
      <c r="ADD915" s="471"/>
      <c r="ADE915" s="471"/>
      <c r="ADF915" s="471"/>
      <c r="ADG915" s="471"/>
      <c r="ADH915" s="471"/>
      <c r="ADI915" s="471"/>
      <c r="ADJ915" s="471"/>
      <c r="ADK915" s="471"/>
      <c r="ADL915" s="471"/>
      <c r="ADM915" s="471"/>
      <c r="ADN915" s="471"/>
      <c r="ADO915" s="471"/>
      <c r="ADP915" s="471"/>
      <c r="ADQ915" s="471"/>
      <c r="ADR915" s="471"/>
      <c r="ADS915" s="471"/>
      <c r="ADT915" s="471"/>
      <c r="ADU915" s="471"/>
      <c r="ADV915" s="471"/>
      <c r="ADW915" s="471"/>
      <c r="ADX915" s="471"/>
      <c r="ADY915" s="471"/>
      <c r="ADZ915" s="471"/>
      <c r="AEA915" s="471"/>
      <c r="AEB915" s="471"/>
      <c r="AEC915" s="471"/>
      <c r="AED915" s="471"/>
      <c r="AEE915" s="471"/>
      <c r="AEF915" s="471"/>
      <c r="AEG915" s="471"/>
      <c r="AEH915" s="471"/>
      <c r="AEI915" s="471"/>
      <c r="AEJ915" s="471"/>
      <c r="AEK915" s="471"/>
      <c r="AEL915" s="471"/>
      <c r="AEM915" s="471"/>
      <c r="AEN915" s="471"/>
      <c r="AEO915" s="471"/>
      <c r="AEP915" s="471"/>
      <c r="AEQ915" s="471"/>
      <c r="AER915" s="471"/>
      <c r="AES915" s="471"/>
      <c r="AET915" s="471"/>
      <c r="AEU915" s="471"/>
      <c r="AEV915" s="471"/>
      <c r="AEW915" s="471"/>
      <c r="AEX915" s="471"/>
      <c r="AEY915" s="471"/>
      <c r="AEZ915" s="471"/>
      <c r="AFA915" s="471"/>
      <c r="AFB915" s="471"/>
      <c r="AFC915" s="471"/>
      <c r="AFD915" s="471"/>
      <c r="AFE915" s="471"/>
      <c r="AFF915" s="471"/>
      <c r="AFG915" s="471"/>
      <c r="AFH915" s="471"/>
      <c r="AFI915" s="471"/>
      <c r="AFJ915" s="471"/>
      <c r="AFK915" s="471"/>
      <c r="AFL915" s="471"/>
      <c r="AFM915" s="471"/>
      <c r="AFN915" s="471"/>
      <c r="AFO915" s="471"/>
      <c r="AFP915" s="471"/>
      <c r="AFQ915" s="471"/>
      <c r="AFR915" s="471"/>
      <c r="AFS915" s="471"/>
      <c r="AFT915" s="471"/>
      <c r="AFU915" s="471"/>
      <c r="AFV915" s="471"/>
      <c r="AFW915" s="471"/>
      <c r="AFX915" s="471"/>
      <c r="AFY915" s="471"/>
      <c r="AFZ915" s="471"/>
      <c r="AGA915" s="471"/>
      <c r="AGB915" s="471"/>
      <c r="AGC915" s="471"/>
      <c r="AGD915" s="471"/>
      <c r="AGE915" s="471"/>
      <c r="AGF915" s="471"/>
      <c r="AGG915" s="471"/>
      <c r="AGH915" s="471"/>
      <c r="AGI915" s="471"/>
      <c r="AGJ915" s="471"/>
      <c r="AGK915" s="471"/>
      <c r="AGL915" s="471"/>
      <c r="AGM915" s="471"/>
      <c r="AGN915" s="471"/>
      <c r="AGO915" s="471"/>
      <c r="AGP915" s="471"/>
      <c r="AGQ915" s="471"/>
      <c r="AGR915" s="471"/>
      <c r="AGS915" s="471"/>
      <c r="AGT915" s="471"/>
      <c r="AGU915" s="471"/>
      <c r="AGV915" s="471"/>
      <c r="AGW915" s="471"/>
      <c r="AGX915" s="471"/>
      <c r="AGY915" s="471"/>
      <c r="AGZ915" s="471"/>
      <c r="AHA915" s="471"/>
      <c r="AHB915" s="471"/>
      <c r="AHC915" s="471"/>
      <c r="AHD915" s="471"/>
      <c r="AHE915" s="471"/>
      <c r="AHF915" s="471"/>
      <c r="AHG915" s="471"/>
      <c r="AHH915" s="471"/>
      <c r="AHI915" s="471"/>
      <c r="AHJ915" s="471"/>
      <c r="AHK915" s="471"/>
      <c r="AHL915" s="471"/>
      <c r="AHM915" s="471"/>
      <c r="AHN915" s="471"/>
      <c r="AHO915" s="471"/>
      <c r="AHP915" s="471"/>
      <c r="AHQ915" s="471"/>
      <c r="AHR915" s="471"/>
      <c r="AHS915" s="471"/>
      <c r="AHT915" s="471"/>
      <c r="AHU915" s="471"/>
      <c r="AHV915" s="471"/>
      <c r="AHW915" s="471"/>
      <c r="AHX915" s="471"/>
      <c r="AHY915" s="471"/>
      <c r="AHZ915" s="471"/>
      <c r="AIA915" s="471"/>
      <c r="AIB915" s="471"/>
      <c r="AIC915" s="471"/>
      <c r="AID915" s="471"/>
      <c r="AIE915" s="471"/>
      <c r="AIF915" s="471"/>
      <c r="AIG915" s="471"/>
      <c r="AIH915" s="471"/>
      <c r="AII915" s="471"/>
      <c r="AIJ915" s="471"/>
      <c r="AIK915" s="471"/>
      <c r="AIL915" s="471"/>
      <c r="AIM915" s="471"/>
      <c r="AIN915" s="471"/>
      <c r="AIO915" s="471"/>
      <c r="AIP915" s="471"/>
      <c r="AIQ915" s="471"/>
      <c r="AIR915" s="471"/>
      <c r="AIS915" s="471"/>
      <c r="AIT915" s="471"/>
      <c r="AIU915" s="471"/>
      <c r="AIV915" s="471"/>
      <c r="AIW915" s="471"/>
      <c r="AIX915" s="471"/>
      <c r="AIY915" s="471"/>
      <c r="AIZ915" s="471"/>
      <c r="AJA915" s="471"/>
      <c r="AJB915" s="471"/>
      <c r="AJC915" s="471"/>
      <c r="AJD915" s="471"/>
      <c r="AJE915" s="471"/>
      <c r="AJF915" s="471"/>
      <c r="AJG915" s="471"/>
      <c r="AJH915" s="471"/>
      <c r="AJI915" s="471"/>
      <c r="AJJ915" s="471"/>
      <c r="AJK915" s="471"/>
      <c r="AJL915" s="471"/>
      <c r="AJM915" s="471"/>
      <c r="AJN915" s="471"/>
      <c r="AJO915" s="471"/>
      <c r="AJP915" s="471"/>
      <c r="AJQ915" s="471"/>
      <c r="AJR915" s="471"/>
      <c r="AJS915" s="471"/>
      <c r="AJT915" s="471"/>
      <c r="AJU915" s="471"/>
      <c r="AJV915" s="471"/>
      <c r="AJW915" s="471"/>
      <c r="AJX915" s="471"/>
      <c r="AJY915" s="471"/>
      <c r="AJZ915" s="471"/>
      <c r="AKA915" s="471"/>
      <c r="AKB915" s="471"/>
      <c r="AKC915" s="471"/>
      <c r="AKD915" s="471"/>
      <c r="AKE915" s="471"/>
      <c r="AKF915" s="471"/>
      <c r="AKG915" s="471"/>
      <c r="AKH915" s="471"/>
      <c r="AKI915" s="471"/>
      <c r="AKJ915" s="471"/>
      <c r="AKK915" s="471"/>
      <c r="AKL915" s="471"/>
      <c r="AKM915" s="471"/>
      <c r="AKN915" s="471"/>
      <c r="AKO915" s="471"/>
      <c r="AKP915" s="471"/>
      <c r="AKQ915" s="471"/>
      <c r="AKR915" s="471"/>
      <c r="AKS915" s="471"/>
      <c r="AKT915" s="471"/>
      <c r="AKU915" s="471"/>
      <c r="AKV915" s="471"/>
      <c r="AKW915" s="471"/>
      <c r="AKX915" s="471"/>
      <c r="AKY915" s="471"/>
      <c r="AKZ915" s="471"/>
      <c r="ALA915" s="471"/>
      <c r="ALB915" s="471"/>
      <c r="ALC915" s="471"/>
      <c r="ALD915" s="471"/>
      <c r="ALE915" s="471"/>
      <c r="ALF915" s="471"/>
      <c r="ALG915" s="471"/>
      <c r="ALH915" s="471"/>
      <c r="ALI915" s="471"/>
      <c r="ALJ915" s="471"/>
      <c r="ALK915" s="471"/>
      <c r="ALL915" s="471"/>
      <c r="ALM915" s="471"/>
      <c r="ALN915" s="471"/>
      <c r="ALO915" s="471"/>
      <c r="ALP915" s="471"/>
      <c r="ALQ915" s="471"/>
      <c r="ALR915" s="471"/>
      <c r="ALS915" s="471"/>
      <c r="ALT915" s="471"/>
      <c r="ALU915" s="471"/>
      <c r="ALV915" s="471"/>
      <c r="ALW915" s="471"/>
      <c r="ALX915" s="471"/>
      <c r="ALY915" s="471"/>
      <c r="ALZ915" s="471"/>
      <c r="AMA915" s="471"/>
      <c r="AMB915" s="471"/>
      <c r="AMC915" s="471"/>
      <c r="AMD915" s="471"/>
      <c r="AME915" s="471"/>
      <c r="AMF915" s="471"/>
      <c r="AMG915" s="471"/>
      <c r="AMH915" s="471"/>
      <c r="AMI915" s="471"/>
      <c r="AMJ915" s="471"/>
      <c r="AMK915" s="471"/>
      <c r="AML915" s="471"/>
      <c r="AMM915" s="471"/>
      <c r="AMN915" s="471"/>
      <c r="AMO915" s="471"/>
      <c r="AMP915" s="471"/>
      <c r="AMQ915" s="471"/>
      <c r="AMR915" s="471"/>
      <c r="AMS915" s="471"/>
      <c r="AMT915" s="471"/>
      <c r="AMU915" s="471"/>
      <c r="AMV915" s="471"/>
      <c r="AMW915" s="471"/>
      <c r="AMX915" s="471"/>
      <c r="AMY915" s="471"/>
      <c r="AMZ915" s="471"/>
      <c r="ANA915" s="471"/>
      <c r="ANB915" s="471"/>
      <c r="ANC915" s="471"/>
      <c r="AND915" s="471"/>
      <c r="ANE915" s="471"/>
      <c r="ANF915" s="471"/>
      <c r="ANG915" s="471"/>
      <c r="ANH915" s="471"/>
      <c r="ANI915" s="471"/>
      <c r="ANJ915" s="471"/>
      <c r="ANK915" s="471"/>
      <c r="ANL915" s="471"/>
      <c r="ANM915" s="471"/>
      <c r="ANN915" s="471"/>
      <c r="ANO915" s="471"/>
      <c r="ANP915" s="471"/>
      <c r="ANQ915" s="471"/>
      <c r="ANR915" s="471"/>
      <c r="ANS915" s="471"/>
      <c r="ANT915" s="471"/>
      <c r="ANU915" s="471"/>
      <c r="ANV915" s="471"/>
      <c r="ANW915" s="471"/>
      <c r="ANX915" s="471"/>
      <c r="ANY915" s="471"/>
      <c r="ANZ915" s="471"/>
      <c r="AOA915" s="471"/>
      <c r="AOB915" s="471"/>
      <c r="AOC915" s="471"/>
      <c r="AOD915" s="471"/>
      <c r="AOE915" s="471"/>
      <c r="AOF915" s="471"/>
      <c r="AOG915" s="471"/>
      <c r="AOH915" s="471"/>
      <c r="AOI915" s="471"/>
      <c r="AOJ915" s="471"/>
      <c r="AOK915" s="471"/>
      <c r="AOL915" s="471"/>
      <c r="AOM915" s="471"/>
      <c r="AON915" s="471"/>
      <c r="AOO915" s="471"/>
      <c r="AOP915" s="471"/>
      <c r="AOQ915" s="471"/>
      <c r="AOR915" s="471"/>
      <c r="AOS915" s="471"/>
      <c r="AOT915" s="471"/>
      <c r="AOU915" s="471"/>
      <c r="AOV915" s="471"/>
      <c r="AOW915" s="471"/>
      <c r="AOX915" s="471"/>
      <c r="AOY915" s="471"/>
      <c r="AOZ915" s="471"/>
      <c r="APA915" s="471"/>
      <c r="APB915" s="471"/>
      <c r="APC915" s="471"/>
      <c r="APD915" s="471"/>
      <c r="APE915" s="471"/>
      <c r="APF915" s="471"/>
      <c r="APG915" s="471"/>
      <c r="APH915" s="471"/>
      <c r="API915" s="471"/>
      <c r="APJ915" s="471"/>
      <c r="APK915" s="471"/>
      <c r="APL915" s="471"/>
      <c r="APM915" s="471"/>
      <c r="APN915" s="471"/>
      <c r="APO915" s="471"/>
      <c r="APP915" s="471"/>
      <c r="APQ915" s="471"/>
      <c r="APR915" s="471"/>
      <c r="APS915" s="471"/>
      <c r="APT915" s="471"/>
      <c r="APU915" s="471"/>
      <c r="APV915" s="471"/>
      <c r="APW915" s="471"/>
      <c r="APX915" s="471"/>
      <c r="APY915" s="471"/>
      <c r="APZ915" s="471"/>
      <c r="AQA915" s="471"/>
      <c r="AQB915" s="471"/>
      <c r="AQC915" s="471"/>
      <c r="AQD915" s="471"/>
      <c r="AQE915" s="471"/>
      <c r="AQF915" s="471"/>
      <c r="AQG915" s="471"/>
      <c r="AQH915" s="471"/>
      <c r="AQI915" s="471"/>
      <c r="AQJ915" s="471"/>
      <c r="AQK915" s="471"/>
      <c r="AQL915" s="471"/>
      <c r="AQM915" s="471"/>
      <c r="AQN915" s="471"/>
      <c r="AQO915" s="471"/>
      <c r="AQP915" s="471"/>
      <c r="AQQ915" s="471"/>
      <c r="AQR915" s="471"/>
      <c r="AQS915" s="471"/>
      <c r="AQT915" s="471"/>
      <c r="AQU915" s="471"/>
      <c r="AQV915" s="471"/>
      <c r="AQW915" s="471"/>
      <c r="AQX915" s="471"/>
      <c r="AQY915" s="471"/>
      <c r="AQZ915" s="471"/>
      <c r="ARA915" s="471"/>
      <c r="ARB915" s="471"/>
      <c r="ARC915" s="471"/>
      <c r="ARD915" s="471"/>
      <c r="ARE915" s="471"/>
      <c r="ARF915" s="471"/>
      <c r="ARG915" s="471"/>
      <c r="ARH915" s="471"/>
      <c r="ARI915" s="471"/>
      <c r="ARJ915" s="471"/>
      <c r="ARK915" s="471"/>
      <c r="ARL915" s="471"/>
      <c r="ARM915" s="471"/>
      <c r="ARN915" s="471"/>
      <c r="ARO915" s="471"/>
      <c r="ARP915" s="471"/>
      <c r="ARQ915" s="471"/>
      <c r="ARR915" s="471"/>
      <c r="ARS915" s="471"/>
      <c r="ART915" s="471"/>
      <c r="ARU915" s="471"/>
      <c r="ARV915" s="471"/>
      <c r="ARW915" s="471"/>
      <c r="ARX915" s="471"/>
      <c r="ARY915" s="471"/>
      <c r="ARZ915" s="471"/>
      <c r="ASA915" s="471"/>
      <c r="ASB915" s="471"/>
      <c r="ASC915" s="471"/>
      <c r="ASD915" s="471"/>
      <c r="ASE915" s="471"/>
      <c r="ASF915" s="471"/>
      <c r="ASG915" s="471"/>
      <c r="ASH915" s="471"/>
      <c r="ASI915" s="471"/>
      <c r="ASJ915" s="471"/>
      <c r="ASK915" s="471"/>
      <c r="ASL915" s="471"/>
      <c r="ASM915" s="471"/>
      <c r="ASN915" s="471"/>
      <c r="ASO915" s="471"/>
      <c r="ASP915" s="471"/>
      <c r="ASQ915" s="471"/>
      <c r="ASR915" s="471"/>
      <c r="ASS915" s="471"/>
      <c r="AST915" s="471"/>
      <c r="ASU915" s="471"/>
      <c r="ASV915" s="471"/>
      <c r="ASW915" s="471"/>
      <c r="ASX915" s="471"/>
      <c r="ASY915" s="471"/>
      <c r="ASZ915" s="471"/>
      <c r="ATA915" s="471"/>
      <c r="ATB915" s="471"/>
      <c r="ATC915" s="471"/>
      <c r="ATD915" s="471"/>
      <c r="ATE915" s="471"/>
      <c r="ATF915" s="471"/>
      <c r="ATG915" s="471"/>
      <c r="ATH915" s="471"/>
      <c r="ATI915" s="471"/>
      <c r="ATJ915" s="471"/>
      <c r="ATK915" s="471"/>
      <c r="ATL915" s="471"/>
      <c r="ATM915" s="471"/>
      <c r="ATN915" s="471"/>
      <c r="ATO915" s="471"/>
      <c r="ATP915" s="471"/>
      <c r="ATQ915" s="471"/>
      <c r="ATR915" s="471"/>
      <c r="ATS915" s="471"/>
      <c r="ATT915" s="471"/>
      <c r="ATU915" s="471"/>
      <c r="ATV915" s="471"/>
      <c r="ATW915" s="471"/>
      <c r="ATX915" s="471"/>
      <c r="ATY915" s="471"/>
      <c r="ATZ915" s="471"/>
      <c r="AUA915" s="471"/>
      <c r="AUB915" s="471"/>
      <c r="AUC915" s="471"/>
      <c r="AUD915" s="471"/>
      <c r="AUE915" s="471"/>
      <c r="AUF915" s="471"/>
      <c r="AUG915" s="471"/>
      <c r="AUH915" s="471"/>
      <c r="AUI915" s="471"/>
      <c r="AUJ915" s="471"/>
      <c r="AUK915" s="471"/>
      <c r="AUL915" s="471"/>
      <c r="AUM915" s="471"/>
      <c r="AUN915" s="471"/>
      <c r="AUO915" s="471"/>
      <c r="AUP915" s="471"/>
      <c r="AUQ915" s="471"/>
      <c r="AUR915" s="471"/>
      <c r="AUS915" s="471"/>
      <c r="AUT915" s="471"/>
      <c r="AUU915" s="471"/>
      <c r="AUV915" s="471"/>
      <c r="AUW915" s="471"/>
      <c r="AUX915" s="471"/>
      <c r="AUY915" s="471"/>
      <c r="AUZ915" s="471"/>
      <c r="AVA915" s="471"/>
      <c r="AVB915" s="471"/>
      <c r="AVC915" s="471"/>
      <c r="AVD915" s="471"/>
      <c r="AVE915" s="471"/>
      <c r="AVF915" s="471"/>
      <c r="AVG915" s="471"/>
      <c r="AVH915" s="471"/>
      <c r="AVI915" s="471"/>
      <c r="AVJ915" s="471"/>
      <c r="AVK915" s="471"/>
    </row>
    <row r="916" spans="1:1259" s="511" customFormat="1" ht="15" customHeight="1">
      <c r="A916" s="472"/>
      <c r="B916" s="472"/>
      <c r="C916" s="472"/>
      <c r="D916" s="512" t="s">
        <v>3186</v>
      </c>
      <c r="E916" s="512" t="s">
        <v>3044</v>
      </c>
      <c r="F916" s="501"/>
      <c r="G916" s="501"/>
      <c r="H916" s="524">
        <v>10</v>
      </c>
      <c r="I916" s="496" t="s">
        <v>1676</v>
      </c>
      <c r="J916" s="502"/>
      <c r="K916" s="502" t="s">
        <v>4878</v>
      </c>
      <c r="L916" s="502" t="s">
        <v>3278</v>
      </c>
      <c r="M916" s="502">
        <v>44550</v>
      </c>
      <c r="N916" s="502">
        <v>44715</v>
      </c>
      <c r="O916" s="504"/>
      <c r="P916" s="502"/>
      <c r="Q916" s="502"/>
      <c r="R916" s="502"/>
      <c r="S916" s="501" t="s">
        <v>2379</v>
      </c>
      <c r="T916" s="501">
        <v>60</v>
      </c>
      <c r="U916" s="501"/>
      <c r="V916" s="501" t="s">
        <v>973</v>
      </c>
      <c r="W916" s="501">
        <v>400</v>
      </c>
      <c r="X916" s="505">
        <v>768</v>
      </c>
      <c r="Y916" s="491">
        <f t="shared" si="130"/>
        <v>307200</v>
      </c>
      <c r="Z916" s="506">
        <v>0.53</v>
      </c>
      <c r="AA916" s="492">
        <f t="shared" si="134"/>
        <v>162816</v>
      </c>
      <c r="AB916" s="480"/>
      <c r="AC916" s="481">
        <f t="shared" si="131"/>
        <v>0</v>
      </c>
      <c r="AD916" s="508"/>
      <c r="AE916" s="507"/>
      <c r="AF916" s="493">
        <f t="shared" si="132"/>
        <v>162816</v>
      </c>
      <c r="AG916" s="501" t="s">
        <v>1071</v>
      </c>
      <c r="AH916" s="501"/>
      <c r="AI916" s="503">
        <v>60</v>
      </c>
      <c r="AJ916" s="501" t="s">
        <v>1593</v>
      </c>
      <c r="AK916" s="509" t="s">
        <v>1144</v>
      </c>
      <c r="AL916" s="501">
        <v>78744</v>
      </c>
      <c r="AM916" s="501" t="s">
        <v>52</v>
      </c>
      <c r="AN916" s="501"/>
      <c r="AO916" s="501"/>
      <c r="AP916" s="510"/>
      <c r="AQ916" s="510" t="s">
        <v>37</v>
      </c>
      <c r="AR916" s="510"/>
      <c r="AS916" s="495" t="s">
        <v>1152</v>
      </c>
      <c r="AT916" s="495" t="s">
        <v>1076</v>
      </c>
      <c r="AU916" s="495" t="s">
        <v>1076</v>
      </c>
      <c r="AV916" s="506">
        <v>0.53</v>
      </c>
      <c r="AW916" s="471"/>
      <c r="AX916" s="471"/>
      <c r="AY916" s="471"/>
      <c r="AZ916" s="471"/>
      <c r="BA916" s="471"/>
      <c r="BB916" s="471"/>
      <c r="BC916" s="471"/>
      <c r="BD916" s="471"/>
      <c r="BE916" s="471"/>
      <c r="BF916" s="471"/>
      <c r="BG916" s="471"/>
      <c r="BH916" s="471"/>
      <c r="BI916" s="471"/>
      <c r="BJ916" s="471"/>
      <c r="BK916" s="471"/>
      <c r="BL916" s="471"/>
      <c r="BM916" s="471"/>
      <c r="BN916" s="471"/>
      <c r="BO916" s="471"/>
      <c r="BP916" s="471"/>
      <c r="BQ916" s="471"/>
      <c r="BR916" s="471"/>
      <c r="BS916" s="471"/>
      <c r="BT916" s="471"/>
      <c r="BU916" s="471"/>
      <c r="BV916" s="471"/>
      <c r="BW916" s="471"/>
      <c r="BX916" s="471"/>
      <c r="BY916" s="471"/>
      <c r="BZ916" s="471"/>
      <c r="CA916" s="471"/>
      <c r="CB916" s="471"/>
      <c r="CC916" s="471"/>
      <c r="CD916" s="471"/>
      <c r="CE916" s="471"/>
      <c r="CF916" s="471"/>
      <c r="CG916" s="471"/>
      <c r="CH916" s="471"/>
      <c r="CI916" s="471"/>
      <c r="CJ916" s="471"/>
      <c r="CK916" s="471"/>
      <c r="CL916" s="471"/>
      <c r="CM916" s="471"/>
      <c r="CN916" s="471"/>
      <c r="CO916" s="471"/>
      <c r="CP916" s="471"/>
      <c r="CQ916" s="471"/>
      <c r="CR916" s="471"/>
      <c r="CS916" s="471"/>
      <c r="CT916" s="471"/>
      <c r="CU916" s="471"/>
      <c r="CV916" s="471"/>
      <c r="CW916" s="471"/>
      <c r="CX916" s="471"/>
      <c r="CY916" s="471"/>
      <c r="CZ916" s="471"/>
      <c r="DA916" s="471"/>
      <c r="DB916" s="471"/>
      <c r="DC916" s="471"/>
      <c r="DD916" s="471"/>
      <c r="DE916" s="471"/>
      <c r="DF916" s="471"/>
      <c r="DG916" s="471"/>
      <c r="DH916" s="471"/>
      <c r="DI916" s="471"/>
      <c r="DJ916" s="471"/>
      <c r="DK916" s="471"/>
      <c r="DL916" s="471"/>
      <c r="DM916" s="471"/>
      <c r="DN916" s="471"/>
      <c r="DO916" s="471"/>
      <c r="DP916" s="471"/>
      <c r="DQ916" s="471"/>
      <c r="DR916" s="471"/>
      <c r="DS916" s="471"/>
      <c r="DT916" s="471"/>
      <c r="DU916" s="471"/>
      <c r="DV916" s="471"/>
      <c r="DW916" s="471"/>
      <c r="DX916" s="471"/>
      <c r="DY916" s="471"/>
      <c r="DZ916" s="471"/>
      <c r="EA916" s="471"/>
      <c r="EB916" s="471"/>
      <c r="EC916" s="471"/>
      <c r="ED916" s="471"/>
      <c r="EE916" s="471"/>
      <c r="EF916" s="471"/>
      <c r="EG916" s="471"/>
      <c r="EH916" s="471"/>
      <c r="EI916" s="471"/>
      <c r="EJ916" s="471"/>
      <c r="EK916" s="471"/>
      <c r="EL916" s="471"/>
      <c r="EM916" s="471"/>
      <c r="EN916" s="471"/>
      <c r="EO916" s="471"/>
      <c r="EP916" s="471"/>
      <c r="EQ916" s="471"/>
      <c r="ER916" s="471"/>
      <c r="ES916" s="471"/>
      <c r="ET916" s="471"/>
      <c r="EU916" s="471"/>
      <c r="EV916" s="471"/>
      <c r="EW916" s="471"/>
      <c r="EX916" s="471"/>
      <c r="EY916" s="471"/>
      <c r="EZ916" s="471"/>
      <c r="FA916" s="471"/>
      <c r="FB916" s="471"/>
      <c r="FC916" s="471"/>
      <c r="FD916" s="471"/>
      <c r="FE916" s="471"/>
      <c r="FF916" s="471"/>
      <c r="FG916" s="471"/>
      <c r="FH916" s="471"/>
      <c r="FI916" s="471"/>
      <c r="FJ916" s="471"/>
      <c r="FK916" s="471"/>
      <c r="FL916" s="471"/>
      <c r="FM916" s="471"/>
      <c r="FN916" s="471"/>
      <c r="FO916" s="471"/>
      <c r="FP916" s="471"/>
      <c r="FQ916" s="471"/>
      <c r="FR916" s="471"/>
      <c r="FS916" s="471"/>
      <c r="FT916" s="471"/>
      <c r="FU916" s="471"/>
      <c r="FV916" s="471"/>
      <c r="FW916" s="471"/>
      <c r="FX916" s="471"/>
      <c r="FY916" s="471"/>
      <c r="FZ916" s="471"/>
      <c r="GA916" s="471"/>
      <c r="GB916" s="471"/>
      <c r="GC916" s="471"/>
      <c r="GD916" s="471"/>
      <c r="GE916" s="471"/>
      <c r="GF916" s="471"/>
      <c r="GG916" s="471"/>
      <c r="GH916" s="471"/>
      <c r="GI916" s="471"/>
      <c r="GJ916" s="471"/>
      <c r="GK916" s="471"/>
      <c r="GL916" s="471"/>
      <c r="GM916" s="471"/>
      <c r="GN916" s="471"/>
      <c r="GO916" s="471"/>
      <c r="GP916" s="471"/>
      <c r="GQ916" s="471"/>
      <c r="GR916" s="471"/>
      <c r="GS916" s="471"/>
      <c r="GT916" s="471"/>
      <c r="GU916" s="471"/>
      <c r="GV916" s="471"/>
      <c r="GW916" s="471"/>
      <c r="GX916" s="471"/>
      <c r="GY916" s="471"/>
      <c r="GZ916" s="471"/>
      <c r="HA916" s="471"/>
      <c r="HB916" s="471"/>
      <c r="HC916" s="471"/>
      <c r="HD916" s="471"/>
      <c r="HE916" s="471"/>
      <c r="HF916" s="471"/>
      <c r="HG916" s="471"/>
      <c r="HH916" s="471"/>
      <c r="HI916" s="471"/>
      <c r="HJ916" s="471"/>
      <c r="HK916" s="471"/>
      <c r="HL916" s="471"/>
      <c r="HM916" s="471"/>
      <c r="HN916" s="471"/>
      <c r="HO916" s="471"/>
      <c r="HP916" s="471"/>
      <c r="HQ916" s="471"/>
      <c r="HR916" s="471"/>
      <c r="HS916" s="471"/>
      <c r="HT916" s="471"/>
      <c r="HU916" s="471"/>
      <c r="HV916" s="471"/>
      <c r="HW916" s="471"/>
      <c r="HX916" s="471"/>
      <c r="HY916" s="471"/>
      <c r="HZ916" s="471"/>
      <c r="IA916" s="471"/>
      <c r="IB916" s="471"/>
      <c r="IC916" s="471"/>
      <c r="ID916" s="471"/>
      <c r="IE916" s="471"/>
      <c r="IF916" s="471"/>
      <c r="IG916" s="471"/>
      <c r="IH916" s="471"/>
      <c r="II916" s="471"/>
      <c r="IJ916" s="471"/>
      <c r="IK916" s="471"/>
      <c r="IL916" s="471"/>
      <c r="IM916" s="471"/>
      <c r="IN916" s="471"/>
      <c r="IO916" s="471"/>
      <c r="IP916" s="471"/>
      <c r="IQ916" s="471"/>
      <c r="IR916" s="471"/>
      <c r="IS916" s="471"/>
      <c r="IT916" s="471"/>
      <c r="IU916" s="471"/>
      <c r="IV916" s="471"/>
      <c r="IW916" s="471"/>
      <c r="IX916" s="471"/>
      <c r="IY916" s="471"/>
      <c r="IZ916" s="471"/>
      <c r="JA916" s="471"/>
      <c r="JB916" s="471"/>
      <c r="JC916" s="471"/>
      <c r="JD916" s="471"/>
      <c r="JE916" s="471"/>
      <c r="JF916" s="471"/>
      <c r="JG916" s="471"/>
      <c r="JH916" s="471"/>
      <c r="JI916" s="471"/>
      <c r="JJ916" s="471"/>
      <c r="JK916" s="471"/>
      <c r="JL916" s="471"/>
      <c r="JM916" s="471"/>
      <c r="JN916" s="471"/>
      <c r="JO916" s="471"/>
      <c r="JP916" s="471"/>
      <c r="JQ916" s="471"/>
      <c r="JR916" s="471"/>
      <c r="JS916" s="471"/>
      <c r="JT916" s="471"/>
      <c r="JU916" s="471"/>
      <c r="JV916" s="471"/>
      <c r="JW916" s="471"/>
      <c r="JX916" s="471"/>
      <c r="JY916" s="471"/>
      <c r="JZ916" s="471"/>
      <c r="KA916" s="471"/>
      <c r="KB916" s="471"/>
      <c r="KC916" s="471"/>
      <c r="KD916" s="471"/>
      <c r="KE916" s="471"/>
      <c r="KF916" s="471"/>
      <c r="KG916" s="471"/>
      <c r="KH916" s="471"/>
      <c r="KI916" s="471"/>
      <c r="KJ916" s="471"/>
      <c r="KK916" s="471"/>
      <c r="KL916" s="471"/>
      <c r="KM916" s="471"/>
      <c r="KN916" s="471"/>
      <c r="KO916" s="471"/>
      <c r="KP916" s="471"/>
      <c r="KQ916" s="471"/>
      <c r="KR916" s="471"/>
      <c r="KS916" s="471"/>
      <c r="KT916" s="471"/>
      <c r="KU916" s="471"/>
      <c r="KV916" s="471"/>
      <c r="KW916" s="471"/>
      <c r="KX916" s="471"/>
      <c r="KY916" s="471"/>
      <c r="KZ916" s="471"/>
      <c r="LA916" s="471"/>
      <c r="LB916" s="471"/>
      <c r="LC916" s="471"/>
      <c r="LD916" s="471"/>
      <c r="LE916" s="471"/>
      <c r="LF916" s="471"/>
      <c r="LG916" s="471"/>
      <c r="LH916" s="471"/>
      <c r="LI916" s="471"/>
      <c r="LJ916" s="471"/>
      <c r="LK916" s="471"/>
      <c r="LL916" s="471"/>
      <c r="LM916" s="471"/>
      <c r="LN916" s="471"/>
      <c r="LO916" s="471"/>
      <c r="LP916" s="471"/>
      <c r="LQ916" s="471"/>
      <c r="LR916" s="471"/>
      <c r="LS916" s="471"/>
      <c r="LT916" s="471"/>
      <c r="LU916" s="471"/>
      <c r="LV916" s="471"/>
      <c r="LW916" s="471"/>
      <c r="LX916" s="471"/>
      <c r="LY916" s="471"/>
      <c r="LZ916" s="471"/>
      <c r="MA916" s="471"/>
      <c r="MB916" s="471"/>
      <c r="MC916" s="471"/>
      <c r="MD916" s="471"/>
      <c r="ME916" s="471"/>
      <c r="MF916" s="471"/>
      <c r="MG916" s="471"/>
      <c r="MH916" s="471"/>
      <c r="MI916" s="471"/>
      <c r="MJ916" s="471"/>
      <c r="MK916" s="471"/>
      <c r="ML916" s="471"/>
      <c r="MM916" s="471"/>
      <c r="MN916" s="471"/>
      <c r="MO916" s="471"/>
      <c r="MP916" s="471"/>
      <c r="MQ916" s="471"/>
      <c r="MR916" s="471"/>
      <c r="MS916" s="471"/>
      <c r="MT916" s="471"/>
      <c r="MU916" s="471"/>
      <c r="MV916" s="471"/>
      <c r="MW916" s="471"/>
      <c r="MX916" s="471"/>
      <c r="MY916" s="471"/>
      <c r="MZ916" s="471"/>
      <c r="NA916" s="471"/>
      <c r="NB916" s="471"/>
      <c r="NC916" s="471"/>
      <c r="ND916" s="471"/>
      <c r="NE916" s="471"/>
      <c r="NF916" s="471"/>
      <c r="NG916" s="471"/>
      <c r="NH916" s="471"/>
      <c r="NI916" s="471"/>
      <c r="NJ916" s="471"/>
      <c r="NK916" s="471"/>
      <c r="NL916" s="471"/>
      <c r="NM916" s="471"/>
      <c r="NN916" s="471"/>
      <c r="NO916" s="471"/>
      <c r="NP916" s="471"/>
      <c r="NQ916" s="471"/>
      <c r="NR916" s="471"/>
      <c r="NS916" s="471"/>
      <c r="NT916" s="471"/>
      <c r="NU916" s="471"/>
      <c r="NV916" s="471"/>
      <c r="NW916" s="471"/>
      <c r="NX916" s="471"/>
      <c r="NY916" s="471"/>
      <c r="NZ916" s="471"/>
      <c r="OA916" s="471"/>
      <c r="OB916" s="471"/>
      <c r="OC916" s="471"/>
      <c r="OD916" s="471"/>
      <c r="OE916" s="471"/>
      <c r="OF916" s="471"/>
      <c r="OG916" s="471"/>
      <c r="OH916" s="471"/>
      <c r="OI916" s="471"/>
      <c r="OJ916" s="471"/>
      <c r="OK916" s="471"/>
      <c r="OL916" s="471"/>
      <c r="OM916" s="471"/>
      <c r="ON916" s="471"/>
      <c r="OO916" s="471"/>
      <c r="OP916" s="471"/>
      <c r="OQ916" s="471"/>
      <c r="OR916" s="471"/>
      <c r="OS916" s="471"/>
      <c r="OT916" s="471"/>
      <c r="OU916" s="471"/>
      <c r="OV916" s="471"/>
      <c r="OW916" s="471"/>
      <c r="OX916" s="471"/>
      <c r="OY916" s="471"/>
      <c r="OZ916" s="471"/>
      <c r="PA916" s="471"/>
      <c r="PB916" s="471"/>
      <c r="PC916" s="471"/>
      <c r="PD916" s="471"/>
      <c r="PE916" s="471"/>
      <c r="PF916" s="471"/>
      <c r="PG916" s="471"/>
      <c r="PH916" s="471"/>
      <c r="PI916" s="471"/>
      <c r="PJ916" s="471"/>
      <c r="PK916" s="471"/>
      <c r="PL916" s="471"/>
      <c r="PM916" s="471"/>
      <c r="PN916" s="471"/>
      <c r="PO916" s="471"/>
      <c r="PP916" s="471"/>
      <c r="PQ916" s="471"/>
      <c r="PR916" s="471"/>
      <c r="PS916" s="471"/>
      <c r="PT916" s="471"/>
      <c r="PU916" s="471"/>
      <c r="PV916" s="471"/>
      <c r="PW916" s="471"/>
      <c r="PX916" s="471"/>
      <c r="PY916" s="471"/>
      <c r="PZ916" s="471"/>
      <c r="QA916" s="471"/>
      <c r="QB916" s="471"/>
      <c r="QC916" s="471"/>
      <c r="QD916" s="471"/>
      <c r="QE916" s="471"/>
      <c r="QF916" s="471"/>
      <c r="QG916" s="471"/>
      <c r="QH916" s="471"/>
      <c r="QI916" s="471"/>
      <c r="QJ916" s="471"/>
      <c r="QK916" s="471"/>
      <c r="QL916" s="471"/>
      <c r="QM916" s="471"/>
      <c r="QN916" s="471"/>
      <c r="QO916" s="471"/>
      <c r="QP916" s="471"/>
      <c r="QQ916" s="471"/>
      <c r="QR916" s="471"/>
      <c r="QS916" s="471"/>
      <c r="QT916" s="471"/>
      <c r="QU916" s="471"/>
      <c r="QV916" s="471"/>
      <c r="QW916" s="471"/>
      <c r="QX916" s="471"/>
      <c r="QY916" s="471"/>
      <c r="QZ916" s="471"/>
      <c r="RA916" s="471"/>
      <c r="RB916" s="471"/>
      <c r="RC916" s="471"/>
      <c r="RD916" s="471"/>
      <c r="RE916" s="471"/>
      <c r="RF916" s="471"/>
      <c r="RG916" s="471"/>
      <c r="RH916" s="471"/>
      <c r="RI916" s="471"/>
      <c r="RJ916" s="471"/>
      <c r="RK916" s="471"/>
      <c r="RL916" s="471"/>
      <c r="RM916" s="471"/>
      <c r="RN916" s="471"/>
      <c r="RO916" s="471"/>
      <c r="RP916" s="471"/>
      <c r="RQ916" s="471"/>
      <c r="RR916" s="471"/>
      <c r="RS916" s="471"/>
      <c r="RT916" s="471"/>
      <c r="RU916" s="471"/>
      <c r="RV916" s="471"/>
      <c r="RW916" s="471"/>
      <c r="RX916" s="471"/>
      <c r="RY916" s="471"/>
      <c r="RZ916" s="471"/>
      <c r="SA916" s="471"/>
      <c r="SB916" s="471"/>
      <c r="SC916" s="471"/>
      <c r="SD916" s="471"/>
      <c r="SE916" s="471"/>
      <c r="SF916" s="471"/>
      <c r="SG916" s="471"/>
      <c r="SH916" s="471"/>
      <c r="SI916" s="471"/>
      <c r="SJ916" s="471"/>
      <c r="SK916" s="471"/>
      <c r="SL916" s="471"/>
      <c r="SM916" s="471"/>
      <c r="SN916" s="471"/>
      <c r="SO916" s="471"/>
      <c r="SP916" s="471"/>
      <c r="SQ916" s="471"/>
      <c r="SR916" s="471"/>
      <c r="SS916" s="471"/>
      <c r="ST916" s="471"/>
      <c r="SU916" s="471"/>
      <c r="SV916" s="471"/>
      <c r="SW916" s="471"/>
      <c r="SX916" s="471"/>
      <c r="SY916" s="471"/>
      <c r="SZ916" s="471"/>
      <c r="TA916" s="471"/>
      <c r="TB916" s="471"/>
      <c r="TC916" s="471"/>
      <c r="TD916" s="471"/>
      <c r="TE916" s="471"/>
      <c r="TF916" s="471"/>
      <c r="TG916" s="471"/>
      <c r="TH916" s="471"/>
      <c r="TI916" s="471"/>
      <c r="TJ916" s="471"/>
      <c r="TK916" s="471"/>
      <c r="TL916" s="471"/>
      <c r="TM916" s="471"/>
      <c r="TN916" s="471"/>
      <c r="TO916" s="471"/>
      <c r="TP916" s="471"/>
      <c r="TQ916" s="471"/>
      <c r="TR916" s="471"/>
      <c r="TS916" s="471"/>
      <c r="TT916" s="471"/>
      <c r="TU916" s="471"/>
      <c r="TV916" s="471"/>
      <c r="TW916" s="471"/>
      <c r="TX916" s="471"/>
      <c r="TY916" s="471"/>
      <c r="TZ916" s="471"/>
      <c r="UA916" s="471"/>
      <c r="UB916" s="471"/>
      <c r="UC916" s="471"/>
      <c r="UD916" s="471"/>
      <c r="UE916" s="471"/>
      <c r="UF916" s="471"/>
      <c r="UG916" s="471"/>
      <c r="UH916" s="471"/>
      <c r="UI916" s="471"/>
      <c r="UJ916" s="471"/>
      <c r="UK916" s="471"/>
      <c r="UL916" s="471"/>
      <c r="UM916" s="471"/>
      <c r="UN916" s="471"/>
      <c r="UO916" s="471"/>
      <c r="UP916" s="471"/>
      <c r="UQ916" s="471"/>
      <c r="UR916" s="471"/>
      <c r="US916" s="471"/>
      <c r="UT916" s="471"/>
      <c r="UU916" s="471"/>
      <c r="UV916" s="471"/>
      <c r="UW916" s="471"/>
      <c r="UX916" s="471"/>
      <c r="UY916" s="471"/>
      <c r="UZ916" s="471"/>
      <c r="VA916" s="471"/>
      <c r="VB916" s="471"/>
      <c r="VC916" s="471"/>
      <c r="VD916" s="471"/>
      <c r="VE916" s="471"/>
      <c r="VF916" s="471"/>
      <c r="VG916" s="471"/>
      <c r="VH916" s="471"/>
      <c r="VI916" s="471"/>
      <c r="VJ916" s="471"/>
      <c r="VK916" s="471"/>
      <c r="VL916" s="471"/>
      <c r="VM916" s="471"/>
      <c r="VN916" s="471"/>
      <c r="VO916" s="471"/>
      <c r="VP916" s="471"/>
      <c r="VQ916" s="471"/>
      <c r="VR916" s="471"/>
      <c r="VS916" s="471"/>
      <c r="VT916" s="471"/>
      <c r="VU916" s="471"/>
      <c r="VV916" s="471"/>
      <c r="VW916" s="471"/>
      <c r="VX916" s="471"/>
      <c r="VY916" s="471"/>
      <c r="VZ916" s="471"/>
      <c r="WA916" s="471"/>
      <c r="WB916" s="471"/>
      <c r="WC916" s="471"/>
      <c r="WD916" s="471"/>
      <c r="WE916" s="471"/>
      <c r="WF916" s="471"/>
      <c r="WG916" s="471"/>
      <c r="WH916" s="471"/>
      <c r="WI916" s="471"/>
      <c r="WJ916" s="471"/>
      <c r="WK916" s="471"/>
      <c r="WL916" s="471"/>
      <c r="WM916" s="471"/>
      <c r="WN916" s="471"/>
      <c r="WO916" s="471"/>
      <c r="WP916" s="471"/>
      <c r="WQ916" s="471"/>
      <c r="WR916" s="471"/>
      <c r="WS916" s="471"/>
      <c r="WT916" s="471"/>
      <c r="WU916" s="471"/>
      <c r="WV916" s="471"/>
      <c r="WW916" s="471"/>
      <c r="WX916" s="471"/>
      <c r="WY916" s="471"/>
      <c r="WZ916" s="471"/>
      <c r="XA916" s="471"/>
      <c r="XB916" s="471"/>
      <c r="XC916" s="471"/>
      <c r="XD916" s="471"/>
      <c r="XE916" s="471"/>
      <c r="XF916" s="471"/>
      <c r="XG916" s="471"/>
      <c r="XH916" s="471"/>
      <c r="XI916" s="471"/>
      <c r="XJ916" s="471"/>
      <c r="XK916" s="471"/>
      <c r="XL916" s="471"/>
      <c r="XM916" s="471"/>
      <c r="XN916" s="471"/>
      <c r="XO916" s="471"/>
      <c r="XP916" s="471"/>
      <c r="XQ916" s="471"/>
      <c r="XR916" s="471"/>
      <c r="XS916" s="471"/>
      <c r="XT916" s="471"/>
      <c r="XU916" s="471"/>
      <c r="XV916" s="471"/>
      <c r="XW916" s="471"/>
      <c r="XX916" s="471"/>
      <c r="XY916" s="471"/>
      <c r="XZ916" s="471"/>
      <c r="YA916" s="471"/>
      <c r="YB916" s="471"/>
      <c r="YC916" s="471"/>
      <c r="YD916" s="471"/>
      <c r="YE916" s="471"/>
      <c r="YF916" s="471"/>
      <c r="YG916" s="471"/>
      <c r="YH916" s="471"/>
      <c r="YI916" s="471"/>
      <c r="YJ916" s="471"/>
      <c r="YK916" s="471"/>
      <c r="YL916" s="471"/>
      <c r="YM916" s="471"/>
      <c r="YN916" s="471"/>
      <c r="YO916" s="471"/>
      <c r="YP916" s="471"/>
      <c r="YQ916" s="471"/>
      <c r="YR916" s="471"/>
      <c r="YS916" s="471"/>
      <c r="YT916" s="471"/>
      <c r="YU916" s="471"/>
      <c r="YV916" s="471"/>
      <c r="YW916" s="471"/>
      <c r="YX916" s="471"/>
      <c r="YY916" s="471"/>
      <c r="YZ916" s="471"/>
      <c r="ZA916" s="471"/>
      <c r="ZB916" s="471"/>
      <c r="ZC916" s="471"/>
      <c r="ZD916" s="471"/>
      <c r="ZE916" s="471"/>
      <c r="ZF916" s="471"/>
      <c r="ZG916" s="471"/>
      <c r="ZH916" s="471"/>
      <c r="ZI916" s="471"/>
      <c r="ZJ916" s="471"/>
      <c r="ZK916" s="471"/>
      <c r="ZL916" s="471"/>
      <c r="ZM916" s="471"/>
      <c r="ZN916" s="471"/>
      <c r="ZO916" s="471"/>
      <c r="ZP916" s="471"/>
      <c r="ZQ916" s="471"/>
      <c r="ZR916" s="471"/>
      <c r="ZS916" s="471"/>
      <c r="ZT916" s="471"/>
      <c r="ZU916" s="471"/>
      <c r="ZV916" s="471"/>
      <c r="ZW916" s="471"/>
      <c r="ZX916" s="471"/>
      <c r="ZY916" s="471"/>
      <c r="ZZ916" s="471"/>
      <c r="AAA916" s="471"/>
      <c r="AAB916" s="471"/>
      <c r="AAC916" s="471"/>
      <c r="AAD916" s="471"/>
      <c r="AAE916" s="471"/>
      <c r="AAF916" s="471"/>
      <c r="AAG916" s="471"/>
      <c r="AAH916" s="471"/>
      <c r="AAI916" s="471"/>
      <c r="AAJ916" s="471"/>
      <c r="AAK916" s="471"/>
      <c r="AAL916" s="471"/>
      <c r="AAM916" s="471"/>
      <c r="AAN916" s="471"/>
      <c r="AAO916" s="471"/>
      <c r="AAP916" s="471"/>
      <c r="AAQ916" s="471"/>
      <c r="AAR916" s="471"/>
      <c r="AAS916" s="471"/>
      <c r="AAT916" s="471"/>
      <c r="AAU916" s="471"/>
      <c r="AAV916" s="471"/>
      <c r="AAW916" s="471"/>
      <c r="AAX916" s="471"/>
      <c r="AAY916" s="471"/>
      <c r="AAZ916" s="471"/>
      <c r="ABA916" s="471"/>
      <c r="ABB916" s="471"/>
      <c r="ABC916" s="471"/>
      <c r="ABD916" s="471"/>
      <c r="ABE916" s="471"/>
      <c r="ABF916" s="471"/>
      <c r="ABG916" s="471"/>
      <c r="ABH916" s="471"/>
      <c r="ABI916" s="471"/>
      <c r="ABJ916" s="471"/>
      <c r="ABK916" s="471"/>
      <c r="ABL916" s="471"/>
      <c r="ABM916" s="471"/>
      <c r="ABN916" s="471"/>
      <c r="ABO916" s="471"/>
      <c r="ABP916" s="471"/>
      <c r="ABQ916" s="471"/>
      <c r="ABR916" s="471"/>
      <c r="ABS916" s="471"/>
      <c r="ABT916" s="471"/>
      <c r="ABU916" s="471"/>
      <c r="ABV916" s="471"/>
      <c r="ABW916" s="471"/>
      <c r="ABX916" s="471"/>
      <c r="ABY916" s="471"/>
      <c r="ABZ916" s="471"/>
      <c r="ACA916" s="471"/>
      <c r="ACB916" s="471"/>
      <c r="ACC916" s="471"/>
      <c r="ACD916" s="471"/>
      <c r="ACE916" s="471"/>
      <c r="ACF916" s="471"/>
      <c r="ACG916" s="471"/>
      <c r="ACH916" s="471"/>
      <c r="ACI916" s="471"/>
      <c r="ACJ916" s="471"/>
      <c r="ACK916" s="471"/>
      <c r="ACL916" s="471"/>
      <c r="ACM916" s="471"/>
      <c r="ACN916" s="471"/>
      <c r="ACO916" s="471"/>
      <c r="ACP916" s="471"/>
      <c r="ACQ916" s="471"/>
      <c r="ACR916" s="471"/>
      <c r="ACS916" s="471"/>
      <c r="ACT916" s="471"/>
      <c r="ACU916" s="471"/>
      <c r="ACV916" s="471"/>
      <c r="ACW916" s="471"/>
      <c r="ACX916" s="471"/>
      <c r="ACY916" s="471"/>
      <c r="ACZ916" s="471"/>
      <c r="ADA916" s="471"/>
      <c r="ADB916" s="471"/>
      <c r="ADC916" s="471"/>
      <c r="ADD916" s="471"/>
      <c r="ADE916" s="471"/>
      <c r="ADF916" s="471"/>
      <c r="ADG916" s="471"/>
      <c r="ADH916" s="471"/>
      <c r="ADI916" s="471"/>
      <c r="ADJ916" s="471"/>
      <c r="ADK916" s="471"/>
      <c r="ADL916" s="471"/>
      <c r="ADM916" s="471"/>
      <c r="ADN916" s="471"/>
      <c r="ADO916" s="471"/>
      <c r="ADP916" s="471"/>
      <c r="ADQ916" s="471"/>
      <c r="ADR916" s="471"/>
      <c r="ADS916" s="471"/>
      <c r="ADT916" s="471"/>
      <c r="ADU916" s="471"/>
      <c r="ADV916" s="471"/>
      <c r="ADW916" s="471"/>
      <c r="ADX916" s="471"/>
      <c r="ADY916" s="471"/>
      <c r="ADZ916" s="471"/>
      <c r="AEA916" s="471"/>
      <c r="AEB916" s="471"/>
      <c r="AEC916" s="471"/>
      <c r="AED916" s="471"/>
      <c r="AEE916" s="471"/>
      <c r="AEF916" s="471"/>
      <c r="AEG916" s="471"/>
      <c r="AEH916" s="471"/>
      <c r="AEI916" s="471"/>
      <c r="AEJ916" s="471"/>
      <c r="AEK916" s="471"/>
      <c r="AEL916" s="471"/>
      <c r="AEM916" s="471"/>
      <c r="AEN916" s="471"/>
      <c r="AEO916" s="471"/>
      <c r="AEP916" s="471"/>
      <c r="AEQ916" s="471"/>
      <c r="AER916" s="471"/>
      <c r="AES916" s="471"/>
      <c r="AET916" s="471"/>
      <c r="AEU916" s="471"/>
      <c r="AEV916" s="471"/>
      <c r="AEW916" s="471"/>
      <c r="AEX916" s="471"/>
      <c r="AEY916" s="471"/>
      <c r="AEZ916" s="471"/>
      <c r="AFA916" s="471"/>
      <c r="AFB916" s="471"/>
      <c r="AFC916" s="471"/>
      <c r="AFD916" s="471"/>
      <c r="AFE916" s="471"/>
      <c r="AFF916" s="471"/>
      <c r="AFG916" s="471"/>
      <c r="AFH916" s="471"/>
      <c r="AFI916" s="471"/>
      <c r="AFJ916" s="471"/>
      <c r="AFK916" s="471"/>
      <c r="AFL916" s="471"/>
      <c r="AFM916" s="471"/>
      <c r="AFN916" s="471"/>
      <c r="AFO916" s="471"/>
      <c r="AFP916" s="471"/>
      <c r="AFQ916" s="471"/>
      <c r="AFR916" s="471"/>
      <c r="AFS916" s="471"/>
      <c r="AFT916" s="471"/>
      <c r="AFU916" s="471"/>
      <c r="AFV916" s="471"/>
      <c r="AFW916" s="471"/>
      <c r="AFX916" s="471"/>
      <c r="AFY916" s="471"/>
      <c r="AFZ916" s="471"/>
      <c r="AGA916" s="471"/>
      <c r="AGB916" s="471"/>
      <c r="AGC916" s="471"/>
      <c r="AGD916" s="471"/>
      <c r="AGE916" s="471"/>
      <c r="AGF916" s="471"/>
      <c r="AGG916" s="471"/>
      <c r="AGH916" s="471"/>
      <c r="AGI916" s="471"/>
      <c r="AGJ916" s="471"/>
      <c r="AGK916" s="471"/>
      <c r="AGL916" s="471"/>
      <c r="AGM916" s="471"/>
      <c r="AGN916" s="471"/>
      <c r="AGO916" s="471"/>
      <c r="AGP916" s="471"/>
      <c r="AGQ916" s="471"/>
      <c r="AGR916" s="471"/>
      <c r="AGS916" s="471"/>
      <c r="AGT916" s="471"/>
      <c r="AGU916" s="471"/>
      <c r="AGV916" s="471"/>
      <c r="AGW916" s="471"/>
      <c r="AGX916" s="471"/>
      <c r="AGY916" s="471"/>
      <c r="AGZ916" s="471"/>
      <c r="AHA916" s="471"/>
      <c r="AHB916" s="471"/>
      <c r="AHC916" s="471"/>
      <c r="AHD916" s="471"/>
      <c r="AHE916" s="471"/>
      <c r="AHF916" s="471"/>
      <c r="AHG916" s="471"/>
      <c r="AHH916" s="471"/>
      <c r="AHI916" s="471"/>
      <c r="AHJ916" s="471"/>
      <c r="AHK916" s="471"/>
      <c r="AHL916" s="471"/>
      <c r="AHM916" s="471"/>
      <c r="AHN916" s="471"/>
      <c r="AHO916" s="471"/>
      <c r="AHP916" s="471"/>
      <c r="AHQ916" s="471"/>
      <c r="AHR916" s="471"/>
      <c r="AHS916" s="471"/>
      <c r="AHT916" s="471"/>
      <c r="AHU916" s="471"/>
      <c r="AHV916" s="471"/>
      <c r="AHW916" s="471"/>
      <c r="AHX916" s="471"/>
      <c r="AHY916" s="471"/>
      <c r="AHZ916" s="471"/>
      <c r="AIA916" s="471"/>
      <c r="AIB916" s="471"/>
      <c r="AIC916" s="471"/>
      <c r="AID916" s="471"/>
      <c r="AIE916" s="471"/>
      <c r="AIF916" s="471"/>
      <c r="AIG916" s="471"/>
      <c r="AIH916" s="471"/>
      <c r="AII916" s="471"/>
      <c r="AIJ916" s="471"/>
      <c r="AIK916" s="471"/>
      <c r="AIL916" s="471"/>
      <c r="AIM916" s="471"/>
      <c r="AIN916" s="471"/>
      <c r="AIO916" s="471"/>
      <c r="AIP916" s="471"/>
      <c r="AIQ916" s="471"/>
      <c r="AIR916" s="471"/>
      <c r="AIS916" s="471"/>
      <c r="AIT916" s="471"/>
      <c r="AIU916" s="471"/>
      <c r="AIV916" s="471"/>
      <c r="AIW916" s="471"/>
      <c r="AIX916" s="471"/>
      <c r="AIY916" s="471"/>
      <c r="AIZ916" s="471"/>
      <c r="AJA916" s="471"/>
      <c r="AJB916" s="471"/>
      <c r="AJC916" s="471"/>
      <c r="AJD916" s="471"/>
      <c r="AJE916" s="471"/>
      <c r="AJF916" s="471"/>
      <c r="AJG916" s="471"/>
      <c r="AJH916" s="471"/>
      <c r="AJI916" s="471"/>
      <c r="AJJ916" s="471"/>
      <c r="AJK916" s="471"/>
      <c r="AJL916" s="471"/>
      <c r="AJM916" s="471"/>
      <c r="AJN916" s="471"/>
      <c r="AJO916" s="471"/>
      <c r="AJP916" s="471"/>
      <c r="AJQ916" s="471"/>
      <c r="AJR916" s="471"/>
      <c r="AJS916" s="471"/>
      <c r="AJT916" s="471"/>
      <c r="AJU916" s="471"/>
      <c r="AJV916" s="471"/>
      <c r="AJW916" s="471"/>
      <c r="AJX916" s="471"/>
      <c r="AJY916" s="471"/>
      <c r="AJZ916" s="471"/>
      <c r="AKA916" s="471"/>
      <c r="AKB916" s="471"/>
      <c r="AKC916" s="471"/>
      <c r="AKD916" s="471"/>
      <c r="AKE916" s="471"/>
      <c r="AKF916" s="471"/>
      <c r="AKG916" s="471"/>
      <c r="AKH916" s="471"/>
      <c r="AKI916" s="471"/>
      <c r="AKJ916" s="471"/>
      <c r="AKK916" s="471"/>
      <c r="AKL916" s="471"/>
      <c r="AKM916" s="471"/>
      <c r="AKN916" s="471"/>
      <c r="AKO916" s="471"/>
      <c r="AKP916" s="471"/>
      <c r="AKQ916" s="471"/>
      <c r="AKR916" s="471"/>
      <c r="AKS916" s="471"/>
      <c r="AKT916" s="471"/>
      <c r="AKU916" s="471"/>
      <c r="AKV916" s="471"/>
      <c r="AKW916" s="471"/>
      <c r="AKX916" s="471"/>
      <c r="AKY916" s="471"/>
      <c r="AKZ916" s="471"/>
      <c r="ALA916" s="471"/>
      <c r="ALB916" s="471"/>
      <c r="ALC916" s="471"/>
      <c r="ALD916" s="471"/>
      <c r="ALE916" s="471"/>
      <c r="ALF916" s="471"/>
      <c r="ALG916" s="471"/>
      <c r="ALH916" s="471"/>
      <c r="ALI916" s="471"/>
      <c r="ALJ916" s="471"/>
      <c r="ALK916" s="471"/>
      <c r="ALL916" s="471"/>
      <c r="ALM916" s="471"/>
      <c r="ALN916" s="471"/>
      <c r="ALO916" s="471"/>
      <c r="ALP916" s="471"/>
      <c r="ALQ916" s="471"/>
      <c r="ALR916" s="471"/>
      <c r="ALS916" s="471"/>
      <c r="ALT916" s="471"/>
      <c r="ALU916" s="471"/>
      <c r="ALV916" s="471"/>
      <c r="ALW916" s="471"/>
      <c r="ALX916" s="471"/>
      <c r="ALY916" s="471"/>
      <c r="ALZ916" s="471"/>
      <c r="AMA916" s="471"/>
      <c r="AMB916" s="471"/>
      <c r="AMC916" s="471"/>
      <c r="AMD916" s="471"/>
      <c r="AME916" s="471"/>
      <c r="AMF916" s="471"/>
      <c r="AMG916" s="471"/>
      <c r="AMH916" s="471"/>
      <c r="AMI916" s="471"/>
      <c r="AMJ916" s="471"/>
      <c r="AMK916" s="471"/>
      <c r="AML916" s="471"/>
      <c r="AMM916" s="471"/>
      <c r="AMN916" s="471"/>
      <c r="AMO916" s="471"/>
      <c r="AMP916" s="471"/>
      <c r="AMQ916" s="471"/>
      <c r="AMR916" s="471"/>
      <c r="AMS916" s="471"/>
      <c r="AMT916" s="471"/>
      <c r="AMU916" s="471"/>
      <c r="AMV916" s="471"/>
      <c r="AMW916" s="471"/>
      <c r="AMX916" s="471"/>
      <c r="AMY916" s="471"/>
      <c r="AMZ916" s="471"/>
      <c r="ANA916" s="471"/>
      <c r="ANB916" s="471"/>
      <c r="ANC916" s="471"/>
      <c r="AND916" s="471"/>
      <c r="ANE916" s="471"/>
      <c r="ANF916" s="471"/>
      <c r="ANG916" s="471"/>
      <c r="ANH916" s="471"/>
      <c r="ANI916" s="471"/>
      <c r="ANJ916" s="471"/>
      <c r="ANK916" s="471"/>
      <c r="ANL916" s="471"/>
      <c r="ANM916" s="471"/>
      <c r="ANN916" s="471"/>
      <c r="ANO916" s="471"/>
      <c r="ANP916" s="471"/>
      <c r="ANQ916" s="471"/>
      <c r="ANR916" s="471"/>
      <c r="ANS916" s="471"/>
      <c r="ANT916" s="471"/>
      <c r="ANU916" s="471"/>
      <c r="ANV916" s="471"/>
      <c r="ANW916" s="471"/>
      <c r="ANX916" s="471"/>
      <c r="ANY916" s="471"/>
      <c r="ANZ916" s="471"/>
      <c r="AOA916" s="471"/>
      <c r="AOB916" s="471"/>
      <c r="AOC916" s="471"/>
      <c r="AOD916" s="471"/>
      <c r="AOE916" s="471"/>
      <c r="AOF916" s="471"/>
      <c r="AOG916" s="471"/>
      <c r="AOH916" s="471"/>
      <c r="AOI916" s="471"/>
      <c r="AOJ916" s="471"/>
      <c r="AOK916" s="471"/>
      <c r="AOL916" s="471"/>
      <c r="AOM916" s="471"/>
      <c r="AON916" s="471"/>
      <c r="AOO916" s="471"/>
      <c r="AOP916" s="471"/>
      <c r="AOQ916" s="471"/>
      <c r="AOR916" s="471"/>
      <c r="AOS916" s="471"/>
      <c r="AOT916" s="471"/>
      <c r="AOU916" s="471"/>
      <c r="AOV916" s="471"/>
      <c r="AOW916" s="471"/>
      <c r="AOX916" s="471"/>
      <c r="AOY916" s="471"/>
      <c r="AOZ916" s="471"/>
      <c r="APA916" s="471"/>
      <c r="APB916" s="471"/>
      <c r="APC916" s="471"/>
      <c r="APD916" s="471"/>
      <c r="APE916" s="471"/>
      <c r="APF916" s="471"/>
      <c r="APG916" s="471"/>
      <c r="APH916" s="471"/>
      <c r="API916" s="471"/>
      <c r="APJ916" s="471"/>
      <c r="APK916" s="471"/>
      <c r="APL916" s="471"/>
      <c r="APM916" s="471"/>
      <c r="APN916" s="471"/>
      <c r="APO916" s="471"/>
      <c r="APP916" s="471"/>
      <c r="APQ916" s="471"/>
      <c r="APR916" s="471"/>
      <c r="APS916" s="471"/>
      <c r="APT916" s="471"/>
      <c r="APU916" s="471"/>
      <c r="APV916" s="471"/>
      <c r="APW916" s="471"/>
      <c r="APX916" s="471"/>
      <c r="APY916" s="471"/>
      <c r="APZ916" s="471"/>
      <c r="AQA916" s="471"/>
      <c r="AQB916" s="471"/>
      <c r="AQC916" s="471"/>
      <c r="AQD916" s="471"/>
      <c r="AQE916" s="471"/>
      <c r="AQF916" s="471"/>
      <c r="AQG916" s="471"/>
      <c r="AQH916" s="471"/>
      <c r="AQI916" s="471"/>
      <c r="AQJ916" s="471"/>
      <c r="AQK916" s="471"/>
      <c r="AQL916" s="471"/>
      <c r="AQM916" s="471"/>
      <c r="AQN916" s="471"/>
      <c r="AQO916" s="471"/>
      <c r="AQP916" s="471"/>
      <c r="AQQ916" s="471"/>
      <c r="AQR916" s="471"/>
      <c r="AQS916" s="471"/>
      <c r="AQT916" s="471"/>
      <c r="AQU916" s="471"/>
      <c r="AQV916" s="471"/>
      <c r="AQW916" s="471"/>
      <c r="AQX916" s="471"/>
      <c r="AQY916" s="471"/>
      <c r="AQZ916" s="471"/>
      <c r="ARA916" s="471"/>
      <c r="ARB916" s="471"/>
      <c r="ARC916" s="471"/>
      <c r="ARD916" s="471"/>
      <c r="ARE916" s="471"/>
      <c r="ARF916" s="471"/>
      <c r="ARG916" s="471"/>
      <c r="ARH916" s="471"/>
      <c r="ARI916" s="471"/>
      <c r="ARJ916" s="471"/>
      <c r="ARK916" s="471"/>
      <c r="ARL916" s="471"/>
      <c r="ARM916" s="471"/>
      <c r="ARN916" s="471"/>
      <c r="ARO916" s="471"/>
      <c r="ARP916" s="471"/>
      <c r="ARQ916" s="471"/>
      <c r="ARR916" s="471"/>
      <c r="ARS916" s="471"/>
      <c r="ART916" s="471"/>
      <c r="ARU916" s="471"/>
      <c r="ARV916" s="471"/>
      <c r="ARW916" s="471"/>
      <c r="ARX916" s="471"/>
      <c r="ARY916" s="471"/>
      <c r="ARZ916" s="471"/>
      <c r="ASA916" s="471"/>
      <c r="ASB916" s="471"/>
      <c r="ASC916" s="471"/>
      <c r="ASD916" s="471"/>
      <c r="ASE916" s="471"/>
      <c r="ASF916" s="471"/>
      <c r="ASG916" s="471"/>
      <c r="ASH916" s="471"/>
      <c r="ASI916" s="471"/>
      <c r="ASJ916" s="471"/>
      <c r="ASK916" s="471"/>
      <c r="ASL916" s="471"/>
      <c r="ASM916" s="471"/>
      <c r="ASN916" s="471"/>
      <c r="ASO916" s="471"/>
      <c r="ASP916" s="471"/>
      <c r="ASQ916" s="471"/>
      <c r="ASR916" s="471"/>
      <c r="ASS916" s="471"/>
      <c r="AST916" s="471"/>
      <c r="ASU916" s="471"/>
      <c r="ASV916" s="471"/>
      <c r="ASW916" s="471"/>
      <c r="ASX916" s="471"/>
      <c r="ASY916" s="471"/>
      <c r="ASZ916" s="471"/>
      <c r="ATA916" s="471"/>
      <c r="ATB916" s="471"/>
      <c r="ATC916" s="471"/>
      <c r="ATD916" s="471"/>
      <c r="ATE916" s="471"/>
      <c r="ATF916" s="471"/>
      <c r="ATG916" s="471"/>
      <c r="ATH916" s="471"/>
      <c r="ATI916" s="471"/>
      <c r="ATJ916" s="471"/>
      <c r="ATK916" s="471"/>
      <c r="ATL916" s="471"/>
      <c r="ATM916" s="471"/>
      <c r="ATN916" s="471"/>
      <c r="ATO916" s="471"/>
      <c r="ATP916" s="471"/>
      <c r="ATQ916" s="471"/>
      <c r="ATR916" s="471"/>
      <c r="ATS916" s="471"/>
      <c r="ATT916" s="471"/>
      <c r="ATU916" s="471"/>
      <c r="ATV916" s="471"/>
      <c r="ATW916" s="471"/>
      <c r="ATX916" s="471"/>
      <c r="ATY916" s="471"/>
      <c r="ATZ916" s="471"/>
      <c r="AUA916" s="471"/>
      <c r="AUB916" s="471"/>
      <c r="AUC916" s="471"/>
      <c r="AUD916" s="471"/>
      <c r="AUE916" s="471"/>
      <c r="AUF916" s="471"/>
      <c r="AUG916" s="471"/>
      <c r="AUH916" s="471"/>
      <c r="AUI916" s="471"/>
      <c r="AUJ916" s="471"/>
      <c r="AUK916" s="471"/>
      <c r="AUL916" s="471"/>
      <c r="AUM916" s="471"/>
      <c r="AUN916" s="471"/>
      <c r="AUO916" s="471"/>
      <c r="AUP916" s="471"/>
      <c r="AUQ916" s="471"/>
      <c r="AUR916" s="471"/>
      <c r="AUS916" s="471"/>
      <c r="AUT916" s="471"/>
      <c r="AUU916" s="471"/>
      <c r="AUV916" s="471"/>
      <c r="AUW916" s="471"/>
      <c r="AUX916" s="471"/>
      <c r="AUY916" s="471"/>
      <c r="AUZ916" s="471"/>
      <c r="AVA916" s="471"/>
      <c r="AVB916" s="471"/>
      <c r="AVC916" s="471"/>
      <c r="AVD916" s="471"/>
      <c r="AVE916" s="471"/>
      <c r="AVF916" s="471"/>
      <c r="AVG916" s="471"/>
      <c r="AVH916" s="471"/>
      <c r="AVI916" s="471"/>
      <c r="AVJ916" s="471"/>
      <c r="AVK916" s="471"/>
    </row>
    <row r="917" spans="1:1259" s="511" customFormat="1" ht="15" customHeight="1">
      <c r="A917" s="472"/>
      <c r="B917" s="472"/>
      <c r="C917" s="472"/>
      <c r="D917" s="512" t="s">
        <v>3186</v>
      </c>
      <c r="E917" s="512" t="s">
        <v>3044</v>
      </c>
      <c r="F917" s="501"/>
      <c r="G917" s="501"/>
      <c r="H917" s="524">
        <v>9</v>
      </c>
      <c r="I917" s="496" t="s">
        <v>1676</v>
      </c>
      <c r="J917" s="502"/>
      <c r="K917" s="502" t="s">
        <v>4879</v>
      </c>
      <c r="L917" s="502" t="s">
        <v>3278</v>
      </c>
      <c r="M917" s="502">
        <v>44550</v>
      </c>
      <c r="N917" s="502">
        <v>44715</v>
      </c>
      <c r="O917" s="504"/>
      <c r="P917" s="502"/>
      <c r="Q917" s="502"/>
      <c r="R917" s="502"/>
      <c r="S917" s="501" t="s">
        <v>2379</v>
      </c>
      <c r="T917" s="501">
        <v>60</v>
      </c>
      <c r="U917" s="501"/>
      <c r="V917" s="501" t="s">
        <v>973</v>
      </c>
      <c r="W917" s="501">
        <v>400</v>
      </c>
      <c r="X917" s="505">
        <v>320</v>
      </c>
      <c r="Y917" s="491">
        <f t="shared" si="130"/>
        <v>128000</v>
      </c>
      <c r="Z917" s="506">
        <v>0.53</v>
      </c>
      <c r="AA917" s="492">
        <f t="shared" si="134"/>
        <v>67840</v>
      </c>
      <c r="AB917" s="480"/>
      <c r="AC917" s="481">
        <f t="shared" si="131"/>
        <v>0</v>
      </c>
      <c r="AD917" s="508"/>
      <c r="AE917" s="507"/>
      <c r="AF917" s="493">
        <f t="shared" si="132"/>
        <v>67840</v>
      </c>
      <c r="AG917" s="501" t="s">
        <v>1071</v>
      </c>
      <c r="AH917" s="501"/>
      <c r="AI917" s="503">
        <v>60</v>
      </c>
      <c r="AJ917" s="501" t="s">
        <v>2426</v>
      </c>
      <c r="AK917" s="509" t="s">
        <v>1144</v>
      </c>
      <c r="AL917" s="501">
        <v>78217</v>
      </c>
      <c r="AM917" s="501" t="s">
        <v>52</v>
      </c>
      <c r="AN917" s="501"/>
      <c r="AO917" s="501"/>
      <c r="AP917" s="510"/>
      <c r="AQ917" s="510" t="s">
        <v>37</v>
      </c>
      <c r="AR917" s="510"/>
      <c r="AS917" s="495" t="s">
        <v>1152</v>
      </c>
      <c r="AT917" s="495" t="s">
        <v>1076</v>
      </c>
      <c r="AU917" s="495" t="s">
        <v>1076</v>
      </c>
      <c r="AV917" s="506">
        <v>0.53</v>
      </c>
      <c r="AW917" s="471"/>
      <c r="AX917" s="471"/>
      <c r="AY917" s="471"/>
      <c r="AZ917" s="471"/>
      <c r="BA917" s="471"/>
      <c r="BB917" s="471"/>
      <c r="BC917" s="471"/>
      <c r="BD917" s="471"/>
      <c r="BE917" s="471"/>
      <c r="BF917" s="471"/>
      <c r="BG917" s="471"/>
      <c r="BH917" s="471"/>
      <c r="BI917" s="471"/>
      <c r="BJ917" s="471"/>
      <c r="BK917" s="471"/>
      <c r="BL917" s="471"/>
      <c r="BM917" s="471"/>
      <c r="BN917" s="471"/>
      <c r="BO917" s="471"/>
      <c r="BP917" s="471"/>
      <c r="BQ917" s="471"/>
      <c r="BR917" s="471"/>
      <c r="BS917" s="471"/>
      <c r="BT917" s="471"/>
      <c r="BU917" s="471"/>
      <c r="BV917" s="471"/>
      <c r="BW917" s="471"/>
      <c r="BX917" s="471"/>
      <c r="BY917" s="471"/>
      <c r="BZ917" s="471"/>
      <c r="CA917" s="471"/>
      <c r="CB917" s="471"/>
      <c r="CC917" s="471"/>
      <c r="CD917" s="471"/>
      <c r="CE917" s="471"/>
      <c r="CF917" s="471"/>
      <c r="CG917" s="471"/>
      <c r="CH917" s="471"/>
      <c r="CI917" s="471"/>
      <c r="CJ917" s="471"/>
      <c r="CK917" s="471"/>
      <c r="CL917" s="471"/>
      <c r="CM917" s="471"/>
      <c r="CN917" s="471"/>
      <c r="CO917" s="471"/>
      <c r="CP917" s="471"/>
      <c r="CQ917" s="471"/>
      <c r="CR917" s="471"/>
      <c r="CS917" s="471"/>
      <c r="CT917" s="471"/>
      <c r="CU917" s="471"/>
      <c r="CV917" s="471"/>
      <c r="CW917" s="471"/>
      <c r="CX917" s="471"/>
      <c r="CY917" s="471"/>
      <c r="CZ917" s="471"/>
      <c r="DA917" s="471"/>
      <c r="DB917" s="471"/>
      <c r="DC917" s="471"/>
      <c r="DD917" s="471"/>
      <c r="DE917" s="471"/>
      <c r="DF917" s="471"/>
      <c r="DG917" s="471"/>
      <c r="DH917" s="471"/>
      <c r="DI917" s="471"/>
      <c r="DJ917" s="471"/>
      <c r="DK917" s="471"/>
      <c r="DL917" s="471"/>
      <c r="DM917" s="471"/>
      <c r="DN917" s="471"/>
      <c r="DO917" s="471"/>
      <c r="DP917" s="471"/>
      <c r="DQ917" s="471"/>
      <c r="DR917" s="471"/>
      <c r="DS917" s="471"/>
      <c r="DT917" s="471"/>
      <c r="DU917" s="471"/>
      <c r="DV917" s="471"/>
      <c r="DW917" s="471"/>
      <c r="DX917" s="471"/>
      <c r="DY917" s="471"/>
      <c r="DZ917" s="471"/>
      <c r="EA917" s="471"/>
      <c r="EB917" s="471"/>
      <c r="EC917" s="471"/>
      <c r="ED917" s="471"/>
      <c r="EE917" s="471"/>
      <c r="EF917" s="471"/>
      <c r="EG917" s="471"/>
      <c r="EH917" s="471"/>
      <c r="EI917" s="471"/>
      <c r="EJ917" s="471"/>
      <c r="EK917" s="471"/>
      <c r="EL917" s="471"/>
      <c r="EM917" s="471"/>
      <c r="EN917" s="471"/>
      <c r="EO917" s="471"/>
      <c r="EP917" s="471"/>
      <c r="EQ917" s="471"/>
      <c r="ER917" s="471"/>
      <c r="ES917" s="471"/>
      <c r="ET917" s="471"/>
      <c r="EU917" s="471"/>
      <c r="EV917" s="471"/>
      <c r="EW917" s="471"/>
      <c r="EX917" s="471"/>
      <c r="EY917" s="471"/>
      <c r="EZ917" s="471"/>
      <c r="FA917" s="471"/>
      <c r="FB917" s="471"/>
      <c r="FC917" s="471"/>
      <c r="FD917" s="471"/>
      <c r="FE917" s="471"/>
      <c r="FF917" s="471"/>
      <c r="FG917" s="471"/>
      <c r="FH917" s="471"/>
      <c r="FI917" s="471"/>
      <c r="FJ917" s="471"/>
      <c r="FK917" s="471"/>
      <c r="FL917" s="471"/>
      <c r="FM917" s="471"/>
      <c r="FN917" s="471"/>
      <c r="FO917" s="471"/>
      <c r="FP917" s="471"/>
      <c r="FQ917" s="471"/>
      <c r="FR917" s="471"/>
      <c r="FS917" s="471"/>
      <c r="FT917" s="471"/>
      <c r="FU917" s="471"/>
      <c r="FV917" s="471"/>
      <c r="FW917" s="471"/>
      <c r="FX917" s="471"/>
      <c r="FY917" s="471"/>
      <c r="FZ917" s="471"/>
      <c r="GA917" s="471"/>
      <c r="GB917" s="471"/>
      <c r="GC917" s="471"/>
      <c r="GD917" s="471"/>
      <c r="GE917" s="471"/>
      <c r="GF917" s="471"/>
      <c r="GG917" s="471"/>
      <c r="GH917" s="471"/>
      <c r="GI917" s="471"/>
      <c r="GJ917" s="471"/>
      <c r="GK917" s="471"/>
      <c r="GL917" s="471"/>
      <c r="GM917" s="471"/>
      <c r="GN917" s="471"/>
      <c r="GO917" s="471"/>
      <c r="GP917" s="471"/>
      <c r="GQ917" s="471"/>
      <c r="GR917" s="471"/>
      <c r="GS917" s="471"/>
      <c r="GT917" s="471"/>
      <c r="GU917" s="471"/>
      <c r="GV917" s="471"/>
      <c r="GW917" s="471"/>
      <c r="GX917" s="471"/>
      <c r="GY917" s="471"/>
      <c r="GZ917" s="471"/>
      <c r="HA917" s="471"/>
      <c r="HB917" s="471"/>
      <c r="HC917" s="471"/>
      <c r="HD917" s="471"/>
      <c r="HE917" s="471"/>
      <c r="HF917" s="471"/>
      <c r="HG917" s="471"/>
      <c r="HH917" s="471"/>
      <c r="HI917" s="471"/>
      <c r="HJ917" s="471"/>
      <c r="HK917" s="471"/>
      <c r="HL917" s="471"/>
      <c r="HM917" s="471"/>
      <c r="HN917" s="471"/>
      <c r="HO917" s="471"/>
      <c r="HP917" s="471"/>
      <c r="HQ917" s="471"/>
      <c r="HR917" s="471"/>
      <c r="HS917" s="471"/>
      <c r="HT917" s="471"/>
      <c r="HU917" s="471"/>
      <c r="HV917" s="471"/>
      <c r="HW917" s="471"/>
      <c r="HX917" s="471"/>
      <c r="HY917" s="471"/>
      <c r="HZ917" s="471"/>
      <c r="IA917" s="471"/>
      <c r="IB917" s="471"/>
      <c r="IC917" s="471"/>
      <c r="ID917" s="471"/>
      <c r="IE917" s="471"/>
      <c r="IF917" s="471"/>
      <c r="IG917" s="471"/>
      <c r="IH917" s="471"/>
      <c r="II917" s="471"/>
      <c r="IJ917" s="471"/>
      <c r="IK917" s="471"/>
      <c r="IL917" s="471"/>
      <c r="IM917" s="471"/>
      <c r="IN917" s="471"/>
      <c r="IO917" s="471"/>
      <c r="IP917" s="471"/>
      <c r="IQ917" s="471"/>
      <c r="IR917" s="471"/>
      <c r="IS917" s="471"/>
      <c r="IT917" s="471"/>
      <c r="IU917" s="471"/>
      <c r="IV917" s="471"/>
      <c r="IW917" s="471"/>
      <c r="IX917" s="471"/>
      <c r="IY917" s="471"/>
      <c r="IZ917" s="471"/>
      <c r="JA917" s="471"/>
      <c r="JB917" s="471"/>
      <c r="JC917" s="471"/>
      <c r="JD917" s="471"/>
      <c r="JE917" s="471"/>
      <c r="JF917" s="471"/>
      <c r="JG917" s="471"/>
      <c r="JH917" s="471"/>
      <c r="JI917" s="471"/>
      <c r="JJ917" s="471"/>
      <c r="JK917" s="471"/>
      <c r="JL917" s="471"/>
      <c r="JM917" s="471"/>
      <c r="JN917" s="471"/>
      <c r="JO917" s="471"/>
      <c r="JP917" s="471"/>
      <c r="JQ917" s="471"/>
      <c r="JR917" s="471"/>
      <c r="JS917" s="471"/>
      <c r="JT917" s="471"/>
      <c r="JU917" s="471"/>
      <c r="JV917" s="471"/>
      <c r="JW917" s="471"/>
      <c r="JX917" s="471"/>
      <c r="JY917" s="471"/>
      <c r="JZ917" s="471"/>
      <c r="KA917" s="471"/>
      <c r="KB917" s="471"/>
      <c r="KC917" s="471"/>
      <c r="KD917" s="471"/>
      <c r="KE917" s="471"/>
      <c r="KF917" s="471"/>
      <c r="KG917" s="471"/>
      <c r="KH917" s="471"/>
      <c r="KI917" s="471"/>
      <c r="KJ917" s="471"/>
      <c r="KK917" s="471"/>
      <c r="KL917" s="471"/>
      <c r="KM917" s="471"/>
      <c r="KN917" s="471"/>
      <c r="KO917" s="471"/>
      <c r="KP917" s="471"/>
      <c r="KQ917" s="471"/>
      <c r="KR917" s="471"/>
      <c r="KS917" s="471"/>
      <c r="KT917" s="471"/>
      <c r="KU917" s="471"/>
      <c r="KV917" s="471"/>
      <c r="KW917" s="471"/>
      <c r="KX917" s="471"/>
      <c r="KY917" s="471"/>
      <c r="KZ917" s="471"/>
      <c r="LA917" s="471"/>
      <c r="LB917" s="471"/>
      <c r="LC917" s="471"/>
      <c r="LD917" s="471"/>
      <c r="LE917" s="471"/>
      <c r="LF917" s="471"/>
      <c r="LG917" s="471"/>
      <c r="LH917" s="471"/>
      <c r="LI917" s="471"/>
      <c r="LJ917" s="471"/>
      <c r="LK917" s="471"/>
      <c r="LL917" s="471"/>
      <c r="LM917" s="471"/>
      <c r="LN917" s="471"/>
      <c r="LO917" s="471"/>
      <c r="LP917" s="471"/>
      <c r="LQ917" s="471"/>
      <c r="LR917" s="471"/>
      <c r="LS917" s="471"/>
      <c r="LT917" s="471"/>
      <c r="LU917" s="471"/>
      <c r="LV917" s="471"/>
      <c r="LW917" s="471"/>
      <c r="LX917" s="471"/>
      <c r="LY917" s="471"/>
      <c r="LZ917" s="471"/>
      <c r="MA917" s="471"/>
      <c r="MB917" s="471"/>
      <c r="MC917" s="471"/>
      <c r="MD917" s="471"/>
      <c r="ME917" s="471"/>
      <c r="MF917" s="471"/>
      <c r="MG917" s="471"/>
      <c r="MH917" s="471"/>
      <c r="MI917" s="471"/>
      <c r="MJ917" s="471"/>
      <c r="MK917" s="471"/>
      <c r="ML917" s="471"/>
      <c r="MM917" s="471"/>
      <c r="MN917" s="471"/>
      <c r="MO917" s="471"/>
      <c r="MP917" s="471"/>
      <c r="MQ917" s="471"/>
      <c r="MR917" s="471"/>
      <c r="MS917" s="471"/>
      <c r="MT917" s="471"/>
      <c r="MU917" s="471"/>
      <c r="MV917" s="471"/>
      <c r="MW917" s="471"/>
      <c r="MX917" s="471"/>
      <c r="MY917" s="471"/>
      <c r="MZ917" s="471"/>
      <c r="NA917" s="471"/>
      <c r="NB917" s="471"/>
      <c r="NC917" s="471"/>
      <c r="ND917" s="471"/>
      <c r="NE917" s="471"/>
      <c r="NF917" s="471"/>
      <c r="NG917" s="471"/>
      <c r="NH917" s="471"/>
      <c r="NI917" s="471"/>
      <c r="NJ917" s="471"/>
      <c r="NK917" s="471"/>
      <c r="NL917" s="471"/>
      <c r="NM917" s="471"/>
      <c r="NN917" s="471"/>
      <c r="NO917" s="471"/>
      <c r="NP917" s="471"/>
      <c r="NQ917" s="471"/>
      <c r="NR917" s="471"/>
      <c r="NS917" s="471"/>
      <c r="NT917" s="471"/>
      <c r="NU917" s="471"/>
      <c r="NV917" s="471"/>
      <c r="NW917" s="471"/>
      <c r="NX917" s="471"/>
      <c r="NY917" s="471"/>
      <c r="NZ917" s="471"/>
      <c r="OA917" s="471"/>
      <c r="OB917" s="471"/>
      <c r="OC917" s="471"/>
      <c r="OD917" s="471"/>
      <c r="OE917" s="471"/>
      <c r="OF917" s="471"/>
      <c r="OG917" s="471"/>
      <c r="OH917" s="471"/>
      <c r="OI917" s="471"/>
      <c r="OJ917" s="471"/>
      <c r="OK917" s="471"/>
      <c r="OL917" s="471"/>
      <c r="OM917" s="471"/>
      <c r="ON917" s="471"/>
      <c r="OO917" s="471"/>
      <c r="OP917" s="471"/>
      <c r="OQ917" s="471"/>
      <c r="OR917" s="471"/>
      <c r="OS917" s="471"/>
      <c r="OT917" s="471"/>
      <c r="OU917" s="471"/>
      <c r="OV917" s="471"/>
      <c r="OW917" s="471"/>
      <c r="OX917" s="471"/>
      <c r="OY917" s="471"/>
      <c r="OZ917" s="471"/>
      <c r="PA917" s="471"/>
      <c r="PB917" s="471"/>
      <c r="PC917" s="471"/>
      <c r="PD917" s="471"/>
      <c r="PE917" s="471"/>
      <c r="PF917" s="471"/>
      <c r="PG917" s="471"/>
      <c r="PH917" s="471"/>
      <c r="PI917" s="471"/>
      <c r="PJ917" s="471"/>
      <c r="PK917" s="471"/>
      <c r="PL917" s="471"/>
      <c r="PM917" s="471"/>
      <c r="PN917" s="471"/>
      <c r="PO917" s="471"/>
      <c r="PP917" s="471"/>
      <c r="PQ917" s="471"/>
      <c r="PR917" s="471"/>
      <c r="PS917" s="471"/>
      <c r="PT917" s="471"/>
      <c r="PU917" s="471"/>
      <c r="PV917" s="471"/>
      <c r="PW917" s="471"/>
      <c r="PX917" s="471"/>
      <c r="PY917" s="471"/>
      <c r="PZ917" s="471"/>
      <c r="QA917" s="471"/>
      <c r="QB917" s="471"/>
      <c r="QC917" s="471"/>
      <c r="QD917" s="471"/>
      <c r="QE917" s="471"/>
      <c r="QF917" s="471"/>
      <c r="QG917" s="471"/>
      <c r="QH917" s="471"/>
      <c r="QI917" s="471"/>
      <c r="QJ917" s="471"/>
      <c r="QK917" s="471"/>
      <c r="QL917" s="471"/>
      <c r="QM917" s="471"/>
      <c r="QN917" s="471"/>
      <c r="QO917" s="471"/>
      <c r="QP917" s="471"/>
      <c r="QQ917" s="471"/>
      <c r="QR917" s="471"/>
      <c r="QS917" s="471"/>
      <c r="QT917" s="471"/>
      <c r="QU917" s="471"/>
      <c r="QV917" s="471"/>
      <c r="QW917" s="471"/>
      <c r="QX917" s="471"/>
      <c r="QY917" s="471"/>
      <c r="QZ917" s="471"/>
      <c r="RA917" s="471"/>
      <c r="RB917" s="471"/>
      <c r="RC917" s="471"/>
      <c r="RD917" s="471"/>
      <c r="RE917" s="471"/>
      <c r="RF917" s="471"/>
      <c r="RG917" s="471"/>
      <c r="RH917" s="471"/>
      <c r="RI917" s="471"/>
      <c r="RJ917" s="471"/>
      <c r="RK917" s="471"/>
      <c r="RL917" s="471"/>
      <c r="RM917" s="471"/>
      <c r="RN917" s="471"/>
      <c r="RO917" s="471"/>
      <c r="RP917" s="471"/>
      <c r="RQ917" s="471"/>
      <c r="RR917" s="471"/>
      <c r="RS917" s="471"/>
      <c r="RT917" s="471"/>
      <c r="RU917" s="471"/>
      <c r="RV917" s="471"/>
      <c r="RW917" s="471"/>
      <c r="RX917" s="471"/>
      <c r="RY917" s="471"/>
      <c r="RZ917" s="471"/>
      <c r="SA917" s="471"/>
      <c r="SB917" s="471"/>
      <c r="SC917" s="471"/>
      <c r="SD917" s="471"/>
      <c r="SE917" s="471"/>
      <c r="SF917" s="471"/>
      <c r="SG917" s="471"/>
      <c r="SH917" s="471"/>
      <c r="SI917" s="471"/>
      <c r="SJ917" s="471"/>
      <c r="SK917" s="471"/>
      <c r="SL917" s="471"/>
      <c r="SM917" s="471"/>
      <c r="SN917" s="471"/>
      <c r="SO917" s="471"/>
      <c r="SP917" s="471"/>
      <c r="SQ917" s="471"/>
      <c r="SR917" s="471"/>
      <c r="SS917" s="471"/>
      <c r="ST917" s="471"/>
      <c r="SU917" s="471"/>
      <c r="SV917" s="471"/>
      <c r="SW917" s="471"/>
      <c r="SX917" s="471"/>
      <c r="SY917" s="471"/>
      <c r="SZ917" s="471"/>
      <c r="TA917" s="471"/>
      <c r="TB917" s="471"/>
      <c r="TC917" s="471"/>
      <c r="TD917" s="471"/>
      <c r="TE917" s="471"/>
      <c r="TF917" s="471"/>
      <c r="TG917" s="471"/>
      <c r="TH917" s="471"/>
      <c r="TI917" s="471"/>
      <c r="TJ917" s="471"/>
      <c r="TK917" s="471"/>
      <c r="TL917" s="471"/>
      <c r="TM917" s="471"/>
      <c r="TN917" s="471"/>
      <c r="TO917" s="471"/>
      <c r="TP917" s="471"/>
      <c r="TQ917" s="471"/>
      <c r="TR917" s="471"/>
      <c r="TS917" s="471"/>
      <c r="TT917" s="471"/>
      <c r="TU917" s="471"/>
      <c r="TV917" s="471"/>
      <c r="TW917" s="471"/>
      <c r="TX917" s="471"/>
      <c r="TY917" s="471"/>
      <c r="TZ917" s="471"/>
      <c r="UA917" s="471"/>
      <c r="UB917" s="471"/>
      <c r="UC917" s="471"/>
      <c r="UD917" s="471"/>
      <c r="UE917" s="471"/>
      <c r="UF917" s="471"/>
      <c r="UG917" s="471"/>
      <c r="UH917" s="471"/>
      <c r="UI917" s="471"/>
      <c r="UJ917" s="471"/>
      <c r="UK917" s="471"/>
      <c r="UL917" s="471"/>
      <c r="UM917" s="471"/>
      <c r="UN917" s="471"/>
      <c r="UO917" s="471"/>
      <c r="UP917" s="471"/>
      <c r="UQ917" s="471"/>
      <c r="UR917" s="471"/>
      <c r="US917" s="471"/>
      <c r="UT917" s="471"/>
      <c r="UU917" s="471"/>
      <c r="UV917" s="471"/>
      <c r="UW917" s="471"/>
      <c r="UX917" s="471"/>
      <c r="UY917" s="471"/>
      <c r="UZ917" s="471"/>
      <c r="VA917" s="471"/>
      <c r="VB917" s="471"/>
      <c r="VC917" s="471"/>
      <c r="VD917" s="471"/>
      <c r="VE917" s="471"/>
      <c r="VF917" s="471"/>
      <c r="VG917" s="471"/>
      <c r="VH917" s="471"/>
      <c r="VI917" s="471"/>
      <c r="VJ917" s="471"/>
      <c r="VK917" s="471"/>
      <c r="VL917" s="471"/>
      <c r="VM917" s="471"/>
      <c r="VN917" s="471"/>
      <c r="VO917" s="471"/>
      <c r="VP917" s="471"/>
      <c r="VQ917" s="471"/>
      <c r="VR917" s="471"/>
      <c r="VS917" s="471"/>
      <c r="VT917" s="471"/>
      <c r="VU917" s="471"/>
      <c r="VV917" s="471"/>
      <c r="VW917" s="471"/>
      <c r="VX917" s="471"/>
      <c r="VY917" s="471"/>
      <c r="VZ917" s="471"/>
      <c r="WA917" s="471"/>
      <c r="WB917" s="471"/>
      <c r="WC917" s="471"/>
      <c r="WD917" s="471"/>
      <c r="WE917" s="471"/>
      <c r="WF917" s="471"/>
      <c r="WG917" s="471"/>
      <c r="WH917" s="471"/>
      <c r="WI917" s="471"/>
      <c r="WJ917" s="471"/>
      <c r="WK917" s="471"/>
      <c r="WL917" s="471"/>
      <c r="WM917" s="471"/>
      <c r="WN917" s="471"/>
      <c r="WO917" s="471"/>
      <c r="WP917" s="471"/>
      <c r="WQ917" s="471"/>
      <c r="WR917" s="471"/>
      <c r="WS917" s="471"/>
      <c r="WT917" s="471"/>
      <c r="WU917" s="471"/>
      <c r="WV917" s="471"/>
      <c r="WW917" s="471"/>
      <c r="WX917" s="471"/>
      <c r="WY917" s="471"/>
      <c r="WZ917" s="471"/>
      <c r="XA917" s="471"/>
      <c r="XB917" s="471"/>
      <c r="XC917" s="471"/>
      <c r="XD917" s="471"/>
      <c r="XE917" s="471"/>
      <c r="XF917" s="471"/>
      <c r="XG917" s="471"/>
      <c r="XH917" s="471"/>
      <c r="XI917" s="471"/>
      <c r="XJ917" s="471"/>
      <c r="XK917" s="471"/>
      <c r="XL917" s="471"/>
      <c r="XM917" s="471"/>
      <c r="XN917" s="471"/>
      <c r="XO917" s="471"/>
      <c r="XP917" s="471"/>
      <c r="XQ917" s="471"/>
      <c r="XR917" s="471"/>
      <c r="XS917" s="471"/>
      <c r="XT917" s="471"/>
      <c r="XU917" s="471"/>
      <c r="XV917" s="471"/>
      <c r="XW917" s="471"/>
      <c r="XX917" s="471"/>
      <c r="XY917" s="471"/>
      <c r="XZ917" s="471"/>
      <c r="YA917" s="471"/>
      <c r="YB917" s="471"/>
      <c r="YC917" s="471"/>
      <c r="YD917" s="471"/>
      <c r="YE917" s="471"/>
      <c r="YF917" s="471"/>
      <c r="YG917" s="471"/>
      <c r="YH917" s="471"/>
      <c r="YI917" s="471"/>
      <c r="YJ917" s="471"/>
      <c r="YK917" s="471"/>
      <c r="YL917" s="471"/>
      <c r="YM917" s="471"/>
      <c r="YN917" s="471"/>
      <c r="YO917" s="471"/>
      <c r="YP917" s="471"/>
      <c r="YQ917" s="471"/>
      <c r="YR917" s="471"/>
      <c r="YS917" s="471"/>
      <c r="YT917" s="471"/>
      <c r="YU917" s="471"/>
      <c r="YV917" s="471"/>
      <c r="YW917" s="471"/>
      <c r="YX917" s="471"/>
      <c r="YY917" s="471"/>
      <c r="YZ917" s="471"/>
      <c r="ZA917" s="471"/>
      <c r="ZB917" s="471"/>
      <c r="ZC917" s="471"/>
      <c r="ZD917" s="471"/>
      <c r="ZE917" s="471"/>
      <c r="ZF917" s="471"/>
      <c r="ZG917" s="471"/>
      <c r="ZH917" s="471"/>
      <c r="ZI917" s="471"/>
      <c r="ZJ917" s="471"/>
      <c r="ZK917" s="471"/>
      <c r="ZL917" s="471"/>
      <c r="ZM917" s="471"/>
      <c r="ZN917" s="471"/>
      <c r="ZO917" s="471"/>
      <c r="ZP917" s="471"/>
      <c r="ZQ917" s="471"/>
      <c r="ZR917" s="471"/>
      <c r="ZS917" s="471"/>
      <c r="ZT917" s="471"/>
      <c r="ZU917" s="471"/>
      <c r="ZV917" s="471"/>
      <c r="ZW917" s="471"/>
      <c r="ZX917" s="471"/>
      <c r="ZY917" s="471"/>
      <c r="ZZ917" s="471"/>
      <c r="AAA917" s="471"/>
      <c r="AAB917" s="471"/>
      <c r="AAC917" s="471"/>
      <c r="AAD917" s="471"/>
      <c r="AAE917" s="471"/>
      <c r="AAF917" s="471"/>
      <c r="AAG917" s="471"/>
      <c r="AAH917" s="471"/>
      <c r="AAI917" s="471"/>
      <c r="AAJ917" s="471"/>
      <c r="AAK917" s="471"/>
      <c r="AAL917" s="471"/>
      <c r="AAM917" s="471"/>
      <c r="AAN917" s="471"/>
      <c r="AAO917" s="471"/>
      <c r="AAP917" s="471"/>
      <c r="AAQ917" s="471"/>
      <c r="AAR917" s="471"/>
      <c r="AAS917" s="471"/>
      <c r="AAT917" s="471"/>
      <c r="AAU917" s="471"/>
      <c r="AAV917" s="471"/>
      <c r="AAW917" s="471"/>
      <c r="AAX917" s="471"/>
      <c r="AAY917" s="471"/>
      <c r="AAZ917" s="471"/>
      <c r="ABA917" s="471"/>
      <c r="ABB917" s="471"/>
      <c r="ABC917" s="471"/>
      <c r="ABD917" s="471"/>
      <c r="ABE917" s="471"/>
      <c r="ABF917" s="471"/>
      <c r="ABG917" s="471"/>
      <c r="ABH917" s="471"/>
      <c r="ABI917" s="471"/>
      <c r="ABJ917" s="471"/>
      <c r="ABK917" s="471"/>
      <c r="ABL917" s="471"/>
      <c r="ABM917" s="471"/>
      <c r="ABN917" s="471"/>
      <c r="ABO917" s="471"/>
      <c r="ABP917" s="471"/>
      <c r="ABQ917" s="471"/>
      <c r="ABR917" s="471"/>
      <c r="ABS917" s="471"/>
      <c r="ABT917" s="471"/>
      <c r="ABU917" s="471"/>
      <c r="ABV917" s="471"/>
      <c r="ABW917" s="471"/>
      <c r="ABX917" s="471"/>
      <c r="ABY917" s="471"/>
      <c r="ABZ917" s="471"/>
      <c r="ACA917" s="471"/>
      <c r="ACB917" s="471"/>
      <c r="ACC917" s="471"/>
      <c r="ACD917" s="471"/>
      <c r="ACE917" s="471"/>
      <c r="ACF917" s="471"/>
      <c r="ACG917" s="471"/>
      <c r="ACH917" s="471"/>
      <c r="ACI917" s="471"/>
      <c r="ACJ917" s="471"/>
      <c r="ACK917" s="471"/>
      <c r="ACL917" s="471"/>
      <c r="ACM917" s="471"/>
      <c r="ACN917" s="471"/>
      <c r="ACO917" s="471"/>
      <c r="ACP917" s="471"/>
      <c r="ACQ917" s="471"/>
      <c r="ACR917" s="471"/>
      <c r="ACS917" s="471"/>
      <c r="ACT917" s="471"/>
      <c r="ACU917" s="471"/>
      <c r="ACV917" s="471"/>
      <c r="ACW917" s="471"/>
      <c r="ACX917" s="471"/>
      <c r="ACY917" s="471"/>
      <c r="ACZ917" s="471"/>
      <c r="ADA917" s="471"/>
      <c r="ADB917" s="471"/>
      <c r="ADC917" s="471"/>
      <c r="ADD917" s="471"/>
      <c r="ADE917" s="471"/>
      <c r="ADF917" s="471"/>
      <c r="ADG917" s="471"/>
      <c r="ADH917" s="471"/>
      <c r="ADI917" s="471"/>
      <c r="ADJ917" s="471"/>
      <c r="ADK917" s="471"/>
      <c r="ADL917" s="471"/>
      <c r="ADM917" s="471"/>
      <c r="ADN917" s="471"/>
      <c r="ADO917" s="471"/>
      <c r="ADP917" s="471"/>
      <c r="ADQ917" s="471"/>
      <c r="ADR917" s="471"/>
      <c r="ADS917" s="471"/>
      <c r="ADT917" s="471"/>
      <c r="ADU917" s="471"/>
      <c r="ADV917" s="471"/>
      <c r="ADW917" s="471"/>
      <c r="ADX917" s="471"/>
      <c r="ADY917" s="471"/>
      <c r="ADZ917" s="471"/>
      <c r="AEA917" s="471"/>
      <c r="AEB917" s="471"/>
      <c r="AEC917" s="471"/>
      <c r="AED917" s="471"/>
      <c r="AEE917" s="471"/>
      <c r="AEF917" s="471"/>
      <c r="AEG917" s="471"/>
      <c r="AEH917" s="471"/>
      <c r="AEI917" s="471"/>
      <c r="AEJ917" s="471"/>
      <c r="AEK917" s="471"/>
      <c r="AEL917" s="471"/>
      <c r="AEM917" s="471"/>
      <c r="AEN917" s="471"/>
      <c r="AEO917" s="471"/>
      <c r="AEP917" s="471"/>
      <c r="AEQ917" s="471"/>
      <c r="AER917" s="471"/>
      <c r="AES917" s="471"/>
      <c r="AET917" s="471"/>
      <c r="AEU917" s="471"/>
      <c r="AEV917" s="471"/>
      <c r="AEW917" s="471"/>
      <c r="AEX917" s="471"/>
      <c r="AEY917" s="471"/>
      <c r="AEZ917" s="471"/>
      <c r="AFA917" s="471"/>
      <c r="AFB917" s="471"/>
      <c r="AFC917" s="471"/>
      <c r="AFD917" s="471"/>
      <c r="AFE917" s="471"/>
      <c r="AFF917" s="471"/>
      <c r="AFG917" s="471"/>
      <c r="AFH917" s="471"/>
      <c r="AFI917" s="471"/>
      <c r="AFJ917" s="471"/>
      <c r="AFK917" s="471"/>
      <c r="AFL917" s="471"/>
      <c r="AFM917" s="471"/>
      <c r="AFN917" s="471"/>
      <c r="AFO917" s="471"/>
      <c r="AFP917" s="471"/>
      <c r="AFQ917" s="471"/>
      <c r="AFR917" s="471"/>
      <c r="AFS917" s="471"/>
      <c r="AFT917" s="471"/>
      <c r="AFU917" s="471"/>
      <c r="AFV917" s="471"/>
      <c r="AFW917" s="471"/>
      <c r="AFX917" s="471"/>
      <c r="AFY917" s="471"/>
      <c r="AFZ917" s="471"/>
      <c r="AGA917" s="471"/>
      <c r="AGB917" s="471"/>
      <c r="AGC917" s="471"/>
      <c r="AGD917" s="471"/>
      <c r="AGE917" s="471"/>
      <c r="AGF917" s="471"/>
      <c r="AGG917" s="471"/>
      <c r="AGH917" s="471"/>
      <c r="AGI917" s="471"/>
      <c r="AGJ917" s="471"/>
      <c r="AGK917" s="471"/>
      <c r="AGL917" s="471"/>
      <c r="AGM917" s="471"/>
      <c r="AGN917" s="471"/>
      <c r="AGO917" s="471"/>
      <c r="AGP917" s="471"/>
      <c r="AGQ917" s="471"/>
      <c r="AGR917" s="471"/>
      <c r="AGS917" s="471"/>
      <c r="AGT917" s="471"/>
      <c r="AGU917" s="471"/>
      <c r="AGV917" s="471"/>
      <c r="AGW917" s="471"/>
      <c r="AGX917" s="471"/>
      <c r="AGY917" s="471"/>
      <c r="AGZ917" s="471"/>
      <c r="AHA917" s="471"/>
      <c r="AHB917" s="471"/>
      <c r="AHC917" s="471"/>
      <c r="AHD917" s="471"/>
      <c r="AHE917" s="471"/>
      <c r="AHF917" s="471"/>
      <c r="AHG917" s="471"/>
      <c r="AHH917" s="471"/>
      <c r="AHI917" s="471"/>
      <c r="AHJ917" s="471"/>
      <c r="AHK917" s="471"/>
      <c r="AHL917" s="471"/>
      <c r="AHM917" s="471"/>
      <c r="AHN917" s="471"/>
      <c r="AHO917" s="471"/>
      <c r="AHP917" s="471"/>
      <c r="AHQ917" s="471"/>
      <c r="AHR917" s="471"/>
      <c r="AHS917" s="471"/>
      <c r="AHT917" s="471"/>
      <c r="AHU917" s="471"/>
      <c r="AHV917" s="471"/>
      <c r="AHW917" s="471"/>
      <c r="AHX917" s="471"/>
      <c r="AHY917" s="471"/>
      <c r="AHZ917" s="471"/>
      <c r="AIA917" s="471"/>
      <c r="AIB917" s="471"/>
      <c r="AIC917" s="471"/>
      <c r="AID917" s="471"/>
      <c r="AIE917" s="471"/>
      <c r="AIF917" s="471"/>
      <c r="AIG917" s="471"/>
      <c r="AIH917" s="471"/>
      <c r="AII917" s="471"/>
      <c r="AIJ917" s="471"/>
      <c r="AIK917" s="471"/>
      <c r="AIL917" s="471"/>
      <c r="AIM917" s="471"/>
      <c r="AIN917" s="471"/>
      <c r="AIO917" s="471"/>
      <c r="AIP917" s="471"/>
      <c r="AIQ917" s="471"/>
      <c r="AIR917" s="471"/>
      <c r="AIS917" s="471"/>
      <c r="AIT917" s="471"/>
      <c r="AIU917" s="471"/>
      <c r="AIV917" s="471"/>
      <c r="AIW917" s="471"/>
      <c r="AIX917" s="471"/>
      <c r="AIY917" s="471"/>
      <c r="AIZ917" s="471"/>
      <c r="AJA917" s="471"/>
      <c r="AJB917" s="471"/>
      <c r="AJC917" s="471"/>
      <c r="AJD917" s="471"/>
      <c r="AJE917" s="471"/>
      <c r="AJF917" s="471"/>
      <c r="AJG917" s="471"/>
      <c r="AJH917" s="471"/>
      <c r="AJI917" s="471"/>
      <c r="AJJ917" s="471"/>
      <c r="AJK917" s="471"/>
      <c r="AJL917" s="471"/>
      <c r="AJM917" s="471"/>
      <c r="AJN917" s="471"/>
      <c r="AJO917" s="471"/>
      <c r="AJP917" s="471"/>
      <c r="AJQ917" s="471"/>
      <c r="AJR917" s="471"/>
      <c r="AJS917" s="471"/>
      <c r="AJT917" s="471"/>
      <c r="AJU917" s="471"/>
      <c r="AJV917" s="471"/>
      <c r="AJW917" s="471"/>
      <c r="AJX917" s="471"/>
      <c r="AJY917" s="471"/>
      <c r="AJZ917" s="471"/>
      <c r="AKA917" s="471"/>
      <c r="AKB917" s="471"/>
      <c r="AKC917" s="471"/>
      <c r="AKD917" s="471"/>
      <c r="AKE917" s="471"/>
      <c r="AKF917" s="471"/>
      <c r="AKG917" s="471"/>
      <c r="AKH917" s="471"/>
      <c r="AKI917" s="471"/>
      <c r="AKJ917" s="471"/>
      <c r="AKK917" s="471"/>
      <c r="AKL917" s="471"/>
      <c r="AKM917" s="471"/>
      <c r="AKN917" s="471"/>
      <c r="AKO917" s="471"/>
      <c r="AKP917" s="471"/>
      <c r="AKQ917" s="471"/>
      <c r="AKR917" s="471"/>
      <c r="AKS917" s="471"/>
      <c r="AKT917" s="471"/>
      <c r="AKU917" s="471"/>
      <c r="AKV917" s="471"/>
      <c r="AKW917" s="471"/>
      <c r="AKX917" s="471"/>
      <c r="AKY917" s="471"/>
      <c r="AKZ917" s="471"/>
      <c r="ALA917" s="471"/>
      <c r="ALB917" s="471"/>
      <c r="ALC917" s="471"/>
      <c r="ALD917" s="471"/>
      <c r="ALE917" s="471"/>
      <c r="ALF917" s="471"/>
      <c r="ALG917" s="471"/>
      <c r="ALH917" s="471"/>
      <c r="ALI917" s="471"/>
      <c r="ALJ917" s="471"/>
      <c r="ALK917" s="471"/>
      <c r="ALL917" s="471"/>
      <c r="ALM917" s="471"/>
      <c r="ALN917" s="471"/>
      <c r="ALO917" s="471"/>
      <c r="ALP917" s="471"/>
      <c r="ALQ917" s="471"/>
      <c r="ALR917" s="471"/>
      <c r="ALS917" s="471"/>
      <c r="ALT917" s="471"/>
      <c r="ALU917" s="471"/>
      <c r="ALV917" s="471"/>
      <c r="ALW917" s="471"/>
      <c r="ALX917" s="471"/>
      <c r="ALY917" s="471"/>
      <c r="ALZ917" s="471"/>
      <c r="AMA917" s="471"/>
      <c r="AMB917" s="471"/>
      <c r="AMC917" s="471"/>
      <c r="AMD917" s="471"/>
      <c r="AME917" s="471"/>
      <c r="AMF917" s="471"/>
      <c r="AMG917" s="471"/>
      <c r="AMH917" s="471"/>
      <c r="AMI917" s="471"/>
      <c r="AMJ917" s="471"/>
      <c r="AMK917" s="471"/>
      <c r="AML917" s="471"/>
      <c r="AMM917" s="471"/>
      <c r="AMN917" s="471"/>
      <c r="AMO917" s="471"/>
      <c r="AMP917" s="471"/>
      <c r="AMQ917" s="471"/>
      <c r="AMR917" s="471"/>
      <c r="AMS917" s="471"/>
      <c r="AMT917" s="471"/>
      <c r="AMU917" s="471"/>
      <c r="AMV917" s="471"/>
      <c r="AMW917" s="471"/>
      <c r="AMX917" s="471"/>
      <c r="AMY917" s="471"/>
      <c r="AMZ917" s="471"/>
      <c r="ANA917" s="471"/>
      <c r="ANB917" s="471"/>
      <c r="ANC917" s="471"/>
      <c r="AND917" s="471"/>
      <c r="ANE917" s="471"/>
      <c r="ANF917" s="471"/>
      <c r="ANG917" s="471"/>
      <c r="ANH917" s="471"/>
      <c r="ANI917" s="471"/>
      <c r="ANJ917" s="471"/>
      <c r="ANK917" s="471"/>
      <c r="ANL917" s="471"/>
      <c r="ANM917" s="471"/>
      <c r="ANN917" s="471"/>
      <c r="ANO917" s="471"/>
      <c r="ANP917" s="471"/>
      <c r="ANQ917" s="471"/>
      <c r="ANR917" s="471"/>
      <c r="ANS917" s="471"/>
      <c r="ANT917" s="471"/>
      <c r="ANU917" s="471"/>
      <c r="ANV917" s="471"/>
      <c r="ANW917" s="471"/>
      <c r="ANX917" s="471"/>
      <c r="ANY917" s="471"/>
      <c r="ANZ917" s="471"/>
      <c r="AOA917" s="471"/>
      <c r="AOB917" s="471"/>
      <c r="AOC917" s="471"/>
      <c r="AOD917" s="471"/>
      <c r="AOE917" s="471"/>
      <c r="AOF917" s="471"/>
      <c r="AOG917" s="471"/>
      <c r="AOH917" s="471"/>
      <c r="AOI917" s="471"/>
      <c r="AOJ917" s="471"/>
      <c r="AOK917" s="471"/>
      <c r="AOL917" s="471"/>
      <c r="AOM917" s="471"/>
      <c r="AON917" s="471"/>
      <c r="AOO917" s="471"/>
      <c r="AOP917" s="471"/>
      <c r="AOQ917" s="471"/>
      <c r="AOR917" s="471"/>
      <c r="AOS917" s="471"/>
      <c r="AOT917" s="471"/>
      <c r="AOU917" s="471"/>
      <c r="AOV917" s="471"/>
      <c r="AOW917" s="471"/>
      <c r="AOX917" s="471"/>
      <c r="AOY917" s="471"/>
      <c r="AOZ917" s="471"/>
      <c r="APA917" s="471"/>
      <c r="APB917" s="471"/>
      <c r="APC917" s="471"/>
      <c r="APD917" s="471"/>
      <c r="APE917" s="471"/>
      <c r="APF917" s="471"/>
      <c r="APG917" s="471"/>
      <c r="APH917" s="471"/>
      <c r="API917" s="471"/>
      <c r="APJ917" s="471"/>
      <c r="APK917" s="471"/>
      <c r="APL917" s="471"/>
      <c r="APM917" s="471"/>
      <c r="APN917" s="471"/>
      <c r="APO917" s="471"/>
      <c r="APP917" s="471"/>
      <c r="APQ917" s="471"/>
      <c r="APR917" s="471"/>
      <c r="APS917" s="471"/>
      <c r="APT917" s="471"/>
      <c r="APU917" s="471"/>
      <c r="APV917" s="471"/>
      <c r="APW917" s="471"/>
      <c r="APX917" s="471"/>
      <c r="APY917" s="471"/>
      <c r="APZ917" s="471"/>
      <c r="AQA917" s="471"/>
      <c r="AQB917" s="471"/>
      <c r="AQC917" s="471"/>
      <c r="AQD917" s="471"/>
      <c r="AQE917" s="471"/>
      <c r="AQF917" s="471"/>
      <c r="AQG917" s="471"/>
      <c r="AQH917" s="471"/>
      <c r="AQI917" s="471"/>
      <c r="AQJ917" s="471"/>
      <c r="AQK917" s="471"/>
      <c r="AQL917" s="471"/>
      <c r="AQM917" s="471"/>
      <c r="AQN917" s="471"/>
      <c r="AQO917" s="471"/>
      <c r="AQP917" s="471"/>
      <c r="AQQ917" s="471"/>
      <c r="AQR917" s="471"/>
      <c r="AQS917" s="471"/>
      <c r="AQT917" s="471"/>
      <c r="AQU917" s="471"/>
      <c r="AQV917" s="471"/>
      <c r="AQW917" s="471"/>
      <c r="AQX917" s="471"/>
      <c r="AQY917" s="471"/>
      <c r="AQZ917" s="471"/>
      <c r="ARA917" s="471"/>
      <c r="ARB917" s="471"/>
      <c r="ARC917" s="471"/>
      <c r="ARD917" s="471"/>
      <c r="ARE917" s="471"/>
      <c r="ARF917" s="471"/>
      <c r="ARG917" s="471"/>
      <c r="ARH917" s="471"/>
      <c r="ARI917" s="471"/>
      <c r="ARJ917" s="471"/>
      <c r="ARK917" s="471"/>
      <c r="ARL917" s="471"/>
      <c r="ARM917" s="471"/>
      <c r="ARN917" s="471"/>
      <c r="ARO917" s="471"/>
      <c r="ARP917" s="471"/>
      <c r="ARQ917" s="471"/>
      <c r="ARR917" s="471"/>
      <c r="ARS917" s="471"/>
      <c r="ART917" s="471"/>
      <c r="ARU917" s="471"/>
      <c r="ARV917" s="471"/>
      <c r="ARW917" s="471"/>
      <c r="ARX917" s="471"/>
      <c r="ARY917" s="471"/>
      <c r="ARZ917" s="471"/>
      <c r="ASA917" s="471"/>
      <c r="ASB917" s="471"/>
      <c r="ASC917" s="471"/>
      <c r="ASD917" s="471"/>
      <c r="ASE917" s="471"/>
      <c r="ASF917" s="471"/>
      <c r="ASG917" s="471"/>
      <c r="ASH917" s="471"/>
      <c r="ASI917" s="471"/>
      <c r="ASJ917" s="471"/>
      <c r="ASK917" s="471"/>
      <c r="ASL917" s="471"/>
      <c r="ASM917" s="471"/>
      <c r="ASN917" s="471"/>
      <c r="ASO917" s="471"/>
      <c r="ASP917" s="471"/>
      <c r="ASQ917" s="471"/>
      <c r="ASR917" s="471"/>
      <c r="ASS917" s="471"/>
      <c r="AST917" s="471"/>
      <c r="ASU917" s="471"/>
      <c r="ASV917" s="471"/>
      <c r="ASW917" s="471"/>
      <c r="ASX917" s="471"/>
      <c r="ASY917" s="471"/>
      <c r="ASZ917" s="471"/>
      <c r="ATA917" s="471"/>
      <c r="ATB917" s="471"/>
      <c r="ATC917" s="471"/>
      <c r="ATD917" s="471"/>
      <c r="ATE917" s="471"/>
      <c r="ATF917" s="471"/>
      <c r="ATG917" s="471"/>
      <c r="ATH917" s="471"/>
      <c r="ATI917" s="471"/>
      <c r="ATJ917" s="471"/>
      <c r="ATK917" s="471"/>
      <c r="ATL917" s="471"/>
      <c r="ATM917" s="471"/>
      <c r="ATN917" s="471"/>
      <c r="ATO917" s="471"/>
      <c r="ATP917" s="471"/>
      <c r="ATQ917" s="471"/>
      <c r="ATR917" s="471"/>
      <c r="ATS917" s="471"/>
      <c r="ATT917" s="471"/>
      <c r="ATU917" s="471"/>
      <c r="ATV917" s="471"/>
      <c r="ATW917" s="471"/>
      <c r="ATX917" s="471"/>
      <c r="ATY917" s="471"/>
      <c r="ATZ917" s="471"/>
      <c r="AUA917" s="471"/>
      <c r="AUB917" s="471"/>
      <c r="AUC917" s="471"/>
      <c r="AUD917" s="471"/>
      <c r="AUE917" s="471"/>
      <c r="AUF917" s="471"/>
      <c r="AUG917" s="471"/>
      <c r="AUH917" s="471"/>
      <c r="AUI917" s="471"/>
      <c r="AUJ917" s="471"/>
      <c r="AUK917" s="471"/>
      <c r="AUL917" s="471"/>
      <c r="AUM917" s="471"/>
      <c r="AUN917" s="471"/>
      <c r="AUO917" s="471"/>
      <c r="AUP917" s="471"/>
      <c r="AUQ917" s="471"/>
      <c r="AUR917" s="471"/>
      <c r="AUS917" s="471"/>
      <c r="AUT917" s="471"/>
      <c r="AUU917" s="471"/>
      <c r="AUV917" s="471"/>
      <c r="AUW917" s="471"/>
      <c r="AUX917" s="471"/>
      <c r="AUY917" s="471"/>
      <c r="AUZ917" s="471"/>
      <c r="AVA917" s="471"/>
      <c r="AVB917" s="471"/>
      <c r="AVC917" s="471"/>
      <c r="AVD917" s="471"/>
      <c r="AVE917" s="471"/>
      <c r="AVF917" s="471"/>
      <c r="AVG917" s="471"/>
      <c r="AVH917" s="471"/>
      <c r="AVI917" s="471"/>
      <c r="AVJ917" s="471"/>
      <c r="AVK917" s="471"/>
    </row>
    <row r="918" spans="1:1259" s="511" customFormat="1" ht="15" customHeight="1">
      <c r="A918" s="472"/>
      <c r="B918" s="472"/>
      <c r="C918" s="472"/>
      <c r="D918" s="512" t="s">
        <v>3186</v>
      </c>
      <c r="E918" s="512" t="s">
        <v>3044</v>
      </c>
      <c r="F918" s="501"/>
      <c r="G918" s="501"/>
      <c r="H918" s="524">
        <v>10</v>
      </c>
      <c r="I918" s="496" t="s">
        <v>1676</v>
      </c>
      <c r="J918" s="502"/>
      <c r="K918" s="502" t="s">
        <v>4880</v>
      </c>
      <c r="L918" s="502" t="s">
        <v>3278</v>
      </c>
      <c r="M918" s="502">
        <v>44550</v>
      </c>
      <c r="N918" s="502">
        <v>44715</v>
      </c>
      <c r="O918" s="504"/>
      <c r="P918" s="502"/>
      <c r="Q918" s="502"/>
      <c r="R918" s="502"/>
      <c r="S918" s="501" t="s">
        <v>2379</v>
      </c>
      <c r="T918" s="501">
        <v>60</v>
      </c>
      <c r="U918" s="501"/>
      <c r="V918" s="501" t="s">
        <v>973</v>
      </c>
      <c r="W918" s="501">
        <v>400</v>
      </c>
      <c r="X918" s="505">
        <v>320</v>
      </c>
      <c r="Y918" s="491">
        <f t="shared" si="130"/>
        <v>128000</v>
      </c>
      <c r="Z918" s="506">
        <v>0.53</v>
      </c>
      <c r="AA918" s="492">
        <f t="shared" si="134"/>
        <v>67840</v>
      </c>
      <c r="AB918" s="480"/>
      <c r="AC918" s="481">
        <f t="shared" si="131"/>
        <v>0</v>
      </c>
      <c r="AD918" s="508"/>
      <c r="AE918" s="507"/>
      <c r="AF918" s="493">
        <f t="shared" si="132"/>
        <v>67840</v>
      </c>
      <c r="AG918" s="501" t="s">
        <v>1071</v>
      </c>
      <c r="AH918" s="501"/>
      <c r="AI918" s="503">
        <v>60</v>
      </c>
      <c r="AJ918" s="501" t="s">
        <v>3479</v>
      </c>
      <c r="AK918" s="509" t="s">
        <v>3480</v>
      </c>
      <c r="AL918" s="501">
        <v>70087</v>
      </c>
      <c r="AM918" s="501" t="s">
        <v>52</v>
      </c>
      <c r="AN918" s="501"/>
      <c r="AO918" s="501"/>
      <c r="AP918" s="510"/>
      <c r="AQ918" s="510" t="s">
        <v>37</v>
      </c>
      <c r="AR918" s="510"/>
      <c r="AS918" s="495" t="s">
        <v>1152</v>
      </c>
      <c r="AT918" s="495" t="s">
        <v>1076</v>
      </c>
      <c r="AU918" s="495" t="s">
        <v>1076</v>
      </c>
      <c r="AV918" s="506">
        <v>0.53</v>
      </c>
      <c r="AW918" s="471"/>
      <c r="AX918" s="471"/>
      <c r="AY918" s="471"/>
      <c r="AZ918" s="471"/>
      <c r="BA918" s="471"/>
      <c r="BB918" s="471"/>
      <c r="BC918" s="471"/>
      <c r="BD918" s="471"/>
      <c r="BE918" s="471"/>
      <c r="BF918" s="471"/>
      <c r="BG918" s="471"/>
      <c r="BH918" s="471"/>
      <c r="BI918" s="471"/>
      <c r="BJ918" s="471"/>
      <c r="BK918" s="471"/>
      <c r="BL918" s="471"/>
      <c r="BM918" s="471"/>
      <c r="BN918" s="471"/>
      <c r="BO918" s="471"/>
      <c r="BP918" s="471"/>
      <c r="BQ918" s="471"/>
      <c r="BR918" s="471"/>
      <c r="BS918" s="471"/>
      <c r="BT918" s="471"/>
      <c r="BU918" s="471"/>
      <c r="BV918" s="471"/>
      <c r="BW918" s="471"/>
      <c r="BX918" s="471"/>
      <c r="BY918" s="471"/>
      <c r="BZ918" s="471"/>
      <c r="CA918" s="471"/>
      <c r="CB918" s="471"/>
      <c r="CC918" s="471"/>
      <c r="CD918" s="471"/>
      <c r="CE918" s="471"/>
      <c r="CF918" s="471"/>
      <c r="CG918" s="471"/>
      <c r="CH918" s="471"/>
      <c r="CI918" s="471"/>
      <c r="CJ918" s="471"/>
      <c r="CK918" s="471"/>
      <c r="CL918" s="471"/>
      <c r="CM918" s="471"/>
      <c r="CN918" s="471"/>
      <c r="CO918" s="471"/>
      <c r="CP918" s="471"/>
      <c r="CQ918" s="471"/>
      <c r="CR918" s="471"/>
      <c r="CS918" s="471"/>
      <c r="CT918" s="471"/>
      <c r="CU918" s="471"/>
      <c r="CV918" s="471"/>
      <c r="CW918" s="471"/>
      <c r="CX918" s="471"/>
      <c r="CY918" s="471"/>
      <c r="CZ918" s="471"/>
      <c r="DA918" s="471"/>
      <c r="DB918" s="471"/>
      <c r="DC918" s="471"/>
      <c r="DD918" s="471"/>
      <c r="DE918" s="471"/>
      <c r="DF918" s="471"/>
      <c r="DG918" s="471"/>
      <c r="DH918" s="471"/>
      <c r="DI918" s="471"/>
      <c r="DJ918" s="471"/>
      <c r="DK918" s="471"/>
      <c r="DL918" s="471"/>
      <c r="DM918" s="471"/>
      <c r="DN918" s="471"/>
      <c r="DO918" s="471"/>
      <c r="DP918" s="471"/>
      <c r="DQ918" s="471"/>
      <c r="DR918" s="471"/>
      <c r="DS918" s="471"/>
      <c r="DT918" s="471"/>
      <c r="DU918" s="471"/>
      <c r="DV918" s="471"/>
      <c r="DW918" s="471"/>
      <c r="DX918" s="471"/>
      <c r="DY918" s="471"/>
      <c r="DZ918" s="471"/>
      <c r="EA918" s="471"/>
      <c r="EB918" s="471"/>
      <c r="EC918" s="471"/>
      <c r="ED918" s="471"/>
      <c r="EE918" s="471"/>
      <c r="EF918" s="471"/>
      <c r="EG918" s="471"/>
      <c r="EH918" s="471"/>
      <c r="EI918" s="471"/>
      <c r="EJ918" s="471"/>
      <c r="EK918" s="471"/>
      <c r="EL918" s="471"/>
      <c r="EM918" s="471"/>
      <c r="EN918" s="471"/>
      <c r="EO918" s="471"/>
      <c r="EP918" s="471"/>
      <c r="EQ918" s="471"/>
      <c r="ER918" s="471"/>
      <c r="ES918" s="471"/>
      <c r="ET918" s="471"/>
      <c r="EU918" s="471"/>
      <c r="EV918" s="471"/>
      <c r="EW918" s="471"/>
      <c r="EX918" s="471"/>
      <c r="EY918" s="471"/>
      <c r="EZ918" s="471"/>
      <c r="FA918" s="471"/>
      <c r="FB918" s="471"/>
      <c r="FC918" s="471"/>
      <c r="FD918" s="471"/>
      <c r="FE918" s="471"/>
      <c r="FF918" s="471"/>
      <c r="FG918" s="471"/>
      <c r="FH918" s="471"/>
      <c r="FI918" s="471"/>
      <c r="FJ918" s="471"/>
      <c r="FK918" s="471"/>
      <c r="FL918" s="471"/>
      <c r="FM918" s="471"/>
      <c r="FN918" s="471"/>
      <c r="FO918" s="471"/>
      <c r="FP918" s="471"/>
      <c r="FQ918" s="471"/>
      <c r="FR918" s="471"/>
      <c r="FS918" s="471"/>
      <c r="FT918" s="471"/>
      <c r="FU918" s="471"/>
      <c r="FV918" s="471"/>
      <c r="FW918" s="471"/>
      <c r="FX918" s="471"/>
      <c r="FY918" s="471"/>
      <c r="FZ918" s="471"/>
      <c r="GA918" s="471"/>
      <c r="GB918" s="471"/>
      <c r="GC918" s="471"/>
      <c r="GD918" s="471"/>
      <c r="GE918" s="471"/>
      <c r="GF918" s="471"/>
      <c r="GG918" s="471"/>
      <c r="GH918" s="471"/>
      <c r="GI918" s="471"/>
      <c r="GJ918" s="471"/>
      <c r="GK918" s="471"/>
      <c r="GL918" s="471"/>
      <c r="GM918" s="471"/>
      <c r="GN918" s="471"/>
      <c r="GO918" s="471"/>
      <c r="GP918" s="471"/>
      <c r="GQ918" s="471"/>
      <c r="GR918" s="471"/>
      <c r="GS918" s="471"/>
      <c r="GT918" s="471"/>
      <c r="GU918" s="471"/>
      <c r="GV918" s="471"/>
      <c r="GW918" s="471"/>
      <c r="GX918" s="471"/>
      <c r="GY918" s="471"/>
      <c r="GZ918" s="471"/>
      <c r="HA918" s="471"/>
      <c r="HB918" s="471"/>
      <c r="HC918" s="471"/>
      <c r="HD918" s="471"/>
      <c r="HE918" s="471"/>
      <c r="HF918" s="471"/>
      <c r="HG918" s="471"/>
      <c r="HH918" s="471"/>
      <c r="HI918" s="471"/>
      <c r="HJ918" s="471"/>
      <c r="HK918" s="471"/>
      <c r="HL918" s="471"/>
      <c r="HM918" s="471"/>
      <c r="HN918" s="471"/>
      <c r="HO918" s="471"/>
      <c r="HP918" s="471"/>
      <c r="HQ918" s="471"/>
      <c r="HR918" s="471"/>
      <c r="HS918" s="471"/>
      <c r="HT918" s="471"/>
      <c r="HU918" s="471"/>
      <c r="HV918" s="471"/>
      <c r="HW918" s="471"/>
      <c r="HX918" s="471"/>
      <c r="HY918" s="471"/>
      <c r="HZ918" s="471"/>
      <c r="IA918" s="471"/>
      <c r="IB918" s="471"/>
      <c r="IC918" s="471"/>
      <c r="ID918" s="471"/>
      <c r="IE918" s="471"/>
      <c r="IF918" s="471"/>
      <c r="IG918" s="471"/>
      <c r="IH918" s="471"/>
      <c r="II918" s="471"/>
      <c r="IJ918" s="471"/>
      <c r="IK918" s="471"/>
      <c r="IL918" s="471"/>
      <c r="IM918" s="471"/>
      <c r="IN918" s="471"/>
      <c r="IO918" s="471"/>
      <c r="IP918" s="471"/>
      <c r="IQ918" s="471"/>
      <c r="IR918" s="471"/>
      <c r="IS918" s="471"/>
      <c r="IT918" s="471"/>
      <c r="IU918" s="471"/>
      <c r="IV918" s="471"/>
      <c r="IW918" s="471"/>
      <c r="IX918" s="471"/>
      <c r="IY918" s="471"/>
      <c r="IZ918" s="471"/>
      <c r="JA918" s="471"/>
      <c r="JB918" s="471"/>
      <c r="JC918" s="471"/>
      <c r="JD918" s="471"/>
      <c r="JE918" s="471"/>
      <c r="JF918" s="471"/>
      <c r="JG918" s="471"/>
      <c r="JH918" s="471"/>
      <c r="JI918" s="471"/>
      <c r="JJ918" s="471"/>
      <c r="JK918" s="471"/>
      <c r="JL918" s="471"/>
      <c r="JM918" s="471"/>
      <c r="JN918" s="471"/>
      <c r="JO918" s="471"/>
      <c r="JP918" s="471"/>
      <c r="JQ918" s="471"/>
      <c r="JR918" s="471"/>
      <c r="JS918" s="471"/>
      <c r="JT918" s="471"/>
      <c r="JU918" s="471"/>
      <c r="JV918" s="471"/>
      <c r="JW918" s="471"/>
      <c r="JX918" s="471"/>
      <c r="JY918" s="471"/>
      <c r="JZ918" s="471"/>
      <c r="KA918" s="471"/>
      <c r="KB918" s="471"/>
      <c r="KC918" s="471"/>
      <c r="KD918" s="471"/>
      <c r="KE918" s="471"/>
      <c r="KF918" s="471"/>
      <c r="KG918" s="471"/>
      <c r="KH918" s="471"/>
      <c r="KI918" s="471"/>
      <c r="KJ918" s="471"/>
      <c r="KK918" s="471"/>
      <c r="KL918" s="471"/>
      <c r="KM918" s="471"/>
      <c r="KN918" s="471"/>
      <c r="KO918" s="471"/>
      <c r="KP918" s="471"/>
      <c r="KQ918" s="471"/>
      <c r="KR918" s="471"/>
      <c r="KS918" s="471"/>
      <c r="KT918" s="471"/>
      <c r="KU918" s="471"/>
      <c r="KV918" s="471"/>
      <c r="KW918" s="471"/>
      <c r="KX918" s="471"/>
      <c r="KY918" s="471"/>
      <c r="KZ918" s="471"/>
      <c r="LA918" s="471"/>
      <c r="LB918" s="471"/>
      <c r="LC918" s="471"/>
      <c r="LD918" s="471"/>
      <c r="LE918" s="471"/>
      <c r="LF918" s="471"/>
      <c r="LG918" s="471"/>
      <c r="LH918" s="471"/>
      <c r="LI918" s="471"/>
      <c r="LJ918" s="471"/>
      <c r="LK918" s="471"/>
      <c r="LL918" s="471"/>
      <c r="LM918" s="471"/>
      <c r="LN918" s="471"/>
      <c r="LO918" s="471"/>
      <c r="LP918" s="471"/>
      <c r="LQ918" s="471"/>
      <c r="LR918" s="471"/>
      <c r="LS918" s="471"/>
      <c r="LT918" s="471"/>
      <c r="LU918" s="471"/>
      <c r="LV918" s="471"/>
      <c r="LW918" s="471"/>
      <c r="LX918" s="471"/>
      <c r="LY918" s="471"/>
      <c r="LZ918" s="471"/>
      <c r="MA918" s="471"/>
      <c r="MB918" s="471"/>
      <c r="MC918" s="471"/>
      <c r="MD918" s="471"/>
      <c r="ME918" s="471"/>
      <c r="MF918" s="471"/>
      <c r="MG918" s="471"/>
      <c r="MH918" s="471"/>
      <c r="MI918" s="471"/>
      <c r="MJ918" s="471"/>
      <c r="MK918" s="471"/>
      <c r="ML918" s="471"/>
      <c r="MM918" s="471"/>
      <c r="MN918" s="471"/>
      <c r="MO918" s="471"/>
      <c r="MP918" s="471"/>
      <c r="MQ918" s="471"/>
      <c r="MR918" s="471"/>
      <c r="MS918" s="471"/>
      <c r="MT918" s="471"/>
      <c r="MU918" s="471"/>
      <c r="MV918" s="471"/>
      <c r="MW918" s="471"/>
      <c r="MX918" s="471"/>
      <c r="MY918" s="471"/>
      <c r="MZ918" s="471"/>
      <c r="NA918" s="471"/>
      <c r="NB918" s="471"/>
      <c r="NC918" s="471"/>
      <c r="ND918" s="471"/>
      <c r="NE918" s="471"/>
      <c r="NF918" s="471"/>
      <c r="NG918" s="471"/>
      <c r="NH918" s="471"/>
      <c r="NI918" s="471"/>
      <c r="NJ918" s="471"/>
      <c r="NK918" s="471"/>
      <c r="NL918" s="471"/>
      <c r="NM918" s="471"/>
      <c r="NN918" s="471"/>
      <c r="NO918" s="471"/>
      <c r="NP918" s="471"/>
      <c r="NQ918" s="471"/>
      <c r="NR918" s="471"/>
      <c r="NS918" s="471"/>
      <c r="NT918" s="471"/>
      <c r="NU918" s="471"/>
      <c r="NV918" s="471"/>
      <c r="NW918" s="471"/>
      <c r="NX918" s="471"/>
      <c r="NY918" s="471"/>
      <c r="NZ918" s="471"/>
      <c r="OA918" s="471"/>
      <c r="OB918" s="471"/>
      <c r="OC918" s="471"/>
      <c r="OD918" s="471"/>
      <c r="OE918" s="471"/>
      <c r="OF918" s="471"/>
      <c r="OG918" s="471"/>
      <c r="OH918" s="471"/>
      <c r="OI918" s="471"/>
      <c r="OJ918" s="471"/>
      <c r="OK918" s="471"/>
      <c r="OL918" s="471"/>
      <c r="OM918" s="471"/>
      <c r="ON918" s="471"/>
      <c r="OO918" s="471"/>
      <c r="OP918" s="471"/>
      <c r="OQ918" s="471"/>
      <c r="OR918" s="471"/>
      <c r="OS918" s="471"/>
      <c r="OT918" s="471"/>
      <c r="OU918" s="471"/>
      <c r="OV918" s="471"/>
      <c r="OW918" s="471"/>
      <c r="OX918" s="471"/>
      <c r="OY918" s="471"/>
      <c r="OZ918" s="471"/>
      <c r="PA918" s="471"/>
      <c r="PB918" s="471"/>
      <c r="PC918" s="471"/>
      <c r="PD918" s="471"/>
      <c r="PE918" s="471"/>
      <c r="PF918" s="471"/>
      <c r="PG918" s="471"/>
      <c r="PH918" s="471"/>
      <c r="PI918" s="471"/>
      <c r="PJ918" s="471"/>
      <c r="PK918" s="471"/>
      <c r="PL918" s="471"/>
      <c r="PM918" s="471"/>
      <c r="PN918" s="471"/>
      <c r="PO918" s="471"/>
      <c r="PP918" s="471"/>
      <c r="PQ918" s="471"/>
      <c r="PR918" s="471"/>
      <c r="PS918" s="471"/>
      <c r="PT918" s="471"/>
      <c r="PU918" s="471"/>
      <c r="PV918" s="471"/>
      <c r="PW918" s="471"/>
      <c r="PX918" s="471"/>
      <c r="PY918" s="471"/>
      <c r="PZ918" s="471"/>
      <c r="QA918" s="471"/>
      <c r="QB918" s="471"/>
      <c r="QC918" s="471"/>
      <c r="QD918" s="471"/>
      <c r="QE918" s="471"/>
      <c r="QF918" s="471"/>
      <c r="QG918" s="471"/>
      <c r="QH918" s="471"/>
      <c r="QI918" s="471"/>
      <c r="QJ918" s="471"/>
      <c r="QK918" s="471"/>
      <c r="QL918" s="471"/>
      <c r="QM918" s="471"/>
      <c r="QN918" s="471"/>
      <c r="QO918" s="471"/>
      <c r="QP918" s="471"/>
      <c r="QQ918" s="471"/>
      <c r="QR918" s="471"/>
      <c r="QS918" s="471"/>
      <c r="QT918" s="471"/>
      <c r="QU918" s="471"/>
      <c r="QV918" s="471"/>
      <c r="QW918" s="471"/>
      <c r="QX918" s="471"/>
      <c r="QY918" s="471"/>
      <c r="QZ918" s="471"/>
      <c r="RA918" s="471"/>
      <c r="RB918" s="471"/>
      <c r="RC918" s="471"/>
      <c r="RD918" s="471"/>
      <c r="RE918" s="471"/>
      <c r="RF918" s="471"/>
      <c r="RG918" s="471"/>
      <c r="RH918" s="471"/>
      <c r="RI918" s="471"/>
      <c r="RJ918" s="471"/>
      <c r="RK918" s="471"/>
      <c r="RL918" s="471"/>
      <c r="RM918" s="471"/>
      <c r="RN918" s="471"/>
      <c r="RO918" s="471"/>
      <c r="RP918" s="471"/>
      <c r="RQ918" s="471"/>
      <c r="RR918" s="471"/>
      <c r="RS918" s="471"/>
      <c r="RT918" s="471"/>
      <c r="RU918" s="471"/>
      <c r="RV918" s="471"/>
      <c r="RW918" s="471"/>
      <c r="RX918" s="471"/>
      <c r="RY918" s="471"/>
      <c r="RZ918" s="471"/>
      <c r="SA918" s="471"/>
      <c r="SB918" s="471"/>
      <c r="SC918" s="471"/>
      <c r="SD918" s="471"/>
      <c r="SE918" s="471"/>
      <c r="SF918" s="471"/>
      <c r="SG918" s="471"/>
      <c r="SH918" s="471"/>
      <c r="SI918" s="471"/>
      <c r="SJ918" s="471"/>
      <c r="SK918" s="471"/>
      <c r="SL918" s="471"/>
      <c r="SM918" s="471"/>
      <c r="SN918" s="471"/>
      <c r="SO918" s="471"/>
      <c r="SP918" s="471"/>
      <c r="SQ918" s="471"/>
      <c r="SR918" s="471"/>
      <c r="SS918" s="471"/>
      <c r="ST918" s="471"/>
      <c r="SU918" s="471"/>
      <c r="SV918" s="471"/>
      <c r="SW918" s="471"/>
      <c r="SX918" s="471"/>
      <c r="SY918" s="471"/>
      <c r="SZ918" s="471"/>
      <c r="TA918" s="471"/>
      <c r="TB918" s="471"/>
      <c r="TC918" s="471"/>
      <c r="TD918" s="471"/>
      <c r="TE918" s="471"/>
      <c r="TF918" s="471"/>
      <c r="TG918" s="471"/>
      <c r="TH918" s="471"/>
      <c r="TI918" s="471"/>
      <c r="TJ918" s="471"/>
      <c r="TK918" s="471"/>
      <c r="TL918" s="471"/>
      <c r="TM918" s="471"/>
      <c r="TN918" s="471"/>
      <c r="TO918" s="471"/>
      <c r="TP918" s="471"/>
      <c r="TQ918" s="471"/>
      <c r="TR918" s="471"/>
      <c r="TS918" s="471"/>
      <c r="TT918" s="471"/>
      <c r="TU918" s="471"/>
      <c r="TV918" s="471"/>
      <c r="TW918" s="471"/>
      <c r="TX918" s="471"/>
      <c r="TY918" s="471"/>
      <c r="TZ918" s="471"/>
      <c r="UA918" s="471"/>
      <c r="UB918" s="471"/>
      <c r="UC918" s="471"/>
      <c r="UD918" s="471"/>
      <c r="UE918" s="471"/>
      <c r="UF918" s="471"/>
      <c r="UG918" s="471"/>
      <c r="UH918" s="471"/>
      <c r="UI918" s="471"/>
      <c r="UJ918" s="471"/>
      <c r="UK918" s="471"/>
      <c r="UL918" s="471"/>
      <c r="UM918" s="471"/>
      <c r="UN918" s="471"/>
      <c r="UO918" s="471"/>
      <c r="UP918" s="471"/>
      <c r="UQ918" s="471"/>
      <c r="UR918" s="471"/>
      <c r="US918" s="471"/>
      <c r="UT918" s="471"/>
      <c r="UU918" s="471"/>
      <c r="UV918" s="471"/>
      <c r="UW918" s="471"/>
      <c r="UX918" s="471"/>
      <c r="UY918" s="471"/>
      <c r="UZ918" s="471"/>
      <c r="VA918" s="471"/>
      <c r="VB918" s="471"/>
      <c r="VC918" s="471"/>
      <c r="VD918" s="471"/>
      <c r="VE918" s="471"/>
      <c r="VF918" s="471"/>
      <c r="VG918" s="471"/>
      <c r="VH918" s="471"/>
      <c r="VI918" s="471"/>
      <c r="VJ918" s="471"/>
      <c r="VK918" s="471"/>
      <c r="VL918" s="471"/>
      <c r="VM918" s="471"/>
      <c r="VN918" s="471"/>
      <c r="VO918" s="471"/>
      <c r="VP918" s="471"/>
      <c r="VQ918" s="471"/>
      <c r="VR918" s="471"/>
      <c r="VS918" s="471"/>
      <c r="VT918" s="471"/>
      <c r="VU918" s="471"/>
      <c r="VV918" s="471"/>
      <c r="VW918" s="471"/>
      <c r="VX918" s="471"/>
      <c r="VY918" s="471"/>
      <c r="VZ918" s="471"/>
      <c r="WA918" s="471"/>
      <c r="WB918" s="471"/>
      <c r="WC918" s="471"/>
      <c r="WD918" s="471"/>
      <c r="WE918" s="471"/>
      <c r="WF918" s="471"/>
      <c r="WG918" s="471"/>
      <c r="WH918" s="471"/>
      <c r="WI918" s="471"/>
      <c r="WJ918" s="471"/>
      <c r="WK918" s="471"/>
      <c r="WL918" s="471"/>
      <c r="WM918" s="471"/>
      <c r="WN918" s="471"/>
      <c r="WO918" s="471"/>
      <c r="WP918" s="471"/>
      <c r="WQ918" s="471"/>
      <c r="WR918" s="471"/>
      <c r="WS918" s="471"/>
      <c r="WT918" s="471"/>
      <c r="WU918" s="471"/>
      <c r="WV918" s="471"/>
      <c r="WW918" s="471"/>
      <c r="WX918" s="471"/>
      <c r="WY918" s="471"/>
      <c r="WZ918" s="471"/>
      <c r="XA918" s="471"/>
      <c r="XB918" s="471"/>
      <c r="XC918" s="471"/>
      <c r="XD918" s="471"/>
      <c r="XE918" s="471"/>
      <c r="XF918" s="471"/>
      <c r="XG918" s="471"/>
      <c r="XH918" s="471"/>
      <c r="XI918" s="471"/>
      <c r="XJ918" s="471"/>
      <c r="XK918" s="471"/>
      <c r="XL918" s="471"/>
      <c r="XM918" s="471"/>
      <c r="XN918" s="471"/>
      <c r="XO918" s="471"/>
      <c r="XP918" s="471"/>
      <c r="XQ918" s="471"/>
      <c r="XR918" s="471"/>
      <c r="XS918" s="471"/>
      <c r="XT918" s="471"/>
      <c r="XU918" s="471"/>
      <c r="XV918" s="471"/>
      <c r="XW918" s="471"/>
      <c r="XX918" s="471"/>
      <c r="XY918" s="471"/>
      <c r="XZ918" s="471"/>
      <c r="YA918" s="471"/>
      <c r="YB918" s="471"/>
      <c r="YC918" s="471"/>
      <c r="YD918" s="471"/>
      <c r="YE918" s="471"/>
      <c r="YF918" s="471"/>
      <c r="YG918" s="471"/>
      <c r="YH918" s="471"/>
      <c r="YI918" s="471"/>
      <c r="YJ918" s="471"/>
      <c r="YK918" s="471"/>
      <c r="YL918" s="471"/>
      <c r="YM918" s="471"/>
      <c r="YN918" s="471"/>
      <c r="YO918" s="471"/>
      <c r="YP918" s="471"/>
      <c r="YQ918" s="471"/>
      <c r="YR918" s="471"/>
      <c r="YS918" s="471"/>
      <c r="YT918" s="471"/>
      <c r="YU918" s="471"/>
      <c r="YV918" s="471"/>
      <c r="YW918" s="471"/>
      <c r="YX918" s="471"/>
      <c r="YY918" s="471"/>
      <c r="YZ918" s="471"/>
      <c r="ZA918" s="471"/>
      <c r="ZB918" s="471"/>
      <c r="ZC918" s="471"/>
      <c r="ZD918" s="471"/>
      <c r="ZE918" s="471"/>
      <c r="ZF918" s="471"/>
      <c r="ZG918" s="471"/>
      <c r="ZH918" s="471"/>
      <c r="ZI918" s="471"/>
      <c r="ZJ918" s="471"/>
      <c r="ZK918" s="471"/>
      <c r="ZL918" s="471"/>
      <c r="ZM918" s="471"/>
      <c r="ZN918" s="471"/>
      <c r="ZO918" s="471"/>
      <c r="ZP918" s="471"/>
      <c r="ZQ918" s="471"/>
      <c r="ZR918" s="471"/>
      <c r="ZS918" s="471"/>
      <c r="ZT918" s="471"/>
      <c r="ZU918" s="471"/>
      <c r="ZV918" s="471"/>
      <c r="ZW918" s="471"/>
      <c r="ZX918" s="471"/>
      <c r="ZY918" s="471"/>
      <c r="ZZ918" s="471"/>
      <c r="AAA918" s="471"/>
      <c r="AAB918" s="471"/>
      <c r="AAC918" s="471"/>
      <c r="AAD918" s="471"/>
      <c r="AAE918" s="471"/>
      <c r="AAF918" s="471"/>
      <c r="AAG918" s="471"/>
      <c r="AAH918" s="471"/>
      <c r="AAI918" s="471"/>
      <c r="AAJ918" s="471"/>
      <c r="AAK918" s="471"/>
      <c r="AAL918" s="471"/>
      <c r="AAM918" s="471"/>
      <c r="AAN918" s="471"/>
      <c r="AAO918" s="471"/>
      <c r="AAP918" s="471"/>
      <c r="AAQ918" s="471"/>
      <c r="AAR918" s="471"/>
      <c r="AAS918" s="471"/>
      <c r="AAT918" s="471"/>
      <c r="AAU918" s="471"/>
      <c r="AAV918" s="471"/>
      <c r="AAW918" s="471"/>
      <c r="AAX918" s="471"/>
      <c r="AAY918" s="471"/>
      <c r="AAZ918" s="471"/>
      <c r="ABA918" s="471"/>
      <c r="ABB918" s="471"/>
      <c r="ABC918" s="471"/>
      <c r="ABD918" s="471"/>
      <c r="ABE918" s="471"/>
      <c r="ABF918" s="471"/>
      <c r="ABG918" s="471"/>
      <c r="ABH918" s="471"/>
      <c r="ABI918" s="471"/>
      <c r="ABJ918" s="471"/>
      <c r="ABK918" s="471"/>
      <c r="ABL918" s="471"/>
      <c r="ABM918" s="471"/>
      <c r="ABN918" s="471"/>
      <c r="ABO918" s="471"/>
      <c r="ABP918" s="471"/>
      <c r="ABQ918" s="471"/>
      <c r="ABR918" s="471"/>
      <c r="ABS918" s="471"/>
      <c r="ABT918" s="471"/>
      <c r="ABU918" s="471"/>
      <c r="ABV918" s="471"/>
      <c r="ABW918" s="471"/>
      <c r="ABX918" s="471"/>
      <c r="ABY918" s="471"/>
      <c r="ABZ918" s="471"/>
      <c r="ACA918" s="471"/>
      <c r="ACB918" s="471"/>
      <c r="ACC918" s="471"/>
      <c r="ACD918" s="471"/>
      <c r="ACE918" s="471"/>
      <c r="ACF918" s="471"/>
      <c r="ACG918" s="471"/>
      <c r="ACH918" s="471"/>
      <c r="ACI918" s="471"/>
      <c r="ACJ918" s="471"/>
      <c r="ACK918" s="471"/>
      <c r="ACL918" s="471"/>
      <c r="ACM918" s="471"/>
      <c r="ACN918" s="471"/>
      <c r="ACO918" s="471"/>
      <c r="ACP918" s="471"/>
      <c r="ACQ918" s="471"/>
      <c r="ACR918" s="471"/>
      <c r="ACS918" s="471"/>
      <c r="ACT918" s="471"/>
      <c r="ACU918" s="471"/>
      <c r="ACV918" s="471"/>
      <c r="ACW918" s="471"/>
      <c r="ACX918" s="471"/>
      <c r="ACY918" s="471"/>
      <c r="ACZ918" s="471"/>
      <c r="ADA918" s="471"/>
      <c r="ADB918" s="471"/>
      <c r="ADC918" s="471"/>
      <c r="ADD918" s="471"/>
      <c r="ADE918" s="471"/>
      <c r="ADF918" s="471"/>
      <c r="ADG918" s="471"/>
      <c r="ADH918" s="471"/>
      <c r="ADI918" s="471"/>
      <c r="ADJ918" s="471"/>
      <c r="ADK918" s="471"/>
      <c r="ADL918" s="471"/>
      <c r="ADM918" s="471"/>
      <c r="ADN918" s="471"/>
      <c r="ADO918" s="471"/>
      <c r="ADP918" s="471"/>
      <c r="ADQ918" s="471"/>
      <c r="ADR918" s="471"/>
      <c r="ADS918" s="471"/>
      <c r="ADT918" s="471"/>
      <c r="ADU918" s="471"/>
      <c r="ADV918" s="471"/>
      <c r="ADW918" s="471"/>
      <c r="ADX918" s="471"/>
      <c r="ADY918" s="471"/>
      <c r="ADZ918" s="471"/>
      <c r="AEA918" s="471"/>
      <c r="AEB918" s="471"/>
      <c r="AEC918" s="471"/>
      <c r="AED918" s="471"/>
      <c r="AEE918" s="471"/>
      <c r="AEF918" s="471"/>
      <c r="AEG918" s="471"/>
      <c r="AEH918" s="471"/>
      <c r="AEI918" s="471"/>
      <c r="AEJ918" s="471"/>
      <c r="AEK918" s="471"/>
      <c r="AEL918" s="471"/>
      <c r="AEM918" s="471"/>
      <c r="AEN918" s="471"/>
      <c r="AEO918" s="471"/>
      <c r="AEP918" s="471"/>
      <c r="AEQ918" s="471"/>
      <c r="AER918" s="471"/>
      <c r="AES918" s="471"/>
      <c r="AET918" s="471"/>
      <c r="AEU918" s="471"/>
      <c r="AEV918" s="471"/>
      <c r="AEW918" s="471"/>
      <c r="AEX918" s="471"/>
      <c r="AEY918" s="471"/>
      <c r="AEZ918" s="471"/>
      <c r="AFA918" s="471"/>
      <c r="AFB918" s="471"/>
      <c r="AFC918" s="471"/>
      <c r="AFD918" s="471"/>
      <c r="AFE918" s="471"/>
      <c r="AFF918" s="471"/>
      <c r="AFG918" s="471"/>
      <c r="AFH918" s="471"/>
      <c r="AFI918" s="471"/>
      <c r="AFJ918" s="471"/>
      <c r="AFK918" s="471"/>
      <c r="AFL918" s="471"/>
      <c r="AFM918" s="471"/>
      <c r="AFN918" s="471"/>
      <c r="AFO918" s="471"/>
      <c r="AFP918" s="471"/>
      <c r="AFQ918" s="471"/>
      <c r="AFR918" s="471"/>
      <c r="AFS918" s="471"/>
      <c r="AFT918" s="471"/>
      <c r="AFU918" s="471"/>
      <c r="AFV918" s="471"/>
      <c r="AFW918" s="471"/>
      <c r="AFX918" s="471"/>
      <c r="AFY918" s="471"/>
      <c r="AFZ918" s="471"/>
      <c r="AGA918" s="471"/>
      <c r="AGB918" s="471"/>
      <c r="AGC918" s="471"/>
      <c r="AGD918" s="471"/>
      <c r="AGE918" s="471"/>
      <c r="AGF918" s="471"/>
      <c r="AGG918" s="471"/>
      <c r="AGH918" s="471"/>
      <c r="AGI918" s="471"/>
      <c r="AGJ918" s="471"/>
      <c r="AGK918" s="471"/>
      <c r="AGL918" s="471"/>
      <c r="AGM918" s="471"/>
      <c r="AGN918" s="471"/>
      <c r="AGO918" s="471"/>
      <c r="AGP918" s="471"/>
      <c r="AGQ918" s="471"/>
      <c r="AGR918" s="471"/>
      <c r="AGS918" s="471"/>
      <c r="AGT918" s="471"/>
      <c r="AGU918" s="471"/>
      <c r="AGV918" s="471"/>
      <c r="AGW918" s="471"/>
      <c r="AGX918" s="471"/>
      <c r="AGY918" s="471"/>
      <c r="AGZ918" s="471"/>
      <c r="AHA918" s="471"/>
      <c r="AHB918" s="471"/>
      <c r="AHC918" s="471"/>
      <c r="AHD918" s="471"/>
      <c r="AHE918" s="471"/>
      <c r="AHF918" s="471"/>
      <c r="AHG918" s="471"/>
      <c r="AHH918" s="471"/>
      <c r="AHI918" s="471"/>
      <c r="AHJ918" s="471"/>
      <c r="AHK918" s="471"/>
      <c r="AHL918" s="471"/>
      <c r="AHM918" s="471"/>
      <c r="AHN918" s="471"/>
      <c r="AHO918" s="471"/>
      <c r="AHP918" s="471"/>
      <c r="AHQ918" s="471"/>
      <c r="AHR918" s="471"/>
      <c r="AHS918" s="471"/>
      <c r="AHT918" s="471"/>
      <c r="AHU918" s="471"/>
      <c r="AHV918" s="471"/>
      <c r="AHW918" s="471"/>
      <c r="AHX918" s="471"/>
      <c r="AHY918" s="471"/>
      <c r="AHZ918" s="471"/>
      <c r="AIA918" s="471"/>
      <c r="AIB918" s="471"/>
      <c r="AIC918" s="471"/>
      <c r="AID918" s="471"/>
      <c r="AIE918" s="471"/>
      <c r="AIF918" s="471"/>
      <c r="AIG918" s="471"/>
      <c r="AIH918" s="471"/>
      <c r="AII918" s="471"/>
      <c r="AIJ918" s="471"/>
      <c r="AIK918" s="471"/>
      <c r="AIL918" s="471"/>
      <c r="AIM918" s="471"/>
      <c r="AIN918" s="471"/>
      <c r="AIO918" s="471"/>
      <c r="AIP918" s="471"/>
      <c r="AIQ918" s="471"/>
      <c r="AIR918" s="471"/>
      <c r="AIS918" s="471"/>
      <c r="AIT918" s="471"/>
      <c r="AIU918" s="471"/>
      <c r="AIV918" s="471"/>
      <c r="AIW918" s="471"/>
      <c r="AIX918" s="471"/>
      <c r="AIY918" s="471"/>
      <c r="AIZ918" s="471"/>
      <c r="AJA918" s="471"/>
      <c r="AJB918" s="471"/>
      <c r="AJC918" s="471"/>
      <c r="AJD918" s="471"/>
      <c r="AJE918" s="471"/>
      <c r="AJF918" s="471"/>
      <c r="AJG918" s="471"/>
      <c r="AJH918" s="471"/>
      <c r="AJI918" s="471"/>
      <c r="AJJ918" s="471"/>
      <c r="AJK918" s="471"/>
      <c r="AJL918" s="471"/>
      <c r="AJM918" s="471"/>
      <c r="AJN918" s="471"/>
      <c r="AJO918" s="471"/>
      <c r="AJP918" s="471"/>
      <c r="AJQ918" s="471"/>
      <c r="AJR918" s="471"/>
      <c r="AJS918" s="471"/>
      <c r="AJT918" s="471"/>
      <c r="AJU918" s="471"/>
      <c r="AJV918" s="471"/>
      <c r="AJW918" s="471"/>
      <c r="AJX918" s="471"/>
      <c r="AJY918" s="471"/>
      <c r="AJZ918" s="471"/>
      <c r="AKA918" s="471"/>
      <c r="AKB918" s="471"/>
      <c r="AKC918" s="471"/>
      <c r="AKD918" s="471"/>
      <c r="AKE918" s="471"/>
      <c r="AKF918" s="471"/>
      <c r="AKG918" s="471"/>
      <c r="AKH918" s="471"/>
      <c r="AKI918" s="471"/>
      <c r="AKJ918" s="471"/>
      <c r="AKK918" s="471"/>
      <c r="AKL918" s="471"/>
      <c r="AKM918" s="471"/>
      <c r="AKN918" s="471"/>
      <c r="AKO918" s="471"/>
      <c r="AKP918" s="471"/>
      <c r="AKQ918" s="471"/>
      <c r="AKR918" s="471"/>
      <c r="AKS918" s="471"/>
      <c r="AKT918" s="471"/>
      <c r="AKU918" s="471"/>
      <c r="AKV918" s="471"/>
      <c r="AKW918" s="471"/>
      <c r="AKX918" s="471"/>
      <c r="AKY918" s="471"/>
      <c r="AKZ918" s="471"/>
      <c r="ALA918" s="471"/>
      <c r="ALB918" s="471"/>
      <c r="ALC918" s="471"/>
      <c r="ALD918" s="471"/>
      <c r="ALE918" s="471"/>
      <c r="ALF918" s="471"/>
      <c r="ALG918" s="471"/>
      <c r="ALH918" s="471"/>
      <c r="ALI918" s="471"/>
      <c r="ALJ918" s="471"/>
      <c r="ALK918" s="471"/>
      <c r="ALL918" s="471"/>
      <c r="ALM918" s="471"/>
      <c r="ALN918" s="471"/>
      <c r="ALO918" s="471"/>
      <c r="ALP918" s="471"/>
      <c r="ALQ918" s="471"/>
      <c r="ALR918" s="471"/>
      <c r="ALS918" s="471"/>
      <c r="ALT918" s="471"/>
      <c r="ALU918" s="471"/>
      <c r="ALV918" s="471"/>
      <c r="ALW918" s="471"/>
      <c r="ALX918" s="471"/>
      <c r="ALY918" s="471"/>
      <c r="ALZ918" s="471"/>
      <c r="AMA918" s="471"/>
      <c r="AMB918" s="471"/>
      <c r="AMC918" s="471"/>
      <c r="AMD918" s="471"/>
      <c r="AME918" s="471"/>
      <c r="AMF918" s="471"/>
      <c r="AMG918" s="471"/>
      <c r="AMH918" s="471"/>
      <c r="AMI918" s="471"/>
      <c r="AMJ918" s="471"/>
      <c r="AMK918" s="471"/>
      <c r="AML918" s="471"/>
      <c r="AMM918" s="471"/>
      <c r="AMN918" s="471"/>
      <c r="AMO918" s="471"/>
      <c r="AMP918" s="471"/>
      <c r="AMQ918" s="471"/>
      <c r="AMR918" s="471"/>
      <c r="AMS918" s="471"/>
      <c r="AMT918" s="471"/>
      <c r="AMU918" s="471"/>
      <c r="AMV918" s="471"/>
      <c r="AMW918" s="471"/>
      <c r="AMX918" s="471"/>
      <c r="AMY918" s="471"/>
      <c r="AMZ918" s="471"/>
      <c r="ANA918" s="471"/>
      <c r="ANB918" s="471"/>
      <c r="ANC918" s="471"/>
      <c r="AND918" s="471"/>
      <c r="ANE918" s="471"/>
      <c r="ANF918" s="471"/>
      <c r="ANG918" s="471"/>
      <c r="ANH918" s="471"/>
      <c r="ANI918" s="471"/>
      <c r="ANJ918" s="471"/>
      <c r="ANK918" s="471"/>
      <c r="ANL918" s="471"/>
      <c r="ANM918" s="471"/>
      <c r="ANN918" s="471"/>
      <c r="ANO918" s="471"/>
      <c r="ANP918" s="471"/>
      <c r="ANQ918" s="471"/>
      <c r="ANR918" s="471"/>
      <c r="ANS918" s="471"/>
      <c r="ANT918" s="471"/>
      <c r="ANU918" s="471"/>
      <c r="ANV918" s="471"/>
      <c r="ANW918" s="471"/>
      <c r="ANX918" s="471"/>
      <c r="ANY918" s="471"/>
      <c r="ANZ918" s="471"/>
      <c r="AOA918" s="471"/>
      <c r="AOB918" s="471"/>
      <c r="AOC918" s="471"/>
      <c r="AOD918" s="471"/>
      <c r="AOE918" s="471"/>
      <c r="AOF918" s="471"/>
      <c r="AOG918" s="471"/>
      <c r="AOH918" s="471"/>
      <c r="AOI918" s="471"/>
      <c r="AOJ918" s="471"/>
      <c r="AOK918" s="471"/>
      <c r="AOL918" s="471"/>
      <c r="AOM918" s="471"/>
      <c r="AON918" s="471"/>
      <c r="AOO918" s="471"/>
      <c r="AOP918" s="471"/>
      <c r="AOQ918" s="471"/>
      <c r="AOR918" s="471"/>
      <c r="AOS918" s="471"/>
      <c r="AOT918" s="471"/>
      <c r="AOU918" s="471"/>
      <c r="AOV918" s="471"/>
      <c r="AOW918" s="471"/>
      <c r="AOX918" s="471"/>
      <c r="AOY918" s="471"/>
      <c r="AOZ918" s="471"/>
      <c r="APA918" s="471"/>
      <c r="APB918" s="471"/>
      <c r="APC918" s="471"/>
      <c r="APD918" s="471"/>
      <c r="APE918" s="471"/>
      <c r="APF918" s="471"/>
      <c r="APG918" s="471"/>
      <c r="APH918" s="471"/>
      <c r="API918" s="471"/>
      <c r="APJ918" s="471"/>
      <c r="APK918" s="471"/>
      <c r="APL918" s="471"/>
      <c r="APM918" s="471"/>
      <c r="APN918" s="471"/>
      <c r="APO918" s="471"/>
      <c r="APP918" s="471"/>
      <c r="APQ918" s="471"/>
      <c r="APR918" s="471"/>
      <c r="APS918" s="471"/>
      <c r="APT918" s="471"/>
      <c r="APU918" s="471"/>
      <c r="APV918" s="471"/>
      <c r="APW918" s="471"/>
      <c r="APX918" s="471"/>
      <c r="APY918" s="471"/>
      <c r="APZ918" s="471"/>
      <c r="AQA918" s="471"/>
      <c r="AQB918" s="471"/>
      <c r="AQC918" s="471"/>
      <c r="AQD918" s="471"/>
      <c r="AQE918" s="471"/>
      <c r="AQF918" s="471"/>
      <c r="AQG918" s="471"/>
      <c r="AQH918" s="471"/>
      <c r="AQI918" s="471"/>
      <c r="AQJ918" s="471"/>
      <c r="AQK918" s="471"/>
      <c r="AQL918" s="471"/>
      <c r="AQM918" s="471"/>
      <c r="AQN918" s="471"/>
      <c r="AQO918" s="471"/>
      <c r="AQP918" s="471"/>
      <c r="AQQ918" s="471"/>
      <c r="AQR918" s="471"/>
      <c r="AQS918" s="471"/>
      <c r="AQT918" s="471"/>
      <c r="AQU918" s="471"/>
      <c r="AQV918" s="471"/>
      <c r="AQW918" s="471"/>
      <c r="AQX918" s="471"/>
      <c r="AQY918" s="471"/>
      <c r="AQZ918" s="471"/>
      <c r="ARA918" s="471"/>
      <c r="ARB918" s="471"/>
      <c r="ARC918" s="471"/>
      <c r="ARD918" s="471"/>
      <c r="ARE918" s="471"/>
      <c r="ARF918" s="471"/>
      <c r="ARG918" s="471"/>
      <c r="ARH918" s="471"/>
      <c r="ARI918" s="471"/>
      <c r="ARJ918" s="471"/>
      <c r="ARK918" s="471"/>
      <c r="ARL918" s="471"/>
      <c r="ARM918" s="471"/>
      <c r="ARN918" s="471"/>
      <c r="ARO918" s="471"/>
      <c r="ARP918" s="471"/>
      <c r="ARQ918" s="471"/>
      <c r="ARR918" s="471"/>
      <c r="ARS918" s="471"/>
      <c r="ART918" s="471"/>
      <c r="ARU918" s="471"/>
      <c r="ARV918" s="471"/>
      <c r="ARW918" s="471"/>
      <c r="ARX918" s="471"/>
      <c r="ARY918" s="471"/>
      <c r="ARZ918" s="471"/>
      <c r="ASA918" s="471"/>
      <c r="ASB918" s="471"/>
      <c r="ASC918" s="471"/>
      <c r="ASD918" s="471"/>
      <c r="ASE918" s="471"/>
      <c r="ASF918" s="471"/>
      <c r="ASG918" s="471"/>
      <c r="ASH918" s="471"/>
      <c r="ASI918" s="471"/>
      <c r="ASJ918" s="471"/>
      <c r="ASK918" s="471"/>
      <c r="ASL918" s="471"/>
      <c r="ASM918" s="471"/>
      <c r="ASN918" s="471"/>
      <c r="ASO918" s="471"/>
      <c r="ASP918" s="471"/>
      <c r="ASQ918" s="471"/>
      <c r="ASR918" s="471"/>
      <c r="ASS918" s="471"/>
      <c r="AST918" s="471"/>
      <c r="ASU918" s="471"/>
      <c r="ASV918" s="471"/>
      <c r="ASW918" s="471"/>
      <c r="ASX918" s="471"/>
      <c r="ASY918" s="471"/>
      <c r="ASZ918" s="471"/>
      <c r="ATA918" s="471"/>
      <c r="ATB918" s="471"/>
      <c r="ATC918" s="471"/>
      <c r="ATD918" s="471"/>
      <c r="ATE918" s="471"/>
      <c r="ATF918" s="471"/>
      <c r="ATG918" s="471"/>
      <c r="ATH918" s="471"/>
      <c r="ATI918" s="471"/>
      <c r="ATJ918" s="471"/>
      <c r="ATK918" s="471"/>
      <c r="ATL918" s="471"/>
      <c r="ATM918" s="471"/>
      <c r="ATN918" s="471"/>
      <c r="ATO918" s="471"/>
      <c r="ATP918" s="471"/>
      <c r="ATQ918" s="471"/>
      <c r="ATR918" s="471"/>
      <c r="ATS918" s="471"/>
      <c r="ATT918" s="471"/>
      <c r="ATU918" s="471"/>
      <c r="ATV918" s="471"/>
      <c r="ATW918" s="471"/>
      <c r="ATX918" s="471"/>
      <c r="ATY918" s="471"/>
      <c r="ATZ918" s="471"/>
      <c r="AUA918" s="471"/>
      <c r="AUB918" s="471"/>
      <c r="AUC918" s="471"/>
      <c r="AUD918" s="471"/>
      <c r="AUE918" s="471"/>
      <c r="AUF918" s="471"/>
      <c r="AUG918" s="471"/>
      <c r="AUH918" s="471"/>
      <c r="AUI918" s="471"/>
      <c r="AUJ918" s="471"/>
      <c r="AUK918" s="471"/>
      <c r="AUL918" s="471"/>
      <c r="AUM918" s="471"/>
      <c r="AUN918" s="471"/>
      <c r="AUO918" s="471"/>
      <c r="AUP918" s="471"/>
      <c r="AUQ918" s="471"/>
      <c r="AUR918" s="471"/>
      <c r="AUS918" s="471"/>
      <c r="AUT918" s="471"/>
      <c r="AUU918" s="471"/>
      <c r="AUV918" s="471"/>
      <c r="AUW918" s="471"/>
      <c r="AUX918" s="471"/>
      <c r="AUY918" s="471"/>
      <c r="AUZ918" s="471"/>
      <c r="AVA918" s="471"/>
      <c r="AVB918" s="471"/>
      <c r="AVC918" s="471"/>
      <c r="AVD918" s="471"/>
      <c r="AVE918" s="471"/>
      <c r="AVF918" s="471"/>
      <c r="AVG918" s="471"/>
      <c r="AVH918" s="471"/>
      <c r="AVI918" s="471"/>
      <c r="AVJ918" s="471"/>
      <c r="AVK918" s="471"/>
    </row>
    <row r="919" spans="1:1259" s="511" customFormat="1" ht="15" customHeight="1">
      <c r="A919" s="472"/>
      <c r="B919" s="472"/>
      <c r="C919" s="472"/>
      <c r="D919" s="512" t="s">
        <v>3186</v>
      </c>
      <c r="E919" s="501" t="s">
        <v>3044</v>
      </c>
      <c r="F919" s="501"/>
      <c r="G919" s="501"/>
      <c r="H919" s="524">
        <v>10</v>
      </c>
      <c r="I919" s="496" t="s">
        <v>1676</v>
      </c>
      <c r="J919" s="502"/>
      <c r="K919" s="503" t="s">
        <v>4881</v>
      </c>
      <c r="L919" s="501" t="s">
        <v>3278</v>
      </c>
      <c r="M919" s="504">
        <v>44550</v>
      </c>
      <c r="N919" s="504">
        <v>44687</v>
      </c>
      <c r="O919" s="504"/>
      <c r="P919" s="502"/>
      <c r="Q919" s="502"/>
      <c r="R919" s="502"/>
      <c r="S919" s="501" t="s">
        <v>2379</v>
      </c>
      <c r="T919" s="501">
        <v>60</v>
      </c>
      <c r="U919" s="501"/>
      <c r="V919" s="501" t="s">
        <v>973</v>
      </c>
      <c r="W919" s="501">
        <v>400</v>
      </c>
      <c r="X919" s="505">
        <v>480</v>
      </c>
      <c r="Y919" s="491">
        <f t="shared" si="130"/>
        <v>192000</v>
      </c>
      <c r="Z919" s="506">
        <v>0.53</v>
      </c>
      <c r="AA919" s="492">
        <f t="shared" si="134"/>
        <v>101760</v>
      </c>
      <c r="AB919" s="480"/>
      <c r="AC919" s="481">
        <f t="shared" si="131"/>
        <v>0</v>
      </c>
      <c r="AD919" s="508"/>
      <c r="AE919" s="507"/>
      <c r="AF919" s="493">
        <f t="shared" si="132"/>
        <v>101760</v>
      </c>
      <c r="AG919" s="501" t="s">
        <v>1071</v>
      </c>
      <c r="AH919" s="501"/>
      <c r="AI919" s="503">
        <v>60</v>
      </c>
      <c r="AJ919" s="501" t="s">
        <v>3275</v>
      </c>
      <c r="AK919" s="509" t="s">
        <v>1144</v>
      </c>
      <c r="AL919" s="501">
        <v>75007</v>
      </c>
      <c r="AM919" s="501" t="s">
        <v>52</v>
      </c>
      <c r="AN919" s="501"/>
      <c r="AO919" s="501"/>
      <c r="AP919" s="510"/>
      <c r="AQ919" s="510" t="s">
        <v>37</v>
      </c>
      <c r="AR919" s="510"/>
      <c r="AS919" s="495" t="s">
        <v>1152</v>
      </c>
      <c r="AT919" s="495" t="s">
        <v>1076</v>
      </c>
      <c r="AU919" s="495" t="s">
        <v>1076</v>
      </c>
      <c r="AV919" s="506">
        <v>0.53</v>
      </c>
      <c r="AW919" s="471"/>
      <c r="AX919" s="471"/>
      <c r="AY919" s="471"/>
      <c r="AZ919" s="471"/>
      <c r="BA919" s="471"/>
      <c r="BB919" s="471"/>
      <c r="BC919" s="471"/>
      <c r="BD919" s="471"/>
      <c r="BE919" s="471"/>
      <c r="BF919" s="471"/>
      <c r="BG919" s="471"/>
      <c r="BH919" s="471"/>
      <c r="BI919" s="471"/>
      <c r="BJ919" s="471"/>
      <c r="BK919" s="471"/>
      <c r="BL919" s="471"/>
      <c r="BM919" s="471"/>
      <c r="BN919" s="471"/>
      <c r="BO919" s="471"/>
      <c r="BP919" s="471"/>
      <c r="BQ919" s="471"/>
      <c r="BR919" s="471"/>
      <c r="BS919" s="471"/>
      <c r="BT919" s="471"/>
      <c r="BU919" s="471"/>
      <c r="BV919" s="471"/>
      <c r="BW919" s="471"/>
      <c r="BX919" s="471"/>
      <c r="BY919" s="471"/>
      <c r="BZ919" s="471"/>
      <c r="CA919" s="471"/>
      <c r="CB919" s="471"/>
      <c r="CC919" s="471"/>
      <c r="CD919" s="471"/>
      <c r="CE919" s="471"/>
      <c r="CF919" s="471"/>
      <c r="CG919" s="471"/>
      <c r="CH919" s="471"/>
      <c r="CI919" s="471"/>
      <c r="CJ919" s="471"/>
      <c r="CK919" s="471"/>
      <c r="CL919" s="471"/>
      <c r="CM919" s="471"/>
      <c r="CN919" s="471"/>
      <c r="CO919" s="471"/>
      <c r="CP919" s="471"/>
      <c r="CQ919" s="471"/>
      <c r="CR919" s="471"/>
      <c r="CS919" s="471"/>
      <c r="CT919" s="471"/>
      <c r="CU919" s="471"/>
      <c r="CV919" s="471"/>
      <c r="CW919" s="471"/>
      <c r="CX919" s="471"/>
      <c r="CY919" s="471"/>
      <c r="CZ919" s="471"/>
      <c r="DA919" s="471"/>
      <c r="DB919" s="471"/>
      <c r="DC919" s="471"/>
      <c r="DD919" s="471"/>
      <c r="DE919" s="471"/>
      <c r="DF919" s="471"/>
      <c r="DG919" s="471"/>
      <c r="DH919" s="471"/>
      <c r="DI919" s="471"/>
      <c r="DJ919" s="471"/>
      <c r="DK919" s="471"/>
      <c r="DL919" s="471"/>
      <c r="DM919" s="471"/>
      <c r="DN919" s="471"/>
      <c r="DO919" s="471"/>
      <c r="DP919" s="471"/>
      <c r="DQ919" s="471"/>
      <c r="DR919" s="471"/>
      <c r="DS919" s="471"/>
      <c r="DT919" s="471"/>
      <c r="DU919" s="471"/>
      <c r="DV919" s="471"/>
      <c r="DW919" s="471"/>
      <c r="DX919" s="471"/>
      <c r="DY919" s="471"/>
      <c r="DZ919" s="471"/>
      <c r="EA919" s="471"/>
      <c r="EB919" s="471"/>
      <c r="EC919" s="471"/>
      <c r="ED919" s="471"/>
      <c r="EE919" s="471"/>
      <c r="EF919" s="471"/>
      <c r="EG919" s="471"/>
      <c r="EH919" s="471"/>
      <c r="EI919" s="471"/>
      <c r="EJ919" s="471"/>
      <c r="EK919" s="471"/>
      <c r="EL919" s="471"/>
      <c r="EM919" s="471"/>
      <c r="EN919" s="471"/>
      <c r="EO919" s="471"/>
      <c r="EP919" s="471"/>
      <c r="EQ919" s="471"/>
      <c r="ER919" s="471"/>
      <c r="ES919" s="471"/>
      <c r="ET919" s="471"/>
      <c r="EU919" s="471"/>
      <c r="EV919" s="471"/>
      <c r="EW919" s="471"/>
      <c r="EX919" s="471"/>
      <c r="EY919" s="471"/>
      <c r="EZ919" s="471"/>
      <c r="FA919" s="471"/>
      <c r="FB919" s="471"/>
      <c r="FC919" s="471"/>
      <c r="FD919" s="471"/>
      <c r="FE919" s="471"/>
      <c r="FF919" s="471"/>
      <c r="FG919" s="471"/>
      <c r="FH919" s="471"/>
      <c r="FI919" s="471"/>
      <c r="FJ919" s="471"/>
      <c r="FK919" s="471"/>
      <c r="FL919" s="471"/>
      <c r="FM919" s="471"/>
      <c r="FN919" s="471"/>
      <c r="FO919" s="471"/>
      <c r="FP919" s="471"/>
      <c r="FQ919" s="471"/>
      <c r="FR919" s="471"/>
      <c r="FS919" s="471"/>
      <c r="FT919" s="471"/>
      <c r="FU919" s="471"/>
      <c r="FV919" s="471"/>
      <c r="FW919" s="471"/>
      <c r="FX919" s="471"/>
      <c r="FY919" s="471"/>
      <c r="FZ919" s="471"/>
      <c r="GA919" s="471"/>
      <c r="GB919" s="471"/>
      <c r="GC919" s="471"/>
      <c r="GD919" s="471"/>
      <c r="GE919" s="471"/>
      <c r="GF919" s="471"/>
      <c r="GG919" s="471"/>
      <c r="GH919" s="471"/>
      <c r="GI919" s="471"/>
      <c r="GJ919" s="471"/>
      <c r="GK919" s="471"/>
      <c r="GL919" s="471"/>
      <c r="GM919" s="471"/>
      <c r="GN919" s="471"/>
      <c r="GO919" s="471"/>
      <c r="GP919" s="471"/>
      <c r="GQ919" s="471"/>
      <c r="GR919" s="471"/>
      <c r="GS919" s="471"/>
      <c r="GT919" s="471"/>
      <c r="GU919" s="471"/>
      <c r="GV919" s="471"/>
      <c r="GW919" s="471"/>
      <c r="GX919" s="471"/>
      <c r="GY919" s="471"/>
      <c r="GZ919" s="471"/>
      <c r="HA919" s="471"/>
      <c r="HB919" s="471"/>
      <c r="HC919" s="471"/>
      <c r="HD919" s="471"/>
      <c r="HE919" s="471"/>
      <c r="HF919" s="471"/>
      <c r="HG919" s="471"/>
      <c r="HH919" s="471"/>
      <c r="HI919" s="471"/>
      <c r="HJ919" s="471"/>
      <c r="HK919" s="471"/>
      <c r="HL919" s="471"/>
      <c r="HM919" s="471"/>
      <c r="HN919" s="471"/>
      <c r="HO919" s="471"/>
      <c r="HP919" s="471"/>
      <c r="HQ919" s="471"/>
      <c r="HR919" s="471"/>
      <c r="HS919" s="471"/>
      <c r="HT919" s="471"/>
      <c r="HU919" s="471"/>
      <c r="HV919" s="471"/>
      <c r="HW919" s="471"/>
      <c r="HX919" s="471"/>
      <c r="HY919" s="471"/>
      <c r="HZ919" s="471"/>
      <c r="IA919" s="471"/>
      <c r="IB919" s="471"/>
      <c r="IC919" s="471"/>
      <c r="ID919" s="471"/>
      <c r="IE919" s="471"/>
      <c r="IF919" s="471"/>
      <c r="IG919" s="471"/>
      <c r="IH919" s="471"/>
      <c r="II919" s="471"/>
      <c r="IJ919" s="471"/>
      <c r="IK919" s="471"/>
      <c r="IL919" s="471"/>
      <c r="IM919" s="471"/>
      <c r="IN919" s="471"/>
      <c r="IO919" s="471"/>
      <c r="IP919" s="471"/>
      <c r="IQ919" s="471"/>
      <c r="IR919" s="471"/>
      <c r="IS919" s="471"/>
      <c r="IT919" s="471"/>
      <c r="IU919" s="471"/>
      <c r="IV919" s="471"/>
      <c r="IW919" s="471"/>
      <c r="IX919" s="471"/>
      <c r="IY919" s="471"/>
      <c r="IZ919" s="471"/>
      <c r="JA919" s="471"/>
      <c r="JB919" s="471"/>
      <c r="JC919" s="471"/>
      <c r="JD919" s="471"/>
      <c r="JE919" s="471"/>
      <c r="JF919" s="471"/>
      <c r="JG919" s="471"/>
      <c r="JH919" s="471"/>
      <c r="JI919" s="471"/>
      <c r="JJ919" s="471"/>
      <c r="JK919" s="471"/>
      <c r="JL919" s="471"/>
      <c r="JM919" s="471"/>
      <c r="JN919" s="471"/>
      <c r="JO919" s="471"/>
      <c r="JP919" s="471"/>
      <c r="JQ919" s="471"/>
      <c r="JR919" s="471"/>
      <c r="JS919" s="471"/>
      <c r="JT919" s="471"/>
      <c r="JU919" s="471"/>
      <c r="JV919" s="471"/>
      <c r="JW919" s="471"/>
      <c r="JX919" s="471"/>
      <c r="JY919" s="471"/>
      <c r="JZ919" s="471"/>
      <c r="KA919" s="471"/>
      <c r="KB919" s="471"/>
      <c r="KC919" s="471"/>
      <c r="KD919" s="471"/>
      <c r="KE919" s="471"/>
      <c r="KF919" s="471"/>
      <c r="KG919" s="471"/>
      <c r="KH919" s="471"/>
      <c r="KI919" s="471"/>
      <c r="KJ919" s="471"/>
      <c r="KK919" s="471"/>
      <c r="KL919" s="471"/>
      <c r="KM919" s="471"/>
      <c r="KN919" s="471"/>
      <c r="KO919" s="471"/>
      <c r="KP919" s="471"/>
      <c r="KQ919" s="471"/>
      <c r="KR919" s="471"/>
      <c r="KS919" s="471"/>
      <c r="KT919" s="471"/>
      <c r="KU919" s="471"/>
      <c r="KV919" s="471"/>
      <c r="KW919" s="471"/>
      <c r="KX919" s="471"/>
      <c r="KY919" s="471"/>
      <c r="KZ919" s="471"/>
      <c r="LA919" s="471"/>
      <c r="LB919" s="471"/>
      <c r="LC919" s="471"/>
      <c r="LD919" s="471"/>
      <c r="LE919" s="471"/>
      <c r="LF919" s="471"/>
      <c r="LG919" s="471"/>
      <c r="LH919" s="471"/>
      <c r="LI919" s="471"/>
      <c r="LJ919" s="471"/>
      <c r="LK919" s="471"/>
      <c r="LL919" s="471"/>
      <c r="LM919" s="471"/>
      <c r="LN919" s="471"/>
      <c r="LO919" s="471"/>
      <c r="LP919" s="471"/>
      <c r="LQ919" s="471"/>
      <c r="LR919" s="471"/>
      <c r="LS919" s="471"/>
      <c r="LT919" s="471"/>
      <c r="LU919" s="471"/>
      <c r="LV919" s="471"/>
      <c r="LW919" s="471"/>
      <c r="LX919" s="471"/>
      <c r="LY919" s="471"/>
      <c r="LZ919" s="471"/>
      <c r="MA919" s="471"/>
      <c r="MB919" s="471"/>
      <c r="MC919" s="471"/>
      <c r="MD919" s="471"/>
      <c r="ME919" s="471"/>
      <c r="MF919" s="471"/>
      <c r="MG919" s="471"/>
      <c r="MH919" s="471"/>
      <c r="MI919" s="471"/>
      <c r="MJ919" s="471"/>
      <c r="MK919" s="471"/>
      <c r="ML919" s="471"/>
      <c r="MM919" s="471"/>
      <c r="MN919" s="471"/>
      <c r="MO919" s="471"/>
      <c r="MP919" s="471"/>
      <c r="MQ919" s="471"/>
      <c r="MR919" s="471"/>
      <c r="MS919" s="471"/>
      <c r="MT919" s="471"/>
      <c r="MU919" s="471"/>
      <c r="MV919" s="471"/>
      <c r="MW919" s="471"/>
      <c r="MX919" s="471"/>
      <c r="MY919" s="471"/>
      <c r="MZ919" s="471"/>
      <c r="NA919" s="471"/>
      <c r="NB919" s="471"/>
      <c r="NC919" s="471"/>
      <c r="ND919" s="471"/>
      <c r="NE919" s="471"/>
      <c r="NF919" s="471"/>
      <c r="NG919" s="471"/>
      <c r="NH919" s="471"/>
      <c r="NI919" s="471"/>
      <c r="NJ919" s="471"/>
      <c r="NK919" s="471"/>
      <c r="NL919" s="471"/>
      <c r="NM919" s="471"/>
      <c r="NN919" s="471"/>
      <c r="NO919" s="471"/>
      <c r="NP919" s="471"/>
      <c r="NQ919" s="471"/>
      <c r="NR919" s="471"/>
      <c r="NS919" s="471"/>
      <c r="NT919" s="471"/>
      <c r="NU919" s="471"/>
      <c r="NV919" s="471"/>
      <c r="NW919" s="471"/>
      <c r="NX919" s="471"/>
      <c r="NY919" s="471"/>
      <c r="NZ919" s="471"/>
      <c r="OA919" s="471"/>
      <c r="OB919" s="471"/>
      <c r="OC919" s="471"/>
      <c r="OD919" s="471"/>
      <c r="OE919" s="471"/>
      <c r="OF919" s="471"/>
      <c r="OG919" s="471"/>
      <c r="OH919" s="471"/>
      <c r="OI919" s="471"/>
      <c r="OJ919" s="471"/>
      <c r="OK919" s="471"/>
      <c r="OL919" s="471"/>
      <c r="OM919" s="471"/>
      <c r="ON919" s="471"/>
      <c r="OO919" s="471"/>
      <c r="OP919" s="471"/>
      <c r="OQ919" s="471"/>
      <c r="OR919" s="471"/>
      <c r="OS919" s="471"/>
      <c r="OT919" s="471"/>
      <c r="OU919" s="471"/>
      <c r="OV919" s="471"/>
      <c r="OW919" s="471"/>
      <c r="OX919" s="471"/>
      <c r="OY919" s="471"/>
      <c r="OZ919" s="471"/>
      <c r="PA919" s="471"/>
      <c r="PB919" s="471"/>
      <c r="PC919" s="471"/>
      <c r="PD919" s="471"/>
      <c r="PE919" s="471"/>
      <c r="PF919" s="471"/>
      <c r="PG919" s="471"/>
      <c r="PH919" s="471"/>
      <c r="PI919" s="471"/>
      <c r="PJ919" s="471"/>
      <c r="PK919" s="471"/>
      <c r="PL919" s="471"/>
      <c r="PM919" s="471"/>
      <c r="PN919" s="471"/>
      <c r="PO919" s="471"/>
      <c r="PP919" s="471"/>
      <c r="PQ919" s="471"/>
      <c r="PR919" s="471"/>
      <c r="PS919" s="471"/>
      <c r="PT919" s="471"/>
      <c r="PU919" s="471"/>
      <c r="PV919" s="471"/>
      <c r="PW919" s="471"/>
      <c r="PX919" s="471"/>
      <c r="PY919" s="471"/>
      <c r="PZ919" s="471"/>
      <c r="QA919" s="471"/>
      <c r="QB919" s="471"/>
      <c r="QC919" s="471"/>
      <c r="QD919" s="471"/>
      <c r="QE919" s="471"/>
      <c r="QF919" s="471"/>
      <c r="QG919" s="471"/>
      <c r="QH919" s="471"/>
      <c r="QI919" s="471"/>
      <c r="QJ919" s="471"/>
      <c r="QK919" s="471"/>
      <c r="QL919" s="471"/>
      <c r="QM919" s="471"/>
      <c r="QN919" s="471"/>
      <c r="QO919" s="471"/>
      <c r="QP919" s="471"/>
      <c r="QQ919" s="471"/>
      <c r="QR919" s="471"/>
      <c r="QS919" s="471"/>
      <c r="QT919" s="471"/>
      <c r="QU919" s="471"/>
      <c r="QV919" s="471"/>
      <c r="QW919" s="471"/>
      <c r="QX919" s="471"/>
      <c r="QY919" s="471"/>
      <c r="QZ919" s="471"/>
      <c r="RA919" s="471"/>
      <c r="RB919" s="471"/>
      <c r="RC919" s="471"/>
      <c r="RD919" s="471"/>
      <c r="RE919" s="471"/>
      <c r="RF919" s="471"/>
      <c r="RG919" s="471"/>
      <c r="RH919" s="471"/>
      <c r="RI919" s="471"/>
      <c r="RJ919" s="471"/>
      <c r="RK919" s="471"/>
      <c r="RL919" s="471"/>
      <c r="RM919" s="471"/>
      <c r="RN919" s="471"/>
      <c r="RO919" s="471"/>
      <c r="RP919" s="471"/>
      <c r="RQ919" s="471"/>
      <c r="RR919" s="471"/>
      <c r="RS919" s="471"/>
      <c r="RT919" s="471"/>
      <c r="RU919" s="471"/>
      <c r="RV919" s="471"/>
      <c r="RW919" s="471"/>
      <c r="RX919" s="471"/>
      <c r="RY919" s="471"/>
      <c r="RZ919" s="471"/>
      <c r="SA919" s="471"/>
      <c r="SB919" s="471"/>
      <c r="SC919" s="471"/>
      <c r="SD919" s="471"/>
      <c r="SE919" s="471"/>
      <c r="SF919" s="471"/>
      <c r="SG919" s="471"/>
      <c r="SH919" s="471"/>
      <c r="SI919" s="471"/>
      <c r="SJ919" s="471"/>
      <c r="SK919" s="471"/>
      <c r="SL919" s="471"/>
      <c r="SM919" s="471"/>
      <c r="SN919" s="471"/>
      <c r="SO919" s="471"/>
      <c r="SP919" s="471"/>
      <c r="SQ919" s="471"/>
      <c r="SR919" s="471"/>
      <c r="SS919" s="471"/>
      <c r="ST919" s="471"/>
      <c r="SU919" s="471"/>
      <c r="SV919" s="471"/>
      <c r="SW919" s="471"/>
      <c r="SX919" s="471"/>
      <c r="SY919" s="471"/>
      <c r="SZ919" s="471"/>
      <c r="TA919" s="471"/>
      <c r="TB919" s="471"/>
      <c r="TC919" s="471"/>
      <c r="TD919" s="471"/>
      <c r="TE919" s="471"/>
      <c r="TF919" s="471"/>
      <c r="TG919" s="471"/>
      <c r="TH919" s="471"/>
      <c r="TI919" s="471"/>
      <c r="TJ919" s="471"/>
      <c r="TK919" s="471"/>
      <c r="TL919" s="471"/>
      <c r="TM919" s="471"/>
      <c r="TN919" s="471"/>
      <c r="TO919" s="471"/>
      <c r="TP919" s="471"/>
      <c r="TQ919" s="471"/>
      <c r="TR919" s="471"/>
      <c r="TS919" s="471"/>
      <c r="TT919" s="471"/>
      <c r="TU919" s="471"/>
      <c r="TV919" s="471"/>
      <c r="TW919" s="471"/>
      <c r="TX919" s="471"/>
      <c r="TY919" s="471"/>
      <c r="TZ919" s="471"/>
      <c r="UA919" s="471"/>
      <c r="UB919" s="471"/>
      <c r="UC919" s="471"/>
      <c r="UD919" s="471"/>
      <c r="UE919" s="471"/>
      <c r="UF919" s="471"/>
      <c r="UG919" s="471"/>
      <c r="UH919" s="471"/>
      <c r="UI919" s="471"/>
      <c r="UJ919" s="471"/>
      <c r="UK919" s="471"/>
      <c r="UL919" s="471"/>
      <c r="UM919" s="471"/>
      <c r="UN919" s="471"/>
      <c r="UO919" s="471"/>
      <c r="UP919" s="471"/>
      <c r="UQ919" s="471"/>
      <c r="UR919" s="471"/>
      <c r="US919" s="471"/>
      <c r="UT919" s="471"/>
      <c r="UU919" s="471"/>
      <c r="UV919" s="471"/>
      <c r="UW919" s="471"/>
      <c r="UX919" s="471"/>
      <c r="UY919" s="471"/>
      <c r="UZ919" s="471"/>
      <c r="VA919" s="471"/>
      <c r="VB919" s="471"/>
      <c r="VC919" s="471"/>
      <c r="VD919" s="471"/>
      <c r="VE919" s="471"/>
      <c r="VF919" s="471"/>
      <c r="VG919" s="471"/>
      <c r="VH919" s="471"/>
      <c r="VI919" s="471"/>
      <c r="VJ919" s="471"/>
      <c r="VK919" s="471"/>
      <c r="VL919" s="471"/>
      <c r="VM919" s="471"/>
      <c r="VN919" s="471"/>
      <c r="VO919" s="471"/>
      <c r="VP919" s="471"/>
      <c r="VQ919" s="471"/>
      <c r="VR919" s="471"/>
      <c r="VS919" s="471"/>
      <c r="VT919" s="471"/>
      <c r="VU919" s="471"/>
      <c r="VV919" s="471"/>
      <c r="VW919" s="471"/>
      <c r="VX919" s="471"/>
      <c r="VY919" s="471"/>
      <c r="VZ919" s="471"/>
      <c r="WA919" s="471"/>
      <c r="WB919" s="471"/>
      <c r="WC919" s="471"/>
      <c r="WD919" s="471"/>
      <c r="WE919" s="471"/>
      <c r="WF919" s="471"/>
      <c r="WG919" s="471"/>
      <c r="WH919" s="471"/>
      <c r="WI919" s="471"/>
      <c r="WJ919" s="471"/>
      <c r="WK919" s="471"/>
      <c r="WL919" s="471"/>
      <c r="WM919" s="471"/>
      <c r="WN919" s="471"/>
      <c r="WO919" s="471"/>
      <c r="WP919" s="471"/>
      <c r="WQ919" s="471"/>
      <c r="WR919" s="471"/>
      <c r="WS919" s="471"/>
      <c r="WT919" s="471"/>
      <c r="WU919" s="471"/>
      <c r="WV919" s="471"/>
      <c r="WW919" s="471"/>
      <c r="WX919" s="471"/>
      <c r="WY919" s="471"/>
      <c r="WZ919" s="471"/>
      <c r="XA919" s="471"/>
      <c r="XB919" s="471"/>
      <c r="XC919" s="471"/>
      <c r="XD919" s="471"/>
      <c r="XE919" s="471"/>
      <c r="XF919" s="471"/>
      <c r="XG919" s="471"/>
      <c r="XH919" s="471"/>
      <c r="XI919" s="471"/>
      <c r="XJ919" s="471"/>
      <c r="XK919" s="471"/>
      <c r="XL919" s="471"/>
      <c r="XM919" s="471"/>
      <c r="XN919" s="471"/>
      <c r="XO919" s="471"/>
      <c r="XP919" s="471"/>
      <c r="XQ919" s="471"/>
      <c r="XR919" s="471"/>
      <c r="XS919" s="471"/>
      <c r="XT919" s="471"/>
      <c r="XU919" s="471"/>
      <c r="XV919" s="471"/>
      <c r="XW919" s="471"/>
      <c r="XX919" s="471"/>
      <c r="XY919" s="471"/>
      <c r="XZ919" s="471"/>
      <c r="YA919" s="471"/>
      <c r="YB919" s="471"/>
      <c r="YC919" s="471"/>
      <c r="YD919" s="471"/>
      <c r="YE919" s="471"/>
      <c r="YF919" s="471"/>
      <c r="YG919" s="471"/>
      <c r="YH919" s="471"/>
      <c r="YI919" s="471"/>
      <c r="YJ919" s="471"/>
      <c r="YK919" s="471"/>
      <c r="YL919" s="471"/>
      <c r="YM919" s="471"/>
      <c r="YN919" s="471"/>
      <c r="YO919" s="471"/>
      <c r="YP919" s="471"/>
      <c r="YQ919" s="471"/>
      <c r="YR919" s="471"/>
      <c r="YS919" s="471"/>
      <c r="YT919" s="471"/>
      <c r="YU919" s="471"/>
      <c r="YV919" s="471"/>
      <c r="YW919" s="471"/>
      <c r="YX919" s="471"/>
      <c r="YY919" s="471"/>
      <c r="YZ919" s="471"/>
      <c r="ZA919" s="471"/>
      <c r="ZB919" s="471"/>
      <c r="ZC919" s="471"/>
      <c r="ZD919" s="471"/>
      <c r="ZE919" s="471"/>
      <c r="ZF919" s="471"/>
      <c r="ZG919" s="471"/>
      <c r="ZH919" s="471"/>
      <c r="ZI919" s="471"/>
      <c r="ZJ919" s="471"/>
      <c r="ZK919" s="471"/>
      <c r="ZL919" s="471"/>
      <c r="ZM919" s="471"/>
      <c r="ZN919" s="471"/>
      <c r="ZO919" s="471"/>
      <c r="ZP919" s="471"/>
      <c r="ZQ919" s="471"/>
      <c r="ZR919" s="471"/>
      <c r="ZS919" s="471"/>
      <c r="ZT919" s="471"/>
      <c r="ZU919" s="471"/>
      <c r="ZV919" s="471"/>
      <c r="ZW919" s="471"/>
      <c r="ZX919" s="471"/>
      <c r="ZY919" s="471"/>
      <c r="ZZ919" s="471"/>
      <c r="AAA919" s="471"/>
      <c r="AAB919" s="471"/>
      <c r="AAC919" s="471"/>
      <c r="AAD919" s="471"/>
      <c r="AAE919" s="471"/>
      <c r="AAF919" s="471"/>
      <c r="AAG919" s="471"/>
      <c r="AAH919" s="471"/>
      <c r="AAI919" s="471"/>
      <c r="AAJ919" s="471"/>
      <c r="AAK919" s="471"/>
      <c r="AAL919" s="471"/>
      <c r="AAM919" s="471"/>
      <c r="AAN919" s="471"/>
      <c r="AAO919" s="471"/>
      <c r="AAP919" s="471"/>
      <c r="AAQ919" s="471"/>
      <c r="AAR919" s="471"/>
      <c r="AAS919" s="471"/>
      <c r="AAT919" s="471"/>
      <c r="AAU919" s="471"/>
      <c r="AAV919" s="471"/>
      <c r="AAW919" s="471"/>
      <c r="AAX919" s="471"/>
      <c r="AAY919" s="471"/>
      <c r="AAZ919" s="471"/>
      <c r="ABA919" s="471"/>
      <c r="ABB919" s="471"/>
      <c r="ABC919" s="471"/>
      <c r="ABD919" s="471"/>
      <c r="ABE919" s="471"/>
      <c r="ABF919" s="471"/>
      <c r="ABG919" s="471"/>
      <c r="ABH919" s="471"/>
      <c r="ABI919" s="471"/>
      <c r="ABJ919" s="471"/>
      <c r="ABK919" s="471"/>
      <c r="ABL919" s="471"/>
      <c r="ABM919" s="471"/>
      <c r="ABN919" s="471"/>
      <c r="ABO919" s="471"/>
      <c r="ABP919" s="471"/>
      <c r="ABQ919" s="471"/>
      <c r="ABR919" s="471"/>
      <c r="ABS919" s="471"/>
      <c r="ABT919" s="471"/>
      <c r="ABU919" s="471"/>
      <c r="ABV919" s="471"/>
      <c r="ABW919" s="471"/>
      <c r="ABX919" s="471"/>
      <c r="ABY919" s="471"/>
      <c r="ABZ919" s="471"/>
      <c r="ACA919" s="471"/>
      <c r="ACB919" s="471"/>
      <c r="ACC919" s="471"/>
      <c r="ACD919" s="471"/>
      <c r="ACE919" s="471"/>
      <c r="ACF919" s="471"/>
      <c r="ACG919" s="471"/>
      <c r="ACH919" s="471"/>
      <c r="ACI919" s="471"/>
      <c r="ACJ919" s="471"/>
      <c r="ACK919" s="471"/>
      <c r="ACL919" s="471"/>
      <c r="ACM919" s="471"/>
      <c r="ACN919" s="471"/>
      <c r="ACO919" s="471"/>
      <c r="ACP919" s="471"/>
      <c r="ACQ919" s="471"/>
      <c r="ACR919" s="471"/>
      <c r="ACS919" s="471"/>
      <c r="ACT919" s="471"/>
      <c r="ACU919" s="471"/>
      <c r="ACV919" s="471"/>
      <c r="ACW919" s="471"/>
      <c r="ACX919" s="471"/>
      <c r="ACY919" s="471"/>
      <c r="ACZ919" s="471"/>
      <c r="ADA919" s="471"/>
      <c r="ADB919" s="471"/>
      <c r="ADC919" s="471"/>
      <c r="ADD919" s="471"/>
      <c r="ADE919" s="471"/>
      <c r="ADF919" s="471"/>
      <c r="ADG919" s="471"/>
      <c r="ADH919" s="471"/>
      <c r="ADI919" s="471"/>
      <c r="ADJ919" s="471"/>
      <c r="ADK919" s="471"/>
      <c r="ADL919" s="471"/>
      <c r="ADM919" s="471"/>
      <c r="ADN919" s="471"/>
      <c r="ADO919" s="471"/>
      <c r="ADP919" s="471"/>
      <c r="ADQ919" s="471"/>
      <c r="ADR919" s="471"/>
      <c r="ADS919" s="471"/>
      <c r="ADT919" s="471"/>
      <c r="ADU919" s="471"/>
      <c r="ADV919" s="471"/>
      <c r="ADW919" s="471"/>
      <c r="ADX919" s="471"/>
      <c r="ADY919" s="471"/>
      <c r="ADZ919" s="471"/>
      <c r="AEA919" s="471"/>
      <c r="AEB919" s="471"/>
      <c r="AEC919" s="471"/>
      <c r="AED919" s="471"/>
      <c r="AEE919" s="471"/>
      <c r="AEF919" s="471"/>
      <c r="AEG919" s="471"/>
      <c r="AEH919" s="471"/>
      <c r="AEI919" s="471"/>
      <c r="AEJ919" s="471"/>
      <c r="AEK919" s="471"/>
      <c r="AEL919" s="471"/>
      <c r="AEM919" s="471"/>
      <c r="AEN919" s="471"/>
      <c r="AEO919" s="471"/>
      <c r="AEP919" s="471"/>
      <c r="AEQ919" s="471"/>
      <c r="AER919" s="471"/>
      <c r="AES919" s="471"/>
      <c r="AET919" s="471"/>
      <c r="AEU919" s="471"/>
      <c r="AEV919" s="471"/>
      <c r="AEW919" s="471"/>
      <c r="AEX919" s="471"/>
      <c r="AEY919" s="471"/>
      <c r="AEZ919" s="471"/>
      <c r="AFA919" s="471"/>
      <c r="AFB919" s="471"/>
      <c r="AFC919" s="471"/>
      <c r="AFD919" s="471"/>
      <c r="AFE919" s="471"/>
      <c r="AFF919" s="471"/>
      <c r="AFG919" s="471"/>
      <c r="AFH919" s="471"/>
      <c r="AFI919" s="471"/>
      <c r="AFJ919" s="471"/>
      <c r="AFK919" s="471"/>
      <c r="AFL919" s="471"/>
      <c r="AFM919" s="471"/>
      <c r="AFN919" s="471"/>
      <c r="AFO919" s="471"/>
      <c r="AFP919" s="471"/>
      <c r="AFQ919" s="471"/>
      <c r="AFR919" s="471"/>
      <c r="AFS919" s="471"/>
      <c r="AFT919" s="471"/>
      <c r="AFU919" s="471"/>
      <c r="AFV919" s="471"/>
      <c r="AFW919" s="471"/>
      <c r="AFX919" s="471"/>
      <c r="AFY919" s="471"/>
      <c r="AFZ919" s="471"/>
      <c r="AGA919" s="471"/>
      <c r="AGB919" s="471"/>
      <c r="AGC919" s="471"/>
      <c r="AGD919" s="471"/>
      <c r="AGE919" s="471"/>
      <c r="AGF919" s="471"/>
      <c r="AGG919" s="471"/>
      <c r="AGH919" s="471"/>
      <c r="AGI919" s="471"/>
      <c r="AGJ919" s="471"/>
      <c r="AGK919" s="471"/>
      <c r="AGL919" s="471"/>
      <c r="AGM919" s="471"/>
      <c r="AGN919" s="471"/>
      <c r="AGO919" s="471"/>
      <c r="AGP919" s="471"/>
      <c r="AGQ919" s="471"/>
      <c r="AGR919" s="471"/>
      <c r="AGS919" s="471"/>
      <c r="AGT919" s="471"/>
      <c r="AGU919" s="471"/>
      <c r="AGV919" s="471"/>
      <c r="AGW919" s="471"/>
      <c r="AGX919" s="471"/>
      <c r="AGY919" s="471"/>
      <c r="AGZ919" s="471"/>
      <c r="AHA919" s="471"/>
      <c r="AHB919" s="471"/>
      <c r="AHC919" s="471"/>
      <c r="AHD919" s="471"/>
      <c r="AHE919" s="471"/>
      <c r="AHF919" s="471"/>
      <c r="AHG919" s="471"/>
      <c r="AHH919" s="471"/>
      <c r="AHI919" s="471"/>
      <c r="AHJ919" s="471"/>
      <c r="AHK919" s="471"/>
      <c r="AHL919" s="471"/>
      <c r="AHM919" s="471"/>
      <c r="AHN919" s="471"/>
      <c r="AHO919" s="471"/>
      <c r="AHP919" s="471"/>
      <c r="AHQ919" s="471"/>
      <c r="AHR919" s="471"/>
      <c r="AHS919" s="471"/>
      <c r="AHT919" s="471"/>
      <c r="AHU919" s="471"/>
      <c r="AHV919" s="471"/>
      <c r="AHW919" s="471"/>
      <c r="AHX919" s="471"/>
      <c r="AHY919" s="471"/>
      <c r="AHZ919" s="471"/>
      <c r="AIA919" s="471"/>
      <c r="AIB919" s="471"/>
      <c r="AIC919" s="471"/>
      <c r="AID919" s="471"/>
      <c r="AIE919" s="471"/>
      <c r="AIF919" s="471"/>
      <c r="AIG919" s="471"/>
      <c r="AIH919" s="471"/>
      <c r="AII919" s="471"/>
      <c r="AIJ919" s="471"/>
      <c r="AIK919" s="471"/>
      <c r="AIL919" s="471"/>
      <c r="AIM919" s="471"/>
      <c r="AIN919" s="471"/>
      <c r="AIO919" s="471"/>
      <c r="AIP919" s="471"/>
      <c r="AIQ919" s="471"/>
      <c r="AIR919" s="471"/>
      <c r="AIS919" s="471"/>
      <c r="AIT919" s="471"/>
      <c r="AIU919" s="471"/>
      <c r="AIV919" s="471"/>
      <c r="AIW919" s="471"/>
      <c r="AIX919" s="471"/>
      <c r="AIY919" s="471"/>
      <c r="AIZ919" s="471"/>
      <c r="AJA919" s="471"/>
      <c r="AJB919" s="471"/>
      <c r="AJC919" s="471"/>
      <c r="AJD919" s="471"/>
      <c r="AJE919" s="471"/>
      <c r="AJF919" s="471"/>
      <c r="AJG919" s="471"/>
      <c r="AJH919" s="471"/>
      <c r="AJI919" s="471"/>
      <c r="AJJ919" s="471"/>
      <c r="AJK919" s="471"/>
      <c r="AJL919" s="471"/>
      <c r="AJM919" s="471"/>
      <c r="AJN919" s="471"/>
      <c r="AJO919" s="471"/>
      <c r="AJP919" s="471"/>
      <c r="AJQ919" s="471"/>
      <c r="AJR919" s="471"/>
      <c r="AJS919" s="471"/>
      <c r="AJT919" s="471"/>
      <c r="AJU919" s="471"/>
      <c r="AJV919" s="471"/>
      <c r="AJW919" s="471"/>
      <c r="AJX919" s="471"/>
      <c r="AJY919" s="471"/>
      <c r="AJZ919" s="471"/>
      <c r="AKA919" s="471"/>
      <c r="AKB919" s="471"/>
      <c r="AKC919" s="471"/>
      <c r="AKD919" s="471"/>
      <c r="AKE919" s="471"/>
      <c r="AKF919" s="471"/>
      <c r="AKG919" s="471"/>
      <c r="AKH919" s="471"/>
      <c r="AKI919" s="471"/>
      <c r="AKJ919" s="471"/>
      <c r="AKK919" s="471"/>
      <c r="AKL919" s="471"/>
      <c r="AKM919" s="471"/>
      <c r="AKN919" s="471"/>
      <c r="AKO919" s="471"/>
      <c r="AKP919" s="471"/>
      <c r="AKQ919" s="471"/>
      <c r="AKR919" s="471"/>
      <c r="AKS919" s="471"/>
      <c r="AKT919" s="471"/>
      <c r="AKU919" s="471"/>
      <c r="AKV919" s="471"/>
      <c r="AKW919" s="471"/>
      <c r="AKX919" s="471"/>
      <c r="AKY919" s="471"/>
      <c r="AKZ919" s="471"/>
      <c r="ALA919" s="471"/>
      <c r="ALB919" s="471"/>
      <c r="ALC919" s="471"/>
      <c r="ALD919" s="471"/>
      <c r="ALE919" s="471"/>
      <c r="ALF919" s="471"/>
      <c r="ALG919" s="471"/>
      <c r="ALH919" s="471"/>
      <c r="ALI919" s="471"/>
      <c r="ALJ919" s="471"/>
      <c r="ALK919" s="471"/>
      <c r="ALL919" s="471"/>
      <c r="ALM919" s="471"/>
      <c r="ALN919" s="471"/>
      <c r="ALO919" s="471"/>
      <c r="ALP919" s="471"/>
      <c r="ALQ919" s="471"/>
      <c r="ALR919" s="471"/>
      <c r="ALS919" s="471"/>
      <c r="ALT919" s="471"/>
      <c r="ALU919" s="471"/>
      <c r="ALV919" s="471"/>
      <c r="ALW919" s="471"/>
      <c r="ALX919" s="471"/>
      <c r="ALY919" s="471"/>
      <c r="ALZ919" s="471"/>
      <c r="AMA919" s="471"/>
      <c r="AMB919" s="471"/>
      <c r="AMC919" s="471"/>
      <c r="AMD919" s="471"/>
      <c r="AME919" s="471"/>
      <c r="AMF919" s="471"/>
      <c r="AMG919" s="471"/>
      <c r="AMH919" s="471"/>
      <c r="AMI919" s="471"/>
      <c r="AMJ919" s="471"/>
      <c r="AMK919" s="471"/>
      <c r="AML919" s="471"/>
      <c r="AMM919" s="471"/>
      <c r="AMN919" s="471"/>
      <c r="AMO919" s="471"/>
      <c r="AMP919" s="471"/>
      <c r="AMQ919" s="471"/>
      <c r="AMR919" s="471"/>
      <c r="AMS919" s="471"/>
      <c r="AMT919" s="471"/>
      <c r="AMU919" s="471"/>
      <c r="AMV919" s="471"/>
      <c r="AMW919" s="471"/>
      <c r="AMX919" s="471"/>
      <c r="AMY919" s="471"/>
      <c r="AMZ919" s="471"/>
      <c r="ANA919" s="471"/>
      <c r="ANB919" s="471"/>
      <c r="ANC919" s="471"/>
      <c r="AND919" s="471"/>
      <c r="ANE919" s="471"/>
      <c r="ANF919" s="471"/>
      <c r="ANG919" s="471"/>
      <c r="ANH919" s="471"/>
      <c r="ANI919" s="471"/>
      <c r="ANJ919" s="471"/>
      <c r="ANK919" s="471"/>
      <c r="ANL919" s="471"/>
      <c r="ANM919" s="471"/>
      <c r="ANN919" s="471"/>
      <c r="ANO919" s="471"/>
      <c r="ANP919" s="471"/>
      <c r="ANQ919" s="471"/>
      <c r="ANR919" s="471"/>
      <c r="ANS919" s="471"/>
      <c r="ANT919" s="471"/>
      <c r="ANU919" s="471"/>
      <c r="ANV919" s="471"/>
      <c r="ANW919" s="471"/>
      <c r="ANX919" s="471"/>
      <c r="ANY919" s="471"/>
      <c r="ANZ919" s="471"/>
      <c r="AOA919" s="471"/>
      <c r="AOB919" s="471"/>
      <c r="AOC919" s="471"/>
      <c r="AOD919" s="471"/>
      <c r="AOE919" s="471"/>
      <c r="AOF919" s="471"/>
      <c r="AOG919" s="471"/>
      <c r="AOH919" s="471"/>
      <c r="AOI919" s="471"/>
      <c r="AOJ919" s="471"/>
      <c r="AOK919" s="471"/>
      <c r="AOL919" s="471"/>
      <c r="AOM919" s="471"/>
      <c r="AON919" s="471"/>
      <c r="AOO919" s="471"/>
      <c r="AOP919" s="471"/>
      <c r="AOQ919" s="471"/>
      <c r="AOR919" s="471"/>
      <c r="AOS919" s="471"/>
      <c r="AOT919" s="471"/>
      <c r="AOU919" s="471"/>
      <c r="AOV919" s="471"/>
      <c r="AOW919" s="471"/>
      <c r="AOX919" s="471"/>
      <c r="AOY919" s="471"/>
      <c r="AOZ919" s="471"/>
      <c r="APA919" s="471"/>
      <c r="APB919" s="471"/>
      <c r="APC919" s="471"/>
      <c r="APD919" s="471"/>
      <c r="APE919" s="471"/>
      <c r="APF919" s="471"/>
      <c r="APG919" s="471"/>
      <c r="APH919" s="471"/>
      <c r="API919" s="471"/>
      <c r="APJ919" s="471"/>
      <c r="APK919" s="471"/>
      <c r="APL919" s="471"/>
      <c r="APM919" s="471"/>
      <c r="APN919" s="471"/>
      <c r="APO919" s="471"/>
      <c r="APP919" s="471"/>
      <c r="APQ919" s="471"/>
      <c r="APR919" s="471"/>
      <c r="APS919" s="471"/>
      <c r="APT919" s="471"/>
      <c r="APU919" s="471"/>
      <c r="APV919" s="471"/>
      <c r="APW919" s="471"/>
      <c r="APX919" s="471"/>
      <c r="APY919" s="471"/>
      <c r="APZ919" s="471"/>
      <c r="AQA919" s="471"/>
      <c r="AQB919" s="471"/>
      <c r="AQC919" s="471"/>
      <c r="AQD919" s="471"/>
      <c r="AQE919" s="471"/>
      <c r="AQF919" s="471"/>
      <c r="AQG919" s="471"/>
      <c r="AQH919" s="471"/>
      <c r="AQI919" s="471"/>
      <c r="AQJ919" s="471"/>
      <c r="AQK919" s="471"/>
      <c r="AQL919" s="471"/>
      <c r="AQM919" s="471"/>
      <c r="AQN919" s="471"/>
      <c r="AQO919" s="471"/>
      <c r="AQP919" s="471"/>
      <c r="AQQ919" s="471"/>
      <c r="AQR919" s="471"/>
      <c r="AQS919" s="471"/>
      <c r="AQT919" s="471"/>
      <c r="AQU919" s="471"/>
      <c r="AQV919" s="471"/>
      <c r="AQW919" s="471"/>
      <c r="AQX919" s="471"/>
      <c r="AQY919" s="471"/>
      <c r="AQZ919" s="471"/>
      <c r="ARA919" s="471"/>
      <c r="ARB919" s="471"/>
      <c r="ARC919" s="471"/>
      <c r="ARD919" s="471"/>
      <c r="ARE919" s="471"/>
      <c r="ARF919" s="471"/>
      <c r="ARG919" s="471"/>
      <c r="ARH919" s="471"/>
      <c r="ARI919" s="471"/>
      <c r="ARJ919" s="471"/>
      <c r="ARK919" s="471"/>
      <c r="ARL919" s="471"/>
      <c r="ARM919" s="471"/>
      <c r="ARN919" s="471"/>
      <c r="ARO919" s="471"/>
      <c r="ARP919" s="471"/>
      <c r="ARQ919" s="471"/>
      <c r="ARR919" s="471"/>
      <c r="ARS919" s="471"/>
      <c r="ART919" s="471"/>
      <c r="ARU919" s="471"/>
      <c r="ARV919" s="471"/>
      <c r="ARW919" s="471"/>
      <c r="ARX919" s="471"/>
      <c r="ARY919" s="471"/>
      <c r="ARZ919" s="471"/>
      <c r="ASA919" s="471"/>
      <c r="ASB919" s="471"/>
      <c r="ASC919" s="471"/>
      <c r="ASD919" s="471"/>
      <c r="ASE919" s="471"/>
      <c r="ASF919" s="471"/>
      <c r="ASG919" s="471"/>
      <c r="ASH919" s="471"/>
      <c r="ASI919" s="471"/>
      <c r="ASJ919" s="471"/>
      <c r="ASK919" s="471"/>
      <c r="ASL919" s="471"/>
      <c r="ASM919" s="471"/>
      <c r="ASN919" s="471"/>
      <c r="ASO919" s="471"/>
      <c r="ASP919" s="471"/>
      <c r="ASQ919" s="471"/>
      <c r="ASR919" s="471"/>
      <c r="ASS919" s="471"/>
      <c r="AST919" s="471"/>
      <c r="ASU919" s="471"/>
      <c r="ASV919" s="471"/>
      <c r="ASW919" s="471"/>
      <c r="ASX919" s="471"/>
      <c r="ASY919" s="471"/>
      <c r="ASZ919" s="471"/>
      <c r="ATA919" s="471"/>
      <c r="ATB919" s="471"/>
      <c r="ATC919" s="471"/>
      <c r="ATD919" s="471"/>
      <c r="ATE919" s="471"/>
      <c r="ATF919" s="471"/>
      <c r="ATG919" s="471"/>
      <c r="ATH919" s="471"/>
      <c r="ATI919" s="471"/>
      <c r="ATJ919" s="471"/>
      <c r="ATK919" s="471"/>
      <c r="ATL919" s="471"/>
      <c r="ATM919" s="471"/>
      <c r="ATN919" s="471"/>
      <c r="ATO919" s="471"/>
      <c r="ATP919" s="471"/>
      <c r="ATQ919" s="471"/>
      <c r="ATR919" s="471"/>
      <c r="ATS919" s="471"/>
      <c r="ATT919" s="471"/>
      <c r="ATU919" s="471"/>
      <c r="ATV919" s="471"/>
      <c r="ATW919" s="471"/>
      <c r="ATX919" s="471"/>
      <c r="ATY919" s="471"/>
      <c r="ATZ919" s="471"/>
      <c r="AUA919" s="471"/>
      <c r="AUB919" s="471"/>
      <c r="AUC919" s="471"/>
      <c r="AUD919" s="471"/>
      <c r="AUE919" s="471"/>
      <c r="AUF919" s="471"/>
      <c r="AUG919" s="471"/>
      <c r="AUH919" s="471"/>
      <c r="AUI919" s="471"/>
      <c r="AUJ919" s="471"/>
      <c r="AUK919" s="471"/>
      <c r="AUL919" s="471"/>
      <c r="AUM919" s="471"/>
      <c r="AUN919" s="471"/>
      <c r="AUO919" s="471"/>
      <c r="AUP919" s="471"/>
      <c r="AUQ919" s="471"/>
      <c r="AUR919" s="471"/>
      <c r="AUS919" s="471"/>
      <c r="AUT919" s="471"/>
      <c r="AUU919" s="471"/>
      <c r="AUV919" s="471"/>
      <c r="AUW919" s="471"/>
      <c r="AUX919" s="471"/>
      <c r="AUY919" s="471"/>
      <c r="AUZ919" s="471"/>
      <c r="AVA919" s="471"/>
      <c r="AVB919" s="471"/>
      <c r="AVC919" s="471"/>
      <c r="AVD919" s="471"/>
      <c r="AVE919" s="471"/>
      <c r="AVF919" s="471"/>
      <c r="AVG919" s="471"/>
      <c r="AVH919" s="471"/>
      <c r="AVI919" s="471"/>
      <c r="AVJ919" s="471"/>
      <c r="AVK919" s="471"/>
    </row>
    <row r="920" spans="1:1259" s="511" customFormat="1" ht="15" customHeight="1">
      <c r="A920" s="472"/>
      <c r="B920" s="472"/>
      <c r="C920" s="472"/>
      <c r="D920" s="512" t="s">
        <v>3186</v>
      </c>
      <c r="E920" s="501" t="s">
        <v>3044</v>
      </c>
      <c r="F920" s="501"/>
      <c r="G920" s="501"/>
      <c r="H920" s="524">
        <v>11</v>
      </c>
      <c r="I920" s="496" t="s">
        <v>1676</v>
      </c>
      <c r="J920" s="502"/>
      <c r="K920" s="503" t="s">
        <v>4882</v>
      </c>
      <c r="L920" s="501" t="s">
        <v>3278</v>
      </c>
      <c r="M920" s="504">
        <v>44550</v>
      </c>
      <c r="N920" s="504">
        <v>44715</v>
      </c>
      <c r="O920" s="504"/>
      <c r="P920" s="502"/>
      <c r="Q920" s="502"/>
      <c r="R920" s="502"/>
      <c r="S920" s="501" t="s">
        <v>2379</v>
      </c>
      <c r="T920" s="501">
        <v>60</v>
      </c>
      <c r="U920" s="501"/>
      <c r="V920" s="501" t="s">
        <v>973</v>
      </c>
      <c r="W920" s="501">
        <v>400</v>
      </c>
      <c r="X920" s="505">
        <v>480</v>
      </c>
      <c r="Y920" s="491">
        <f t="shared" si="130"/>
        <v>192000</v>
      </c>
      <c r="Z920" s="506">
        <v>0.53</v>
      </c>
      <c r="AA920" s="492">
        <f t="shared" si="134"/>
        <v>101760</v>
      </c>
      <c r="AB920" s="480"/>
      <c r="AC920" s="481">
        <f t="shared" si="131"/>
        <v>0</v>
      </c>
      <c r="AD920" s="508"/>
      <c r="AE920" s="507"/>
      <c r="AF920" s="493">
        <f t="shared" si="132"/>
        <v>101760</v>
      </c>
      <c r="AG920" s="501" t="s">
        <v>1071</v>
      </c>
      <c r="AH920" s="501"/>
      <c r="AI920" s="503">
        <v>60</v>
      </c>
      <c r="AJ920" s="501" t="s">
        <v>3275</v>
      </c>
      <c r="AK920" s="509" t="s">
        <v>1144</v>
      </c>
      <c r="AL920" s="501">
        <v>75007</v>
      </c>
      <c r="AM920" s="501" t="s">
        <v>52</v>
      </c>
      <c r="AN920" s="501"/>
      <c r="AO920" s="501"/>
      <c r="AP920" s="510"/>
      <c r="AQ920" s="510" t="s">
        <v>37</v>
      </c>
      <c r="AR920" s="510"/>
      <c r="AS920" s="495" t="s">
        <v>1152</v>
      </c>
      <c r="AT920" s="495" t="s">
        <v>1076</v>
      </c>
      <c r="AU920" s="495" t="s">
        <v>1076</v>
      </c>
      <c r="AV920" s="506">
        <v>0.53</v>
      </c>
      <c r="AW920" s="471"/>
      <c r="AX920" s="471"/>
      <c r="AY920" s="471"/>
      <c r="AZ920" s="471"/>
      <c r="BA920" s="471"/>
      <c r="BB920" s="471"/>
      <c r="BC920" s="471"/>
      <c r="BD920" s="471"/>
      <c r="BE920" s="471"/>
      <c r="BF920" s="471"/>
      <c r="BG920" s="471"/>
      <c r="BH920" s="471"/>
      <c r="BI920" s="471"/>
      <c r="BJ920" s="471"/>
      <c r="BK920" s="471"/>
      <c r="BL920" s="471"/>
      <c r="BM920" s="471"/>
      <c r="BN920" s="471"/>
      <c r="BO920" s="471"/>
      <c r="BP920" s="471"/>
      <c r="BQ920" s="471"/>
      <c r="BR920" s="471"/>
      <c r="BS920" s="471"/>
      <c r="BT920" s="471"/>
      <c r="BU920" s="471"/>
      <c r="BV920" s="471"/>
      <c r="BW920" s="471"/>
      <c r="BX920" s="471"/>
      <c r="BY920" s="471"/>
      <c r="BZ920" s="471"/>
      <c r="CA920" s="471"/>
      <c r="CB920" s="471"/>
      <c r="CC920" s="471"/>
      <c r="CD920" s="471"/>
      <c r="CE920" s="471"/>
      <c r="CF920" s="471"/>
      <c r="CG920" s="471"/>
      <c r="CH920" s="471"/>
      <c r="CI920" s="471"/>
      <c r="CJ920" s="471"/>
      <c r="CK920" s="471"/>
      <c r="CL920" s="471"/>
      <c r="CM920" s="471"/>
      <c r="CN920" s="471"/>
      <c r="CO920" s="471"/>
      <c r="CP920" s="471"/>
      <c r="CQ920" s="471"/>
      <c r="CR920" s="471"/>
      <c r="CS920" s="471"/>
      <c r="CT920" s="471"/>
      <c r="CU920" s="471"/>
      <c r="CV920" s="471"/>
      <c r="CW920" s="471"/>
      <c r="CX920" s="471"/>
      <c r="CY920" s="471"/>
      <c r="CZ920" s="471"/>
      <c r="DA920" s="471"/>
      <c r="DB920" s="471"/>
      <c r="DC920" s="471"/>
      <c r="DD920" s="471"/>
      <c r="DE920" s="471"/>
      <c r="DF920" s="471"/>
      <c r="DG920" s="471"/>
      <c r="DH920" s="471"/>
      <c r="DI920" s="471"/>
      <c r="DJ920" s="471"/>
      <c r="DK920" s="471"/>
      <c r="DL920" s="471"/>
      <c r="DM920" s="471"/>
      <c r="DN920" s="471"/>
      <c r="DO920" s="471"/>
      <c r="DP920" s="471"/>
      <c r="DQ920" s="471"/>
      <c r="DR920" s="471"/>
      <c r="DS920" s="471"/>
      <c r="DT920" s="471"/>
      <c r="DU920" s="471"/>
      <c r="DV920" s="471"/>
      <c r="DW920" s="471"/>
      <c r="DX920" s="471"/>
      <c r="DY920" s="471"/>
      <c r="DZ920" s="471"/>
      <c r="EA920" s="471"/>
      <c r="EB920" s="471"/>
      <c r="EC920" s="471"/>
      <c r="ED920" s="471"/>
      <c r="EE920" s="471"/>
      <c r="EF920" s="471"/>
      <c r="EG920" s="471"/>
      <c r="EH920" s="471"/>
      <c r="EI920" s="471"/>
      <c r="EJ920" s="471"/>
      <c r="EK920" s="471"/>
      <c r="EL920" s="471"/>
      <c r="EM920" s="471"/>
      <c r="EN920" s="471"/>
      <c r="EO920" s="471"/>
      <c r="EP920" s="471"/>
      <c r="EQ920" s="471"/>
      <c r="ER920" s="471"/>
      <c r="ES920" s="471"/>
      <c r="ET920" s="471"/>
      <c r="EU920" s="471"/>
      <c r="EV920" s="471"/>
      <c r="EW920" s="471"/>
      <c r="EX920" s="471"/>
      <c r="EY920" s="471"/>
      <c r="EZ920" s="471"/>
      <c r="FA920" s="471"/>
      <c r="FB920" s="471"/>
      <c r="FC920" s="471"/>
      <c r="FD920" s="471"/>
      <c r="FE920" s="471"/>
      <c r="FF920" s="471"/>
      <c r="FG920" s="471"/>
      <c r="FH920" s="471"/>
      <c r="FI920" s="471"/>
      <c r="FJ920" s="471"/>
      <c r="FK920" s="471"/>
      <c r="FL920" s="471"/>
      <c r="FM920" s="471"/>
      <c r="FN920" s="471"/>
      <c r="FO920" s="471"/>
      <c r="FP920" s="471"/>
      <c r="FQ920" s="471"/>
      <c r="FR920" s="471"/>
      <c r="FS920" s="471"/>
      <c r="FT920" s="471"/>
      <c r="FU920" s="471"/>
      <c r="FV920" s="471"/>
      <c r="FW920" s="471"/>
      <c r="FX920" s="471"/>
      <c r="FY920" s="471"/>
      <c r="FZ920" s="471"/>
      <c r="GA920" s="471"/>
      <c r="GB920" s="471"/>
      <c r="GC920" s="471"/>
      <c r="GD920" s="471"/>
      <c r="GE920" s="471"/>
      <c r="GF920" s="471"/>
      <c r="GG920" s="471"/>
      <c r="GH920" s="471"/>
      <c r="GI920" s="471"/>
      <c r="GJ920" s="471"/>
      <c r="GK920" s="471"/>
      <c r="GL920" s="471"/>
      <c r="GM920" s="471"/>
      <c r="GN920" s="471"/>
      <c r="GO920" s="471"/>
      <c r="GP920" s="471"/>
      <c r="GQ920" s="471"/>
      <c r="GR920" s="471"/>
      <c r="GS920" s="471"/>
      <c r="GT920" s="471"/>
      <c r="GU920" s="471"/>
      <c r="GV920" s="471"/>
      <c r="GW920" s="471"/>
      <c r="GX920" s="471"/>
      <c r="GY920" s="471"/>
      <c r="GZ920" s="471"/>
      <c r="HA920" s="471"/>
      <c r="HB920" s="471"/>
      <c r="HC920" s="471"/>
      <c r="HD920" s="471"/>
      <c r="HE920" s="471"/>
      <c r="HF920" s="471"/>
      <c r="HG920" s="471"/>
      <c r="HH920" s="471"/>
      <c r="HI920" s="471"/>
      <c r="HJ920" s="471"/>
      <c r="HK920" s="471"/>
      <c r="HL920" s="471"/>
      <c r="HM920" s="471"/>
      <c r="HN920" s="471"/>
      <c r="HO920" s="471"/>
      <c r="HP920" s="471"/>
      <c r="HQ920" s="471"/>
      <c r="HR920" s="471"/>
      <c r="HS920" s="471"/>
      <c r="HT920" s="471"/>
      <c r="HU920" s="471"/>
      <c r="HV920" s="471"/>
      <c r="HW920" s="471"/>
      <c r="HX920" s="471"/>
      <c r="HY920" s="471"/>
      <c r="HZ920" s="471"/>
      <c r="IA920" s="471"/>
      <c r="IB920" s="471"/>
      <c r="IC920" s="471"/>
      <c r="ID920" s="471"/>
      <c r="IE920" s="471"/>
      <c r="IF920" s="471"/>
      <c r="IG920" s="471"/>
      <c r="IH920" s="471"/>
      <c r="II920" s="471"/>
      <c r="IJ920" s="471"/>
      <c r="IK920" s="471"/>
      <c r="IL920" s="471"/>
      <c r="IM920" s="471"/>
      <c r="IN920" s="471"/>
      <c r="IO920" s="471"/>
      <c r="IP920" s="471"/>
      <c r="IQ920" s="471"/>
      <c r="IR920" s="471"/>
      <c r="IS920" s="471"/>
      <c r="IT920" s="471"/>
      <c r="IU920" s="471"/>
      <c r="IV920" s="471"/>
      <c r="IW920" s="471"/>
      <c r="IX920" s="471"/>
      <c r="IY920" s="471"/>
      <c r="IZ920" s="471"/>
      <c r="JA920" s="471"/>
      <c r="JB920" s="471"/>
      <c r="JC920" s="471"/>
      <c r="JD920" s="471"/>
      <c r="JE920" s="471"/>
      <c r="JF920" s="471"/>
      <c r="JG920" s="471"/>
      <c r="JH920" s="471"/>
      <c r="JI920" s="471"/>
      <c r="JJ920" s="471"/>
      <c r="JK920" s="471"/>
      <c r="JL920" s="471"/>
      <c r="JM920" s="471"/>
      <c r="JN920" s="471"/>
      <c r="JO920" s="471"/>
      <c r="JP920" s="471"/>
      <c r="JQ920" s="471"/>
      <c r="JR920" s="471"/>
      <c r="JS920" s="471"/>
      <c r="JT920" s="471"/>
      <c r="JU920" s="471"/>
      <c r="JV920" s="471"/>
      <c r="JW920" s="471"/>
      <c r="JX920" s="471"/>
      <c r="JY920" s="471"/>
      <c r="JZ920" s="471"/>
      <c r="KA920" s="471"/>
      <c r="KB920" s="471"/>
      <c r="KC920" s="471"/>
      <c r="KD920" s="471"/>
      <c r="KE920" s="471"/>
      <c r="KF920" s="471"/>
      <c r="KG920" s="471"/>
      <c r="KH920" s="471"/>
      <c r="KI920" s="471"/>
      <c r="KJ920" s="471"/>
      <c r="KK920" s="471"/>
      <c r="KL920" s="471"/>
      <c r="KM920" s="471"/>
      <c r="KN920" s="471"/>
      <c r="KO920" s="471"/>
      <c r="KP920" s="471"/>
      <c r="KQ920" s="471"/>
      <c r="KR920" s="471"/>
      <c r="KS920" s="471"/>
      <c r="KT920" s="471"/>
      <c r="KU920" s="471"/>
      <c r="KV920" s="471"/>
      <c r="KW920" s="471"/>
      <c r="KX920" s="471"/>
      <c r="KY920" s="471"/>
      <c r="KZ920" s="471"/>
      <c r="LA920" s="471"/>
      <c r="LB920" s="471"/>
      <c r="LC920" s="471"/>
      <c r="LD920" s="471"/>
      <c r="LE920" s="471"/>
      <c r="LF920" s="471"/>
      <c r="LG920" s="471"/>
      <c r="LH920" s="471"/>
      <c r="LI920" s="471"/>
      <c r="LJ920" s="471"/>
      <c r="LK920" s="471"/>
      <c r="LL920" s="471"/>
      <c r="LM920" s="471"/>
      <c r="LN920" s="471"/>
      <c r="LO920" s="471"/>
      <c r="LP920" s="471"/>
      <c r="LQ920" s="471"/>
      <c r="LR920" s="471"/>
      <c r="LS920" s="471"/>
      <c r="LT920" s="471"/>
      <c r="LU920" s="471"/>
      <c r="LV920" s="471"/>
      <c r="LW920" s="471"/>
      <c r="LX920" s="471"/>
      <c r="LY920" s="471"/>
      <c r="LZ920" s="471"/>
      <c r="MA920" s="471"/>
      <c r="MB920" s="471"/>
      <c r="MC920" s="471"/>
      <c r="MD920" s="471"/>
      <c r="ME920" s="471"/>
      <c r="MF920" s="471"/>
      <c r="MG920" s="471"/>
      <c r="MH920" s="471"/>
      <c r="MI920" s="471"/>
      <c r="MJ920" s="471"/>
      <c r="MK920" s="471"/>
      <c r="ML920" s="471"/>
      <c r="MM920" s="471"/>
      <c r="MN920" s="471"/>
      <c r="MO920" s="471"/>
      <c r="MP920" s="471"/>
      <c r="MQ920" s="471"/>
      <c r="MR920" s="471"/>
      <c r="MS920" s="471"/>
      <c r="MT920" s="471"/>
      <c r="MU920" s="471"/>
      <c r="MV920" s="471"/>
      <c r="MW920" s="471"/>
      <c r="MX920" s="471"/>
      <c r="MY920" s="471"/>
      <c r="MZ920" s="471"/>
      <c r="NA920" s="471"/>
      <c r="NB920" s="471"/>
      <c r="NC920" s="471"/>
      <c r="ND920" s="471"/>
      <c r="NE920" s="471"/>
      <c r="NF920" s="471"/>
      <c r="NG920" s="471"/>
      <c r="NH920" s="471"/>
      <c r="NI920" s="471"/>
      <c r="NJ920" s="471"/>
      <c r="NK920" s="471"/>
      <c r="NL920" s="471"/>
      <c r="NM920" s="471"/>
      <c r="NN920" s="471"/>
      <c r="NO920" s="471"/>
      <c r="NP920" s="471"/>
      <c r="NQ920" s="471"/>
      <c r="NR920" s="471"/>
      <c r="NS920" s="471"/>
      <c r="NT920" s="471"/>
      <c r="NU920" s="471"/>
      <c r="NV920" s="471"/>
      <c r="NW920" s="471"/>
      <c r="NX920" s="471"/>
      <c r="NY920" s="471"/>
      <c r="NZ920" s="471"/>
      <c r="OA920" s="471"/>
      <c r="OB920" s="471"/>
      <c r="OC920" s="471"/>
      <c r="OD920" s="471"/>
      <c r="OE920" s="471"/>
      <c r="OF920" s="471"/>
      <c r="OG920" s="471"/>
      <c r="OH920" s="471"/>
      <c r="OI920" s="471"/>
      <c r="OJ920" s="471"/>
      <c r="OK920" s="471"/>
      <c r="OL920" s="471"/>
      <c r="OM920" s="471"/>
      <c r="ON920" s="471"/>
      <c r="OO920" s="471"/>
      <c r="OP920" s="471"/>
      <c r="OQ920" s="471"/>
      <c r="OR920" s="471"/>
      <c r="OS920" s="471"/>
      <c r="OT920" s="471"/>
      <c r="OU920" s="471"/>
      <c r="OV920" s="471"/>
      <c r="OW920" s="471"/>
      <c r="OX920" s="471"/>
      <c r="OY920" s="471"/>
      <c r="OZ920" s="471"/>
      <c r="PA920" s="471"/>
      <c r="PB920" s="471"/>
      <c r="PC920" s="471"/>
      <c r="PD920" s="471"/>
      <c r="PE920" s="471"/>
      <c r="PF920" s="471"/>
      <c r="PG920" s="471"/>
      <c r="PH920" s="471"/>
      <c r="PI920" s="471"/>
      <c r="PJ920" s="471"/>
      <c r="PK920" s="471"/>
      <c r="PL920" s="471"/>
      <c r="PM920" s="471"/>
      <c r="PN920" s="471"/>
      <c r="PO920" s="471"/>
      <c r="PP920" s="471"/>
      <c r="PQ920" s="471"/>
      <c r="PR920" s="471"/>
      <c r="PS920" s="471"/>
      <c r="PT920" s="471"/>
      <c r="PU920" s="471"/>
      <c r="PV920" s="471"/>
      <c r="PW920" s="471"/>
      <c r="PX920" s="471"/>
      <c r="PY920" s="471"/>
      <c r="PZ920" s="471"/>
      <c r="QA920" s="471"/>
      <c r="QB920" s="471"/>
      <c r="QC920" s="471"/>
      <c r="QD920" s="471"/>
      <c r="QE920" s="471"/>
      <c r="QF920" s="471"/>
      <c r="QG920" s="471"/>
      <c r="QH920" s="471"/>
      <c r="QI920" s="471"/>
      <c r="QJ920" s="471"/>
      <c r="QK920" s="471"/>
      <c r="QL920" s="471"/>
      <c r="QM920" s="471"/>
      <c r="QN920" s="471"/>
      <c r="QO920" s="471"/>
      <c r="QP920" s="471"/>
      <c r="QQ920" s="471"/>
      <c r="QR920" s="471"/>
      <c r="QS920" s="471"/>
      <c r="QT920" s="471"/>
      <c r="QU920" s="471"/>
      <c r="QV920" s="471"/>
      <c r="QW920" s="471"/>
      <c r="QX920" s="471"/>
      <c r="QY920" s="471"/>
      <c r="QZ920" s="471"/>
      <c r="RA920" s="471"/>
      <c r="RB920" s="471"/>
      <c r="RC920" s="471"/>
      <c r="RD920" s="471"/>
      <c r="RE920" s="471"/>
      <c r="RF920" s="471"/>
      <c r="RG920" s="471"/>
      <c r="RH920" s="471"/>
      <c r="RI920" s="471"/>
      <c r="RJ920" s="471"/>
      <c r="RK920" s="471"/>
      <c r="RL920" s="471"/>
      <c r="RM920" s="471"/>
      <c r="RN920" s="471"/>
      <c r="RO920" s="471"/>
      <c r="RP920" s="471"/>
      <c r="RQ920" s="471"/>
      <c r="RR920" s="471"/>
      <c r="RS920" s="471"/>
      <c r="RT920" s="471"/>
      <c r="RU920" s="471"/>
      <c r="RV920" s="471"/>
      <c r="RW920" s="471"/>
      <c r="RX920" s="471"/>
      <c r="RY920" s="471"/>
      <c r="RZ920" s="471"/>
      <c r="SA920" s="471"/>
      <c r="SB920" s="471"/>
      <c r="SC920" s="471"/>
      <c r="SD920" s="471"/>
      <c r="SE920" s="471"/>
      <c r="SF920" s="471"/>
      <c r="SG920" s="471"/>
      <c r="SH920" s="471"/>
      <c r="SI920" s="471"/>
      <c r="SJ920" s="471"/>
      <c r="SK920" s="471"/>
      <c r="SL920" s="471"/>
      <c r="SM920" s="471"/>
      <c r="SN920" s="471"/>
      <c r="SO920" s="471"/>
      <c r="SP920" s="471"/>
      <c r="SQ920" s="471"/>
      <c r="SR920" s="471"/>
      <c r="SS920" s="471"/>
      <c r="ST920" s="471"/>
      <c r="SU920" s="471"/>
      <c r="SV920" s="471"/>
      <c r="SW920" s="471"/>
      <c r="SX920" s="471"/>
      <c r="SY920" s="471"/>
      <c r="SZ920" s="471"/>
      <c r="TA920" s="471"/>
      <c r="TB920" s="471"/>
      <c r="TC920" s="471"/>
      <c r="TD920" s="471"/>
      <c r="TE920" s="471"/>
      <c r="TF920" s="471"/>
      <c r="TG920" s="471"/>
      <c r="TH920" s="471"/>
      <c r="TI920" s="471"/>
      <c r="TJ920" s="471"/>
      <c r="TK920" s="471"/>
      <c r="TL920" s="471"/>
      <c r="TM920" s="471"/>
      <c r="TN920" s="471"/>
      <c r="TO920" s="471"/>
      <c r="TP920" s="471"/>
      <c r="TQ920" s="471"/>
      <c r="TR920" s="471"/>
      <c r="TS920" s="471"/>
      <c r="TT920" s="471"/>
      <c r="TU920" s="471"/>
      <c r="TV920" s="471"/>
      <c r="TW920" s="471"/>
      <c r="TX920" s="471"/>
      <c r="TY920" s="471"/>
      <c r="TZ920" s="471"/>
      <c r="UA920" s="471"/>
      <c r="UB920" s="471"/>
      <c r="UC920" s="471"/>
      <c r="UD920" s="471"/>
      <c r="UE920" s="471"/>
      <c r="UF920" s="471"/>
      <c r="UG920" s="471"/>
      <c r="UH920" s="471"/>
      <c r="UI920" s="471"/>
      <c r="UJ920" s="471"/>
      <c r="UK920" s="471"/>
      <c r="UL920" s="471"/>
      <c r="UM920" s="471"/>
      <c r="UN920" s="471"/>
      <c r="UO920" s="471"/>
      <c r="UP920" s="471"/>
      <c r="UQ920" s="471"/>
      <c r="UR920" s="471"/>
      <c r="US920" s="471"/>
      <c r="UT920" s="471"/>
      <c r="UU920" s="471"/>
      <c r="UV920" s="471"/>
      <c r="UW920" s="471"/>
      <c r="UX920" s="471"/>
      <c r="UY920" s="471"/>
      <c r="UZ920" s="471"/>
      <c r="VA920" s="471"/>
      <c r="VB920" s="471"/>
      <c r="VC920" s="471"/>
      <c r="VD920" s="471"/>
      <c r="VE920" s="471"/>
      <c r="VF920" s="471"/>
      <c r="VG920" s="471"/>
      <c r="VH920" s="471"/>
      <c r="VI920" s="471"/>
      <c r="VJ920" s="471"/>
      <c r="VK920" s="471"/>
      <c r="VL920" s="471"/>
      <c r="VM920" s="471"/>
      <c r="VN920" s="471"/>
      <c r="VO920" s="471"/>
      <c r="VP920" s="471"/>
      <c r="VQ920" s="471"/>
      <c r="VR920" s="471"/>
      <c r="VS920" s="471"/>
      <c r="VT920" s="471"/>
      <c r="VU920" s="471"/>
      <c r="VV920" s="471"/>
      <c r="VW920" s="471"/>
      <c r="VX920" s="471"/>
      <c r="VY920" s="471"/>
      <c r="VZ920" s="471"/>
      <c r="WA920" s="471"/>
      <c r="WB920" s="471"/>
      <c r="WC920" s="471"/>
      <c r="WD920" s="471"/>
      <c r="WE920" s="471"/>
      <c r="WF920" s="471"/>
      <c r="WG920" s="471"/>
      <c r="WH920" s="471"/>
      <c r="WI920" s="471"/>
      <c r="WJ920" s="471"/>
      <c r="WK920" s="471"/>
      <c r="WL920" s="471"/>
      <c r="WM920" s="471"/>
      <c r="WN920" s="471"/>
      <c r="WO920" s="471"/>
      <c r="WP920" s="471"/>
      <c r="WQ920" s="471"/>
      <c r="WR920" s="471"/>
      <c r="WS920" s="471"/>
      <c r="WT920" s="471"/>
      <c r="WU920" s="471"/>
      <c r="WV920" s="471"/>
      <c r="WW920" s="471"/>
      <c r="WX920" s="471"/>
      <c r="WY920" s="471"/>
      <c r="WZ920" s="471"/>
      <c r="XA920" s="471"/>
      <c r="XB920" s="471"/>
      <c r="XC920" s="471"/>
      <c r="XD920" s="471"/>
      <c r="XE920" s="471"/>
      <c r="XF920" s="471"/>
      <c r="XG920" s="471"/>
      <c r="XH920" s="471"/>
      <c r="XI920" s="471"/>
      <c r="XJ920" s="471"/>
      <c r="XK920" s="471"/>
      <c r="XL920" s="471"/>
      <c r="XM920" s="471"/>
      <c r="XN920" s="471"/>
      <c r="XO920" s="471"/>
      <c r="XP920" s="471"/>
      <c r="XQ920" s="471"/>
      <c r="XR920" s="471"/>
      <c r="XS920" s="471"/>
      <c r="XT920" s="471"/>
      <c r="XU920" s="471"/>
      <c r="XV920" s="471"/>
      <c r="XW920" s="471"/>
      <c r="XX920" s="471"/>
      <c r="XY920" s="471"/>
      <c r="XZ920" s="471"/>
      <c r="YA920" s="471"/>
      <c r="YB920" s="471"/>
      <c r="YC920" s="471"/>
      <c r="YD920" s="471"/>
      <c r="YE920" s="471"/>
      <c r="YF920" s="471"/>
      <c r="YG920" s="471"/>
      <c r="YH920" s="471"/>
      <c r="YI920" s="471"/>
      <c r="YJ920" s="471"/>
      <c r="YK920" s="471"/>
      <c r="YL920" s="471"/>
      <c r="YM920" s="471"/>
      <c r="YN920" s="471"/>
      <c r="YO920" s="471"/>
      <c r="YP920" s="471"/>
      <c r="YQ920" s="471"/>
      <c r="YR920" s="471"/>
      <c r="YS920" s="471"/>
      <c r="YT920" s="471"/>
      <c r="YU920" s="471"/>
      <c r="YV920" s="471"/>
      <c r="YW920" s="471"/>
      <c r="YX920" s="471"/>
      <c r="YY920" s="471"/>
      <c r="YZ920" s="471"/>
      <c r="ZA920" s="471"/>
      <c r="ZB920" s="471"/>
      <c r="ZC920" s="471"/>
      <c r="ZD920" s="471"/>
      <c r="ZE920" s="471"/>
      <c r="ZF920" s="471"/>
      <c r="ZG920" s="471"/>
      <c r="ZH920" s="471"/>
      <c r="ZI920" s="471"/>
      <c r="ZJ920" s="471"/>
      <c r="ZK920" s="471"/>
      <c r="ZL920" s="471"/>
      <c r="ZM920" s="471"/>
      <c r="ZN920" s="471"/>
      <c r="ZO920" s="471"/>
      <c r="ZP920" s="471"/>
      <c r="ZQ920" s="471"/>
      <c r="ZR920" s="471"/>
      <c r="ZS920" s="471"/>
      <c r="ZT920" s="471"/>
      <c r="ZU920" s="471"/>
      <c r="ZV920" s="471"/>
      <c r="ZW920" s="471"/>
      <c r="ZX920" s="471"/>
      <c r="ZY920" s="471"/>
      <c r="ZZ920" s="471"/>
      <c r="AAA920" s="471"/>
      <c r="AAB920" s="471"/>
      <c r="AAC920" s="471"/>
      <c r="AAD920" s="471"/>
      <c r="AAE920" s="471"/>
      <c r="AAF920" s="471"/>
      <c r="AAG920" s="471"/>
      <c r="AAH920" s="471"/>
      <c r="AAI920" s="471"/>
      <c r="AAJ920" s="471"/>
      <c r="AAK920" s="471"/>
      <c r="AAL920" s="471"/>
      <c r="AAM920" s="471"/>
      <c r="AAN920" s="471"/>
      <c r="AAO920" s="471"/>
      <c r="AAP920" s="471"/>
      <c r="AAQ920" s="471"/>
      <c r="AAR920" s="471"/>
      <c r="AAS920" s="471"/>
      <c r="AAT920" s="471"/>
      <c r="AAU920" s="471"/>
      <c r="AAV920" s="471"/>
      <c r="AAW920" s="471"/>
      <c r="AAX920" s="471"/>
      <c r="AAY920" s="471"/>
      <c r="AAZ920" s="471"/>
      <c r="ABA920" s="471"/>
      <c r="ABB920" s="471"/>
      <c r="ABC920" s="471"/>
      <c r="ABD920" s="471"/>
      <c r="ABE920" s="471"/>
      <c r="ABF920" s="471"/>
      <c r="ABG920" s="471"/>
      <c r="ABH920" s="471"/>
      <c r="ABI920" s="471"/>
      <c r="ABJ920" s="471"/>
      <c r="ABK920" s="471"/>
      <c r="ABL920" s="471"/>
      <c r="ABM920" s="471"/>
      <c r="ABN920" s="471"/>
      <c r="ABO920" s="471"/>
      <c r="ABP920" s="471"/>
      <c r="ABQ920" s="471"/>
      <c r="ABR920" s="471"/>
      <c r="ABS920" s="471"/>
      <c r="ABT920" s="471"/>
      <c r="ABU920" s="471"/>
      <c r="ABV920" s="471"/>
      <c r="ABW920" s="471"/>
      <c r="ABX920" s="471"/>
      <c r="ABY920" s="471"/>
      <c r="ABZ920" s="471"/>
      <c r="ACA920" s="471"/>
      <c r="ACB920" s="471"/>
      <c r="ACC920" s="471"/>
      <c r="ACD920" s="471"/>
      <c r="ACE920" s="471"/>
      <c r="ACF920" s="471"/>
      <c r="ACG920" s="471"/>
      <c r="ACH920" s="471"/>
      <c r="ACI920" s="471"/>
      <c r="ACJ920" s="471"/>
      <c r="ACK920" s="471"/>
      <c r="ACL920" s="471"/>
      <c r="ACM920" s="471"/>
      <c r="ACN920" s="471"/>
      <c r="ACO920" s="471"/>
      <c r="ACP920" s="471"/>
      <c r="ACQ920" s="471"/>
      <c r="ACR920" s="471"/>
      <c r="ACS920" s="471"/>
      <c r="ACT920" s="471"/>
      <c r="ACU920" s="471"/>
      <c r="ACV920" s="471"/>
      <c r="ACW920" s="471"/>
      <c r="ACX920" s="471"/>
      <c r="ACY920" s="471"/>
      <c r="ACZ920" s="471"/>
      <c r="ADA920" s="471"/>
      <c r="ADB920" s="471"/>
      <c r="ADC920" s="471"/>
      <c r="ADD920" s="471"/>
      <c r="ADE920" s="471"/>
      <c r="ADF920" s="471"/>
      <c r="ADG920" s="471"/>
      <c r="ADH920" s="471"/>
      <c r="ADI920" s="471"/>
      <c r="ADJ920" s="471"/>
      <c r="ADK920" s="471"/>
      <c r="ADL920" s="471"/>
      <c r="ADM920" s="471"/>
      <c r="ADN920" s="471"/>
      <c r="ADO920" s="471"/>
      <c r="ADP920" s="471"/>
      <c r="ADQ920" s="471"/>
      <c r="ADR920" s="471"/>
      <c r="ADS920" s="471"/>
      <c r="ADT920" s="471"/>
      <c r="ADU920" s="471"/>
      <c r="ADV920" s="471"/>
      <c r="ADW920" s="471"/>
      <c r="ADX920" s="471"/>
      <c r="ADY920" s="471"/>
      <c r="ADZ920" s="471"/>
      <c r="AEA920" s="471"/>
      <c r="AEB920" s="471"/>
      <c r="AEC920" s="471"/>
      <c r="AED920" s="471"/>
      <c r="AEE920" s="471"/>
      <c r="AEF920" s="471"/>
      <c r="AEG920" s="471"/>
      <c r="AEH920" s="471"/>
      <c r="AEI920" s="471"/>
      <c r="AEJ920" s="471"/>
      <c r="AEK920" s="471"/>
      <c r="AEL920" s="471"/>
      <c r="AEM920" s="471"/>
      <c r="AEN920" s="471"/>
      <c r="AEO920" s="471"/>
      <c r="AEP920" s="471"/>
      <c r="AEQ920" s="471"/>
      <c r="AER920" s="471"/>
      <c r="AES920" s="471"/>
      <c r="AET920" s="471"/>
      <c r="AEU920" s="471"/>
      <c r="AEV920" s="471"/>
      <c r="AEW920" s="471"/>
      <c r="AEX920" s="471"/>
      <c r="AEY920" s="471"/>
      <c r="AEZ920" s="471"/>
      <c r="AFA920" s="471"/>
      <c r="AFB920" s="471"/>
      <c r="AFC920" s="471"/>
      <c r="AFD920" s="471"/>
      <c r="AFE920" s="471"/>
      <c r="AFF920" s="471"/>
      <c r="AFG920" s="471"/>
      <c r="AFH920" s="471"/>
      <c r="AFI920" s="471"/>
      <c r="AFJ920" s="471"/>
      <c r="AFK920" s="471"/>
      <c r="AFL920" s="471"/>
      <c r="AFM920" s="471"/>
      <c r="AFN920" s="471"/>
      <c r="AFO920" s="471"/>
      <c r="AFP920" s="471"/>
      <c r="AFQ920" s="471"/>
      <c r="AFR920" s="471"/>
      <c r="AFS920" s="471"/>
      <c r="AFT920" s="471"/>
      <c r="AFU920" s="471"/>
      <c r="AFV920" s="471"/>
      <c r="AFW920" s="471"/>
      <c r="AFX920" s="471"/>
      <c r="AFY920" s="471"/>
      <c r="AFZ920" s="471"/>
      <c r="AGA920" s="471"/>
      <c r="AGB920" s="471"/>
      <c r="AGC920" s="471"/>
      <c r="AGD920" s="471"/>
      <c r="AGE920" s="471"/>
      <c r="AGF920" s="471"/>
      <c r="AGG920" s="471"/>
      <c r="AGH920" s="471"/>
      <c r="AGI920" s="471"/>
      <c r="AGJ920" s="471"/>
      <c r="AGK920" s="471"/>
      <c r="AGL920" s="471"/>
      <c r="AGM920" s="471"/>
      <c r="AGN920" s="471"/>
      <c r="AGO920" s="471"/>
      <c r="AGP920" s="471"/>
      <c r="AGQ920" s="471"/>
      <c r="AGR920" s="471"/>
      <c r="AGS920" s="471"/>
      <c r="AGT920" s="471"/>
      <c r="AGU920" s="471"/>
      <c r="AGV920" s="471"/>
      <c r="AGW920" s="471"/>
      <c r="AGX920" s="471"/>
      <c r="AGY920" s="471"/>
      <c r="AGZ920" s="471"/>
      <c r="AHA920" s="471"/>
      <c r="AHB920" s="471"/>
      <c r="AHC920" s="471"/>
      <c r="AHD920" s="471"/>
      <c r="AHE920" s="471"/>
      <c r="AHF920" s="471"/>
      <c r="AHG920" s="471"/>
      <c r="AHH920" s="471"/>
      <c r="AHI920" s="471"/>
      <c r="AHJ920" s="471"/>
      <c r="AHK920" s="471"/>
      <c r="AHL920" s="471"/>
      <c r="AHM920" s="471"/>
      <c r="AHN920" s="471"/>
      <c r="AHO920" s="471"/>
      <c r="AHP920" s="471"/>
      <c r="AHQ920" s="471"/>
      <c r="AHR920" s="471"/>
      <c r="AHS920" s="471"/>
      <c r="AHT920" s="471"/>
      <c r="AHU920" s="471"/>
      <c r="AHV920" s="471"/>
      <c r="AHW920" s="471"/>
      <c r="AHX920" s="471"/>
      <c r="AHY920" s="471"/>
      <c r="AHZ920" s="471"/>
      <c r="AIA920" s="471"/>
      <c r="AIB920" s="471"/>
      <c r="AIC920" s="471"/>
      <c r="AID920" s="471"/>
      <c r="AIE920" s="471"/>
      <c r="AIF920" s="471"/>
      <c r="AIG920" s="471"/>
      <c r="AIH920" s="471"/>
      <c r="AII920" s="471"/>
      <c r="AIJ920" s="471"/>
      <c r="AIK920" s="471"/>
      <c r="AIL920" s="471"/>
      <c r="AIM920" s="471"/>
      <c r="AIN920" s="471"/>
      <c r="AIO920" s="471"/>
      <c r="AIP920" s="471"/>
      <c r="AIQ920" s="471"/>
      <c r="AIR920" s="471"/>
      <c r="AIS920" s="471"/>
      <c r="AIT920" s="471"/>
      <c r="AIU920" s="471"/>
      <c r="AIV920" s="471"/>
      <c r="AIW920" s="471"/>
      <c r="AIX920" s="471"/>
      <c r="AIY920" s="471"/>
      <c r="AIZ920" s="471"/>
      <c r="AJA920" s="471"/>
      <c r="AJB920" s="471"/>
      <c r="AJC920" s="471"/>
      <c r="AJD920" s="471"/>
      <c r="AJE920" s="471"/>
      <c r="AJF920" s="471"/>
      <c r="AJG920" s="471"/>
      <c r="AJH920" s="471"/>
      <c r="AJI920" s="471"/>
      <c r="AJJ920" s="471"/>
      <c r="AJK920" s="471"/>
      <c r="AJL920" s="471"/>
      <c r="AJM920" s="471"/>
      <c r="AJN920" s="471"/>
      <c r="AJO920" s="471"/>
      <c r="AJP920" s="471"/>
      <c r="AJQ920" s="471"/>
      <c r="AJR920" s="471"/>
      <c r="AJS920" s="471"/>
      <c r="AJT920" s="471"/>
      <c r="AJU920" s="471"/>
      <c r="AJV920" s="471"/>
      <c r="AJW920" s="471"/>
      <c r="AJX920" s="471"/>
      <c r="AJY920" s="471"/>
      <c r="AJZ920" s="471"/>
      <c r="AKA920" s="471"/>
      <c r="AKB920" s="471"/>
      <c r="AKC920" s="471"/>
      <c r="AKD920" s="471"/>
      <c r="AKE920" s="471"/>
      <c r="AKF920" s="471"/>
      <c r="AKG920" s="471"/>
      <c r="AKH920" s="471"/>
      <c r="AKI920" s="471"/>
      <c r="AKJ920" s="471"/>
      <c r="AKK920" s="471"/>
      <c r="AKL920" s="471"/>
      <c r="AKM920" s="471"/>
      <c r="AKN920" s="471"/>
      <c r="AKO920" s="471"/>
      <c r="AKP920" s="471"/>
      <c r="AKQ920" s="471"/>
      <c r="AKR920" s="471"/>
      <c r="AKS920" s="471"/>
      <c r="AKT920" s="471"/>
      <c r="AKU920" s="471"/>
      <c r="AKV920" s="471"/>
      <c r="AKW920" s="471"/>
      <c r="AKX920" s="471"/>
      <c r="AKY920" s="471"/>
      <c r="AKZ920" s="471"/>
      <c r="ALA920" s="471"/>
      <c r="ALB920" s="471"/>
      <c r="ALC920" s="471"/>
      <c r="ALD920" s="471"/>
      <c r="ALE920" s="471"/>
      <c r="ALF920" s="471"/>
      <c r="ALG920" s="471"/>
      <c r="ALH920" s="471"/>
      <c r="ALI920" s="471"/>
      <c r="ALJ920" s="471"/>
      <c r="ALK920" s="471"/>
      <c r="ALL920" s="471"/>
      <c r="ALM920" s="471"/>
      <c r="ALN920" s="471"/>
      <c r="ALO920" s="471"/>
      <c r="ALP920" s="471"/>
      <c r="ALQ920" s="471"/>
      <c r="ALR920" s="471"/>
      <c r="ALS920" s="471"/>
      <c r="ALT920" s="471"/>
      <c r="ALU920" s="471"/>
      <c r="ALV920" s="471"/>
      <c r="ALW920" s="471"/>
      <c r="ALX920" s="471"/>
      <c r="ALY920" s="471"/>
      <c r="ALZ920" s="471"/>
      <c r="AMA920" s="471"/>
      <c r="AMB920" s="471"/>
      <c r="AMC920" s="471"/>
      <c r="AMD920" s="471"/>
      <c r="AME920" s="471"/>
      <c r="AMF920" s="471"/>
      <c r="AMG920" s="471"/>
      <c r="AMH920" s="471"/>
      <c r="AMI920" s="471"/>
      <c r="AMJ920" s="471"/>
      <c r="AMK920" s="471"/>
      <c r="AML920" s="471"/>
      <c r="AMM920" s="471"/>
      <c r="AMN920" s="471"/>
      <c r="AMO920" s="471"/>
      <c r="AMP920" s="471"/>
      <c r="AMQ920" s="471"/>
      <c r="AMR920" s="471"/>
      <c r="AMS920" s="471"/>
      <c r="AMT920" s="471"/>
      <c r="AMU920" s="471"/>
      <c r="AMV920" s="471"/>
      <c r="AMW920" s="471"/>
      <c r="AMX920" s="471"/>
      <c r="AMY920" s="471"/>
      <c r="AMZ920" s="471"/>
      <c r="ANA920" s="471"/>
      <c r="ANB920" s="471"/>
      <c r="ANC920" s="471"/>
      <c r="AND920" s="471"/>
      <c r="ANE920" s="471"/>
      <c r="ANF920" s="471"/>
      <c r="ANG920" s="471"/>
      <c r="ANH920" s="471"/>
      <c r="ANI920" s="471"/>
      <c r="ANJ920" s="471"/>
      <c r="ANK920" s="471"/>
      <c r="ANL920" s="471"/>
      <c r="ANM920" s="471"/>
      <c r="ANN920" s="471"/>
      <c r="ANO920" s="471"/>
      <c r="ANP920" s="471"/>
      <c r="ANQ920" s="471"/>
      <c r="ANR920" s="471"/>
      <c r="ANS920" s="471"/>
      <c r="ANT920" s="471"/>
      <c r="ANU920" s="471"/>
      <c r="ANV920" s="471"/>
      <c r="ANW920" s="471"/>
      <c r="ANX920" s="471"/>
      <c r="ANY920" s="471"/>
      <c r="ANZ920" s="471"/>
      <c r="AOA920" s="471"/>
      <c r="AOB920" s="471"/>
      <c r="AOC920" s="471"/>
      <c r="AOD920" s="471"/>
      <c r="AOE920" s="471"/>
      <c r="AOF920" s="471"/>
      <c r="AOG920" s="471"/>
      <c r="AOH920" s="471"/>
      <c r="AOI920" s="471"/>
      <c r="AOJ920" s="471"/>
      <c r="AOK920" s="471"/>
      <c r="AOL920" s="471"/>
      <c r="AOM920" s="471"/>
      <c r="AON920" s="471"/>
      <c r="AOO920" s="471"/>
      <c r="AOP920" s="471"/>
      <c r="AOQ920" s="471"/>
      <c r="AOR920" s="471"/>
      <c r="AOS920" s="471"/>
      <c r="AOT920" s="471"/>
      <c r="AOU920" s="471"/>
      <c r="AOV920" s="471"/>
      <c r="AOW920" s="471"/>
      <c r="AOX920" s="471"/>
      <c r="AOY920" s="471"/>
      <c r="AOZ920" s="471"/>
      <c r="APA920" s="471"/>
      <c r="APB920" s="471"/>
      <c r="APC920" s="471"/>
      <c r="APD920" s="471"/>
      <c r="APE920" s="471"/>
      <c r="APF920" s="471"/>
      <c r="APG920" s="471"/>
      <c r="APH920" s="471"/>
      <c r="API920" s="471"/>
      <c r="APJ920" s="471"/>
      <c r="APK920" s="471"/>
      <c r="APL920" s="471"/>
      <c r="APM920" s="471"/>
      <c r="APN920" s="471"/>
      <c r="APO920" s="471"/>
      <c r="APP920" s="471"/>
      <c r="APQ920" s="471"/>
      <c r="APR920" s="471"/>
      <c r="APS920" s="471"/>
      <c r="APT920" s="471"/>
      <c r="APU920" s="471"/>
      <c r="APV920" s="471"/>
      <c r="APW920" s="471"/>
      <c r="APX920" s="471"/>
      <c r="APY920" s="471"/>
      <c r="APZ920" s="471"/>
      <c r="AQA920" s="471"/>
      <c r="AQB920" s="471"/>
      <c r="AQC920" s="471"/>
      <c r="AQD920" s="471"/>
      <c r="AQE920" s="471"/>
      <c r="AQF920" s="471"/>
      <c r="AQG920" s="471"/>
      <c r="AQH920" s="471"/>
      <c r="AQI920" s="471"/>
      <c r="AQJ920" s="471"/>
      <c r="AQK920" s="471"/>
      <c r="AQL920" s="471"/>
      <c r="AQM920" s="471"/>
      <c r="AQN920" s="471"/>
      <c r="AQO920" s="471"/>
      <c r="AQP920" s="471"/>
      <c r="AQQ920" s="471"/>
      <c r="AQR920" s="471"/>
      <c r="AQS920" s="471"/>
      <c r="AQT920" s="471"/>
      <c r="AQU920" s="471"/>
      <c r="AQV920" s="471"/>
      <c r="AQW920" s="471"/>
      <c r="AQX920" s="471"/>
      <c r="AQY920" s="471"/>
      <c r="AQZ920" s="471"/>
      <c r="ARA920" s="471"/>
      <c r="ARB920" s="471"/>
      <c r="ARC920" s="471"/>
      <c r="ARD920" s="471"/>
      <c r="ARE920" s="471"/>
      <c r="ARF920" s="471"/>
      <c r="ARG920" s="471"/>
      <c r="ARH920" s="471"/>
      <c r="ARI920" s="471"/>
      <c r="ARJ920" s="471"/>
      <c r="ARK920" s="471"/>
      <c r="ARL920" s="471"/>
      <c r="ARM920" s="471"/>
      <c r="ARN920" s="471"/>
      <c r="ARO920" s="471"/>
      <c r="ARP920" s="471"/>
      <c r="ARQ920" s="471"/>
      <c r="ARR920" s="471"/>
      <c r="ARS920" s="471"/>
      <c r="ART920" s="471"/>
      <c r="ARU920" s="471"/>
      <c r="ARV920" s="471"/>
      <c r="ARW920" s="471"/>
      <c r="ARX920" s="471"/>
      <c r="ARY920" s="471"/>
      <c r="ARZ920" s="471"/>
      <c r="ASA920" s="471"/>
      <c r="ASB920" s="471"/>
      <c r="ASC920" s="471"/>
      <c r="ASD920" s="471"/>
      <c r="ASE920" s="471"/>
      <c r="ASF920" s="471"/>
      <c r="ASG920" s="471"/>
      <c r="ASH920" s="471"/>
      <c r="ASI920" s="471"/>
      <c r="ASJ920" s="471"/>
      <c r="ASK920" s="471"/>
      <c r="ASL920" s="471"/>
      <c r="ASM920" s="471"/>
      <c r="ASN920" s="471"/>
      <c r="ASO920" s="471"/>
      <c r="ASP920" s="471"/>
      <c r="ASQ920" s="471"/>
      <c r="ASR920" s="471"/>
      <c r="ASS920" s="471"/>
      <c r="AST920" s="471"/>
      <c r="ASU920" s="471"/>
      <c r="ASV920" s="471"/>
      <c r="ASW920" s="471"/>
      <c r="ASX920" s="471"/>
      <c r="ASY920" s="471"/>
      <c r="ASZ920" s="471"/>
      <c r="ATA920" s="471"/>
      <c r="ATB920" s="471"/>
      <c r="ATC920" s="471"/>
      <c r="ATD920" s="471"/>
      <c r="ATE920" s="471"/>
      <c r="ATF920" s="471"/>
      <c r="ATG920" s="471"/>
      <c r="ATH920" s="471"/>
      <c r="ATI920" s="471"/>
      <c r="ATJ920" s="471"/>
      <c r="ATK920" s="471"/>
      <c r="ATL920" s="471"/>
      <c r="ATM920" s="471"/>
      <c r="ATN920" s="471"/>
      <c r="ATO920" s="471"/>
      <c r="ATP920" s="471"/>
      <c r="ATQ920" s="471"/>
      <c r="ATR920" s="471"/>
      <c r="ATS920" s="471"/>
      <c r="ATT920" s="471"/>
      <c r="ATU920" s="471"/>
      <c r="ATV920" s="471"/>
      <c r="ATW920" s="471"/>
      <c r="ATX920" s="471"/>
      <c r="ATY920" s="471"/>
      <c r="ATZ920" s="471"/>
      <c r="AUA920" s="471"/>
      <c r="AUB920" s="471"/>
      <c r="AUC920" s="471"/>
      <c r="AUD920" s="471"/>
      <c r="AUE920" s="471"/>
      <c r="AUF920" s="471"/>
      <c r="AUG920" s="471"/>
      <c r="AUH920" s="471"/>
      <c r="AUI920" s="471"/>
      <c r="AUJ920" s="471"/>
      <c r="AUK920" s="471"/>
      <c r="AUL920" s="471"/>
      <c r="AUM920" s="471"/>
      <c r="AUN920" s="471"/>
      <c r="AUO920" s="471"/>
      <c r="AUP920" s="471"/>
      <c r="AUQ920" s="471"/>
      <c r="AUR920" s="471"/>
      <c r="AUS920" s="471"/>
      <c r="AUT920" s="471"/>
      <c r="AUU920" s="471"/>
      <c r="AUV920" s="471"/>
      <c r="AUW920" s="471"/>
      <c r="AUX920" s="471"/>
      <c r="AUY920" s="471"/>
      <c r="AUZ920" s="471"/>
      <c r="AVA920" s="471"/>
      <c r="AVB920" s="471"/>
      <c r="AVC920" s="471"/>
      <c r="AVD920" s="471"/>
      <c r="AVE920" s="471"/>
      <c r="AVF920" s="471"/>
      <c r="AVG920" s="471"/>
      <c r="AVH920" s="471"/>
      <c r="AVI920" s="471"/>
      <c r="AVJ920" s="471"/>
      <c r="AVK920" s="471"/>
    </row>
    <row r="921" spans="1:1259" s="511" customFormat="1" ht="15" customHeight="1">
      <c r="A921" s="472"/>
      <c r="B921" s="472"/>
      <c r="C921" s="472"/>
      <c r="D921" s="512" t="s">
        <v>3186</v>
      </c>
      <c r="E921" s="512" t="s">
        <v>3044</v>
      </c>
      <c r="F921" s="501"/>
      <c r="G921" s="501"/>
      <c r="H921" s="524">
        <v>11</v>
      </c>
      <c r="I921" s="496" t="s">
        <v>1676</v>
      </c>
      <c r="J921" s="502"/>
      <c r="K921" s="502" t="s">
        <v>4883</v>
      </c>
      <c r="L921" s="502" t="s">
        <v>3278</v>
      </c>
      <c r="M921" s="502">
        <v>44550</v>
      </c>
      <c r="N921" s="502">
        <v>44652</v>
      </c>
      <c r="O921" s="504"/>
      <c r="P921" s="502"/>
      <c r="Q921" s="502"/>
      <c r="R921" s="502"/>
      <c r="S921" s="501" t="s">
        <v>2379</v>
      </c>
      <c r="T921" s="501">
        <v>60</v>
      </c>
      <c r="U921" s="501"/>
      <c r="V921" s="501" t="s">
        <v>973</v>
      </c>
      <c r="W921" s="501">
        <v>400</v>
      </c>
      <c r="X921" s="505">
        <v>480</v>
      </c>
      <c r="Y921" s="491">
        <f t="shared" si="130"/>
        <v>192000</v>
      </c>
      <c r="Z921" s="506">
        <v>0.53</v>
      </c>
      <c r="AA921" s="492">
        <f t="shared" si="134"/>
        <v>101760</v>
      </c>
      <c r="AB921" s="480"/>
      <c r="AC921" s="481">
        <f t="shared" si="131"/>
        <v>0</v>
      </c>
      <c r="AD921" s="508"/>
      <c r="AE921" s="507"/>
      <c r="AF921" s="493">
        <f t="shared" si="132"/>
        <v>101760</v>
      </c>
      <c r="AG921" s="501" t="s">
        <v>1071</v>
      </c>
      <c r="AH921" s="501"/>
      <c r="AI921" s="503">
        <v>60</v>
      </c>
      <c r="AJ921" s="501" t="s">
        <v>1384</v>
      </c>
      <c r="AK921" s="509" t="s">
        <v>1144</v>
      </c>
      <c r="AL921" s="501">
        <v>77092</v>
      </c>
      <c r="AM921" s="501" t="s">
        <v>52</v>
      </c>
      <c r="AN921" s="501"/>
      <c r="AO921" s="501"/>
      <c r="AP921" s="510"/>
      <c r="AQ921" s="510" t="s">
        <v>37</v>
      </c>
      <c r="AR921" s="510"/>
      <c r="AS921" s="495" t="s">
        <v>1152</v>
      </c>
      <c r="AT921" s="495" t="s">
        <v>1076</v>
      </c>
      <c r="AU921" s="495" t="s">
        <v>1076</v>
      </c>
      <c r="AV921" s="506">
        <v>0.53</v>
      </c>
      <c r="AW921" s="471"/>
      <c r="AX921" s="471"/>
      <c r="AY921" s="471"/>
      <c r="AZ921" s="471"/>
      <c r="BA921" s="471"/>
      <c r="BB921" s="471"/>
      <c r="BC921" s="471"/>
      <c r="BD921" s="471"/>
      <c r="BE921" s="471"/>
      <c r="BF921" s="471"/>
      <c r="BG921" s="471"/>
      <c r="BH921" s="471"/>
      <c r="BI921" s="471"/>
      <c r="BJ921" s="471"/>
      <c r="BK921" s="471"/>
      <c r="BL921" s="471"/>
      <c r="BM921" s="471"/>
      <c r="BN921" s="471"/>
      <c r="BO921" s="471"/>
      <c r="BP921" s="471"/>
      <c r="BQ921" s="471"/>
      <c r="BR921" s="471"/>
      <c r="BS921" s="471"/>
      <c r="BT921" s="471"/>
      <c r="BU921" s="471"/>
      <c r="BV921" s="471"/>
      <c r="BW921" s="471"/>
      <c r="BX921" s="471"/>
      <c r="BY921" s="471"/>
      <c r="BZ921" s="471"/>
      <c r="CA921" s="471"/>
      <c r="CB921" s="471"/>
      <c r="CC921" s="471"/>
      <c r="CD921" s="471"/>
      <c r="CE921" s="471"/>
      <c r="CF921" s="471"/>
      <c r="CG921" s="471"/>
      <c r="CH921" s="471"/>
      <c r="CI921" s="471"/>
      <c r="CJ921" s="471"/>
      <c r="CK921" s="471"/>
      <c r="CL921" s="471"/>
      <c r="CM921" s="471"/>
      <c r="CN921" s="471"/>
      <c r="CO921" s="471"/>
      <c r="CP921" s="471"/>
      <c r="CQ921" s="471"/>
      <c r="CR921" s="471"/>
      <c r="CS921" s="471"/>
      <c r="CT921" s="471"/>
      <c r="CU921" s="471"/>
      <c r="CV921" s="471"/>
      <c r="CW921" s="471"/>
      <c r="CX921" s="471"/>
      <c r="CY921" s="471"/>
      <c r="CZ921" s="471"/>
      <c r="DA921" s="471"/>
      <c r="DB921" s="471"/>
      <c r="DC921" s="471"/>
      <c r="DD921" s="471"/>
      <c r="DE921" s="471"/>
      <c r="DF921" s="471"/>
      <c r="DG921" s="471"/>
      <c r="DH921" s="471"/>
      <c r="DI921" s="471"/>
      <c r="DJ921" s="471"/>
      <c r="DK921" s="471"/>
      <c r="DL921" s="471"/>
      <c r="DM921" s="471"/>
      <c r="DN921" s="471"/>
      <c r="DO921" s="471"/>
      <c r="DP921" s="471"/>
      <c r="DQ921" s="471"/>
      <c r="DR921" s="471"/>
      <c r="DS921" s="471"/>
      <c r="DT921" s="471"/>
      <c r="DU921" s="471"/>
      <c r="DV921" s="471"/>
      <c r="DW921" s="471"/>
      <c r="DX921" s="471"/>
      <c r="DY921" s="471"/>
      <c r="DZ921" s="471"/>
      <c r="EA921" s="471"/>
      <c r="EB921" s="471"/>
      <c r="EC921" s="471"/>
      <c r="ED921" s="471"/>
      <c r="EE921" s="471"/>
      <c r="EF921" s="471"/>
      <c r="EG921" s="471"/>
      <c r="EH921" s="471"/>
      <c r="EI921" s="471"/>
      <c r="EJ921" s="471"/>
      <c r="EK921" s="471"/>
      <c r="EL921" s="471"/>
      <c r="EM921" s="471"/>
      <c r="EN921" s="471"/>
      <c r="EO921" s="471"/>
      <c r="EP921" s="471"/>
      <c r="EQ921" s="471"/>
      <c r="ER921" s="471"/>
      <c r="ES921" s="471"/>
      <c r="ET921" s="471"/>
      <c r="EU921" s="471"/>
      <c r="EV921" s="471"/>
      <c r="EW921" s="471"/>
      <c r="EX921" s="471"/>
      <c r="EY921" s="471"/>
      <c r="EZ921" s="471"/>
      <c r="FA921" s="471"/>
      <c r="FB921" s="471"/>
      <c r="FC921" s="471"/>
      <c r="FD921" s="471"/>
      <c r="FE921" s="471"/>
      <c r="FF921" s="471"/>
      <c r="FG921" s="471"/>
      <c r="FH921" s="471"/>
      <c r="FI921" s="471"/>
      <c r="FJ921" s="471"/>
      <c r="FK921" s="471"/>
      <c r="FL921" s="471"/>
      <c r="FM921" s="471"/>
      <c r="FN921" s="471"/>
      <c r="FO921" s="471"/>
      <c r="FP921" s="471"/>
      <c r="FQ921" s="471"/>
      <c r="FR921" s="471"/>
      <c r="FS921" s="471"/>
      <c r="FT921" s="471"/>
      <c r="FU921" s="471"/>
      <c r="FV921" s="471"/>
      <c r="FW921" s="471"/>
      <c r="FX921" s="471"/>
      <c r="FY921" s="471"/>
      <c r="FZ921" s="471"/>
      <c r="GA921" s="471"/>
      <c r="GB921" s="471"/>
      <c r="GC921" s="471"/>
      <c r="GD921" s="471"/>
      <c r="GE921" s="471"/>
      <c r="GF921" s="471"/>
      <c r="GG921" s="471"/>
      <c r="GH921" s="471"/>
      <c r="GI921" s="471"/>
      <c r="GJ921" s="471"/>
      <c r="GK921" s="471"/>
      <c r="GL921" s="471"/>
      <c r="GM921" s="471"/>
      <c r="GN921" s="471"/>
      <c r="GO921" s="471"/>
      <c r="GP921" s="471"/>
      <c r="GQ921" s="471"/>
      <c r="GR921" s="471"/>
      <c r="GS921" s="471"/>
      <c r="GT921" s="471"/>
      <c r="GU921" s="471"/>
      <c r="GV921" s="471"/>
      <c r="GW921" s="471"/>
      <c r="GX921" s="471"/>
      <c r="GY921" s="471"/>
      <c r="GZ921" s="471"/>
      <c r="HA921" s="471"/>
      <c r="HB921" s="471"/>
      <c r="HC921" s="471"/>
      <c r="HD921" s="471"/>
      <c r="HE921" s="471"/>
      <c r="HF921" s="471"/>
      <c r="HG921" s="471"/>
      <c r="HH921" s="471"/>
      <c r="HI921" s="471"/>
      <c r="HJ921" s="471"/>
      <c r="HK921" s="471"/>
      <c r="HL921" s="471"/>
      <c r="HM921" s="471"/>
      <c r="HN921" s="471"/>
      <c r="HO921" s="471"/>
      <c r="HP921" s="471"/>
      <c r="HQ921" s="471"/>
      <c r="HR921" s="471"/>
      <c r="HS921" s="471"/>
      <c r="HT921" s="471"/>
      <c r="HU921" s="471"/>
      <c r="HV921" s="471"/>
      <c r="HW921" s="471"/>
      <c r="HX921" s="471"/>
      <c r="HY921" s="471"/>
      <c r="HZ921" s="471"/>
      <c r="IA921" s="471"/>
      <c r="IB921" s="471"/>
      <c r="IC921" s="471"/>
      <c r="ID921" s="471"/>
      <c r="IE921" s="471"/>
      <c r="IF921" s="471"/>
      <c r="IG921" s="471"/>
      <c r="IH921" s="471"/>
      <c r="II921" s="471"/>
      <c r="IJ921" s="471"/>
      <c r="IK921" s="471"/>
      <c r="IL921" s="471"/>
      <c r="IM921" s="471"/>
      <c r="IN921" s="471"/>
      <c r="IO921" s="471"/>
      <c r="IP921" s="471"/>
      <c r="IQ921" s="471"/>
      <c r="IR921" s="471"/>
      <c r="IS921" s="471"/>
      <c r="IT921" s="471"/>
      <c r="IU921" s="471"/>
      <c r="IV921" s="471"/>
      <c r="IW921" s="471"/>
      <c r="IX921" s="471"/>
      <c r="IY921" s="471"/>
      <c r="IZ921" s="471"/>
      <c r="JA921" s="471"/>
      <c r="JB921" s="471"/>
      <c r="JC921" s="471"/>
      <c r="JD921" s="471"/>
      <c r="JE921" s="471"/>
      <c r="JF921" s="471"/>
      <c r="JG921" s="471"/>
      <c r="JH921" s="471"/>
      <c r="JI921" s="471"/>
      <c r="JJ921" s="471"/>
      <c r="JK921" s="471"/>
      <c r="JL921" s="471"/>
      <c r="JM921" s="471"/>
      <c r="JN921" s="471"/>
      <c r="JO921" s="471"/>
      <c r="JP921" s="471"/>
      <c r="JQ921" s="471"/>
      <c r="JR921" s="471"/>
      <c r="JS921" s="471"/>
      <c r="JT921" s="471"/>
      <c r="JU921" s="471"/>
      <c r="JV921" s="471"/>
      <c r="JW921" s="471"/>
      <c r="JX921" s="471"/>
      <c r="JY921" s="471"/>
      <c r="JZ921" s="471"/>
      <c r="KA921" s="471"/>
      <c r="KB921" s="471"/>
      <c r="KC921" s="471"/>
      <c r="KD921" s="471"/>
      <c r="KE921" s="471"/>
      <c r="KF921" s="471"/>
      <c r="KG921" s="471"/>
      <c r="KH921" s="471"/>
      <c r="KI921" s="471"/>
      <c r="KJ921" s="471"/>
      <c r="KK921" s="471"/>
      <c r="KL921" s="471"/>
      <c r="KM921" s="471"/>
      <c r="KN921" s="471"/>
      <c r="KO921" s="471"/>
      <c r="KP921" s="471"/>
      <c r="KQ921" s="471"/>
      <c r="KR921" s="471"/>
      <c r="KS921" s="471"/>
      <c r="KT921" s="471"/>
      <c r="KU921" s="471"/>
      <c r="KV921" s="471"/>
      <c r="KW921" s="471"/>
      <c r="KX921" s="471"/>
      <c r="KY921" s="471"/>
      <c r="KZ921" s="471"/>
      <c r="LA921" s="471"/>
      <c r="LB921" s="471"/>
      <c r="LC921" s="471"/>
      <c r="LD921" s="471"/>
      <c r="LE921" s="471"/>
      <c r="LF921" s="471"/>
      <c r="LG921" s="471"/>
      <c r="LH921" s="471"/>
      <c r="LI921" s="471"/>
      <c r="LJ921" s="471"/>
      <c r="LK921" s="471"/>
      <c r="LL921" s="471"/>
      <c r="LM921" s="471"/>
      <c r="LN921" s="471"/>
      <c r="LO921" s="471"/>
      <c r="LP921" s="471"/>
      <c r="LQ921" s="471"/>
      <c r="LR921" s="471"/>
      <c r="LS921" s="471"/>
      <c r="LT921" s="471"/>
      <c r="LU921" s="471"/>
      <c r="LV921" s="471"/>
      <c r="LW921" s="471"/>
      <c r="LX921" s="471"/>
      <c r="LY921" s="471"/>
      <c r="LZ921" s="471"/>
      <c r="MA921" s="471"/>
      <c r="MB921" s="471"/>
      <c r="MC921" s="471"/>
      <c r="MD921" s="471"/>
      <c r="ME921" s="471"/>
      <c r="MF921" s="471"/>
      <c r="MG921" s="471"/>
      <c r="MH921" s="471"/>
      <c r="MI921" s="471"/>
      <c r="MJ921" s="471"/>
      <c r="MK921" s="471"/>
      <c r="ML921" s="471"/>
      <c r="MM921" s="471"/>
      <c r="MN921" s="471"/>
      <c r="MO921" s="471"/>
      <c r="MP921" s="471"/>
      <c r="MQ921" s="471"/>
      <c r="MR921" s="471"/>
      <c r="MS921" s="471"/>
      <c r="MT921" s="471"/>
      <c r="MU921" s="471"/>
      <c r="MV921" s="471"/>
      <c r="MW921" s="471"/>
      <c r="MX921" s="471"/>
      <c r="MY921" s="471"/>
      <c r="MZ921" s="471"/>
      <c r="NA921" s="471"/>
      <c r="NB921" s="471"/>
      <c r="NC921" s="471"/>
      <c r="ND921" s="471"/>
      <c r="NE921" s="471"/>
      <c r="NF921" s="471"/>
      <c r="NG921" s="471"/>
      <c r="NH921" s="471"/>
      <c r="NI921" s="471"/>
      <c r="NJ921" s="471"/>
      <c r="NK921" s="471"/>
      <c r="NL921" s="471"/>
      <c r="NM921" s="471"/>
      <c r="NN921" s="471"/>
      <c r="NO921" s="471"/>
      <c r="NP921" s="471"/>
      <c r="NQ921" s="471"/>
      <c r="NR921" s="471"/>
      <c r="NS921" s="471"/>
      <c r="NT921" s="471"/>
      <c r="NU921" s="471"/>
      <c r="NV921" s="471"/>
      <c r="NW921" s="471"/>
      <c r="NX921" s="471"/>
      <c r="NY921" s="471"/>
      <c r="NZ921" s="471"/>
      <c r="OA921" s="471"/>
      <c r="OB921" s="471"/>
      <c r="OC921" s="471"/>
      <c r="OD921" s="471"/>
      <c r="OE921" s="471"/>
      <c r="OF921" s="471"/>
      <c r="OG921" s="471"/>
      <c r="OH921" s="471"/>
      <c r="OI921" s="471"/>
      <c r="OJ921" s="471"/>
      <c r="OK921" s="471"/>
      <c r="OL921" s="471"/>
      <c r="OM921" s="471"/>
      <c r="ON921" s="471"/>
      <c r="OO921" s="471"/>
      <c r="OP921" s="471"/>
      <c r="OQ921" s="471"/>
      <c r="OR921" s="471"/>
      <c r="OS921" s="471"/>
      <c r="OT921" s="471"/>
      <c r="OU921" s="471"/>
      <c r="OV921" s="471"/>
      <c r="OW921" s="471"/>
      <c r="OX921" s="471"/>
      <c r="OY921" s="471"/>
      <c r="OZ921" s="471"/>
      <c r="PA921" s="471"/>
      <c r="PB921" s="471"/>
      <c r="PC921" s="471"/>
      <c r="PD921" s="471"/>
      <c r="PE921" s="471"/>
      <c r="PF921" s="471"/>
      <c r="PG921" s="471"/>
      <c r="PH921" s="471"/>
      <c r="PI921" s="471"/>
      <c r="PJ921" s="471"/>
      <c r="PK921" s="471"/>
      <c r="PL921" s="471"/>
      <c r="PM921" s="471"/>
      <c r="PN921" s="471"/>
      <c r="PO921" s="471"/>
      <c r="PP921" s="471"/>
      <c r="PQ921" s="471"/>
      <c r="PR921" s="471"/>
      <c r="PS921" s="471"/>
      <c r="PT921" s="471"/>
      <c r="PU921" s="471"/>
      <c r="PV921" s="471"/>
      <c r="PW921" s="471"/>
      <c r="PX921" s="471"/>
      <c r="PY921" s="471"/>
      <c r="PZ921" s="471"/>
      <c r="QA921" s="471"/>
      <c r="QB921" s="471"/>
      <c r="QC921" s="471"/>
      <c r="QD921" s="471"/>
      <c r="QE921" s="471"/>
      <c r="QF921" s="471"/>
      <c r="QG921" s="471"/>
      <c r="QH921" s="471"/>
      <c r="QI921" s="471"/>
      <c r="QJ921" s="471"/>
      <c r="QK921" s="471"/>
      <c r="QL921" s="471"/>
      <c r="QM921" s="471"/>
      <c r="QN921" s="471"/>
      <c r="QO921" s="471"/>
      <c r="QP921" s="471"/>
      <c r="QQ921" s="471"/>
      <c r="QR921" s="471"/>
      <c r="QS921" s="471"/>
      <c r="QT921" s="471"/>
      <c r="QU921" s="471"/>
      <c r="QV921" s="471"/>
      <c r="QW921" s="471"/>
      <c r="QX921" s="471"/>
      <c r="QY921" s="471"/>
      <c r="QZ921" s="471"/>
      <c r="RA921" s="471"/>
      <c r="RB921" s="471"/>
      <c r="RC921" s="471"/>
      <c r="RD921" s="471"/>
      <c r="RE921" s="471"/>
      <c r="RF921" s="471"/>
      <c r="RG921" s="471"/>
      <c r="RH921" s="471"/>
      <c r="RI921" s="471"/>
      <c r="RJ921" s="471"/>
      <c r="RK921" s="471"/>
      <c r="RL921" s="471"/>
      <c r="RM921" s="471"/>
      <c r="RN921" s="471"/>
      <c r="RO921" s="471"/>
      <c r="RP921" s="471"/>
      <c r="RQ921" s="471"/>
      <c r="RR921" s="471"/>
      <c r="RS921" s="471"/>
      <c r="RT921" s="471"/>
      <c r="RU921" s="471"/>
      <c r="RV921" s="471"/>
      <c r="RW921" s="471"/>
      <c r="RX921" s="471"/>
      <c r="RY921" s="471"/>
      <c r="RZ921" s="471"/>
      <c r="SA921" s="471"/>
      <c r="SB921" s="471"/>
      <c r="SC921" s="471"/>
      <c r="SD921" s="471"/>
      <c r="SE921" s="471"/>
      <c r="SF921" s="471"/>
      <c r="SG921" s="471"/>
      <c r="SH921" s="471"/>
      <c r="SI921" s="471"/>
      <c r="SJ921" s="471"/>
      <c r="SK921" s="471"/>
      <c r="SL921" s="471"/>
      <c r="SM921" s="471"/>
      <c r="SN921" s="471"/>
      <c r="SO921" s="471"/>
      <c r="SP921" s="471"/>
      <c r="SQ921" s="471"/>
      <c r="SR921" s="471"/>
      <c r="SS921" s="471"/>
      <c r="ST921" s="471"/>
      <c r="SU921" s="471"/>
      <c r="SV921" s="471"/>
      <c r="SW921" s="471"/>
      <c r="SX921" s="471"/>
      <c r="SY921" s="471"/>
      <c r="SZ921" s="471"/>
      <c r="TA921" s="471"/>
      <c r="TB921" s="471"/>
      <c r="TC921" s="471"/>
      <c r="TD921" s="471"/>
      <c r="TE921" s="471"/>
      <c r="TF921" s="471"/>
      <c r="TG921" s="471"/>
      <c r="TH921" s="471"/>
      <c r="TI921" s="471"/>
      <c r="TJ921" s="471"/>
      <c r="TK921" s="471"/>
      <c r="TL921" s="471"/>
      <c r="TM921" s="471"/>
      <c r="TN921" s="471"/>
      <c r="TO921" s="471"/>
      <c r="TP921" s="471"/>
      <c r="TQ921" s="471"/>
      <c r="TR921" s="471"/>
      <c r="TS921" s="471"/>
      <c r="TT921" s="471"/>
      <c r="TU921" s="471"/>
      <c r="TV921" s="471"/>
      <c r="TW921" s="471"/>
      <c r="TX921" s="471"/>
      <c r="TY921" s="471"/>
      <c r="TZ921" s="471"/>
      <c r="UA921" s="471"/>
      <c r="UB921" s="471"/>
      <c r="UC921" s="471"/>
      <c r="UD921" s="471"/>
      <c r="UE921" s="471"/>
      <c r="UF921" s="471"/>
      <c r="UG921" s="471"/>
      <c r="UH921" s="471"/>
      <c r="UI921" s="471"/>
      <c r="UJ921" s="471"/>
      <c r="UK921" s="471"/>
      <c r="UL921" s="471"/>
      <c r="UM921" s="471"/>
      <c r="UN921" s="471"/>
      <c r="UO921" s="471"/>
      <c r="UP921" s="471"/>
      <c r="UQ921" s="471"/>
      <c r="UR921" s="471"/>
      <c r="US921" s="471"/>
      <c r="UT921" s="471"/>
      <c r="UU921" s="471"/>
      <c r="UV921" s="471"/>
      <c r="UW921" s="471"/>
      <c r="UX921" s="471"/>
      <c r="UY921" s="471"/>
      <c r="UZ921" s="471"/>
      <c r="VA921" s="471"/>
      <c r="VB921" s="471"/>
      <c r="VC921" s="471"/>
      <c r="VD921" s="471"/>
      <c r="VE921" s="471"/>
      <c r="VF921" s="471"/>
      <c r="VG921" s="471"/>
      <c r="VH921" s="471"/>
      <c r="VI921" s="471"/>
      <c r="VJ921" s="471"/>
      <c r="VK921" s="471"/>
      <c r="VL921" s="471"/>
      <c r="VM921" s="471"/>
      <c r="VN921" s="471"/>
      <c r="VO921" s="471"/>
      <c r="VP921" s="471"/>
      <c r="VQ921" s="471"/>
      <c r="VR921" s="471"/>
      <c r="VS921" s="471"/>
      <c r="VT921" s="471"/>
      <c r="VU921" s="471"/>
      <c r="VV921" s="471"/>
      <c r="VW921" s="471"/>
      <c r="VX921" s="471"/>
      <c r="VY921" s="471"/>
      <c r="VZ921" s="471"/>
      <c r="WA921" s="471"/>
      <c r="WB921" s="471"/>
      <c r="WC921" s="471"/>
      <c r="WD921" s="471"/>
      <c r="WE921" s="471"/>
      <c r="WF921" s="471"/>
      <c r="WG921" s="471"/>
      <c r="WH921" s="471"/>
      <c r="WI921" s="471"/>
      <c r="WJ921" s="471"/>
      <c r="WK921" s="471"/>
      <c r="WL921" s="471"/>
      <c r="WM921" s="471"/>
      <c r="WN921" s="471"/>
      <c r="WO921" s="471"/>
      <c r="WP921" s="471"/>
      <c r="WQ921" s="471"/>
      <c r="WR921" s="471"/>
      <c r="WS921" s="471"/>
      <c r="WT921" s="471"/>
      <c r="WU921" s="471"/>
      <c r="WV921" s="471"/>
      <c r="WW921" s="471"/>
      <c r="WX921" s="471"/>
      <c r="WY921" s="471"/>
      <c r="WZ921" s="471"/>
      <c r="XA921" s="471"/>
      <c r="XB921" s="471"/>
      <c r="XC921" s="471"/>
      <c r="XD921" s="471"/>
      <c r="XE921" s="471"/>
      <c r="XF921" s="471"/>
      <c r="XG921" s="471"/>
      <c r="XH921" s="471"/>
      <c r="XI921" s="471"/>
      <c r="XJ921" s="471"/>
      <c r="XK921" s="471"/>
      <c r="XL921" s="471"/>
      <c r="XM921" s="471"/>
      <c r="XN921" s="471"/>
      <c r="XO921" s="471"/>
      <c r="XP921" s="471"/>
      <c r="XQ921" s="471"/>
      <c r="XR921" s="471"/>
      <c r="XS921" s="471"/>
      <c r="XT921" s="471"/>
      <c r="XU921" s="471"/>
      <c r="XV921" s="471"/>
      <c r="XW921" s="471"/>
      <c r="XX921" s="471"/>
      <c r="XY921" s="471"/>
      <c r="XZ921" s="471"/>
      <c r="YA921" s="471"/>
      <c r="YB921" s="471"/>
      <c r="YC921" s="471"/>
      <c r="YD921" s="471"/>
      <c r="YE921" s="471"/>
      <c r="YF921" s="471"/>
      <c r="YG921" s="471"/>
      <c r="YH921" s="471"/>
      <c r="YI921" s="471"/>
      <c r="YJ921" s="471"/>
      <c r="YK921" s="471"/>
      <c r="YL921" s="471"/>
      <c r="YM921" s="471"/>
      <c r="YN921" s="471"/>
      <c r="YO921" s="471"/>
      <c r="YP921" s="471"/>
      <c r="YQ921" s="471"/>
      <c r="YR921" s="471"/>
      <c r="YS921" s="471"/>
      <c r="YT921" s="471"/>
      <c r="YU921" s="471"/>
      <c r="YV921" s="471"/>
      <c r="YW921" s="471"/>
      <c r="YX921" s="471"/>
      <c r="YY921" s="471"/>
      <c r="YZ921" s="471"/>
      <c r="ZA921" s="471"/>
      <c r="ZB921" s="471"/>
      <c r="ZC921" s="471"/>
      <c r="ZD921" s="471"/>
      <c r="ZE921" s="471"/>
      <c r="ZF921" s="471"/>
      <c r="ZG921" s="471"/>
      <c r="ZH921" s="471"/>
      <c r="ZI921" s="471"/>
      <c r="ZJ921" s="471"/>
      <c r="ZK921" s="471"/>
      <c r="ZL921" s="471"/>
      <c r="ZM921" s="471"/>
      <c r="ZN921" s="471"/>
      <c r="ZO921" s="471"/>
      <c r="ZP921" s="471"/>
      <c r="ZQ921" s="471"/>
      <c r="ZR921" s="471"/>
      <c r="ZS921" s="471"/>
      <c r="ZT921" s="471"/>
      <c r="ZU921" s="471"/>
      <c r="ZV921" s="471"/>
      <c r="ZW921" s="471"/>
      <c r="ZX921" s="471"/>
      <c r="ZY921" s="471"/>
      <c r="ZZ921" s="471"/>
      <c r="AAA921" s="471"/>
      <c r="AAB921" s="471"/>
      <c r="AAC921" s="471"/>
      <c r="AAD921" s="471"/>
      <c r="AAE921" s="471"/>
      <c r="AAF921" s="471"/>
      <c r="AAG921" s="471"/>
      <c r="AAH921" s="471"/>
      <c r="AAI921" s="471"/>
      <c r="AAJ921" s="471"/>
      <c r="AAK921" s="471"/>
      <c r="AAL921" s="471"/>
      <c r="AAM921" s="471"/>
      <c r="AAN921" s="471"/>
      <c r="AAO921" s="471"/>
      <c r="AAP921" s="471"/>
      <c r="AAQ921" s="471"/>
      <c r="AAR921" s="471"/>
      <c r="AAS921" s="471"/>
      <c r="AAT921" s="471"/>
      <c r="AAU921" s="471"/>
      <c r="AAV921" s="471"/>
      <c r="AAW921" s="471"/>
      <c r="AAX921" s="471"/>
      <c r="AAY921" s="471"/>
      <c r="AAZ921" s="471"/>
      <c r="ABA921" s="471"/>
      <c r="ABB921" s="471"/>
      <c r="ABC921" s="471"/>
      <c r="ABD921" s="471"/>
      <c r="ABE921" s="471"/>
      <c r="ABF921" s="471"/>
      <c r="ABG921" s="471"/>
      <c r="ABH921" s="471"/>
      <c r="ABI921" s="471"/>
      <c r="ABJ921" s="471"/>
      <c r="ABK921" s="471"/>
      <c r="ABL921" s="471"/>
      <c r="ABM921" s="471"/>
      <c r="ABN921" s="471"/>
      <c r="ABO921" s="471"/>
      <c r="ABP921" s="471"/>
      <c r="ABQ921" s="471"/>
      <c r="ABR921" s="471"/>
      <c r="ABS921" s="471"/>
      <c r="ABT921" s="471"/>
      <c r="ABU921" s="471"/>
      <c r="ABV921" s="471"/>
      <c r="ABW921" s="471"/>
      <c r="ABX921" s="471"/>
      <c r="ABY921" s="471"/>
      <c r="ABZ921" s="471"/>
      <c r="ACA921" s="471"/>
      <c r="ACB921" s="471"/>
      <c r="ACC921" s="471"/>
      <c r="ACD921" s="471"/>
      <c r="ACE921" s="471"/>
      <c r="ACF921" s="471"/>
      <c r="ACG921" s="471"/>
      <c r="ACH921" s="471"/>
      <c r="ACI921" s="471"/>
      <c r="ACJ921" s="471"/>
      <c r="ACK921" s="471"/>
      <c r="ACL921" s="471"/>
      <c r="ACM921" s="471"/>
      <c r="ACN921" s="471"/>
      <c r="ACO921" s="471"/>
      <c r="ACP921" s="471"/>
      <c r="ACQ921" s="471"/>
      <c r="ACR921" s="471"/>
      <c r="ACS921" s="471"/>
      <c r="ACT921" s="471"/>
      <c r="ACU921" s="471"/>
      <c r="ACV921" s="471"/>
      <c r="ACW921" s="471"/>
      <c r="ACX921" s="471"/>
      <c r="ACY921" s="471"/>
      <c r="ACZ921" s="471"/>
      <c r="ADA921" s="471"/>
      <c r="ADB921" s="471"/>
      <c r="ADC921" s="471"/>
      <c r="ADD921" s="471"/>
      <c r="ADE921" s="471"/>
      <c r="ADF921" s="471"/>
      <c r="ADG921" s="471"/>
      <c r="ADH921" s="471"/>
      <c r="ADI921" s="471"/>
      <c r="ADJ921" s="471"/>
      <c r="ADK921" s="471"/>
      <c r="ADL921" s="471"/>
      <c r="ADM921" s="471"/>
      <c r="ADN921" s="471"/>
      <c r="ADO921" s="471"/>
      <c r="ADP921" s="471"/>
      <c r="ADQ921" s="471"/>
      <c r="ADR921" s="471"/>
      <c r="ADS921" s="471"/>
      <c r="ADT921" s="471"/>
      <c r="ADU921" s="471"/>
      <c r="ADV921" s="471"/>
      <c r="ADW921" s="471"/>
      <c r="ADX921" s="471"/>
      <c r="ADY921" s="471"/>
      <c r="ADZ921" s="471"/>
      <c r="AEA921" s="471"/>
      <c r="AEB921" s="471"/>
      <c r="AEC921" s="471"/>
      <c r="AED921" s="471"/>
      <c r="AEE921" s="471"/>
      <c r="AEF921" s="471"/>
      <c r="AEG921" s="471"/>
      <c r="AEH921" s="471"/>
      <c r="AEI921" s="471"/>
      <c r="AEJ921" s="471"/>
      <c r="AEK921" s="471"/>
      <c r="AEL921" s="471"/>
      <c r="AEM921" s="471"/>
      <c r="AEN921" s="471"/>
      <c r="AEO921" s="471"/>
      <c r="AEP921" s="471"/>
      <c r="AEQ921" s="471"/>
      <c r="AER921" s="471"/>
      <c r="AES921" s="471"/>
      <c r="AET921" s="471"/>
      <c r="AEU921" s="471"/>
      <c r="AEV921" s="471"/>
      <c r="AEW921" s="471"/>
      <c r="AEX921" s="471"/>
      <c r="AEY921" s="471"/>
      <c r="AEZ921" s="471"/>
      <c r="AFA921" s="471"/>
      <c r="AFB921" s="471"/>
      <c r="AFC921" s="471"/>
      <c r="AFD921" s="471"/>
      <c r="AFE921" s="471"/>
      <c r="AFF921" s="471"/>
      <c r="AFG921" s="471"/>
      <c r="AFH921" s="471"/>
      <c r="AFI921" s="471"/>
      <c r="AFJ921" s="471"/>
      <c r="AFK921" s="471"/>
      <c r="AFL921" s="471"/>
      <c r="AFM921" s="471"/>
      <c r="AFN921" s="471"/>
      <c r="AFO921" s="471"/>
      <c r="AFP921" s="471"/>
      <c r="AFQ921" s="471"/>
      <c r="AFR921" s="471"/>
      <c r="AFS921" s="471"/>
      <c r="AFT921" s="471"/>
      <c r="AFU921" s="471"/>
      <c r="AFV921" s="471"/>
      <c r="AFW921" s="471"/>
      <c r="AFX921" s="471"/>
      <c r="AFY921" s="471"/>
      <c r="AFZ921" s="471"/>
      <c r="AGA921" s="471"/>
      <c r="AGB921" s="471"/>
      <c r="AGC921" s="471"/>
      <c r="AGD921" s="471"/>
      <c r="AGE921" s="471"/>
      <c r="AGF921" s="471"/>
      <c r="AGG921" s="471"/>
      <c r="AGH921" s="471"/>
      <c r="AGI921" s="471"/>
      <c r="AGJ921" s="471"/>
      <c r="AGK921" s="471"/>
      <c r="AGL921" s="471"/>
      <c r="AGM921" s="471"/>
      <c r="AGN921" s="471"/>
      <c r="AGO921" s="471"/>
      <c r="AGP921" s="471"/>
      <c r="AGQ921" s="471"/>
      <c r="AGR921" s="471"/>
      <c r="AGS921" s="471"/>
      <c r="AGT921" s="471"/>
      <c r="AGU921" s="471"/>
      <c r="AGV921" s="471"/>
      <c r="AGW921" s="471"/>
      <c r="AGX921" s="471"/>
      <c r="AGY921" s="471"/>
      <c r="AGZ921" s="471"/>
      <c r="AHA921" s="471"/>
      <c r="AHB921" s="471"/>
      <c r="AHC921" s="471"/>
      <c r="AHD921" s="471"/>
      <c r="AHE921" s="471"/>
      <c r="AHF921" s="471"/>
      <c r="AHG921" s="471"/>
      <c r="AHH921" s="471"/>
      <c r="AHI921" s="471"/>
      <c r="AHJ921" s="471"/>
      <c r="AHK921" s="471"/>
      <c r="AHL921" s="471"/>
      <c r="AHM921" s="471"/>
      <c r="AHN921" s="471"/>
      <c r="AHO921" s="471"/>
      <c r="AHP921" s="471"/>
      <c r="AHQ921" s="471"/>
      <c r="AHR921" s="471"/>
      <c r="AHS921" s="471"/>
      <c r="AHT921" s="471"/>
      <c r="AHU921" s="471"/>
      <c r="AHV921" s="471"/>
      <c r="AHW921" s="471"/>
      <c r="AHX921" s="471"/>
      <c r="AHY921" s="471"/>
      <c r="AHZ921" s="471"/>
      <c r="AIA921" s="471"/>
      <c r="AIB921" s="471"/>
      <c r="AIC921" s="471"/>
      <c r="AID921" s="471"/>
      <c r="AIE921" s="471"/>
      <c r="AIF921" s="471"/>
      <c r="AIG921" s="471"/>
      <c r="AIH921" s="471"/>
      <c r="AII921" s="471"/>
      <c r="AIJ921" s="471"/>
      <c r="AIK921" s="471"/>
      <c r="AIL921" s="471"/>
      <c r="AIM921" s="471"/>
      <c r="AIN921" s="471"/>
      <c r="AIO921" s="471"/>
      <c r="AIP921" s="471"/>
      <c r="AIQ921" s="471"/>
      <c r="AIR921" s="471"/>
      <c r="AIS921" s="471"/>
      <c r="AIT921" s="471"/>
      <c r="AIU921" s="471"/>
      <c r="AIV921" s="471"/>
      <c r="AIW921" s="471"/>
      <c r="AIX921" s="471"/>
      <c r="AIY921" s="471"/>
      <c r="AIZ921" s="471"/>
      <c r="AJA921" s="471"/>
      <c r="AJB921" s="471"/>
      <c r="AJC921" s="471"/>
      <c r="AJD921" s="471"/>
      <c r="AJE921" s="471"/>
      <c r="AJF921" s="471"/>
      <c r="AJG921" s="471"/>
      <c r="AJH921" s="471"/>
      <c r="AJI921" s="471"/>
      <c r="AJJ921" s="471"/>
      <c r="AJK921" s="471"/>
      <c r="AJL921" s="471"/>
      <c r="AJM921" s="471"/>
      <c r="AJN921" s="471"/>
      <c r="AJO921" s="471"/>
      <c r="AJP921" s="471"/>
      <c r="AJQ921" s="471"/>
      <c r="AJR921" s="471"/>
      <c r="AJS921" s="471"/>
      <c r="AJT921" s="471"/>
      <c r="AJU921" s="471"/>
      <c r="AJV921" s="471"/>
      <c r="AJW921" s="471"/>
      <c r="AJX921" s="471"/>
      <c r="AJY921" s="471"/>
      <c r="AJZ921" s="471"/>
      <c r="AKA921" s="471"/>
      <c r="AKB921" s="471"/>
      <c r="AKC921" s="471"/>
      <c r="AKD921" s="471"/>
      <c r="AKE921" s="471"/>
      <c r="AKF921" s="471"/>
      <c r="AKG921" s="471"/>
      <c r="AKH921" s="471"/>
      <c r="AKI921" s="471"/>
      <c r="AKJ921" s="471"/>
      <c r="AKK921" s="471"/>
      <c r="AKL921" s="471"/>
      <c r="AKM921" s="471"/>
      <c r="AKN921" s="471"/>
      <c r="AKO921" s="471"/>
      <c r="AKP921" s="471"/>
      <c r="AKQ921" s="471"/>
      <c r="AKR921" s="471"/>
      <c r="AKS921" s="471"/>
      <c r="AKT921" s="471"/>
      <c r="AKU921" s="471"/>
      <c r="AKV921" s="471"/>
      <c r="AKW921" s="471"/>
      <c r="AKX921" s="471"/>
      <c r="AKY921" s="471"/>
      <c r="AKZ921" s="471"/>
      <c r="ALA921" s="471"/>
      <c r="ALB921" s="471"/>
      <c r="ALC921" s="471"/>
      <c r="ALD921" s="471"/>
      <c r="ALE921" s="471"/>
      <c r="ALF921" s="471"/>
      <c r="ALG921" s="471"/>
      <c r="ALH921" s="471"/>
      <c r="ALI921" s="471"/>
      <c r="ALJ921" s="471"/>
      <c r="ALK921" s="471"/>
      <c r="ALL921" s="471"/>
      <c r="ALM921" s="471"/>
      <c r="ALN921" s="471"/>
      <c r="ALO921" s="471"/>
      <c r="ALP921" s="471"/>
      <c r="ALQ921" s="471"/>
      <c r="ALR921" s="471"/>
      <c r="ALS921" s="471"/>
      <c r="ALT921" s="471"/>
      <c r="ALU921" s="471"/>
      <c r="ALV921" s="471"/>
      <c r="ALW921" s="471"/>
      <c r="ALX921" s="471"/>
      <c r="ALY921" s="471"/>
      <c r="ALZ921" s="471"/>
      <c r="AMA921" s="471"/>
      <c r="AMB921" s="471"/>
      <c r="AMC921" s="471"/>
      <c r="AMD921" s="471"/>
      <c r="AME921" s="471"/>
      <c r="AMF921" s="471"/>
      <c r="AMG921" s="471"/>
      <c r="AMH921" s="471"/>
      <c r="AMI921" s="471"/>
      <c r="AMJ921" s="471"/>
      <c r="AMK921" s="471"/>
      <c r="AML921" s="471"/>
      <c r="AMM921" s="471"/>
      <c r="AMN921" s="471"/>
      <c r="AMO921" s="471"/>
      <c r="AMP921" s="471"/>
      <c r="AMQ921" s="471"/>
      <c r="AMR921" s="471"/>
      <c r="AMS921" s="471"/>
      <c r="AMT921" s="471"/>
      <c r="AMU921" s="471"/>
      <c r="AMV921" s="471"/>
      <c r="AMW921" s="471"/>
      <c r="AMX921" s="471"/>
      <c r="AMY921" s="471"/>
      <c r="AMZ921" s="471"/>
      <c r="ANA921" s="471"/>
      <c r="ANB921" s="471"/>
      <c r="ANC921" s="471"/>
      <c r="AND921" s="471"/>
      <c r="ANE921" s="471"/>
      <c r="ANF921" s="471"/>
      <c r="ANG921" s="471"/>
      <c r="ANH921" s="471"/>
      <c r="ANI921" s="471"/>
      <c r="ANJ921" s="471"/>
      <c r="ANK921" s="471"/>
      <c r="ANL921" s="471"/>
      <c r="ANM921" s="471"/>
      <c r="ANN921" s="471"/>
      <c r="ANO921" s="471"/>
      <c r="ANP921" s="471"/>
      <c r="ANQ921" s="471"/>
      <c r="ANR921" s="471"/>
      <c r="ANS921" s="471"/>
      <c r="ANT921" s="471"/>
      <c r="ANU921" s="471"/>
      <c r="ANV921" s="471"/>
      <c r="ANW921" s="471"/>
      <c r="ANX921" s="471"/>
      <c r="ANY921" s="471"/>
      <c r="ANZ921" s="471"/>
      <c r="AOA921" s="471"/>
      <c r="AOB921" s="471"/>
      <c r="AOC921" s="471"/>
      <c r="AOD921" s="471"/>
      <c r="AOE921" s="471"/>
      <c r="AOF921" s="471"/>
      <c r="AOG921" s="471"/>
      <c r="AOH921" s="471"/>
      <c r="AOI921" s="471"/>
      <c r="AOJ921" s="471"/>
      <c r="AOK921" s="471"/>
      <c r="AOL921" s="471"/>
      <c r="AOM921" s="471"/>
      <c r="AON921" s="471"/>
      <c r="AOO921" s="471"/>
      <c r="AOP921" s="471"/>
      <c r="AOQ921" s="471"/>
      <c r="AOR921" s="471"/>
      <c r="AOS921" s="471"/>
      <c r="AOT921" s="471"/>
      <c r="AOU921" s="471"/>
      <c r="AOV921" s="471"/>
      <c r="AOW921" s="471"/>
      <c r="AOX921" s="471"/>
      <c r="AOY921" s="471"/>
      <c r="AOZ921" s="471"/>
      <c r="APA921" s="471"/>
      <c r="APB921" s="471"/>
      <c r="APC921" s="471"/>
      <c r="APD921" s="471"/>
      <c r="APE921" s="471"/>
      <c r="APF921" s="471"/>
      <c r="APG921" s="471"/>
      <c r="APH921" s="471"/>
      <c r="API921" s="471"/>
      <c r="APJ921" s="471"/>
      <c r="APK921" s="471"/>
      <c r="APL921" s="471"/>
      <c r="APM921" s="471"/>
      <c r="APN921" s="471"/>
      <c r="APO921" s="471"/>
      <c r="APP921" s="471"/>
      <c r="APQ921" s="471"/>
      <c r="APR921" s="471"/>
      <c r="APS921" s="471"/>
      <c r="APT921" s="471"/>
      <c r="APU921" s="471"/>
      <c r="APV921" s="471"/>
      <c r="APW921" s="471"/>
      <c r="APX921" s="471"/>
      <c r="APY921" s="471"/>
      <c r="APZ921" s="471"/>
      <c r="AQA921" s="471"/>
      <c r="AQB921" s="471"/>
      <c r="AQC921" s="471"/>
      <c r="AQD921" s="471"/>
      <c r="AQE921" s="471"/>
      <c r="AQF921" s="471"/>
      <c r="AQG921" s="471"/>
      <c r="AQH921" s="471"/>
      <c r="AQI921" s="471"/>
      <c r="AQJ921" s="471"/>
      <c r="AQK921" s="471"/>
      <c r="AQL921" s="471"/>
      <c r="AQM921" s="471"/>
      <c r="AQN921" s="471"/>
      <c r="AQO921" s="471"/>
      <c r="AQP921" s="471"/>
      <c r="AQQ921" s="471"/>
      <c r="AQR921" s="471"/>
      <c r="AQS921" s="471"/>
      <c r="AQT921" s="471"/>
      <c r="AQU921" s="471"/>
      <c r="AQV921" s="471"/>
      <c r="AQW921" s="471"/>
      <c r="AQX921" s="471"/>
      <c r="AQY921" s="471"/>
      <c r="AQZ921" s="471"/>
      <c r="ARA921" s="471"/>
      <c r="ARB921" s="471"/>
      <c r="ARC921" s="471"/>
      <c r="ARD921" s="471"/>
      <c r="ARE921" s="471"/>
      <c r="ARF921" s="471"/>
      <c r="ARG921" s="471"/>
      <c r="ARH921" s="471"/>
      <c r="ARI921" s="471"/>
      <c r="ARJ921" s="471"/>
      <c r="ARK921" s="471"/>
      <c r="ARL921" s="471"/>
      <c r="ARM921" s="471"/>
      <c r="ARN921" s="471"/>
      <c r="ARO921" s="471"/>
      <c r="ARP921" s="471"/>
      <c r="ARQ921" s="471"/>
      <c r="ARR921" s="471"/>
      <c r="ARS921" s="471"/>
      <c r="ART921" s="471"/>
      <c r="ARU921" s="471"/>
      <c r="ARV921" s="471"/>
      <c r="ARW921" s="471"/>
      <c r="ARX921" s="471"/>
      <c r="ARY921" s="471"/>
      <c r="ARZ921" s="471"/>
      <c r="ASA921" s="471"/>
      <c r="ASB921" s="471"/>
      <c r="ASC921" s="471"/>
      <c r="ASD921" s="471"/>
      <c r="ASE921" s="471"/>
      <c r="ASF921" s="471"/>
      <c r="ASG921" s="471"/>
      <c r="ASH921" s="471"/>
      <c r="ASI921" s="471"/>
      <c r="ASJ921" s="471"/>
      <c r="ASK921" s="471"/>
      <c r="ASL921" s="471"/>
      <c r="ASM921" s="471"/>
      <c r="ASN921" s="471"/>
      <c r="ASO921" s="471"/>
      <c r="ASP921" s="471"/>
      <c r="ASQ921" s="471"/>
      <c r="ASR921" s="471"/>
      <c r="ASS921" s="471"/>
      <c r="AST921" s="471"/>
      <c r="ASU921" s="471"/>
      <c r="ASV921" s="471"/>
      <c r="ASW921" s="471"/>
      <c r="ASX921" s="471"/>
      <c r="ASY921" s="471"/>
      <c r="ASZ921" s="471"/>
      <c r="ATA921" s="471"/>
      <c r="ATB921" s="471"/>
      <c r="ATC921" s="471"/>
      <c r="ATD921" s="471"/>
      <c r="ATE921" s="471"/>
      <c r="ATF921" s="471"/>
      <c r="ATG921" s="471"/>
      <c r="ATH921" s="471"/>
      <c r="ATI921" s="471"/>
      <c r="ATJ921" s="471"/>
      <c r="ATK921" s="471"/>
      <c r="ATL921" s="471"/>
      <c r="ATM921" s="471"/>
      <c r="ATN921" s="471"/>
      <c r="ATO921" s="471"/>
      <c r="ATP921" s="471"/>
      <c r="ATQ921" s="471"/>
      <c r="ATR921" s="471"/>
      <c r="ATS921" s="471"/>
      <c r="ATT921" s="471"/>
      <c r="ATU921" s="471"/>
      <c r="ATV921" s="471"/>
      <c r="ATW921" s="471"/>
      <c r="ATX921" s="471"/>
      <c r="ATY921" s="471"/>
      <c r="ATZ921" s="471"/>
      <c r="AUA921" s="471"/>
      <c r="AUB921" s="471"/>
      <c r="AUC921" s="471"/>
      <c r="AUD921" s="471"/>
      <c r="AUE921" s="471"/>
      <c r="AUF921" s="471"/>
      <c r="AUG921" s="471"/>
      <c r="AUH921" s="471"/>
      <c r="AUI921" s="471"/>
      <c r="AUJ921" s="471"/>
      <c r="AUK921" s="471"/>
      <c r="AUL921" s="471"/>
      <c r="AUM921" s="471"/>
      <c r="AUN921" s="471"/>
      <c r="AUO921" s="471"/>
      <c r="AUP921" s="471"/>
      <c r="AUQ921" s="471"/>
      <c r="AUR921" s="471"/>
      <c r="AUS921" s="471"/>
      <c r="AUT921" s="471"/>
      <c r="AUU921" s="471"/>
      <c r="AUV921" s="471"/>
      <c r="AUW921" s="471"/>
      <c r="AUX921" s="471"/>
      <c r="AUY921" s="471"/>
      <c r="AUZ921" s="471"/>
      <c r="AVA921" s="471"/>
      <c r="AVB921" s="471"/>
      <c r="AVC921" s="471"/>
      <c r="AVD921" s="471"/>
      <c r="AVE921" s="471"/>
      <c r="AVF921" s="471"/>
      <c r="AVG921" s="471"/>
      <c r="AVH921" s="471"/>
      <c r="AVI921" s="471"/>
      <c r="AVJ921" s="471"/>
      <c r="AVK921" s="471"/>
    </row>
    <row r="922" spans="1:1259" s="511" customFormat="1" ht="15" customHeight="1">
      <c r="A922" s="472"/>
      <c r="B922" s="472"/>
      <c r="C922" s="472"/>
      <c r="D922" s="512" t="s">
        <v>3186</v>
      </c>
      <c r="E922" s="512" t="s">
        <v>3044</v>
      </c>
      <c r="F922" s="501"/>
      <c r="G922" s="501"/>
      <c r="H922" s="524">
        <v>11</v>
      </c>
      <c r="I922" s="496" t="s">
        <v>1676</v>
      </c>
      <c r="J922" s="502"/>
      <c r="K922" s="502" t="s">
        <v>4884</v>
      </c>
      <c r="L922" s="502" t="s">
        <v>3278</v>
      </c>
      <c r="M922" s="502">
        <v>44550</v>
      </c>
      <c r="N922" s="502">
        <v>44687</v>
      </c>
      <c r="O922" s="504"/>
      <c r="P922" s="502"/>
      <c r="Q922" s="502"/>
      <c r="R922" s="502"/>
      <c r="S922" s="501" t="s">
        <v>2379</v>
      </c>
      <c r="T922" s="501">
        <v>60</v>
      </c>
      <c r="U922" s="501"/>
      <c r="V922" s="501" t="s">
        <v>973</v>
      </c>
      <c r="W922" s="501">
        <v>400</v>
      </c>
      <c r="X922" s="505">
        <v>480</v>
      </c>
      <c r="Y922" s="491">
        <f t="shared" si="130"/>
        <v>192000</v>
      </c>
      <c r="Z922" s="506">
        <v>0.53</v>
      </c>
      <c r="AA922" s="492">
        <f t="shared" si="134"/>
        <v>101760</v>
      </c>
      <c r="AB922" s="480"/>
      <c r="AC922" s="481">
        <f t="shared" si="131"/>
        <v>0</v>
      </c>
      <c r="AD922" s="508"/>
      <c r="AE922" s="507"/>
      <c r="AF922" s="493">
        <f t="shared" si="132"/>
        <v>101760</v>
      </c>
      <c r="AG922" s="501" t="s">
        <v>1071</v>
      </c>
      <c r="AH922" s="501"/>
      <c r="AI922" s="503">
        <v>60</v>
      </c>
      <c r="AJ922" s="501" t="s">
        <v>1384</v>
      </c>
      <c r="AK922" s="509" t="s">
        <v>1144</v>
      </c>
      <c r="AL922" s="501">
        <v>77092</v>
      </c>
      <c r="AM922" s="501" t="s">
        <v>52</v>
      </c>
      <c r="AN922" s="501"/>
      <c r="AO922" s="501"/>
      <c r="AP922" s="510"/>
      <c r="AQ922" s="510" t="s">
        <v>37</v>
      </c>
      <c r="AR922" s="510"/>
      <c r="AS922" s="495" t="s">
        <v>1152</v>
      </c>
      <c r="AT922" s="495" t="s">
        <v>1076</v>
      </c>
      <c r="AU922" s="495" t="s">
        <v>1076</v>
      </c>
      <c r="AV922" s="506">
        <v>0.53</v>
      </c>
      <c r="AW922" s="471"/>
      <c r="AX922" s="471"/>
      <c r="AY922" s="471"/>
      <c r="AZ922" s="471"/>
      <c r="BA922" s="471"/>
      <c r="BB922" s="471"/>
      <c r="BC922" s="471"/>
      <c r="BD922" s="471"/>
      <c r="BE922" s="471"/>
      <c r="BF922" s="471"/>
      <c r="BG922" s="471"/>
      <c r="BH922" s="471"/>
      <c r="BI922" s="471"/>
      <c r="BJ922" s="471"/>
      <c r="BK922" s="471"/>
      <c r="BL922" s="471"/>
      <c r="BM922" s="471"/>
      <c r="BN922" s="471"/>
      <c r="BO922" s="471"/>
      <c r="BP922" s="471"/>
      <c r="BQ922" s="471"/>
      <c r="BR922" s="471"/>
      <c r="BS922" s="471"/>
      <c r="BT922" s="471"/>
      <c r="BU922" s="471"/>
      <c r="BV922" s="471"/>
      <c r="BW922" s="471"/>
      <c r="BX922" s="471"/>
      <c r="BY922" s="471"/>
      <c r="BZ922" s="471"/>
      <c r="CA922" s="471"/>
      <c r="CB922" s="471"/>
      <c r="CC922" s="471"/>
      <c r="CD922" s="471"/>
      <c r="CE922" s="471"/>
      <c r="CF922" s="471"/>
      <c r="CG922" s="471"/>
      <c r="CH922" s="471"/>
      <c r="CI922" s="471"/>
      <c r="CJ922" s="471"/>
      <c r="CK922" s="471"/>
      <c r="CL922" s="471"/>
      <c r="CM922" s="471"/>
      <c r="CN922" s="471"/>
      <c r="CO922" s="471"/>
      <c r="CP922" s="471"/>
      <c r="CQ922" s="471"/>
      <c r="CR922" s="471"/>
      <c r="CS922" s="471"/>
      <c r="CT922" s="471"/>
      <c r="CU922" s="471"/>
      <c r="CV922" s="471"/>
      <c r="CW922" s="471"/>
      <c r="CX922" s="471"/>
      <c r="CY922" s="471"/>
      <c r="CZ922" s="471"/>
      <c r="DA922" s="471"/>
      <c r="DB922" s="471"/>
      <c r="DC922" s="471"/>
      <c r="DD922" s="471"/>
      <c r="DE922" s="471"/>
      <c r="DF922" s="471"/>
      <c r="DG922" s="471"/>
      <c r="DH922" s="471"/>
      <c r="DI922" s="471"/>
      <c r="DJ922" s="471"/>
      <c r="DK922" s="471"/>
      <c r="DL922" s="471"/>
      <c r="DM922" s="471"/>
      <c r="DN922" s="471"/>
      <c r="DO922" s="471"/>
      <c r="DP922" s="471"/>
      <c r="DQ922" s="471"/>
      <c r="DR922" s="471"/>
      <c r="DS922" s="471"/>
      <c r="DT922" s="471"/>
      <c r="DU922" s="471"/>
      <c r="DV922" s="471"/>
      <c r="DW922" s="471"/>
      <c r="DX922" s="471"/>
      <c r="DY922" s="471"/>
      <c r="DZ922" s="471"/>
      <c r="EA922" s="471"/>
      <c r="EB922" s="471"/>
      <c r="EC922" s="471"/>
      <c r="ED922" s="471"/>
      <c r="EE922" s="471"/>
      <c r="EF922" s="471"/>
      <c r="EG922" s="471"/>
      <c r="EH922" s="471"/>
      <c r="EI922" s="471"/>
      <c r="EJ922" s="471"/>
      <c r="EK922" s="471"/>
      <c r="EL922" s="471"/>
      <c r="EM922" s="471"/>
      <c r="EN922" s="471"/>
      <c r="EO922" s="471"/>
      <c r="EP922" s="471"/>
      <c r="EQ922" s="471"/>
      <c r="ER922" s="471"/>
      <c r="ES922" s="471"/>
      <c r="ET922" s="471"/>
      <c r="EU922" s="471"/>
      <c r="EV922" s="471"/>
      <c r="EW922" s="471"/>
      <c r="EX922" s="471"/>
      <c r="EY922" s="471"/>
      <c r="EZ922" s="471"/>
      <c r="FA922" s="471"/>
      <c r="FB922" s="471"/>
      <c r="FC922" s="471"/>
      <c r="FD922" s="471"/>
      <c r="FE922" s="471"/>
      <c r="FF922" s="471"/>
      <c r="FG922" s="471"/>
      <c r="FH922" s="471"/>
      <c r="FI922" s="471"/>
      <c r="FJ922" s="471"/>
      <c r="FK922" s="471"/>
      <c r="FL922" s="471"/>
      <c r="FM922" s="471"/>
      <c r="FN922" s="471"/>
      <c r="FO922" s="471"/>
      <c r="FP922" s="471"/>
      <c r="FQ922" s="471"/>
      <c r="FR922" s="471"/>
      <c r="FS922" s="471"/>
      <c r="FT922" s="471"/>
      <c r="FU922" s="471"/>
      <c r="FV922" s="471"/>
      <c r="FW922" s="471"/>
      <c r="FX922" s="471"/>
      <c r="FY922" s="471"/>
      <c r="FZ922" s="471"/>
      <c r="GA922" s="471"/>
      <c r="GB922" s="471"/>
      <c r="GC922" s="471"/>
      <c r="GD922" s="471"/>
      <c r="GE922" s="471"/>
      <c r="GF922" s="471"/>
      <c r="GG922" s="471"/>
      <c r="GH922" s="471"/>
      <c r="GI922" s="471"/>
      <c r="GJ922" s="471"/>
      <c r="GK922" s="471"/>
      <c r="GL922" s="471"/>
      <c r="GM922" s="471"/>
      <c r="GN922" s="471"/>
      <c r="GO922" s="471"/>
      <c r="GP922" s="471"/>
      <c r="GQ922" s="471"/>
      <c r="GR922" s="471"/>
      <c r="GS922" s="471"/>
      <c r="GT922" s="471"/>
      <c r="GU922" s="471"/>
      <c r="GV922" s="471"/>
      <c r="GW922" s="471"/>
      <c r="GX922" s="471"/>
      <c r="GY922" s="471"/>
      <c r="GZ922" s="471"/>
      <c r="HA922" s="471"/>
      <c r="HB922" s="471"/>
      <c r="HC922" s="471"/>
      <c r="HD922" s="471"/>
      <c r="HE922" s="471"/>
      <c r="HF922" s="471"/>
      <c r="HG922" s="471"/>
      <c r="HH922" s="471"/>
      <c r="HI922" s="471"/>
      <c r="HJ922" s="471"/>
      <c r="HK922" s="471"/>
      <c r="HL922" s="471"/>
      <c r="HM922" s="471"/>
      <c r="HN922" s="471"/>
      <c r="HO922" s="471"/>
      <c r="HP922" s="471"/>
      <c r="HQ922" s="471"/>
      <c r="HR922" s="471"/>
      <c r="HS922" s="471"/>
      <c r="HT922" s="471"/>
      <c r="HU922" s="471"/>
      <c r="HV922" s="471"/>
      <c r="HW922" s="471"/>
      <c r="HX922" s="471"/>
      <c r="HY922" s="471"/>
      <c r="HZ922" s="471"/>
      <c r="IA922" s="471"/>
      <c r="IB922" s="471"/>
      <c r="IC922" s="471"/>
      <c r="ID922" s="471"/>
      <c r="IE922" s="471"/>
      <c r="IF922" s="471"/>
      <c r="IG922" s="471"/>
      <c r="IH922" s="471"/>
      <c r="II922" s="471"/>
      <c r="IJ922" s="471"/>
      <c r="IK922" s="471"/>
      <c r="IL922" s="471"/>
      <c r="IM922" s="471"/>
      <c r="IN922" s="471"/>
      <c r="IO922" s="471"/>
      <c r="IP922" s="471"/>
      <c r="IQ922" s="471"/>
      <c r="IR922" s="471"/>
      <c r="IS922" s="471"/>
      <c r="IT922" s="471"/>
      <c r="IU922" s="471"/>
      <c r="IV922" s="471"/>
      <c r="IW922" s="471"/>
      <c r="IX922" s="471"/>
      <c r="IY922" s="471"/>
      <c r="IZ922" s="471"/>
      <c r="JA922" s="471"/>
      <c r="JB922" s="471"/>
      <c r="JC922" s="471"/>
      <c r="JD922" s="471"/>
      <c r="JE922" s="471"/>
      <c r="JF922" s="471"/>
      <c r="JG922" s="471"/>
      <c r="JH922" s="471"/>
      <c r="JI922" s="471"/>
      <c r="JJ922" s="471"/>
      <c r="JK922" s="471"/>
      <c r="JL922" s="471"/>
      <c r="JM922" s="471"/>
      <c r="JN922" s="471"/>
      <c r="JO922" s="471"/>
      <c r="JP922" s="471"/>
      <c r="JQ922" s="471"/>
      <c r="JR922" s="471"/>
      <c r="JS922" s="471"/>
      <c r="JT922" s="471"/>
      <c r="JU922" s="471"/>
      <c r="JV922" s="471"/>
      <c r="JW922" s="471"/>
      <c r="JX922" s="471"/>
      <c r="JY922" s="471"/>
      <c r="JZ922" s="471"/>
      <c r="KA922" s="471"/>
      <c r="KB922" s="471"/>
      <c r="KC922" s="471"/>
      <c r="KD922" s="471"/>
      <c r="KE922" s="471"/>
      <c r="KF922" s="471"/>
      <c r="KG922" s="471"/>
      <c r="KH922" s="471"/>
      <c r="KI922" s="471"/>
      <c r="KJ922" s="471"/>
      <c r="KK922" s="471"/>
      <c r="KL922" s="471"/>
      <c r="KM922" s="471"/>
      <c r="KN922" s="471"/>
      <c r="KO922" s="471"/>
      <c r="KP922" s="471"/>
      <c r="KQ922" s="471"/>
      <c r="KR922" s="471"/>
      <c r="KS922" s="471"/>
      <c r="KT922" s="471"/>
      <c r="KU922" s="471"/>
      <c r="KV922" s="471"/>
      <c r="KW922" s="471"/>
      <c r="KX922" s="471"/>
      <c r="KY922" s="471"/>
      <c r="KZ922" s="471"/>
      <c r="LA922" s="471"/>
      <c r="LB922" s="471"/>
      <c r="LC922" s="471"/>
      <c r="LD922" s="471"/>
      <c r="LE922" s="471"/>
      <c r="LF922" s="471"/>
      <c r="LG922" s="471"/>
      <c r="LH922" s="471"/>
      <c r="LI922" s="471"/>
      <c r="LJ922" s="471"/>
      <c r="LK922" s="471"/>
      <c r="LL922" s="471"/>
      <c r="LM922" s="471"/>
      <c r="LN922" s="471"/>
      <c r="LO922" s="471"/>
      <c r="LP922" s="471"/>
      <c r="LQ922" s="471"/>
      <c r="LR922" s="471"/>
      <c r="LS922" s="471"/>
      <c r="LT922" s="471"/>
      <c r="LU922" s="471"/>
      <c r="LV922" s="471"/>
      <c r="LW922" s="471"/>
      <c r="LX922" s="471"/>
      <c r="LY922" s="471"/>
      <c r="LZ922" s="471"/>
      <c r="MA922" s="471"/>
      <c r="MB922" s="471"/>
      <c r="MC922" s="471"/>
      <c r="MD922" s="471"/>
      <c r="ME922" s="471"/>
      <c r="MF922" s="471"/>
      <c r="MG922" s="471"/>
      <c r="MH922" s="471"/>
      <c r="MI922" s="471"/>
      <c r="MJ922" s="471"/>
      <c r="MK922" s="471"/>
      <c r="ML922" s="471"/>
      <c r="MM922" s="471"/>
      <c r="MN922" s="471"/>
      <c r="MO922" s="471"/>
      <c r="MP922" s="471"/>
      <c r="MQ922" s="471"/>
      <c r="MR922" s="471"/>
      <c r="MS922" s="471"/>
      <c r="MT922" s="471"/>
      <c r="MU922" s="471"/>
      <c r="MV922" s="471"/>
      <c r="MW922" s="471"/>
      <c r="MX922" s="471"/>
      <c r="MY922" s="471"/>
      <c r="MZ922" s="471"/>
      <c r="NA922" s="471"/>
      <c r="NB922" s="471"/>
      <c r="NC922" s="471"/>
      <c r="ND922" s="471"/>
      <c r="NE922" s="471"/>
      <c r="NF922" s="471"/>
      <c r="NG922" s="471"/>
      <c r="NH922" s="471"/>
      <c r="NI922" s="471"/>
      <c r="NJ922" s="471"/>
      <c r="NK922" s="471"/>
      <c r="NL922" s="471"/>
      <c r="NM922" s="471"/>
      <c r="NN922" s="471"/>
      <c r="NO922" s="471"/>
      <c r="NP922" s="471"/>
      <c r="NQ922" s="471"/>
      <c r="NR922" s="471"/>
      <c r="NS922" s="471"/>
      <c r="NT922" s="471"/>
      <c r="NU922" s="471"/>
      <c r="NV922" s="471"/>
      <c r="NW922" s="471"/>
      <c r="NX922" s="471"/>
      <c r="NY922" s="471"/>
      <c r="NZ922" s="471"/>
      <c r="OA922" s="471"/>
      <c r="OB922" s="471"/>
      <c r="OC922" s="471"/>
      <c r="OD922" s="471"/>
      <c r="OE922" s="471"/>
      <c r="OF922" s="471"/>
      <c r="OG922" s="471"/>
      <c r="OH922" s="471"/>
      <c r="OI922" s="471"/>
      <c r="OJ922" s="471"/>
      <c r="OK922" s="471"/>
      <c r="OL922" s="471"/>
      <c r="OM922" s="471"/>
      <c r="ON922" s="471"/>
      <c r="OO922" s="471"/>
      <c r="OP922" s="471"/>
      <c r="OQ922" s="471"/>
      <c r="OR922" s="471"/>
      <c r="OS922" s="471"/>
      <c r="OT922" s="471"/>
      <c r="OU922" s="471"/>
      <c r="OV922" s="471"/>
      <c r="OW922" s="471"/>
      <c r="OX922" s="471"/>
      <c r="OY922" s="471"/>
      <c r="OZ922" s="471"/>
      <c r="PA922" s="471"/>
      <c r="PB922" s="471"/>
      <c r="PC922" s="471"/>
      <c r="PD922" s="471"/>
      <c r="PE922" s="471"/>
      <c r="PF922" s="471"/>
      <c r="PG922" s="471"/>
      <c r="PH922" s="471"/>
      <c r="PI922" s="471"/>
      <c r="PJ922" s="471"/>
      <c r="PK922" s="471"/>
      <c r="PL922" s="471"/>
      <c r="PM922" s="471"/>
      <c r="PN922" s="471"/>
      <c r="PO922" s="471"/>
      <c r="PP922" s="471"/>
      <c r="PQ922" s="471"/>
      <c r="PR922" s="471"/>
      <c r="PS922" s="471"/>
      <c r="PT922" s="471"/>
      <c r="PU922" s="471"/>
      <c r="PV922" s="471"/>
      <c r="PW922" s="471"/>
      <c r="PX922" s="471"/>
      <c r="PY922" s="471"/>
      <c r="PZ922" s="471"/>
      <c r="QA922" s="471"/>
      <c r="QB922" s="471"/>
      <c r="QC922" s="471"/>
      <c r="QD922" s="471"/>
      <c r="QE922" s="471"/>
      <c r="QF922" s="471"/>
      <c r="QG922" s="471"/>
      <c r="QH922" s="471"/>
      <c r="QI922" s="471"/>
      <c r="QJ922" s="471"/>
      <c r="QK922" s="471"/>
      <c r="QL922" s="471"/>
      <c r="QM922" s="471"/>
      <c r="QN922" s="471"/>
      <c r="QO922" s="471"/>
      <c r="QP922" s="471"/>
      <c r="QQ922" s="471"/>
      <c r="QR922" s="471"/>
      <c r="QS922" s="471"/>
      <c r="QT922" s="471"/>
      <c r="QU922" s="471"/>
      <c r="QV922" s="471"/>
      <c r="QW922" s="471"/>
      <c r="QX922" s="471"/>
      <c r="QY922" s="471"/>
      <c r="QZ922" s="471"/>
      <c r="RA922" s="471"/>
      <c r="RB922" s="471"/>
      <c r="RC922" s="471"/>
      <c r="RD922" s="471"/>
      <c r="RE922" s="471"/>
      <c r="RF922" s="471"/>
      <c r="RG922" s="471"/>
      <c r="RH922" s="471"/>
      <c r="RI922" s="471"/>
      <c r="RJ922" s="471"/>
      <c r="RK922" s="471"/>
      <c r="RL922" s="471"/>
      <c r="RM922" s="471"/>
      <c r="RN922" s="471"/>
      <c r="RO922" s="471"/>
      <c r="RP922" s="471"/>
      <c r="RQ922" s="471"/>
      <c r="RR922" s="471"/>
      <c r="RS922" s="471"/>
      <c r="RT922" s="471"/>
      <c r="RU922" s="471"/>
      <c r="RV922" s="471"/>
      <c r="RW922" s="471"/>
      <c r="RX922" s="471"/>
      <c r="RY922" s="471"/>
      <c r="RZ922" s="471"/>
      <c r="SA922" s="471"/>
      <c r="SB922" s="471"/>
      <c r="SC922" s="471"/>
      <c r="SD922" s="471"/>
      <c r="SE922" s="471"/>
      <c r="SF922" s="471"/>
      <c r="SG922" s="471"/>
      <c r="SH922" s="471"/>
      <c r="SI922" s="471"/>
      <c r="SJ922" s="471"/>
      <c r="SK922" s="471"/>
      <c r="SL922" s="471"/>
      <c r="SM922" s="471"/>
      <c r="SN922" s="471"/>
      <c r="SO922" s="471"/>
      <c r="SP922" s="471"/>
      <c r="SQ922" s="471"/>
      <c r="SR922" s="471"/>
      <c r="SS922" s="471"/>
      <c r="ST922" s="471"/>
      <c r="SU922" s="471"/>
      <c r="SV922" s="471"/>
      <c r="SW922" s="471"/>
      <c r="SX922" s="471"/>
      <c r="SY922" s="471"/>
      <c r="SZ922" s="471"/>
      <c r="TA922" s="471"/>
      <c r="TB922" s="471"/>
      <c r="TC922" s="471"/>
      <c r="TD922" s="471"/>
      <c r="TE922" s="471"/>
      <c r="TF922" s="471"/>
      <c r="TG922" s="471"/>
      <c r="TH922" s="471"/>
      <c r="TI922" s="471"/>
      <c r="TJ922" s="471"/>
      <c r="TK922" s="471"/>
      <c r="TL922" s="471"/>
      <c r="TM922" s="471"/>
      <c r="TN922" s="471"/>
      <c r="TO922" s="471"/>
      <c r="TP922" s="471"/>
      <c r="TQ922" s="471"/>
      <c r="TR922" s="471"/>
      <c r="TS922" s="471"/>
      <c r="TT922" s="471"/>
      <c r="TU922" s="471"/>
      <c r="TV922" s="471"/>
      <c r="TW922" s="471"/>
      <c r="TX922" s="471"/>
      <c r="TY922" s="471"/>
      <c r="TZ922" s="471"/>
      <c r="UA922" s="471"/>
      <c r="UB922" s="471"/>
      <c r="UC922" s="471"/>
      <c r="UD922" s="471"/>
      <c r="UE922" s="471"/>
      <c r="UF922" s="471"/>
      <c r="UG922" s="471"/>
      <c r="UH922" s="471"/>
      <c r="UI922" s="471"/>
      <c r="UJ922" s="471"/>
      <c r="UK922" s="471"/>
      <c r="UL922" s="471"/>
      <c r="UM922" s="471"/>
      <c r="UN922" s="471"/>
      <c r="UO922" s="471"/>
      <c r="UP922" s="471"/>
      <c r="UQ922" s="471"/>
      <c r="UR922" s="471"/>
      <c r="US922" s="471"/>
      <c r="UT922" s="471"/>
      <c r="UU922" s="471"/>
      <c r="UV922" s="471"/>
      <c r="UW922" s="471"/>
      <c r="UX922" s="471"/>
      <c r="UY922" s="471"/>
      <c r="UZ922" s="471"/>
      <c r="VA922" s="471"/>
      <c r="VB922" s="471"/>
      <c r="VC922" s="471"/>
      <c r="VD922" s="471"/>
      <c r="VE922" s="471"/>
      <c r="VF922" s="471"/>
      <c r="VG922" s="471"/>
      <c r="VH922" s="471"/>
      <c r="VI922" s="471"/>
      <c r="VJ922" s="471"/>
      <c r="VK922" s="471"/>
      <c r="VL922" s="471"/>
      <c r="VM922" s="471"/>
      <c r="VN922" s="471"/>
      <c r="VO922" s="471"/>
      <c r="VP922" s="471"/>
      <c r="VQ922" s="471"/>
      <c r="VR922" s="471"/>
      <c r="VS922" s="471"/>
      <c r="VT922" s="471"/>
      <c r="VU922" s="471"/>
      <c r="VV922" s="471"/>
      <c r="VW922" s="471"/>
      <c r="VX922" s="471"/>
      <c r="VY922" s="471"/>
      <c r="VZ922" s="471"/>
      <c r="WA922" s="471"/>
      <c r="WB922" s="471"/>
      <c r="WC922" s="471"/>
      <c r="WD922" s="471"/>
      <c r="WE922" s="471"/>
      <c r="WF922" s="471"/>
      <c r="WG922" s="471"/>
      <c r="WH922" s="471"/>
      <c r="WI922" s="471"/>
      <c r="WJ922" s="471"/>
      <c r="WK922" s="471"/>
      <c r="WL922" s="471"/>
      <c r="WM922" s="471"/>
      <c r="WN922" s="471"/>
      <c r="WO922" s="471"/>
      <c r="WP922" s="471"/>
      <c r="WQ922" s="471"/>
      <c r="WR922" s="471"/>
      <c r="WS922" s="471"/>
      <c r="WT922" s="471"/>
      <c r="WU922" s="471"/>
      <c r="WV922" s="471"/>
      <c r="WW922" s="471"/>
      <c r="WX922" s="471"/>
      <c r="WY922" s="471"/>
      <c r="WZ922" s="471"/>
      <c r="XA922" s="471"/>
      <c r="XB922" s="471"/>
      <c r="XC922" s="471"/>
      <c r="XD922" s="471"/>
      <c r="XE922" s="471"/>
      <c r="XF922" s="471"/>
      <c r="XG922" s="471"/>
      <c r="XH922" s="471"/>
      <c r="XI922" s="471"/>
      <c r="XJ922" s="471"/>
      <c r="XK922" s="471"/>
      <c r="XL922" s="471"/>
      <c r="XM922" s="471"/>
      <c r="XN922" s="471"/>
      <c r="XO922" s="471"/>
      <c r="XP922" s="471"/>
      <c r="XQ922" s="471"/>
      <c r="XR922" s="471"/>
      <c r="XS922" s="471"/>
      <c r="XT922" s="471"/>
      <c r="XU922" s="471"/>
      <c r="XV922" s="471"/>
      <c r="XW922" s="471"/>
      <c r="XX922" s="471"/>
      <c r="XY922" s="471"/>
      <c r="XZ922" s="471"/>
      <c r="YA922" s="471"/>
      <c r="YB922" s="471"/>
      <c r="YC922" s="471"/>
      <c r="YD922" s="471"/>
      <c r="YE922" s="471"/>
      <c r="YF922" s="471"/>
      <c r="YG922" s="471"/>
      <c r="YH922" s="471"/>
      <c r="YI922" s="471"/>
      <c r="YJ922" s="471"/>
      <c r="YK922" s="471"/>
      <c r="YL922" s="471"/>
      <c r="YM922" s="471"/>
      <c r="YN922" s="471"/>
      <c r="YO922" s="471"/>
      <c r="YP922" s="471"/>
      <c r="YQ922" s="471"/>
      <c r="YR922" s="471"/>
      <c r="YS922" s="471"/>
      <c r="YT922" s="471"/>
      <c r="YU922" s="471"/>
      <c r="YV922" s="471"/>
      <c r="YW922" s="471"/>
      <c r="YX922" s="471"/>
      <c r="YY922" s="471"/>
      <c r="YZ922" s="471"/>
      <c r="ZA922" s="471"/>
      <c r="ZB922" s="471"/>
      <c r="ZC922" s="471"/>
      <c r="ZD922" s="471"/>
      <c r="ZE922" s="471"/>
      <c r="ZF922" s="471"/>
      <c r="ZG922" s="471"/>
      <c r="ZH922" s="471"/>
      <c r="ZI922" s="471"/>
      <c r="ZJ922" s="471"/>
      <c r="ZK922" s="471"/>
      <c r="ZL922" s="471"/>
      <c r="ZM922" s="471"/>
      <c r="ZN922" s="471"/>
      <c r="ZO922" s="471"/>
      <c r="ZP922" s="471"/>
      <c r="ZQ922" s="471"/>
      <c r="ZR922" s="471"/>
      <c r="ZS922" s="471"/>
      <c r="ZT922" s="471"/>
      <c r="ZU922" s="471"/>
      <c r="ZV922" s="471"/>
      <c r="ZW922" s="471"/>
      <c r="ZX922" s="471"/>
      <c r="ZY922" s="471"/>
      <c r="ZZ922" s="471"/>
      <c r="AAA922" s="471"/>
      <c r="AAB922" s="471"/>
      <c r="AAC922" s="471"/>
      <c r="AAD922" s="471"/>
      <c r="AAE922" s="471"/>
      <c r="AAF922" s="471"/>
      <c r="AAG922" s="471"/>
      <c r="AAH922" s="471"/>
      <c r="AAI922" s="471"/>
      <c r="AAJ922" s="471"/>
      <c r="AAK922" s="471"/>
      <c r="AAL922" s="471"/>
      <c r="AAM922" s="471"/>
      <c r="AAN922" s="471"/>
      <c r="AAO922" s="471"/>
      <c r="AAP922" s="471"/>
      <c r="AAQ922" s="471"/>
      <c r="AAR922" s="471"/>
      <c r="AAS922" s="471"/>
      <c r="AAT922" s="471"/>
      <c r="AAU922" s="471"/>
      <c r="AAV922" s="471"/>
      <c r="AAW922" s="471"/>
      <c r="AAX922" s="471"/>
      <c r="AAY922" s="471"/>
      <c r="AAZ922" s="471"/>
      <c r="ABA922" s="471"/>
      <c r="ABB922" s="471"/>
      <c r="ABC922" s="471"/>
      <c r="ABD922" s="471"/>
      <c r="ABE922" s="471"/>
      <c r="ABF922" s="471"/>
      <c r="ABG922" s="471"/>
      <c r="ABH922" s="471"/>
      <c r="ABI922" s="471"/>
      <c r="ABJ922" s="471"/>
      <c r="ABK922" s="471"/>
      <c r="ABL922" s="471"/>
      <c r="ABM922" s="471"/>
      <c r="ABN922" s="471"/>
      <c r="ABO922" s="471"/>
      <c r="ABP922" s="471"/>
      <c r="ABQ922" s="471"/>
      <c r="ABR922" s="471"/>
      <c r="ABS922" s="471"/>
      <c r="ABT922" s="471"/>
      <c r="ABU922" s="471"/>
      <c r="ABV922" s="471"/>
      <c r="ABW922" s="471"/>
      <c r="ABX922" s="471"/>
      <c r="ABY922" s="471"/>
      <c r="ABZ922" s="471"/>
      <c r="ACA922" s="471"/>
      <c r="ACB922" s="471"/>
      <c r="ACC922" s="471"/>
      <c r="ACD922" s="471"/>
      <c r="ACE922" s="471"/>
      <c r="ACF922" s="471"/>
      <c r="ACG922" s="471"/>
      <c r="ACH922" s="471"/>
      <c r="ACI922" s="471"/>
      <c r="ACJ922" s="471"/>
      <c r="ACK922" s="471"/>
      <c r="ACL922" s="471"/>
      <c r="ACM922" s="471"/>
      <c r="ACN922" s="471"/>
      <c r="ACO922" s="471"/>
      <c r="ACP922" s="471"/>
      <c r="ACQ922" s="471"/>
      <c r="ACR922" s="471"/>
      <c r="ACS922" s="471"/>
      <c r="ACT922" s="471"/>
      <c r="ACU922" s="471"/>
      <c r="ACV922" s="471"/>
      <c r="ACW922" s="471"/>
      <c r="ACX922" s="471"/>
      <c r="ACY922" s="471"/>
      <c r="ACZ922" s="471"/>
      <c r="ADA922" s="471"/>
      <c r="ADB922" s="471"/>
      <c r="ADC922" s="471"/>
      <c r="ADD922" s="471"/>
      <c r="ADE922" s="471"/>
      <c r="ADF922" s="471"/>
      <c r="ADG922" s="471"/>
      <c r="ADH922" s="471"/>
      <c r="ADI922" s="471"/>
      <c r="ADJ922" s="471"/>
      <c r="ADK922" s="471"/>
      <c r="ADL922" s="471"/>
      <c r="ADM922" s="471"/>
      <c r="ADN922" s="471"/>
      <c r="ADO922" s="471"/>
      <c r="ADP922" s="471"/>
      <c r="ADQ922" s="471"/>
      <c r="ADR922" s="471"/>
      <c r="ADS922" s="471"/>
      <c r="ADT922" s="471"/>
      <c r="ADU922" s="471"/>
      <c r="ADV922" s="471"/>
      <c r="ADW922" s="471"/>
      <c r="ADX922" s="471"/>
      <c r="ADY922" s="471"/>
      <c r="ADZ922" s="471"/>
      <c r="AEA922" s="471"/>
      <c r="AEB922" s="471"/>
      <c r="AEC922" s="471"/>
      <c r="AED922" s="471"/>
      <c r="AEE922" s="471"/>
      <c r="AEF922" s="471"/>
      <c r="AEG922" s="471"/>
      <c r="AEH922" s="471"/>
      <c r="AEI922" s="471"/>
      <c r="AEJ922" s="471"/>
      <c r="AEK922" s="471"/>
      <c r="AEL922" s="471"/>
      <c r="AEM922" s="471"/>
      <c r="AEN922" s="471"/>
      <c r="AEO922" s="471"/>
      <c r="AEP922" s="471"/>
      <c r="AEQ922" s="471"/>
      <c r="AER922" s="471"/>
      <c r="AES922" s="471"/>
      <c r="AET922" s="471"/>
      <c r="AEU922" s="471"/>
      <c r="AEV922" s="471"/>
      <c r="AEW922" s="471"/>
      <c r="AEX922" s="471"/>
      <c r="AEY922" s="471"/>
      <c r="AEZ922" s="471"/>
      <c r="AFA922" s="471"/>
      <c r="AFB922" s="471"/>
      <c r="AFC922" s="471"/>
      <c r="AFD922" s="471"/>
      <c r="AFE922" s="471"/>
      <c r="AFF922" s="471"/>
      <c r="AFG922" s="471"/>
      <c r="AFH922" s="471"/>
      <c r="AFI922" s="471"/>
      <c r="AFJ922" s="471"/>
      <c r="AFK922" s="471"/>
      <c r="AFL922" s="471"/>
      <c r="AFM922" s="471"/>
      <c r="AFN922" s="471"/>
      <c r="AFO922" s="471"/>
      <c r="AFP922" s="471"/>
      <c r="AFQ922" s="471"/>
      <c r="AFR922" s="471"/>
      <c r="AFS922" s="471"/>
      <c r="AFT922" s="471"/>
      <c r="AFU922" s="471"/>
      <c r="AFV922" s="471"/>
      <c r="AFW922" s="471"/>
      <c r="AFX922" s="471"/>
      <c r="AFY922" s="471"/>
      <c r="AFZ922" s="471"/>
      <c r="AGA922" s="471"/>
      <c r="AGB922" s="471"/>
      <c r="AGC922" s="471"/>
      <c r="AGD922" s="471"/>
      <c r="AGE922" s="471"/>
      <c r="AGF922" s="471"/>
      <c r="AGG922" s="471"/>
      <c r="AGH922" s="471"/>
      <c r="AGI922" s="471"/>
      <c r="AGJ922" s="471"/>
      <c r="AGK922" s="471"/>
      <c r="AGL922" s="471"/>
      <c r="AGM922" s="471"/>
      <c r="AGN922" s="471"/>
      <c r="AGO922" s="471"/>
      <c r="AGP922" s="471"/>
      <c r="AGQ922" s="471"/>
      <c r="AGR922" s="471"/>
      <c r="AGS922" s="471"/>
      <c r="AGT922" s="471"/>
      <c r="AGU922" s="471"/>
      <c r="AGV922" s="471"/>
      <c r="AGW922" s="471"/>
      <c r="AGX922" s="471"/>
      <c r="AGY922" s="471"/>
      <c r="AGZ922" s="471"/>
      <c r="AHA922" s="471"/>
      <c r="AHB922" s="471"/>
      <c r="AHC922" s="471"/>
      <c r="AHD922" s="471"/>
      <c r="AHE922" s="471"/>
      <c r="AHF922" s="471"/>
      <c r="AHG922" s="471"/>
      <c r="AHH922" s="471"/>
      <c r="AHI922" s="471"/>
      <c r="AHJ922" s="471"/>
      <c r="AHK922" s="471"/>
      <c r="AHL922" s="471"/>
      <c r="AHM922" s="471"/>
      <c r="AHN922" s="471"/>
      <c r="AHO922" s="471"/>
      <c r="AHP922" s="471"/>
      <c r="AHQ922" s="471"/>
      <c r="AHR922" s="471"/>
      <c r="AHS922" s="471"/>
      <c r="AHT922" s="471"/>
      <c r="AHU922" s="471"/>
      <c r="AHV922" s="471"/>
      <c r="AHW922" s="471"/>
      <c r="AHX922" s="471"/>
      <c r="AHY922" s="471"/>
      <c r="AHZ922" s="471"/>
      <c r="AIA922" s="471"/>
      <c r="AIB922" s="471"/>
      <c r="AIC922" s="471"/>
      <c r="AID922" s="471"/>
      <c r="AIE922" s="471"/>
      <c r="AIF922" s="471"/>
      <c r="AIG922" s="471"/>
      <c r="AIH922" s="471"/>
      <c r="AII922" s="471"/>
      <c r="AIJ922" s="471"/>
      <c r="AIK922" s="471"/>
      <c r="AIL922" s="471"/>
      <c r="AIM922" s="471"/>
      <c r="AIN922" s="471"/>
      <c r="AIO922" s="471"/>
      <c r="AIP922" s="471"/>
      <c r="AIQ922" s="471"/>
      <c r="AIR922" s="471"/>
      <c r="AIS922" s="471"/>
      <c r="AIT922" s="471"/>
      <c r="AIU922" s="471"/>
      <c r="AIV922" s="471"/>
      <c r="AIW922" s="471"/>
      <c r="AIX922" s="471"/>
      <c r="AIY922" s="471"/>
      <c r="AIZ922" s="471"/>
      <c r="AJA922" s="471"/>
      <c r="AJB922" s="471"/>
      <c r="AJC922" s="471"/>
      <c r="AJD922" s="471"/>
      <c r="AJE922" s="471"/>
      <c r="AJF922" s="471"/>
      <c r="AJG922" s="471"/>
      <c r="AJH922" s="471"/>
      <c r="AJI922" s="471"/>
      <c r="AJJ922" s="471"/>
      <c r="AJK922" s="471"/>
      <c r="AJL922" s="471"/>
      <c r="AJM922" s="471"/>
      <c r="AJN922" s="471"/>
      <c r="AJO922" s="471"/>
      <c r="AJP922" s="471"/>
      <c r="AJQ922" s="471"/>
      <c r="AJR922" s="471"/>
      <c r="AJS922" s="471"/>
      <c r="AJT922" s="471"/>
      <c r="AJU922" s="471"/>
      <c r="AJV922" s="471"/>
      <c r="AJW922" s="471"/>
      <c r="AJX922" s="471"/>
      <c r="AJY922" s="471"/>
      <c r="AJZ922" s="471"/>
      <c r="AKA922" s="471"/>
      <c r="AKB922" s="471"/>
      <c r="AKC922" s="471"/>
      <c r="AKD922" s="471"/>
      <c r="AKE922" s="471"/>
      <c r="AKF922" s="471"/>
      <c r="AKG922" s="471"/>
      <c r="AKH922" s="471"/>
      <c r="AKI922" s="471"/>
      <c r="AKJ922" s="471"/>
      <c r="AKK922" s="471"/>
      <c r="AKL922" s="471"/>
      <c r="AKM922" s="471"/>
      <c r="AKN922" s="471"/>
      <c r="AKO922" s="471"/>
      <c r="AKP922" s="471"/>
      <c r="AKQ922" s="471"/>
      <c r="AKR922" s="471"/>
      <c r="AKS922" s="471"/>
      <c r="AKT922" s="471"/>
      <c r="AKU922" s="471"/>
      <c r="AKV922" s="471"/>
      <c r="AKW922" s="471"/>
      <c r="AKX922" s="471"/>
      <c r="AKY922" s="471"/>
      <c r="AKZ922" s="471"/>
      <c r="ALA922" s="471"/>
      <c r="ALB922" s="471"/>
      <c r="ALC922" s="471"/>
      <c r="ALD922" s="471"/>
      <c r="ALE922" s="471"/>
      <c r="ALF922" s="471"/>
      <c r="ALG922" s="471"/>
      <c r="ALH922" s="471"/>
      <c r="ALI922" s="471"/>
      <c r="ALJ922" s="471"/>
      <c r="ALK922" s="471"/>
      <c r="ALL922" s="471"/>
      <c r="ALM922" s="471"/>
      <c r="ALN922" s="471"/>
      <c r="ALO922" s="471"/>
      <c r="ALP922" s="471"/>
      <c r="ALQ922" s="471"/>
      <c r="ALR922" s="471"/>
      <c r="ALS922" s="471"/>
      <c r="ALT922" s="471"/>
      <c r="ALU922" s="471"/>
      <c r="ALV922" s="471"/>
      <c r="ALW922" s="471"/>
      <c r="ALX922" s="471"/>
      <c r="ALY922" s="471"/>
      <c r="ALZ922" s="471"/>
      <c r="AMA922" s="471"/>
      <c r="AMB922" s="471"/>
      <c r="AMC922" s="471"/>
      <c r="AMD922" s="471"/>
      <c r="AME922" s="471"/>
      <c r="AMF922" s="471"/>
      <c r="AMG922" s="471"/>
      <c r="AMH922" s="471"/>
      <c r="AMI922" s="471"/>
      <c r="AMJ922" s="471"/>
      <c r="AMK922" s="471"/>
      <c r="AML922" s="471"/>
      <c r="AMM922" s="471"/>
      <c r="AMN922" s="471"/>
      <c r="AMO922" s="471"/>
      <c r="AMP922" s="471"/>
      <c r="AMQ922" s="471"/>
      <c r="AMR922" s="471"/>
      <c r="AMS922" s="471"/>
      <c r="AMT922" s="471"/>
      <c r="AMU922" s="471"/>
      <c r="AMV922" s="471"/>
      <c r="AMW922" s="471"/>
      <c r="AMX922" s="471"/>
      <c r="AMY922" s="471"/>
      <c r="AMZ922" s="471"/>
      <c r="ANA922" s="471"/>
      <c r="ANB922" s="471"/>
      <c r="ANC922" s="471"/>
      <c r="AND922" s="471"/>
      <c r="ANE922" s="471"/>
      <c r="ANF922" s="471"/>
      <c r="ANG922" s="471"/>
      <c r="ANH922" s="471"/>
      <c r="ANI922" s="471"/>
      <c r="ANJ922" s="471"/>
      <c r="ANK922" s="471"/>
      <c r="ANL922" s="471"/>
      <c r="ANM922" s="471"/>
      <c r="ANN922" s="471"/>
      <c r="ANO922" s="471"/>
      <c r="ANP922" s="471"/>
      <c r="ANQ922" s="471"/>
      <c r="ANR922" s="471"/>
      <c r="ANS922" s="471"/>
      <c r="ANT922" s="471"/>
      <c r="ANU922" s="471"/>
      <c r="ANV922" s="471"/>
      <c r="ANW922" s="471"/>
      <c r="ANX922" s="471"/>
      <c r="ANY922" s="471"/>
      <c r="ANZ922" s="471"/>
      <c r="AOA922" s="471"/>
      <c r="AOB922" s="471"/>
      <c r="AOC922" s="471"/>
      <c r="AOD922" s="471"/>
      <c r="AOE922" s="471"/>
      <c r="AOF922" s="471"/>
      <c r="AOG922" s="471"/>
      <c r="AOH922" s="471"/>
      <c r="AOI922" s="471"/>
      <c r="AOJ922" s="471"/>
      <c r="AOK922" s="471"/>
      <c r="AOL922" s="471"/>
      <c r="AOM922" s="471"/>
      <c r="AON922" s="471"/>
      <c r="AOO922" s="471"/>
      <c r="AOP922" s="471"/>
      <c r="AOQ922" s="471"/>
      <c r="AOR922" s="471"/>
      <c r="AOS922" s="471"/>
      <c r="AOT922" s="471"/>
      <c r="AOU922" s="471"/>
      <c r="AOV922" s="471"/>
      <c r="AOW922" s="471"/>
      <c r="AOX922" s="471"/>
      <c r="AOY922" s="471"/>
      <c r="AOZ922" s="471"/>
      <c r="APA922" s="471"/>
      <c r="APB922" s="471"/>
      <c r="APC922" s="471"/>
      <c r="APD922" s="471"/>
      <c r="APE922" s="471"/>
      <c r="APF922" s="471"/>
      <c r="APG922" s="471"/>
      <c r="APH922" s="471"/>
      <c r="API922" s="471"/>
      <c r="APJ922" s="471"/>
      <c r="APK922" s="471"/>
      <c r="APL922" s="471"/>
      <c r="APM922" s="471"/>
      <c r="APN922" s="471"/>
      <c r="APO922" s="471"/>
      <c r="APP922" s="471"/>
      <c r="APQ922" s="471"/>
      <c r="APR922" s="471"/>
      <c r="APS922" s="471"/>
      <c r="APT922" s="471"/>
      <c r="APU922" s="471"/>
      <c r="APV922" s="471"/>
      <c r="APW922" s="471"/>
      <c r="APX922" s="471"/>
      <c r="APY922" s="471"/>
      <c r="APZ922" s="471"/>
      <c r="AQA922" s="471"/>
      <c r="AQB922" s="471"/>
      <c r="AQC922" s="471"/>
      <c r="AQD922" s="471"/>
      <c r="AQE922" s="471"/>
      <c r="AQF922" s="471"/>
      <c r="AQG922" s="471"/>
      <c r="AQH922" s="471"/>
      <c r="AQI922" s="471"/>
      <c r="AQJ922" s="471"/>
      <c r="AQK922" s="471"/>
      <c r="AQL922" s="471"/>
      <c r="AQM922" s="471"/>
      <c r="AQN922" s="471"/>
      <c r="AQO922" s="471"/>
      <c r="AQP922" s="471"/>
      <c r="AQQ922" s="471"/>
      <c r="AQR922" s="471"/>
      <c r="AQS922" s="471"/>
      <c r="AQT922" s="471"/>
      <c r="AQU922" s="471"/>
      <c r="AQV922" s="471"/>
      <c r="AQW922" s="471"/>
      <c r="AQX922" s="471"/>
      <c r="AQY922" s="471"/>
      <c r="AQZ922" s="471"/>
      <c r="ARA922" s="471"/>
      <c r="ARB922" s="471"/>
      <c r="ARC922" s="471"/>
      <c r="ARD922" s="471"/>
      <c r="ARE922" s="471"/>
      <c r="ARF922" s="471"/>
      <c r="ARG922" s="471"/>
      <c r="ARH922" s="471"/>
      <c r="ARI922" s="471"/>
      <c r="ARJ922" s="471"/>
      <c r="ARK922" s="471"/>
      <c r="ARL922" s="471"/>
      <c r="ARM922" s="471"/>
      <c r="ARN922" s="471"/>
      <c r="ARO922" s="471"/>
      <c r="ARP922" s="471"/>
      <c r="ARQ922" s="471"/>
      <c r="ARR922" s="471"/>
      <c r="ARS922" s="471"/>
      <c r="ART922" s="471"/>
      <c r="ARU922" s="471"/>
      <c r="ARV922" s="471"/>
      <c r="ARW922" s="471"/>
      <c r="ARX922" s="471"/>
      <c r="ARY922" s="471"/>
      <c r="ARZ922" s="471"/>
      <c r="ASA922" s="471"/>
      <c r="ASB922" s="471"/>
      <c r="ASC922" s="471"/>
      <c r="ASD922" s="471"/>
      <c r="ASE922" s="471"/>
      <c r="ASF922" s="471"/>
      <c r="ASG922" s="471"/>
      <c r="ASH922" s="471"/>
      <c r="ASI922" s="471"/>
      <c r="ASJ922" s="471"/>
      <c r="ASK922" s="471"/>
      <c r="ASL922" s="471"/>
      <c r="ASM922" s="471"/>
      <c r="ASN922" s="471"/>
      <c r="ASO922" s="471"/>
      <c r="ASP922" s="471"/>
      <c r="ASQ922" s="471"/>
      <c r="ASR922" s="471"/>
      <c r="ASS922" s="471"/>
      <c r="AST922" s="471"/>
      <c r="ASU922" s="471"/>
      <c r="ASV922" s="471"/>
      <c r="ASW922" s="471"/>
      <c r="ASX922" s="471"/>
      <c r="ASY922" s="471"/>
      <c r="ASZ922" s="471"/>
      <c r="ATA922" s="471"/>
      <c r="ATB922" s="471"/>
      <c r="ATC922" s="471"/>
      <c r="ATD922" s="471"/>
      <c r="ATE922" s="471"/>
      <c r="ATF922" s="471"/>
      <c r="ATG922" s="471"/>
      <c r="ATH922" s="471"/>
      <c r="ATI922" s="471"/>
      <c r="ATJ922" s="471"/>
      <c r="ATK922" s="471"/>
      <c r="ATL922" s="471"/>
      <c r="ATM922" s="471"/>
      <c r="ATN922" s="471"/>
      <c r="ATO922" s="471"/>
      <c r="ATP922" s="471"/>
      <c r="ATQ922" s="471"/>
      <c r="ATR922" s="471"/>
      <c r="ATS922" s="471"/>
      <c r="ATT922" s="471"/>
      <c r="ATU922" s="471"/>
      <c r="ATV922" s="471"/>
      <c r="ATW922" s="471"/>
      <c r="ATX922" s="471"/>
      <c r="ATY922" s="471"/>
      <c r="ATZ922" s="471"/>
      <c r="AUA922" s="471"/>
      <c r="AUB922" s="471"/>
      <c r="AUC922" s="471"/>
      <c r="AUD922" s="471"/>
      <c r="AUE922" s="471"/>
      <c r="AUF922" s="471"/>
      <c r="AUG922" s="471"/>
      <c r="AUH922" s="471"/>
      <c r="AUI922" s="471"/>
      <c r="AUJ922" s="471"/>
      <c r="AUK922" s="471"/>
      <c r="AUL922" s="471"/>
      <c r="AUM922" s="471"/>
      <c r="AUN922" s="471"/>
      <c r="AUO922" s="471"/>
      <c r="AUP922" s="471"/>
      <c r="AUQ922" s="471"/>
      <c r="AUR922" s="471"/>
      <c r="AUS922" s="471"/>
      <c r="AUT922" s="471"/>
      <c r="AUU922" s="471"/>
      <c r="AUV922" s="471"/>
      <c r="AUW922" s="471"/>
      <c r="AUX922" s="471"/>
      <c r="AUY922" s="471"/>
      <c r="AUZ922" s="471"/>
      <c r="AVA922" s="471"/>
      <c r="AVB922" s="471"/>
      <c r="AVC922" s="471"/>
      <c r="AVD922" s="471"/>
      <c r="AVE922" s="471"/>
      <c r="AVF922" s="471"/>
      <c r="AVG922" s="471"/>
      <c r="AVH922" s="471"/>
      <c r="AVI922" s="471"/>
      <c r="AVJ922" s="471"/>
      <c r="AVK922" s="471"/>
    </row>
    <row r="923" spans="1:1259" s="511" customFormat="1" ht="15" customHeight="1">
      <c r="A923" s="472"/>
      <c r="B923" s="472"/>
      <c r="C923" s="472"/>
      <c r="D923" s="512" t="s">
        <v>3186</v>
      </c>
      <c r="E923" s="512" t="s">
        <v>3044</v>
      </c>
      <c r="F923" s="501"/>
      <c r="G923" s="501"/>
      <c r="H923" s="524">
        <v>11</v>
      </c>
      <c r="I923" s="496" t="s">
        <v>1676</v>
      </c>
      <c r="J923" s="502"/>
      <c r="K923" s="502" t="s">
        <v>4885</v>
      </c>
      <c r="L923" s="502" t="s">
        <v>3278</v>
      </c>
      <c r="M923" s="502">
        <v>44550</v>
      </c>
      <c r="N923" s="502">
        <v>44715</v>
      </c>
      <c r="O923" s="504"/>
      <c r="P923" s="502"/>
      <c r="Q923" s="502"/>
      <c r="R923" s="502"/>
      <c r="S923" s="501" t="s">
        <v>2379</v>
      </c>
      <c r="T923" s="501">
        <v>60</v>
      </c>
      <c r="U923" s="501"/>
      <c r="V923" s="501" t="s">
        <v>973</v>
      </c>
      <c r="W923" s="501">
        <v>400</v>
      </c>
      <c r="X923" s="505">
        <v>480</v>
      </c>
      <c r="Y923" s="491">
        <f t="shared" si="130"/>
        <v>192000</v>
      </c>
      <c r="Z923" s="506">
        <v>0.53</v>
      </c>
      <c r="AA923" s="492">
        <f t="shared" si="134"/>
        <v>101760</v>
      </c>
      <c r="AB923" s="480"/>
      <c r="AC923" s="481">
        <f t="shared" si="131"/>
        <v>0</v>
      </c>
      <c r="AD923" s="508"/>
      <c r="AE923" s="507"/>
      <c r="AF923" s="493">
        <f t="shared" si="132"/>
        <v>101760</v>
      </c>
      <c r="AG923" s="501" t="s">
        <v>1071</v>
      </c>
      <c r="AH923" s="501"/>
      <c r="AI923" s="503">
        <v>60</v>
      </c>
      <c r="AJ923" s="501" t="s">
        <v>1384</v>
      </c>
      <c r="AK923" s="509" t="s">
        <v>1144</v>
      </c>
      <c r="AL923" s="501">
        <v>77092</v>
      </c>
      <c r="AM923" s="501" t="s">
        <v>52</v>
      </c>
      <c r="AN923" s="501"/>
      <c r="AO923" s="501"/>
      <c r="AP923" s="510"/>
      <c r="AQ923" s="510" t="s">
        <v>37</v>
      </c>
      <c r="AR923" s="510"/>
      <c r="AS923" s="495" t="s">
        <v>1152</v>
      </c>
      <c r="AT923" s="495" t="s">
        <v>1076</v>
      </c>
      <c r="AU923" s="495" t="s">
        <v>1076</v>
      </c>
      <c r="AV923" s="506">
        <v>0.53</v>
      </c>
      <c r="AW923" s="471"/>
      <c r="AX923" s="471"/>
      <c r="AY923" s="471"/>
      <c r="AZ923" s="471"/>
      <c r="BA923" s="471"/>
      <c r="BB923" s="471"/>
      <c r="BC923" s="471"/>
      <c r="BD923" s="471"/>
      <c r="BE923" s="471"/>
      <c r="BF923" s="471"/>
      <c r="BG923" s="471"/>
      <c r="BH923" s="471"/>
      <c r="BI923" s="471"/>
      <c r="BJ923" s="471"/>
      <c r="BK923" s="471"/>
      <c r="BL923" s="471"/>
      <c r="BM923" s="471"/>
      <c r="BN923" s="471"/>
      <c r="BO923" s="471"/>
      <c r="BP923" s="471"/>
      <c r="BQ923" s="471"/>
      <c r="BR923" s="471"/>
      <c r="BS923" s="471"/>
      <c r="BT923" s="471"/>
      <c r="BU923" s="471"/>
      <c r="BV923" s="471"/>
      <c r="BW923" s="471"/>
      <c r="BX923" s="471"/>
      <c r="BY923" s="471"/>
      <c r="BZ923" s="471"/>
      <c r="CA923" s="471"/>
      <c r="CB923" s="471"/>
      <c r="CC923" s="471"/>
      <c r="CD923" s="471"/>
      <c r="CE923" s="471"/>
      <c r="CF923" s="471"/>
      <c r="CG923" s="471"/>
      <c r="CH923" s="471"/>
      <c r="CI923" s="471"/>
      <c r="CJ923" s="471"/>
      <c r="CK923" s="471"/>
      <c r="CL923" s="471"/>
      <c r="CM923" s="471"/>
      <c r="CN923" s="471"/>
      <c r="CO923" s="471"/>
      <c r="CP923" s="471"/>
      <c r="CQ923" s="471"/>
      <c r="CR923" s="471"/>
      <c r="CS923" s="471"/>
      <c r="CT923" s="471"/>
      <c r="CU923" s="471"/>
      <c r="CV923" s="471"/>
      <c r="CW923" s="471"/>
      <c r="CX923" s="471"/>
      <c r="CY923" s="471"/>
      <c r="CZ923" s="471"/>
      <c r="DA923" s="471"/>
      <c r="DB923" s="471"/>
      <c r="DC923" s="471"/>
      <c r="DD923" s="471"/>
      <c r="DE923" s="471"/>
      <c r="DF923" s="471"/>
      <c r="DG923" s="471"/>
      <c r="DH923" s="471"/>
      <c r="DI923" s="471"/>
      <c r="DJ923" s="471"/>
      <c r="DK923" s="471"/>
      <c r="DL923" s="471"/>
      <c r="DM923" s="471"/>
      <c r="DN923" s="471"/>
      <c r="DO923" s="471"/>
      <c r="DP923" s="471"/>
      <c r="DQ923" s="471"/>
      <c r="DR923" s="471"/>
      <c r="DS923" s="471"/>
      <c r="DT923" s="471"/>
      <c r="DU923" s="471"/>
      <c r="DV923" s="471"/>
      <c r="DW923" s="471"/>
      <c r="DX923" s="471"/>
      <c r="DY923" s="471"/>
      <c r="DZ923" s="471"/>
      <c r="EA923" s="471"/>
      <c r="EB923" s="471"/>
      <c r="EC923" s="471"/>
      <c r="ED923" s="471"/>
      <c r="EE923" s="471"/>
      <c r="EF923" s="471"/>
      <c r="EG923" s="471"/>
      <c r="EH923" s="471"/>
      <c r="EI923" s="471"/>
      <c r="EJ923" s="471"/>
      <c r="EK923" s="471"/>
      <c r="EL923" s="471"/>
      <c r="EM923" s="471"/>
      <c r="EN923" s="471"/>
      <c r="EO923" s="471"/>
      <c r="EP923" s="471"/>
      <c r="EQ923" s="471"/>
      <c r="ER923" s="471"/>
      <c r="ES923" s="471"/>
      <c r="ET923" s="471"/>
      <c r="EU923" s="471"/>
      <c r="EV923" s="471"/>
      <c r="EW923" s="471"/>
      <c r="EX923" s="471"/>
      <c r="EY923" s="471"/>
      <c r="EZ923" s="471"/>
      <c r="FA923" s="471"/>
      <c r="FB923" s="471"/>
      <c r="FC923" s="471"/>
      <c r="FD923" s="471"/>
      <c r="FE923" s="471"/>
      <c r="FF923" s="471"/>
      <c r="FG923" s="471"/>
      <c r="FH923" s="471"/>
      <c r="FI923" s="471"/>
      <c r="FJ923" s="471"/>
      <c r="FK923" s="471"/>
      <c r="FL923" s="471"/>
      <c r="FM923" s="471"/>
      <c r="FN923" s="471"/>
      <c r="FO923" s="471"/>
      <c r="FP923" s="471"/>
      <c r="FQ923" s="471"/>
      <c r="FR923" s="471"/>
      <c r="FS923" s="471"/>
      <c r="FT923" s="471"/>
      <c r="FU923" s="471"/>
      <c r="FV923" s="471"/>
      <c r="FW923" s="471"/>
      <c r="FX923" s="471"/>
      <c r="FY923" s="471"/>
      <c r="FZ923" s="471"/>
      <c r="GA923" s="471"/>
      <c r="GB923" s="471"/>
      <c r="GC923" s="471"/>
      <c r="GD923" s="471"/>
      <c r="GE923" s="471"/>
      <c r="GF923" s="471"/>
      <c r="GG923" s="471"/>
      <c r="GH923" s="471"/>
      <c r="GI923" s="471"/>
      <c r="GJ923" s="471"/>
      <c r="GK923" s="471"/>
      <c r="GL923" s="471"/>
      <c r="GM923" s="471"/>
      <c r="GN923" s="471"/>
      <c r="GO923" s="471"/>
      <c r="GP923" s="471"/>
      <c r="GQ923" s="471"/>
      <c r="GR923" s="471"/>
      <c r="GS923" s="471"/>
      <c r="GT923" s="471"/>
      <c r="GU923" s="471"/>
      <c r="GV923" s="471"/>
      <c r="GW923" s="471"/>
      <c r="GX923" s="471"/>
      <c r="GY923" s="471"/>
      <c r="GZ923" s="471"/>
      <c r="HA923" s="471"/>
      <c r="HB923" s="471"/>
      <c r="HC923" s="471"/>
      <c r="HD923" s="471"/>
      <c r="HE923" s="471"/>
      <c r="HF923" s="471"/>
      <c r="HG923" s="471"/>
      <c r="HH923" s="471"/>
      <c r="HI923" s="471"/>
      <c r="HJ923" s="471"/>
      <c r="HK923" s="471"/>
      <c r="HL923" s="471"/>
      <c r="HM923" s="471"/>
      <c r="HN923" s="471"/>
      <c r="HO923" s="471"/>
      <c r="HP923" s="471"/>
      <c r="HQ923" s="471"/>
      <c r="HR923" s="471"/>
      <c r="HS923" s="471"/>
      <c r="HT923" s="471"/>
      <c r="HU923" s="471"/>
      <c r="HV923" s="471"/>
      <c r="HW923" s="471"/>
      <c r="HX923" s="471"/>
      <c r="HY923" s="471"/>
      <c r="HZ923" s="471"/>
      <c r="IA923" s="471"/>
      <c r="IB923" s="471"/>
      <c r="IC923" s="471"/>
      <c r="ID923" s="471"/>
      <c r="IE923" s="471"/>
      <c r="IF923" s="471"/>
      <c r="IG923" s="471"/>
      <c r="IH923" s="471"/>
      <c r="II923" s="471"/>
      <c r="IJ923" s="471"/>
      <c r="IK923" s="471"/>
      <c r="IL923" s="471"/>
      <c r="IM923" s="471"/>
      <c r="IN923" s="471"/>
      <c r="IO923" s="471"/>
      <c r="IP923" s="471"/>
      <c r="IQ923" s="471"/>
      <c r="IR923" s="471"/>
      <c r="IS923" s="471"/>
      <c r="IT923" s="471"/>
      <c r="IU923" s="471"/>
      <c r="IV923" s="471"/>
      <c r="IW923" s="471"/>
      <c r="IX923" s="471"/>
      <c r="IY923" s="471"/>
      <c r="IZ923" s="471"/>
      <c r="JA923" s="471"/>
      <c r="JB923" s="471"/>
      <c r="JC923" s="471"/>
      <c r="JD923" s="471"/>
      <c r="JE923" s="471"/>
      <c r="JF923" s="471"/>
      <c r="JG923" s="471"/>
      <c r="JH923" s="471"/>
      <c r="JI923" s="471"/>
      <c r="JJ923" s="471"/>
      <c r="JK923" s="471"/>
      <c r="JL923" s="471"/>
      <c r="JM923" s="471"/>
      <c r="JN923" s="471"/>
      <c r="JO923" s="471"/>
      <c r="JP923" s="471"/>
      <c r="JQ923" s="471"/>
      <c r="JR923" s="471"/>
      <c r="JS923" s="471"/>
      <c r="JT923" s="471"/>
      <c r="JU923" s="471"/>
      <c r="JV923" s="471"/>
      <c r="JW923" s="471"/>
      <c r="JX923" s="471"/>
      <c r="JY923" s="471"/>
      <c r="JZ923" s="471"/>
      <c r="KA923" s="471"/>
      <c r="KB923" s="471"/>
      <c r="KC923" s="471"/>
      <c r="KD923" s="471"/>
      <c r="KE923" s="471"/>
      <c r="KF923" s="471"/>
      <c r="KG923" s="471"/>
      <c r="KH923" s="471"/>
      <c r="KI923" s="471"/>
      <c r="KJ923" s="471"/>
      <c r="KK923" s="471"/>
      <c r="KL923" s="471"/>
      <c r="KM923" s="471"/>
      <c r="KN923" s="471"/>
      <c r="KO923" s="471"/>
      <c r="KP923" s="471"/>
      <c r="KQ923" s="471"/>
      <c r="KR923" s="471"/>
      <c r="KS923" s="471"/>
      <c r="KT923" s="471"/>
      <c r="KU923" s="471"/>
      <c r="KV923" s="471"/>
      <c r="KW923" s="471"/>
      <c r="KX923" s="471"/>
      <c r="KY923" s="471"/>
      <c r="KZ923" s="471"/>
      <c r="LA923" s="471"/>
      <c r="LB923" s="471"/>
      <c r="LC923" s="471"/>
      <c r="LD923" s="471"/>
      <c r="LE923" s="471"/>
      <c r="LF923" s="471"/>
      <c r="LG923" s="471"/>
      <c r="LH923" s="471"/>
      <c r="LI923" s="471"/>
      <c r="LJ923" s="471"/>
      <c r="LK923" s="471"/>
      <c r="LL923" s="471"/>
      <c r="LM923" s="471"/>
      <c r="LN923" s="471"/>
      <c r="LO923" s="471"/>
      <c r="LP923" s="471"/>
      <c r="LQ923" s="471"/>
      <c r="LR923" s="471"/>
      <c r="LS923" s="471"/>
      <c r="LT923" s="471"/>
      <c r="LU923" s="471"/>
      <c r="LV923" s="471"/>
      <c r="LW923" s="471"/>
      <c r="LX923" s="471"/>
      <c r="LY923" s="471"/>
      <c r="LZ923" s="471"/>
      <c r="MA923" s="471"/>
      <c r="MB923" s="471"/>
      <c r="MC923" s="471"/>
      <c r="MD923" s="471"/>
      <c r="ME923" s="471"/>
      <c r="MF923" s="471"/>
      <c r="MG923" s="471"/>
      <c r="MH923" s="471"/>
      <c r="MI923" s="471"/>
      <c r="MJ923" s="471"/>
      <c r="MK923" s="471"/>
      <c r="ML923" s="471"/>
      <c r="MM923" s="471"/>
      <c r="MN923" s="471"/>
      <c r="MO923" s="471"/>
      <c r="MP923" s="471"/>
      <c r="MQ923" s="471"/>
      <c r="MR923" s="471"/>
      <c r="MS923" s="471"/>
      <c r="MT923" s="471"/>
      <c r="MU923" s="471"/>
      <c r="MV923" s="471"/>
      <c r="MW923" s="471"/>
      <c r="MX923" s="471"/>
      <c r="MY923" s="471"/>
      <c r="MZ923" s="471"/>
      <c r="NA923" s="471"/>
      <c r="NB923" s="471"/>
      <c r="NC923" s="471"/>
      <c r="ND923" s="471"/>
      <c r="NE923" s="471"/>
      <c r="NF923" s="471"/>
      <c r="NG923" s="471"/>
      <c r="NH923" s="471"/>
      <c r="NI923" s="471"/>
      <c r="NJ923" s="471"/>
      <c r="NK923" s="471"/>
      <c r="NL923" s="471"/>
      <c r="NM923" s="471"/>
      <c r="NN923" s="471"/>
      <c r="NO923" s="471"/>
      <c r="NP923" s="471"/>
      <c r="NQ923" s="471"/>
      <c r="NR923" s="471"/>
      <c r="NS923" s="471"/>
      <c r="NT923" s="471"/>
      <c r="NU923" s="471"/>
      <c r="NV923" s="471"/>
      <c r="NW923" s="471"/>
      <c r="NX923" s="471"/>
      <c r="NY923" s="471"/>
      <c r="NZ923" s="471"/>
      <c r="OA923" s="471"/>
      <c r="OB923" s="471"/>
      <c r="OC923" s="471"/>
      <c r="OD923" s="471"/>
      <c r="OE923" s="471"/>
      <c r="OF923" s="471"/>
      <c r="OG923" s="471"/>
      <c r="OH923" s="471"/>
      <c r="OI923" s="471"/>
      <c r="OJ923" s="471"/>
      <c r="OK923" s="471"/>
      <c r="OL923" s="471"/>
      <c r="OM923" s="471"/>
      <c r="ON923" s="471"/>
      <c r="OO923" s="471"/>
      <c r="OP923" s="471"/>
      <c r="OQ923" s="471"/>
      <c r="OR923" s="471"/>
      <c r="OS923" s="471"/>
      <c r="OT923" s="471"/>
      <c r="OU923" s="471"/>
      <c r="OV923" s="471"/>
      <c r="OW923" s="471"/>
      <c r="OX923" s="471"/>
      <c r="OY923" s="471"/>
      <c r="OZ923" s="471"/>
      <c r="PA923" s="471"/>
      <c r="PB923" s="471"/>
      <c r="PC923" s="471"/>
      <c r="PD923" s="471"/>
      <c r="PE923" s="471"/>
      <c r="PF923" s="471"/>
      <c r="PG923" s="471"/>
      <c r="PH923" s="471"/>
      <c r="PI923" s="471"/>
      <c r="PJ923" s="471"/>
      <c r="PK923" s="471"/>
      <c r="PL923" s="471"/>
      <c r="PM923" s="471"/>
      <c r="PN923" s="471"/>
      <c r="PO923" s="471"/>
      <c r="PP923" s="471"/>
      <c r="PQ923" s="471"/>
      <c r="PR923" s="471"/>
      <c r="PS923" s="471"/>
      <c r="PT923" s="471"/>
      <c r="PU923" s="471"/>
      <c r="PV923" s="471"/>
      <c r="PW923" s="471"/>
      <c r="PX923" s="471"/>
      <c r="PY923" s="471"/>
      <c r="PZ923" s="471"/>
      <c r="QA923" s="471"/>
      <c r="QB923" s="471"/>
      <c r="QC923" s="471"/>
      <c r="QD923" s="471"/>
      <c r="QE923" s="471"/>
      <c r="QF923" s="471"/>
      <c r="QG923" s="471"/>
      <c r="QH923" s="471"/>
      <c r="QI923" s="471"/>
      <c r="QJ923" s="471"/>
      <c r="QK923" s="471"/>
      <c r="QL923" s="471"/>
      <c r="QM923" s="471"/>
      <c r="QN923" s="471"/>
      <c r="QO923" s="471"/>
      <c r="QP923" s="471"/>
      <c r="QQ923" s="471"/>
      <c r="QR923" s="471"/>
      <c r="QS923" s="471"/>
      <c r="QT923" s="471"/>
      <c r="QU923" s="471"/>
      <c r="QV923" s="471"/>
      <c r="QW923" s="471"/>
      <c r="QX923" s="471"/>
      <c r="QY923" s="471"/>
      <c r="QZ923" s="471"/>
      <c r="RA923" s="471"/>
      <c r="RB923" s="471"/>
      <c r="RC923" s="471"/>
      <c r="RD923" s="471"/>
      <c r="RE923" s="471"/>
      <c r="RF923" s="471"/>
      <c r="RG923" s="471"/>
      <c r="RH923" s="471"/>
      <c r="RI923" s="471"/>
      <c r="RJ923" s="471"/>
      <c r="RK923" s="471"/>
      <c r="RL923" s="471"/>
      <c r="RM923" s="471"/>
      <c r="RN923" s="471"/>
      <c r="RO923" s="471"/>
      <c r="RP923" s="471"/>
      <c r="RQ923" s="471"/>
      <c r="RR923" s="471"/>
      <c r="RS923" s="471"/>
      <c r="RT923" s="471"/>
      <c r="RU923" s="471"/>
      <c r="RV923" s="471"/>
      <c r="RW923" s="471"/>
      <c r="RX923" s="471"/>
      <c r="RY923" s="471"/>
      <c r="RZ923" s="471"/>
      <c r="SA923" s="471"/>
      <c r="SB923" s="471"/>
      <c r="SC923" s="471"/>
      <c r="SD923" s="471"/>
      <c r="SE923" s="471"/>
      <c r="SF923" s="471"/>
      <c r="SG923" s="471"/>
      <c r="SH923" s="471"/>
      <c r="SI923" s="471"/>
      <c r="SJ923" s="471"/>
      <c r="SK923" s="471"/>
      <c r="SL923" s="471"/>
      <c r="SM923" s="471"/>
      <c r="SN923" s="471"/>
      <c r="SO923" s="471"/>
      <c r="SP923" s="471"/>
      <c r="SQ923" s="471"/>
      <c r="SR923" s="471"/>
      <c r="SS923" s="471"/>
      <c r="ST923" s="471"/>
      <c r="SU923" s="471"/>
      <c r="SV923" s="471"/>
      <c r="SW923" s="471"/>
      <c r="SX923" s="471"/>
      <c r="SY923" s="471"/>
      <c r="SZ923" s="471"/>
      <c r="TA923" s="471"/>
      <c r="TB923" s="471"/>
      <c r="TC923" s="471"/>
      <c r="TD923" s="471"/>
      <c r="TE923" s="471"/>
      <c r="TF923" s="471"/>
      <c r="TG923" s="471"/>
      <c r="TH923" s="471"/>
      <c r="TI923" s="471"/>
      <c r="TJ923" s="471"/>
      <c r="TK923" s="471"/>
      <c r="TL923" s="471"/>
      <c r="TM923" s="471"/>
      <c r="TN923" s="471"/>
      <c r="TO923" s="471"/>
      <c r="TP923" s="471"/>
      <c r="TQ923" s="471"/>
      <c r="TR923" s="471"/>
      <c r="TS923" s="471"/>
      <c r="TT923" s="471"/>
      <c r="TU923" s="471"/>
      <c r="TV923" s="471"/>
      <c r="TW923" s="471"/>
      <c r="TX923" s="471"/>
      <c r="TY923" s="471"/>
      <c r="TZ923" s="471"/>
      <c r="UA923" s="471"/>
      <c r="UB923" s="471"/>
      <c r="UC923" s="471"/>
      <c r="UD923" s="471"/>
      <c r="UE923" s="471"/>
      <c r="UF923" s="471"/>
      <c r="UG923" s="471"/>
      <c r="UH923" s="471"/>
      <c r="UI923" s="471"/>
      <c r="UJ923" s="471"/>
      <c r="UK923" s="471"/>
      <c r="UL923" s="471"/>
      <c r="UM923" s="471"/>
      <c r="UN923" s="471"/>
      <c r="UO923" s="471"/>
      <c r="UP923" s="471"/>
      <c r="UQ923" s="471"/>
      <c r="UR923" s="471"/>
      <c r="US923" s="471"/>
      <c r="UT923" s="471"/>
      <c r="UU923" s="471"/>
      <c r="UV923" s="471"/>
      <c r="UW923" s="471"/>
      <c r="UX923" s="471"/>
      <c r="UY923" s="471"/>
      <c r="UZ923" s="471"/>
      <c r="VA923" s="471"/>
      <c r="VB923" s="471"/>
      <c r="VC923" s="471"/>
      <c r="VD923" s="471"/>
      <c r="VE923" s="471"/>
      <c r="VF923" s="471"/>
      <c r="VG923" s="471"/>
      <c r="VH923" s="471"/>
      <c r="VI923" s="471"/>
      <c r="VJ923" s="471"/>
      <c r="VK923" s="471"/>
      <c r="VL923" s="471"/>
      <c r="VM923" s="471"/>
      <c r="VN923" s="471"/>
      <c r="VO923" s="471"/>
      <c r="VP923" s="471"/>
      <c r="VQ923" s="471"/>
      <c r="VR923" s="471"/>
      <c r="VS923" s="471"/>
      <c r="VT923" s="471"/>
      <c r="VU923" s="471"/>
      <c r="VV923" s="471"/>
      <c r="VW923" s="471"/>
      <c r="VX923" s="471"/>
      <c r="VY923" s="471"/>
      <c r="VZ923" s="471"/>
      <c r="WA923" s="471"/>
      <c r="WB923" s="471"/>
      <c r="WC923" s="471"/>
      <c r="WD923" s="471"/>
      <c r="WE923" s="471"/>
      <c r="WF923" s="471"/>
      <c r="WG923" s="471"/>
      <c r="WH923" s="471"/>
      <c r="WI923" s="471"/>
      <c r="WJ923" s="471"/>
      <c r="WK923" s="471"/>
      <c r="WL923" s="471"/>
      <c r="WM923" s="471"/>
      <c r="WN923" s="471"/>
      <c r="WO923" s="471"/>
      <c r="WP923" s="471"/>
      <c r="WQ923" s="471"/>
      <c r="WR923" s="471"/>
      <c r="WS923" s="471"/>
      <c r="WT923" s="471"/>
      <c r="WU923" s="471"/>
      <c r="WV923" s="471"/>
      <c r="WW923" s="471"/>
      <c r="WX923" s="471"/>
      <c r="WY923" s="471"/>
      <c r="WZ923" s="471"/>
      <c r="XA923" s="471"/>
      <c r="XB923" s="471"/>
      <c r="XC923" s="471"/>
      <c r="XD923" s="471"/>
      <c r="XE923" s="471"/>
      <c r="XF923" s="471"/>
      <c r="XG923" s="471"/>
      <c r="XH923" s="471"/>
      <c r="XI923" s="471"/>
      <c r="XJ923" s="471"/>
      <c r="XK923" s="471"/>
      <c r="XL923" s="471"/>
      <c r="XM923" s="471"/>
      <c r="XN923" s="471"/>
      <c r="XO923" s="471"/>
      <c r="XP923" s="471"/>
      <c r="XQ923" s="471"/>
      <c r="XR923" s="471"/>
      <c r="XS923" s="471"/>
      <c r="XT923" s="471"/>
      <c r="XU923" s="471"/>
      <c r="XV923" s="471"/>
      <c r="XW923" s="471"/>
      <c r="XX923" s="471"/>
      <c r="XY923" s="471"/>
      <c r="XZ923" s="471"/>
      <c r="YA923" s="471"/>
      <c r="YB923" s="471"/>
      <c r="YC923" s="471"/>
      <c r="YD923" s="471"/>
      <c r="YE923" s="471"/>
      <c r="YF923" s="471"/>
      <c r="YG923" s="471"/>
      <c r="YH923" s="471"/>
      <c r="YI923" s="471"/>
      <c r="YJ923" s="471"/>
      <c r="YK923" s="471"/>
      <c r="YL923" s="471"/>
      <c r="YM923" s="471"/>
      <c r="YN923" s="471"/>
      <c r="YO923" s="471"/>
      <c r="YP923" s="471"/>
      <c r="YQ923" s="471"/>
      <c r="YR923" s="471"/>
      <c r="YS923" s="471"/>
      <c r="YT923" s="471"/>
      <c r="YU923" s="471"/>
      <c r="YV923" s="471"/>
      <c r="YW923" s="471"/>
      <c r="YX923" s="471"/>
      <c r="YY923" s="471"/>
      <c r="YZ923" s="471"/>
      <c r="ZA923" s="471"/>
      <c r="ZB923" s="471"/>
      <c r="ZC923" s="471"/>
      <c r="ZD923" s="471"/>
      <c r="ZE923" s="471"/>
      <c r="ZF923" s="471"/>
      <c r="ZG923" s="471"/>
      <c r="ZH923" s="471"/>
      <c r="ZI923" s="471"/>
      <c r="ZJ923" s="471"/>
      <c r="ZK923" s="471"/>
      <c r="ZL923" s="471"/>
      <c r="ZM923" s="471"/>
      <c r="ZN923" s="471"/>
      <c r="ZO923" s="471"/>
      <c r="ZP923" s="471"/>
      <c r="ZQ923" s="471"/>
      <c r="ZR923" s="471"/>
      <c r="ZS923" s="471"/>
      <c r="ZT923" s="471"/>
      <c r="ZU923" s="471"/>
      <c r="ZV923" s="471"/>
      <c r="ZW923" s="471"/>
      <c r="ZX923" s="471"/>
      <c r="ZY923" s="471"/>
      <c r="ZZ923" s="471"/>
      <c r="AAA923" s="471"/>
      <c r="AAB923" s="471"/>
      <c r="AAC923" s="471"/>
      <c r="AAD923" s="471"/>
      <c r="AAE923" s="471"/>
      <c r="AAF923" s="471"/>
      <c r="AAG923" s="471"/>
      <c r="AAH923" s="471"/>
      <c r="AAI923" s="471"/>
      <c r="AAJ923" s="471"/>
      <c r="AAK923" s="471"/>
      <c r="AAL923" s="471"/>
      <c r="AAM923" s="471"/>
      <c r="AAN923" s="471"/>
      <c r="AAO923" s="471"/>
      <c r="AAP923" s="471"/>
      <c r="AAQ923" s="471"/>
      <c r="AAR923" s="471"/>
      <c r="AAS923" s="471"/>
      <c r="AAT923" s="471"/>
      <c r="AAU923" s="471"/>
      <c r="AAV923" s="471"/>
      <c r="AAW923" s="471"/>
      <c r="AAX923" s="471"/>
      <c r="AAY923" s="471"/>
      <c r="AAZ923" s="471"/>
      <c r="ABA923" s="471"/>
      <c r="ABB923" s="471"/>
      <c r="ABC923" s="471"/>
      <c r="ABD923" s="471"/>
      <c r="ABE923" s="471"/>
      <c r="ABF923" s="471"/>
      <c r="ABG923" s="471"/>
      <c r="ABH923" s="471"/>
      <c r="ABI923" s="471"/>
      <c r="ABJ923" s="471"/>
      <c r="ABK923" s="471"/>
      <c r="ABL923" s="471"/>
      <c r="ABM923" s="471"/>
      <c r="ABN923" s="471"/>
      <c r="ABO923" s="471"/>
      <c r="ABP923" s="471"/>
      <c r="ABQ923" s="471"/>
      <c r="ABR923" s="471"/>
      <c r="ABS923" s="471"/>
      <c r="ABT923" s="471"/>
      <c r="ABU923" s="471"/>
      <c r="ABV923" s="471"/>
      <c r="ABW923" s="471"/>
      <c r="ABX923" s="471"/>
      <c r="ABY923" s="471"/>
      <c r="ABZ923" s="471"/>
      <c r="ACA923" s="471"/>
      <c r="ACB923" s="471"/>
      <c r="ACC923" s="471"/>
      <c r="ACD923" s="471"/>
      <c r="ACE923" s="471"/>
      <c r="ACF923" s="471"/>
      <c r="ACG923" s="471"/>
      <c r="ACH923" s="471"/>
      <c r="ACI923" s="471"/>
      <c r="ACJ923" s="471"/>
      <c r="ACK923" s="471"/>
      <c r="ACL923" s="471"/>
      <c r="ACM923" s="471"/>
      <c r="ACN923" s="471"/>
      <c r="ACO923" s="471"/>
      <c r="ACP923" s="471"/>
      <c r="ACQ923" s="471"/>
      <c r="ACR923" s="471"/>
      <c r="ACS923" s="471"/>
      <c r="ACT923" s="471"/>
      <c r="ACU923" s="471"/>
      <c r="ACV923" s="471"/>
      <c r="ACW923" s="471"/>
      <c r="ACX923" s="471"/>
      <c r="ACY923" s="471"/>
      <c r="ACZ923" s="471"/>
      <c r="ADA923" s="471"/>
      <c r="ADB923" s="471"/>
      <c r="ADC923" s="471"/>
      <c r="ADD923" s="471"/>
      <c r="ADE923" s="471"/>
      <c r="ADF923" s="471"/>
      <c r="ADG923" s="471"/>
      <c r="ADH923" s="471"/>
      <c r="ADI923" s="471"/>
      <c r="ADJ923" s="471"/>
      <c r="ADK923" s="471"/>
      <c r="ADL923" s="471"/>
      <c r="ADM923" s="471"/>
      <c r="ADN923" s="471"/>
      <c r="ADO923" s="471"/>
      <c r="ADP923" s="471"/>
      <c r="ADQ923" s="471"/>
      <c r="ADR923" s="471"/>
      <c r="ADS923" s="471"/>
      <c r="ADT923" s="471"/>
      <c r="ADU923" s="471"/>
      <c r="ADV923" s="471"/>
      <c r="ADW923" s="471"/>
      <c r="ADX923" s="471"/>
      <c r="ADY923" s="471"/>
      <c r="ADZ923" s="471"/>
      <c r="AEA923" s="471"/>
      <c r="AEB923" s="471"/>
      <c r="AEC923" s="471"/>
      <c r="AED923" s="471"/>
      <c r="AEE923" s="471"/>
      <c r="AEF923" s="471"/>
      <c r="AEG923" s="471"/>
      <c r="AEH923" s="471"/>
      <c r="AEI923" s="471"/>
      <c r="AEJ923" s="471"/>
      <c r="AEK923" s="471"/>
      <c r="AEL923" s="471"/>
      <c r="AEM923" s="471"/>
      <c r="AEN923" s="471"/>
      <c r="AEO923" s="471"/>
      <c r="AEP923" s="471"/>
      <c r="AEQ923" s="471"/>
      <c r="AER923" s="471"/>
      <c r="AES923" s="471"/>
      <c r="AET923" s="471"/>
      <c r="AEU923" s="471"/>
      <c r="AEV923" s="471"/>
      <c r="AEW923" s="471"/>
      <c r="AEX923" s="471"/>
      <c r="AEY923" s="471"/>
      <c r="AEZ923" s="471"/>
      <c r="AFA923" s="471"/>
      <c r="AFB923" s="471"/>
      <c r="AFC923" s="471"/>
      <c r="AFD923" s="471"/>
      <c r="AFE923" s="471"/>
      <c r="AFF923" s="471"/>
      <c r="AFG923" s="471"/>
      <c r="AFH923" s="471"/>
      <c r="AFI923" s="471"/>
      <c r="AFJ923" s="471"/>
      <c r="AFK923" s="471"/>
      <c r="AFL923" s="471"/>
      <c r="AFM923" s="471"/>
      <c r="AFN923" s="471"/>
      <c r="AFO923" s="471"/>
      <c r="AFP923" s="471"/>
      <c r="AFQ923" s="471"/>
      <c r="AFR923" s="471"/>
      <c r="AFS923" s="471"/>
      <c r="AFT923" s="471"/>
      <c r="AFU923" s="471"/>
      <c r="AFV923" s="471"/>
      <c r="AFW923" s="471"/>
      <c r="AFX923" s="471"/>
      <c r="AFY923" s="471"/>
      <c r="AFZ923" s="471"/>
      <c r="AGA923" s="471"/>
      <c r="AGB923" s="471"/>
      <c r="AGC923" s="471"/>
      <c r="AGD923" s="471"/>
      <c r="AGE923" s="471"/>
      <c r="AGF923" s="471"/>
      <c r="AGG923" s="471"/>
      <c r="AGH923" s="471"/>
      <c r="AGI923" s="471"/>
      <c r="AGJ923" s="471"/>
      <c r="AGK923" s="471"/>
      <c r="AGL923" s="471"/>
      <c r="AGM923" s="471"/>
      <c r="AGN923" s="471"/>
      <c r="AGO923" s="471"/>
      <c r="AGP923" s="471"/>
      <c r="AGQ923" s="471"/>
      <c r="AGR923" s="471"/>
      <c r="AGS923" s="471"/>
      <c r="AGT923" s="471"/>
      <c r="AGU923" s="471"/>
      <c r="AGV923" s="471"/>
      <c r="AGW923" s="471"/>
      <c r="AGX923" s="471"/>
      <c r="AGY923" s="471"/>
      <c r="AGZ923" s="471"/>
      <c r="AHA923" s="471"/>
      <c r="AHB923" s="471"/>
      <c r="AHC923" s="471"/>
      <c r="AHD923" s="471"/>
      <c r="AHE923" s="471"/>
      <c r="AHF923" s="471"/>
      <c r="AHG923" s="471"/>
      <c r="AHH923" s="471"/>
      <c r="AHI923" s="471"/>
      <c r="AHJ923" s="471"/>
      <c r="AHK923" s="471"/>
      <c r="AHL923" s="471"/>
      <c r="AHM923" s="471"/>
      <c r="AHN923" s="471"/>
      <c r="AHO923" s="471"/>
      <c r="AHP923" s="471"/>
      <c r="AHQ923" s="471"/>
      <c r="AHR923" s="471"/>
      <c r="AHS923" s="471"/>
      <c r="AHT923" s="471"/>
      <c r="AHU923" s="471"/>
      <c r="AHV923" s="471"/>
      <c r="AHW923" s="471"/>
      <c r="AHX923" s="471"/>
      <c r="AHY923" s="471"/>
      <c r="AHZ923" s="471"/>
      <c r="AIA923" s="471"/>
      <c r="AIB923" s="471"/>
      <c r="AIC923" s="471"/>
      <c r="AID923" s="471"/>
      <c r="AIE923" s="471"/>
      <c r="AIF923" s="471"/>
      <c r="AIG923" s="471"/>
      <c r="AIH923" s="471"/>
      <c r="AII923" s="471"/>
      <c r="AIJ923" s="471"/>
      <c r="AIK923" s="471"/>
      <c r="AIL923" s="471"/>
      <c r="AIM923" s="471"/>
      <c r="AIN923" s="471"/>
      <c r="AIO923" s="471"/>
      <c r="AIP923" s="471"/>
      <c r="AIQ923" s="471"/>
      <c r="AIR923" s="471"/>
      <c r="AIS923" s="471"/>
      <c r="AIT923" s="471"/>
      <c r="AIU923" s="471"/>
      <c r="AIV923" s="471"/>
      <c r="AIW923" s="471"/>
      <c r="AIX923" s="471"/>
      <c r="AIY923" s="471"/>
      <c r="AIZ923" s="471"/>
      <c r="AJA923" s="471"/>
      <c r="AJB923" s="471"/>
      <c r="AJC923" s="471"/>
      <c r="AJD923" s="471"/>
      <c r="AJE923" s="471"/>
      <c r="AJF923" s="471"/>
      <c r="AJG923" s="471"/>
      <c r="AJH923" s="471"/>
      <c r="AJI923" s="471"/>
      <c r="AJJ923" s="471"/>
      <c r="AJK923" s="471"/>
      <c r="AJL923" s="471"/>
      <c r="AJM923" s="471"/>
      <c r="AJN923" s="471"/>
      <c r="AJO923" s="471"/>
      <c r="AJP923" s="471"/>
      <c r="AJQ923" s="471"/>
      <c r="AJR923" s="471"/>
      <c r="AJS923" s="471"/>
      <c r="AJT923" s="471"/>
      <c r="AJU923" s="471"/>
      <c r="AJV923" s="471"/>
      <c r="AJW923" s="471"/>
      <c r="AJX923" s="471"/>
      <c r="AJY923" s="471"/>
      <c r="AJZ923" s="471"/>
      <c r="AKA923" s="471"/>
      <c r="AKB923" s="471"/>
      <c r="AKC923" s="471"/>
      <c r="AKD923" s="471"/>
      <c r="AKE923" s="471"/>
      <c r="AKF923" s="471"/>
      <c r="AKG923" s="471"/>
      <c r="AKH923" s="471"/>
      <c r="AKI923" s="471"/>
      <c r="AKJ923" s="471"/>
      <c r="AKK923" s="471"/>
      <c r="AKL923" s="471"/>
      <c r="AKM923" s="471"/>
      <c r="AKN923" s="471"/>
      <c r="AKO923" s="471"/>
      <c r="AKP923" s="471"/>
      <c r="AKQ923" s="471"/>
      <c r="AKR923" s="471"/>
      <c r="AKS923" s="471"/>
      <c r="AKT923" s="471"/>
      <c r="AKU923" s="471"/>
      <c r="AKV923" s="471"/>
      <c r="AKW923" s="471"/>
      <c r="AKX923" s="471"/>
      <c r="AKY923" s="471"/>
      <c r="AKZ923" s="471"/>
      <c r="ALA923" s="471"/>
      <c r="ALB923" s="471"/>
      <c r="ALC923" s="471"/>
      <c r="ALD923" s="471"/>
      <c r="ALE923" s="471"/>
      <c r="ALF923" s="471"/>
      <c r="ALG923" s="471"/>
      <c r="ALH923" s="471"/>
      <c r="ALI923" s="471"/>
      <c r="ALJ923" s="471"/>
      <c r="ALK923" s="471"/>
      <c r="ALL923" s="471"/>
      <c r="ALM923" s="471"/>
      <c r="ALN923" s="471"/>
      <c r="ALO923" s="471"/>
      <c r="ALP923" s="471"/>
      <c r="ALQ923" s="471"/>
      <c r="ALR923" s="471"/>
      <c r="ALS923" s="471"/>
      <c r="ALT923" s="471"/>
      <c r="ALU923" s="471"/>
      <c r="ALV923" s="471"/>
      <c r="ALW923" s="471"/>
      <c r="ALX923" s="471"/>
      <c r="ALY923" s="471"/>
      <c r="ALZ923" s="471"/>
      <c r="AMA923" s="471"/>
      <c r="AMB923" s="471"/>
      <c r="AMC923" s="471"/>
      <c r="AMD923" s="471"/>
      <c r="AME923" s="471"/>
      <c r="AMF923" s="471"/>
      <c r="AMG923" s="471"/>
      <c r="AMH923" s="471"/>
      <c r="AMI923" s="471"/>
      <c r="AMJ923" s="471"/>
      <c r="AMK923" s="471"/>
      <c r="AML923" s="471"/>
      <c r="AMM923" s="471"/>
      <c r="AMN923" s="471"/>
      <c r="AMO923" s="471"/>
      <c r="AMP923" s="471"/>
      <c r="AMQ923" s="471"/>
      <c r="AMR923" s="471"/>
      <c r="AMS923" s="471"/>
      <c r="AMT923" s="471"/>
      <c r="AMU923" s="471"/>
      <c r="AMV923" s="471"/>
      <c r="AMW923" s="471"/>
      <c r="AMX923" s="471"/>
      <c r="AMY923" s="471"/>
      <c r="AMZ923" s="471"/>
      <c r="ANA923" s="471"/>
      <c r="ANB923" s="471"/>
      <c r="ANC923" s="471"/>
      <c r="AND923" s="471"/>
      <c r="ANE923" s="471"/>
      <c r="ANF923" s="471"/>
      <c r="ANG923" s="471"/>
      <c r="ANH923" s="471"/>
      <c r="ANI923" s="471"/>
      <c r="ANJ923" s="471"/>
      <c r="ANK923" s="471"/>
      <c r="ANL923" s="471"/>
      <c r="ANM923" s="471"/>
      <c r="ANN923" s="471"/>
      <c r="ANO923" s="471"/>
      <c r="ANP923" s="471"/>
      <c r="ANQ923" s="471"/>
      <c r="ANR923" s="471"/>
      <c r="ANS923" s="471"/>
      <c r="ANT923" s="471"/>
      <c r="ANU923" s="471"/>
      <c r="ANV923" s="471"/>
      <c r="ANW923" s="471"/>
      <c r="ANX923" s="471"/>
      <c r="ANY923" s="471"/>
      <c r="ANZ923" s="471"/>
      <c r="AOA923" s="471"/>
      <c r="AOB923" s="471"/>
      <c r="AOC923" s="471"/>
      <c r="AOD923" s="471"/>
      <c r="AOE923" s="471"/>
      <c r="AOF923" s="471"/>
      <c r="AOG923" s="471"/>
      <c r="AOH923" s="471"/>
      <c r="AOI923" s="471"/>
      <c r="AOJ923" s="471"/>
      <c r="AOK923" s="471"/>
      <c r="AOL923" s="471"/>
      <c r="AOM923" s="471"/>
      <c r="AON923" s="471"/>
      <c r="AOO923" s="471"/>
      <c r="AOP923" s="471"/>
      <c r="AOQ923" s="471"/>
      <c r="AOR923" s="471"/>
      <c r="AOS923" s="471"/>
      <c r="AOT923" s="471"/>
      <c r="AOU923" s="471"/>
      <c r="AOV923" s="471"/>
      <c r="AOW923" s="471"/>
      <c r="AOX923" s="471"/>
      <c r="AOY923" s="471"/>
      <c r="AOZ923" s="471"/>
      <c r="APA923" s="471"/>
      <c r="APB923" s="471"/>
      <c r="APC923" s="471"/>
      <c r="APD923" s="471"/>
      <c r="APE923" s="471"/>
      <c r="APF923" s="471"/>
      <c r="APG923" s="471"/>
      <c r="APH923" s="471"/>
      <c r="API923" s="471"/>
      <c r="APJ923" s="471"/>
      <c r="APK923" s="471"/>
      <c r="APL923" s="471"/>
      <c r="APM923" s="471"/>
      <c r="APN923" s="471"/>
      <c r="APO923" s="471"/>
      <c r="APP923" s="471"/>
      <c r="APQ923" s="471"/>
      <c r="APR923" s="471"/>
      <c r="APS923" s="471"/>
      <c r="APT923" s="471"/>
      <c r="APU923" s="471"/>
      <c r="APV923" s="471"/>
      <c r="APW923" s="471"/>
      <c r="APX923" s="471"/>
      <c r="APY923" s="471"/>
      <c r="APZ923" s="471"/>
      <c r="AQA923" s="471"/>
      <c r="AQB923" s="471"/>
      <c r="AQC923" s="471"/>
      <c r="AQD923" s="471"/>
      <c r="AQE923" s="471"/>
      <c r="AQF923" s="471"/>
      <c r="AQG923" s="471"/>
      <c r="AQH923" s="471"/>
      <c r="AQI923" s="471"/>
      <c r="AQJ923" s="471"/>
      <c r="AQK923" s="471"/>
      <c r="AQL923" s="471"/>
      <c r="AQM923" s="471"/>
      <c r="AQN923" s="471"/>
      <c r="AQO923" s="471"/>
      <c r="AQP923" s="471"/>
      <c r="AQQ923" s="471"/>
      <c r="AQR923" s="471"/>
      <c r="AQS923" s="471"/>
      <c r="AQT923" s="471"/>
      <c r="AQU923" s="471"/>
      <c r="AQV923" s="471"/>
      <c r="AQW923" s="471"/>
      <c r="AQX923" s="471"/>
      <c r="AQY923" s="471"/>
      <c r="AQZ923" s="471"/>
      <c r="ARA923" s="471"/>
      <c r="ARB923" s="471"/>
      <c r="ARC923" s="471"/>
      <c r="ARD923" s="471"/>
      <c r="ARE923" s="471"/>
      <c r="ARF923" s="471"/>
      <c r="ARG923" s="471"/>
      <c r="ARH923" s="471"/>
      <c r="ARI923" s="471"/>
      <c r="ARJ923" s="471"/>
      <c r="ARK923" s="471"/>
      <c r="ARL923" s="471"/>
      <c r="ARM923" s="471"/>
      <c r="ARN923" s="471"/>
      <c r="ARO923" s="471"/>
      <c r="ARP923" s="471"/>
      <c r="ARQ923" s="471"/>
      <c r="ARR923" s="471"/>
      <c r="ARS923" s="471"/>
      <c r="ART923" s="471"/>
      <c r="ARU923" s="471"/>
      <c r="ARV923" s="471"/>
      <c r="ARW923" s="471"/>
      <c r="ARX923" s="471"/>
      <c r="ARY923" s="471"/>
      <c r="ARZ923" s="471"/>
      <c r="ASA923" s="471"/>
      <c r="ASB923" s="471"/>
      <c r="ASC923" s="471"/>
      <c r="ASD923" s="471"/>
      <c r="ASE923" s="471"/>
      <c r="ASF923" s="471"/>
      <c r="ASG923" s="471"/>
      <c r="ASH923" s="471"/>
      <c r="ASI923" s="471"/>
      <c r="ASJ923" s="471"/>
      <c r="ASK923" s="471"/>
      <c r="ASL923" s="471"/>
      <c r="ASM923" s="471"/>
      <c r="ASN923" s="471"/>
      <c r="ASO923" s="471"/>
      <c r="ASP923" s="471"/>
      <c r="ASQ923" s="471"/>
      <c r="ASR923" s="471"/>
      <c r="ASS923" s="471"/>
      <c r="AST923" s="471"/>
      <c r="ASU923" s="471"/>
      <c r="ASV923" s="471"/>
      <c r="ASW923" s="471"/>
      <c r="ASX923" s="471"/>
      <c r="ASY923" s="471"/>
      <c r="ASZ923" s="471"/>
      <c r="ATA923" s="471"/>
      <c r="ATB923" s="471"/>
      <c r="ATC923" s="471"/>
      <c r="ATD923" s="471"/>
      <c r="ATE923" s="471"/>
      <c r="ATF923" s="471"/>
      <c r="ATG923" s="471"/>
      <c r="ATH923" s="471"/>
      <c r="ATI923" s="471"/>
      <c r="ATJ923" s="471"/>
      <c r="ATK923" s="471"/>
      <c r="ATL923" s="471"/>
      <c r="ATM923" s="471"/>
      <c r="ATN923" s="471"/>
      <c r="ATO923" s="471"/>
      <c r="ATP923" s="471"/>
      <c r="ATQ923" s="471"/>
      <c r="ATR923" s="471"/>
      <c r="ATS923" s="471"/>
      <c r="ATT923" s="471"/>
      <c r="ATU923" s="471"/>
      <c r="ATV923" s="471"/>
      <c r="ATW923" s="471"/>
      <c r="ATX923" s="471"/>
      <c r="ATY923" s="471"/>
      <c r="ATZ923" s="471"/>
      <c r="AUA923" s="471"/>
      <c r="AUB923" s="471"/>
      <c r="AUC923" s="471"/>
      <c r="AUD923" s="471"/>
      <c r="AUE923" s="471"/>
      <c r="AUF923" s="471"/>
      <c r="AUG923" s="471"/>
      <c r="AUH923" s="471"/>
      <c r="AUI923" s="471"/>
      <c r="AUJ923" s="471"/>
      <c r="AUK923" s="471"/>
      <c r="AUL923" s="471"/>
      <c r="AUM923" s="471"/>
      <c r="AUN923" s="471"/>
      <c r="AUO923" s="471"/>
      <c r="AUP923" s="471"/>
      <c r="AUQ923" s="471"/>
      <c r="AUR923" s="471"/>
      <c r="AUS923" s="471"/>
      <c r="AUT923" s="471"/>
      <c r="AUU923" s="471"/>
      <c r="AUV923" s="471"/>
      <c r="AUW923" s="471"/>
      <c r="AUX923" s="471"/>
      <c r="AUY923" s="471"/>
      <c r="AUZ923" s="471"/>
      <c r="AVA923" s="471"/>
      <c r="AVB923" s="471"/>
      <c r="AVC923" s="471"/>
      <c r="AVD923" s="471"/>
      <c r="AVE923" s="471"/>
      <c r="AVF923" s="471"/>
      <c r="AVG923" s="471"/>
      <c r="AVH923" s="471"/>
      <c r="AVI923" s="471"/>
      <c r="AVJ923" s="471"/>
      <c r="AVK923" s="471"/>
    </row>
    <row r="924" spans="1:1259" s="511" customFormat="1" ht="15" customHeight="1">
      <c r="A924" s="472"/>
      <c r="B924" s="472"/>
      <c r="C924" s="472"/>
      <c r="D924" s="512" t="s">
        <v>3186</v>
      </c>
      <c r="E924" s="512" t="s">
        <v>3044</v>
      </c>
      <c r="F924" s="501"/>
      <c r="G924" s="501"/>
      <c r="H924" s="524">
        <v>11</v>
      </c>
      <c r="I924" s="496" t="s">
        <v>1676</v>
      </c>
      <c r="J924" s="502"/>
      <c r="K924" s="502" t="s">
        <v>4886</v>
      </c>
      <c r="L924" s="502" t="s">
        <v>3278</v>
      </c>
      <c r="M924" s="502">
        <v>44550</v>
      </c>
      <c r="N924" s="502">
        <v>44652</v>
      </c>
      <c r="O924" s="504"/>
      <c r="P924" s="502"/>
      <c r="Q924" s="502"/>
      <c r="R924" s="502"/>
      <c r="S924" s="501" t="s">
        <v>2379</v>
      </c>
      <c r="T924" s="501">
        <v>60</v>
      </c>
      <c r="U924" s="501"/>
      <c r="V924" s="501" t="s">
        <v>973</v>
      </c>
      <c r="W924" s="501">
        <v>400</v>
      </c>
      <c r="X924" s="505">
        <v>480</v>
      </c>
      <c r="Y924" s="491">
        <f t="shared" si="130"/>
        <v>192000</v>
      </c>
      <c r="Z924" s="506">
        <v>0.53</v>
      </c>
      <c r="AA924" s="492">
        <f t="shared" si="134"/>
        <v>101760</v>
      </c>
      <c r="AB924" s="480"/>
      <c r="AC924" s="481">
        <f t="shared" si="131"/>
        <v>0</v>
      </c>
      <c r="AD924" s="508"/>
      <c r="AE924" s="507"/>
      <c r="AF924" s="493">
        <f t="shared" si="132"/>
        <v>101760</v>
      </c>
      <c r="AG924" s="501" t="s">
        <v>1071</v>
      </c>
      <c r="AH924" s="501"/>
      <c r="AI924" s="503">
        <v>60</v>
      </c>
      <c r="AJ924" s="501" t="s">
        <v>3443</v>
      </c>
      <c r="AK924" s="509" t="s">
        <v>1144</v>
      </c>
      <c r="AL924" s="501">
        <v>73128</v>
      </c>
      <c r="AM924" s="501" t="s">
        <v>52</v>
      </c>
      <c r="AN924" s="501"/>
      <c r="AO924" s="501"/>
      <c r="AP924" s="510"/>
      <c r="AQ924" s="510" t="s">
        <v>37</v>
      </c>
      <c r="AR924" s="510"/>
      <c r="AS924" s="495" t="s">
        <v>1152</v>
      </c>
      <c r="AT924" s="495" t="s">
        <v>1076</v>
      </c>
      <c r="AU924" s="495" t="s">
        <v>1076</v>
      </c>
      <c r="AV924" s="506">
        <v>0.53</v>
      </c>
      <c r="AW924" s="471"/>
      <c r="AX924" s="471"/>
      <c r="AY924" s="471"/>
      <c r="AZ924" s="471"/>
      <c r="BA924" s="471"/>
      <c r="BB924" s="471"/>
      <c r="BC924" s="471"/>
      <c r="BD924" s="471"/>
      <c r="BE924" s="471"/>
      <c r="BF924" s="471"/>
      <c r="BG924" s="471"/>
      <c r="BH924" s="471"/>
      <c r="BI924" s="471"/>
      <c r="BJ924" s="471"/>
      <c r="BK924" s="471"/>
      <c r="BL924" s="471"/>
      <c r="BM924" s="471"/>
      <c r="BN924" s="471"/>
      <c r="BO924" s="471"/>
      <c r="BP924" s="471"/>
      <c r="BQ924" s="471"/>
      <c r="BR924" s="471"/>
      <c r="BS924" s="471"/>
      <c r="BT924" s="471"/>
      <c r="BU924" s="471"/>
      <c r="BV924" s="471"/>
      <c r="BW924" s="471"/>
      <c r="BX924" s="471"/>
      <c r="BY924" s="471"/>
      <c r="BZ924" s="471"/>
      <c r="CA924" s="471"/>
      <c r="CB924" s="471"/>
      <c r="CC924" s="471"/>
      <c r="CD924" s="471"/>
      <c r="CE924" s="471"/>
      <c r="CF924" s="471"/>
      <c r="CG924" s="471"/>
      <c r="CH924" s="471"/>
      <c r="CI924" s="471"/>
      <c r="CJ924" s="471"/>
      <c r="CK924" s="471"/>
      <c r="CL924" s="471"/>
      <c r="CM924" s="471"/>
      <c r="CN924" s="471"/>
      <c r="CO924" s="471"/>
      <c r="CP924" s="471"/>
      <c r="CQ924" s="471"/>
      <c r="CR924" s="471"/>
      <c r="CS924" s="471"/>
      <c r="CT924" s="471"/>
      <c r="CU924" s="471"/>
      <c r="CV924" s="471"/>
      <c r="CW924" s="471"/>
      <c r="CX924" s="471"/>
      <c r="CY924" s="471"/>
      <c r="CZ924" s="471"/>
      <c r="DA924" s="471"/>
      <c r="DB924" s="471"/>
      <c r="DC924" s="471"/>
      <c r="DD924" s="471"/>
      <c r="DE924" s="471"/>
      <c r="DF924" s="471"/>
      <c r="DG924" s="471"/>
      <c r="DH924" s="471"/>
      <c r="DI924" s="471"/>
      <c r="DJ924" s="471"/>
      <c r="DK924" s="471"/>
      <c r="DL924" s="471"/>
      <c r="DM924" s="471"/>
      <c r="DN924" s="471"/>
      <c r="DO924" s="471"/>
      <c r="DP924" s="471"/>
      <c r="DQ924" s="471"/>
      <c r="DR924" s="471"/>
      <c r="DS924" s="471"/>
      <c r="DT924" s="471"/>
      <c r="DU924" s="471"/>
      <c r="DV924" s="471"/>
      <c r="DW924" s="471"/>
      <c r="DX924" s="471"/>
      <c r="DY924" s="471"/>
      <c r="DZ924" s="471"/>
      <c r="EA924" s="471"/>
      <c r="EB924" s="471"/>
      <c r="EC924" s="471"/>
      <c r="ED924" s="471"/>
      <c r="EE924" s="471"/>
      <c r="EF924" s="471"/>
      <c r="EG924" s="471"/>
      <c r="EH924" s="471"/>
      <c r="EI924" s="471"/>
      <c r="EJ924" s="471"/>
      <c r="EK924" s="471"/>
      <c r="EL924" s="471"/>
      <c r="EM924" s="471"/>
      <c r="EN924" s="471"/>
      <c r="EO924" s="471"/>
      <c r="EP924" s="471"/>
      <c r="EQ924" s="471"/>
      <c r="ER924" s="471"/>
      <c r="ES924" s="471"/>
      <c r="ET924" s="471"/>
      <c r="EU924" s="471"/>
      <c r="EV924" s="471"/>
      <c r="EW924" s="471"/>
      <c r="EX924" s="471"/>
      <c r="EY924" s="471"/>
      <c r="EZ924" s="471"/>
      <c r="FA924" s="471"/>
      <c r="FB924" s="471"/>
      <c r="FC924" s="471"/>
      <c r="FD924" s="471"/>
      <c r="FE924" s="471"/>
      <c r="FF924" s="471"/>
      <c r="FG924" s="471"/>
      <c r="FH924" s="471"/>
      <c r="FI924" s="471"/>
      <c r="FJ924" s="471"/>
      <c r="FK924" s="471"/>
      <c r="FL924" s="471"/>
      <c r="FM924" s="471"/>
      <c r="FN924" s="471"/>
      <c r="FO924" s="471"/>
      <c r="FP924" s="471"/>
      <c r="FQ924" s="471"/>
      <c r="FR924" s="471"/>
      <c r="FS924" s="471"/>
      <c r="FT924" s="471"/>
      <c r="FU924" s="471"/>
      <c r="FV924" s="471"/>
      <c r="FW924" s="471"/>
      <c r="FX924" s="471"/>
      <c r="FY924" s="471"/>
      <c r="FZ924" s="471"/>
      <c r="GA924" s="471"/>
      <c r="GB924" s="471"/>
      <c r="GC924" s="471"/>
      <c r="GD924" s="471"/>
      <c r="GE924" s="471"/>
      <c r="GF924" s="471"/>
      <c r="GG924" s="471"/>
      <c r="GH924" s="471"/>
      <c r="GI924" s="471"/>
      <c r="GJ924" s="471"/>
      <c r="GK924" s="471"/>
      <c r="GL924" s="471"/>
      <c r="GM924" s="471"/>
      <c r="GN924" s="471"/>
      <c r="GO924" s="471"/>
      <c r="GP924" s="471"/>
      <c r="GQ924" s="471"/>
      <c r="GR924" s="471"/>
      <c r="GS924" s="471"/>
      <c r="GT924" s="471"/>
      <c r="GU924" s="471"/>
      <c r="GV924" s="471"/>
      <c r="GW924" s="471"/>
      <c r="GX924" s="471"/>
      <c r="GY924" s="471"/>
      <c r="GZ924" s="471"/>
      <c r="HA924" s="471"/>
      <c r="HB924" s="471"/>
      <c r="HC924" s="471"/>
      <c r="HD924" s="471"/>
      <c r="HE924" s="471"/>
      <c r="HF924" s="471"/>
      <c r="HG924" s="471"/>
      <c r="HH924" s="471"/>
      <c r="HI924" s="471"/>
      <c r="HJ924" s="471"/>
      <c r="HK924" s="471"/>
      <c r="HL924" s="471"/>
      <c r="HM924" s="471"/>
      <c r="HN924" s="471"/>
      <c r="HO924" s="471"/>
      <c r="HP924" s="471"/>
      <c r="HQ924" s="471"/>
      <c r="HR924" s="471"/>
      <c r="HS924" s="471"/>
      <c r="HT924" s="471"/>
      <c r="HU924" s="471"/>
      <c r="HV924" s="471"/>
      <c r="HW924" s="471"/>
      <c r="HX924" s="471"/>
      <c r="HY924" s="471"/>
      <c r="HZ924" s="471"/>
      <c r="IA924" s="471"/>
      <c r="IB924" s="471"/>
      <c r="IC924" s="471"/>
      <c r="ID924" s="471"/>
      <c r="IE924" s="471"/>
      <c r="IF924" s="471"/>
      <c r="IG924" s="471"/>
      <c r="IH924" s="471"/>
      <c r="II924" s="471"/>
      <c r="IJ924" s="471"/>
      <c r="IK924" s="471"/>
      <c r="IL924" s="471"/>
      <c r="IM924" s="471"/>
      <c r="IN924" s="471"/>
      <c r="IO924" s="471"/>
      <c r="IP924" s="471"/>
      <c r="IQ924" s="471"/>
      <c r="IR924" s="471"/>
      <c r="IS924" s="471"/>
      <c r="IT924" s="471"/>
      <c r="IU924" s="471"/>
      <c r="IV924" s="471"/>
      <c r="IW924" s="471"/>
      <c r="IX924" s="471"/>
      <c r="IY924" s="471"/>
      <c r="IZ924" s="471"/>
      <c r="JA924" s="471"/>
      <c r="JB924" s="471"/>
      <c r="JC924" s="471"/>
      <c r="JD924" s="471"/>
      <c r="JE924" s="471"/>
      <c r="JF924" s="471"/>
      <c r="JG924" s="471"/>
      <c r="JH924" s="471"/>
      <c r="JI924" s="471"/>
      <c r="JJ924" s="471"/>
      <c r="JK924" s="471"/>
      <c r="JL924" s="471"/>
      <c r="JM924" s="471"/>
      <c r="JN924" s="471"/>
      <c r="JO924" s="471"/>
      <c r="JP924" s="471"/>
      <c r="JQ924" s="471"/>
      <c r="JR924" s="471"/>
      <c r="JS924" s="471"/>
      <c r="JT924" s="471"/>
      <c r="JU924" s="471"/>
      <c r="JV924" s="471"/>
      <c r="JW924" s="471"/>
      <c r="JX924" s="471"/>
      <c r="JY924" s="471"/>
      <c r="JZ924" s="471"/>
      <c r="KA924" s="471"/>
      <c r="KB924" s="471"/>
      <c r="KC924" s="471"/>
      <c r="KD924" s="471"/>
      <c r="KE924" s="471"/>
      <c r="KF924" s="471"/>
      <c r="KG924" s="471"/>
      <c r="KH924" s="471"/>
      <c r="KI924" s="471"/>
      <c r="KJ924" s="471"/>
      <c r="KK924" s="471"/>
      <c r="KL924" s="471"/>
      <c r="KM924" s="471"/>
      <c r="KN924" s="471"/>
      <c r="KO924" s="471"/>
      <c r="KP924" s="471"/>
      <c r="KQ924" s="471"/>
      <c r="KR924" s="471"/>
      <c r="KS924" s="471"/>
      <c r="KT924" s="471"/>
      <c r="KU924" s="471"/>
      <c r="KV924" s="471"/>
      <c r="KW924" s="471"/>
      <c r="KX924" s="471"/>
      <c r="KY924" s="471"/>
      <c r="KZ924" s="471"/>
      <c r="LA924" s="471"/>
      <c r="LB924" s="471"/>
      <c r="LC924" s="471"/>
      <c r="LD924" s="471"/>
      <c r="LE924" s="471"/>
      <c r="LF924" s="471"/>
      <c r="LG924" s="471"/>
      <c r="LH924" s="471"/>
      <c r="LI924" s="471"/>
      <c r="LJ924" s="471"/>
      <c r="LK924" s="471"/>
      <c r="LL924" s="471"/>
      <c r="LM924" s="471"/>
      <c r="LN924" s="471"/>
      <c r="LO924" s="471"/>
      <c r="LP924" s="471"/>
      <c r="LQ924" s="471"/>
      <c r="LR924" s="471"/>
      <c r="LS924" s="471"/>
      <c r="LT924" s="471"/>
      <c r="LU924" s="471"/>
      <c r="LV924" s="471"/>
      <c r="LW924" s="471"/>
      <c r="LX924" s="471"/>
      <c r="LY924" s="471"/>
      <c r="LZ924" s="471"/>
      <c r="MA924" s="471"/>
      <c r="MB924" s="471"/>
      <c r="MC924" s="471"/>
      <c r="MD924" s="471"/>
      <c r="ME924" s="471"/>
      <c r="MF924" s="471"/>
      <c r="MG924" s="471"/>
      <c r="MH924" s="471"/>
      <c r="MI924" s="471"/>
      <c r="MJ924" s="471"/>
      <c r="MK924" s="471"/>
      <c r="ML924" s="471"/>
      <c r="MM924" s="471"/>
      <c r="MN924" s="471"/>
      <c r="MO924" s="471"/>
      <c r="MP924" s="471"/>
      <c r="MQ924" s="471"/>
      <c r="MR924" s="471"/>
      <c r="MS924" s="471"/>
      <c r="MT924" s="471"/>
      <c r="MU924" s="471"/>
      <c r="MV924" s="471"/>
      <c r="MW924" s="471"/>
      <c r="MX924" s="471"/>
      <c r="MY924" s="471"/>
      <c r="MZ924" s="471"/>
      <c r="NA924" s="471"/>
      <c r="NB924" s="471"/>
      <c r="NC924" s="471"/>
      <c r="ND924" s="471"/>
      <c r="NE924" s="471"/>
      <c r="NF924" s="471"/>
      <c r="NG924" s="471"/>
      <c r="NH924" s="471"/>
      <c r="NI924" s="471"/>
      <c r="NJ924" s="471"/>
      <c r="NK924" s="471"/>
      <c r="NL924" s="471"/>
      <c r="NM924" s="471"/>
      <c r="NN924" s="471"/>
      <c r="NO924" s="471"/>
      <c r="NP924" s="471"/>
      <c r="NQ924" s="471"/>
      <c r="NR924" s="471"/>
      <c r="NS924" s="471"/>
      <c r="NT924" s="471"/>
      <c r="NU924" s="471"/>
      <c r="NV924" s="471"/>
      <c r="NW924" s="471"/>
      <c r="NX924" s="471"/>
      <c r="NY924" s="471"/>
      <c r="NZ924" s="471"/>
      <c r="OA924" s="471"/>
      <c r="OB924" s="471"/>
      <c r="OC924" s="471"/>
      <c r="OD924" s="471"/>
      <c r="OE924" s="471"/>
      <c r="OF924" s="471"/>
      <c r="OG924" s="471"/>
      <c r="OH924" s="471"/>
      <c r="OI924" s="471"/>
      <c r="OJ924" s="471"/>
      <c r="OK924" s="471"/>
      <c r="OL924" s="471"/>
      <c r="OM924" s="471"/>
      <c r="ON924" s="471"/>
      <c r="OO924" s="471"/>
      <c r="OP924" s="471"/>
      <c r="OQ924" s="471"/>
      <c r="OR924" s="471"/>
      <c r="OS924" s="471"/>
      <c r="OT924" s="471"/>
      <c r="OU924" s="471"/>
      <c r="OV924" s="471"/>
      <c r="OW924" s="471"/>
      <c r="OX924" s="471"/>
      <c r="OY924" s="471"/>
      <c r="OZ924" s="471"/>
      <c r="PA924" s="471"/>
      <c r="PB924" s="471"/>
      <c r="PC924" s="471"/>
      <c r="PD924" s="471"/>
      <c r="PE924" s="471"/>
      <c r="PF924" s="471"/>
      <c r="PG924" s="471"/>
      <c r="PH924" s="471"/>
      <c r="PI924" s="471"/>
      <c r="PJ924" s="471"/>
      <c r="PK924" s="471"/>
      <c r="PL924" s="471"/>
      <c r="PM924" s="471"/>
      <c r="PN924" s="471"/>
      <c r="PO924" s="471"/>
      <c r="PP924" s="471"/>
      <c r="PQ924" s="471"/>
      <c r="PR924" s="471"/>
      <c r="PS924" s="471"/>
      <c r="PT924" s="471"/>
      <c r="PU924" s="471"/>
      <c r="PV924" s="471"/>
      <c r="PW924" s="471"/>
      <c r="PX924" s="471"/>
      <c r="PY924" s="471"/>
      <c r="PZ924" s="471"/>
      <c r="QA924" s="471"/>
      <c r="QB924" s="471"/>
      <c r="QC924" s="471"/>
      <c r="QD924" s="471"/>
      <c r="QE924" s="471"/>
      <c r="QF924" s="471"/>
      <c r="QG924" s="471"/>
      <c r="QH924" s="471"/>
      <c r="QI924" s="471"/>
      <c r="QJ924" s="471"/>
      <c r="QK924" s="471"/>
      <c r="QL924" s="471"/>
      <c r="QM924" s="471"/>
      <c r="QN924" s="471"/>
      <c r="QO924" s="471"/>
      <c r="QP924" s="471"/>
      <c r="QQ924" s="471"/>
      <c r="QR924" s="471"/>
      <c r="QS924" s="471"/>
      <c r="QT924" s="471"/>
      <c r="QU924" s="471"/>
      <c r="QV924" s="471"/>
      <c r="QW924" s="471"/>
      <c r="QX924" s="471"/>
      <c r="QY924" s="471"/>
      <c r="QZ924" s="471"/>
      <c r="RA924" s="471"/>
      <c r="RB924" s="471"/>
      <c r="RC924" s="471"/>
      <c r="RD924" s="471"/>
      <c r="RE924" s="471"/>
      <c r="RF924" s="471"/>
      <c r="RG924" s="471"/>
      <c r="RH924" s="471"/>
      <c r="RI924" s="471"/>
      <c r="RJ924" s="471"/>
      <c r="RK924" s="471"/>
      <c r="RL924" s="471"/>
      <c r="RM924" s="471"/>
      <c r="RN924" s="471"/>
      <c r="RO924" s="471"/>
      <c r="RP924" s="471"/>
      <c r="RQ924" s="471"/>
      <c r="RR924" s="471"/>
      <c r="RS924" s="471"/>
      <c r="RT924" s="471"/>
      <c r="RU924" s="471"/>
      <c r="RV924" s="471"/>
      <c r="RW924" s="471"/>
      <c r="RX924" s="471"/>
      <c r="RY924" s="471"/>
      <c r="RZ924" s="471"/>
      <c r="SA924" s="471"/>
      <c r="SB924" s="471"/>
      <c r="SC924" s="471"/>
      <c r="SD924" s="471"/>
      <c r="SE924" s="471"/>
      <c r="SF924" s="471"/>
      <c r="SG924" s="471"/>
      <c r="SH924" s="471"/>
      <c r="SI924" s="471"/>
      <c r="SJ924" s="471"/>
      <c r="SK924" s="471"/>
      <c r="SL924" s="471"/>
      <c r="SM924" s="471"/>
      <c r="SN924" s="471"/>
      <c r="SO924" s="471"/>
      <c r="SP924" s="471"/>
      <c r="SQ924" s="471"/>
      <c r="SR924" s="471"/>
      <c r="SS924" s="471"/>
      <c r="ST924" s="471"/>
      <c r="SU924" s="471"/>
      <c r="SV924" s="471"/>
      <c r="SW924" s="471"/>
      <c r="SX924" s="471"/>
      <c r="SY924" s="471"/>
      <c r="SZ924" s="471"/>
      <c r="TA924" s="471"/>
      <c r="TB924" s="471"/>
      <c r="TC924" s="471"/>
      <c r="TD924" s="471"/>
      <c r="TE924" s="471"/>
      <c r="TF924" s="471"/>
      <c r="TG924" s="471"/>
      <c r="TH924" s="471"/>
      <c r="TI924" s="471"/>
      <c r="TJ924" s="471"/>
      <c r="TK924" s="471"/>
      <c r="TL924" s="471"/>
      <c r="TM924" s="471"/>
      <c r="TN924" s="471"/>
      <c r="TO924" s="471"/>
      <c r="TP924" s="471"/>
      <c r="TQ924" s="471"/>
      <c r="TR924" s="471"/>
      <c r="TS924" s="471"/>
      <c r="TT924" s="471"/>
      <c r="TU924" s="471"/>
      <c r="TV924" s="471"/>
      <c r="TW924" s="471"/>
      <c r="TX924" s="471"/>
      <c r="TY924" s="471"/>
      <c r="TZ924" s="471"/>
      <c r="UA924" s="471"/>
      <c r="UB924" s="471"/>
      <c r="UC924" s="471"/>
      <c r="UD924" s="471"/>
      <c r="UE924" s="471"/>
      <c r="UF924" s="471"/>
      <c r="UG924" s="471"/>
      <c r="UH924" s="471"/>
      <c r="UI924" s="471"/>
      <c r="UJ924" s="471"/>
      <c r="UK924" s="471"/>
      <c r="UL924" s="471"/>
      <c r="UM924" s="471"/>
      <c r="UN924" s="471"/>
      <c r="UO924" s="471"/>
      <c r="UP924" s="471"/>
      <c r="UQ924" s="471"/>
      <c r="UR924" s="471"/>
      <c r="US924" s="471"/>
      <c r="UT924" s="471"/>
      <c r="UU924" s="471"/>
      <c r="UV924" s="471"/>
      <c r="UW924" s="471"/>
      <c r="UX924" s="471"/>
      <c r="UY924" s="471"/>
      <c r="UZ924" s="471"/>
      <c r="VA924" s="471"/>
      <c r="VB924" s="471"/>
      <c r="VC924" s="471"/>
      <c r="VD924" s="471"/>
      <c r="VE924" s="471"/>
      <c r="VF924" s="471"/>
      <c r="VG924" s="471"/>
      <c r="VH924" s="471"/>
      <c r="VI924" s="471"/>
      <c r="VJ924" s="471"/>
      <c r="VK924" s="471"/>
      <c r="VL924" s="471"/>
      <c r="VM924" s="471"/>
      <c r="VN924" s="471"/>
      <c r="VO924" s="471"/>
      <c r="VP924" s="471"/>
      <c r="VQ924" s="471"/>
      <c r="VR924" s="471"/>
      <c r="VS924" s="471"/>
      <c r="VT924" s="471"/>
      <c r="VU924" s="471"/>
      <c r="VV924" s="471"/>
      <c r="VW924" s="471"/>
      <c r="VX924" s="471"/>
      <c r="VY924" s="471"/>
      <c r="VZ924" s="471"/>
      <c r="WA924" s="471"/>
      <c r="WB924" s="471"/>
      <c r="WC924" s="471"/>
      <c r="WD924" s="471"/>
      <c r="WE924" s="471"/>
      <c r="WF924" s="471"/>
      <c r="WG924" s="471"/>
      <c r="WH924" s="471"/>
      <c r="WI924" s="471"/>
      <c r="WJ924" s="471"/>
      <c r="WK924" s="471"/>
      <c r="WL924" s="471"/>
      <c r="WM924" s="471"/>
      <c r="WN924" s="471"/>
      <c r="WO924" s="471"/>
      <c r="WP924" s="471"/>
      <c r="WQ924" s="471"/>
      <c r="WR924" s="471"/>
      <c r="WS924" s="471"/>
      <c r="WT924" s="471"/>
      <c r="WU924" s="471"/>
      <c r="WV924" s="471"/>
      <c r="WW924" s="471"/>
      <c r="WX924" s="471"/>
      <c r="WY924" s="471"/>
      <c r="WZ924" s="471"/>
      <c r="XA924" s="471"/>
      <c r="XB924" s="471"/>
      <c r="XC924" s="471"/>
      <c r="XD924" s="471"/>
      <c r="XE924" s="471"/>
      <c r="XF924" s="471"/>
      <c r="XG924" s="471"/>
      <c r="XH924" s="471"/>
      <c r="XI924" s="471"/>
      <c r="XJ924" s="471"/>
      <c r="XK924" s="471"/>
      <c r="XL924" s="471"/>
      <c r="XM924" s="471"/>
      <c r="XN924" s="471"/>
      <c r="XO924" s="471"/>
      <c r="XP924" s="471"/>
      <c r="XQ924" s="471"/>
      <c r="XR924" s="471"/>
      <c r="XS924" s="471"/>
      <c r="XT924" s="471"/>
      <c r="XU924" s="471"/>
      <c r="XV924" s="471"/>
      <c r="XW924" s="471"/>
      <c r="XX924" s="471"/>
      <c r="XY924" s="471"/>
      <c r="XZ924" s="471"/>
      <c r="YA924" s="471"/>
      <c r="YB924" s="471"/>
      <c r="YC924" s="471"/>
      <c r="YD924" s="471"/>
      <c r="YE924" s="471"/>
      <c r="YF924" s="471"/>
      <c r="YG924" s="471"/>
      <c r="YH924" s="471"/>
      <c r="YI924" s="471"/>
      <c r="YJ924" s="471"/>
      <c r="YK924" s="471"/>
      <c r="YL924" s="471"/>
      <c r="YM924" s="471"/>
      <c r="YN924" s="471"/>
      <c r="YO924" s="471"/>
      <c r="YP924" s="471"/>
      <c r="YQ924" s="471"/>
      <c r="YR924" s="471"/>
      <c r="YS924" s="471"/>
      <c r="YT924" s="471"/>
      <c r="YU924" s="471"/>
      <c r="YV924" s="471"/>
      <c r="YW924" s="471"/>
      <c r="YX924" s="471"/>
      <c r="YY924" s="471"/>
      <c r="YZ924" s="471"/>
      <c r="ZA924" s="471"/>
      <c r="ZB924" s="471"/>
      <c r="ZC924" s="471"/>
      <c r="ZD924" s="471"/>
      <c r="ZE924" s="471"/>
      <c r="ZF924" s="471"/>
      <c r="ZG924" s="471"/>
      <c r="ZH924" s="471"/>
      <c r="ZI924" s="471"/>
      <c r="ZJ924" s="471"/>
      <c r="ZK924" s="471"/>
      <c r="ZL924" s="471"/>
      <c r="ZM924" s="471"/>
      <c r="ZN924" s="471"/>
      <c r="ZO924" s="471"/>
      <c r="ZP924" s="471"/>
      <c r="ZQ924" s="471"/>
      <c r="ZR924" s="471"/>
      <c r="ZS924" s="471"/>
      <c r="ZT924" s="471"/>
      <c r="ZU924" s="471"/>
      <c r="ZV924" s="471"/>
      <c r="ZW924" s="471"/>
      <c r="ZX924" s="471"/>
      <c r="ZY924" s="471"/>
      <c r="ZZ924" s="471"/>
      <c r="AAA924" s="471"/>
      <c r="AAB924" s="471"/>
      <c r="AAC924" s="471"/>
      <c r="AAD924" s="471"/>
      <c r="AAE924" s="471"/>
      <c r="AAF924" s="471"/>
      <c r="AAG924" s="471"/>
      <c r="AAH924" s="471"/>
      <c r="AAI924" s="471"/>
      <c r="AAJ924" s="471"/>
      <c r="AAK924" s="471"/>
      <c r="AAL924" s="471"/>
      <c r="AAM924" s="471"/>
      <c r="AAN924" s="471"/>
      <c r="AAO924" s="471"/>
      <c r="AAP924" s="471"/>
      <c r="AAQ924" s="471"/>
      <c r="AAR924" s="471"/>
      <c r="AAS924" s="471"/>
      <c r="AAT924" s="471"/>
      <c r="AAU924" s="471"/>
      <c r="AAV924" s="471"/>
      <c r="AAW924" s="471"/>
      <c r="AAX924" s="471"/>
      <c r="AAY924" s="471"/>
      <c r="AAZ924" s="471"/>
      <c r="ABA924" s="471"/>
      <c r="ABB924" s="471"/>
      <c r="ABC924" s="471"/>
      <c r="ABD924" s="471"/>
      <c r="ABE924" s="471"/>
      <c r="ABF924" s="471"/>
      <c r="ABG924" s="471"/>
      <c r="ABH924" s="471"/>
      <c r="ABI924" s="471"/>
      <c r="ABJ924" s="471"/>
      <c r="ABK924" s="471"/>
      <c r="ABL924" s="471"/>
      <c r="ABM924" s="471"/>
      <c r="ABN924" s="471"/>
      <c r="ABO924" s="471"/>
      <c r="ABP924" s="471"/>
      <c r="ABQ924" s="471"/>
      <c r="ABR924" s="471"/>
      <c r="ABS924" s="471"/>
      <c r="ABT924" s="471"/>
      <c r="ABU924" s="471"/>
      <c r="ABV924" s="471"/>
      <c r="ABW924" s="471"/>
      <c r="ABX924" s="471"/>
      <c r="ABY924" s="471"/>
      <c r="ABZ924" s="471"/>
      <c r="ACA924" s="471"/>
      <c r="ACB924" s="471"/>
      <c r="ACC924" s="471"/>
      <c r="ACD924" s="471"/>
      <c r="ACE924" s="471"/>
      <c r="ACF924" s="471"/>
      <c r="ACG924" s="471"/>
      <c r="ACH924" s="471"/>
      <c r="ACI924" s="471"/>
      <c r="ACJ924" s="471"/>
      <c r="ACK924" s="471"/>
      <c r="ACL924" s="471"/>
      <c r="ACM924" s="471"/>
      <c r="ACN924" s="471"/>
      <c r="ACO924" s="471"/>
      <c r="ACP924" s="471"/>
      <c r="ACQ924" s="471"/>
      <c r="ACR924" s="471"/>
      <c r="ACS924" s="471"/>
      <c r="ACT924" s="471"/>
      <c r="ACU924" s="471"/>
      <c r="ACV924" s="471"/>
      <c r="ACW924" s="471"/>
      <c r="ACX924" s="471"/>
      <c r="ACY924" s="471"/>
      <c r="ACZ924" s="471"/>
      <c r="ADA924" s="471"/>
      <c r="ADB924" s="471"/>
      <c r="ADC924" s="471"/>
      <c r="ADD924" s="471"/>
      <c r="ADE924" s="471"/>
      <c r="ADF924" s="471"/>
      <c r="ADG924" s="471"/>
      <c r="ADH924" s="471"/>
      <c r="ADI924" s="471"/>
      <c r="ADJ924" s="471"/>
      <c r="ADK924" s="471"/>
      <c r="ADL924" s="471"/>
      <c r="ADM924" s="471"/>
      <c r="ADN924" s="471"/>
      <c r="ADO924" s="471"/>
      <c r="ADP924" s="471"/>
      <c r="ADQ924" s="471"/>
      <c r="ADR924" s="471"/>
      <c r="ADS924" s="471"/>
      <c r="ADT924" s="471"/>
      <c r="ADU924" s="471"/>
      <c r="ADV924" s="471"/>
      <c r="ADW924" s="471"/>
      <c r="ADX924" s="471"/>
      <c r="ADY924" s="471"/>
      <c r="ADZ924" s="471"/>
      <c r="AEA924" s="471"/>
      <c r="AEB924" s="471"/>
      <c r="AEC924" s="471"/>
      <c r="AED924" s="471"/>
      <c r="AEE924" s="471"/>
      <c r="AEF924" s="471"/>
      <c r="AEG924" s="471"/>
      <c r="AEH924" s="471"/>
      <c r="AEI924" s="471"/>
      <c r="AEJ924" s="471"/>
      <c r="AEK924" s="471"/>
      <c r="AEL924" s="471"/>
      <c r="AEM924" s="471"/>
      <c r="AEN924" s="471"/>
      <c r="AEO924" s="471"/>
      <c r="AEP924" s="471"/>
      <c r="AEQ924" s="471"/>
      <c r="AER924" s="471"/>
      <c r="AES924" s="471"/>
      <c r="AET924" s="471"/>
      <c r="AEU924" s="471"/>
      <c r="AEV924" s="471"/>
      <c r="AEW924" s="471"/>
      <c r="AEX924" s="471"/>
      <c r="AEY924" s="471"/>
      <c r="AEZ924" s="471"/>
      <c r="AFA924" s="471"/>
      <c r="AFB924" s="471"/>
      <c r="AFC924" s="471"/>
      <c r="AFD924" s="471"/>
      <c r="AFE924" s="471"/>
      <c r="AFF924" s="471"/>
      <c r="AFG924" s="471"/>
      <c r="AFH924" s="471"/>
      <c r="AFI924" s="471"/>
      <c r="AFJ924" s="471"/>
      <c r="AFK924" s="471"/>
      <c r="AFL924" s="471"/>
      <c r="AFM924" s="471"/>
      <c r="AFN924" s="471"/>
      <c r="AFO924" s="471"/>
      <c r="AFP924" s="471"/>
      <c r="AFQ924" s="471"/>
      <c r="AFR924" s="471"/>
      <c r="AFS924" s="471"/>
      <c r="AFT924" s="471"/>
      <c r="AFU924" s="471"/>
      <c r="AFV924" s="471"/>
      <c r="AFW924" s="471"/>
      <c r="AFX924" s="471"/>
      <c r="AFY924" s="471"/>
      <c r="AFZ924" s="471"/>
      <c r="AGA924" s="471"/>
      <c r="AGB924" s="471"/>
      <c r="AGC924" s="471"/>
      <c r="AGD924" s="471"/>
      <c r="AGE924" s="471"/>
      <c r="AGF924" s="471"/>
      <c r="AGG924" s="471"/>
      <c r="AGH924" s="471"/>
      <c r="AGI924" s="471"/>
      <c r="AGJ924" s="471"/>
      <c r="AGK924" s="471"/>
      <c r="AGL924" s="471"/>
      <c r="AGM924" s="471"/>
      <c r="AGN924" s="471"/>
      <c r="AGO924" s="471"/>
      <c r="AGP924" s="471"/>
      <c r="AGQ924" s="471"/>
      <c r="AGR924" s="471"/>
      <c r="AGS924" s="471"/>
      <c r="AGT924" s="471"/>
      <c r="AGU924" s="471"/>
      <c r="AGV924" s="471"/>
      <c r="AGW924" s="471"/>
      <c r="AGX924" s="471"/>
      <c r="AGY924" s="471"/>
      <c r="AGZ924" s="471"/>
      <c r="AHA924" s="471"/>
      <c r="AHB924" s="471"/>
      <c r="AHC924" s="471"/>
      <c r="AHD924" s="471"/>
      <c r="AHE924" s="471"/>
      <c r="AHF924" s="471"/>
      <c r="AHG924" s="471"/>
      <c r="AHH924" s="471"/>
      <c r="AHI924" s="471"/>
      <c r="AHJ924" s="471"/>
      <c r="AHK924" s="471"/>
      <c r="AHL924" s="471"/>
      <c r="AHM924" s="471"/>
      <c r="AHN924" s="471"/>
      <c r="AHO924" s="471"/>
      <c r="AHP924" s="471"/>
      <c r="AHQ924" s="471"/>
      <c r="AHR924" s="471"/>
      <c r="AHS924" s="471"/>
      <c r="AHT924" s="471"/>
      <c r="AHU924" s="471"/>
      <c r="AHV924" s="471"/>
      <c r="AHW924" s="471"/>
      <c r="AHX924" s="471"/>
      <c r="AHY924" s="471"/>
      <c r="AHZ924" s="471"/>
      <c r="AIA924" s="471"/>
      <c r="AIB924" s="471"/>
      <c r="AIC924" s="471"/>
      <c r="AID924" s="471"/>
      <c r="AIE924" s="471"/>
      <c r="AIF924" s="471"/>
      <c r="AIG924" s="471"/>
      <c r="AIH924" s="471"/>
      <c r="AII924" s="471"/>
      <c r="AIJ924" s="471"/>
      <c r="AIK924" s="471"/>
      <c r="AIL924" s="471"/>
      <c r="AIM924" s="471"/>
      <c r="AIN924" s="471"/>
      <c r="AIO924" s="471"/>
      <c r="AIP924" s="471"/>
      <c r="AIQ924" s="471"/>
      <c r="AIR924" s="471"/>
      <c r="AIS924" s="471"/>
      <c r="AIT924" s="471"/>
      <c r="AIU924" s="471"/>
      <c r="AIV924" s="471"/>
      <c r="AIW924" s="471"/>
      <c r="AIX924" s="471"/>
      <c r="AIY924" s="471"/>
      <c r="AIZ924" s="471"/>
      <c r="AJA924" s="471"/>
      <c r="AJB924" s="471"/>
      <c r="AJC924" s="471"/>
      <c r="AJD924" s="471"/>
      <c r="AJE924" s="471"/>
      <c r="AJF924" s="471"/>
      <c r="AJG924" s="471"/>
      <c r="AJH924" s="471"/>
      <c r="AJI924" s="471"/>
      <c r="AJJ924" s="471"/>
      <c r="AJK924" s="471"/>
      <c r="AJL924" s="471"/>
      <c r="AJM924" s="471"/>
      <c r="AJN924" s="471"/>
      <c r="AJO924" s="471"/>
      <c r="AJP924" s="471"/>
      <c r="AJQ924" s="471"/>
      <c r="AJR924" s="471"/>
      <c r="AJS924" s="471"/>
      <c r="AJT924" s="471"/>
      <c r="AJU924" s="471"/>
      <c r="AJV924" s="471"/>
      <c r="AJW924" s="471"/>
      <c r="AJX924" s="471"/>
      <c r="AJY924" s="471"/>
      <c r="AJZ924" s="471"/>
      <c r="AKA924" s="471"/>
      <c r="AKB924" s="471"/>
      <c r="AKC924" s="471"/>
      <c r="AKD924" s="471"/>
      <c r="AKE924" s="471"/>
      <c r="AKF924" s="471"/>
      <c r="AKG924" s="471"/>
      <c r="AKH924" s="471"/>
      <c r="AKI924" s="471"/>
      <c r="AKJ924" s="471"/>
      <c r="AKK924" s="471"/>
      <c r="AKL924" s="471"/>
      <c r="AKM924" s="471"/>
      <c r="AKN924" s="471"/>
      <c r="AKO924" s="471"/>
      <c r="AKP924" s="471"/>
      <c r="AKQ924" s="471"/>
      <c r="AKR924" s="471"/>
      <c r="AKS924" s="471"/>
      <c r="AKT924" s="471"/>
      <c r="AKU924" s="471"/>
      <c r="AKV924" s="471"/>
      <c r="AKW924" s="471"/>
      <c r="AKX924" s="471"/>
      <c r="AKY924" s="471"/>
      <c r="AKZ924" s="471"/>
      <c r="ALA924" s="471"/>
      <c r="ALB924" s="471"/>
      <c r="ALC924" s="471"/>
      <c r="ALD924" s="471"/>
      <c r="ALE924" s="471"/>
      <c r="ALF924" s="471"/>
      <c r="ALG924" s="471"/>
      <c r="ALH924" s="471"/>
      <c r="ALI924" s="471"/>
      <c r="ALJ924" s="471"/>
      <c r="ALK924" s="471"/>
      <c r="ALL924" s="471"/>
      <c r="ALM924" s="471"/>
      <c r="ALN924" s="471"/>
      <c r="ALO924" s="471"/>
      <c r="ALP924" s="471"/>
      <c r="ALQ924" s="471"/>
      <c r="ALR924" s="471"/>
      <c r="ALS924" s="471"/>
      <c r="ALT924" s="471"/>
      <c r="ALU924" s="471"/>
      <c r="ALV924" s="471"/>
      <c r="ALW924" s="471"/>
      <c r="ALX924" s="471"/>
      <c r="ALY924" s="471"/>
      <c r="ALZ924" s="471"/>
      <c r="AMA924" s="471"/>
      <c r="AMB924" s="471"/>
      <c r="AMC924" s="471"/>
      <c r="AMD924" s="471"/>
      <c r="AME924" s="471"/>
      <c r="AMF924" s="471"/>
      <c r="AMG924" s="471"/>
      <c r="AMH924" s="471"/>
      <c r="AMI924" s="471"/>
      <c r="AMJ924" s="471"/>
      <c r="AMK924" s="471"/>
      <c r="AML924" s="471"/>
      <c r="AMM924" s="471"/>
      <c r="AMN924" s="471"/>
      <c r="AMO924" s="471"/>
      <c r="AMP924" s="471"/>
      <c r="AMQ924" s="471"/>
      <c r="AMR924" s="471"/>
      <c r="AMS924" s="471"/>
      <c r="AMT924" s="471"/>
      <c r="AMU924" s="471"/>
      <c r="AMV924" s="471"/>
      <c r="AMW924" s="471"/>
      <c r="AMX924" s="471"/>
      <c r="AMY924" s="471"/>
      <c r="AMZ924" s="471"/>
      <c r="ANA924" s="471"/>
      <c r="ANB924" s="471"/>
      <c r="ANC924" s="471"/>
      <c r="AND924" s="471"/>
      <c r="ANE924" s="471"/>
      <c r="ANF924" s="471"/>
      <c r="ANG924" s="471"/>
      <c r="ANH924" s="471"/>
      <c r="ANI924" s="471"/>
      <c r="ANJ924" s="471"/>
      <c r="ANK924" s="471"/>
      <c r="ANL924" s="471"/>
      <c r="ANM924" s="471"/>
      <c r="ANN924" s="471"/>
      <c r="ANO924" s="471"/>
      <c r="ANP924" s="471"/>
      <c r="ANQ924" s="471"/>
      <c r="ANR924" s="471"/>
      <c r="ANS924" s="471"/>
      <c r="ANT924" s="471"/>
      <c r="ANU924" s="471"/>
      <c r="ANV924" s="471"/>
      <c r="ANW924" s="471"/>
      <c r="ANX924" s="471"/>
      <c r="ANY924" s="471"/>
      <c r="ANZ924" s="471"/>
      <c r="AOA924" s="471"/>
      <c r="AOB924" s="471"/>
      <c r="AOC924" s="471"/>
      <c r="AOD924" s="471"/>
      <c r="AOE924" s="471"/>
      <c r="AOF924" s="471"/>
      <c r="AOG924" s="471"/>
      <c r="AOH924" s="471"/>
      <c r="AOI924" s="471"/>
      <c r="AOJ924" s="471"/>
      <c r="AOK924" s="471"/>
      <c r="AOL924" s="471"/>
      <c r="AOM924" s="471"/>
      <c r="AON924" s="471"/>
      <c r="AOO924" s="471"/>
      <c r="AOP924" s="471"/>
      <c r="AOQ924" s="471"/>
      <c r="AOR924" s="471"/>
      <c r="AOS924" s="471"/>
      <c r="AOT924" s="471"/>
      <c r="AOU924" s="471"/>
      <c r="AOV924" s="471"/>
      <c r="AOW924" s="471"/>
      <c r="AOX924" s="471"/>
      <c r="AOY924" s="471"/>
      <c r="AOZ924" s="471"/>
      <c r="APA924" s="471"/>
      <c r="APB924" s="471"/>
      <c r="APC924" s="471"/>
      <c r="APD924" s="471"/>
      <c r="APE924" s="471"/>
      <c r="APF924" s="471"/>
      <c r="APG924" s="471"/>
      <c r="APH924" s="471"/>
      <c r="API924" s="471"/>
      <c r="APJ924" s="471"/>
      <c r="APK924" s="471"/>
      <c r="APL924" s="471"/>
      <c r="APM924" s="471"/>
      <c r="APN924" s="471"/>
      <c r="APO924" s="471"/>
      <c r="APP924" s="471"/>
      <c r="APQ924" s="471"/>
      <c r="APR924" s="471"/>
      <c r="APS924" s="471"/>
      <c r="APT924" s="471"/>
      <c r="APU924" s="471"/>
      <c r="APV924" s="471"/>
      <c r="APW924" s="471"/>
      <c r="APX924" s="471"/>
      <c r="APY924" s="471"/>
      <c r="APZ924" s="471"/>
      <c r="AQA924" s="471"/>
      <c r="AQB924" s="471"/>
      <c r="AQC924" s="471"/>
      <c r="AQD924" s="471"/>
      <c r="AQE924" s="471"/>
      <c r="AQF924" s="471"/>
      <c r="AQG924" s="471"/>
      <c r="AQH924" s="471"/>
      <c r="AQI924" s="471"/>
      <c r="AQJ924" s="471"/>
      <c r="AQK924" s="471"/>
      <c r="AQL924" s="471"/>
      <c r="AQM924" s="471"/>
      <c r="AQN924" s="471"/>
      <c r="AQO924" s="471"/>
      <c r="AQP924" s="471"/>
      <c r="AQQ924" s="471"/>
      <c r="AQR924" s="471"/>
      <c r="AQS924" s="471"/>
      <c r="AQT924" s="471"/>
      <c r="AQU924" s="471"/>
      <c r="AQV924" s="471"/>
      <c r="AQW924" s="471"/>
      <c r="AQX924" s="471"/>
      <c r="AQY924" s="471"/>
      <c r="AQZ924" s="471"/>
      <c r="ARA924" s="471"/>
      <c r="ARB924" s="471"/>
      <c r="ARC924" s="471"/>
      <c r="ARD924" s="471"/>
      <c r="ARE924" s="471"/>
      <c r="ARF924" s="471"/>
      <c r="ARG924" s="471"/>
      <c r="ARH924" s="471"/>
      <c r="ARI924" s="471"/>
      <c r="ARJ924" s="471"/>
      <c r="ARK924" s="471"/>
      <c r="ARL924" s="471"/>
      <c r="ARM924" s="471"/>
      <c r="ARN924" s="471"/>
      <c r="ARO924" s="471"/>
      <c r="ARP924" s="471"/>
      <c r="ARQ924" s="471"/>
      <c r="ARR924" s="471"/>
      <c r="ARS924" s="471"/>
      <c r="ART924" s="471"/>
      <c r="ARU924" s="471"/>
      <c r="ARV924" s="471"/>
      <c r="ARW924" s="471"/>
      <c r="ARX924" s="471"/>
      <c r="ARY924" s="471"/>
      <c r="ARZ924" s="471"/>
      <c r="ASA924" s="471"/>
      <c r="ASB924" s="471"/>
      <c r="ASC924" s="471"/>
      <c r="ASD924" s="471"/>
      <c r="ASE924" s="471"/>
      <c r="ASF924" s="471"/>
      <c r="ASG924" s="471"/>
      <c r="ASH924" s="471"/>
      <c r="ASI924" s="471"/>
      <c r="ASJ924" s="471"/>
      <c r="ASK924" s="471"/>
      <c r="ASL924" s="471"/>
      <c r="ASM924" s="471"/>
      <c r="ASN924" s="471"/>
      <c r="ASO924" s="471"/>
      <c r="ASP924" s="471"/>
      <c r="ASQ924" s="471"/>
      <c r="ASR924" s="471"/>
      <c r="ASS924" s="471"/>
      <c r="AST924" s="471"/>
      <c r="ASU924" s="471"/>
      <c r="ASV924" s="471"/>
      <c r="ASW924" s="471"/>
      <c r="ASX924" s="471"/>
      <c r="ASY924" s="471"/>
      <c r="ASZ924" s="471"/>
      <c r="ATA924" s="471"/>
      <c r="ATB924" s="471"/>
      <c r="ATC924" s="471"/>
      <c r="ATD924" s="471"/>
      <c r="ATE924" s="471"/>
      <c r="ATF924" s="471"/>
      <c r="ATG924" s="471"/>
      <c r="ATH924" s="471"/>
      <c r="ATI924" s="471"/>
      <c r="ATJ924" s="471"/>
      <c r="ATK924" s="471"/>
      <c r="ATL924" s="471"/>
      <c r="ATM924" s="471"/>
      <c r="ATN924" s="471"/>
      <c r="ATO924" s="471"/>
      <c r="ATP924" s="471"/>
      <c r="ATQ924" s="471"/>
      <c r="ATR924" s="471"/>
      <c r="ATS924" s="471"/>
      <c r="ATT924" s="471"/>
      <c r="ATU924" s="471"/>
      <c r="ATV924" s="471"/>
      <c r="ATW924" s="471"/>
      <c r="ATX924" s="471"/>
      <c r="ATY924" s="471"/>
      <c r="ATZ924" s="471"/>
      <c r="AUA924" s="471"/>
      <c r="AUB924" s="471"/>
      <c r="AUC924" s="471"/>
      <c r="AUD924" s="471"/>
      <c r="AUE924" s="471"/>
      <c r="AUF924" s="471"/>
      <c r="AUG924" s="471"/>
      <c r="AUH924" s="471"/>
      <c r="AUI924" s="471"/>
      <c r="AUJ924" s="471"/>
      <c r="AUK924" s="471"/>
      <c r="AUL924" s="471"/>
      <c r="AUM924" s="471"/>
      <c r="AUN924" s="471"/>
      <c r="AUO924" s="471"/>
      <c r="AUP924" s="471"/>
      <c r="AUQ924" s="471"/>
      <c r="AUR924" s="471"/>
      <c r="AUS924" s="471"/>
      <c r="AUT924" s="471"/>
      <c r="AUU924" s="471"/>
      <c r="AUV924" s="471"/>
      <c r="AUW924" s="471"/>
      <c r="AUX924" s="471"/>
      <c r="AUY924" s="471"/>
      <c r="AUZ924" s="471"/>
      <c r="AVA924" s="471"/>
      <c r="AVB924" s="471"/>
      <c r="AVC924" s="471"/>
      <c r="AVD924" s="471"/>
      <c r="AVE924" s="471"/>
      <c r="AVF924" s="471"/>
      <c r="AVG924" s="471"/>
      <c r="AVH924" s="471"/>
      <c r="AVI924" s="471"/>
      <c r="AVJ924" s="471"/>
      <c r="AVK924" s="471"/>
    </row>
    <row r="925" spans="1:1259" s="511" customFormat="1" ht="15" customHeight="1">
      <c r="A925" s="472"/>
      <c r="B925" s="472"/>
      <c r="C925" s="472"/>
      <c r="D925" s="512" t="s">
        <v>3186</v>
      </c>
      <c r="E925" s="512" t="s">
        <v>3044</v>
      </c>
      <c r="F925" s="501"/>
      <c r="G925" s="501"/>
      <c r="H925" s="524">
        <v>12</v>
      </c>
      <c r="I925" s="496" t="s">
        <v>1676</v>
      </c>
      <c r="J925" s="502"/>
      <c r="K925" s="502" t="s">
        <v>4887</v>
      </c>
      <c r="L925" s="502" t="s">
        <v>3278</v>
      </c>
      <c r="M925" s="502">
        <v>44550</v>
      </c>
      <c r="N925" s="502">
        <v>44687</v>
      </c>
      <c r="O925" s="504"/>
      <c r="P925" s="502"/>
      <c r="Q925" s="502"/>
      <c r="R925" s="502"/>
      <c r="S925" s="501" t="s">
        <v>2379</v>
      </c>
      <c r="T925" s="501">
        <v>60</v>
      </c>
      <c r="U925" s="501"/>
      <c r="V925" s="501" t="s">
        <v>973</v>
      </c>
      <c r="W925" s="501">
        <v>400</v>
      </c>
      <c r="X925" s="505">
        <v>480</v>
      </c>
      <c r="Y925" s="491">
        <f t="shared" si="130"/>
        <v>192000</v>
      </c>
      <c r="Z925" s="506">
        <v>0.53</v>
      </c>
      <c r="AA925" s="492">
        <f t="shared" si="134"/>
        <v>101760</v>
      </c>
      <c r="AB925" s="480"/>
      <c r="AC925" s="481">
        <f t="shared" si="131"/>
        <v>0</v>
      </c>
      <c r="AD925" s="508"/>
      <c r="AE925" s="507"/>
      <c r="AF925" s="493">
        <f t="shared" si="132"/>
        <v>101760</v>
      </c>
      <c r="AG925" s="501" t="s">
        <v>1071</v>
      </c>
      <c r="AH925" s="501"/>
      <c r="AI925" s="503">
        <v>60</v>
      </c>
      <c r="AJ925" s="501" t="s">
        <v>3443</v>
      </c>
      <c r="AK925" s="509" t="s">
        <v>1144</v>
      </c>
      <c r="AL925" s="501">
        <v>73128</v>
      </c>
      <c r="AM925" s="501" t="s">
        <v>52</v>
      </c>
      <c r="AN925" s="501"/>
      <c r="AO925" s="501"/>
      <c r="AP925" s="510"/>
      <c r="AQ925" s="510" t="s">
        <v>37</v>
      </c>
      <c r="AR925" s="510"/>
      <c r="AS925" s="495" t="s">
        <v>1152</v>
      </c>
      <c r="AT925" s="495" t="s">
        <v>1076</v>
      </c>
      <c r="AU925" s="495" t="s">
        <v>1076</v>
      </c>
      <c r="AV925" s="506">
        <v>0.53</v>
      </c>
      <c r="AW925" s="471"/>
      <c r="AX925" s="471"/>
      <c r="AY925" s="471"/>
      <c r="AZ925" s="471"/>
      <c r="BA925" s="471"/>
      <c r="BB925" s="471"/>
      <c r="BC925" s="471"/>
      <c r="BD925" s="471"/>
      <c r="BE925" s="471"/>
      <c r="BF925" s="471"/>
      <c r="BG925" s="471"/>
      <c r="BH925" s="471"/>
      <c r="BI925" s="471"/>
      <c r="BJ925" s="471"/>
      <c r="BK925" s="471"/>
      <c r="BL925" s="471"/>
      <c r="BM925" s="471"/>
      <c r="BN925" s="471"/>
      <c r="BO925" s="471"/>
      <c r="BP925" s="471"/>
      <c r="BQ925" s="471"/>
      <c r="BR925" s="471"/>
      <c r="BS925" s="471"/>
      <c r="BT925" s="471"/>
      <c r="BU925" s="471"/>
      <c r="BV925" s="471"/>
      <c r="BW925" s="471"/>
      <c r="BX925" s="471"/>
      <c r="BY925" s="471"/>
      <c r="BZ925" s="471"/>
      <c r="CA925" s="471"/>
      <c r="CB925" s="471"/>
      <c r="CC925" s="471"/>
      <c r="CD925" s="471"/>
      <c r="CE925" s="471"/>
      <c r="CF925" s="471"/>
      <c r="CG925" s="471"/>
      <c r="CH925" s="471"/>
      <c r="CI925" s="471"/>
      <c r="CJ925" s="471"/>
      <c r="CK925" s="471"/>
      <c r="CL925" s="471"/>
      <c r="CM925" s="471"/>
      <c r="CN925" s="471"/>
      <c r="CO925" s="471"/>
      <c r="CP925" s="471"/>
      <c r="CQ925" s="471"/>
      <c r="CR925" s="471"/>
      <c r="CS925" s="471"/>
      <c r="CT925" s="471"/>
      <c r="CU925" s="471"/>
      <c r="CV925" s="471"/>
      <c r="CW925" s="471"/>
      <c r="CX925" s="471"/>
      <c r="CY925" s="471"/>
      <c r="CZ925" s="471"/>
      <c r="DA925" s="471"/>
      <c r="DB925" s="471"/>
      <c r="DC925" s="471"/>
      <c r="DD925" s="471"/>
      <c r="DE925" s="471"/>
      <c r="DF925" s="471"/>
      <c r="DG925" s="471"/>
      <c r="DH925" s="471"/>
      <c r="DI925" s="471"/>
      <c r="DJ925" s="471"/>
      <c r="DK925" s="471"/>
      <c r="DL925" s="471"/>
      <c r="DM925" s="471"/>
      <c r="DN925" s="471"/>
      <c r="DO925" s="471"/>
      <c r="DP925" s="471"/>
      <c r="DQ925" s="471"/>
      <c r="DR925" s="471"/>
      <c r="DS925" s="471"/>
      <c r="DT925" s="471"/>
      <c r="DU925" s="471"/>
      <c r="DV925" s="471"/>
      <c r="DW925" s="471"/>
      <c r="DX925" s="471"/>
      <c r="DY925" s="471"/>
      <c r="DZ925" s="471"/>
      <c r="EA925" s="471"/>
      <c r="EB925" s="471"/>
      <c r="EC925" s="471"/>
      <c r="ED925" s="471"/>
      <c r="EE925" s="471"/>
      <c r="EF925" s="471"/>
      <c r="EG925" s="471"/>
      <c r="EH925" s="471"/>
      <c r="EI925" s="471"/>
      <c r="EJ925" s="471"/>
      <c r="EK925" s="471"/>
      <c r="EL925" s="471"/>
      <c r="EM925" s="471"/>
      <c r="EN925" s="471"/>
      <c r="EO925" s="471"/>
      <c r="EP925" s="471"/>
      <c r="EQ925" s="471"/>
      <c r="ER925" s="471"/>
      <c r="ES925" s="471"/>
      <c r="ET925" s="471"/>
      <c r="EU925" s="471"/>
      <c r="EV925" s="471"/>
      <c r="EW925" s="471"/>
      <c r="EX925" s="471"/>
      <c r="EY925" s="471"/>
      <c r="EZ925" s="471"/>
      <c r="FA925" s="471"/>
      <c r="FB925" s="471"/>
      <c r="FC925" s="471"/>
      <c r="FD925" s="471"/>
      <c r="FE925" s="471"/>
      <c r="FF925" s="471"/>
      <c r="FG925" s="471"/>
      <c r="FH925" s="471"/>
      <c r="FI925" s="471"/>
      <c r="FJ925" s="471"/>
      <c r="FK925" s="471"/>
      <c r="FL925" s="471"/>
      <c r="FM925" s="471"/>
      <c r="FN925" s="471"/>
      <c r="FO925" s="471"/>
      <c r="FP925" s="471"/>
      <c r="FQ925" s="471"/>
      <c r="FR925" s="471"/>
      <c r="FS925" s="471"/>
      <c r="FT925" s="471"/>
      <c r="FU925" s="471"/>
      <c r="FV925" s="471"/>
      <c r="FW925" s="471"/>
      <c r="FX925" s="471"/>
      <c r="FY925" s="471"/>
      <c r="FZ925" s="471"/>
      <c r="GA925" s="471"/>
      <c r="GB925" s="471"/>
      <c r="GC925" s="471"/>
      <c r="GD925" s="471"/>
      <c r="GE925" s="471"/>
      <c r="GF925" s="471"/>
      <c r="GG925" s="471"/>
      <c r="GH925" s="471"/>
      <c r="GI925" s="471"/>
      <c r="GJ925" s="471"/>
      <c r="GK925" s="471"/>
      <c r="GL925" s="471"/>
      <c r="GM925" s="471"/>
      <c r="GN925" s="471"/>
      <c r="GO925" s="471"/>
      <c r="GP925" s="471"/>
      <c r="GQ925" s="471"/>
      <c r="GR925" s="471"/>
      <c r="GS925" s="471"/>
      <c r="GT925" s="471"/>
      <c r="GU925" s="471"/>
      <c r="GV925" s="471"/>
      <c r="GW925" s="471"/>
      <c r="GX925" s="471"/>
      <c r="GY925" s="471"/>
      <c r="GZ925" s="471"/>
      <c r="HA925" s="471"/>
      <c r="HB925" s="471"/>
      <c r="HC925" s="471"/>
      <c r="HD925" s="471"/>
      <c r="HE925" s="471"/>
      <c r="HF925" s="471"/>
      <c r="HG925" s="471"/>
      <c r="HH925" s="471"/>
      <c r="HI925" s="471"/>
      <c r="HJ925" s="471"/>
      <c r="HK925" s="471"/>
      <c r="HL925" s="471"/>
      <c r="HM925" s="471"/>
      <c r="HN925" s="471"/>
      <c r="HO925" s="471"/>
      <c r="HP925" s="471"/>
      <c r="HQ925" s="471"/>
      <c r="HR925" s="471"/>
      <c r="HS925" s="471"/>
      <c r="HT925" s="471"/>
      <c r="HU925" s="471"/>
      <c r="HV925" s="471"/>
      <c r="HW925" s="471"/>
      <c r="HX925" s="471"/>
      <c r="HY925" s="471"/>
      <c r="HZ925" s="471"/>
      <c r="IA925" s="471"/>
      <c r="IB925" s="471"/>
      <c r="IC925" s="471"/>
      <c r="ID925" s="471"/>
      <c r="IE925" s="471"/>
      <c r="IF925" s="471"/>
      <c r="IG925" s="471"/>
      <c r="IH925" s="471"/>
      <c r="II925" s="471"/>
      <c r="IJ925" s="471"/>
      <c r="IK925" s="471"/>
      <c r="IL925" s="471"/>
      <c r="IM925" s="471"/>
      <c r="IN925" s="471"/>
      <c r="IO925" s="471"/>
      <c r="IP925" s="471"/>
      <c r="IQ925" s="471"/>
      <c r="IR925" s="471"/>
      <c r="IS925" s="471"/>
      <c r="IT925" s="471"/>
      <c r="IU925" s="471"/>
      <c r="IV925" s="471"/>
      <c r="IW925" s="471"/>
      <c r="IX925" s="471"/>
      <c r="IY925" s="471"/>
      <c r="IZ925" s="471"/>
      <c r="JA925" s="471"/>
      <c r="JB925" s="471"/>
      <c r="JC925" s="471"/>
      <c r="JD925" s="471"/>
      <c r="JE925" s="471"/>
      <c r="JF925" s="471"/>
      <c r="JG925" s="471"/>
      <c r="JH925" s="471"/>
      <c r="JI925" s="471"/>
      <c r="JJ925" s="471"/>
      <c r="JK925" s="471"/>
      <c r="JL925" s="471"/>
      <c r="JM925" s="471"/>
      <c r="JN925" s="471"/>
      <c r="JO925" s="471"/>
      <c r="JP925" s="471"/>
      <c r="JQ925" s="471"/>
      <c r="JR925" s="471"/>
      <c r="JS925" s="471"/>
      <c r="JT925" s="471"/>
      <c r="JU925" s="471"/>
      <c r="JV925" s="471"/>
      <c r="JW925" s="471"/>
      <c r="JX925" s="471"/>
      <c r="JY925" s="471"/>
      <c r="JZ925" s="471"/>
      <c r="KA925" s="471"/>
      <c r="KB925" s="471"/>
      <c r="KC925" s="471"/>
      <c r="KD925" s="471"/>
      <c r="KE925" s="471"/>
      <c r="KF925" s="471"/>
      <c r="KG925" s="471"/>
      <c r="KH925" s="471"/>
      <c r="KI925" s="471"/>
      <c r="KJ925" s="471"/>
      <c r="KK925" s="471"/>
      <c r="KL925" s="471"/>
      <c r="KM925" s="471"/>
      <c r="KN925" s="471"/>
      <c r="KO925" s="471"/>
      <c r="KP925" s="471"/>
      <c r="KQ925" s="471"/>
      <c r="KR925" s="471"/>
      <c r="KS925" s="471"/>
      <c r="KT925" s="471"/>
      <c r="KU925" s="471"/>
      <c r="KV925" s="471"/>
      <c r="KW925" s="471"/>
      <c r="KX925" s="471"/>
      <c r="KY925" s="471"/>
      <c r="KZ925" s="471"/>
      <c r="LA925" s="471"/>
      <c r="LB925" s="471"/>
      <c r="LC925" s="471"/>
      <c r="LD925" s="471"/>
      <c r="LE925" s="471"/>
      <c r="LF925" s="471"/>
      <c r="LG925" s="471"/>
      <c r="LH925" s="471"/>
      <c r="LI925" s="471"/>
      <c r="LJ925" s="471"/>
      <c r="LK925" s="471"/>
      <c r="LL925" s="471"/>
      <c r="LM925" s="471"/>
      <c r="LN925" s="471"/>
      <c r="LO925" s="471"/>
      <c r="LP925" s="471"/>
      <c r="LQ925" s="471"/>
      <c r="LR925" s="471"/>
      <c r="LS925" s="471"/>
      <c r="LT925" s="471"/>
      <c r="LU925" s="471"/>
      <c r="LV925" s="471"/>
      <c r="LW925" s="471"/>
      <c r="LX925" s="471"/>
      <c r="LY925" s="471"/>
      <c r="LZ925" s="471"/>
      <c r="MA925" s="471"/>
      <c r="MB925" s="471"/>
      <c r="MC925" s="471"/>
      <c r="MD925" s="471"/>
      <c r="ME925" s="471"/>
      <c r="MF925" s="471"/>
      <c r="MG925" s="471"/>
      <c r="MH925" s="471"/>
      <c r="MI925" s="471"/>
      <c r="MJ925" s="471"/>
      <c r="MK925" s="471"/>
      <c r="ML925" s="471"/>
      <c r="MM925" s="471"/>
      <c r="MN925" s="471"/>
      <c r="MO925" s="471"/>
      <c r="MP925" s="471"/>
      <c r="MQ925" s="471"/>
      <c r="MR925" s="471"/>
      <c r="MS925" s="471"/>
      <c r="MT925" s="471"/>
      <c r="MU925" s="471"/>
      <c r="MV925" s="471"/>
      <c r="MW925" s="471"/>
      <c r="MX925" s="471"/>
      <c r="MY925" s="471"/>
      <c r="MZ925" s="471"/>
      <c r="NA925" s="471"/>
      <c r="NB925" s="471"/>
      <c r="NC925" s="471"/>
      <c r="ND925" s="471"/>
      <c r="NE925" s="471"/>
      <c r="NF925" s="471"/>
      <c r="NG925" s="471"/>
      <c r="NH925" s="471"/>
      <c r="NI925" s="471"/>
      <c r="NJ925" s="471"/>
      <c r="NK925" s="471"/>
      <c r="NL925" s="471"/>
      <c r="NM925" s="471"/>
      <c r="NN925" s="471"/>
      <c r="NO925" s="471"/>
      <c r="NP925" s="471"/>
      <c r="NQ925" s="471"/>
      <c r="NR925" s="471"/>
      <c r="NS925" s="471"/>
      <c r="NT925" s="471"/>
      <c r="NU925" s="471"/>
      <c r="NV925" s="471"/>
      <c r="NW925" s="471"/>
      <c r="NX925" s="471"/>
      <c r="NY925" s="471"/>
      <c r="NZ925" s="471"/>
      <c r="OA925" s="471"/>
      <c r="OB925" s="471"/>
      <c r="OC925" s="471"/>
      <c r="OD925" s="471"/>
      <c r="OE925" s="471"/>
      <c r="OF925" s="471"/>
      <c r="OG925" s="471"/>
      <c r="OH925" s="471"/>
      <c r="OI925" s="471"/>
      <c r="OJ925" s="471"/>
      <c r="OK925" s="471"/>
      <c r="OL925" s="471"/>
      <c r="OM925" s="471"/>
      <c r="ON925" s="471"/>
      <c r="OO925" s="471"/>
      <c r="OP925" s="471"/>
      <c r="OQ925" s="471"/>
      <c r="OR925" s="471"/>
      <c r="OS925" s="471"/>
      <c r="OT925" s="471"/>
      <c r="OU925" s="471"/>
      <c r="OV925" s="471"/>
      <c r="OW925" s="471"/>
      <c r="OX925" s="471"/>
      <c r="OY925" s="471"/>
      <c r="OZ925" s="471"/>
      <c r="PA925" s="471"/>
      <c r="PB925" s="471"/>
      <c r="PC925" s="471"/>
      <c r="PD925" s="471"/>
      <c r="PE925" s="471"/>
      <c r="PF925" s="471"/>
      <c r="PG925" s="471"/>
      <c r="PH925" s="471"/>
      <c r="PI925" s="471"/>
      <c r="PJ925" s="471"/>
      <c r="PK925" s="471"/>
      <c r="PL925" s="471"/>
      <c r="PM925" s="471"/>
      <c r="PN925" s="471"/>
      <c r="PO925" s="471"/>
      <c r="PP925" s="471"/>
      <c r="PQ925" s="471"/>
      <c r="PR925" s="471"/>
      <c r="PS925" s="471"/>
      <c r="PT925" s="471"/>
      <c r="PU925" s="471"/>
      <c r="PV925" s="471"/>
      <c r="PW925" s="471"/>
      <c r="PX925" s="471"/>
      <c r="PY925" s="471"/>
      <c r="PZ925" s="471"/>
      <c r="QA925" s="471"/>
      <c r="QB925" s="471"/>
      <c r="QC925" s="471"/>
      <c r="QD925" s="471"/>
      <c r="QE925" s="471"/>
      <c r="QF925" s="471"/>
      <c r="QG925" s="471"/>
      <c r="QH925" s="471"/>
      <c r="QI925" s="471"/>
      <c r="QJ925" s="471"/>
      <c r="QK925" s="471"/>
      <c r="QL925" s="471"/>
      <c r="QM925" s="471"/>
      <c r="QN925" s="471"/>
      <c r="QO925" s="471"/>
      <c r="QP925" s="471"/>
      <c r="QQ925" s="471"/>
      <c r="QR925" s="471"/>
      <c r="QS925" s="471"/>
      <c r="QT925" s="471"/>
      <c r="QU925" s="471"/>
      <c r="QV925" s="471"/>
      <c r="QW925" s="471"/>
      <c r="QX925" s="471"/>
      <c r="QY925" s="471"/>
      <c r="QZ925" s="471"/>
      <c r="RA925" s="471"/>
      <c r="RB925" s="471"/>
      <c r="RC925" s="471"/>
      <c r="RD925" s="471"/>
      <c r="RE925" s="471"/>
      <c r="RF925" s="471"/>
      <c r="RG925" s="471"/>
      <c r="RH925" s="471"/>
      <c r="RI925" s="471"/>
      <c r="RJ925" s="471"/>
      <c r="RK925" s="471"/>
      <c r="RL925" s="471"/>
      <c r="RM925" s="471"/>
      <c r="RN925" s="471"/>
      <c r="RO925" s="471"/>
      <c r="RP925" s="471"/>
      <c r="RQ925" s="471"/>
      <c r="RR925" s="471"/>
      <c r="RS925" s="471"/>
      <c r="RT925" s="471"/>
      <c r="RU925" s="471"/>
      <c r="RV925" s="471"/>
      <c r="RW925" s="471"/>
      <c r="RX925" s="471"/>
      <c r="RY925" s="471"/>
      <c r="RZ925" s="471"/>
      <c r="SA925" s="471"/>
      <c r="SB925" s="471"/>
      <c r="SC925" s="471"/>
      <c r="SD925" s="471"/>
      <c r="SE925" s="471"/>
      <c r="SF925" s="471"/>
      <c r="SG925" s="471"/>
      <c r="SH925" s="471"/>
      <c r="SI925" s="471"/>
      <c r="SJ925" s="471"/>
      <c r="SK925" s="471"/>
      <c r="SL925" s="471"/>
      <c r="SM925" s="471"/>
      <c r="SN925" s="471"/>
      <c r="SO925" s="471"/>
      <c r="SP925" s="471"/>
      <c r="SQ925" s="471"/>
      <c r="SR925" s="471"/>
      <c r="SS925" s="471"/>
      <c r="ST925" s="471"/>
      <c r="SU925" s="471"/>
      <c r="SV925" s="471"/>
      <c r="SW925" s="471"/>
      <c r="SX925" s="471"/>
      <c r="SY925" s="471"/>
      <c r="SZ925" s="471"/>
      <c r="TA925" s="471"/>
      <c r="TB925" s="471"/>
      <c r="TC925" s="471"/>
      <c r="TD925" s="471"/>
      <c r="TE925" s="471"/>
      <c r="TF925" s="471"/>
      <c r="TG925" s="471"/>
      <c r="TH925" s="471"/>
      <c r="TI925" s="471"/>
      <c r="TJ925" s="471"/>
      <c r="TK925" s="471"/>
      <c r="TL925" s="471"/>
      <c r="TM925" s="471"/>
      <c r="TN925" s="471"/>
      <c r="TO925" s="471"/>
      <c r="TP925" s="471"/>
      <c r="TQ925" s="471"/>
      <c r="TR925" s="471"/>
      <c r="TS925" s="471"/>
      <c r="TT925" s="471"/>
      <c r="TU925" s="471"/>
      <c r="TV925" s="471"/>
      <c r="TW925" s="471"/>
      <c r="TX925" s="471"/>
      <c r="TY925" s="471"/>
      <c r="TZ925" s="471"/>
      <c r="UA925" s="471"/>
      <c r="UB925" s="471"/>
      <c r="UC925" s="471"/>
      <c r="UD925" s="471"/>
      <c r="UE925" s="471"/>
      <c r="UF925" s="471"/>
      <c r="UG925" s="471"/>
      <c r="UH925" s="471"/>
      <c r="UI925" s="471"/>
      <c r="UJ925" s="471"/>
      <c r="UK925" s="471"/>
      <c r="UL925" s="471"/>
      <c r="UM925" s="471"/>
      <c r="UN925" s="471"/>
      <c r="UO925" s="471"/>
      <c r="UP925" s="471"/>
      <c r="UQ925" s="471"/>
      <c r="UR925" s="471"/>
      <c r="US925" s="471"/>
      <c r="UT925" s="471"/>
      <c r="UU925" s="471"/>
      <c r="UV925" s="471"/>
      <c r="UW925" s="471"/>
      <c r="UX925" s="471"/>
      <c r="UY925" s="471"/>
      <c r="UZ925" s="471"/>
      <c r="VA925" s="471"/>
      <c r="VB925" s="471"/>
      <c r="VC925" s="471"/>
      <c r="VD925" s="471"/>
      <c r="VE925" s="471"/>
      <c r="VF925" s="471"/>
      <c r="VG925" s="471"/>
      <c r="VH925" s="471"/>
      <c r="VI925" s="471"/>
      <c r="VJ925" s="471"/>
      <c r="VK925" s="471"/>
      <c r="VL925" s="471"/>
      <c r="VM925" s="471"/>
      <c r="VN925" s="471"/>
      <c r="VO925" s="471"/>
      <c r="VP925" s="471"/>
      <c r="VQ925" s="471"/>
      <c r="VR925" s="471"/>
      <c r="VS925" s="471"/>
      <c r="VT925" s="471"/>
      <c r="VU925" s="471"/>
      <c r="VV925" s="471"/>
      <c r="VW925" s="471"/>
      <c r="VX925" s="471"/>
      <c r="VY925" s="471"/>
      <c r="VZ925" s="471"/>
      <c r="WA925" s="471"/>
      <c r="WB925" s="471"/>
      <c r="WC925" s="471"/>
      <c r="WD925" s="471"/>
      <c r="WE925" s="471"/>
      <c r="WF925" s="471"/>
      <c r="WG925" s="471"/>
      <c r="WH925" s="471"/>
      <c r="WI925" s="471"/>
      <c r="WJ925" s="471"/>
      <c r="WK925" s="471"/>
      <c r="WL925" s="471"/>
      <c r="WM925" s="471"/>
      <c r="WN925" s="471"/>
      <c r="WO925" s="471"/>
      <c r="WP925" s="471"/>
      <c r="WQ925" s="471"/>
      <c r="WR925" s="471"/>
      <c r="WS925" s="471"/>
      <c r="WT925" s="471"/>
      <c r="WU925" s="471"/>
      <c r="WV925" s="471"/>
      <c r="WW925" s="471"/>
      <c r="WX925" s="471"/>
      <c r="WY925" s="471"/>
      <c r="WZ925" s="471"/>
      <c r="XA925" s="471"/>
      <c r="XB925" s="471"/>
      <c r="XC925" s="471"/>
      <c r="XD925" s="471"/>
      <c r="XE925" s="471"/>
      <c r="XF925" s="471"/>
      <c r="XG925" s="471"/>
      <c r="XH925" s="471"/>
      <c r="XI925" s="471"/>
      <c r="XJ925" s="471"/>
      <c r="XK925" s="471"/>
      <c r="XL925" s="471"/>
      <c r="XM925" s="471"/>
      <c r="XN925" s="471"/>
      <c r="XO925" s="471"/>
      <c r="XP925" s="471"/>
      <c r="XQ925" s="471"/>
      <c r="XR925" s="471"/>
      <c r="XS925" s="471"/>
      <c r="XT925" s="471"/>
      <c r="XU925" s="471"/>
      <c r="XV925" s="471"/>
      <c r="XW925" s="471"/>
      <c r="XX925" s="471"/>
      <c r="XY925" s="471"/>
      <c r="XZ925" s="471"/>
      <c r="YA925" s="471"/>
      <c r="YB925" s="471"/>
      <c r="YC925" s="471"/>
      <c r="YD925" s="471"/>
      <c r="YE925" s="471"/>
      <c r="YF925" s="471"/>
      <c r="YG925" s="471"/>
      <c r="YH925" s="471"/>
      <c r="YI925" s="471"/>
      <c r="YJ925" s="471"/>
      <c r="YK925" s="471"/>
      <c r="YL925" s="471"/>
      <c r="YM925" s="471"/>
      <c r="YN925" s="471"/>
      <c r="YO925" s="471"/>
      <c r="YP925" s="471"/>
      <c r="YQ925" s="471"/>
      <c r="YR925" s="471"/>
      <c r="YS925" s="471"/>
      <c r="YT925" s="471"/>
      <c r="YU925" s="471"/>
      <c r="YV925" s="471"/>
      <c r="YW925" s="471"/>
      <c r="YX925" s="471"/>
      <c r="YY925" s="471"/>
      <c r="YZ925" s="471"/>
      <c r="ZA925" s="471"/>
      <c r="ZB925" s="471"/>
      <c r="ZC925" s="471"/>
      <c r="ZD925" s="471"/>
      <c r="ZE925" s="471"/>
      <c r="ZF925" s="471"/>
      <c r="ZG925" s="471"/>
      <c r="ZH925" s="471"/>
      <c r="ZI925" s="471"/>
      <c r="ZJ925" s="471"/>
      <c r="ZK925" s="471"/>
      <c r="ZL925" s="471"/>
      <c r="ZM925" s="471"/>
      <c r="ZN925" s="471"/>
      <c r="ZO925" s="471"/>
      <c r="ZP925" s="471"/>
      <c r="ZQ925" s="471"/>
      <c r="ZR925" s="471"/>
      <c r="ZS925" s="471"/>
      <c r="ZT925" s="471"/>
      <c r="ZU925" s="471"/>
      <c r="ZV925" s="471"/>
      <c r="ZW925" s="471"/>
      <c r="ZX925" s="471"/>
      <c r="ZY925" s="471"/>
      <c r="ZZ925" s="471"/>
      <c r="AAA925" s="471"/>
      <c r="AAB925" s="471"/>
      <c r="AAC925" s="471"/>
      <c r="AAD925" s="471"/>
      <c r="AAE925" s="471"/>
      <c r="AAF925" s="471"/>
      <c r="AAG925" s="471"/>
      <c r="AAH925" s="471"/>
      <c r="AAI925" s="471"/>
      <c r="AAJ925" s="471"/>
      <c r="AAK925" s="471"/>
      <c r="AAL925" s="471"/>
      <c r="AAM925" s="471"/>
      <c r="AAN925" s="471"/>
      <c r="AAO925" s="471"/>
      <c r="AAP925" s="471"/>
      <c r="AAQ925" s="471"/>
      <c r="AAR925" s="471"/>
      <c r="AAS925" s="471"/>
      <c r="AAT925" s="471"/>
      <c r="AAU925" s="471"/>
      <c r="AAV925" s="471"/>
      <c r="AAW925" s="471"/>
      <c r="AAX925" s="471"/>
      <c r="AAY925" s="471"/>
      <c r="AAZ925" s="471"/>
      <c r="ABA925" s="471"/>
      <c r="ABB925" s="471"/>
      <c r="ABC925" s="471"/>
      <c r="ABD925" s="471"/>
      <c r="ABE925" s="471"/>
      <c r="ABF925" s="471"/>
      <c r="ABG925" s="471"/>
      <c r="ABH925" s="471"/>
      <c r="ABI925" s="471"/>
      <c r="ABJ925" s="471"/>
      <c r="ABK925" s="471"/>
      <c r="ABL925" s="471"/>
      <c r="ABM925" s="471"/>
      <c r="ABN925" s="471"/>
      <c r="ABO925" s="471"/>
      <c r="ABP925" s="471"/>
      <c r="ABQ925" s="471"/>
      <c r="ABR925" s="471"/>
      <c r="ABS925" s="471"/>
      <c r="ABT925" s="471"/>
      <c r="ABU925" s="471"/>
      <c r="ABV925" s="471"/>
      <c r="ABW925" s="471"/>
      <c r="ABX925" s="471"/>
      <c r="ABY925" s="471"/>
      <c r="ABZ925" s="471"/>
      <c r="ACA925" s="471"/>
      <c r="ACB925" s="471"/>
      <c r="ACC925" s="471"/>
      <c r="ACD925" s="471"/>
      <c r="ACE925" s="471"/>
      <c r="ACF925" s="471"/>
      <c r="ACG925" s="471"/>
      <c r="ACH925" s="471"/>
      <c r="ACI925" s="471"/>
      <c r="ACJ925" s="471"/>
      <c r="ACK925" s="471"/>
      <c r="ACL925" s="471"/>
      <c r="ACM925" s="471"/>
      <c r="ACN925" s="471"/>
      <c r="ACO925" s="471"/>
      <c r="ACP925" s="471"/>
      <c r="ACQ925" s="471"/>
      <c r="ACR925" s="471"/>
      <c r="ACS925" s="471"/>
      <c r="ACT925" s="471"/>
      <c r="ACU925" s="471"/>
      <c r="ACV925" s="471"/>
      <c r="ACW925" s="471"/>
      <c r="ACX925" s="471"/>
      <c r="ACY925" s="471"/>
      <c r="ACZ925" s="471"/>
      <c r="ADA925" s="471"/>
      <c r="ADB925" s="471"/>
      <c r="ADC925" s="471"/>
      <c r="ADD925" s="471"/>
      <c r="ADE925" s="471"/>
      <c r="ADF925" s="471"/>
      <c r="ADG925" s="471"/>
      <c r="ADH925" s="471"/>
      <c r="ADI925" s="471"/>
      <c r="ADJ925" s="471"/>
      <c r="ADK925" s="471"/>
      <c r="ADL925" s="471"/>
      <c r="ADM925" s="471"/>
      <c r="ADN925" s="471"/>
      <c r="ADO925" s="471"/>
      <c r="ADP925" s="471"/>
      <c r="ADQ925" s="471"/>
      <c r="ADR925" s="471"/>
      <c r="ADS925" s="471"/>
      <c r="ADT925" s="471"/>
      <c r="ADU925" s="471"/>
      <c r="ADV925" s="471"/>
      <c r="ADW925" s="471"/>
      <c r="ADX925" s="471"/>
      <c r="ADY925" s="471"/>
      <c r="ADZ925" s="471"/>
      <c r="AEA925" s="471"/>
      <c r="AEB925" s="471"/>
      <c r="AEC925" s="471"/>
      <c r="AED925" s="471"/>
      <c r="AEE925" s="471"/>
      <c r="AEF925" s="471"/>
      <c r="AEG925" s="471"/>
      <c r="AEH925" s="471"/>
      <c r="AEI925" s="471"/>
      <c r="AEJ925" s="471"/>
      <c r="AEK925" s="471"/>
      <c r="AEL925" s="471"/>
      <c r="AEM925" s="471"/>
      <c r="AEN925" s="471"/>
      <c r="AEO925" s="471"/>
      <c r="AEP925" s="471"/>
      <c r="AEQ925" s="471"/>
      <c r="AER925" s="471"/>
      <c r="AES925" s="471"/>
      <c r="AET925" s="471"/>
      <c r="AEU925" s="471"/>
      <c r="AEV925" s="471"/>
      <c r="AEW925" s="471"/>
      <c r="AEX925" s="471"/>
      <c r="AEY925" s="471"/>
      <c r="AEZ925" s="471"/>
      <c r="AFA925" s="471"/>
      <c r="AFB925" s="471"/>
      <c r="AFC925" s="471"/>
      <c r="AFD925" s="471"/>
      <c r="AFE925" s="471"/>
      <c r="AFF925" s="471"/>
      <c r="AFG925" s="471"/>
      <c r="AFH925" s="471"/>
      <c r="AFI925" s="471"/>
      <c r="AFJ925" s="471"/>
      <c r="AFK925" s="471"/>
      <c r="AFL925" s="471"/>
      <c r="AFM925" s="471"/>
      <c r="AFN925" s="471"/>
      <c r="AFO925" s="471"/>
      <c r="AFP925" s="471"/>
      <c r="AFQ925" s="471"/>
      <c r="AFR925" s="471"/>
      <c r="AFS925" s="471"/>
      <c r="AFT925" s="471"/>
      <c r="AFU925" s="471"/>
      <c r="AFV925" s="471"/>
      <c r="AFW925" s="471"/>
      <c r="AFX925" s="471"/>
      <c r="AFY925" s="471"/>
      <c r="AFZ925" s="471"/>
      <c r="AGA925" s="471"/>
      <c r="AGB925" s="471"/>
      <c r="AGC925" s="471"/>
      <c r="AGD925" s="471"/>
      <c r="AGE925" s="471"/>
      <c r="AGF925" s="471"/>
      <c r="AGG925" s="471"/>
      <c r="AGH925" s="471"/>
      <c r="AGI925" s="471"/>
      <c r="AGJ925" s="471"/>
      <c r="AGK925" s="471"/>
      <c r="AGL925" s="471"/>
      <c r="AGM925" s="471"/>
      <c r="AGN925" s="471"/>
      <c r="AGO925" s="471"/>
      <c r="AGP925" s="471"/>
      <c r="AGQ925" s="471"/>
      <c r="AGR925" s="471"/>
      <c r="AGS925" s="471"/>
      <c r="AGT925" s="471"/>
      <c r="AGU925" s="471"/>
      <c r="AGV925" s="471"/>
      <c r="AGW925" s="471"/>
      <c r="AGX925" s="471"/>
      <c r="AGY925" s="471"/>
      <c r="AGZ925" s="471"/>
      <c r="AHA925" s="471"/>
      <c r="AHB925" s="471"/>
      <c r="AHC925" s="471"/>
      <c r="AHD925" s="471"/>
      <c r="AHE925" s="471"/>
      <c r="AHF925" s="471"/>
      <c r="AHG925" s="471"/>
      <c r="AHH925" s="471"/>
      <c r="AHI925" s="471"/>
      <c r="AHJ925" s="471"/>
      <c r="AHK925" s="471"/>
      <c r="AHL925" s="471"/>
      <c r="AHM925" s="471"/>
      <c r="AHN925" s="471"/>
      <c r="AHO925" s="471"/>
      <c r="AHP925" s="471"/>
      <c r="AHQ925" s="471"/>
      <c r="AHR925" s="471"/>
      <c r="AHS925" s="471"/>
      <c r="AHT925" s="471"/>
      <c r="AHU925" s="471"/>
      <c r="AHV925" s="471"/>
      <c r="AHW925" s="471"/>
      <c r="AHX925" s="471"/>
      <c r="AHY925" s="471"/>
      <c r="AHZ925" s="471"/>
      <c r="AIA925" s="471"/>
      <c r="AIB925" s="471"/>
      <c r="AIC925" s="471"/>
      <c r="AID925" s="471"/>
      <c r="AIE925" s="471"/>
      <c r="AIF925" s="471"/>
      <c r="AIG925" s="471"/>
      <c r="AIH925" s="471"/>
      <c r="AII925" s="471"/>
      <c r="AIJ925" s="471"/>
      <c r="AIK925" s="471"/>
      <c r="AIL925" s="471"/>
      <c r="AIM925" s="471"/>
      <c r="AIN925" s="471"/>
      <c r="AIO925" s="471"/>
      <c r="AIP925" s="471"/>
      <c r="AIQ925" s="471"/>
      <c r="AIR925" s="471"/>
      <c r="AIS925" s="471"/>
      <c r="AIT925" s="471"/>
      <c r="AIU925" s="471"/>
      <c r="AIV925" s="471"/>
      <c r="AIW925" s="471"/>
      <c r="AIX925" s="471"/>
      <c r="AIY925" s="471"/>
      <c r="AIZ925" s="471"/>
      <c r="AJA925" s="471"/>
      <c r="AJB925" s="471"/>
      <c r="AJC925" s="471"/>
      <c r="AJD925" s="471"/>
      <c r="AJE925" s="471"/>
      <c r="AJF925" s="471"/>
      <c r="AJG925" s="471"/>
      <c r="AJH925" s="471"/>
      <c r="AJI925" s="471"/>
      <c r="AJJ925" s="471"/>
      <c r="AJK925" s="471"/>
      <c r="AJL925" s="471"/>
      <c r="AJM925" s="471"/>
      <c r="AJN925" s="471"/>
      <c r="AJO925" s="471"/>
      <c r="AJP925" s="471"/>
      <c r="AJQ925" s="471"/>
      <c r="AJR925" s="471"/>
      <c r="AJS925" s="471"/>
      <c r="AJT925" s="471"/>
      <c r="AJU925" s="471"/>
      <c r="AJV925" s="471"/>
      <c r="AJW925" s="471"/>
      <c r="AJX925" s="471"/>
      <c r="AJY925" s="471"/>
      <c r="AJZ925" s="471"/>
      <c r="AKA925" s="471"/>
      <c r="AKB925" s="471"/>
      <c r="AKC925" s="471"/>
      <c r="AKD925" s="471"/>
      <c r="AKE925" s="471"/>
      <c r="AKF925" s="471"/>
      <c r="AKG925" s="471"/>
      <c r="AKH925" s="471"/>
      <c r="AKI925" s="471"/>
      <c r="AKJ925" s="471"/>
      <c r="AKK925" s="471"/>
      <c r="AKL925" s="471"/>
      <c r="AKM925" s="471"/>
      <c r="AKN925" s="471"/>
      <c r="AKO925" s="471"/>
      <c r="AKP925" s="471"/>
      <c r="AKQ925" s="471"/>
      <c r="AKR925" s="471"/>
      <c r="AKS925" s="471"/>
      <c r="AKT925" s="471"/>
      <c r="AKU925" s="471"/>
      <c r="AKV925" s="471"/>
      <c r="AKW925" s="471"/>
      <c r="AKX925" s="471"/>
      <c r="AKY925" s="471"/>
      <c r="AKZ925" s="471"/>
      <c r="ALA925" s="471"/>
      <c r="ALB925" s="471"/>
      <c r="ALC925" s="471"/>
      <c r="ALD925" s="471"/>
      <c r="ALE925" s="471"/>
      <c r="ALF925" s="471"/>
      <c r="ALG925" s="471"/>
      <c r="ALH925" s="471"/>
      <c r="ALI925" s="471"/>
      <c r="ALJ925" s="471"/>
      <c r="ALK925" s="471"/>
      <c r="ALL925" s="471"/>
      <c r="ALM925" s="471"/>
      <c r="ALN925" s="471"/>
      <c r="ALO925" s="471"/>
      <c r="ALP925" s="471"/>
      <c r="ALQ925" s="471"/>
      <c r="ALR925" s="471"/>
      <c r="ALS925" s="471"/>
      <c r="ALT925" s="471"/>
      <c r="ALU925" s="471"/>
      <c r="ALV925" s="471"/>
      <c r="ALW925" s="471"/>
      <c r="ALX925" s="471"/>
      <c r="ALY925" s="471"/>
      <c r="ALZ925" s="471"/>
      <c r="AMA925" s="471"/>
      <c r="AMB925" s="471"/>
      <c r="AMC925" s="471"/>
      <c r="AMD925" s="471"/>
      <c r="AME925" s="471"/>
      <c r="AMF925" s="471"/>
      <c r="AMG925" s="471"/>
      <c r="AMH925" s="471"/>
      <c r="AMI925" s="471"/>
      <c r="AMJ925" s="471"/>
      <c r="AMK925" s="471"/>
      <c r="AML925" s="471"/>
      <c r="AMM925" s="471"/>
      <c r="AMN925" s="471"/>
      <c r="AMO925" s="471"/>
      <c r="AMP925" s="471"/>
      <c r="AMQ925" s="471"/>
      <c r="AMR925" s="471"/>
      <c r="AMS925" s="471"/>
      <c r="AMT925" s="471"/>
      <c r="AMU925" s="471"/>
      <c r="AMV925" s="471"/>
      <c r="AMW925" s="471"/>
      <c r="AMX925" s="471"/>
      <c r="AMY925" s="471"/>
      <c r="AMZ925" s="471"/>
      <c r="ANA925" s="471"/>
      <c r="ANB925" s="471"/>
      <c r="ANC925" s="471"/>
      <c r="AND925" s="471"/>
      <c r="ANE925" s="471"/>
      <c r="ANF925" s="471"/>
      <c r="ANG925" s="471"/>
      <c r="ANH925" s="471"/>
      <c r="ANI925" s="471"/>
      <c r="ANJ925" s="471"/>
      <c r="ANK925" s="471"/>
      <c r="ANL925" s="471"/>
      <c r="ANM925" s="471"/>
      <c r="ANN925" s="471"/>
      <c r="ANO925" s="471"/>
      <c r="ANP925" s="471"/>
      <c r="ANQ925" s="471"/>
      <c r="ANR925" s="471"/>
      <c r="ANS925" s="471"/>
      <c r="ANT925" s="471"/>
      <c r="ANU925" s="471"/>
      <c r="ANV925" s="471"/>
      <c r="ANW925" s="471"/>
      <c r="ANX925" s="471"/>
      <c r="ANY925" s="471"/>
      <c r="ANZ925" s="471"/>
      <c r="AOA925" s="471"/>
      <c r="AOB925" s="471"/>
      <c r="AOC925" s="471"/>
      <c r="AOD925" s="471"/>
      <c r="AOE925" s="471"/>
      <c r="AOF925" s="471"/>
      <c r="AOG925" s="471"/>
      <c r="AOH925" s="471"/>
      <c r="AOI925" s="471"/>
      <c r="AOJ925" s="471"/>
      <c r="AOK925" s="471"/>
      <c r="AOL925" s="471"/>
      <c r="AOM925" s="471"/>
      <c r="AON925" s="471"/>
      <c r="AOO925" s="471"/>
      <c r="AOP925" s="471"/>
      <c r="AOQ925" s="471"/>
      <c r="AOR925" s="471"/>
      <c r="AOS925" s="471"/>
      <c r="AOT925" s="471"/>
      <c r="AOU925" s="471"/>
      <c r="AOV925" s="471"/>
      <c r="AOW925" s="471"/>
      <c r="AOX925" s="471"/>
      <c r="AOY925" s="471"/>
      <c r="AOZ925" s="471"/>
      <c r="APA925" s="471"/>
      <c r="APB925" s="471"/>
      <c r="APC925" s="471"/>
      <c r="APD925" s="471"/>
      <c r="APE925" s="471"/>
      <c r="APF925" s="471"/>
      <c r="APG925" s="471"/>
      <c r="APH925" s="471"/>
      <c r="API925" s="471"/>
      <c r="APJ925" s="471"/>
      <c r="APK925" s="471"/>
      <c r="APL925" s="471"/>
      <c r="APM925" s="471"/>
      <c r="APN925" s="471"/>
      <c r="APO925" s="471"/>
      <c r="APP925" s="471"/>
      <c r="APQ925" s="471"/>
      <c r="APR925" s="471"/>
      <c r="APS925" s="471"/>
      <c r="APT925" s="471"/>
      <c r="APU925" s="471"/>
      <c r="APV925" s="471"/>
      <c r="APW925" s="471"/>
      <c r="APX925" s="471"/>
      <c r="APY925" s="471"/>
      <c r="APZ925" s="471"/>
      <c r="AQA925" s="471"/>
      <c r="AQB925" s="471"/>
      <c r="AQC925" s="471"/>
      <c r="AQD925" s="471"/>
      <c r="AQE925" s="471"/>
      <c r="AQF925" s="471"/>
      <c r="AQG925" s="471"/>
      <c r="AQH925" s="471"/>
      <c r="AQI925" s="471"/>
      <c r="AQJ925" s="471"/>
      <c r="AQK925" s="471"/>
      <c r="AQL925" s="471"/>
      <c r="AQM925" s="471"/>
      <c r="AQN925" s="471"/>
      <c r="AQO925" s="471"/>
      <c r="AQP925" s="471"/>
      <c r="AQQ925" s="471"/>
      <c r="AQR925" s="471"/>
      <c r="AQS925" s="471"/>
      <c r="AQT925" s="471"/>
      <c r="AQU925" s="471"/>
      <c r="AQV925" s="471"/>
      <c r="AQW925" s="471"/>
      <c r="AQX925" s="471"/>
      <c r="AQY925" s="471"/>
      <c r="AQZ925" s="471"/>
      <c r="ARA925" s="471"/>
      <c r="ARB925" s="471"/>
      <c r="ARC925" s="471"/>
      <c r="ARD925" s="471"/>
      <c r="ARE925" s="471"/>
      <c r="ARF925" s="471"/>
      <c r="ARG925" s="471"/>
      <c r="ARH925" s="471"/>
      <c r="ARI925" s="471"/>
      <c r="ARJ925" s="471"/>
      <c r="ARK925" s="471"/>
      <c r="ARL925" s="471"/>
      <c r="ARM925" s="471"/>
      <c r="ARN925" s="471"/>
      <c r="ARO925" s="471"/>
      <c r="ARP925" s="471"/>
      <c r="ARQ925" s="471"/>
      <c r="ARR925" s="471"/>
      <c r="ARS925" s="471"/>
      <c r="ART925" s="471"/>
      <c r="ARU925" s="471"/>
      <c r="ARV925" s="471"/>
      <c r="ARW925" s="471"/>
      <c r="ARX925" s="471"/>
      <c r="ARY925" s="471"/>
      <c r="ARZ925" s="471"/>
      <c r="ASA925" s="471"/>
      <c r="ASB925" s="471"/>
      <c r="ASC925" s="471"/>
      <c r="ASD925" s="471"/>
      <c r="ASE925" s="471"/>
      <c r="ASF925" s="471"/>
      <c r="ASG925" s="471"/>
      <c r="ASH925" s="471"/>
      <c r="ASI925" s="471"/>
      <c r="ASJ925" s="471"/>
      <c r="ASK925" s="471"/>
      <c r="ASL925" s="471"/>
      <c r="ASM925" s="471"/>
      <c r="ASN925" s="471"/>
      <c r="ASO925" s="471"/>
      <c r="ASP925" s="471"/>
      <c r="ASQ925" s="471"/>
      <c r="ASR925" s="471"/>
      <c r="ASS925" s="471"/>
      <c r="AST925" s="471"/>
      <c r="ASU925" s="471"/>
      <c r="ASV925" s="471"/>
      <c r="ASW925" s="471"/>
      <c r="ASX925" s="471"/>
      <c r="ASY925" s="471"/>
      <c r="ASZ925" s="471"/>
      <c r="ATA925" s="471"/>
      <c r="ATB925" s="471"/>
      <c r="ATC925" s="471"/>
      <c r="ATD925" s="471"/>
      <c r="ATE925" s="471"/>
      <c r="ATF925" s="471"/>
      <c r="ATG925" s="471"/>
      <c r="ATH925" s="471"/>
      <c r="ATI925" s="471"/>
      <c r="ATJ925" s="471"/>
      <c r="ATK925" s="471"/>
      <c r="ATL925" s="471"/>
      <c r="ATM925" s="471"/>
      <c r="ATN925" s="471"/>
      <c r="ATO925" s="471"/>
      <c r="ATP925" s="471"/>
      <c r="ATQ925" s="471"/>
      <c r="ATR925" s="471"/>
      <c r="ATS925" s="471"/>
      <c r="ATT925" s="471"/>
      <c r="ATU925" s="471"/>
      <c r="ATV925" s="471"/>
      <c r="ATW925" s="471"/>
      <c r="ATX925" s="471"/>
      <c r="ATY925" s="471"/>
      <c r="ATZ925" s="471"/>
      <c r="AUA925" s="471"/>
      <c r="AUB925" s="471"/>
      <c r="AUC925" s="471"/>
      <c r="AUD925" s="471"/>
      <c r="AUE925" s="471"/>
      <c r="AUF925" s="471"/>
      <c r="AUG925" s="471"/>
      <c r="AUH925" s="471"/>
      <c r="AUI925" s="471"/>
      <c r="AUJ925" s="471"/>
      <c r="AUK925" s="471"/>
      <c r="AUL925" s="471"/>
      <c r="AUM925" s="471"/>
      <c r="AUN925" s="471"/>
      <c r="AUO925" s="471"/>
      <c r="AUP925" s="471"/>
      <c r="AUQ925" s="471"/>
      <c r="AUR925" s="471"/>
      <c r="AUS925" s="471"/>
      <c r="AUT925" s="471"/>
      <c r="AUU925" s="471"/>
      <c r="AUV925" s="471"/>
      <c r="AUW925" s="471"/>
      <c r="AUX925" s="471"/>
      <c r="AUY925" s="471"/>
      <c r="AUZ925" s="471"/>
      <c r="AVA925" s="471"/>
      <c r="AVB925" s="471"/>
      <c r="AVC925" s="471"/>
      <c r="AVD925" s="471"/>
      <c r="AVE925" s="471"/>
      <c r="AVF925" s="471"/>
      <c r="AVG925" s="471"/>
      <c r="AVH925" s="471"/>
      <c r="AVI925" s="471"/>
      <c r="AVJ925" s="471"/>
      <c r="AVK925" s="471"/>
    </row>
    <row r="926" spans="1:1259" s="511" customFormat="1" ht="15" customHeight="1">
      <c r="A926" s="472"/>
      <c r="B926" s="472"/>
      <c r="C926" s="472"/>
      <c r="D926" s="512" t="s">
        <v>3186</v>
      </c>
      <c r="E926" s="512" t="s">
        <v>3044</v>
      </c>
      <c r="F926" s="501"/>
      <c r="G926" s="501"/>
      <c r="H926" s="524">
        <v>12</v>
      </c>
      <c r="I926" s="496" t="s">
        <v>1676</v>
      </c>
      <c r="J926" s="502"/>
      <c r="K926" s="502" t="s">
        <v>4888</v>
      </c>
      <c r="L926" s="502" t="s">
        <v>3278</v>
      </c>
      <c r="M926" s="502">
        <v>44550</v>
      </c>
      <c r="N926" s="502">
        <v>44715</v>
      </c>
      <c r="O926" s="504"/>
      <c r="P926" s="502"/>
      <c r="Q926" s="502"/>
      <c r="R926" s="502"/>
      <c r="S926" s="501" t="s">
        <v>2379</v>
      </c>
      <c r="T926" s="501">
        <v>60</v>
      </c>
      <c r="U926" s="501"/>
      <c r="V926" s="501" t="s">
        <v>973</v>
      </c>
      <c r="W926" s="501">
        <v>400</v>
      </c>
      <c r="X926" s="505">
        <v>480</v>
      </c>
      <c r="Y926" s="491">
        <f t="shared" si="130"/>
        <v>192000</v>
      </c>
      <c r="Z926" s="506">
        <v>0.53</v>
      </c>
      <c r="AA926" s="492">
        <f t="shared" si="134"/>
        <v>101760</v>
      </c>
      <c r="AB926" s="480"/>
      <c r="AC926" s="481">
        <f t="shared" si="131"/>
        <v>0</v>
      </c>
      <c r="AD926" s="508"/>
      <c r="AE926" s="507"/>
      <c r="AF926" s="493">
        <f t="shared" si="132"/>
        <v>101760</v>
      </c>
      <c r="AG926" s="501" t="s">
        <v>1071</v>
      </c>
      <c r="AH926" s="501"/>
      <c r="AI926" s="503">
        <v>60</v>
      </c>
      <c r="AJ926" s="501" t="s">
        <v>3443</v>
      </c>
      <c r="AK926" s="509" t="s">
        <v>1144</v>
      </c>
      <c r="AL926" s="501">
        <v>73128</v>
      </c>
      <c r="AM926" s="501" t="s">
        <v>52</v>
      </c>
      <c r="AN926" s="501"/>
      <c r="AO926" s="501"/>
      <c r="AP926" s="510"/>
      <c r="AQ926" s="510" t="s">
        <v>37</v>
      </c>
      <c r="AR926" s="510"/>
      <c r="AS926" s="495" t="s">
        <v>1152</v>
      </c>
      <c r="AT926" s="495" t="s">
        <v>1076</v>
      </c>
      <c r="AU926" s="495" t="s">
        <v>1076</v>
      </c>
      <c r="AV926" s="506">
        <v>0.53</v>
      </c>
      <c r="AW926" s="471"/>
      <c r="AX926" s="471"/>
      <c r="AY926" s="471"/>
      <c r="AZ926" s="471"/>
      <c r="BA926" s="471"/>
      <c r="BB926" s="471"/>
      <c r="BC926" s="471"/>
      <c r="BD926" s="471"/>
      <c r="BE926" s="471"/>
      <c r="BF926" s="471"/>
      <c r="BG926" s="471"/>
      <c r="BH926" s="471"/>
      <c r="BI926" s="471"/>
      <c r="BJ926" s="471"/>
      <c r="BK926" s="471"/>
      <c r="BL926" s="471"/>
      <c r="BM926" s="471"/>
      <c r="BN926" s="471"/>
      <c r="BO926" s="471"/>
      <c r="BP926" s="471"/>
      <c r="BQ926" s="471"/>
      <c r="BR926" s="471"/>
      <c r="BS926" s="471"/>
      <c r="BT926" s="471"/>
      <c r="BU926" s="471"/>
      <c r="BV926" s="471"/>
      <c r="BW926" s="471"/>
      <c r="BX926" s="471"/>
      <c r="BY926" s="471"/>
      <c r="BZ926" s="471"/>
      <c r="CA926" s="471"/>
      <c r="CB926" s="471"/>
      <c r="CC926" s="471"/>
      <c r="CD926" s="471"/>
      <c r="CE926" s="471"/>
      <c r="CF926" s="471"/>
      <c r="CG926" s="471"/>
      <c r="CH926" s="471"/>
      <c r="CI926" s="471"/>
      <c r="CJ926" s="471"/>
      <c r="CK926" s="471"/>
      <c r="CL926" s="471"/>
      <c r="CM926" s="471"/>
      <c r="CN926" s="471"/>
      <c r="CO926" s="471"/>
      <c r="CP926" s="471"/>
      <c r="CQ926" s="471"/>
      <c r="CR926" s="471"/>
      <c r="CS926" s="471"/>
      <c r="CT926" s="471"/>
      <c r="CU926" s="471"/>
      <c r="CV926" s="471"/>
      <c r="CW926" s="471"/>
      <c r="CX926" s="471"/>
      <c r="CY926" s="471"/>
      <c r="CZ926" s="471"/>
      <c r="DA926" s="471"/>
      <c r="DB926" s="471"/>
      <c r="DC926" s="471"/>
      <c r="DD926" s="471"/>
      <c r="DE926" s="471"/>
      <c r="DF926" s="471"/>
      <c r="DG926" s="471"/>
      <c r="DH926" s="471"/>
      <c r="DI926" s="471"/>
      <c r="DJ926" s="471"/>
      <c r="DK926" s="471"/>
      <c r="DL926" s="471"/>
      <c r="DM926" s="471"/>
      <c r="DN926" s="471"/>
      <c r="DO926" s="471"/>
      <c r="DP926" s="471"/>
      <c r="DQ926" s="471"/>
      <c r="DR926" s="471"/>
      <c r="DS926" s="471"/>
      <c r="DT926" s="471"/>
      <c r="DU926" s="471"/>
      <c r="DV926" s="471"/>
      <c r="DW926" s="471"/>
      <c r="DX926" s="471"/>
      <c r="DY926" s="471"/>
      <c r="DZ926" s="471"/>
      <c r="EA926" s="471"/>
      <c r="EB926" s="471"/>
      <c r="EC926" s="471"/>
      <c r="ED926" s="471"/>
      <c r="EE926" s="471"/>
      <c r="EF926" s="471"/>
      <c r="EG926" s="471"/>
      <c r="EH926" s="471"/>
      <c r="EI926" s="471"/>
      <c r="EJ926" s="471"/>
      <c r="EK926" s="471"/>
      <c r="EL926" s="471"/>
      <c r="EM926" s="471"/>
      <c r="EN926" s="471"/>
      <c r="EO926" s="471"/>
      <c r="EP926" s="471"/>
      <c r="EQ926" s="471"/>
      <c r="ER926" s="471"/>
      <c r="ES926" s="471"/>
      <c r="ET926" s="471"/>
      <c r="EU926" s="471"/>
      <c r="EV926" s="471"/>
      <c r="EW926" s="471"/>
      <c r="EX926" s="471"/>
      <c r="EY926" s="471"/>
      <c r="EZ926" s="471"/>
      <c r="FA926" s="471"/>
      <c r="FB926" s="471"/>
      <c r="FC926" s="471"/>
      <c r="FD926" s="471"/>
      <c r="FE926" s="471"/>
      <c r="FF926" s="471"/>
      <c r="FG926" s="471"/>
      <c r="FH926" s="471"/>
      <c r="FI926" s="471"/>
      <c r="FJ926" s="471"/>
      <c r="FK926" s="471"/>
      <c r="FL926" s="471"/>
      <c r="FM926" s="471"/>
      <c r="FN926" s="471"/>
      <c r="FO926" s="471"/>
      <c r="FP926" s="471"/>
      <c r="FQ926" s="471"/>
      <c r="FR926" s="471"/>
      <c r="FS926" s="471"/>
      <c r="FT926" s="471"/>
      <c r="FU926" s="471"/>
      <c r="FV926" s="471"/>
      <c r="FW926" s="471"/>
      <c r="FX926" s="471"/>
      <c r="FY926" s="471"/>
      <c r="FZ926" s="471"/>
      <c r="GA926" s="471"/>
      <c r="GB926" s="471"/>
      <c r="GC926" s="471"/>
      <c r="GD926" s="471"/>
      <c r="GE926" s="471"/>
      <c r="GF926" s="471"/>
      <c r="GG926" s="471"/>
      <c r="GH926" s="471"/>
      <c r="GI926" s="471"/>
      <c r="GJ926" s="471"/>
      <c r="GK926" s="471"/>
      <c r="GL926" s="471"/>
      <c r="GM926" s="471"/>
      <c r="GN926" s="471"/>
      <c r="GO926" s="471"/>
      <c r="GP926" s="471"/>
      <c r="GQ926" s="471"/>
      <c r="GR926" s="471"/>
      <c r="GS926" s="471"/>
      <c r="GT926" s="471"/>
      <c r="GU926" s="471"/>
      <c r="GV926" s="471"/>
      <c r="GW926" s="471"/>
      <c r="GX926" s="471"/>
      <c r="GY926" s="471"/>
      <c r="GZ926" s="471"/>
      <c r="HA926" s="471"/>
      <c r="HB926" s="471"/>
      <c r="HC926" s="471"/>
      <c r="HD926" s="471"/>
      <c r="HE926" s="471"/>
      <c r="HF926" s="471"/>
      <c r="HG926" s="471"/>
      <c r="HH926" s="471"/>
      <c r="HI926" s="471"/>
      <c r="HJ926" s="471"/>
      <c r="HK926" s="471"/>
      <c r="HL926" s="471"/>
      <c r="HM926" s="471"/>
      <c r="HN926" s="471"/>
      <c r="HO926" s="471"/>
      <c r="HP926" s="471"/>
      <c r="HQ926" s="471"/>
      <c r="HR926" s="471"/>
      <c r="HS926" s="471"/>
      <c r="HT926" s="471"/>
      <c r="HU926" s="471"/>
      <c r="HV926" s="471"/>
      <c r="HW926" s="471"/>
      <c r="HX926" s="471"/>
      <c r="HY926" s="471"/>
      <c r="HZ926" s="471"/>
      <c r="IA926" s="471"/>
      <c r="IB926" s="471"/>
      <c r="IC926" s="471"/>
      <c r="ID926" s="471"/>
      <c r="IE926" s="471"/>
      <c r="IF926" s="471"/>
      <c r="IG926" s="471"/>
      <c r="IH926" s="471"/>
      <c r="II926" s="471"/>
      <c r="IJ926" s="471"/>
      <c r="IK926" s="471"/>
      <c r="IL926" s="471"/>
      <c r="IM926" s="471"/>
      <c r="IN926" s="471"/>
      <c r="IO926" s="471"/>
      <c r="IP926" s="471"/>
      <c r="IQ926" s="471"/>
      <c r="IR926" s="471"/>
      <c r="IS926" s="471"/>
      <c r="IT926" s="471"/>
      <c r="IU926" s="471"/>
      <c r="IV926" s="471"/>
      <c r="IW926" s="471"/>
      <c r="IX926" s="471"/>
      <c r="IY926" s="471"/>
      <c r="IZ926" s="471"/>
      <c r="JA926" s="471"/>
      <c r="JB926" s="471"/>
      <c r="JC926" s="471"/>
      <c r="JD926" s="471"/>
      <c r="JE926" s="471"/>
      <c r="JF926" s="471"/>
      <c r="JG926" s="471"/>
      <c r="JH926" s="471"/>
      <c r="JI926" s="471"/>
      <c r="JJ926" s="471"/>
      <c r="JK926" s="471"/>
      <c r="JL926" s="471"/>
      <c r="JM926" s="471"/>
      <c r="JN926" s="471"/>
      <c r="JO926" s="471"/>
      <c r="JP926" s="471"/>
      <c r="JQ926" s="471"/>
      <c r="JR926" s="471"/>
      <c r="JS926" s="471"/>
      <c r="JT926" s="471"/>
      <c r="JU926" s="471"/>
      <c r="JV926" s="471"/>
      <c r="JW926" s="471"/>
      <c r="JX926" s="471"/>
      <c r="JY926" s="471"/>
      <c r="JZ926" s="471"/>
      <c r="KA926" s="471"/>
      <c r="KB926" s="471"/>
      <c r="KC926" s="471"/>
      <c r="KD926" s="471"/>
      <c r="KE926" s="471"/>
      <c r="KF926" s="471"/>
      <c r="KG926" s="471"/>
      <c r="KH926" s="471"/>
      <c r="KI926" s="471"/>
      <c r="KJ926" s="471"/>
      <c r="KK926" s="471"/>
      <c r="KL926" s="471"/>
      <c r="KM926" s="471"/>
      <c r="KN926" s="471"/>
      <c r="KO926" s="471"/>
      <c r="KP926" s="471"/>
      <c r="KQ926" s="471"/>
      <c r="KR926" s="471"/>
      <c r="KS926" s="471"/>
      <c r="KT926" s="471"/>
      <c r="KU926" s="471"/>
      <c r="KV926" s="471"/>
      <c r="KW926" s="471"/>
      <c r="KX926" s="471"/>
      <c r="KY926" s="471"/>
      <c r="KZ926" s="471"/>
      <c r="LA926" s="471"/>
      <c r="LB926" s="471"/>
      <c r="LC926" s="471"/>
      <c r="LD926" s="471"/>
      <c r="LE926" s="471"/>
      <c r="LF926" s="471"/>
      <c r="LG926" s="471"/>
      <c r="LH926" s="471"/>
      <c r="LI926" s="471"/>
      <c r="LJ926" s="471"/>
      <c r="LK926" s="471"/>
      <c r="LL926" s="471"/>
      <c r="LM926" s="471"/>
      <c r="LN926" s="471"/>
      <c r="LO926" s="471"/>
      <c r="LP926" s="471"/>
      <c r="LQ926" s="471"/>
      <c r="LR926" s="471"/>
      <c r="LS926" s="471"/>
      <c r="LT926" s="471"/>
      <c r="LU926" s="471"/>
      <c r="LV926" s="471"/>
      <c r="LW926" s="471"/>
      <c r="LX926" s="471"/>
      <c r="LY926" s="471"/>
      <c r="LZ926" s="471"/>
      <c r="MA926" s="471"/>
      <c r="MB926" s="471"/>
      <c r="MC926" s="471"/>
      <c r="MD926" s="471"/>
      <c r="ME926" s="471"/>
      <c r="MF926" s="471"/>
      <c r="MG926" s="471"/>
      <c r="MH926" s="471"/>
      <c r="MI926" s="471"/>
      <c r="MJ926" s="471"/>
      <c r="MK926" s="471"/>
      <c r="ML926" s="471"/>
      <c r="MM926" s="471"/>
      <c r="MN926" s="471"/>
      <c r="MO926" s="471"/>
      <c r="MP926" s="471"/>
      <c r="MQ926" s="471"/>
      <c r="MR926" s="471"/>
      <c r="MS926" s="471"/>
      <c r="MT926" s="471"/>
      <c r="MU926" s="471"/>
      <c r="MV926" s="471"/>
      <c r="MW926" s="471"/>
      <c r="MX926" s="471"/>
      <c r="MY926" s="471"/>
      <c r="MZ926" s="471"/>
      <c r="NA926" s="471"/>
      <c r="NB926" s="471"/>
      <c r="NC926" s="471"/>
      <c r="ND926" s="471"/>
      <c r="NE926" s="471"/>
      <c r="NF926" s="471"/>
      <c r="NG926" s="471"/>
      <c r="NH926" s="471"/>
      <c r="NI926" s="471"/>
      <c r="NJ926" s="471"/>
      <c r="NK926" s="471"/>
      <c r="NL926" s="471"/>
      <c r="NM926" s="471"/>
      <c r="NN926" s="471"/>
      <c r="NO926" s="471"/>
      <c r="NP926" s="471"/>
      <c r="NQ926" s="471"/>
      <c r="NR926" s="471"/>
      <c r="NS926" s="471"/>
      <c r="NT926" s="471"/>
      <c r="NU926" s="471"/>
      <c r="NV926" s="471"/>
      <c r="NW926" s="471"/>
      <c r="NX926" s="471"/>
      <c r="NY926" s="471"/>
      <c r="NZ926" s="471"/>
      <c r="OA926" s="471"/>
      <c r="OB926" s="471"/>
      <c r="OC926" s="471"/>
      <c r="OD926" s="471"/>
      <c r="OE926" s="471"/>
      <c r="OF926" s="471"/>
      <c r="OG926" s="471"/>
      <c r="OH926" s="471"/>
      <c r="OI926" s="471"/>
      <c r="OJ926" s="471"/>
      <c r="OK926" s="471"/>
      <c r="OL926" s="471"/>
      <c r="OM926" s="471"/>
      <c r="ON926" s="471"/>
      <c r="OO926" s="471"/>
      <c r="OP926" s="471"/>
      <c r="OQ926" s="471"/>
      <c r="OR926" s="471"/>
      <c r="OS926" s="471"/>
      <c r="OT926" s="471"/>
      <c r="OU926" s="471"/>
      <c r="OV926" s="471"/>
      <c r="OW926" s="471"/>
      <c r="OX926" s="471"/>
      <c r="OY926" s="471"/>
      <c r="OZ926" s="471"/>
      <c r="PA926" s="471"/>
      <c r="PB926" s="471"/>
      <c r="PC926" s="471"/>
      <c r="PD926" s="471"/>
      <c r="PE926" s="471"/>
      <c r="PF926" s="471"/>
      <c r="PG926" s="471"/>
      <c r="PH926" s="471"/>
      <c r="PI926" s="471"/>
      <c r="PJ926" s="471"/>
      <c r="PK926" s="471"/>
      <c r="PL926" s="471"/>
      <c r="PM926" s="471"/>
      <c r="PN926" s="471"/>
      <c r="PO926" s="471"/>
      <c r="PP926" s="471"/>
      <c r="PQ926" s="471"/>
      <c r="PR926" s="471"/>
      <c r="PS926" s="471"/>
      <c r="PT926" s="471"/>
      <c r="PU926" s="471"/>
      <c r="PV926" s="471"/>
      <c r="PW926" s="471"/>
      <c r="PX926" s="471"/>
      <c r="PY926" s="471"/>
      <c r="PZ926" s="471"/>
      <c r="QA926" s="471"/>
      <c r="QB926" s="471"/>
      <c r="QC926" s="471"/>
      <c r="QD926" s="471"/>
      <c r="QE926" s="471"/>
      <c r="QF926" s="471"/>
      <c r="QG926" s="471"/>
      <c r="QH926" s="471"/>
      <c r="QI926" s="471"/>
      <c r="QJ926" s="471"/>
      <c r="QK926" s="471"/>
      <c r="QL926" s="471"/>
      <c r="QM926" s="471"/>
      <c r="QN926" s="471"/>
      <c r="QO926" s="471"/>
      <c r="QP926" s="471"/>
      <c r="QQ926" s="471"/>
      <c r="QR926" s="471"/>
      <c r="QS926" s="471"/>
      <c r="QT926" s="471"/>
      <c r="QU926" s="471"/>
      <c r="QV926" s="471"/>
      <c r="QW926" s="471"/>
      <c r="QX926" s="471"/>
      <c r="QY926" s="471"/>
      <c r="QZ926" s="471"/>
      <c r="RA926" s="471"/>
      <c r="RB926" s="471"/>
      <c r="RC926" s="471"/>
      <c r="RD926" s="471"/>
      <c r="RE926" s="471"/>
      <c r="RF926" s="471"/>
      <c r="RG926" s="471"/>
      <c r="RH926" s="471"/>
      <c r="RI926" s="471"/>
      <c r="RJ926" s="471"/>
      <c r="RK926" s="471"/>
      <c r="RL926" s="471"/>
      <c r="RM926" s="471"/>
      <c r="RN926" s="471"/>
      <c r="RO926" s="471"/>
      <c r="RP926" s="471"/>
      <c r="RQ926" s="471"/>
      <c r="RR926" s="471"/>
      <c r="RS926" s="471"/>
      <c r="RT926" s="471"/>
      <c r="RU926" s="471"/>
      <c r="RV926" s="471"/>
      <c r="RW926" s="471"/>
      <c r="RX926" s="471"/>
      <c r="RY926" s="471"/>
      <c r="RZ926" s="471"/>
      <c r="SA926" s="471"/>
      <c r="SB926" s="471"/>
      <c r="SC926" s="471"/>
      <c r="SD926" s="471"/>
      <c r="SE926" s="471"/>
      <c r="SF926" s="471"/>
      <c r="SG926" s="471"/>
      <c r="SH926" s="471"/>
      <c r="SI926" s="471"/>
      <c r="SJ926" s="471"/>
      <c r="SK926" s="471"/>
      <c r="SL926" s="471"/>
      <c r="SM926" s="471"/>
      <c r="SN926" s="471"/>
      <c r="SO926" s="471"/>
      <c r="SP926" s="471"/>
      <c r="SQ926" s="471"/>
      <c r="SR926" s="471"/>
      <c r="SS926" s="471"/>
      <c r="ST926" s="471"/>
      <c r="SU926" s="471"/>
      <c r="SV926" s="471"/>
      <c r="SW926" s="471"/>
      <c r="SX926" s="471"/>
      <c r="SY926" s="471"/>
      <c r="SZ926" s="471"/>
      <c r="TA926" s="471"/>
      <c r="TB926" s="471"/>
      <c r="TC926" s="471"/>
      <c r="TD926" s="471"/>
      <c r="TE926" s="471"/>
      <c r="TF926" s="471"/>
      <c r="TG926" s="471"/>
      <c r="TH926" s="471"/>
      <c r="TI926" s="471"/>
      <c r="TJ926" s="471"/>
      <c r="TK926" s="471"/>
      <c r="TL926" s="471"/>
      <c r="TM926" s="471"/>
      <c r="TN926" s="471"/>
      <c r="TO926" s="471"/>
      <c r="TP926" s="471"/>
      <c r="TQ926" s="471"/>
      <c r="TR926" s="471"/>
      <c r="TS926" s="471"/>
      <c r="TT926" s="471"/>
      <c r="TU926" s="471"/>
      <c r="TV926" s="471"/>
      <c r="TW926" s="471"/>
      <c r="TX926" s="471"/>
      <c r="TY926" s="471"/>
      <c r="TZ926" s="471"/>
      <c r="UA926" s="471"/>
      <c r="UB926" s="471"/>
      <c r="UC926" s="471"/>
      <c r="UD926" s="471"/>
      <c r="UE926" s="471"/>
      <c r="UF926" s="471"/>
      <c r="UG926" s="471"/>
      <c r="UH926" s="471"/>
      <c r="UI926" s="471"/>
      <c r="UJ926" s="471"/>
      <c r="UK926" s="471"/>
      <c r="UL926" s="471"/>
      <c r="UM926" s="471"/>
      <c r="UN926" s="471"/>
      <c r="UO926" s="471"/>
      <c r="UP926" s="471"/>
      <c r="UQ926" s="471"/>
      <c r="UR926" s="471"/>
      <c r="US926" s="471"/>
      <c r="UT926" s="471"/>
      <c r="UU926" s="471"/>
      <c r="UV926" s="471"/>
      <c r="UW926" s="471"/>
      <c r="UX926" s="471"/>
      <c r="UY926" s="471"/>
      <c r="UZ926" s="471"/>
      <c r="VA926" s="471"/>
      <c r="VB926" s="471"/>
      <c r="VC926" s="471"/>
      <c r="VD926" s="471"/>
      <c r="VE926" s="471"/>
      <c r="VF926" s="471"/>
      <c r="VG926" s="471"/>
      <c r="VH926" s="471"/>
      <c r="VI926" s="471"/>
      <c r="VJ926" s="471"/>
      <c r="VK926" s="471"/>
      <c r="VL926" s="471"/>
      <c r="VM926" s="471"/>
      <c r="VN926" s="471"/>
      <c r="VO926" s="471"/>
      <c r="VP926" s="471"/>
      <c r="VQ926" s="471"/>
      <c r="VR926" s="471"/>
      <c r="VS926" s="471"/>
      <c r="VT926" s="471"/>
      <c r="VU926" s="471"/>
      <c r="VV926" s="471"/>
      <c r="VW926" s="471"/>
      <c r="VX926" s="471"/>
      <c r="VY926" s="471"/>
      <c r="VZ926" s="471"/>
      <c r="WA926" s="471"/>
      <c r="WB926" s="471"/>
      <c r="WC926" s="471"/>
      <c r="WD926" s="471"/>
      <c r="WE926" s="471"/>
      <c r="WF926" s="471"/>
      <c r="WG926" s="471"/>
      <c r="WH926" s="471"/>
      <c r="WI926" s="471"/>
      <c r="WJ926" s="471"/>
      <c r="WK926" s="471"/>
      <c r="WL926" s="471"/>
      <c r="WM926" s="471"/>
      <c r="WN926" s="471"/>
      <c r="WO926" s="471"/>
      <c r="WP926" s="471"/>
      <c r="WQ926" s="471"/>
      <c r="WR926" s="471"/>
      <c r="WS926" s="471"/>
      <c r="WT926" s="471"/>
      <c r="WU926" s="471"/>
      <c r="WV926" s="471"/>
      <c r="WW926" s="471"/>
      <c r="WX926" s="471"/>
      <c r="WY926" s="471"/>
      <c r="WZ926" s="471"/>
      <c r="XA926" s="471"/>
      <c r="XB926" s="471"/>
      <c r="XC926" s="471"/>
      <c r="XD926" s="471"/>
      <c r="XE926" s="471"/>
      <c r="XF926" s="471"/>
      <c r="XG926" s="471"/>
      <c r="XH926" s="471"/>
      <c r="XI926" s="471"/>
      <c r="XJ926" s="471"/>
      <c r="XK926" s="471"/>
      <c r="XL926" s="471"/>
      <c r="XM926" s="471"/>
      <c r="XN926" s="471"/>
      <c r="XO926" s="471"/>
      <c r="XP926" s="471"/>
      <c r="XQ926" s="471"/>
      <c r="XR926" s="471"/>
      <c r="XS926" s="471"/>
      <c r="XT926" s="471"/>
      <c r="XU926" s="471"/>
      <c r="XV926" s="471"/>
      <c r="XW926" s="471"/>
      <c r="XX926" s="471"/>
      <c r="XY926" s="471"/>
      <c r="XZ926" s="471"/>
      <c r="YA926" s="471"/>
      <c r="YB926" s="471"/>
      <c r="YC926" s="471"/>
      <c r="YD926" s="471"/>
      <c r="YE926" s="471"/>
      <c r="YF926" s="471"/>
      <c r="YG926" s="471"/>
      <c r="YH926" s="471"/>
      <c r="YI926" s="471"/>
      <c r="YJ926" s="471"/>
      <c r="YK926" s="471"/>
      <c r="YL926" s="471"/>
      <c r="YM926" s="471"/>
      <c r="YN926" s="471"/>
      <c r="YO926" s="471"/>
      <c r="YP926" s="471"/>
      <c r="YQ926" s="471"/>
      <c r="YR926" s="471"/>
      <c r="YS926" s="471"/>
      <c r="YT926" s="471"/>
      <c r="YU926" s="471"/>
      <c r="YV926" s="471"/>
      <c r="YW926" s="471"/>
      <c r="YX926" s="471"/>
      <c r="YY926" s="471"/>
      <c r="YZ926" s="471"/>
      <c r="ZA926" s="471"/>
      <c r="ZB926" s="471"/>
      <c r="ZC926" s="471"/>
      <c r="ZD926" s="471"/>
      <c r="ZE926" s="471"/>
      <c r="ZF926" s="471"/>
      <c r="ZG926" s="471"/>
      <c r="ZH926" s="471"/>
      <c r="ZI926" s="471"/>
      <c r="ZJ926" s="471"/>
      <c r="ZK926" s="471"/>
      <c r="ZL926" s="471"/>
      <c r="ZM926" s="471"/>
      <c r="ZN926" s="471"/>
      <c r="ZO926" s="471"/>
      <c r="ZP926" s="471"/>
      <c r="ZQ926" s="471"/>
      <c r="ZR926" s="471"/>
      <c r="ZS926" s="471"/>
      <c r="ZT926" s="471"/>
      <c r="ZU926" s="471"/>
      <c r="ZV926" s="471"/>
      <c r="ZW926" s="471"/>
      <c r="ZX926" s="471"/>
      <c r="ZY926" s="471"/>
      <c r="ZZ926" s="471"/>
      <c r="AAA926" s="471"/>
      <c r="AAB926" s="471"/>
      <c r="AAC926" s="471"/>
      <c r="AAD926" s="471"/>
      <c r="AAE926" s="471"/>
      <c r="AAF926" s="471"/>
      <c r="AAG926" s="471"/>
      <c r="AAH926" s="471"/>
      <c r="AAI926" s="471"/>
      <c r="AAJ926" s="471"/>
      <c r="AAK926" s="471"/>
      <c r="AAL926" s="471"/>
      <c r="AAM926" s="471"/>
      <c r="AAN926" s="471"/>
      <c r="AAO926" s="471"/>
      <c r="AAP926" s="471"/>
      <c r="AAQ926" s="471"/>
      <c r="AAR926" s="471"/>
      <c r="AAS926" s="471"/>
      <c r="AAT926" s="471"/>
      <c r="AAU926" s="471"/>
      <c r="AAV926" s="471"/>
      <c r="AAW926" s="471"/>
      <c r="AAX926" s="471"/>
      <c r="AAY926" s="471"/>
      <c r="AAZ926" s="471"/>
      <c r="ABA926" s="471"/>
      <c r="ABB926" s="471"/>
      <c r="ABC926" s="471"/>
      <c r="ABD926" s="471"/>
      <c r="ABE926" s="471"/>
      <c r="ABF926" s="471"/>
      <c r="ABG926" s="471"/>
      <c r="ABH926" s="471"/>
      <c r="ABI926" s="471"/>
      <c r="ABJ926" s="471"/>
      <c r="ABK926" s="471"/>
      <c r="ABL926" s="471"/>
      <c r="ABM926" s="471"/>
      <c r="ABN926" s="471"/>
      <c r="ABO926" s="471"/>
      <c r="ABP926" s="471"/>
      <c r="ABQ926" s="471"/>
      <c r="ABR926" s="471"/>
      <c r="ABS926" s="471"/>
      <c r="ABT926" s="471"/>
      <c r="ABU926" s="471"/>
      <c r="ABV926" s="471"/>
      <c r="ABW926" s="471"/>
      <c r="ABX926" s="471"/>
      <c r="ABY926" s="471"/>
      <c r="ABZ926" s="471"/>
      <c r="ACA926" s="471"/>
      <c r="ACB926" s="471"/>
      <c r="ACC926" s="471"/>
      <c r="ACD926" s="471"/>
      <c r="ACE926" s="471"/>
      <c r="ACF926" s="471"/>
      <c r="ACG926" s="471"/>
      <c r="ACH926" s="471"/>
      <c r="ACI926" s="471"/>
      <c r="ACJ926" s="471"/>
      <c r="ACK926" s="471"/>
      <c r="ACL926" s="471"/>
      <c r="ACM926" s="471"/>
      <c r="ACN926" s="471"/>
      <c r="ACO926" s="471"/>
      <c r="ACP926" s="471"/>
      <c r="ACQ926" s="471"/>
      <c r="ACR926" s="471"/>
      <c r="ACS926" s="471"/>
      <c r="ACT926" s="471"/>
      <c r="ACU926" s="471"/>
      <c r="ACV926" s="471"/>
      <c r="ACW926" s="471"/>
      <c r="ACX926" s="471"/>
      <c r="ACY926" s="471"/>
      <c r="ACZ926" s="471"/>
      <c r="ADA926" s="471"/>
      <c r="ADB926" s="471"/>
      <c r="ADC926" s="471"/>
      <c r="ADD926" s="471"/>
      <c r="ADE926" s="471"/>
      <c r="ADF926" s="471"/>
      <c r="ADG926" s="471"/>
      <c r="ADH926" s="471"/>
      <c r="ADI926" s="471"/>
      <c r="ADJ926" s="471"/>
      <c r="ADK926" s="471"/>
      <c r="ADL926" s="471"/>
      <c r="ADM926" s="471"/>
      <c r="ADN926" s="471"/>
      <c r="ADO926" s="471"/>
      <c r="ADP926" s="471"/>
      <c r="ADQ926" s="471"/>
      <c r="ADR926" s="471"/>
      <c r="ADS926" s="471"/>
      <c r="ADT926" s="471"/>
      <c r="ADU926" s="471"/>
      <c r="ADV926" s="471"/>
      <c r="ADW926" s="471"/>
      <c r="ADX926" s="471"/>
      <c r="ADY926" s="471"/>
      <c r="ADZ926" s="471"/>
      <c r="AEA926" s="471"/>
      <c r="AEB926" s="471"/>
      <c r="AEC926" s="471"/>
      <c r="AED926" s="471"/>
      <c r="AEE926" s="471"/>
      <c r="AEF926" s="471"/>
      <c r="AEG926" s="471"/>
      <c r="AEH926" s="471"/>
      <c r="AEI926" s="471"/>
      <c r="AEJ926" s="471"/>
      <c r="AEK926" s="471"/>
      <c r="AEL926" s="471"/>
      <c r="AEM926" s="471"/>
      <c r="AEN926" s="471"/>
      <c r="AEO926" s="471"/>
      <c r="AEP926" s="471"/>
      <c r="AEQ926" s="471"/>
      <c r="AER926" s="471"/>
      <c r="AES926" s="471"/>
      <c r="AET926" s="471"/>
      <c r="AEU926" s="471"/>
      <c r="AEV926" s="471"/>
      <c r="AEW926" s="471"/>
      <c r="AEX926" s="471"/>
      <c r="AEY926" s="471"/>
      <c r="AEZ926" s="471"/>
      <c r="AFA926" s="471"/>
      <c r="AFB926" s="471"/>
      <c r="AFC926" s="471"/>
      <c r="AFD926" s="471"/>
      <c r="AFE926" s="471"/>
      <c r="AFF926" s="471"/>
      <c r="AFG926" s="471"/>
      <c r="AFH926" s="471"/>
      <c r="AFI926" s="471"/>
      <c r="AFJ926" s="471"/>
      <c r="AFK926" s="471"/>
      <c r="AFL926" s="471"/>
      <c r="AFM926" s="471"/>
      <c r="AFN926" s="471"/>
      <c r="AFO926" s="471"/>
      <c r="AFP926" s="471"/>
      <c r="AFQ926" s="471"/>
      <c r="AFR926" s="471"/>
      <c r="AFS926" s="471"/>
      <c r="AFT926" s="471"/>
      <c r="AFU926" s="471"/>
      <c r="AFV926" s="471"/>
      <c r="AFW926" s="471"/>
      <c r="AFX926" s="471"/>
      <c r="AFY926" s="471"/>
      <c r="AFZ926" s="471"/>
      <c r="AGA926" s="471"/>
      <c r="AGB926" s="471"/>
      <c r="AGC926" s="471"/>
      <c r="AGD926" s="471"/>
      <c r="AGE926" s="471"/>
      <c r="AGF926" s="471"/>
      <c r="AGG926" s="471"/>
      <c r="AGH926" s="471"/>
      <c r="AGI926" s="471"/>
      <c r="AGJ926" s="471"/>
      <c r="AGK926" s="471"/>
      <c r="AGL926" s="471"/>
      <c r="AGM926" s="471"/>
      <c r="AGN926" s="471"/>
      <c r="AGO926" s="471"/>
      <c r="AGP926" s="471"/>
      <c r="AGQ926" s="471"/>
      <c r="AGR926" s="471"/>
      <c r="AGS926" s="471"/>
      <c r="AGT926" s="471"/>
      <c r="AGU926" s="471"/>
      <c r="AGV926" s="471"/>
      <c r="AGW926" s="471"/>
      <c r="AGX926" s="471"/>
      <c r="AGY926" s="471"/>
      <c r="AGZ926" s="471"/>
      <c r="AHA926" s="471"/>
      <c r="AHB926" s="471"/>
      <c r="AHC926" s="471"/>
      <c r="AHD926" s="471"/>
      <c r="AHE926" s="471"/>
      <c r="AHF926" s="471"/>
      <c r="AHG926" s="471"/>
      <c r="AHH926" s="471"/>
      <c r="AHI926" s="471"/>
      <c r="AHJ926" s="471"/>
      <c r="AHK926" s="471"/>
      <c r="AHL926" s="471"/>
      <c r="AHM926" s="471"/>
      <c r="AHN926" s="471"/>
      <c r="AHO926" s="471"/>
      <c r="AHP926" s="471"/>
      <c r="AHQ926" s="471"/>
      <c r="AHR926" s="471"/>
      <c r="AHS926" s="471"/>
      <c r="AHT926" s="471"/>
      <c r="AHU926" s="471"/>
      <c r="AHV926" s="471"/>
      <c r="AHW926" s="471"/>
      <c r="AHX926" s="471"/>
      <c r="AHY926" s="471"/>
      <c r="AHZ926" s="471"/>
      <c r="AIA926" s="471"/>
      <c r="AIB926" s="471"/>
      <c r="AIC926" s="471"/>
      <c r="AID926" s="471"/>
      <c r="AIE926" s="471"/>
      <c r="AIF926" s="471"/>
      <c r="AIG926" s="471"/>
      <c r="AIH926" s="471"/>
      <c r="AII926" s="471"/>
      <c r="AIJ926" s="471"/>
      <c r="AIK926" s="471"/>
      <c r="AIL926" s="471"/>
      <c r="AIM926" s="471"/>
      <c r="AIN926" s="471"/>
      <c r="AIO926" s="471"/>
      <c r="AIP926" s="471"/>
      <c r="AIQ926" s="471"/>
      <c r="AIR926" s="471"/>
      <c r="AIS926" s="471"/>
      <c r="AIT926" s="471"/>
      <c r="AIU926" s="471"/>
      <c r="AIV926" s="471"/>
      <c r="AIW926" s="471"/>
      <c r="AIX926" s="471"/>
      <c r="AIY926" s="471"/>
      <c r="AIZ926" s="471"/>
      <c r="AJA926" s="471"/>
      <c r="AJB926" s="471"/>
      <c r="AJC926" s="471"/>
      <c r="AJD926" s="471"/>
      <c r="AJE926" s="471"/>
      <c r="AJF926" s="471"/>
      <c r="AJG926" s="471"/>
      <c r="AJH926" s="471"/>
      <c r="AJI926" s="471"/>
      <c r="AJJ926" s="471"/>
      <c r="AJK926" s="471"/>
      <c r="AJL926" s="471"/>
      <c r="AJM926" s="471"/>
      <c r="AJN926" s="471"/>
      <c r="AJO926" s="471"/>
      <c r="AJP926" s="471"/>
      <c r="AJQ926" s="471"/>
      <c r="AJR926" s="471"/>
      <c r="AJS926" s="471"/>
      <c r="AJT926" s="471"/>
      <c r="AJU926" s="471"/>
      <c r="AJV926" s="471"/>
      <c r="AJW926" s="471"/>
      <c r="AJX926" s="471"/>
      <c r="AJY926" s="471"/>
      <c r="AJZ926" s="471"/>
      <c r="AKA926" s="471"/>
      <c r="AKB926" s="471"/>
      <c r="AKC926" s="471"/>
      <c r="AKD926" s="471"/>
      <c r="AKE926" s="471"/>
      <c r="AKF926" s="471"/>
      <c r="AKG926" s="471"/>
      <c r="AKH926" s="471"/>
      <c r="AKI926" s="471"/>
      <c r="AKJ926" s="471"/>
      <c r="AKK926" s="471"/>
      <c r="AKL926" s="471"/>
      <c r="AKM926" s="471"/>
      <c r="AKN926" s="471"/>
      <c r="AKO926" s="471"/>
      <c r="AKP926" s="471"/>
      <c r="AKQ926" s="471"/>
      <c r="AKR926" s="471"/>
      <c r="AKS926" s="471"/>
      <c r="AKT926" s="471"/>
      <c r="AKU926" s="471"/>
      <c r="AKV926" s="471"/>
      <c r="AKW926" s="471"/>
      <c r="AKX926" s="471"/>
      <c r="AKY926" s="471"/>
      <c r="AKZ926" s="471"/>
      <c r="ALA926" s="471"/>
      <c r="ALB926" s="471"/>
      <c r="ALC926" s="471"/>
      <c r="ALD926" s="471"/>
      <c r="ALE926" s="471"/>
      <c r="ALF926" s="471"/>
      <c r="ALG926" s="471"/>
      <c r="ALH926" s="471"/>
      <c r="ALI926" s="471"/>
      <c r="ALJ926" s="471"/>
      <c r="ALK926" s="471"/>
      <c r="ALL926" s="471"/>
      <c r="ALM926" s="471"/>
      <c r="ALN926" s="471"/>
      <c r="ALO926" s="471"/>
      <c r="ALP926" s="471"/>
      <c r="ALQ926" s="471"/>
      <c r="ALR926" s="471"/>
      <c r="ALS926" s="471"/>
      <c r="ALT926" s="471"/>
      <c r="ALU926" s="471"/>
      <c r="ALV926" s="471"/>
      <c r="ALW926" s="471"/>
      <c r="ALX926" s="471"/>
      <c r="ALY926" s="471"/>
      <c r="ALZ926" s="471"/>
      <c r="AMA926" s="471"/>
      <c r="AMB926" s="471"/>
      <c r="AMC926" s="471"/>
      <c r="AMD926" s="471"/>
      <c r="AME926" s="471"/>
      <c r="AMF926" s="471"/>
      <c r="AMG926" s="471"/>
      <c r="AMH926" s="471"/>
      <c r="AMI926" s="471"/>
      <c r="AMJ926" s="471"/>
      <c r="AMK926" s="471"/>
      <c r="AML926" s="471"/>
      <c r="AMM926" s="471"/>
      <c r="AMN926" s="471"/>
      <c r="AMO926" s="471"/>
      <c r="AMP926" s="471"/>
      <c r="AMQ926" s="471"/>
      <c r="AMR926" s="471"/>
      <c r="AMS926" s="471"/>
      <c r="AMT926" s="471"/>
      <c r="AMU926" s="471"/>
      <c r="AMV926" s="471"/>
      <c r="AMW926" s="471"/>
      <c r="AMX926" s="471"/>
      <c r="AMY926" s="471"/>
      <c r="AMZ926" s="471"/>
      <c r="ANA926" s="471"/>
      <c r="ANB926" s="471"/>
      <c r="ANC926" s="471"/>
      <c r="AND926" s="471"/>
      <c r="ANE926" s="471"/>
      <c r="ANF926" s="471"/>
      <c r="ANG926" s="471"/>
      <c r="ANH926" s="471"/>
      <c r="ANI926" s="471"/>
      <c r="ANJ926" s="471"/>
      <c r="ANK926" s="471"/>
      <c r="ANL926" s="471"/>
      <c r="ANM926" s="471"/>
      <c r="ANN926" s="471"/>
      <c r="ANO926" s="471"/>
      <c r="ANP926" s="471"/>
      <c r="ANQ926" s="471"/>
      <c r="ANR926" s="471"/>
      <c r="ANS926" s="471"/>
      <c r="ANT926" s="471"/>
      <c r="ANU926" s="471"/>
      <c r="ANV926" s="471"/>
      <c r="ANW926" s="471"/>
      <c r="ANX926" s="471"/>
      <c r="ANY926" s="471"/>
      <c r="ANZ926" s="471"/>
      <c r="AOA926" s="471"/>
      <c r="AOB926" s="471"/>
      <c r="AOC926" s="471"/>
      <c r="AOD926" s="471"/>
      <c r="AOE926" s="471"/>
      <c r="AOF926" s="471"/>
      <c r="AOG926" s="471"/>
      <c r="AOH926" s="471"/>
      <c r="AOI926" s="471"/>
      <c r="AOJ926" s="471"/>
      <c r="AOK926" s="471"/>
      <c r="AOL926" s="471"/>
      <c r="AOM926" s="471"/>
      <c r="AON926" s="471"/>
      <c r="AOO926" s="471"/>
      <c r="AOP926" s="471"/>
      <c r="AOQ926" s="471"/>
      <c r="AOR926" s="471"/>
      <c r="AOS926" s="471"/>
      <c r="AOT926" s="471"/>
      <c r="AOU926" s="471"/>
      <c r="AOV926" s="471"/>
      <c r="AOW926" s="471"/>
      <c r="AOX926" s="471"/>
      <c r="AOY926" s="471"/>
      <c r="AOZ926" s="471"/>
      <c r="APA926" s="471"/>
      <c r="APB926" s="471"/>
      <c r="APC926" s="471"/>
      <c r="APD926" s="471"/>
      <c r="APE926" s="471"/>
      <c r="APF926" s="471"/>
      <c r="APG926" s="471"/>
      <c r="APH926" s="471"/>
      <c r="API926" s="471"/>
      <c r="APJ926" s="471"/>
      <c r="APK926" s="471"/>
      <c r="APL926" s="471"/>
      <c r="APM926" s="471"/>
      <c r="APN926" s="471"/>
      <c r="APO926" s="471"/>
      <c r="APP926" s="471"/>
      <c r="APQ926" s="471"/>
      <c r="APR926" s="471"/>
      <c r="APS926" s="471"/>
      <c r="APT926" s="471"/>
      <c r="APU926" s="471"/>
      <c r="APV926" s="471"/>
      <c r="APW926" s="471"/>
      <c r="APX926" s="471"/>
      <c r="APY926" s="471"/>
      <c r="APZ926" s="471"/>
      <c r="AQA926" s="471"/>
      <c r="AQB926" s="471"/>
      <c r="AQC926" s="471"/>
      <c r="AQD926" s="471"/>
      <c r="AQE926" s="471"/>
      <c r="AQF926" s="471"/>
      <c r="AQG926" s="471"/>
      <c r="AQH926" s="471"/>
      <c r="AQI926" s="471"/>
      <c r="AQJ926" s="471"/>
      <c r="AQK926" s="471"/>
      <c r="AQL926" s="471"/>
      <c r="AQM926" s="471"/>
      <c r="AQN926" s="471"/>
      <c r="AQO926" s="471"/>
      <c r="AQP926" s="471"/>
      <c r="AQQ926" s="471"/>
      <c r="AQR926" s="471"/>
      <c r="AQS926" s="471"/>
      <c r="AQT926" s="471"/>
      <c r="AQU926" s="471"/>
      <c r="AQV926" s="471"/>
      <c r="AQW926" s="471"/>
      <c r="AQX926" s="471"/>
      <c r="AQY926" s="471"/>
      <c r="AQZ926" s="471"/>
      <c r="ARA926" s="471"/>
      <c r="ARB926" s="471"/>
      <c r="ARC926" s="471"/>
      <c r="ARD926" s="471"/>
      <c r="ARE926" s="471"/>
      <c r="ARF926" s="471"/>
      <c r="ARG926" s="471"/>
      <c r="ARH926" s="471"/>
      <c r="ARI926" s="471"/>
      <c r="ARJ926" s="471"/>
      <c r="ARK926" s="471"/>
      <c r="ARL926" s="471"/>
      <c r="ARM926" s="471"/>
      <c r="ARN926" s="471"/>
      <c r="ARO926" s="471"/>
      <c r="ARP926" s="471"/>
      <c r="ARQ926" s="471"/>
      <c r="ARR926" s="471"/>
      <c r="ARS926" s="471"/>
      <c r="ART926" s="471"/>
      <c r="ARU926" s="471"/>
      <c r="ARV926" s="471"/>
      <c r="ARW926" s="471"/>
      <c r="ARX926" s="471"/>
      <c r="ARY926" s="471"/>
      <c r="ARZ926" s="471"/>
      <c r="ASA926" s="471"/>
      <c r="ASB926" s="471"/>
      <c r="ASC926" s="471"/>
      <c r="ASD926" s="471"/>
      <c r="ASE926" s="471"/>
      <c r="ASF926" s="471"/>
      <c r="ASG926" s="471"/>
      <c r="ASH926" s="471"/>
      <c r="ASI926" s="471"/>
      <c r="ASJ926" s="471"/>
      <c r="ASK926" s="471"/>
      <c r="ASL926" s="471"/>
      <c r="ASM926" s="471"/>
      <c r="ASN926" s="471"/>
      <c r="ASO926" s="471"/>
      <c r="ASP926" s="471"/>
      <c r="ASQ926" s="471"/>
      <c r="ASR926" s="471"/>
      <c r="ASS926" s="471"/>
      <c r="AST926" s="471"/>
      <c r="ASU926" s="471"/>
      <c r="ASV926" s="471"/>
      <c r="ASW926" s="471"/>
      <c r="ASX926" s="471"/>
      <c r="ASY926" s="471"/>
      <c r="ASZ926" s="471"/>
      <c r="ATA926" s="471"/>
      <c r="ATB926" s="471"/>
      <c r="ATC926" s="471"/>
      <c r="ATD926" s="471"/>
      <c r="ATE926" s="471"/>
      <c r="ATF926" s="471"/>
      <c r="ATG926" s="471"/>
      <c r="ATH926" s="471"/>
      <c r="ATI926" s="471"/>
      <c r="ATJ926" s="471"/>
      <c r="ATK926" s="471"/>
      <c r="ATL926" s="471"/>
      <c r="ATM926" s="471"/>
      <c r="ATN926" s="471"/>
      <c r="ATO926" s="471"/>
      <c r="ATP926" s="471"/>
      <c r="ATQ926" s="471"/>
      <c r="ATR926" s="471"/>
      <c r="ATS926" s="471"/>
      <c r="ATT926" s="471"/>
      <c r="ATU926" s="471"/>
      <c r="ATV926" s="471"/>
      <c r="ATW926" s="471"/>
      <c r="ATX926" s="471"/>
      <c r="ATY926" s="471"/>
      <c r="ATZ926" s="471"/>
      <c r="AUA926" s="471"/>
      <c r="AUB926" s="471"/>
      <c r="AUC926" s="471"/>
      <c r="AUD926" s="471"/>
      <c r="AUE926" s="471"/>
      <c r="AUF926" s="471"/>
      <c r="AUG926" s="471"/>
      <c r="AUH926" s="471"/>
      <c r="AUI926" s="471"/>
      <c r="AUJ926" s="471"/>
      <c r="AUK926" s="471"/>
      <c r="AUL926" s="471"/>
      <c r="AUM926" s="471"/>
      <c r="AUN926" s="471"/>
      <c r="AUO926" s="471"/>
      <c r="AUP926" s="471"/>
      <c r="AUQ926" s="471"/>
      <c r="AUR926" s="471"/>
      <c r="AUS926" s="471"/>
      <c r="AUT926" s="471"/>
      <c r="AUU926" s="471"/>
      <c r="AUV926" s="471"/>
      <c r="AUW926" s="471"/>
      <c r="AUX926" s="471"/>
      <c r="AUY926" s="471"/>
      <c r="AUZ926" s="471"/>
      <c r="AVA926" s="471"/>
      <c r="AVB926" s="471"/>
      <c r="AVC926" s="471"/>
      <c r="AVD926" s="471"/>
      <c r="AVE926" s="471"/>
      <c r="AVF926" s="471"/>
      <c r="AVG926" s="471"/>
      <c r="AVH926" s="471"/>
      <c r="AVI926" s="471"/>
      <c r="AVJ926" s="471"/>
      <c r="AVK926" s="471"/>
    </row>
    <row r="927" spans="1:1259" s="511" customFormat="1" ht="15" customHeight="1">
      <c r="A927" s="472"/>
      <c r="B927" s="472"/>
      <c r="C927" s="472"/>
      <c r="D927" s="512" t="s">
        <v>3186</v>
      </c>
      <c r="E927" s="512" t="s">
        <v>3044</v>
      </c>
      <c r="F927" s="501"/>
      <c r="G927" s="501"/>
      <c r="H927" s="501"/>
      <c r="I927" s="496" t="s">
        <v>1676</v>
      </c>
      <c r="J927" s="502"/>
      <c r="K927" s="502" t="s">
        <v>3607</v>
      </c>
      <c r="L927" s="502" t="s">
        <v>3278</v>
      </c>
      <c r="M927" s="502">
        <v>44551</v>
      </c>
      <c r="N927" s="502">
        <v>44652</v>
      </c>
      <c r="O927" s="504"/>
      <c r="P927" s="502"/>
      <c r="Q927" s="502"/>
      <c r="R927" s="502"/>
      <c r="S927" s="501" t="s">
        <v>2379</v>
      </c>
      <c r="T927" s="501">
        <v>60</v>
      </c>
      <c r="U927" s="501"/>
      <c r="V927" s="501" t="s">
        <v>1755</v>
      </c>
      <c r="W927" s="501">
        <v>360</v>
      </c>
      <c r="X927" s="505">
        <v>640</v>
      </c>
      <c r="Y927" s="491">
        <f t="shared" si="130"/>
        <v>230400</v>
      </c>
      <c r="Z927" s="506">
        <v>0.505</v>
      </c>
      <c r="AA927" s="492">
        <f t="shared" si="134"/>
        <v>116352</v>
      </c>
      <c r="AB927" s="480"/>
      <c r="AC927" s="481">
        <f t="shared" si="131"/>
        <v>0</v>
      </c>
      <c r="AD927" s="508"/>
      <c r="AE927" s="507"/>
      <c r="AF927" s="493">
        <f t="shared" si="132"/>
        <v>116352</v>
      </c>
      <c r="AG927" s="501" t="s">
        <v>1071</v>
      </c>
      <c r="AH927" s="501"/>
      <c r="AI927" s="503">
        <v>60</v>
      </c>
      <c r="AJ927" s="501" t="s">
        <v>1593</v>
      </c>
      <c r="AK927" s="509" t="s">
        <v>1144</v>
      </c>
      <c r="AL927" s="501">
        <v>78744</v>
      </c>
      <c r="AM927" s="501" t="s">
        <v>52</v>
      </c>
      <c r="AN927" s="501"/>
      <c r="AO927" s="501"/>
      <c r="AP927" s="510"/>
      <c r="AQ927" s="510" t="s">
        <v>37</v>
      </c>
      <c r="AR927" s="510"/>
      <c r="AS927" s="495" t="s">
        <v>1152</v>
      </c>
      <c r="AT927" s="495" t="s">
        <v>1076</v>
      </c>
      <c r="AU927" s="495" t="s">
        <v>1076</v>
      </c>
      <c r="AV927" s="506">
        <v>0.505</v>
      </c>
      <c r="AW927" s="471"/>
      <c r="AX927" s="471"/>
      <c r="AY927" s="471"/>
      <c r="AZ927" s="471"/>
      <c r="BA927" s="471"/>
      <c r="BB927" s="471"/>
      <c r="BC927" s="471"/>
      <c r="BD927" s="471"/>
      <c r="BE927" s="471"/>
      <c r="BF927" s="471"/>
      <c r="BG927" s="471"/>
      <c r="BH927" s="471"/>
      <c r="BI927" s="471"/>
      <c r="BJ927" s="471"/>
      <c r="BK927" s="471"/>
      <c r="BL927" s="471"/>
      <c r="BM927" s="471"/>
      <c r="BN927" s="471"/>
      <c r="BO927" s="471"/>
      <c r="BP927" s="471"/>
      <c r="BQ927" s="471"/>
      <c r="BR927" s="471"/>
      <c r="BS927" s="471"/>
      <c r="BT927" s="471"/>
      <c r="BU927" s="471"/>
      <c r="BV927" s="471"/>
      <c r="BW927" s="471"/>
      <c r="BX927" s="471"/>
      <c r="BY927" s="471"/>
      <c r="BZ927" s="471"/>
      <c r="CA927" s="471"/>
      <c r="CB927" s="471"/>
      <c r="CC927" s="471"/>
      <c r="CD927" s="471"/>
      <c r="CE927" s="471"/>
      <c r="CF927" s="471"/>
      <c r="CG927" s="471"/>
      <c r="CH927" s="471"/>
      <c r="CI927" s="471"/>
      <c r="CJ927" s="471"/>
      <c r="CK927" s="471"/>
      <c r="CL927" s="471"/>
      <c r="CM927" s="471"/>
      <c r="CN927" s="471"/>
      <c r="CO927" s="471"/>
      <c r="CP927" s="471"/>
      <c r="CQ927" s="471"/>
      <c r="CR927" s="471"/>
      <c r="CS927" s="471"/>
      <c r="CT927" s="471"/>
      <c r="CU927" s="471"/>
      <c r="CV927" s="471"/>
      <c r="CW927" s="471"/>
      <c r="CX927" s="471"/>
      <c r="CY927" s="471"/>
      <c r="CZ927" s="471"/>
      <c r="DA927" s="471"/>
      <c r="DB927" s="471"/>
      <c r="DC927" s="471"/>
      <c r="DD927" s="471"/>
      <c r="DE927" s="471"/>
      <c r="DF927" s="471"/>
      <c r="DG927" s="471"/>
      <c r="DH927" s="471"/>
      <c r="DI927" s="471"/>
      <c r="DJ927" s="471"/>
      <c r="DK927" s="471"/>
      <c r="DL927" s="471"/>
      <c r="DM927" s="471"/>
      <c r="DN927" s="471"/>
      <c r="DO927" s="471"/>
      <c r="DP927" s="471"/>
      <c r="DQ927" s="471"/>
      <c r="DR927" s="471"/>
      <c r="DS927" s="471"/>
      <c r="DT927" s="471"/>
      <c r="DU927" s="471"/>
      <c r="DV927" s="471"/>
      <c r="DW927" s="471"/>
      <c r="DX927" s="471"/>
      <c r="DY927" s="471"/>
      <c r="DZ927" s="471"/>
      <c r="EA927" s="471"/>
      <c r="EB927" s="471"/>
      <c r="EC927" s="471"/>
      <c r="ED927" s="471"/>
      <c r="EE927" s="471"/>
      <c r="EF927" s="471"/>
      <c r="EG927" s="471"/>
      <c r="EH927" s="471"/>
      <c r="EI927" s="471"/>
      <c r="EJ927" s="471"/>
      <c r="EK927" s="471"/>
      <c r="EL927" s="471"/>
      <c r="EM927" s="471"/>
      <c r="EN927" s="471"/>
      <c r="EO927" s="471"/>
      <c r="EP927" s="471"/>
      <c r="EQ927" s="471"/>
      <c r="ER927" s="471"/>
      <c r="ES927" s="471"/>
      <c r="ET927" s="471"/>
      <c r="EU927" s="471"/>
      <c r="EV927" s="471"/>
      <c r="EW927" s="471"/>
      <c r="EX927" s="471"/>
      <c r="EY927" s="471"/>
      <c r="EZ927" s="471"/>
      <c r="FA927" s="471"/>
      <c r="FB927" s="471"/>
      <c r="FC927" s="471"/>
      <c r="FD927" s="471"/>
      <c r="FE927" s="471"/>
      <c r="FF927" s="471"/>
      <c r="FG927" s="471"/>
      <c r="FH927" s="471"/>
      <c r="FI927" s="471"/>
      <c r="FJ927" s="471"/>
      <c r="FK927" s="471"/>
      <c r="FL927" s="471"/>
      <c r="FM927" s="471"/>
      <c r="FN927" s="471"/>
      <c r="FO927" s="471"/>
      <c r="FP927" s="471"/>
      <c r="FQ927" s="471"/>
      <c r="FR927" s="471"/>
      <c r="FS927" s="471"/>
      <c r="FT927" s="471"/>
      <c r="FU927" s="471"/>
      <c r="FV927" s="471"/>
      <c r="FW927" s="471"/>
      <c r="FX927" s="471"/>
      <c r="FY927" s="471"/>
      <c r="FZ927" s="471"/>
      <c r="GA927" s="471"/>
      <c r="GB927" s="471"/>
      <c r="GC927" s="471"/>
      <c r="GD927" s="471"/>
      <c r="GE927" s="471"/>
      <c r="GF927" s="471"/>
      <c r="GG927" s="471"/>
      <c r="GH927" s="471"/>
      <c r="GI927" s="471"/>
      <c r="GJ927" s="471"/>
      <c r="GK927" s="471"/>
      <c r="GL927" s="471"/>
      <c r="GM927" s="471"/>
      <c r="GN927" s="471"/>
      <c r="GO927" s="471"/>
      <c r="GP927" s="471"/>
      <c r="GQ927" s="471"/>
      <c r="GR927" s="471"/>
      <c r="GS927" s="471"/>
      <c r="GT927" s="471"/>
      <c r="GU927" s="471"/>
      <c r="GV927" s="471"/>
      <c r="GW927" s="471"/>
      <c r="GX927" s="471"/>
      <c r="GY927" s="471"/>
      <c r="GZ927" s="471"/>
      <c r="HA927" s="471"/>
      <c r="HB927" s="471"/>
      <c r="HC927" s="471"/>
      <c r="HD927" s="471"/>
      <c r="HE927" s="471"/>
      <c r="HF927" s="471"/>
      <c r="HG927" s="471"/>
      <c r="HH927" s="471"/>
      <c r="HI927" s="471"/>
      <c r="HJ927" s="471"/>
      <c r="HK927" s="471"/>
      <c r="HL927" s="471"/>
      <c r="HM927" s="471"/>
      <c r="HN927" s="471"/>
      <c r="HO927" s="471"/>
      <c r="HP927" s="471"/>
      <c r="HQ927" s="471"/>
      <c r="HR927" s="471"/>
      <c r="HS927" s="471"/>
      <c r="HT927" s="471"/>
      <c r="HU927" s="471"/>
      <c r="HV927" s="471"/>
      <c r="HW927" s="471"/>
      <c r="HX927" s="471"/>
      <c r="HY927" s="471"/>
      <c r="HZ927" s="471"/>
      <c r="IA927" s="471"/>
      <c r="IB927" s="471"/>
      <c r="IC927" s="471"/>
      <c r="ID927" s="471"/>
      <c r="IE927" s="471"/>
      <c r="IF927" s="471"/>
      <c r="IG927" s="471"/>
      <c r="IH927" s="471"/>
      <c r="II927" s="471"/>
      <c r="IJ927" s="471"/>
      <c r="IK927" s="471"/>
      <c r="IL927" s="471"/>
      <c r="IM927" s="471"/>
      <c r="IN927" s="471"/>
      <c r="IO927" s="471"/>
      <c r="IP927" s="471"/>
      <c r="IQ927" s="471"/>
      <c r="IR927" s="471"/>
      <c r="IS927" s="471"/>
      <c r="IT927" s="471"/>
      <c r="IU927" s="471"/>
      <c r="IV927" s="471"/>
      <c r="IW927" s="471"/>
      <c r="IX927" s="471"/>
      <c r="IY927" s="471"/>
      <c r="IZ927" s="471"/>
      <c r="JA927" s="471"/>
      <c r="JB927" s="471"/>
      <c r="JC927" s="471"/>
      <c r="JD927" s="471"/>
      <c r="JE927" s="471"/>
      <c r="JF927" s="471"/>
      <c r="JG927" s="471"/>
      <c r="JH927" s="471"/>
      <c r="JI927" s="471"/>
      <c r="JJ927" s="471"/>
      <c r="JK927" s="471"/>
      <c r="JL927" s="471"/>
      <c r="JM927" s="471"/>
      <c r="JN927" s="471"/>
      <c r="JO927" s="471"/>
      <c r="JP927" s="471"/>
      <c r="JQ927" s="471"/>
      <c r="JR927" s="471"/>
      <c r="JS927" s="471"/>
      <c r="JT927" s="471"/>
      <c r="JU927" s="471"/>
      <c r="JV927" s="471"/>
      <c r="JW927" s="471"/>
      <c r="JX927" s="471"/>
      <c r="JY927" s="471"/>
      <c r="JZ927" s="471"/>
      <c r="KA927" s="471"/>
      <c r="KB927" s="471"/>
      <c r="KC927" s="471"/>
      <c r="KD927" s="471"/>
      <c r="KE927" s="471"/>
      <c r="KF927" s="471"/>
      <c r="KG927" s="471"/>
      <c r="KH927" s="471"/>
      <c r="KI927" s="471"/>
      <c r="KJ927" s="471"/>
      <c r="KK927" s="471"/>
      <c r="KL927" s="471"/>
      <c r="KM927" s="471"/>
      <c r="KN927" s="471"/>
      <c r="KO927" s="471"/>
      <c r="KP927" s="471"/>
      <c r="KQ927" s="471"/>
      <c r="KR927" s="471"/>
      <c r="KS927" s="471"/>
      <c r="KT927" s="471"/>
      <c r="KU927" s="471"/>
      <c r="KV927" s="471"/>
      <c r="KW927" s="471"/>
      <c r="KX927" s="471"/>
      <c r="KY927" s="471"/>
      <c r="KZ927" s="471"/>
      <c r="LA927" s="471"/>
      <c r="LB927" s="471"/>
      <c r="LC927" s="471"/>
      <c r="LD927" s="471"/>
      <c r="LE927" s="471"/>
      <c r="LF927" s="471"/>
      <c r="LG927" s="471"/>
      <c r="LH927" s="471"/>
      <c r="LI927" s="471"/>
      <c r="LJ927" s="471"/>
      <c r="LK927" s="471"/>
      <c r="LL927" s="471"/>
      <c r="LM927" s="471"/>
      <c r="LN927" s="471"/>
      <c r="LO927" s="471"/>
      <c r="LP927" s="471"/>
      <c r="LQ927" s="471"/>
      <c r="LR927" s="471"/>
      <c r="LS927" s="471"/>
      <c r="LT927" s="471"/>
      <c r="LU927" s="471"/>
      <c r="LV927" s="471"/>
      <c r="LW927" s="471"/>
      <c r="LX927" s="471"/>
      <c r="LY927" s="471"/>
      <c r="LZ927" s="471"/>
      <c r="MA927" s="471"/>
      <c r="MB927" s="471"/>
      <c r="MC927" s="471"/>
      <c r="MD927" s="471"/>
      <c r="ME927" s="471"/>
      <c r="MF927" s="471"/>
      <c r="MG927" s="471"/>
      <c r="MH927" s="471"/>
      <c r="MI927" s="471"/>
      <c r="MJ927" s="471"/>
      <c r="MK927" s="471"/>
      <c r="ML927" s="471"/>
      <c r="MM927" s="471"/>
      <c r="MN927" s="471"/>
      <c r="MO927" s="471"/>
      <c r="MP927" s="471"/>
      <c r="MQ927" s="471"/>
      <c r="MR927" s="471"/>
      <c r="MS927" s="471"/>
      <c r="MT927" s="471"/>
      <c r="MU927" s="471"/>
      <c r="MV927" s="471"/>
      <c r="MW927" s="471"/>
      <c r="MX927" s="471"/>
      <c r="MY927" s="471"/>
      <c r="MZ927" s="471"/>
      <c r="NA927" s="471"/>
      <c r="NB927" s="471"/>
      <c r="NC927" s="471"/>
      <c r="ND927" s="471"/>
      <c r="NE927" s="471"/>
      <c r="NF927" s="471"/>
      <c r="NG927" s="471"/>
      <c r="NH927" s="471"/>
      <c r="NI927" s="471"/>
      <c r="NJ927" s="471"/>
      <c r="NK927" s="471"/>
      <c r="NL927" s="471"/>
      <c r="NM927" s="471"/>
      <c r="NN927" s="471"/>
      <c r="NO927" s="471"/>
      <c r="NP927" s="471"/>
      <c r="NQ927" s="471"/>
      <c r="NR927" s="471"/>
      <c r="NS927" s="471"/>
      <c r="NT927" s="471"/>
      <c r="NU927" s="471"/>
      <c r="NV927" s="471"/>
      <c r="NW927" s="471"/>
      <c r="NX927" s="471"/>
      <c r="NY927" s="471"/>
      <c r="NZ927" s="471"/>
      <c r="OA927" s="471"/>
      <c r="OB927" s="471"/>
      <c r="OC927" s="471"/>
      <c r="OD927" s="471"/>
      <c r="OE927" s="471"/>
      <c r="OF927" s="471"/>
      <c r="OG927" s="471"/>
      <c r="OH927" s="471"/>
      <c r="OI927" s="471"/>
      <c r="OJ927" s="471"/>
      <c r="OK927" s="471"/>
      <c r="OL927" s="471"/>
      <c r="OM927" s="471"/>
      <c r="ON927" s="471"/>
      <c r="OO927" s="471"/>
      <c r="OP927" s="471"/>
      <c r="OQ927" s="471"/>
      <c r="OR927" s="471"/>
      <c r="OS927" s="471"/>
      <c r="OT927" s="471"/>
      <c r="OU927" s="471"/>
      <c r="OV927" s="471"/>
      <c r="OW927" s="471"/>
      <c r="OX927" s="471"/>
      <c r="OY927" s="471"/>
      <c r="OZ927" s="471"/>
      <c r="PA927" s="471"/>
      <c r="PB927" s="471"/>
      <c r="PC927" s="471"/>
      <c r="PD927" s="471"/>
      <c r="PE927" s="471"/>
      <c r="PF927" s="471"/>
      <c r="PG927" s="471"/>
      <c r="PH927" s="471"/>
      <c r="PI927" s="471"/>
      <c r="PJ927" s="471"/>
      <c r="PK927" s="471"/>
      <c r="PL927" s="471"/>
      <c r="PM927" s="471"/>
      <c r="PN927" s="471"/>
      <c r="PO927" s="471"/>
      <c r="PP927" s="471"/>
      <c r="PQ927" s="471"/>
      <c r="PR927" s="471"/>
      <c r="PS927" s="471"/>
      <c r="PT927" s="471"/>
      <c r="PU927" s="471"/>
      <c r="PV927" s="471"/>
      <c r="PW927" s="471"/>
      <c r="PX927" s="471"/>
      <c r="PY927" s="471"/>
      <c r="PZ927" s="471"/>
      <c r="QA927" s="471"/>
      <c r="QB927" s="471"/>
      <c r="QC927" s="471"/>
      <c r="QD927" s="471"/>
      <c r="QE927" s="471"/>
      <c r="QF927" s="471"/>
      <c r="QG927" s="471"/>
      <c r="QH927" s="471"/>
      <c r="QI927" s="471"/>
      <c r="QJ927" s="471"/>
      <c r="QK927" s="471"/>
      <c r="QL927" s="471"/>
      <c r="QM927" s="471"/>
      <c r="QN927" s="471"/>
      <c r="QO927" s="471"/>
      <c r="QP927" s="471"/>
      <c r="QQ927" s="471"/>
      <c r="QR927" s="471"/>
      <c r="QS927" s="471"/>
      <c r="QT927" s="471"/>
      <c r="QU927" s="471"/>
      <c r="QV927" s="471"/>
      <c r="QW927" s="471"/>
      <c r="QX927" s="471"/>
      <c r="QY927" s="471"/>
      <c r="QZ927" s="471"/>
      <c r="RA927" s="471"/>
      <c r="RB927" s="471"/>
      <c r="RC927" s="471"/>
      <c r="RD927" s="471"/>
      <c r="RE927" s="471"/>
      <c r="RF927" s="471"/>
      <c r="RG927" s="471"/>
      <c r="RH927" s="471"/>
      <c r="RI927" s="471"/>
      <c r="RJ927" s="471"/>
      <c r="RK927" s="471"/>
      <c r="RL927" s="471"/>
      <c r="RM927" s="471"/>
      <c r="RN927" s="471"/>
      <c r="RO927" s="471"/>
      <c r="RP927" s="471"/>
      <c r="RQ927" s="471"/>
      <c r="RR927" s="471"/>
      <c r="RS927" s="471"/>
      <c r="RT927" s="471"/>
      <c r="RU927" s="471"/>
      <c r="RV927" s="471"/>
      <c r="RW927" s="471"/>
      <c r="RX927" s="471"/>
      <c r="RY927" s="471"/>
      <c r="RZ927" s="471"/>
      <c r="SA927" s="471"/>
      <c r="SB927" s="471"/>
      <c r="SC927" s="471"/>
      <c r="SD927" s="471"/>
      <c r="SE927" s="471"/>
      <c r="SF927" s="471"/>
      <c r="SG927" s="471"/>
      <c r="SH927" s="471"/>
      <c r="SI927" s="471"/>
      <c r="SJ927" s="471"/>
      <c r="SK927" s="471"/>
      <c r="SL927" s="471"/>
      <c r="SM927" s="471"/>
      <c r="SN927" s="471"/>
      <c r="SO927" s="471"/>
      <c r="SP927" s="471"/>
      <c r="SQ927" s="471"/>
      <c r="SR927" s="471"/>
      <c r="SS927" s="471"/>
      <c r="ST927" s="471"/>
      <c r="SU927" s="471"/>
      <c r="SV927" s="471"/>
      <c r="SW927" s="471"/>
      <c r="SX927" s="471"/>
      <c r="SY927" s="471"/>
      <c r="SZ927" s="471"/>
      <c r="TA927" s="471"/>
      <c r="TB927" s="471"/>
      <c r="TC927" s="471"/>
      <c r="TD927" s="471"/>
      <c r="TE927" s="471"/>
      <c r="TF927" s="471"/>
      <c r="TG927" s="471"/>
      <c r="TH927" s="471"/>
      <c r="TI927" s="471"/>
      <c r="TJ927" s="471"/>
      <c r="TK927" s="471"/>
      <c r="TL927" s="471"/>
      <c r="TM927" s="471"/>
      <c r="TN927" s="471"/>
      <c r="TO927" s="471"/>
      <c r="TP927" s="471"/>
      <c r="TQ927" s="471"/>
      <c r="TR927" s="471"/>
      <c r="TS927" s="471"/>
      <c r="TT927" s="471"/>
      <c r="TU927" s="471"/>
      <c r="TV927" s="471"/>
      <c r="TW927" s="471"/>
      <c r="TX927" s="471"/>
      <c r="TY927" s="471"/>
      <c r="TZ927" s="471"/>
      <c r="UA927" s="471"/>
      <c r="UB927" s="471"/>
      <c r="UC927" s="471"/>
      <c r="UD927" s="471"/>
      <c r="UE927" s="471"/>
      <c r="UF927" s="471"/>
      <c r="UG927" s="471"/>
      <c r="UH927" s="471"/>
      <c r="UI927" s="471"/>
      <c r="UJ927" s="471"/>
      <c r="UK927" s="471"/>
      <c r="UL927" s="471"/>
      <c r="UM927" s="471"/>
      <c r="UN927" s="471"/>
      <c r="UO927" s="471"/>
      <c r="UP927" s="471"/>
      <c r="UQ927" s="471"/>
      <c r="UR927" s="471"/>
      <c r="US927" s="471"/>
      <c r="UT927" s="471"/>
      <c r="UU927" s="471"/>
      <c r="UV927" s="471"/>
      <c r="UW927" s="471"/>
      <c r="UX927" s="471"/>
      <c r="UY927" s="471"/>
      <c r="UZ927" s="471"/>
      <c r="VA927" s="471"/>
      <c r="VB927" s="471"/>
      <c r="VC927" s="471"/>
      <c r="VD927" s="471"/>
      <c r="VE927" s="471"/>
      <c r="VF927" s="471"/>
      <c r="VG927" s="471"/>
      <c r="VH927" s="471"/>
      <c r="VI927" s="471"/>
      <c r="VJ927" s="471"/>
      <c r="VK927" s="471"/>
      <c r="VL927" s="471"/>
      <c r="VM927" s="471"/>
      <c r="VN927" s="471"/>
      <c r="VO927" s="471"/>
      <c r="VP927" s="471"/>
      <c r="VQ927" s="471"/>
      <c r="VR927" s="471"/>
      <c r="VS927" s="471"/>
      <c r="VT927" s="471"/>
      <c r="VU927" s="471"/>
      <c r="VV927" s="471"/>
      <c r="VW927" s="471"/>
      <c r="VX927" s="471"/>
      <c r="VY927" s="471"/>
      <c r="VZ927" s="471"/>
      <c r="WA927" s="471"/>
      <c r="WB927" s="471"/>
      <c r="WC927" s="471"/>
      <c r="WD927" s="471"/>
      <c r="WE927" s="471"/>
      <c r="WF927" s="471"/>
      <c r="WG927" s="471"/>
      <c r="WH927" s="471"/>
      <c r="WI927" s="471"/>
      <c r="WJ927" s="471"/>
      <c r="WK927" s="471"/>
      <c r="WL927" s="471"/>
      <c r="WM927" s="471"/>
      <c r="WN927" s="471"/>
      <c r="WO927" s="471"/>
      <c r="WP927" s="471"/>
      <c r="WQ927" s="471"/>
      <c r="WR927" s="471"/>
      <c r="WS927" s="471"/>
      <c r="WT927" s="471"/>
      <c r="WU927" s="471"/>
      <c r="WV927" s="471"/>
      <c r="WW927" s="471"/>
      <c r="WX927" s="471"/>
      <c r="WY927" s="471"/>
      <c r="WZ927" s="471"/>
      <c r="XA927" s="471"/>
      <c r="XB927" s="471"/>
      <c r="XC927" s="471"/>
      <c r="XD927" s="471"/>
      <c r="XE927" s="471"/>
      <c r="XF927" s="471"/>
      <c r="XG927" s="471"/>
      <c r="XH927" s="471"/>
      <c r="XI927" s="471"/>
      <c r="XJ927" s="471"/>
      <c r="XK927" s="471"/>
      <c r="XL927" s="471"/>
      <c r="XM927" s="471"/>
      <c r="XN927" s="471"/>
      <c r="XO927" s="471"/>
      <c r="XP927" s="471"/>
      <c r="XQ927" s="471"/>
      <c r="XR927" s="471"/>
      <c r="XS927" s="471"/>
      <c r="XT927" s="471"/>
      <c r="XU927" s="471"/>
      <c r="XV927" s="471"/>
      <c r="XW927" s="471"/>
      <c r="XX927" s="471"/>
      <c r="XY927" s="471"/>
      <c r="XZ927" s="471"/>
      <c r="YA927" s="471"/>
      <c r="YB927" s="471"/>
      <c r="YC927" s="471"/>
      <c r="YD927" s="471"/>
      <c r="YE927" s="471"/>
      <c r="YF927" s="471"/>
      <c r="YG927" s="471"/>
      <c r="YH927" s="471"/>
      <c r="YI927" s="471"/>
      <c r="YJ927" s="471"/>
      <c r="YK927" s="471"/>
      <c r="YL927" s="471"/>
      <c r="YM927" s="471"/>
      <c r="YN927" s="471"/>
      <c r="YO927" s="471"/>
      <c r="YP927" s="471"/>
      <c r="YQ927" s="471"/>
      <c r="YR927" s="471"/>
      <c r="YS927" s="471"/>
      <c r="YT927" s="471"/>
      <c r="YU927" s="471"/>
      <c r="YV927" s="471"/>
      <c r="YW927" s="471"/>
      <c r="YX927" s="471"/>
      <c r="YY927" s="471"/>
      <c r="YZ927" s="471"/>
      <c r="ZA927" s="471"/>
      <c r="ZB927" s="471"/>
      <c r="ZC927" s="471"/>
      <c r="ZD927" s="471"/>
      <c r="ZE927" s="471"/>
      <c r="ZF927" s="471"/>
      <c r="ZG927" s="471"/>
      <c r="ZH927" s="471"/>
      <c r="ZI927" s="471"/>
      <c r="ZJ927" s="471"/>
      <c r="ZK927" s="471"/>
      <c r="ZL927" s="471"/>
      <c r="ZM927" s="471"/>
      <c r="ZN927" s="471"/>
      <c r="ZO927" s="471"/>
      <c r="ZP927" s="471"/>
      <c r="ZQ927" s="471"/>
      <c r="ZR927" s="471"/>
      <c r="ZS927" s="471"/>
      <c r="ZT927" s="471"/>
      <c r="ZU927" s="471"/>
      <c r="ZV927" s="471"/>
      <c r="ZW927" s="471"/>
      <c r="ZX927" s="471"/>
      <c r="ZY927" s="471"/>
      <c r="ZZ927" s="471"/>
      <c r="AAA927" s="471"/>
      <c r="AAB927" s="471"/>
      <c r="AAC927" s="471"/>
      <c r="AAD927" s="471"/>
      <c r="AAE927" s="471"/>
      <c r="AAF927" s="471"/>
      <c r="AAG927" s="471"/>
      <c r="AAH927" s="471"/>
      <c r="AAI927" s="471"/>
      <c r="AAJ927" s="471"/>
      <c r="AAK927" s="471"/>
      <c r="AAL927" s="471"/>
      <c r="AAM927" s="471"/>
      <c r="AAN927" s="471"/>
      <c r="AAO927" s="471"/>
      <c r="AAP927" s="471"/>
      <c r="AAQ927" s="471"/>
      <c r="AAR927" s="471"/>
      <c r="AAS927" s="471"/>
      <c r="AAT927" s="471"/>
      <c r="AAU927" s="471"/>
      <c r="AAV927" s="471"/>
      <c r="AAW927" s="471"/>
      <c r="AAX927" s="471"/>
      <c r="AAY927" s="471"/>
      <c r="AAZ927" s="471"/>
      <c r="ABA927" s="471"/>
      <c r="ABB927" s="471"/>
      <c r="ABC927" s="471"/>
      <c r="ABD927" s="471"/>
      <c r="ABE927" s="471"/>
      <c r="ABF927" s="471"/>
      <c r="ABG927" s="471"/>
      <c r="ABH927" s="471"/>
      <c r="ABI927" s="471"/>
      <c r="ABJ927" s="471"/>
      <c r="ABK927" s="471"/>
      <c r="ABL927" s="471"/>
      <c r="ABM927" s="471"/>
      <c r="ABN927" s="471"/>
      <c r="ABO927" s="471"/>
      <c r="ABP927" s="471"/>
      <c r="ABQ927" s="471"/>
      <c r="ABR927" s="471"/>
      <c r="ABS927" s="471"/>
      <c r="ABT927" s="471"/>
      <c r="ABU927" s="471"/>
      <c r="ABV927" s="471"/>
      <c r="ABW927" s="471"/>
      <c r="ABX927" s="471"/>
      <c r="ABY927" s="471"/>
      <c r="ABZ927" s="471"/>
      <c r="ACA927" s="471"/>
      <c r="ACB927" s="471"/>
      <c r="ACC927" s="471"/>
      <c r="ACD927" s="471"/>
      <c r="ACE927" s="471"/>
      <c r="ACF927" s="471"/>
      <c r="ACG927" s="471"/>
      <c r="ACH927" s="471"/>
      <c r="ACI927" s="471"/>
      <c r="ACJ927" s="471"/>
      <c r="ACK927" s="471"/>
      <c r="ACL927" s="471"/>
      <c r="ACM927" s="471"/>
      <c r="ACN927" s="471"/>
      <c r="ACO927" s="471"/>
      <c r="ACP927" s="471"/>
      <c r="ACQ927" s="471"/>
      <c r="ACR927" s="471"/>
      <c r="ACS927" s="471"/>
      <c r="ACT927" s="471"/>
      <c r="ACU927" s="471"/>
      <c r="ACV927" s="471"/>
      <c r="ACW927" s="471"/>
      <c r="ACX927" s="471"/>
      <c r="ACY927" s="471"/>
      <c r="ACZ927" s="471"/>
      <c r="ADA927" s="471"/>
      <c r="ADB927" s="471"/>
      <c r="ADC927" s="471"/>
      <c r="ADD927" s="471"/>
      <c r="ADE927" s="471"/>
      <c r="ADF927" s="471"/>
      <c r="ADG927" s="471"/>
      <c r="ADH927" s="471"/>
      <c r="ADI927" s="471"/>
      <c r="ADJ927" s="471"/>
      <c r="ADK927" s="471"/>
      <c r="ADL927" s="471"/>
      <c r="ADM927" s="471"/>
      <c r="ADN927" s="471"/>
      <c r="ADO927" s="471"/>
      <c r="ADP927" s="471"/>
      <c r="ADQ927" s="471"/>
      <c r="ADR927" s="471"/>
      <c r="ADS927" s="471"/>
      <c r="ADT927" s="471"/>
      <c r="ADU927" s="471"/>
      <c r="ADV927" s="471"/>
      <c r="ADW927" s="471"/>
      <c r="ADX927" s="471"/>
      <c r="ADY927" s="471"/>
      <c r="ADZ927" s="471"/>
      <c r="AEA927" s="471"/>
      <c r="AEB927" s="471"/>
      <c r="AEC927" s="471"/>
      <c r="AED927" s="471"/>
      <c r="AEE927" s="471"/>
      <c r="AEF927" s="471"/>
      <c r="AEG927" s="471"/>
      <c r="AEH927" s="471"/>
      <c r="AEI927" s="471"/>
      <c r="AEJ927" s="471"/>
      <c r="AEK927" s="471"/>
      <c r="AEL927" s="471"/>
      <c r="AEM927" s="471"/>
      <c r="AEN927" s="471"/>
      <c r="AEO927" s="471"/>
      <c r="AEP927" s="471"/>
      <c r="AEQ927" s="471"/>
      <c r="AER927" s="471"/>
      <c r="AES927" s="471"/>
      <c r="AET927" s="471"/>
      <c r="AEU927" s="471"/>
      <c r="AEV927" s="471"/>
      <c r="AEW927" s="471"/>
      <c r="AEX927" s="471"/>
      <c r="AEY927" s="471"/>
      <c r="AEZ927" s="471"/>
      <c r="AFA927" s="471"/>
      <c r="AFB927" s="471"/>
      <c r="AFC927" s="471"/>
      <c r="AFD927" s="471"/>
      <c r="AFE927" s="471"/>
      <c r="AFF927" s="471"/>
      <c r="AFG927" s="471"/>
      <c r="AFH927" s="471"/>
      <c r="AFI927" s="471"/>
      <c r="AFJ927" s="471"/>
      <c r="AFK927" s="471"/>
      <c r="AFL927" s="471"/>
      <c r="AFM927" s="471"/>
      <c r="AFN927" s="471"/>
      <c r="AFO927" s="471"/>
      <c r="AFP927" s="471"/>
      <c r="AFQ927" s="471"/>
      <c r="AFR927" s="471"/>
      <c r="AFS927" s="471"/>
      <c r="AFT927" s="471"/>
      <c r="AFU927" s="471"/>
      <c r="AFV927" s="471"/>
      <c r="AFW927" s="471"/>
      <c r="AFX927" s="471"/>
      <c r="AFY927" s="471"/>
      <c r="AFZ927" s="471"/>
      <c r="AGA927" s="471"/>
      <c r="AGB927" s="471"/>
      <c r="AGC927" s="471"/>
      <c r="AGD927" s="471"/>
      <c r="AGE927" s="471"/>
      <c r="AGF927" s="471"/>
      <c r="AGG927" s="471"/>
      <c r="AGH927" s="471"/>
      <c r="AGI927" s="471"/>
      <c r="AGJ927" s="471"/>
      <c r="AGK927" s="471"/>
      <c r="AGL927" s="471"/>
      <c r="AGM927" s="471"/>
      <c r="AGN927" s="471"/>
      <c r="AGO927" s="471"/>
      <c r="AGP927" s="471"/>
      <c r="AGQ927" s="471"/>
      <c r="AGR927" s="471"/>
      <c r="AGS927" s="471"/>
      <c r="AGT927" s="471"/>
      <c r="AGU927" s="471"/>
      <c r="AGV927" s="471"/>
      <c r="AGW927" s="471"/>
      <c r="AGX927" s="471"/>
      <c r="AGY927" s="471"/>
      <c r="AGZ927" s="471"/>
      <c r="AHA927" s="471"/>
      <c r="AHB927" s="471"/>
      <c r="AHC927" s="471"/>
      <c r="AHD927" s="471"/>
      <c r="AHE927" s="471"/>
      <c r="AHF927" s="471"/>
      <c r="AHG927" s="471"/>
      <c r="AHH927" s="471"/>
      <c r="AHI927" s="471"/>
      <c r="AHJ927" s="471"/>
      <c r="AHK927" s="471"/>
      <c r="AHL927" s="471"/>
      <c r="AHM927" s="471"/>
      <c r="AHN927" s="471"/>
      <c r="AHO927" s="471"/>
      <c r="AHP927" s="471"/>
      <c r="AHQ927" s="471"/>
      <c r="AHR927" s="471"/>
      <c r="AHS927" s="471"/>
      <c r="AHT927" s="471"/>
      <c r="AHU927" s="471"/>
      <c r="AHV927" s="471"/>
      <c r="AHW927" s="471"/>
      <c r="AHX927" s="471"/>
      <c r="AHY927" s="471"/>
      <c r="AHZ927" s="471"/>
      <c r="AIA927" s="471"/>
      <c r="AIB927" s="471"/>
      <c r="AIC927" s="471"/>
      <c r="AID927" s="471"/>
      <c r="AIE927" s="471"/>
      <c r="AIF927" s="471"/>
      <c r="AIG927" s="471"/>
      <c r="AIH927" s="471"/>
      <c r="AII927" s="471"/>
      <c r="AIJ927" s="471"/>
      <c r="AIK927" s="471"/>
      <c r="AIL927" s="471"/>
      <c r="AIM927" s="471"/>
      <c r="AIN927" s="471"/>
      <c r="AIO927" s="471"/>
      <c r="AIP927" s="471"/>
      <c r="AIQ927" s="471"/>
      <c r="AIR927" s="471"/>
      <c r="AIS927" s="471"/>
      <c r="AIT927" s="471"/>
      <c r="AIU927" s="471"/>
      <c r="AIV927" s="471"/>
      <c r="AIW927" s="471"/>
      <c r="AIX927" s="471"/>
      <c r="AIY927" s="471"/>
      <c r="AIZ927" s="471"/>
      <c r="AJA927" s="471"/>
      <c r="AJB927" s="471"/>
      <c r="AJC927" s="471"/>
      <c r="AJD927" s="471"/>
      <c r="AJE927" s="471"/>
      <c r="AJF927" s="471"/>
      <c r="AJG927" s="471"/>
      <c r="AJH927" s="471"/>
      <c r="AJI927" s="471"/>
      <c r="AJJ927" s="471"/>
      <c r="AJK927" s="471"/>
      <c r="AJL927" s="471"/>
      <c r="AJM927" s="471"/>
      <c r="AJN927" s="471"/>
      <c r="AJO927" s="471"/>
      <c r="AJP927" s="471"/>
      <c r="AJQ927" s="471"/>
      <c r="AJR927" s="471"/>
      <c r="AJS927" s="471"/>
      <c r="AJT927" s="471"/>
      <c r="AJU927" s="471"/>
      <c r="AJV927" s="471"/>
      <c r="AJW927" s="471"/>
      <c r="AJX927" s="471"/>
      <c r="AJY927" s="471"/>
      <c r="AJZ927" s="471"/>
      <c r="AKA927" s="471"/>
      <c r="AKB927" s="471"/>
      <c r="AKC927" s="471"/>
      <c r="AKD927" s="471"/>
      <c r="AKE927" s="471"/>
      <c r="AKF927" s="471"/>
      <c r="AKG927" s="471"/>
      <c r="AKH927" s="471"/>
      <c r="AKI927" s="471"/>
      <c r="AKJ927" s="471"/>
      <c r="AKK927" s="471"/>
      <c r="AKL927" s="471"/>
      <c r="AKM927" s="471"/>
      <c r="AKN927" s="471"/>
      <c r="AKO927" s="471"/>
      <c r="AKP927" s="471"/>
      <c r="AKQ927" s="471"/>
      <c r="AKR927" s="471"/>
      <c r="AKS927" s="471"/>
      <c r="AKT927" s="471"/>
      <c r="AKU927" s="471"/>
      <c r="AKV927" s="471"/>
      <c r="AKW927" s="471"/>
      <c r="AKX927" s="471"/>
      <c r="AKY927" s="471"/>
      <c r="AKZ927" s="471"/>
      <c r="ALA927" s="471"/>
      <c r="ALB927" s="471"/>
      <c r="ALC927" s="471"/>
      <c r="ALD927" s="471"/>
      <c r="ALE927" s="471"/>
      <c r="ALF927" s="471"/>
      <c r="ALG927" s="471"/>
      <c r="ALH927" s="471"/>
      <c r="ALI927" s="471"/>
      <c r="ALJ927" s="471"/>
      <c r="ALK927" s="471"/>
      <c r="ALL927" s="471"/>
      <c r="ALM927" s="471"/>
      <c r="ALN927" s="471"/>
      <c r="ALO927" s="471"/>
      <c r="ALP927" s="471"/>
      <c r="ALQ927" s="471"/>
      <c r="ALR927" s="471"/>
      <c r="ALS927" s="471"/>
      <c r="ALT927" s="471"/>
      <c r="ALU927" s="471"/>
      <c r="ALV927" s="471"/>
      <c r="ALW927" s="471"/>
      <c r="ALX927" s="471"/>
      <c r="ALY927" s="471"/>
      <c r="ALZ927" s="471"/>
      <c r="AMA927" s="471"/>
      <c r="AMB927" s="471"/>
      <c r="AMC927" s="471"/>
      <c r="AMD927" s="471"/>
      <c r="AME927" s="471"/>
      <c r="AMF927" s="471"/>
      <c r="AMG927" s="471"/>
      <c r="AMH927" s="471"/>
      <c r="AMI927" s="471"/>
      <c r="AMJ927" s="471"/>
      <c r="AMK927" s="471"/>
      <c r="AML927" s="471"/>
      <c r="AMM927" s="471"/>
      <c r="AMN927" s="471"/>
      <c r="AMO927" s="471"/>
      <c r="AMP927" s="471"/>
      <c r="AMQ927" s="471"/>
      <c r="AMR927" s="471"/>
      <c r="AMS927" s="471"/>
      <c r="AMT927" s="471"/>
      <c r="AMU927" s="471"/>
      <c r="AMV927" s="471"/>
      <c r="AMW927" s="471"/>
      <c r="AMX927" s="471"/>
      <c r="AMY927" s="471"/>
      <c r="AMZ927" s="471"/>
      <c r="ANA927" s="471"/>
      <c r="ANB927" s="471"/>
      <c r="ANC927" s="471"/>
      <c r="AND927" s="471"/>
      <c r="ANE927" s="471"/>
      <c r="ANF927" s="471"/>
      <c r="ANG927" s="471"/>
      <c r="ANH927" s="471"/>
      <c r="ANI927" s="471"/>
      <c r="ANJ927" s="471"/>
      <c r="ANK927" s="471"/>
      <c r="ANL927" s="471"/>
      <c r="ANM927" s="471"/>
      <c r="ANN927" s="471"/>
      <c r="ANO927" s="471"/>
      <c r="ANP927" s="471"/>
      <c r="ANQ927" s="471"/>
      <c r="ANR927" s="471"/>
      <c r="ANS927" s="471"/>
      <c r="ANT927" s="471"/>
      <c r="ANU927" s="471"/>
      <c r="ANV927" s="471"/>
      <c r="ANW927" s="471"/>
      <c r="ANX927" s="471"/>
      <c r="ANY927" s="471"/>
      <c r="ANZ927" s="471"/>
      <c r="AOA927" s="471"/>
      <c r="AOB927" s="471"/>
      <c r="AOC927" s="471"/>
      <c r="AOD927" s="471"/>
      <c r="AOE927" s="471"/>
      <c r="AOF927" s="471"/>
      <c r="AOG927" s="471"/>
      <c r="AOH927" s="471"/>
      <c r="AOI927" s="471"/>
      <c r="AOJ927" s="471"/>
      <c r="AOK927" s="471"/>
      <c r="AOL927" s="471"/>
      <c r="AOM927" s="471"/>
      <c r="AON927" s="471"/>
      <c r="AOO927" s="471"/>
      <c r="AOP927" s="471"/>
      <c r="AOQ927" s="471"/>
      <c r="AOR927" s="471"/>
      <c r="AOS927" s="471"/>
      <c r="AOT927" s="471"/>
      <c r="AOU927" s="471"/>
      <c r="AOV927" s="471"/>
      <c r="AOW927" s="471"/>
      <c r="AOX927" s="471"/>
      <c r="AOY927" s="471"/>
      <c r="AOZ927" s="471"/>
      <c r="APA927" s="471"/>
      <c r="APB927" s="471"/>
      <c r="APC927" s="471"/>
      <c r="APD927" s="471"/>
      <c r="APE927" s="471"/>
      <c r="APF927" s="471"/>
      <c r="APG927" s="471"/>
      <c r="APH927" s="471"/>
      <c r="API927" s="471"/>
      <c r="APJ927" s="471"/>
      <c r="APK927" s="471"/>
      <c r="APL927" s="471"/>
      <c r="APM927" s="471"/>
      <c r="APN927" s="471"/>
      <c r="APO927" s="471"/>
      <c r="APP927" s="471"/>
      <c r="APQ927" s="471"/>
      <c r="APR927" s="471"/>
      <c r="APS927" s="471"/>
      <c r="APT927" s="471"/>
      <c r="APU927" s="471"/>
      <c r="APV927" s="471"/>
      <c r="APW927" s="471"/>
      <c r="APX927" s="471"/>
      <c r="APY927" s="471"/>
      <c r="APZ927" s="471"/>
      <c r="AQA927" s="471"/>
      <c r="AQB927" s="471"/>
      <c r="AQC927" s="471"/>
      <c r="AQD927" s="471"/>
      <c r="AQE927" s="471"/>
      <c r="AQF927" s="471"/>
      <c r="AQG927" s="471"/>
      <c r="AQH927" s="471"/>
      <c r="AQI927" s="471"/>
      <c r="AQJ927" s="471"/>
      <c r="AQK927" s="471"/>
      <c r="AQL927" s="471"/>
      <c r="AQM927" s="471"/>
      <c r="AQN927" s="471"/>
      <c r="AQO927" s="471"/>
      <c r="AQP927" s="471"/>
      <c r="AQQ927" s="471"/>
      <c r="AQR927" s="471"/>
      <c r="AQS927" s="471"/>
      <c r="AQT927" s="471"/>
      <c r="AQU927" s="471"/>
      <c r="AQV927" s="471"/>
      <c r="AQW927" s="471"/>
      <c r="AQX927" s="471"/>
      <c r="AQY927" s="471"/>
      <c r="AQZ927" s="471"/>
      <c r="ARA927" s="471"/>
      <c r="ARB927" s="471"/>
      <c r="ARC927" s="471"/>
      <c r="ARD927" s="471"/>
      <c r="ARE927" s="471"/>
      <c r="ARF927" s="471"/>
      <c r="ARG927" s="471"/>
      <c r="ARH927" s="471"/>
      <c r="ARI927" s="471"/>
      <c r="ARJ927" s="471"/>
      <c r="ARK927" s="471"/>
      <c r="ARL927" s="471"/>
      <c r="ARM927" s="471"/>
      <c r="ARN927" s="471"/>
      <c r="ARO927" s="471"/>
      <c r="ARP927" s="471"/>
      <c r="ARQ927" s="471"/>
      <c r="ARR927" s="471"/>
      <c r="ARS927" s="471"/>
      <c r="ART927" s="471"/>
      <c r="ARU927" s="471"/>
      <c r="ARV927" s="471"/>
      <c r="ARW927" s="471"/>
      <c r="ARX927" s="471"/>
      <c r="ARY927" s="471"/>
      <c r="ARZ927" s="471"/>
      <c r="ASA927" s="471"/>
      <c r="ASB927" s="471"/>
      <c r="ASC927" s="471"/>
      <c r="ASD927" s="471"/>
      <c r="ASE927" s="471"/>
      <c r="ASF927" s="471"/>
      <c r="ASG927" s="471"/>
      <c r="ASH927" s="471"/>
      <c r="ASI927" s="471"/>
      <c r="ASJ927" s="471"/>
      <c r="ASK927" s="471"/>
      <c r="ASL927" s="471"/>
      <c r="ASM927" s="471"/>
      <c r="ASN927" s="471"/>
      <c r="ASO927" s="471"/>
      <c r="ASP927" s="471"/>
      <c r="ASQ927" s="471"/>
      <c r="ASR927" s="471"/>
      <c r="ASS927" s="471"/>
      <c r="AST927" s="471"/>
      <c r="ASU927" s="471"/>
      <c r="ASV927" s="471"/>
      <c r="ASW927" s="471"/>
      <c r="ASX927" s="471"/>
      <c r="ASY927" s="471"/>
      <c r="ASZ927" s="471"/>
      <c r="ATA927" s="471"/>
      <c r="ATB927" s="471"/>
      <c r="ATC927" s="471"/>
      <c r="ATD927" s="471"/>
      <c r="ATE927" s="471"/>
      <c r="ATF927" s="471"/>
      <c r="ATG927" s="471"/>
      <c r="ATH927" s="471"/>
      <c r="ATI927" s="471"/>
      <c r="ATJ927" s="471"/>
      <c r="ATK927" s="471"/>
      <c r="ATL927" s="471"/>
      <c r="ATM927" s="471"/>
      <c r="ATN927" s="471"/>
      <c r="ATO927" s="471"/>
      <c r="ATP927" s="471"/>
      <c r="ATQ927" s="471"/>
      <c r="ATR927" s="471"/>
      <c r="ATS927" s="471"/>
      <c r="ATT927" s="471"/>
      <c r="ATU927" s="471"/>
      <c r="ATV927" s="471"/>
      <c r="ATW927" s="471"/>
      <c r="ATX927" s="471"/>
      <c r="ATY927" s="471"/>
      <c r="ATZ927" s="471"/>
      <c r="AUA927" s="471"/>
      <c r="AUB927" s="471"/>
      <c r="AUC927" s="471"/>
      <c r="AUD927" s="471"/>
      <c r="AUE927" s="471"/>
      <c r="AUF927" s="471"/>
      <c r="AUG927" s="471"/>
      <c r="AUH927" s="471"/>
      <c r="AUI927" s="471"/>
      <c r="AUJ927" s="471"/>
      <c r="AUK927" s="471"/>
      <c r="AUL927" s="471"/>
      <c r="AUM927" s="471"/>
      <c r="AUN927" s="471"/>
      <c r="AUO927" s="471"/>
      <c r="AUP927" s="471"/>
      <c r="AUQ927" s="471"/>
      <c r="AUR927" s="471"/>
      <c r="AUS927" s="471"/>
      <c r="AUT927" s="471"/>
      <c r="AUU927" s="471"/>
      <c r="AUV927" s="471"/>
      <c r="AUW927" s="471"/>
      <c r="AUX927" s="471"/>
      <c r="AUY927" s="471"/>
      <c r="AUZ927" s="471"/>
      <c r="AVA927" s="471"/>
      <c r="AVB927" s="471"/>
      <c r="AVC927" s="471"/>
      <c r="AVD927" s="471"/>
      <c r="AVE927" s="471"/>
      <c r="AVF927" s="471"/>
      <c r="AVG927" s="471"/>
      <c r="AVH927" s="471"/>
      <c r="AVI927" s="471"/>
      <c r="AVJ927" s="471"/>
      <c r="AVK927" s="471"/>
    </row>
    <row r="928" spans="1:1259" s="471" customFormat="1" ht="15" customHeight="1">
      <c r="A928" s="472"/>
      <c r="B928" s="472"/>
      <c r="C928" s="472"/>
      <c r="D928" s="512" t="s">
        <v>3186</v>
      </c>
      <c r="E928" s="512" t="s">
        <v>3044</v>
      </c>
      <c r="F928" s="501"/>
      <c r="G928" s="501"/>
      <c r="H928" s="501"/>
      <c r="I928" s="496" t="s">
        <v>1676</v>
      </c>
      <c r="J928" s="502"/>
      <c r="K928" s="502" t="s">
        <v>4889</v>
      </c>
      <c r="L928" s="502" t="s">
        <v>3278</v>
      </c>
      <c r="M928" s="502">
        <v>44551</v>
      </c>
      <c r="N928" s="502">
        <v>44624</v>
      </c>
      <c r="O928" s="504"/>
      <c r="P928" s="502"/>
      <c r="Q928" s="502"/>
      <c r="R928" s="502"/>
      <c r="S928" s="501" t="s">
        <v>2379</v>
      </c>
      <c r="T928" s="501">
        <v>60</v>
      </c>
      <c r="U928" s="501"/>
      <c r="V928" s="501" t="s">
        <v>1755</v>
      </c>
      <c r="W928" s="501">
        <v>360</v>
      </c>
      <c r="X928" s="505">
        <v>320</v>
      </c>
      <c r="Y928" s="491">
        <f t="shared" si="130"/>
        <v>115200</v>
      </c>
      <c r="Z928" s="506">
        <v>0.505</v>
      </c>
      <c r="AA928" s="492">
        <f t="shared" si="134"/>
        <v>58176</v>
      </c>
      <c r="AB928" s="480"/>
      <c r="AC928" s="481">
        <f t="shared" si="131"/>
        <v>0</v>
      </c>
      <c r="AD928" s="508"/>
      <c r="AE928" s="507"/>
      <c r="AF928" s="493">
        <f t="shared" si="132"/>
        <v>58176</v>
      </c>
      <c r="AG928" s="501" t="s">
        <v>1071</v>
      </c>
      <c r="AH928" s="501"/>
      <c r="AI928" s="503">
        <v>60</v>
      </c>
      <c r="AJ928" s="501" t="s">
        <v>4890</v>
      </c>
      <c r="AK928" s="509" t="s">
        <v>1144</v>
      </c>
      <c r="AL928" s="501">
        <v>79706</v>
      </c>
      <c r="AM928" s="501" t="s">
        <v>52</v>
      </c>
      <c r="AN928" s="501"/>
      <c r="AO928" s="501"/>
      <c r="AP928" s="510"/>
      <c r="AQ928" s="510" t="s">
        <v>37</v>
      </c>
      <c r="AR928" s="510"/>
      <c r="AS928" s="495" t="s">
        <v>1152</v>
      </c>
      <c r="AT928" s="495" t="s">
        <v>1076</v>
      </c>
      <c r="AU928" s="495" t="s">
        <v>1076</v>
      </c>
      <c r="AV928" s="506">
        <v>0.505</v>
      </c>
    </row>
    <row r="929" spans="1:48" s="471" customFormat="1" ht="15" customHeight="1">
      <c r="A929" s="472"/>
      <c r="B929" s="472"/>
      <c r="C929" s="472"/>
      <c r="D929" s="512" t="s">
        <v>3186</v>
      </c>
      <c r="E929" s="512" t="s">
        <v>3044</v>
      </c>
      <c r="F929" s="501"/>
      <c r="G929" s="501"/>
      <c r="H929" s="501"/>
      <c r="I929" s="496" t="s">
        <v>1676</v>
      </c>
      <c r="J929" s="502"/>
      <c r="K929" s="502" t="s">
        <v>4891</v>
      </c>
      <c r="L929" s="502" t="s">
        <v>3278</v>
      </c>
      <c r="M929" s="502">
        <v>44551</v>
      </c>
      <c r="N929" s="502">
        <v>44687</v>
      </c>
      <c r="O929" s="504"/>
      <c r="P929" s="502"/>
      <c r="Q929" s="502"/>
      <c r="R929" s="502"/>
      <c r="S929" s="501" t="s">
        <v>2379</v>
      </c>
      <c r="T929" s="501">
        <v>60</v>
      </c>
      <c r="U929" s="501"/>
      <c r="V929" s="501" t="s">
        <v>1755</v>
      </c>
      <c r="W929" s="501">
        <v>360</v>
      </c>
      <c r="X929" s="505">
        <v>320</v>
      </c>
      <c r="Y929" s="491">
        <f t="shared" si="130"/>
        <v>115200</v>
      </c>
      <c r="Z929" s="506">
        <v>0.505</v>
      </c>
      <c r="AA929" s="492">
        <f t="shared" si="134"/>
        <v>58176</v>
      </c>
      <c r="AB929" s="480"/>
      <c r="AC929" s="481">
        <f t="shared" si="131"/>
        <v>0</v>
      </c>
      <c r="AD929" s="508"/>
      <c r="AE929" s="507"/>
      <c r="AF929" s="493">
        <f t="shared" si="132"/>
        <v>58176</v>
      </c>
      <c r="AG929" s="501" t="s">
        <v>1071</v>
      </c>
      <c r="AH929" s="501"/>
      <c r="AI929" s="503">
        <v>60</v>
      </c>
      <c r="AJ929" s="501" t="s">
        <v>4890</v>
      </c>
      <c r="AK929" s="509" t="s">
        <v>1144</v>
      </c>
      <c r="AL929" s="501">
        <v>79706</v>
      </c>
      <c r="AM929" s="501" t="s">
        <v>52</v>
      </c>
      <c r="AN929" s="501"/>
      <c r="AO929" s="501"/>
      <c r="AP929" s="510"/>
      <c r="AQ929" s="510" t="s">
        <v>37</v>
      </c>
      <c r="AR929" s="510"/>
      <c r="AS929" s="495" t="s">
        <v>1152</v>
      </c>
      <c r="AT929" s="495" t="s">
        <v>1076</v>
      </c>
      <c r="AU929" s="495" t="s">
        <v>1076</v>
      </c>
      <c r="AV929" s="506">
        <v>0.505</v>
      </c>
    </row>
    <row r="930" spans="1:48" s="471" customFormat="1" ht="15" customHeight="1">
      <c r="A930" s="472"/>
      <c r="B930" s="472"/>
      <c r="C930" s="472"/>
      <c r="D930" s="512" t="s">
        <v>3186</v>
      </c>
      <c r="E930" s="512" t="s">
        <v>3044</v>
      </c>
      <c r="F930" s="501"/>
      <c r="G930" s="501"/>
      <c r="H930" s="501"/>
      <c r="I930" s="496" t="s">
        <v>1676</v>
      </c>
      <c r="J930" s="502"/>
      <c r="K930" s="502" t="s">
        <v>4892</v>
      </c>
      <c r="L930" s="502" t="s">
        <v>3278</v>
      </c>
      <c r="M930" s="502">
        <v>44551</v>
      </c>
      <c r="N930" s="502">
        <v>44687</v>
      </c>
      <c r="O930" s="504"/>
      <c r="P930" s="502"/>
      <c r="Q930" s="502"/>
      <c r="R930" s="502"/>
      <c r="S930" s="501" t="s">
        <v>2379</v>
      </c>
      <c r="T930" s="501">
        <v>60</v>
      </c>
      <c r="U930" s="501"/>
      <c r="V930" s="501" t="s">
        <v>1755</v>
      </c>
      <c r="W930" s="501">
        <v>360</v>
      </c>
      <c r="X930" s="505">
        <v>640</v>
      </c>
      <c r="Y930" s="491">
        <f t="shared" si="130"/>
        <v>230400</v>
      </c>
      <c r="Z930" s="506">
        <v>0.505</v>
      </c>
      <c r="AA930" s="492">
        <f t="shared" si="134"/>
        <v>116352</v>
      </c>
      <c r="AB930" s="480"/>
      <c r="AC930" s="481">
        <f t="shared" si="131"/>
        <v>0</v>
      </c>
      <c r="AD930" s="508"/>
      <c r="AE930" s="507"/>
      <c r="AF930" s="493">
        <f t="shared" si="132"/>
        <v>116352</v>
      </c>
      <c r="AG930" s="501" t="s">
        <v>1071</v>
      </c>
      <c r="AH930" s="501"/>
      <c r="AI930" s="503">
        <v>60</v>
      </c>
      <c r="AJ930" s="501" t="s">
        <v>1593</v>
      </c>
      <c r="AK930" s="509" t="s">
        <v>1144</v>
      </c>
      <c r="AL930" s="501">
        <v>78744</v>
      </c>
      <c r="AM930" s="501" t="s">
        <v>52</v>
      </c>
      <c r="AN930" s="501"/>
      <c r="AO930" s="501"/>
      <c r="AP930" s="510"/>
      <c r="AQ930" s="510" t="s">
        <v>37</v>
      </c>
      <c r="AR930" s="510"/>
      <c r="AS930" s="495" t="s">
        <v>1152</v>
      </c>
      <c r="AT930" s="495" t="s">
        <v>1076</v>
      </c>
      <c r="AU930" s="495" t="s">
        <v>1076</v>
      </c>
      <c r="AV930" s="506">
        <v>0.505</v>
      </c>
    </row>
    <row r="931" spans="1:48" s="471" customFormat="1" ht="15" customHeight="1">
      <c r="A931" s="472"/>
      <c r="B931" s="472"/>
      <c r="C931" s="472"/>
      <c r="D931" s="512" t="s">
        <v>3186</v>
      </c>
      <c r="E931" s="512" t="s">
        <v>3044</v>
      </c>
      <c r="F931" s="501"/>
      <c r="G931" s="501"/>
      <c r="H931" s="501"/>
      <c r="I931" s="496" t="s">
        <v>1676</v>
      </c>
      <c r="J931" s="502"/>
      <c r="K931" s="502" t="s">
        <v>4893</v>
      </c>
      <c r="L931" s="502" t="s">
        <v>3278</v>
      </c>
      <c r="M931" s="502">
        <v>44551</v>
      </c>
      <c r="N931" s="502">
        <v>44715</v>
      </c>
      <c r="O931" s="504"/>
      <c r="P931" s="502"/>
      <c r="Q931" s="502"/>
      <c r="R931" s="502"/>
      <c r="S931" s="501" t="s">
        <v>2379</v>
      </c>
      <c r="T931" s="501">
        <v>60</v>
      </c>
      <c r="U931" s="501"/>
      <c r="V931" s="501" t="s">
        <v>1755</v>
      </c>
      <c r="W931" s="501">
        <v>360</v>
      </c>
      <c r="X931" s="505">
        <v>640</v>
      </c>
      <c r="Y931" s="491">
        <f t="shared" si="130"/>
        <v>230400</v>
      </c>
      <c r="Z931" s="506">
        <v>0.505</v>
      </c>
      <c r="AA931" s="492">
        <f t="shared" si="134"/>
        <v>116352</v>
      </c>
      <c r="AB931" s="480"/>
      <c r="AC931" s="481">
        <f t="shared" si="131"/>
        <v>0</v>
      </c>
      <c r="AD931" s="508"/>
      <c r="AE931" s="507"/>
      <c r="AF931" s="493">
        <f t="shared" si="132"/>
        <v>116352</v>
      </c>
      <c r="AG931" s="501" t="s">
        <v>1071</v>
      </c>
      <c r="AH931" s="501"/>
      <c r="AI931" s="503">
        <v>60</v>
      </c>
      <c r="AJ931" s="501" t="s">
        <v>1593</v>
      </c>
      <c r="AK931" s="509" t="s">
        <v>1144</v>
      </c>
      <c r="AL931" s="501">
        <v>78744</v>
      </c>
      <c r="AM931" s="501" t="s">
        <v>52</v>
      </c>
      <c r="AN931" s="501"/>
      <c r="AO931" s="501"/>
      <c r="AP931" s="510"/>
      <c r="AQ931" s="510" t="s">
        <v>37</v>
      </c>
      <c r="AR931" s="510"/>
      <c r="AS931" s="495" t="s">
        <v>1152</v>
      </c>
      <c r="AT931" s="495" t="s">
        <v>1076</v>
      </c>
      <c r="AU931" s="495" t="s">
        <v>1076</v>
      </c>
      <c r="AV931" s="506">
        <v>0.505</v>
      </c>
    </row>
    <row r="932" spans="1:48" s="471" customFormat="1" ht="15" customHeight="1">
      <c r="A932" s="472"/>
      <c r="B932" s="514">
        <v>44568</v>
      </c>
      <c r="C932" s="472"/>
      <c r="D932" s="512" t="s">
        <v>3186</v>
      </c>
      <c r="E932" s="501" t="s">
        <v>3044</v>
      </c>
      <c r="F932" s="501"/>
      <c r="G932" s="501"/>
      <c r="H932" s="501"/>
      <c r="I932" s="496" t="s">
        <v>1676</v>
      </c>
      <c r="J932" s="502"/>
      <c r="K932" s="501" t="s">
        <v>4894</v>
      </c>
      <c r="L932" s="501" t="s">
        <v>3266</v>
      </c>
      <c r="M932" s="504">
        <v>44567</v>
      </c>
      <c r="N932" s="504">
        <v>44743</v>
      </c>
      <c r="O932" s="504"/>
      <c r="P932" s="502"/>
      <c r="Q932" s="502"/>
      <c r="R932" s="502"/>
      <c r="S932" s="501" t="s">
        <v>2379</v>
      </c>
      <c r="T932" s="501">
        <v>60</v>
      </c>
      <c r="U932" s="501"/>
      <c r="V932" s="501" t="s">
        <v>986</v>
      </c>
      <c r="W932" s="501">
        <v>360</v>
      </c>
      <c r="X932" s="505">
        <v>640</v>
      </c>
      <c r="Y932" s="491">
        <f t="shared" si="130"/>
        <v>230400</v>
      </c>
      <c r="Z932" s="506">
        <v>0.505</v>
      </c>
      <c r="AA932" s="492">
        <f t="shared" si="134"/>
        <v>116352</v>
      </c>
      <c r="AB932" s="492"/>
      <c r="AC932" s="446">
        <f t="shared" si="131"/>
        <v>0</v>
      </c>
      <c r="AD932" s="490"/>
      <c r="AE932" s="482"/>
      <c r="AF932" s="580">
        <f t="shared" si="132"/>
        <v>116352</v>
      </c>
      <c r="AG932" s="501" t="s">
        <v>1071</v>
      </c>
      <c r="AH932" s="474"/>
      <c r="AI932" s="503" t="s">
        <v>2442</v>
      </c>
      <c r="AJ932" s="501" t="s">
        <v>4895</v>
      </c>
      <c r="AK932" s="509" t="s">
        <v>1144</v>
      </c>
      <c r="AL932" s="501">
        <v>75019</v>
      </c>
      <c r="AM932" s="501" t="s">
        <v>52</v>
      </c>
      <c r="AN932" s="501"/>
      <c r="AO932" s="501"/>
      <c r="AP932" s="510"/>
      <c r="AQ932" s="510" t="s">
        <v>37</v>
      </c>
      <c r="AR932" s="510"/>
      <c r="AS932" s="495"/>
      <c r="AT932" s="495"/>
      <c r="AU932" s="472"/>
      <c r="AV932" s="506">
        <v>0.505</v>
      </c>
    </row>
    <row r="933" spans="1:48" s="471" customFormat="1" ht="15" customHeight="1">
      <c r="A933" s="472"/>
      <c r="B933" s="514">
        <v>44568</v>
      </c>
      <c r="C933" s="472"/>
      <c r="D933" s="512" t="s">
        <v>3186</v>
      </c>
      <c r="E933" s="501" t="s">
        <v>3044</v>
      </c>
      <c r="F933" s="501"/>
      <c r="G933" s="501"/>
      <c r="H933" s="501"/>
      <c r="I933" s="496" t="s">
        <v>1676</v>
      </c>
      <c r="J933" s="502"/>
      <c r="K933" s="501" t="s">
        <v>4896</v>
      </c>
      <c r="L933" s="501" t="s">
        <v>3266</v>
      </c>
      <c r="M933" s="504">
        <v>44567</v>
      </c>
      <c r="N933" s="504">
        <v>44778</v>
      </c>
      <c r="O933" s="504"/>
      <c r="P933" s="502"/>
      <c r="Q933" s="502"/>
      <c r="R933" s="502"/>
      <c r="S933" s="501" t="s">
        <v>2379</v>
      </c>
      <c r="T933" s="501">
        <v>60</v>
      </c>
      <c r="U933" s="501"/>
      <c r="V933" s="501" t="s">
        <v>986</v>
      </c>
      <c r="W933" s="501">
        <v>360</v>
      </c>
      <c r="X933" s="505">
        <v>640</v>
      </c>
      <c r="Y933" s="491">
        <f t="shared" si="130"/>
        <v>230400</v>
      </c>
      <c r="Z933" s="506">
        <v>0.505</v>
      </c>
      <c r="AA933" s="492">
        <f t="shared" si="134"/>
        <v>116352</v>
      </c>
      <c r="AB933" s="492"/>
      <c r="AC933" s="446">
        <f t="shared" si="131"/>
        <v>0</v>
      </c>
      <c r="AD933" s="490"/>
      <c r="AE933" s="482"/>
      <c r="AF933" s="580">
        <f t="shared" si="132"/>
        <v>116352</v>
      </c>
      <c r="AG933" s="501" t="s">
        <v>1071</v>
      </c>
      <c r="AH933" s="474"/>
      <c r="AI933" s="503" t="s">
        <v>2442</v>
      </c>
      <c r="AJ933" s="501" t="s">
        <v>4895</v>
      </c>
      <c r="AK933" s="509" t="s">
        <v>1144</v>
      </c>
      <c r="AL933" s="501">
        <v>75019</v>
      </c>
      <c r="AM933" s="501" t="s">
        <v>52</v>
      </c>
      <c r="AN933" s="501"/>
      <c r="AO933" s="501"/>
      <c r="AP933" s="510"/>
      <c r="AQ933" s="510" t="s">
        <v>37</v>
      </c>
      <c r="AR933" s="510"/>
      <c r="AS933" s="495"/>
      <c r="AT933" s="495"/>
      <c r="AU933" s="472"/>
      <c r="AV933" s="506">
        <v>0.505</v>
      </c>
    </row>
    <row r="934" spans="1:48" s="471" customFormat="1" ht="15" customHeight="1">
      <c r="A934" s="472"/>
      <c r="B934" s="514">
        <v>44568</v>
      </c>
      <c r="C934" s="472"/>
      <c r="D934" s="512" t="s">
        <v>3186</v>
      </c>
      <c r="E934" s="501" t="s">
        <v>3044</v>
      </c>
      <c r="F934" s="501"/>
      <c r="G934" s="501"/>
      <c r="H934" s="501"/>
      <c r="I934" s="496" t="s">
        <v>1676</v>
      </c>
      <c r="J934" s="502"/>
      <c r="K934" s="501" t="s">
        <v>4897</v>
      </c>
      <c r="L934" s="501" t="s">
        <v>3266</v>
      </c>
      <c r="M934" s="504">
        <v>44567</v>
      </c>
      <c r="N934" s="504">
        <v>44806</v>
      </c>
      <c r="O934" s="504"/>
      <c r="P934" s="502"/>
      <c r="Q934" s="502"/>
      <c r="R934" s="502"/>
      <c r="S934" s="501" t="s">
        <v>2379</v>
      </c>
      <c r="T934" s="501">
        <v>60</v>
      </c>
      <c r="U934" s="501"/>
      <c r="V934" s="501" t="s">
        <v>986</v>
      </c>
      <c r="W934" s="501">
        <v>360</v>
      </c>
      <c r="X934" s="505">
        <v>640</v>
      </c>
      <c r="Y934" s="491">
        <f t="shared" ref="Y934:Y997" si="135">X934*W934</f>
        <v>230400</v>
      </c>
      <c r="Z934" s="506">
        <v>0.505</v>
      </c>
      <c r="AA934" s="492">
        <f t="shared" si="134"/>
        <v>116352</v>
      </c>
      <c r="AB934" s="492"/>
      <c r="AC934" s="446">
        <f t="shared" ref="AC934:AC997" si="136">AB934*Y934</f>
        <v>0</v>
      </c>
      <c r="AD934" s="490"/>
      <c r="AE934" s="482"/>
      <c r="AF934" s="580">
        <f t="shared" ref="AF934:AF997" si="137">AE934+AD934+AA934</f>
        <v>116352</v>
      </c>
      <c r="AG934" s="501" t="s">
        <v>1071</v>
      </c>
      <c r="AH934" s="474"/>
      <c r="AI934" s="503" t="s">
        <v>2442</v>
      </c>
      <c r="AJ934" s="501" t="s">
        <v>4895</v>
      </c>
      <c r="AK934" s="509" t="s">
        <v>1144</v>
      </c>
      <c r="AL934" s="501">
        <v>75019</v>
      </c>
      <c r="AM934" s="501" t="s">
        <v>52</v>
      </c>
      <c r="AN934" s="501"/>
      <c r="AO934" s="501"/>
      <c r="AP934" s="510"/>
      <c r="AQ934" s="510" t="s">
        <v>37</v>
      </c>
      <c r="AR934" s="510"/>
      <c r="AS934" s="495"/>
      <c r="AT934" s="495"/>
      <c r="AU934" s="472"/>
      <c r="AV934" s="506">
        <v>0.505</v>
      </c>
    </row>
    <row r="935" spans="1:48" s="471" customFormat="1" ht="15" customHeight="1">
      <c r="A935" s="472"/>
      <c r="B935" s="514">
        <v>44568</v>
      </c>
      <c r="C935" s="472"/>
      <c r="D935" s="512" t="s">
        <v>3186</v>
      </c>
      <c r="E935" s="501" t="s">
        <v>3044</v>
      </c>
      <c r="F935" s="501"/>
      <c r="G935" s="501"/>
      <c r="H935" s="501"/>
      <c r="I935" s="496" t="s">
        <v>1676</v>
      </c>
      <c r="J935" s="502"/>
      <c r="K935" s="501" t="s">
        <v>4898</v>
      </c>
      <c r="L935" s="501" t="s">
        <v>3266</v>
      </c>
      <c r="M935" s="504">
        <v>44567</v>
      </c>
      <c r="N935" s="504">
        <v>44837</v>
      </c>
      <c r="O935" s="504"/>
      <c r="P935" s="502"/>
      <c r="Q935" s="502"/>
      <c r="R935" s="502"/>
      <c r="S935" s="501" t="s">
        <v>2379</v>
      </c>
      <c r="T935" s="501">
        <v>60</v>
      </c>
      <c r="U935" s="501"/>
      <c r="V935" s="501" t="s">
        <v>986</v>
      </c>
      <c r="W935" s="501">
        <v>360</v>
      </c>
      <c r="X935" s="505">
        <v>640</v>
      </c>
      <c r="Y935" s="491">
        <f t="shared" si="135"/>
        <v>230400</v>
      </c>
      <c r="Z935" s="506">
        <v>0.505</v>
      </c>
      <c r="AA935" s="492">
        <f t="shared" si="134"/>
        <v>116352</v>
      </c>
      <c r="AB935" s="492"/>
      <c r="AC935" s="446">
        <f t="shared" si="136"/>
        <v>0</v>
      </c>
      <c r="AD935" s="490"/>
      <c r="AE935" s="482"/>
      <c r="AF935" s="580">
        <f t="shared" si="137"/>
        <v>116352</v>
      </c>
      <c r="AG935" s="501" t="s">
        <v>1071</v>
      </c>
      <c r="AH935" s="474"/>
      <c r="AI935" s="503" t="s">
        <v>2442</v>
      </c>
      <c r="AJ935" s="501" t="s">
        <v>4895</v>
      </c>
      <c r="AK935" s="509" t="s">
        <v>1144</v>
      </c>
      <c r="AL935" s="501">
        <v>75019</v>
      </c>
      <c r="AM935" s="501" t="s">
        <v>52</v>
      </c>
      <c r="AN935" s="501"/>
      <c r="AO935" s="501"/>
      <c r="AP935" s="510"/>
      <c r="AQ935" s="510" t="s">
        <v>37</v>
      </c>
      <c r="AR935" s="510"/>
      <c r="AS935" s="495"/>
      <c r="AT935" s="495"/>
      <c r="AU935" s="472"/>
      <c r="AV935" s="506">
        <v>0.505</v>
      </c>
    </row>
    <row r="936" spans="1:48" s="471" customFormat="1" ht="15" customHeight="1">
      <c r="A936" s="472"/>
      <c r="B936" s="514">
        <v>44568</v>
      </c>
      <c r="C936" s="472"/>
      <c r="D936" s="512" t="s">
        <v>3186</v>
      </c>
      <c r="E936" s="501" t="s">
        <v>3044</v>
      </c>
      <c r="F936" s="501"/>
      <c r="G936" s="501"/>
      <c r="H936" s="501"/>
      <c r="I936" s="496" t="s">
        <v>1676</v>
      </c>
      <c r="J936" s="502"/>
      <c r="K936" s="501" t="s">
        <v>4899</v>
      </c>
      <c r="L936" s="501" t="s">
        <v>3266</v>
      </c>
      <c r="M936" s="504">
        <v>44567</v>
      </c>
      <c r="N936" s="504">
        <v>44869</v>
      </c>
      <c r="O936" s="504"/>
      <c r="P936" s="502"/>
      <c r="Q936" s="502"/>
      <c r="R936" s="502"/>
      <c r="S936" s="501" t="s">
        <v>2379</v>
      </c>
      <c r="T936" s="501">
        <v>60</v>
      </c>
      <c r="U936" s="501"/>
      <c r="V936" s="501" t="s">
        <v>986</v>
      </c>
      <c r="W936" s="501">
        <v>360</v>
      </c>
      <c r="X936" s="505">
        <v>640</v>
      </c>
      <c r="Y936" s="491">
        <f t="shared" si="135"/>
        <v>230400</v>
      </c>
      <c r="Z936" s="506">
        <v>0.505</v>
      </c>
      <c r="AA936" s="492">
        <f t="shared" si="134"/>
        <v>116352</v>
      </c>
      <c r="AB936" s="492"/>
      <c r="AC936" s="446">
        <f t="shared" si="136"/>
        <v>0</v>
      </c>
      <c r="AD936" s="490"/>
      <c r="AE936" s="482"/>
      <c r="AF936" s="580">
        <f t="shared" si="137"/>
        <v>116352</v>
      </c>
      <c r="AG936" s="501" t="s">
        <v>1071</v>
      </c>
      <c r="AH936" s="474"/>
      <c r="AI936" s="503" t="s">
        <v>2442</v>
      </c>
      <c r="AJ936" s="501" t="s">
        <v>4895</v>
      </c>
      <c r="AK936" s="509" t="s">
        <v>1144</v>
      </c>
      <c r="AL936" s="501">
        <v>75019</v>
      </c>
      <c r="AM936" s="501" t="s">
        <v>52</v>
      </c>
      <c r="AN936" s="501"/>
      <c r="AO936" s="501"/>
      <c r="AP936" s="510"/>
      <c r="AQ936" s="510" t="s">
        <v>37</v>
      </c>
      <c r="AR936" s="510"/>
      <c r="AS936" s="495"/>
      <c r="AT936" s="495"/>
      <c r="AU936" s="472"/>
      <c r="AV936" s="506">
        <v>0.505</v>
      </c>
    </row>
    <row r="937" spans="1:48" s="471" customFormat="1" ht="15" customHeight="1">
      <c r="A937" s="472"/>
      <c r="B937" s="514">
        <v>44568</v>
      </c>
      <c r="C937" s="472"/>
      <c r="D937" s="512" t="s">
        <v>3186</v>
      </c>
      <c r="E937" s="501" t="s">
        <v>3044</v>
      </c>
      <c r="F937" s="501"/>
      <c r="G937" s="501"/>
      <c r="H937" s="501"/>
      <c r="I937" s="496" t="s">
        <v>1676</v>
      </c>
      <c r="J937" s="502"/>
      <c r="K937" s="501" t="s">
        <v>4900</v>
      </c>
      <c r="L937" s="501" t="s">
        <v>3266</v>
      </c>
      <c r="M937" s="504">
        <v>44567</v>
      </c>
      <c r="N937" s="504">
        <v>44896</v>
      </c>
      <c r="O937" s="504"/>
      <c r="P937" s="502"/>
      <c r="Q937" s="502"/>
      <c r="R937" s="502"/>
      <c r="S937" s="501" t="s">
        <v>2379</v>
      </c>
      <c r="T937" s="501">
        <v>60</v>
      </c>
      <c r="U937" s="501"/>
      <c r="V937" s="501" t="s">
        <v>986</v>
      </c>
      <c r="W937" s="501">
        <v>360</v>
      </c>
      <c r="X937" s="505">
        <v>640</v>
      </c>
      <c r="Y937" s="491">
        <f t="shared" si="135"/>
        <v>230400</v>
      </c>
      <c r="Z937" s="506">
        <v>0.505</v>
      </c>
      <c r="AA937" s="492">
        <f t="shared" si="134"/>
        <v>116352</v>
      </c>
      <c r="AB937" s="492"/>
      <c r="AC937" s="446">
        <f t="shared" si="136"/>
        <v>0</v>
      </c>
      <c r="AD937" s="490"/>
      <c r="AE937" s="482"/>
      <c r="AF937" s="580">
        <f t="shared" si="137"/>
        <v>116352</v>
      </c>
      <c r="AG937" s="501" t="s">
        <v>1071</v>
      </c>
      <c r="AH937" s="474"/>
      <c r="AI937" s="503" t="s">
        <v>2442</v>
      </c>
      <c r="AJ937" s="501" t="s">
        <v>4895</v>
      </c>
      <c r="AK937" s="509" t="s">
        <v>1144</v>
      </c>
      <c r="AL937" s="501">
        <v>75019</v>
      </c>
      <c r="AM937" s="501" t="s">
        <v>52</v>
      </c>
      <c r="AN937" s="501"/>
      <c r="AO937" s="501"/>
      <c r="AP937" s="510"/>
      <c r="AQ937" s="510" t="s">
        <v>37</v>
      </c>
      <c r="AR937" s="510"/>
      <c r="AS937" s="495"/>
      <c r="AT937" s="495"/>
      <c r="AU937" s="472"/>
      <c r="AV937" s="506">
        <v>0.505</v>
      </c>
    </row>
    <row r="938" spans="1:48" s="471" customFormat="1" ht="15" customHeight="1">
      <c r="A938" s="472"/>
      <c r="B938" s="514">
        <v>44568</v>
      </c>
      <c r="C938" s="472"/>
      <c r="D938" s="512" t="s">
        <v>3186</v>
      </c>
      <c r="E938" s="501" t="s">
        <v>3044</v>
      </c>
      <c r="F938" s="501"/>
      <c r="G938" s="501"/>
      <c r="H938" s="501"/>
      <c r="I938" s="496" t="s">
        <v>1676</v>
      </c>
      <c r="J938" s="502"/>
      <c r="K938" s="503" t="s">
        <v>4901</v>
      </c>
      <c r="L938" s="501" t="s">
        <v>3278</v>
      </c>
      <c r="M938" s="504">
        <v>44568</v>
      </c>
      <c r="N938" s="504">
        <v>44746</v>
      </c>
      <c r="O938" s="504"/>
      <c r="P938" s="502"/>
      <c r="Q938" s="502"/>
      <c r="R938" s="502"/>
      <c r="S938" s="501" t="s">
        <v>2379</v>
      </c>
      <c r="T938" s="501">
        <v>60</v>
      </c>
      <c r="U938" s="501"/>
      <c r="V938" s="501" t="s">
        <v>986</v>
      </c>
      <c r="W938" s="501">
        <v>360</v>
      </c>
      <c r="X938" s="505">
        <v>640</v>
      </c>
      <c r="Y938" s="491">
        <f t="shared" si="135"/>
        <v>230400</v>
      </c>
      <c r="Z938" s="506">
        <v>0.505</v>
      </c>
      <c r="AA938" s="492">
        <f t="shared" si="134"/>
        <v>116352</v>
      </c>
      <c r="AB938" s="480"/>
      <c r="AC938" s="481">
        <f t="shared" si="136"/>
        <v>0</v>
      </c>
      <c r="AD938" s="508"/>
      <c r="AE938" s="507"/>
      <c r="AF938" s="493">
        <f t="shared" si="137"/>
        <v>116352</v>
      </c>
      <c r="AG938" s="501" t="s">
        <v>1071</v>
      </c>
      <c r="AH938" s="501"/>
      <c r="AI938" s="503">
        <v>60</v>
      </c>
      <c r="AJ938" s="501" t="s">
        <v>1593</v>
      </c>
      <c r="AK938" s="509" t="s">
        <v>1144</v>
      </c>
      <c r="AL938" s="501">
        <v>78744</v>
      </c>
      <c r="AM938" s="501" t="s">
        <v>52</v>
      </c>
      <c r="AN938" s="501"/>
      <c r="AO938" s="501"/>
      <c r="AP938" s="510"/>
      <c r="AQ938" s="510" t="s">
        <v>37</v>
      </c>
      <c r="AR938" s="510"/>
      <c r="AS938" s="495" t="s">
        <v>1152</v>
      </c>
      <c r="AT938" s="495" t="s">
        <v>1076</v>
      </c>
      <c r="AU938" s="495" t="s">
        <v>1076</v>
      </c>
      <c r="AV938" s="506">
        <v>0.505</v>
      </c>
    </row>
    <row r="939" spans="1:48" s="471" customFormat="1" ht="15" customHeight="1">
      <c r="A939" s="472"/>
      <c r="B939" s="514">
        <v>44568</v>
      </c>
      <c r="C939" s="472"/>
      <c r="D939" s="512" t="s">
        <v>3186</v>
      </c>
      <c r="E939" s="501" t="s">
        <v>3044</v>
      </c>
      <c r="F939" s="501"/>
      <c r="G939" s="501"/>
      <c r="H939" s="501"/>
      <c r="I939" s="496" t="s">
        <v>1676</v>
      </c>
      <c r="J939" s="502"/>
      <c r="K939" s="503" t="s">
        <v>4902</v>
      </c>
      <c r="L939" s="501" t="s">
        <v>3278</v>
      </c>
      <c r="M939" s="504">
        <v>44568</v>
      </c>
      <c r="N939" s="504">
        <v>44778</v>
      </c>
      <c r="O939" s="504"/>
      <c r="P939" s="502"/>
      <c r="Q939" s="502"/>
      <c r="R939" s="502"/>
      <c r="S939" s="501" t="s">
        <v>2379</v>
      </c>
      <c r="T939" s="501">
        <v>60</v>
      </c>
      <c r="U939" s="501"/>
      <c r="V939" s="501" t="s">
        <v>986</v>
      </c>
      <c r="W939" s="501">
        <v>360</v>
      </c>
      <c r="X939" s="505">
        <v>640</v>
      </c>
      <c r="Y939" s="491">
        <f t="shared" si="135"/>
        <v>230400</v>
      </c>
      <c r="Z939" s="506">
        <v>0.505</v>
      </c>
      <c r="AA939" s="492">
        <f t="shared" si="134"/>
        <v>116352</v>
      </c>
      <c r="AB939" s="480"/>
      <c r="AC939" s="481">
        <f t="shared" si="136"/>
        <v>0</v>
      </c>
      <c r="AD939" s="508"/>
      <c r="AE939" s="507"/>
      <c r="AF939" s="493">
        <f t="shared" si="137"/>
        <v>116352</v>
      </c>
      <c r="AG939" s="501" t="s">
        <v>1071</v>
      </c>
      <c r="AH939" s="501"/>
      <c r="AI939" s="503">
        <v>60</v>
      </c>
      <c r="AJ939" s="501" t="s">
        <v>1593</v>
      </c>
      <c r="AK939" s="509" t="s">
        <v>1144</v>
      </c>
      <c r="AL939" s="501">
        <v>78744</v>
      </c>
      <c r="AM939" s="501" t="s">
        <v>52</v>
      </c>
      <c r="AN939" s="501"/>
      <c r="AO939" s="501"/>
      <c r="AP939" s="510"/>
      <c r="AQ939" s="510" t="s">
        <v>37</v>
      </c>
      <c r="AR939" s="510"/>
      <c r="AS939" s="495" t="s">
        <v>1152</v>
      </c>
      <c r="AT939" s="495" t="s">
        <v>1076</v>
      </c>
      <c r="AU939" s="495" t="s">
        <v>1076</v>
      </c>
      <c r="AV939" s="506">
        <v>0.505</v>
      </c>
    </row>
    <row r="940" spans="1:48" s="471" customFormat="1" ht="15" customHeight="1">
      <c r="A940" s="472"/>
      <c r="B940" s="514">
        <v>44568</v>
      </c>
      <c r="C940" s="472"/>
      <c r="D940" s="512" t="s">
        <v>3186</v>
      </c>
      <c r="E940" s="501" t="s">
        <v>3044</v>
      </c>
      <c r="F940" s="501"/>
      <c r="G940" s="501"/>
      <c r="H940" s="501"/>
      <c r="I940" s="496" t="s">
        <v>1676</v>
      </c>
      <c r="J940" s="502"/>
      <c r="K940" s="503" t="s">
        <v>4903</v>
      </c>
      <c r="L940" s="501" t="s">
        <v>3278</v>
      </c>
      <c r="M940" s="504">
        <v>44568</v>
      </c>
      <c r="N940" s="504">
        <v>44806</v>
      </c>
      <c r="O940" s="504"/>
      <c r="P940" s="502"/>
      <c r="Q940" s="502"/>
      <c r="R940" s="502"/>
      <c r="S940" s="501" t="s">
        <v>2379</v>
      </c>
      <c r="T940" s="501">
        <v>60</v>
      </c>
      <c r="U940" s="501"/>
      <c r="V940" s="501" t="s">
        <v>986</v>
      </c>
      <c r="W940" s="501">
        <v>360</v>
      </c>
      <c r="X940" s="505">
        <v>640</v>
      </c>
      <c r="Y940" s="491">
        <f t="shared" si="135"/>
        <v>230400</v>
      </c>
      <c r="Z940" s="506">
        <v>0.505</v>
      </c>
      <c r="AA940" s="492">
        <f t="shared" si="134"/>
        <v>116352</v>
      </c>
      <c r="AB940" s="480"/>
      <c r="AC940" s="481">
        <f t="shared" si="136"/>
        <v>0</v>
      </c>
      <c r="AD940" s="508"/>
      <c r="AE940" s="507"/>
      <c r="AF940" s="493">
        <f t="shared" si="137"/>
        <v>116352</v>
      </c>
      <c r="AG940" s="501" t="s">
        <v>1071</v>
      </c>
      <c r="AH940" s="501"/>
      <c r="AI940" s="503">
        <v>60</v>
      </c>
      <c r="AJ940" s="501" t="s">
        <v>1593</v>
      </c>
      <c r="AK940" s="509" t="s">
        <v>1144</v>
      </c>
      <c r="AL940" s="501">
        <v>78744</v>
      </c>
      <c r="AM940" s="501" t="s">
        <v>52</v>
      </c>
      <c r="AN940" s="501"/>
      <c r="AO940" s="501"/>
      <c r="AP940" s="510"/>
      <c r="AQ940" s="510" t="s">
        <v>37</v>
      </c>
      <c r="AR940" s="510"/>
      <c r="AS940" s="495" t="s">
        <v>1152</v>
      </c>
      <c r="AT940" s="495" t="s">
        <v>1076</v>
      </c>
      <c r="AU940" s="495" t="s">
        <v>1076</v>
      </c>
      <c r="AV940" s="506">
        <v>0.505</v>
      </c>
    </row>
    <row r="941" spans="1:48" s="471" customFormat="1" ht="15" customHeight="1">
      <c r="A941" s="472"/>
      <c r="B941" s="514">
        <v>44568</v>
      </c>
      <c r="C941" s="472"/>
      <c r="D941" s="512" t="s">
        <v>3186</v>
      </c>
      <c r="E941" s="501" t="s">
        <v>3044</v>
      </c>
      <c r="F941" s="501"/>
      <c r="G941" s="501"/>
      <c r="H941" s="501"/>
      <c r="I941" s="496" t="s">
        <v>1676</v>
      </c>
      <c r="J941" s="502"/>
      <c r="K941" s="503" t="s">
        <v>4904</v>
      </c>
      <c r="L941" s="501" t="s">
        <v>3278</v>
      </c>
      <c r="M941" s="504">
        <v>44568</v>
      </c>
      <c r="N941" s="504">
        <v>44837</v>
      </c>
      <c r="O941" s="504"/>
      <c r="P941" s="502"/>
      <c r="Q941" s="502"/>
      <c r="R941" s="502"/>
      <c r="S941" s="501" t="s">
        <v>2379</v>
      </c>
      <c r="T941" s="501">
        <v>60</v>
      </c>
      <c r="U941" s="501"/>
      <c r="V941" s="501" t="s">
        <v>986</v>
      </c>
      <c r="W941" s="501">
        <v>360</v>
      </c>
      <c r="X941" s="505">
        <v>640</v>
      </c>
      <c r="Y941" s="491">
        <f t="shared" si="135"/>
        <v>230400</v>
      </c>
      <c r="Z941" s="506">
        <v>0.505</v>
      </c>
      <c r="AA941" s="492">
        <f t="shared" si="134"/>
        <v>116352</v>
      </c>
      <c r="AB941" s="480"/>
      <c r="AC941" s="481">
        <f t="shared" si="136"/>
        <v>0</v>
      </c>
      <c r="AD941" s="508"/>
      <c r="AE941" s="507"/>
      <c r="AF941" s="493">
        <f t="shared" si="137"/>
        <v>116352</v>
      </c>
      <c r="AG941" s="501" t="s">
        <v>1071</v>
      </c>
      <c r="AH941" s="501"/>
      <c r="AI941" s="503">
        <v>60</v>
      </c>
      <c r="AJ941" s="501" t="s">
        <v>1593</v>
      </c>
      <c r="AK941" s="509" t="s">
        <v>1144</v>
      </c>
      <c r="AL941" s="501">
        <v>78744</v>
      </c>
      <c r="AM941" s="501" t="s">
        <v>52</v>
      </c>
      <c r="AN941" s="501"/>
      <c r="AO941" s="501"/>
      <c r="AP941" s="510"/>
      <c r="AQ941" s="510" t="s">
        <v>37</v>
      </c>
      <c r="AR941" s="510"/>
      <c r="AS941" s="495" t="s">
        <v>1152</v>
      </c>
      <c r="AT941" s="495" t="s">
        <v>1076</v>
      </c>
      <c r="AU941" s="495" t="s">
        <v>1076</v>
      </c>
      <c r="AV941" s="506">
        <v>0.505</v>
      </c>
    </row>
    <row r="942" spans="1:48" s="471" customFormat="1" ht="15" customHeight="1">
      <c r="A942" s="472"/>
      <c r="B942" s="514">
        <v>44568</v>
      </c>
      <c r="C942" s="472"/>
      <c r="D942" s="512" t="s">
        <v>3186</v>
      </c>
      <c r="E942" s="501" t="s">
        <v>3044</v>
      </c>
      <c r="F942" s="501"/>
      <c r="G942" s="501"/>
      <c r="H942" s="501"/>
      <c r="I942" s="496" t="s">
        <v>1676</v>
      </c>
      <c r="J942" s="502"/>
      <c r="K942" s="503" t="s">
        <v>4905</v>
      </c>
      <c r="L942" s="501" t="s">
        <v>3278</v>
      </c>
      <c r="M942" s="504">
        <v>44568</v>
      </c>
      <c r="N942" s="504">
        <v>44897</v>
      </c>
      <c r="O942" s="504"/>
      <c r="P942" s="502"/>
      <c r="Q942" s="502"/>
      <c r="R942" s="502"/>
      <c r="S942" s="501" t="s">
        <v>2379</v>
      </c>
      <c r="T942" s="501">
        <v>60</v>
      </c>
      <c r="U942" s="501"/>
      <c r="V942" s="501" t="s">
        <v>986</v>
      </c>
      <c r="W942" s="501">
        <v>360</v>
      </c>
      <c r="X942" s="505">
        <v>640</v>
      </c>
      <c r="Y942" s="491">
        <f t="shared" si="135"/>
        <v>230400</v>
      </c>
      <c r="Z942" s="506">
        <v>0.505</v>
      </c>
      <c r="AA942" s="492">
        <f t="shared" si="134"/>
        <v>116352</v>
      </c>
      <c r="AB942" s="480"/>
      <c r="AC942" s="481">
        <f t="shared" si="136"/>
        <v>0</v>
      </c>
      <c r="AD942" s="508"/>
      <c r="AE942" s="507"/>
      <c r="AF942" s="493">
        <f t="shared" si="137"/>
        <v>116352</v>
      </c>
      <c r="AG942" s="501" t="s">
        <v>1071</v>
      </c>
      <c r="AH942" s="501"/>
      <c r="AI942" s="503">
        <v>60</v>
      </c>
      <c r="AJ942" s="501" t="s">
        <v>1593</v>
      </c>
      <c r="AK942" s="509" t="s">
        <v>1144</v>
      </c>
      <c r="AL942" s="501">
        <v>78744</v>
      </c>
      <c r="AM942" s="501" t="s">
        <v>52</v>
      </c>
      <c r="AN942" s="501"/>
      <c r="AO942" s="501"/>
      <c r="AP942" s="510"/>
      <c r="AQ942" s="510" t="s">
        <v>37</v>
      </c>
      <c r="AR942" s="510"/>
      <c r="AS942" s="495" t="s">
        <v>1152</v>
      </c>
      <c r="AT942" s="495" t="s">
        <v>1076</v>
      </c>
      <c r="AU942" s="495" t="s">
        <v>1076</v>
      </c>
      <c r="AV942" s="506">
        <v>0.505</v>
      </c>
    </row>
    <row r="943" spans="1:48" s="471" customFormat="1" ht="15" customHeight="1">
      <c r="A943" s="472"/>
      <c r="B943" s="514">
        <v>44568</v>
      </c>
      <c r="C943" s="472"/>
      <c r="D943" s="512" t="s">
        <v>3186</v>
      </c>
      <c r="E943" s="501" t="s">
        <v>3044</v>
      </c>
      <c r="F943" s="501"/>
      <c r="G943" s="501"/>
      <c r="H943" s="501"/>
      <c r="I943" s="496" t="s">
        <v>1676</v>
      </c>
      <c r="J943" s="502"/>
      <c r="K943" s="503" t="s">
        <v>4906</v>
      </c>
      <c r="L943" s="501" t="s">
        <v>3278</v>
      </c>
      <c r="M943" s="504">
        <v>44568</v>
      </c>
      <c r="N943" s="504">
        <v>44869</v>
      </c>
      <c r="O943" s="504"/>
      <c r="P943" s="502"/>
      <c r="Q943" s="502"/>
      <c r="R943" s="502"/>
      <c r="S943" s="501" t="s">
        <v>2379</v>
      </c>
      <c r="T943" s="501">
        <v>60</v>
      </c>
      <c r="U943" s="501"/>
      <c r="V943" s="501" t="s">
        <v>986</v>
      </c>
      <c r="W943" s="501">
        <v>360</v>
      </c>
      <c r="X943" s="505">
        <v>640</v>
      </c>
      <c r="Y943" s="491">
        <f t="shared" si="135"/>
        <v>230400</v>
      </c>
      <c r="Z943" s="506">
        <v>0.505</v>
      </c>
      <c r="AA943" s="492">
        <f t="shared" si="134"/>
        <v>116352</v>
      </c>
      <c r="AB943" s="480"/>
      <c r="AC943" s="481">
        <f t="shared" si="136"/>
        <v>0</v>
      </c>
      <c r="AD943" s="508"/>
      <c r="AE943" s="507"/>
      <c r="AF943" s="493">
        <f t="shared" si="137"/>
        <v>116352</v>
      </c>
      <c r="AG943" s="501" t="s">
        <v>1071</v>
      </c>
      <c r="AH943" s="501"/>
      <c r="AI943" s="503">
        <v>60</v>
      </c>
      <c r="AJ943" s="501" t="s">
        <v>1593</v>
      </c>
      <c r="AK943" s="509" t="s">
        <v>1144</v>
      </c>
      <c r="AL943" s="501">
        <v>78744</v>
      </c>
      <c r="AM943" s="501" t="s">
        <v>52</v>
      </c>
      <c r="AN943" s="501"/>
      <c r="AO943" s="501"/>
      <c r="AP943" s="510"/>
      <c r="AQ943" s="510" t="s">
        <v>37</v>
      </c>
      <c r="AR943" s="510"/>
      <c r="AS943" s="495" t="s">
        <v>1152</v>
      </c>
      <c r="AT943" s="495" t="s">
        <v>1076</v>
      </c>
      <c r="AU943" s="495" t="s">
        <v>1076</v>
      </c>
      <c r="AV943" s="506">
        <v>0.505</v>
      </c>
    </row>
    <row r="944" spans="1:48" s="471" customFormat="1" ht="15" customHeight="1">
      <c r="A944" s="472"/>
      <c r="B944" s="514">
        <v>44595</v>
      </c>
      <c r="C944" s="514"/>
      <c r="D944" s="512" t="s">
        <v>3186</v>
      </c>
      <c r="E944" s="501" t="s">
        <v>3044</v>
      </c>
      <c r="F944" s="501"/>
      <c r="G944" s="501"/>
      <c r="H944" s="501"/>
      <c r="I944" s="501" t="s">
        <v>1676</v>
      </c>
      <c r="J944" s="513"/>
      <c r="K944" s="501" t="s">
        <v>4907</v>
      </c>
      <c r="L944" s="501" t="s">
        <v>3266</v>
      </c>
      <c r="M944" s="504">
        <v>44593</v>
      </c>
      <c r="N944" s="504">
        <v>44743</v>
      </c>
      <c r="O944" s="504"/>
      <c r="P944" s="502"/>
      <c r="Q944" s="502"/>
      <c r="R944" s="502"/>
      <c r="S944" s="501" t="s">
        <v>2379</v>
      </c>
      <c r="T944" s="501">
        <v>60</v>
      </c>
      <c r="U944" s="501"/>
      <c r="V944" s="501" t="s">
        <v>986</v>
      </c>
      <c r="W944" s="501">
        <v>360</v>
      </c>
      <c r="X944" s="505">
        <v>320</v>
      </c>
      <c r="Y944" s="491">
        <f t="shared" si="135"/>
        <v>115200</v>
      </c>
      <c r="Z944" s="478">
        <v>0.505</v>
      </c>
      <c r="AA944" s="492">
        <f t="shared" si="134"/>
        <v>58176</v>
      </c>
      <c r="AB944" s="480"/>
      <c r="AC944" s="481">
        <f t="shared" si="136"/>
        <v>0</v>
      </c>
      <c r="AD944" s="490"/>
      <c r="AE944" s="482"/>
      <c r="AF944" s="493">
        <f t="shared" si="137"/>
        <v>58176</v>
      </c>
      <c r="AG944" s="474" t="s">
        <v>1071</v>
      </c>
      <c r="AH944" s="474"/>
      <c r="AI944" s="483">
        <v>60</v>
      </c>
      <c r="AJ944" s="474" t="s">
        <v>1384</v>
      </c>
      <c r="AK944" s="494" t="s">
        <v>1144</v>
      </c>
      <c r="AL944" s="474">
        <v>77092</v>
      </c>
      <c r="AM944" s="474" t="s">
        <v>52</v>
      </c>
      <c r="AN944" s="474"/>
      <c r="AO944" s="474"/>
      <c r="AP944" s="486"/>
      <c r="AQ944" s="486" t="s">
        <v>37</v>
      </c>
      <c r="AR944" s="486"/>
      <c r="AS944" s="495"/>
      <c r="AT944" s="495"/>
      <c r="AU944" s="495"/>
      <c r="AV944" s="478">
        <v>0.80577777777000004</v>
      </c>
    </row>
    <row r="945" spans="1:48" s="471" customFormat="1" ht="15" customHeight="1">
      <c r="A945" s="472"/>
      <c r="B945" s="514">
        <v>44595</v>
      </c>
      <c r="C945" s="514"/>
      <c r="D945" s="512" t="s">
        <v>3186</v>
      </c>
      <c r="E945" s="501" t="s">
        <v>3044</v>
      </c>
      <c r="F945" s="501"/>
      <c r="G945" s="501"/>
      <c r="H945" s="501"/>
      <c r="I945" s="501" t="s">
        <v>1676</v>
      </c>
      <c r="J945" s="513"/>
      <c r="K945" s="501" t="s">
        <v>4908</v>
      </c>
      <c r="L945" s="501" t="s">
        <v>3266</v>
      </c>
      <c r="M945" s="504">
        <v>44593</v>
      </c>
      <c r="N945" s="504">
        <v>44778</v>
      </c>
      <c r="O945" s="504"/>
      <c r="P945" s="502"/>
      <c r="Q945" s="502"/>
      <c r="R945" s="502"/>
      <c r="S945" s="501" t="s">
        <v>2379</v>
      </c>
      <c r="T945" s="501">
        <v>60</v>
      </c>
      <c r="U945" s="501"/>
      <c r="V945" s="501" t="s">
        <v>986</v>
      </c>
      <c r="W945" s="501">
        <v>360</v>
      </c>
      <c r="X945" s="505">
        <v>320</v>
      </c>
      <c r="Y945" s="491">
        <f t="shared" si="135"/>
        <v>115200</v>
      </c>
      <c r="Z945" s="478">
        <v>0.505</v>
      </c>
      <c r="AA945" s="492">
        <f t="shared" si="134"/>
        <v>58176</v>
      </c>
      <c r="AB945" s="480"/>
      <c r="AC945" s="481">
        <f t="shared" si="136"/>
        <v>0</v>
      </c>
      <c r="AD945" s="490"/>
      <c r="AE945" s="482"/>
      <c r="AF945" s="493">
        <f t="shared" si="137"/>
        <v>58176</v>
      </c>
      <c r="AG945" s="474" t="s">
        <v>1071</v>
      </c>
      <c r="AH945" s="474"/>
      <c r="AI945" s="483">
        <v>60</v>
      </c>
      <c r="AJ945" s="474" t="s">
        <v>1384</v>
      </c>
      <c r="AK945" s="494" t="s">
        <v>1144</v>
      </c>
      <c r="AL945" s="474">
        <v>77092</v>
      </c>
      <c r="AM945" s="474" t="s">
        <v>52</v>
      </c>
      <c r="AN945" s="474"/>
      <c r="AO945" s="474"/>
      <c r="AP945" s="486"/>
      <c r="AQ945" s="486" t="s">
        <v>37</v>
      </c>
      <c r="AR945" s="486"/>
      <c r="AS945" s="495"/>
      <c r="AT945" s="495"/>
      <c r="AU945" s="495"/>
      <c r="AV945" s="478">
        <v>0.80577777777000004</v>
      </c>
    </row>
    <row r="946" spans="1:48" s="471" customFormat="1" ht="15" customHeight="1">
      <c r="A946" s="472"/>
      <c r="B946" s="514">
        <v>44595</v>
      </c>
      <c r="C946" s="514"/>
      <c r="D946" s="512" t="s">
        <v>3186</v>
      </c>
      <c r="E946" s="501" t="s">
        <v>3044</v>
      </c>
      <c r="F946" s="501"/>
      <c r="G946" s="501"/>
      <c r="H946" s="501"/>
      <c r="I946" s="501" t="s">
        <v>1676</v>
      </c>
      <c r="J946" s="513"/>
      <c r="K946" s="501" t="s">
        <v>4909</v>
      </c>
      <c r="L946" s="501" t="s">
        <v>3266</v>
      </c>
      <c r="M946" s="504">
        <v>44593</v>
      </c>
      <c r="N946" s="504">
        <v>44806</v>
      </c>
      <c r="O946" s="504"/>
      <c r="P946" s="502"/>
      <c r="Q946" s="502"/>
      <c r="R946" s="502"/>
      <c r="S946" s="501" t="s">
        <v>2379</v>
      </c>
      <c r="T946" s="501">
        <v>60</v>
      </c>
      <c r="U946" s="501"/>
      <c r="V946" s="501" t="s">
        <v>986</v>
      </c>
      <c r="W946" s="501">
        <v>360</v>
      </c>
      <c r="X946" s="505">
        <v>320</v>
      </c>
      <c r="Y946" s="491">
        <f t="shared" si="135"/>
        <v>115200</v>
      </c>
      <c r="Z946" s="478">
        <v>0.505</v>
      </c>
      <c r="AA946" s="492">
        <f t="shared" si="134"/>
        <v>58176</v>
      </c>
      <c r="AB946" s="480"/>
      <c r="AC946" s="481">
        <f t="shared" si="136"/>
        <v>0</v>
      </c>
      <c r="AD946" s="490"/>
      <c r="AE946" s="482"/>
      <c r="AF946" s="493">
        <f t="shared" si="137"/>
        <v>58176</v>
      </c>
      <c r="AG946" s="474" t="s">
        <v>1071</v>
      </c>
      <c r="AH946" s="474"/>
      <c r="AI946" s="483">
        <v>60</v>
      </c>
      <c r="AJ946" s="474" t="s">
        <v>1384</v>
      </c>
      <c r="AK946" s="494" t="s">
        <v>1144</v>
      </c>
      <c r="AL946" s="474">
        <v>77092</v>
      </c>
      <c r="AM946" s="474" t="s">
        <v>52</v>
      </c>
      <c r="AN946" s="474"/>
      <c r="AO946" s="474"/>
      <c r="AP946" s="486"/>
      <c r="AQ946" s="486" t="s">
        <v>37</v>
      </c>
      <c r="AR946" s="486"/>
      <c r="AS946" s="495"/>
      <c r="AT946" s="495"/>
      <c r="AU946" s="495"/>
      <c r="AV946" s="478">
        <v>0.80577777777000004</v>
      </c>
    </row>
    <row r="947" spans="1:48" s="471" customFormat="1" ht="15" customHeight="1">
      <c r="A947" s="472"/>
      <c r="B947" s="514">
        <v>44595</v>
      </c>
      <c r="C947" s="514"/>
      <c r="D947" s="512" t="s">
        <v>3186</v>
      </c>
      <c r="E947" s="501" t="s">
        <v>3044</v>
      </c>
      <c r="F947" s="501"/>
      <c r="G947" s="501"/>
      <c r="H947" s="501"/>
      <c r="I947" s="501" t="s">
        <v>1676</v>
      </c>
      <c r="J947" s="513"/>
      <c r="K947" s="501" t="s">
        <v>4910</v>
      </c>
      <c r="L947" s="501" t="s">
        <v>3266</v>
      </c>
      <c r="M947" s="504">
        <v>44593</v>
      </c>
      <c r="N947" s="504">
        <v>44743</v>
      </c>
      <c r="O947" s="504"/>
      <c r="P947" s="502"/>
      <c r="Q947" s="502"/>
      <c r="R947" s="502"/>
      <c r="S947" s="501" t="s">
        <v>2379</v>
      </c>
      <c r="T947" s="501">
        <v>60</v>
      </c>
      <c r="U947" s="501"/>
      <c r="V947" s="501" t="s">
        <v>986</v>
      </c>
      <c r="W947" s="501">
        <v>360</v>
      </c>
      <c r="X947" s="505">
        <v>320</v>
      </c>
      <c r="Y947" s="491">
        <f t="shared" si="135"/>
        <v>115200</v>
      </c>
      <c r="Z947" s="478">
        <v>0.505</v>
      </c>
      <c r="AA947" s="492">
        <f t="shared" si="134"/>
        <v>58176</v>
      </c>
      <c r="AB947" s="480"/>
      <c r="AC947" s="481">
        <f t="shared" si="136"/>
        <v>0</v>
      </c>
      <c r="AD947" s="490"/>
      <c r="AE947" s="482"/>
      <c r="AF947" s="493">
        <f t="shared" si="137"/>
        <v>58176</v>
      </c>
      <c r="AG947" s="474" t="s">
        <v>1071</v>
      </c>
      <c r="AH947" s="474"/>
      <c r="AI947" s="483">
        <v>60</v>
      </c>
      <c r="AJ947" s="474" t="s">
        <v>3479</v>
      </c>
      <c r="AK947" s="494" t="s">
        <v>3480</v>
      </c>
      <c r="AL947" s="474">
        <v>70087</v>
      </c>
      <c r="AM947" s="474" t="s">
        <v>52</v>
      </c>
      <c r="AN947" s="474"/>
      <c r="AO947" s="474"/>
      <c r="AP947" s="486"/>
      <c r="AQ947" s="486" t="s">
        <v>37</v>
      </c>
      <c r="AR947" s="486"/>
      <c r="AS947" s="495"/>
      <c r="AT947" s="495"/>
      <c r="AU947" s="495"/>
      <c r="AV947" s="478">
        <v>0.80577777777000004</v>
      </c>
    </row>
    <row r="948" spans="1:48" s="471" customFormat="1" ht="15" customHeight="1">
      <c r="A948" s="472"/>
      <c r="B948" s="514">
        <v>44595</v>
      </c>
      <c r="C948" s="514"/>
      <c r="D948" s="512" t="s">
        <v>3186</v>
      </c>
      <c r="E948" s="501" t="s">
        <v>3044</v>
      </c>
      <c r="F948" s="501"/>
      <c r="G948" s="501"/>
      <c r="H948" s="501"/>
      <c r="I948" s="501" t="s">
        <v>1676</v>
      </c>
      <c r="J948" s="513"/>
      <c r="K948" s="501" t="s">
        <v>4911</v>
      </c>
      <c r="L948" s="501" t="s">
        <v>3266</v>
      </c>
      <c r="M948" s="504">
        <v>44593</v>
      </c>
      <c r="N948" s="504">
        <v>44778</v>
      </c>
      <c r="O948" s="504"/>
      <c r="P948" s="502"/>
      <c r="Q948" s="502"/>
      <c r="R948" s="502"/>
      <c r="S948" s="501" t="s">
        <v>2379</v>
      </c>
      <c r="T948" s="501">
        <v>60</v>
      </c>
      <c r="U948" s="501"/>
      <c r="V948" s="501" t="s">
        <v>986</v>
      </c>
      <c r="W948" s="501">
        <v>360</v>
      </c>
      <c r="X948" s="505">
        <v>320</v>
      </c>
      <c r="Y948" s="491">
        <f t="shared" si="135"/>
        <v>115200</v>
      </c>
      <c r="Z948" s="478">
        <v>0.505</v>
      </c>
      <c r="AA948" s="492">
        <f t="shared" si="134"/>
        <v>58176</v>
      </c>
      <c r="AB948" s="480"/>
      <c r="AC948" s="481">
        <f t="shared" si="136"/>
        <v>0</v>
      </c>
      <c r="AD948" s="490"/>
      <c r="AE948" s="482"/>
      <c r="AF948" s="493">
        <f t="shared" si="137"/>
        <v>58176</v>
      </c>
      <c r="AG948" s="474" t="s">
        <v>1071</v>
      </c>
      <c r="AH948" s="474"/>
      <c r="AI948" s="483">
        <v>60</v>
      </c>
      <c r="AJ948" s="474" t="s">
        <v>3479</v>
      </c>
      <c r="AK948" s="494" t="s">
        <v>3480</v>
      </c>
      <c r="AL948" s="474">
        <v>70087</v>
      </c>
      <c r="AM948" s="474" t="s">
        <v>52</v>
      </c>
      <c r="AN948" s="474"/>
      <c r="AO948" s="474"/>
      <c r="AP948" s="486"/>
      <c r="AQ948" s="486" t="s">
        <v>37</v>
      </c>
      <c r="AR948" s="486"/>
      <c r="AS948" s="495"/>
      <c r="AT948" s="495"/>
      <c r="AU948" s="495"/>
      <c r="AV948" s="478">
        <v>0.80577777777000004</v>
      </c>
    </row>
    <row r="949" spans="1:48" s="471" customFormat="1" ht="15" customHeight="1">
      <c r="A949" s="472"/>
      <c r="B949" s="514">
        <v>44595</v>
      </c>
      <c r="C949" s="514"/>
      <c r="D949" s="512" t="s">
        <v>3186</v>
      </c>
      <c r="E949" s="501" t="s">
        <v>3044</v>
      </c>
      <c r="F949" s="501"/>
      <c r="G949" s="501"/>
      <c r="H949" s="501"/>
      <c r="I949" s="501" t="s">
        <v>1676</v>
      </c>
      <c r="J949" s="513"/>
      <c r="K949" s="501" t="s">
        <v>4912</v>
      </c>
      <c r="L949" s="501" t="s">
        <v>3266</v>
      </c>
      <c r="M949" s="504">
        <v>44593</v>
      </c>
      <c r="N949" s="504">
        <v>44806</v>
      </c>
      <c r="O949" s="504"/>
      <c r="P949" s="502"/>
      <c r="Q949" s="502"/>
      <c r="R949" s="502"/>
      <c r="S949" s="501" t="s">
        <v>2379</v>
      </c>
      <c r="T949" s="501">
        <v>60</v>
      </c>
      <c r="U949" s="501"/>
      <c r="V949" s="501" t="s">
        <v>986</v>
      </c>
      <c r="W949" s="501">
        <v>360</v>
      </c>
      <c r="X949" s="505">
        <v>320</v>
      </c>
      <c r="Y949" s="491">
        <f t="shared" si="135"/>
        <v>115200</v>
      </c>
      <c r="Z949" s="478">
        <v>0.505</v>
      </c>
      <c r="AA949" s="492">
        <f t="shared" si="134"/>
        <v>58176</v>
      </c>
      <c r="AB949" s="480"/>
      <c r="AC949" s="481">
        <f t="shared" si="136"/>
        <v>0</v>
      </c>
      <c r="AD949" s="490"/>
      <c r="AE949" s="482"/>
      <c r="AF949" s="493">
        <f t="shared" si="137"/>
        <v>58176</v>
      </c>
      <c r="AG949" s="474" t="s">
        <v>1071</v>
      </c>
      <c r="AH949" s="474"/>
      <c r="AI949" s="483">
        <v>60</v>
      </c>
      <c r="AJ949" s="474" t="s">
        <v>3479</v>
      </c>
      <c r="AK949" s="494" t="s">
        <v>3480</v>
      </c>
      <c r="AL949" s="474">
        <v>70087</v>
      </c>
      <c r="AM949" s="474" t="s">
        <v>52</v>
      </c>
      <c r="AN949" s="474"/>
      <c r="AO949" s="474"/>
      <c r="AP949" s="486"/>
      <c r="AQ949" s="486" t="s">
        <v>37</v>
      </c>
      <c r="AR949" s="486"/>
      <c r="AS949" s="495"/>
      <c r="AT949" s="495"/>
      <c r="AU949" s="495"/>
      <c r="AV949" s="478">
        <v>0.80577777777000004</v>
      </c>
    </row>
    <row r="950" spans="1:48" s="471" customFormat="1" ht="15" customHeight="1">
      <c r="A950" s="472"/>
      <c r="B950" s="472"/>
      <c r="C950" s="472"/>
      <c r="D950" s="512" t="s">
        <v>3186</v>
      </c>
      <c r="E950" s="501" t="s">
        <v>3356</v>
      </c>
      <c r="F950" s="501"/>
      <c r="G950" s="501"/>
      <c r="H950" s="501"/>
      <c r="I950" s="501" t="s">
        <v>1676</v>
      </c>
      <c r="J950" s="513"/>
      <c r="K950" s="503" t="s">
        <v>4913</v>
      </c>
      <c r="L950" s="501" t="s">
        <v>3361</v>
      </c>
      <c r="M950" s="504">
        <v>44594</v>
      </c>
      <c r="N950" s="504">
        <v>44655</v>
      </c>
      <c r="O950" s="504"/>
      <c r="P950" s="502"/>
      <c r="Q950" s="502"/>
      <c r="R950" s="502"/>
      <c r="S950" s="501" t="s">
        <v>1563</v>
      </c>
      <c r="T950" s="501">
        <v>60</v>
      </c>
      <c r="U950" s="501"/>
      <c r="V950" s="501" t="s">
        <v>986</v>
      </c>
      <c r="W950" s="501">
        <v>360</v>
      </c>
      <c r="X950" s="505">
        <v>3584</v>
      </c>
      <c r="Y950" s="491">
        <f t="shared" si="135"/>
        <v>1290240</v>
      </c>
      <c r="Z950" s="478">
        <v>0.505</v>
      </c>
      <c r="AA950" s="492">
        <f t="shared" si="134"/>
        <v>651571.19999999995</v>
      </c>
      <c r="AB950" s="480"/>
      <c r="AC950" s="481">
        <f t="shared" si="136"/>
        <v>0</v>
      </c>
      <c r="AD950" s="490"/>
      <c r="AE950" s="482"/>
      <c r="AF950" s="493">
        <f t="shared" si="137"/>
        <v>651571.19999999995</v>
      </c>
      <c r="AG950" s="474" t="s">
        <v>1071</v>
      </c>
      <c r="AH950" s="474"/>
      <c r="AI950" s="483">
        <v>60</v>
      </c>
      <c r="AJ950" s="474" t="s">
        <v>3281</v>
      </c>
      <c r="AK950" s="494" t="s">
        <v>50</v>
      </c>
      <c r="AL950" s="474">
        <v>92841</v>
      </c>
      <c r="AM950" s="474" t="s">
        <v>52</v>
      </c>
      <c r="AN950" s="474"/>
      <c r="AO950" s="474"/>
      <c r="AP950" s="486"/>
      <c r="AQ950" s="486" t="s">
        <v>37</v>
      </c>
      <c r="AR950" s="486"/>
      <c r="AS950" s="495"/>
      <c r="AT950" s="495"/>
      <c r="AU950" s="495"/>
      <c r="AV950" s="478">
        <v>0.80577777777000004</v>
      </c>
    </row>
    <row r="951" spans="1:48" s="471" customFormat="1" ht="15" customHeight="1">
      <c r="A951" s="472"/>
      <c r="B951" s="472"/>
      <c r="C951" s="472"/>
      <c r="D951" s="512" t="s">
        <v>3186</v>
      </c>
      <c r="E951" s="501" t="s">
        <v>3356</v>
      </c>
      <c r="F951" s="501"/>
      <c r="G951" s="501"/>
      <c r="H951" s="524">
        <v>12</v>
      </c>
      <c r="I951" s="501" t="s">
        <v>1676</v>
      </c>
      <c r="J951" s="513"/>
      <c r="K951" s="503" t="s">
        <v>4913</v>
      </c>
      <c r="L951" s="501" t="s">
        <v>3361</v>
      </c>
      <c r="M951" s="504">
        <v>44594</v>
      </c>
      <c r="N951" s="504">
        <v>44655</v>
      </c>
      <c r="O951" s="504"/>
      <c r="P951" s="502"/>
      <c r="Q951" s="502"/>
      <c r="R951" s="502"/>
      <c r="S951" s="501" t="s">
        <v>1563</v>
      </c>
      <c r="T951" s="501">
        <v>60</v>
      </c>
      <c r="U951" s="501"/>
      <c r="V951" s="501" t="s">
        <v>973</v>
      </c>
      <c r="W951" s="501">
        <v>400</v>
      </c>
      <c r="X951" s="505">
        <v>768</v>
      </c>
      <c r="Y951" s="491">
        <f t="shared" si="135"/>
        <v>307200</v>
      </c>
      <c r="Z951" s="478">
        <v>0.52500000000000002</v>
      </c>
      <c r="AA951" s="492">
        <f t="shared" si="134"/>
        <v>161280</v>
      </c>
      <c r="AB951" s="480"/>
      <c r="AC951" s="481">
        <f t="shared" si="136"/>
        <v>0</v>
      </c>
      <c r="AD951" s="490"/>
      <c r="AE951" s="482"/>
      <c r="AF951" s="493">
        <f t="shared" si="137"/>
        <v>161280</v>
      </c>
      <c r="AG951" s="474" t="s">
        <v>1071</v>
      </c>
      <c r="AH951" s="474"/>
      <c r="AI951" s="483">
        <v>60</v>
      </c>
      <c r="AJ951" s="474" t="s">
        <v>3281</v>
      </c>
      <c r="AK951" s="494" t="s">
        <v>50</v>
      </c>
      <c r="AL951" s="474">
        <v>92841</v>
      </c>
      <c r="AM951" s="474" t="s">
        <v>52</v>
      </c>
      <c r="AN951" s="474"/>
      <c r="AO951" s="474"/>
      <c r="AP951" s="486"/>
      <c r="AQ951" s="486" t="s">
        <v>37</v>
      </c>
      <c r="AR951" s="486"/>
      <c r="AS951" s="495"/>
      <c r="AT951" s="495"/>
      <c r="AU951" s="495"/>
      <c r="AV951" s="478">
        <v>0.80577777777000004</v>
      </c>
    </row>
    <row r="952" spans="1:48" s="471" customFormat="1" ht="15" customHeight="1">
      <c r="A952" s="472"/>
      <c r="B952" s="472"/>
      <c r="C952" s="472"/>
      <c r="D952" s="512" t="s">
        <v>3186</v>
      </c>
      <c r="E952" s="501" t="s">
        <v>3356</v>
      </c>
      <c r="F952" s="501"/>
      <c r="G952" s="501"/>
      <c r="H952" s="501"/>
      <c r="I952" s="501" t="s">
        <v>1676</v>
      </c>
      <c r="J952" s="513"/>
      <c r="K952" s="503" t="s">
        <v>4914</v>
      </c>
      <c r="L952" s="501" t="s">
        <v>3361</v>
      </c>
      <c r="M952" s="504">
        <v>44594</v>
      </c>
      <c r="N952" s="504">
        <v>44690</v>
      </c>
      <c r="O952" s="504"/>
      <c r="P952" s="502"/>
      <c r="Q952" s="502"/>
      <c r="R952" s="502"/>
      <c r="S952" s="501" t="s">
        <v>1563</v>
      </c>
      <c r="T952" s="501">
        <v>60</v>
      </c>
      <c r="U952" s="501"/>
      <c r="V952" s="501" t="s">
        <v>986</v>
      </c>
      <c r="W952" s="501">
        <v>360</v>
      </c>
      <c r="X952" s="505">
        <v>2688</v>
      </c>
      <c r="Y952" s="491">
        <f t="shared" si="135"/>
        <v>967680</v>
      </c>
      <c r="Z952" s="478">
        <v>0.505</v>
      </c>
      <c r="AA952" s="492">
        <f t="shared" si="134"/>
        <v>488678.40000000002</v>
      </c>
      <c r="AB952" s="480"/>
      <c r="AC952" s="481">
        <f t="shared" si="136"/>
        <v>0</v>
      </c>
      <c r="AD952" s="490"/>
      <c r="AE952" s="482"/>
      <c r="AF952" s="493">
        <f t="shared" si="137"/>
        <v>488678.40000000002</v>
      </c>
      <c r="AG952" s="474" t="s">
        <v>1071</v>
      </c>
      <c r="AH952" s="474"/>
      <c r="AI952" s="483">
        <v>60</v>
      </c>
      <c r="AJ952" s="474" t="s">
        <v>3281</v>
      </c>
      <c r="AK952" s="494" t="s">
        <v>50</v>
      </c>
      <c r="AL952" s="474">
        <v>92841</v>
      </c>
      <c r="AM952" s="474" t="s">
        <v>52</v>
      </c>
      <c r="AN952" s="474"/>
      <c r="AO952" s="474"/>
      <c r="AP952" s="486"/>
      <c r="AQ952" s="486" t="s">
        <v>37</v>
      </c>
      <c r="AR952" s="486"/>
      <c r="AS952" s="495"/>
      <c r="AT952" s="495"/>
      <c r="AU952" s="495"/>
      <c r="AV952" s="478">
        <v>0.80577777777000004</v>
      </c>
    </row>
    <row r="953" spans="1:48" s="471" customFormat="1" ht="15" customHeight="1">
      <c r="A953" s="472"/>
      <c r="B953" s="472"/>
      <c r="C953" s="472"/>
      <c r="D953" s="512" t="s">
        <v>3186</v>
      </c>
      <c r="E953" s="501" t="s">
        <v>3356</v>
      </c>
      <c r="F953" s="501"/>
      <c r="G953" s="501"/>
      <c r="H953" s="524">
        <v>8</v>
      </c>
      <c r="I953" s="501" t="s">
        <v>1676</v>
      </c>
      <c r="J953" s="513"/>
      <c r="K953" s="503" t="s">
        <v>4914</v>
      </c>
      <c r="L953" s="501" t="s">
        <v>3361</v>
      </c>
      <c r="M953" s="504">
        <v>44594</v>
      </c>
      <c r="N953" s="504">
        <v>44690</v>
      </c>
      <c r="O953" s="504"/>
      <c r="P953" s="502"/>
      <c r="Q953" s="502"/>
      <c r="R953" s="502"/>
      <c r="S953" s="501" t="s">
        <v>1563</v>
      </c>
      <c r="T953" s="501">
        <v>60</v>
      </c>
      <c r="U953" s="501"/>
      <c r="V953" s="501" t="s">
        <v>973</v>
      </c>
      <c r="W953" s="501">
        <v>400</v>
      </c>
      <c r="X953" s="505">
        <v>768</v>
      </c>
      <c r="Y953" s="491">
        <f t="shared" si="135"/>
        <v>307200</v>
      </c>
      <c r="Z953" s="478">
        <v>0.52500000000000002</v>
      </c>
      <c r="AA953" s="492">
        <f t="shared" si="134"/>
        <v>161280</v>
      </c>
      <c r="AB953" s="480"/>
      <c r="AC953" s="481">
        <f t="shared" si="136"/>
        <v>0</v>
      </c>
      <c r="AD953" s="490"/>
      <c r="AE953" s="482"/>
      <c r="AF953" s="493">
        <f t="shared" si="137"/>
        <v>161280</v>
      </c>
      <c r="AG953" s="474" t="s">
        <v>1071</v>
      </c>
      <c r="AH953" s="474"/>
      <c r="AI953" s="483">
        <v>60</v>
      </c>
      <c r="AJ953" s="474" t="s">
        <v>3281</v>
      </c>
      <c r="AK953" s="494" t="s">
        <v>50</v>
      </c>
      <c r="AL953" s="474">
        <v>92841</v>
      </c>
      <c r="AM953" s="474" t="s">
        <v>52</v>
      </c>
      <c r="AN953" s="474"/>
      <c r="AO953" s="474"/>
      <c r="AP953" s="486"/>
      <c r="AQ953" s="486" t="s">
        <v>37</v>
      </c>
      <c r="AR953" s="486"/>
      <c r="AS953" s="495"/>
      <c r="AT953" s="495"/>
      <c r="AU953" s="495"/>
      <c r="AV953" s="478">
        <v>0.80577777777000004</v>
      </c>
    </row>
    <row r="954" spans="1:48" s="471" customFormat="1" ht="15" customHeight="1">
      <c r="A954" s="472"/>
      <c r="B954" s="472"/>
      <c r="C954" s="472"/>
      <c r="D954" s="512" t="s">
        <v>3186</v>
      </c>
      <c r="E954" s="501" t="s">
        <v>3356</v>
      </c>
      <c r="F954" s="501"/>
      <c r="G954" s="501"/>
      <c r="H954" s="501"/>
      <c r="I954" s="501" t="s">
        <v>1676</v>
      </c>
      <c r="J954" s="513"/>
      <c r="K954" s="503" t="s">
        <v>4915</v>
      </c>
      <c r="L954" s="501" t="s">
        <v>3361</v>
      </c>
      <c r="M954" s="504">
        <v>44594</v>
      </c>
      <c r="N954" s="504">
        <v>44718</v>
      </c>
      <c r="O954" s="504"/>
      <c r="P954" s="502"/>
      <c r="Q954" s="502"/>
      <c r="R954" s="502"/>
      <c r="S954" s="501" t="s">
        <v>1563</v>
      </c>
      <c r="T954" s="501">
        <v>60</v>
      </c>
      <c r="U954" s="501"/>
      <c r="V954" s="501" t="s">
        <v>986</v>
      </c>
      <c r="W954" s="501">
        <v>360</v>
      </c>
      <c r="X954" s="505">
        <v>2688</v>
      </c>
      <c r="Y954" s="491">
        <f t="shared" si="135"/>
        <v>967680</v>
      </c>
      <c r="Z954" s="478">
        <v>0.505</v>
      </c>
      <c r="AA954" s="492">
        <f t="shared" si="134"/>
        <v>488678.40000000002</v>
      </c>
      <c r="AB954" s="480"/>
      <c r="AC954" s="481">
        <f t="shared" si="136"/>
        <v>0</v>
      </c>
      <c r="AD954" s="490"/>
      <c r="AE954" s="482"/>
      <c r="AF954" s="493">
        <f t="shared" si="137"/>
        <v>488678.40000000002</v>
      </c>
      <c r="AG954" s="474" t="s">
        <v>1071</v>
      </c>
      <c r="AH954" s="474"/>
      <c r="AI954" s="483">
        <v>60</v>
      </c>
      <c r="AJ954" s="474" t="s">
        <v>3281</v>
      </c>
      <c r="AK954" s="494" t="s">
        <v>50</v>
      </c>
      <c r="AL954" s="474">
        <v>92841</v>
      </c>
      <c r="AM954" s="474" t="s">
        <v>52</v>
      </c>
      <c r="AN954" s="474"/>
      <c r="AO954" s="474"/>
      <c r="AP954" s="486"/>
      <c r="AQ954" s="486" t="s">
        <v>37</v>
      </c>
      <c r="AR954" s="486"/>
      <c r="AS954" s="495"/>
      <c r="AT954" s="495"/>
      <c r="AU954" s="495"/>
      <c r="AV954" s="478">
        <v>0.80577777777000004</v>
      </c>
    </row>
    <row r="955" spans="1:48" s="471" customFormat="1" ht="15" customHeight="1">
      <c r="A955" s="472"/>
      <c r="B955" s="472"/>
      <c r="C955" s="472"/>
      <c r="D955" s="512" t="s">
        <v>3186</v>
      </c>
      <c r="E955" s="501" t="s">
        <v>3356</v>
      </c>
      <c r="F955" s="501"/>
      <c r="G955" s="501"/>
      <c r="H955" s="501"/>
      <c r="I955" s="501" t="s">
        <v>1676</v>
      </c>
      <c r="J955" s="513"/>
      <c r="K955" s="503" t="s">
        <v>4915</v>
      </c>
      <c r="L955" s="501" t="s">
        <v>3361</v>
      </c>
      <c r="M955" s="504">
        <v>44594</v>
      </c>
      <c r="N955" s="504">
        <v>44718</v>
      </c>
      <c r="O955" s="504"/>
      <c r="P955" s="502"/>
      <c r="Q955" s="502"/>
      <c r="R955" s="502"/>
      <c r="S955" s="501" t="s">
        <v>1563</v>
      </c>
      <c r="T955" s="501">
        <v>60</v>
      </c>
      <c r="U955" s="501"/>
      <c r="V955" s="501" t="s">
        <v>973</v>
      </c>
      <c r="W955" s="501">
        <v>400</v>
      </c>
      <c r="X955" s="505">
        <v>768</v>
      </c>
      <c r="Y955" s="491">
        <f t="shared" si="135"/>
        <v>307200</v>
      </c>
      <c r="Z955" s="478">
        <v>0.52500000000000002</v>
      </c>
      <c r="AA955" s="492">
        <f t="shared" si="134"/>
        <v>161280</v>
      </c>
      <c r="AB955" s="480"/>
      <c r="AC955" s="481">
        <f t="shared" si="136"/>
        <v>0</v>
      </c>
      <c r="AD955" s="490"/>
      <c r="AE955" s="482"/>
      <c r="AF955" s="493">
        <f t="shared" si="137"/>
        <v>161280</v>
      </c>
      <c r="AG955" s="474" t="s">
        <v>1071</v>
      </c>
      <c r="AH955" s="474"/>
      <c r="AI955" s="483">
        <v>60</v>
      </c>
      <c r="AJ955" s="474" t="s">
        <v>3281</v>
      </c>
      <c r="AK955" s="494" t="s">
        <v>50</v>
      </c>
      <c r="AL955" s="474">
        <v>92841</v>
      </c>
      <c r="AM955" s="474" t="s">
        <v>52</v>
      </c>
      <c r="AN955" s="474"/>
      <c r="AO955" s="474"/>
      <c r="AP955" s="486"/>
      <c r="AQ955" s="486" t="s">
        <v>37</v>
      </c>
      <c r="AR955" s="486"/>
      <c r="AS955" s="495"/>
      <c r="AT955" s="495"/>
      <c r="AU955" s="495"/>
      <c r="AV955" s="478">
        <v>0.80577777777000004</v>
      </c>
    </row>
    <row r="956" spans="1:48" s="471" customFormat="1" ht="15" customHeight="1">
      <c r="A956" s="472"/>
      <c r="B956" s="472"/>
      <c r="C956" s="472"/>
      <c r="D956" s="512" t="s">
        <v>3186</v>
      </c>
      <c r="E956" s="501" t="s">
        <v>3356</v>
      </c>
      <c r="F956" s="501"/>
      <c r="G956" s="501"/>
      <c r="H956" s="501"/>
      <c r="I956" s="501" t="s">
        <v>1676</v>
      </c>
      <c r="J956" s="513"/>
      <c r="K956" s="503" t="s">
        <v>4919</v>
      </c>
      <c r="L956" s="501" t="s">
        <v>3361</v>
      </c>
      <c r="M956" s="504">
        <v>44594</v>
      </c>
      <c r="N956" s="504">
        <v>44690</v>
      </c>
      <c r="O956" s="504"/>
      <c r="P956" s="502"/>
      <c r="Q956" s="502"/>
      <c r="R956" s="502"/>
      <c r="S956" s="501" t="s">
        <v>1563</v>
      </c>
      <c r="T956" s="501">
        <v>60</v>
      </c>
      <c r="U956" s="501"/>
      <c r="V956" s="501" t="s">
        <v>986</v>
      </c>
      <c r="W956" s="501">
        <v>360</v>
      </c>
      <c r="X956" s="505">
        <v>2688</v>
      </c>
      <c r="Y956" s="491">
        <f t="shared" si="135"/>
        <v>967680</v>
      </c>
      <c r="Z956" s="478">
        <v>0.505</v>
      </c>
      <c r="AA956" s="492">
        <f t="shared" si="134"/>
        <v>488678.40000000002</v>
      </c>
      <c r="AB956" s="480"/>
      <c r="AC956" s="481">
        <f t="shared" si="136"/>
        <v>0</v>
      </c>
      <c r="AD956" s="490"/>
      <c r="AE956" s="482"/>
      <c r="AF956" s="493">
        <f t="shared" si="137"/>
        <v>488678.40000000002</v>
      </c>
      <c r="AG956" s="474" t="s">
        <v>1071</v>
      </c>
      <c r="AH956" s="474"/>
      <c r="AI956" s="483">
        <v>60</v>
      </c>
      <c r="AJ956" s="474" t="s">
        <v>1575</v>
      </c>
      <c r="AK956" s="494" t="s">
        <v>50</v>
      </c>
      <c r="AL956" s="474">
        <v>94544</v>
      </c>
      <c r="AM956" s="474" t="s">
        <v>52</v>
      </c>
      <c r="AN956" s="474"/>
      <c r="AO956" s="474"/>
      <c r="AP956" s="486"/>
      <c r="AQ956" s="486" t="s">
        <v>37</v>
      </c>
      <c r="AR956" s="486"/>
      <c r="AS956" s="495"/>
      <c r="AT956" s="495"/>
      <c r="AU956" s="495"/>
      <c r="AV956" s="478">
        <v>0.80577777777000004</v>
      </c>
    </row>
    <row r="957" spans="1:48" s="471" customFormat="1" ht="15" customHeight="1">
      <c r="A957" s="472"/>
      <c r="B957" s="472"/>
      <c r="C957" s="472"/>
      <c r="D957" s="512" t="s">
        <v>3186</v>
      </c>
      <c r="E957" s="501" t="s">
        <v>3356</v>
      </c>
      <c r="F957" s="501"/>
      <c r="G957" s="501"/>
      <c r="H957" s="501"/>
      <c r="I957" s="501" t="s">
        <v>1676</v>
      </c>
      <c r="J957" s="513"/>
      <c r="K957" s="503" t="s">
        <v>4919</v>
      </c>
      <c r="L957" s="501" t="s">
        <v>3361</v>
      </c>
      <c r="M957" s="504">
        <v>44594</v>
      </c>
      <c r="N957" s="504">
        <v>44690</v>
      </c>
      <c r="O957" s="504"/>
      <c r="P957" s="502"/>
      <c r="Q957" s="502"/>
      <c r="R957" s="502"/>
      <c r="S957" s="501" t="s">
        <v>1563</v>
      </c>
      <c r="T957" s="501">
        <v>60</v>
      </c>
      <c r="U957" s="501"/>
      <c r="V957" s="501" t="s">
        <v>973</v>
      </c>
      <c r="W957" s="501">
        <v>400</v>
      </c>
      <c r="X957" s="505">
        <v>768</v>
      </c>
      <c r="Y957" s="491">
        <f t="shared" si="135"/>
        <v>307200</v>
      </c>
      <c r="Z957" s="478">
        <v>0.52500000000000002</v>
      </c>
      <c r="AA957" s="492">
        <f t="shared" si="134"/>
        <v>161280</v>
      </c>
      <c r="AB957" s="480"/>
      <c r="AC957" s="481">
        <f t="shared" si="136"/>
        <v>0</v>
      </c>
      <c r="AD957" s="490"/>
      <c r="AE957" s="482"/>
      <c r="AF957" s="493">
        <f t="shared" si="137"/>
        <v>161280</v>
      </c>
      <c r="AG957" s="474" t="s">
        <v>1071</v>
      </c>
      <c r="AH957" s="474"/>
      <c r="AI957" s="483">
        <v>60</v>
      </c>
      <c r="AJ957" s="474" t="s">
        <v>1575</v>
      </c>
      <c r="AK957" s="494" t="s">
        <v>50</v>
      </c>
      <c r="AL957" s="474">
        <v>94544</v>
      </c>
      <c r="AM957" s="474" t="s">
        <v>52</v>
      </c>
      <c r="AN957" s="474"/>
      <c r="AO957" s="474"/>
      <c r="AP957" s="486"/>
      <c r="AQ957" s="486" t="s">
        <v>37</v>
      </c>
      <c r="AR957" s="486"/>
      <c r="AS957" s="495"/>
      <c r="AT957" s="495"/>
      <c r="AU957" s="495"/>
      <c r="AV957" s="478">
        <v>0.80577777777000004</v>
      </c>
    </row>
    <row r="958" spans="1:48" s="471" customFormat="1" ht="15" customHeight="1">
      <c r="A958" s="472"/>
      <c r="B958" s="472"/>
      <c r="C958" s="472"/>
      <c r="D958" s="512" t="s">
        <v>3186</v>
      </c>
      <c r="E958" s="501" t="s">
        <v>3356</v>
      </c>
      <c r="F958" s="501"/>
      <c r="G958" s="501"/>
      <c r="H958" s="501"/>
      <c r="I958" s="501" t="s">
        <v>1676</v>
      </c>
      <c r="J958" s="513"/>
      <c r="K958" s="503" t="s">
        <v>3594</v>
      </c>
      <c r="L958" s="501" t="s">
        <v>3361</v>
      </c>
      <c r="M958" s="504">
        <v>44594</v>
      </c>
      <c r="N958" s="504">
        <v>44718</v>
      </c>
      <c r="O958" s="504"/>
      <c r="P958" s="502"/>
      <c r="Q958" s="502"/>
      <c r="R958" s="502"/>
      <c r="S958" s="501" t="s">
        <v>1563</v>
      </c>
      <c r="T958" s="501">
        <v>60</v>
      </c>
      <c r="U958" s="501"/>
      <c r="V958" s="501" t="s">
        <v>986</v>
      </c>
      <c r="W958" s="501">
        <v>360</v>
      </c>
      <c r="X958" s="505">
        <v>2688</v>
      </c>
      <c r="Y958" s="491">
        <f t="shared" si="135"/>
        <v>967680</v>
      </c>
      <c r="Z958" s="478">
        <v>0.505</v>
      </c>
      <c r="AA958" s="492">
        <f t="shared" si="134"/>
        <v>488678.40000000002</v>
      </c>
      <c r="AB958" s="480"/>
      <c r="AC958" s="481">
        <f t="shared" si="136"/>
        <v>0</v>
      </c>
      <c r="AD958" s="490"/>
      <c r="AE958" s="482"/>
      <c r="AF958" s="493">
        <f t="shared" si="137"/>
        <v>488678.40000000002</v>
      </c>
      <c r="AG958" s="474" t="s">
        <v>1071</v>
      </c>
      <c r="AH958" s="474"/>
      <c r="AI958" s="483">
        <v>60</v>
      </c>
      <c r="AJ958" s="474" t="s">
        <v>1575</v>
      </c>
      <c r="AK958" s="494" t="s">
        <v>50</v>
      </c>
      <c r="AL958" s="474">
        <v>94544</v>
      </c>
      <c r="AM958" s="474" t="s">
        <v>52</v>
      </c>
      <c r="AN958" s="474"/>
      <c r="AO958" s="474"/>
      <c r="AP958" s="486"/>
      <c r="AQ958" s="486" t="s">
        <v>37</v>
      </c>
      <c r="AR958" s="486"/>
      <c r="AS958" s="495"/>
      <c r="AT958" s="495"/>
      <c r="AU958" s="495"/>
      <c r="AV958" s="478">
        <v>0.80577777777000004</v>
      </c>
    </row>
    <row r="959" spans="1:48" s="471" customFormat="1" ht="15" customHeight="1">
      <c r="A959" s="472"/>
      <c r="B959" s="514">
        <v>44622</v>
      </c>
      <c r="C959" s="514"/>
      <c r="D959" s="512" t="s">
        <v>3186</v>
      </c>
      <c r="E959" s="501" t="s">
        <v>3356</v>
      </c>
      <c r="F959" s="501"/>
      <c r="G959" s="501">
        <v>2022</v>
      </c>
      <c r="H959" s="501"/>
      <c r="I959" s="501" t="s">
        <v>1676</v>
      </c>
      <c r="J959" s="513"/>
      <c r="K959" s="501" t="s">
        <v>4920</v>
      </c>
      <c r="L959" s="501" t="s">
        <v>3266</v>
      </c>
      <c r="M959" s="504">
        <v>44622</v>
      </c>
      <c r="N959" s="504">
        <v>44743</v>
      </c>
      <c r="O959" s="504"/>
      <c r="P959" s="502"/>
      <c r="Q959" s="502"/>
      <c r="R959" s="502"/>
      <c r="S959" s="501" t="s">
        <v>2379</v>
      </c>
      <c r="T959" s="501">
        <v>60</v>
      </c>
      <c r="U959" s="501"/>
      <c r="V959" s="501" t="s">
        <v>973</v>
      </c>
      <c r="W959" s="501">
        <v>400</v>
      </c>
      <c r="X959" s="505">
        <v>416</v>
      </c>
      <c r="Y959" s="491">
        <f t="shared" si="135"/>
        <v>166400</v>
      </c>
      <c r="Z959" s="478">
        <v>0.53500000000000003</v>
      </c>
      <c r="AA959" s="492">
        <f t="shared" si="134"/>
        <v>89024</v>
      </c>
      <c r="AB959" s="480"/>
      <c r="AC959" s="481">
        <f t="shared" si="136"/>
        <v>0</v>
      </c>
      <c r="AD959" s="490"/>
      <c r="AE959" s="482"/>
      <c r="AF959" s="493">
        <f t="shared" si="137"/>
        <v>89024</v>
      </c>
      <c r="AG959" s="474" t="s">
        <v>1071</v>
      </c>
      <c r="AH959" s="474"/>
      <c r="AI959" s="483">
        <v>60</v>
      </c>
      <c r="AJ959" s="474" t="s">
        <v>3479</v>
      </c>
      <c r="AK959" s="494" t="s">
        <v>3480</v>
      </c>
      <c r="AL959" s="474">
        <v>70087</v>
      </c>
      <c r="AM959" s="474" t="s">
        <v>52</v>
      </c>
      <c r="AN959" s="474"/>
      <c r="AO959" s="474"/>
      <c r="AP959" s="486"/>
      <c r="AQ959" s="486" t="s">
        <v>37</v>
      </c>
      <c r="AR959" s="486" t="s">
        <v>4921</v>
      </c>
      <c r="AS959" s="495"/>
      <c r="AT959" s="495"/>
      <c r="AU959" s="495"/>
      <c r="AV959" s="478">
        <v>0.80577777777000004</v>
      </c>
    </row>
    <row r="960" spans="1:48" s="471" customFormat="1" ht="15" customHeight="1">
      <c r="A960" s="472"/>
      <c r="B960" s="514">
        <v>44622</v>
      </c>
      <c r="C960" s="514"/>
      <c r="D960" s="512" t="s">
        <v>3186</v>
      </c>
      <c r="E960" s="501" t="s">
        <v>3356</v>
      </c>
      <c r="F960" s="501"/>
      <c r="G960" s="501">
        <v>2022</v>
      </c>
      <c r="H960" s="501"/>
      <c r="I960" s="501" t="s">
        <v>1676</v>
      </c>
      <c r="J960" s="513"/>
      <c r="K960" s="501" t="s">
        <v>4922</v>
      </c>
      <c r="L960" s="501" t="s">
        <v>3266</v>
      </c>
      <c r="M960" s="504">
        <v>44622</v>
      </c>
      <c r="N960" s="504">
        <v>44778</v>
      </c>
      <c r="O960" s="504"/>
      <c r="P960" s="502"/>
      <c r="Q960" s="502"/>
      <c r="R960" s="502"/>
      <c r="S960" s="501" t="s">
        <v>2379</v>
      </c>
      <c r="T960" s="501">
        <v>60</v>
      </c>
      <c r="U960" s="501"/>
      <c r="V960" s="501" t="s">
        <v>973</v>
      </c>
      <c r="W960" s="501">
        <v>400</v>
      </c>
      <c r="X960" s="505">
        <v>416</v>
      </c>
      <c r="Y960" s="491">
        <f t="shared" si="135"/>
        <v>166400</v>
      </c>
      <c r="Z960" s="478">
        <v>0.53500000000000003</v>
      </c>
      <c r="AA960" s="492">
        <f t="shared" si="134"/>
        <v>89024</v>
      </c>
      <c r="AB960" s="480"/>
      <c r="AC960" s="481">
        <f t="shared" si="136"/>
        <v>0</v>
      </c>
      <c r="AD960" s="490"/>
      <c r="AE960" s="482"/>
      <c r="AF960" s="493">
        <f t="shared" si="137"/>
        <v>89024</v>
      </c>
      <c r="AG960" s="474" t="s">
        <v>1071</v>
      </c>
      <c r="AH960" s="474"/>
      <c r="AI960" s="483">
        <v>60</v>
      </c>
      <c r="AJ960" s="474" t="s">
        <v>3479</v>
      </c>
      <c r="AK960" s="494" t="s">
        <v>3480</v>
      </c>
      <c r="AL960" s="474">
        <v>70087</v>
      </c>
      <c r="AM960" s="474" t="s">
        <v>52</v>
      </c>
      <c r="AN960" s="474"/>
      <c r="AO960" s="474"/>
      <c r="AP960" s="486"/>
      <c r="AQ960" s="486" t="s">
        <v>37</v>
      </c>
      <c r="AR960" s="486" t="s">
        <v>4921</v>
      </c>
      <c r="AS960" s="495"/>
      <c r="AT960" s="495"/>
      <c r="AU960" s="495"/>
      <c r="AV960" s="478">
        <v>0.80577777777000004</v>
      </c>
    </row>
    <row r="961" spans="1:48" s="471" customFormat="1" ht="15" customHeight="1">
      <c r="A961" s="472"/>
      <c r="B961" s="514">
        <v>44622</v>
      </c>
      <c r="C961" s="514"/>
      <c r="D961" s="512" t="s">
        <v>3186</v>
      </c>
      <c r="E961" s="501" t="s">
        <v>3356</v>
      </c>
      <c r="F961" s="501"/>
      <c r="G961" s="501">
        <v>2022</v>
      </c>
      <c r="H961" s="501"/>
      <c r="I961" s="501" t="s">
        <v>1676</v>
      </c>
      <c r="J961" s="513"/>
      <c r="K961" s="501" t="s">
        <v>4923</v>
      </c>
      <c r="L961" s="501" t="s">
        <v>3266</v>
      </c>
      <c r="M961" s="504">
        <v>44622</v>
      </c>
      <c r="N961" s="504">
        <v>44622</v>
      </c>
      <c r="O961" s="504"/>
      <c r="P961" s="502"/>
      <c r="Q961" s="502"/>
      <c r="R961" s="502"/>
      <c r="S961" s="501" t="s">
        <v>2379</v>
      </c>
      <c r="T961" s="501">
        <v>60</v>
      </c>
      <c r="U961" s="501"/>
      <c r="V961" s="501" t="s">
        <v>973</v>
      </c>
      <c r="W961" s="501">
        <v>400</v>
      </c>
      <c r="X961" s="505">
        <v>416</v>
      </c>
      <c r="Y961" s="491">
        <f t="shared" si="135"/>
        <v>166400</v>
      </c>
      <c r="Z961" s="478">
        <v>0.53500000000000003</v>
      </c>
      <c r="AA961" s="492">
        <f t="shared" si="134"/>
        <v>89024</v>
      </c>
      <c r="AB961" s="480"/>
      <c r="AC961" s="481">
        <f t="shared" si="136"/>
        <v>0</v>
      </c>
      <c r="AD961" s="490"/>
      <c r="AE961" s="482"/>
      <c r="AF961" s="493">
        <f t="shared" si="137"/>
        <v>89024</v>
      </c>
      <c r="AG961" s="474" t="s">
        <v>1071</v>
      </c>
      <c r="AH961" s="474"/>
      <c r="AI961" s="483">
        <v>60</v>
      </c>
      <c r="AJ961" s="474" t="s">
        <v>3479</v>
      </c>
      <c r="AK961" s="494" t="s">
        <v>3480</v>
      </c>
      <c r="AL961" s="474">
        <v>70087</v>
      </c>
      <c r="AM961" s="474" t="s">
        <v>52</v>
      </c>
      <c r="AN961" s="474"/>
      <c r="AO961" s="474"/>
      <c r="AP961" s="486"/>
      <c r="AQ961" s="486" t="s">
        <v>37</v>
      </c>
      <c r="AR961" s="486" t="s">
        <v>4921</v>
      </c>
      <c r="AS961" s="495"/>
      <c r="AT961" s="495"/>
      <c r="AU961" s="495"/>
      <c r="AV961" s="478">
        <v>0.80577777777000004</v>
      </c>
    </row>
    <row r="962" spans="1:48" s="471" customFormat="1" ht="15" customHeight="1">
      <c r="A962" s="472"/>
      <c r="B962" s="514">
        <v>44622</v>
      </c>
      <c r="C962" s="514"/>
      <c r="D962" s="512" t="s">
        <v>3186</v>
      </c>
      <c r="E962" s="501" t="s">
        <v>3356</v>
      </c>
      <c r="F962" s="501"/>
      <c r="G962" s="501">
        <v>2022</v>
      </c>
      <c r="H962" s="501"/>
      <c r="I962" s="501" t="s">
        <v>1676</v>
      </c>
      <c r="J962" s="513"/>
      <c r="K962" s="501" t="s">
        <v>4924</v>
      </c>
      <c r="L962" s="501" t="s">
        <v>3266</v>
      </c>
      <c r="M962" s="504">
        <v>44622</v>
      </c>
      <c r="N962" s="504">
        <v>44837</v>
      </c>
      <c r="O962" s="504"/>
      <c r="P962" s="502"/>
      <c r="Q962" s="502"/>
      <c r="R962" s="502"/>
      <c r="S962" s="501" t="s">
        <v>2379</v>
      </c>
      <c r="T962" s="501">
        <v>60</v>
      </c>
      <c r="U962" s="501"/>
      <c r="V962" s="501" t="s">
        <v>973</v>
      </c>
      <c r="W962" s="501">
        <v>400</v>
      </c>
      <c r="X962" s="505">
        <v>416</v>
      </c>
      <c r="Y962" s="491">
        <f t="shared" si="135"/>
        <v>166400</v>
      </c>
      <c r="Z962" s="478">
        <v>0.53500000000000003</v>
      </c>
      <c r="AA962" s="492">
        <f t="shared" si="134"/>
        <v>89024</v>
      </c>
      <c r="AB962" s="480"/>
      <c r="AC962" s="481">
        <f t="shared" si="136"/>
        <v>0</v>
      </c>
      <c r="AD962" s="490"/>
      <c r="AE962" s="482"/>
      <c r="AF962" s="493">
        <f t="shared" si="137"/>
        <v>89024</v>
      </c>
      <c r="AG962" s="474" t="s">
        <v>1071</v>
      </c>
      <c r="AH962" s="474"/>
      <c r="AI962" s="483">
        <v>60</v>
      </c>
      <c r="AJ962" s="474" t="s">
        <v>3479</v>
      </c>
      <c r="AK962" s="494" t="s">
        <v>3480</v>
      </c>
      <c r="AL962" s="474">
        <v>70087</v>
      </c>
      <c r="AM962" s="474" t="s">
        <v>52</v>
      </c>
      <c r="AN962" s="474"/>
      <c r="AO962" s="474"/>
      <c r="AP962" s="486"/>
      <c r="AQ962" s="486" t="s">
        <v>37</v>
      </c>
      <c r="AR962" s="486" t="s">
        <v>4921</v>
      </c>
      <c r="AS962" s="495"/>
      <c r="AT962" s="495"/>
      <c r="AU962" s="495"/>
      <c r="AV962" s="478">
        <v>0.80577777777000004</v>
      </c>
    </row>
    <row r="963" spans="1:48" s="471" customFormat="1" ht="15" customHeight="1">
      <c r="A963" s="472"/>
      <c r="B963" s="514">
        <v>44622</v>
      </c>
      <c r="C963" s="514"/>
      <c r="D963" s="512" t="s">
        <v>3186</v>
      </c>
      <c r="E963" s="501" t="s">
        <v>3356</v>
      </c>
      <c r="F963" s="501"/>
      <c r="G963" s="501">
        <v>2022</v>
      </c>
      <c r="H963" s="501"/>
      <c r="I963" s="501" t="s">
        <v>1676</v>
      </c>
      <c r="J963" s="513"/>
      <c r="K963" s="501" t="s">
        <v>4925</v>
      </c>
      <c r="L963" s="501" t="s">
        <v>3266</v>
      </c>
      <c r="M963" s="504">
        <v>44622</v>
      </c>
      <c r="N963" s="504">
        <v>44869</v>
      </c>
      <c r="O963" s="504"/>
      <c r="P963" s="502"/>
      <c r="Q963" s="502"/>
      <c r="R963" s="502"/>
      <c r="S963" s="501" t="s">
        <v>2379</v>
      </c>
      <c r="T963" s="501">
        <v>60</v>
      </c>
      <c r="U963" s="501"/>
      <c r="V963" s="501" t="s">
        <v>973</v>
      </c>
      <c r="W963" s="501">
        <v>400</v>
      </c>
      <c r="X963" s="505">
        <v>416</v>
      </c>
      <c r="Y963" s="491">
        <f t="shared" si="135"/>
        <v>166400</v>
      </c>
      <c r="Z963" s="478">
        <v>0.53500000000000003</v>
      </c>
      <c r="AA963" s="492">
        <f t="shared" si="134"/>
        <v>89024</v>
      </c>
      <c r="AB963" s="480"/>
      <c r="AC963" s="481">
        <f t="shared" si="136"/>
        <v>0</v>
      </c>
      <c r="AD963" s="490"/>
      <c r="AE963" s="482"/>
      <c r="AF963" s="493">
        <f t="shared" si="137"/>
        <v>89024</v>
      </c>
      <c r="AG963" s="474" t="s">
        <v>1071</v>
      </c>
      <c r="AH963" s="474"/>
      <c r="AI963" s="483">
        <v>60</v>
      </c>
      <c r="AJ963" s="474" t="s">
        <v>3479</v>
      </c>
      <c r="AK963" s="494" t="s">
        <v>3480</v>
      </c>
      <c r="AL963" s="474">
        <v>70087</v>
      </c>
      <c r="AM963" s="474" t="s">
        <v>52</v>
      </c>
      <c r="AN963" s="474"/>
      <c r="AO963" s="474"/>
      <c r="AP963" s="486"/>
      <c r="AQ963" s="486" t="s">
        <v>37</v>
      </c>
      <c r="AR963" s="486" t="s">
        <v>4921</v>
      </c>
      <c r="AS963" s="495"/>
      <c r="AT963" s="495"/>
      <c r="AU963" s="495"/>
      <c r="AV963" s="478">
        <v>0.80577777777000004</v>
      </c>
    </row>
    <row r="964" spans="1:48" s="471" customFormat="1" ht="15" customHeight="1">
      <c r="A964" s="472"/>
      <c r="B964" s="514">
        <v>44622</v>
      </c>
      <c r="C964" s="514"/>
      <c r="D964" s="512" t="s">
        <v>3186</v>
      </c>
      <c r="E964" s="501" t="s">
        <v>3356</v>
      </c>
      <c r="F964" s="501"/>
      <c r="G964" s="501">
        <v>2022</v>
      </c>
      <c r="H964" s="501"/>
      <c r="I964" s="501" t="s">
        <v>1676</v>
      </c>
      <c r="J964" s="513"/>
      <c r="K964" s="501" t="s">
        <v>4926</v>
      </c>
      <c r="L964" s="501" t="s">
        <v>3266</v>
      </c>
      <c r="M964" s="504">
        <v>44622</v>
      </c>
      <c r="N964" s="504">
        <v>44897</v>
      </c>
      <c r="O964" s="504"/>
      <c r="P964" s="502"/>
      <c r="Q964" s="502"/>
      <c r="R964" s="502"/>
      <c r="S964" s="501" t="s">
        <v>2379</v>
      </c>
      <c r="T964" s="501">
        <v>60</v>
      </c>
      <c r="U964" s="501"/>
      <c r="V964" s="501" t="s">
        <v>973</v>
      </c>
      <c r="W964" s="501">
        <v>400</v>
      </c>
      <c r="X964" s="505">
        <v>416</v>
      </c>
      <c r="Y964" s="491">
        <f t="shared" si="135"/>
        <v>166400</v>
      </c>
      <c r="Z964" s="478">
        <v>0.53500000000000003</v>
      </c>
      <c r="AA964" s="492">
        <f t="shared" si="134"/>
        <v>89024</v>
      </c>
      <c r="AB964" s="480"/>
      <c r="AC964" s="481">
        <f t="shared" si="136"/>
        <v>0</v>
      </c>
      <c r="AD964" s="490"/>
      <c r="AE964" s="482"/>
      <c r="AF964" s="493">
        <f t="shared" si="137"/>
        <v>89024</v>
      </c>
      <c r="AG964" s="474" t="s">
        <v>1071</v>
      </c>
      <c r="AH964" s="474"/>
      <c r="AI964" s="483">
        <v>60</v>
      </c>
      <c r="AJ964" s="474" t="s">
        <v>3479</v>
      </c>
      <c r="AK964" s="494" t="s">
        <v>3480</v>
      </c>
      <c r="AL964" s="474">
        <v>70087</v>
      </c>
      <c r="AM964" s="474" t="s">
        <v>52</v>
      </c>
      <c r="AN964" s="474"/>
      <c r="AO964" s="474"/>
      <c r="AP964" s="486"/>
      <c r="AQ964" s="486" t="s">
        <v>37</v>
      </c>
      <c r="AR964" s="486" t="s">
        <v>4921</v>
      </c>
      <c r="AS964" s="495"/>
      <c r="AT964" s="495"/>
      <c r="AU964" s="495"/>
      <c r="AV964" s="478">
        <v>0.80577777777000004</v>
      </c>
    </row>
    <row r="965" spans="1:48" s="471" customFormat="1" ht="15" customHeight="1">
      <c r="A965" s="472"/>
      <c r="B965" s="514">
        <v>44622</v>
      </c>
      <c r="C965" s="514"/>
      <c r="D965" s="512" t="s">
        <v>3186</v>
      </c>
      <c r="E965" s="501" t="s">
        <v>3356</v>
      </c>
      <c r="F965" s="501"/>
      <c r="G965" s="501">
        <v>2022</v>
      </c>
      <c r="H965" s="501"/>
      <c r="I965" s="501" t="s">
        <v>1676</v>
      </c>
      <c r="J965" s="513"/>
      <c r="K965" s="501" t="s">
        <v>4927</v>
      </c>
      <c r="L965" s="501" t="s">
        <v>3266</v>
      </c>
      <c r="M965" s="504">
        <v>44622</v>
      </c>
      <c r="N965" s="504">
        <v>44743</v>
      </c>
      <c r="O965" s="504"/>
      <c r="P965" s="502"/>
      <c r="Q965" s="502"/>
      <c r="R965" s="502"/>
      <c r="S965" s="501" t="s">
        <v>2379</v>
      </c>
      <c r="T965" s="501">
        <v>60</v>
      </c>
      <c r="U965" s="501"/>
      <c r="V965" s="501" t="s">
        <v>973</v>
      </c>
      <c r="W965" s="501">
        <v>400</v>
      </c>
      <c r="X965" s="505">
        <v>416</v>
      </c>
      <c r="Y965" s="491">
        <f t="shared" si="135"/>
        <v>166400</v>
      </c>
      <c r="Z965" s="478">
        <v>0.53500000000000003</v>
      </c>
      <c r="AA965" s="492">
        <f t="shared" si="134"/>
        <v>89024</v>
      </c>
      <c r="AB965" s="480"/>
      <c r="AC965" s="481">
        <f t="shared" si="136"/>
        <v>0</v>
      </c>
      <c r="AD965" s="490"/>
      <c r="AE965" s="482"/>
      <c r="AF965" s="493">
        <f t="shared" si="137"/>
        <v>89024</v>
      </c>
      <c r="AG965" s="474" t="s">
        <v>1071</v>
      </c>
      <c r="AH965" s="474"/>
      <c r="AI965" s="483">
        <v>60</v>
      </c>
      <c r="AJ965" s="474" t="s">
        <v>1384</v>
      </c>
      <c r="AK965" s="494" t="s">
        <v>1144</v>
      </c>
      <c r="AL965" s="474">
        <v>77092</v>
      </c>
      <c r="AM965" s="474" t="s">
        <v>52</v>
      </c>
      <c r="AN965" s="474"/>
      <c r="AO965" s="474"/>
      <c r="AP965" s="486"/>
      <c r="AQ965" s="486" t="s">
        <v>37</v>
      </c>
      <c r="AR965" s="486" t="s">
        <v>4921</v>
      </c>
      <c r="AS965" s="495"/>
      <c r="AT965" s="495"/>
      <c r="AU965" s="495"/>
      <c r="AV965" s="478">
        <v>0.80577777777000004</v>
      </c>
    </row>
    <row r="966" spans="1:48" s="471" customFormat="1" ht="15" customHeight="1">
      <c r="A966" s="472"/>
      <c r="B966" s="514">
        <v>44622</v>
      </c>
      <c r="C966" s="514"/>
      <c r="D966" s="512" t="s">
        <v>3186</v>
      </c>
      <c r="E966" s="501" t="s">
        <v>3356</v>
      </c>
      <c r="F966" s="501"/>
      <c r="G966" s="501">
        <v>2022</v>
      </c>
      <c r="H966" s="501"/>
      <c r="I966" s="501" t="s">
        <v>1676</v>
      </c>
      <c r="J966" s="513"/>
      <c r="K966" s="501" t="s">
        <v>4928</v>
      </c>
      <c r="L966" s="501" t="s">
        <v>3266</v>
      </c>
      <c r="M966" s="504">
        <v>44622</v>
      </c>
      <c r="N966" s="504">
        <v>44806</v>
      </c>
      <c r="O966" s="504"/>
      <c r="P966" s="502"/>
      <c r="Q966" s="502"/>
      <c r="R966" s="502"/>
      <c r="S966" s="501" t="s">
        <v>2379</v>
      </c>
      <c r="T966" s="501">
        <v>60</v>
      </c>
      <c r="U966" s="501"/>
      <c r="V966" s="501" t="s">
        <v>973</v>
      </c>
      <c r="W966" s="501">
        <v>400</v>
      </c>
      <c r="X966" s="505">
        <v>416</v>
      </c>
      <c r="Y966" s="491">
        <f t="shared" si="135"/>
        <v>166400</v>
      </c>
      <c r="Z966" s="478">
        <v>0.53500000000000003</v>
      </c>
      <c r="AA966" s="492">
        <f t="shared" si="134"/>
        <v>89024</v>
      </c>
      <c r="AB966" s="480"/>
      <c r="AC966" s="481">
        <f t="shared" si="136"/>
        <v>0</v>
      </c>
      <c r="AD966" s="490"/>
      <c r="AE966" s="482"/>
      <c r="AF966" s="493">
        <f t="shared" si="137"/>
        <v>89024</v>
      </c>
      <c r="AG966" s="474" t="s">
        <v>1071</v>
      </c>
      <c r="AH966" s="474"/>
      <c r="AI966" s="483">
        <v>60</v>
      </c>
      <c r="AJ966" s="474" t="s">
        <v>1384</v>
      </c>
      <c r="AK966" s="494" t="s">
        <v>1144</v>
      </c>
      <c r="AL966" s="474">
        <v>77092</v>
      </c>
      <c r="AM966" s="474" t="s">
        <v>52</v>
      </c>
      <c r="AN966" s="474"/>
      <c r="AO966" s="474"/>
      <c r="AP966" s="486"/>
      <c r="AQ966" s="486" t="s">
        <v>37</v>
      </c>
      <c r="AR966" s="486" t="s">
        <v>4921</v>
      </c>
      <c r="AS966" s="495"/>
      <c r="AT966" s="495"/>
      <c r="AU966" s="495"/>
      <c r="AV966" s="478">
        <v>0.80577777777000004</v>
      </c>
    </row>
    <row r="967" spans="1:48" s="471" customFormat="1" ht="15" customHeight="1">
      <c r="A967" s="472"/>
      <c r="B967" s="514">
        <v>44622</v>
      </c>
      <c r="C967" s="514"/>
      <c r="D967" s="512" t="s">
        <v>3186</v>
      </c>
      <c r="E967" s="501" t="s">
        <v>3356</v>
      </c>
      <c r="F967" s="501"/>
      <c r="G967" s="501">
        <v>2022</v>
      </c>
      <c r="H967" s="501"/>
      <c r="I967" s="501" t="s">
        <v>1676</v>
      </c>
      <c r="J967" s="513"/>
      <c r="K967" s="501" t="s">
        <v>4929</v>
      </c>
      <c r="L967" s="501" t="s">
        <v>3266</v>
      </c>
      <c r="M967" s="504">
        <v>44622</v>
      </c>
      <c r="N967" s="504">
        <v>44869</v>
      </c>
      <c r="O967" s="504"/>
      <c r="P967" s="502"/>
      <c r="Q967" s="502"/>
      <c r="R967" s="502"/>
      <c r="S967" s="501" t="s">
        <v>2379</v>
      </c>
      <c r="T967" s="501">
        <v>60</v>
      </c>
      <c r="U967" s="501"/>
      <c r="V967" s="501" t="s">
        <v>973</v>
      </c>
      <c r="W967" s="501">
        <v>400</v>
      </c>
      <c r="X967" s="505">
        <v>416</v>
      </c>
      <c r="Y967" s="477">
        <f t="shared" si="135"/>
        <v>166400</v>
      </c>
      <c r="Z967" s="478">
        <v>0.53500000000000003</v>
      </c>
      <c r="AA967" s="479">
        <f t="shared" si="134"/>
        <v>89024</v>
      </c>
      <c r="AB967" s="480"/>
      <c r="AC967" s="481">
        <f t="shared" si="136"/>
        <v>0</v>
      </c>
      <c r="AD967" s="490"/>
      <c r="AE967" s="482"/>
      <c r="AF967" s="493">
        <f t="shared" si="137"/>
        <v>89024</v>
      </c>
      <c r="AG967" s="474" t="s">
        <v>1071</v>
      </c>
      <c r="AH967" s="474"/>
      <c r="AI967" s="483">
        <v>60</v>
      </c>
      <c r="AJ967" s="474" t="s">
        <v>1384</v>
      </c>
      <c r="AK967" s="494" t="s">
        <v>1144</v>
      </c>
      <c r="AL967" s="474">
        <v>77092</v>
      </c>
      <c r="AM967" s="474" t="s">
        <v>52</v>
      </c>
      <c r="AN967" s="474"/>
      <c r="AO967" s="474"/>
      <c r="AP967" s="486"/>
      <c r="AQ967" s="486" t="s">
        <v>37</v>
      </c>
      <c r="AR967" s="486" t="s">
        <v>4921</v>
      </c>
      <c r="AS967" s="495"/>
      <c r="AT967" s="495"/>
      <c r="AU967" s="495"/>
      <c r="AV967" s="478">
        <v>0.80577777777000004</v>
      </c>
    </row>
    <row r="968" spans="1:48" s="471" customFormat="1" ht="15" customHeight="1">
      <c r="A968" s="472"/>
      <c r="B968" s="515">
        <v>44627</v>
      </c>
      <c r="C968" s="472"/>
      <c r="D968" s="512" t="s">
        <v>3186</v>
      </c>
      <c r="E968" s="501" t="s">
        <v>3356</v>
      </c>
      <c r="F968" s="501"/>
      <c r="G968" s="501">
        <v>2022</v>
      </c>
      <c r="H968" s="501">
        <v>10</v>
      </c>
      <c r="I968" s="501" t="s">
        <v>1676</v>
      </c>
      <c r="J968" s="513"/>
      <c r="K968" s="503" t="s">
        <v>4930</v>
      </c>
      <c r="L968" s="501" t="s">
        <v>3290</v>
      </c>
      <c r="M968" s="504">
        <v>44620</v>
      </c>
      <c r="N968" s="504">
        <v>44727</v>
      </c>
      <c r="O968" s="504"/>
      <c r="P968" s="502"/>
      <c r="Q968" s="502"/>
      <c r="R968" s="502"/>
      <c r="S968" s="501" t="s">
        <v>1563</v>
      </c>
      <c r="T968" s="501">
        <v>60</v>
      </c>
      <c r="U968" s="501"/>
      <c r="V968" s="501" t="s">
        <v>973</v>
      </c>
      <c r="W968" s="501">
        <v>400</v>
      </c>
      <c r="X968" s="505">
        <v>768</v>
      </c>
      <c r="Y968" s="491">
        <f t="shared" si="135"/>
        <v>307200</v>
      </c>
      <c r="Z968" s="478">
        <v>0.55500000000000005</v>
      </c>
      <c r="AA968" s="492">
        <f t="shared" si="134"/>
        <v>170496.00000000003</v>
      </c>
      <c r="AB968" s="480"/>
      <c r="AC968" s="481">
        <f t="shared" si="136"/>
        <v>0</v>
      </c>
      <c r="AD968" s="490"/>
      <c r="AE968" s="482"/>
      <c r="AF968" s="493">
        <f t="shared" si="137"/>
        <v>170496.00000000003</v>
      </c>
      <c r="AG968" s="474" t="s">
        <v>1071</v>
      </c>
      <c r="AH968" s="474"/>
      <c r="AI968" s="483">
        <v>60</v>
      </c>
      <c r="AJ968" s="474" t="s">
        <v>3295</v>
      </c>
      <c r="AK968" s="494" t="s">
        <v>1823</v>
      </c>
      <c r="AL968" s="474">
        <v>97005</v>
      </c>
      <c r="AM968" s="474" t="s">
        <v>52</v>
      </c>
      <c r="AN968" s="474"/>
      <c r="AO968" s="474"/>
      <c r="AP968" s="486"/>
      <c r="AQ968" s="486" t="s">
        <v>37</v>
      </c>
      <c r="AR968" s="486"/>
      <c r="AS968" s="495"/>
      <c r="AT968" s="495"/>
      <c r="AU968" s="495"/>
      <c r="AV968" s="478">
        <v>0.80577777777000004</v>
      </c>
    </row>
    <row r="969" spans="1:48" s="471" customFormat="1" ht="15" customHeight="1">
      <c r="A969" s="472"/>
      <c r="B969" s="515">
        <v>44627</v>
      </c>
      <c r="C969" s="472"/>
      <c r="D969" s="512" t="s">
        <v>3186</v>
      </c>
      <c r="E969" s="501" t="s">
        <v>3356</v>
      </c>
      <c r="F969" s="501"/>
      <c r="G969" s="501">
        <v>2022</v>
      </c>
      <c r="H969" s="501">
        <v>9</v>
      </c>
      <c r="I969" s="501" t="s">
        <v>1676</v>
      </c>
      <c r="J969" s="513"/>
      <c r="K969" s="503" t="s">
        <v>4931</v>
      </c>
      <c r="L969" s="501" t="s">
        <v>3290</v>
      </c>
      <c r="M969" s="504">
        <v>44620</v>
      </c>
      <c r="N969" s="504">
        <v>44682</v>
      </c>
      <c r="O969" s="504"/>
      <c r="P969" s="502"/>
      <c r="Q969" s="502"/>
      <c r="R969" s="502"/>
      <c r="S969" s="501" t="s">
        <v>1563</v>
      </c>
      <c r="T969" s="501">
        <v>60</v>
      </c>
      <c r="U969" s="501"/>
      <c r="V969" s="501" t="s">
        <v>973</v>
      </c>
      <c r="W969" s="501">
        <v>400</v>
      </c>
      <c r="X969" s="505">
        <v>768</v>
      </c>
      <c r="Y969" s="491">
        <f t="shared" si="135"/>
        <v>307200</v>
      </c>
      <c r="Z969" s="478">
        <v>0.55500000000000005</v>
      </c>
      <c r="AA969" s="492">
        <f t="shared" si="134"/>
        <v>170496.00000000003</v>
      </c>
      <c r="AB969" s="480"/>
      <c r="AC969" s="481">
        <f t="shared" si="136"/>
        <v>0</v>
      </c>
      <c r="AD969" s="490"/>
      <c r="AE969" s="482"/>
      <c r="AF969" s="493">
        <f t="shared" si="137"/>
        <v>170496.00000000003</v>
      </c>
      <c r="AG969" s="474" t="s">
        <v>1071</v>
      </c>
      <c r="AH969" s="474"/>
      <c r="AI969" s="483">
        <v>60</v>
      </c>
      <c r="AJ969" s="474" t="s">
        <v>3295</v>
      </c>
      <c r="AK969" s="494" t="s">
        <v>1823</v>
      </c>
      <c r="AL969" s="474">
        <v>97005</v>
      </c>
      <c r="AM969" s="474" t="s">
        <v>52</v>
      </c>
      <c r="AN969" s="474"/>
      <c r="AO969" s="474"/>
      <c r="AP969" s="486"/>
      <c r="AQ969" s="486" t="s">
        <v>37</v>
      </c>
      <c r="AR969" s="486"/>
      <c r="AS969" s="495"/>
      <c r="AT969" s="495"/>
      <c r="AU969" s="495"/>
      <c r="AV969" s="478">
        <v>0.80577777777000004</v>
      </c>
    </row>
    <row r="970" spans="1:48" s="471" customFormat="1" ht="15" customHeight="1">
      <c r="A970" s="472"/>
      <c r="B970" s="514">
        <v>44622</v>
      </c>
      <c r="C970" s="472"/>
      <c r="D970" s="512" t="s">
        <v>3186</v>
      </c>
      <c r="E970" s="501" t="s">
        <v>3356</v>
      </c>
      <c r="F970" s="501"/>
      <c r="G970" s="501">
        <v>2022</v>
      </c>
      <c r="H970" s="501"/>
      <c r="I970" s="501" t="s">
        <v>1676</v>
      </c>
      <c r="J970" s="513"/>
      <c r="K970" s="503" t="s">
        <v>4932</v>
      </c>
      <c r="L970" s="501" t="s">
        <v>3361</v>
      </c>
      <c r="M970" s="504">
        <v>44622</v>
      </c>
      <c r="N970" s="504">
        <v>44743</v>
      </c>
      <c r="O970" s="504"/>
      <c r="P970" s="502"/>
      <c r="Q970" s="502"/>
      <c r="R970" s="502"/>
      <c r="S970" s="501" t="s">
        <v>2379</v>
      </c>
      <c r="T970" s="501">
        <v>60</v>
      </c>
      <c r="U970" s="501"/>
      <c r="V970" s="501" t="s">
        <v>973</v>
      </c>
      <c r="W970" s="501">
        <v>400</v>
      </c>
      <c r="X970" s="505">
        <v>384</v>
      </c>
      <c r="Y970" s="491">
        <f t="shared" si="135"/>
        <v>153600</v>
      </c>
      <c r="Z970" s="478">
        <v>0.53500000000000003</v>
      </c>
      <c r="AA970" s="492">
        <f t="shared" si="134"/>
        <v>82176</v>
      </c>
      <c r="AB970" s="480"/>
      <c r="AC970" s="481">
        <f t="shared" si="136"/>
        <v>0</v>
      </c>
      <c r="AD970" s="490"/>
      <c r="AE970" s="482"/>
      <c r="AF970" s="493">
        <f t="shared" si="137"/>
        <v>82176</v>
      </c>
      <c r="AG970" s="474" t="s">
        <v>1071</v>
      </c>
      <c r="AH970" s="474"/>
      <c r="AI970" s="483">
        <v>60</v>
      </c>
      <c r="AJ970" s="474" t="s">
        <v>3443</v>
      </c>
      <c r="AK970" s="494" t="s">
        <v>3444</v>
      </c>
      <c r="AL970" s="474">
        <v>73128</v>
      </c>
      <c r="AM970" s="474" t="s">
        <v>52</v>
      </c>
      <c r="AN970" s="474"/>
      <c r="AO970" s="474"/>
      <c r="AP970" s="486"/>
      <c r="AQ970" s="486" t="s">
        <v>37</v>
      </c>
      <c r="AR970" s="486" t="s">
        <v>4921</v>
      </c>
      <c r="AS970" s="495"/>
      <c r="AT970" s="495"/>
      <c r="AU970" s="495"/>
      <c r="AV970" s="478">
        <v>0.80577777777000004</v>
      </c>
    </row>
    <row r="971" spans="1:48" s="471" customFormat="1" ht="15" customHeight="1">
      <c r="A971" s="472"/>
      <c r="B971" s="514">
        <v>44622</v>
      </c>
      <c r="C971" s="472"/>
      <c r="D971" s="512" t="s">
        <v>3186</v>
      </c>
      <c r="E971" s="501" t="s">
        <v>3356</v>
      </c>
      <c r="F971" s="501"/>
      <c r="G971" s="501">
        <v>2022</v>
      </c>
      <c r="H971" s="501"/>
      <c r="I971" s="501" t="s">
        <v>1676</v>
      </c>
      <c r="J971" s="513"/>
      <c r="K971" s="503" t="s">
        <v>4933</v>
      </c>
      <c r="L971" s="501" t="s">
        <v>3361</v>
      </c>
      <c r="M971" s="504">
        <v>44622</v>
      </c>
      <c r="N971" s="504">
        <v>44806</v>
      </c>
      <c r="O971" s="504"/>
      <c r="P971" s="502"/>
      <c r="Q971" s="502"/>
      <c r="R971" s="502"/>
      <c r="S971" s="501" t="s">
        <v>2379</v>
      </c>
      <c r="T971" s="501">
        <v>60</v>
      </c>
      <c r="U971" s="501"/>
      <c r="V971" s="501" t="s">
        <v>973</v>
      </c>
      <c r="W971" s="501">
        <v>400</v>
      </c>
      <c r="X971" s="505">
        <v>384</v>
      </c>
      <c r="Y971" s="491">
        <f t="shared" si="135"/>
        <v>153600</v>
      </c>
      <c r="Z971" s="478">
        <v>0.53500000000000003</v>
      </c>
      <c r="AA971" s="492">
        <f t="shared" si="134"/>
        <v>82176</v>
      </c>
      <c r="AB971" s="480"/>
      <c r="AC971" s="481">
        <f t="shared" si="136"/>
        <v>0</v>
      </c>
      <c r="AD971" s="490"/>
      <c r="AE971" s="482"/>
      <c r="AF971" s="493">
        <f t="shared" si="137"/>
        <v>82176</v>
      </c>
      <c r="AG971" s="474" t="s">
        <v>1071</v>
      </c>
      <c r="AH971" s="474"/>
      <c r="AI971" s="483">
        <v>60</v>
      </c>
      <c r="AJ971" s="474" t="s">
        <v>3443</v>
      </c>
      <c r="AK971" s="494" t="s">
        <v>3444</v>
      </c>
      <c r="AL971" s="474">
        <v>73128</v>
      </c>
      <c r="AM971" s="474" t="s">
        <v>52</v>
      </c>
      <c r="AN971" s="474"/>
      <c r="AO971" s="474"/>
      <c r="AP971" s="486"/>
      <c r="AQ971" s="486" t="s">
        <v>37</v>
      </c>
      <c r="AR971" s="486" t="s">
        <v>4921</v>
      </c>
      <c r="AS971" s="495"/>
      <c r="AT971" s="495"/>
      <c r="AU971" s="495"/>
      <c r="AV971" s="478">
        <v>0.80577777777000004</v>
      </c>
    </row>
    <row r="972" spans="1:48" s="471" customFormat="1" ht="15" customHeight="1">
      <c r="A972" s="472"/>
      <c r="B972" s="514">
        <v>44622</v>
      </c>
      <c r="C972" s="472"/>
      <c r="D972" s="512" t="s">
        <v>3186</v>
      </c>
      <c r="E972" s="501" t="s">
        <v>3356</v>
      </c>
      <c r="F972" s="501"/>
      <c r="G972" s="501">
        <v>2022</v>
      </c>
      <c r="H972" s="501"/>
      <c r="I972" s="501" t="s">
        <v>1676</v>
      </c>
      <c r="J972" s="513"/>
      <c r="K972" s="503" t="s">
        <v>4934</v>
      </c>
      <c r="L972" s="501" t="s">
        <v>3361</v>
      </c>
      <c r="M972" s="504">
        <v>44622</v>
      </c>
      <c r="N972" s="504">
        <v>44869</v>
      </c>
      <c r="O972" s="504"/>
      <c r="P972" s="502"/>
      <c r="Q972" s="502"/>
      <c r="R972" s="502"/>
      <c r="S972" s="501" t="s">
        <v>2379</v>
      </c>
      <c r="T972" s="501">
        <v>60</v>
      </c>
      <c r="U972" s="501"/>
      <c r="V972" s="501" t="s">
        <v>973</v>
      </c>
      <c r="W972" s="501">
        <v>400</v>
      </c>
      <c r="X972" s="505">
        <v>384</v>
      </c>
      <c r="Y972" s="491">
        <f t="shared" si="135"/>
        <v>153600</v>
      </c>
      <c r="Z972" s="478">
        <v>0.53500000000000003</v>
      </c>
      <c r="AA972" s="492">
        <f t="shared" si="134"/>
        <v>82176</v>
      </c>
      <c r="AB972" s="480"/>
      <c r="AC972" s="481">
        <f t="shared" si="136"/>
        <v>0</v>
      </c>
      <c r="AD972" s="490"/>
      <c r="AE972" s="482"/>
      <c r="AF972" s="493">
        <f t="shared" si="137"/>
        <v>82176</v>
      </c>
      <c r="AG972" s="474" t="s">
        <v>1071</v>
      </c>
      <c r="AH972" s="474"/>
      <c r="AI972" s="483">
        <v>60</v>
      </c>
      <c r="AJ972" s="474" t="s">
        <v>3443</v>
      </c>
      <c r="AK972" s="494" t="s">
        <v>3444</v>
      </c>
      <c r="AL972" s="474">
        <v>73128</v>
      </c>
      <c r="AM972" s="474" t="s">
        <v>52</v>
      </c>
      <c r="AN972" s="474"/>
      <c r="AO972" s="474"/>
      <c r="AP972" s="486"/>
      <c r="AQ972" s="486" t="s">
        <v>37</v>
      </c>
      <c r="AR972" s="486" t="s">
        <v>4921</v>
      </c>
      <c r="AS972" s="495"/>
      <c r="AT972" s="495"/>
      <c r="AU972" s="495"/>
      <c r="AV972" s="478">
        <v>0.80577777777000004</v>
      </c>
    </row>
    <row r="973" spans="1:48" s="471" customFormat="1" ht="15" customHeight="1">
      <c r="A973" s="472"/>
      <c r="B973" s="514">
        <v>44622</v>
      </c>
      <c r="C973" s="472"/>
      <c r="D973" s="512" t="s">
        <v>3186</v>
      </c>
      <c r="E973" s="501" t="s">
        <v>3356</v>
      </c>
      <c r="F973" s="501"/>
      <c r="G973" s="501">
        <v>2022</v>
      </c>
      <c r="H973" s="501"/>
      <c r="I973" s="501" t="s">
        <v>1676</v>
      </c>
      <c r="J973" s="513"/>
      <c r="K973" s="503" t="s">
        <v>4935</v>
      </c>
      <c r="L973" s="501" t="s">
        <v>3361</v>
      </c>
      <c r="M973" s="504">
        <v>44622</v>
      </c>
      <c r="N973" s="504">
        <v>44743</v>
      </c>
      <c r="O973" s="504"/>
      <c r="P973" s="502"/>
      <c r="Q973" s="502"/>
      <c r="R973" s="502"/>
      <c r="S973" s="501" t="s">
        <v>2379</v>
      </c>
      <c r="T973" s="501">
        <v>60</v>
      </c>
      <c r="U973" s="501"/>
      <c r="V973" s="501" t="s">
        <v>973</v>
      </c>
      <c r="W973" s="501">
        <v>400</v>
      </c>
      <c r="X973" s="505">
        <v>384</v>
      </c>
      <c r="Y973" s="491">
        <f t="shared" si="135"/>
        <v>153600</v>
      </c>
      <c r="Z973" s="478">
        <v>0.53500000000000003</v>
      </c>
      <c r="AA973" s="492">
        <f t="shared" si="134"/>
        <v>82176</v>
      </c>
      <c r="AB973" s="480"/>
      <c r="AC973" s="481">
        <f t="shared" si="136"/>
        <v>0</v>
      </c>
      <c r="AD973" s="490"/>
      <c r="AE973" s="482"/>
      <c r="AF973" s="493">
        <f t="shared" si="137"/>
        <v>82176</v>
      </c>
      <c r="AG973" s="474" t="s">
        <v>1071</v>
      </c>
      <c r="AH973" s="474"/>
      <c r="AI973" s="483">
        <v>60</v>
      </c>
      <c r="AJ973" s="474" t="s">
        <v>3275</v>
      </c>
      <c r="AK973" s="494" t="s">
        <v>1144</v>
      </c>
      <c r="AL973" s="474">
        <v>75007</v>
      </c>
      <c r="AM973" s="474" t="s">
        <v>52</v>
      </c>
      <c r="AN973" s="474"/>
      <c r="AO973" s="474"/>
      <c r="AP973" s="486"/>
      <c r="AQ973" s="486" t="s">
        <v>37</v>
      </c>
      <c r="AR973" s="486" t="s">
        <v>4921</v>
      </c>
      <c r="AS973" s="495"/>
      <c r="AT973" s="495"/>
      <c r="AU973" s="495"/>
      <c r="AV973" s="478">
        <v>0.80577777777000004</v>
      </c>
    </row>
    <row r="974" spans="1:48" s="471" customFormat="1" ht="15" customHeight="1">
      <c r="A974" s="472"/>
      <c r="B974" s="514">
        <v>44622</v>
      </c>
      <c r="C974" s="472"/>
      <c r="D974" s="512" t="s">
        <v>3186</v>
      </c>
      <c r="E974" s="501" t="s">
        <v>3356</v>
      </c>
      <c r="F974" s="501"/>
      <c r="G974" s="501">
        <v>2022</v>
      </c>
      <c r="H974" s="501"/>
      <c r="I974" s="501" t="s">
        <v>1676</v>
      </c>
      <c r="J974" s="513"/>
      <c r="K974" s="503" t="s">
        <v>4936</v>
      </c>
      <c r="L974" s="501" t="s">
        <v>3361</v>
      </c>
      <c r="M974" s="504">
        <v>44622</v>
      </c>
      <c r="N974" s="504">
        <v>44806</v>
      </c>
      <c r="O974" s="504"/>
      <c r="P974" s="502"/>
      <c r="Q974" s="502"/>
      <c r="R974" s="502"/>
      <c r="S974" s="501" t="s">
        <v>2379</v>
      </c>
      <c r="T974" s="501">
        <v>60</v>
      </c>
      <c r="U974" s="501"/>
      <c r="V974" s="501" t="s">
        <v>973</v>
      </c>
      <c r="W974" s="501">
        <v>400</v>
      </c>
      <c r="X974" s="505">
        <v>384</v>
      </c>
      <c r="Y974" s="491">
        <f t="shared" si="135"/>
        <v>153600</v>
      </c>
      <c r="Z974" s="478">
        <v>0.53500000000000003</v>
      </c>
      <c r="AA974" s="492">
        <f t="shared" si="134"/>
        <v>82176</v>
      </c>
      <c r="AB974" s="480"/>
      <c r="AC974" s="481">
        <f t="shared" si="136"/>
        <v>0</v>
      </c>
      <c r="AD974" s="490"/>
      <c r="AE974" s="482"/>
      <c r="AF974" s="493">
        <f t="shared" si="137"/>
        <v>82176</v>
      </c>
      <c r="AG974" s="474" t="s">
        <v>1071</v>
      </c>
      <c r="AH974" s="474"/>
      <c r="AI974" s="483">
        <v>60</v>
      </c>
      <c r="AJ974" s="474" t="s">
        <v>3275</v>
      </c>
      <c r="AK974" s="494" t="s">
        <v>1144</v>
      </c>
      <c r="AL974" s="474">
        <v>75007</v>
      </c>
      <c r="AM974" s="474" t="s">
        <v>52</v>
      </c>
      <c r="AN974" s="474"/>
      <c r="AO974" s="474"/>
      <c r="AP974" s="486"/>
      <c r="AQ974" s="486" t="s">
        <v>37</v>
      </c>
      <c r="AR974" s="486" t="s">
        <v>4921</v>
      </c>
      <c r="AS974" s="495"/>
      <c r="AT974" s="495"/>
      <c r="AU974" s="495"/>
      <c r="AV974" s="478">
        <v>0.80577777777000004</v>
      </c>
    </row>
    <row r="975" spans="1:48" s="471" customFormat="1" ht="15" customHeight="1">
      <c r="A975" s="472"/>
      <c r="B975" s="514">
        <v>44622</v>
      </c>
      <c r="C975" s="472"/>
      <c r="D975" s="512" t="s">
        <v>3186</v>
      </c>
      <c r="E975" s="501" t="s">
        <v>3356</v>
      </c>
      <c r="F975" s="501"/>
      <c r="G975" s="501">
        <v>2022</v>
      </c>
      <c r="H975" s="501"/>
      <c r="I975" s="501" t="s">
        <v>1676</v>
      </c>
      <c r="J975" s="513"/>
      <c r="K975" s="503" t="s">
        <v>4937</v>
      </c>
      <c r="L975" s="501" t="s">
        <v>3361</v>
      </c>
      <c r="M975" s="504">
        <v>44622</v>
      </c>
      <c r="N975" s="504">
        <v>44869</v>
      </c>
      <c r="O975" s="504"/>
      <c r="P975" s="502"/>
      <c r="Q975" s="502"/>
      <c r="R975" s="502"/>
      <c r="S975" s="501" t="s">
        <v>2379</v>
      </c>
      <c r="T975" s="501">
        <v>60</v>
      </c>
      <c r="U975" s="501"/>
      <c r="V975" s="501" t="s">
        <v>973</v>
      </c>
      <c r="W975" s="501">
        <v>400</v>
      </c>
      <c r="X975" s="505">
        <v>384</v>
      </c>
      <c r="Y975" s="491">
        <f t="shared" si="135"/>
        <v>153600</v>
      </c>
      <c r="Z975" s="478">
        <v>0.53500000000000003</v>
      </c>
      <c r="AA975" s="492">
        <f t="shared" si="134"/>
        <v>82176</v>
      </c>
      <c r="AB975" s="480"/>
      <c r="AC975" s="481">
        <f t="shared" si="136"/>
        <v>0</v>
      </c>
      <c r="AD975" s="490"/>
      <c r="AE975" s="482"/>
      <c r="AF975" s="493">
        <f t="shared" si="137"/>
        <v>82176</v>
      </c>
      <c r="AG975" s="474" t="s">
        <v>1071</v>
      </c>
      <c r="AH975" s="474"/>
      <c r="AI975" s="483">
        <v>60</v>
      </c>
      <c r="AJ975" s="474" t="s">
        <v>3275</v>
      </c>
      <c r="AK975" s="494" t="s">
        <v>1144</v>
      </c>
      <c r="AL975" s="474">
        <v>75007</v>
      </c>
      <c r="AM975" s="474" t="s">
        <v>52</v>
      </c>
      <c r="AN975" s="474"/>
      <c r="AO975" s="474"/>
      <c r="AP975" s="486"/>
      <c r="AQ975" s="486" t="s">
        <v>37</v>
      </c>
      <c r="AR975" s="486" t="s">
        <v>4921</v>
      </c>
      <c r="AS975" s="495"/>
      <c r="AT975" s="495"/>
      <c r="AU975" s="495"/>
      <c r="AV975" s="478">
        <v>0.80577777777000004</v>
      </c>
    </row>
    <row r="976" spans="1:48" s="471" customFormat="1" ht="15" customHeight="1">
      <c r="A976" s="472"/>
      <c r="B976" s="514">
        <v>44622</v>
      </c>
      <c r="C976" s="472"/>
      <c r="D976" s="512" t="s">
        <v>3186</v>
      </c>
      <c r="E976" s="501" t="s">
        <v>3356</v>
      </c>
      <c r="F976" s="501"/>
      <c r="G976" s="501">
        <v>2022</v>
      </c>
      <c r="H976" s="501"/>
      <c r="I976" s="501" t="s">
        <v>1676</v>
      </c>
      <c r="J976" s="513"/>
      <c r="K976" s="503" t="s">
        <v>4938</v>
      </c>
      <c r="L976" s="501" t="s">
        <v>3361</v>
      </c>
      <c r="M976" s="504">
        <v>44622</v>
      </c>
      <c r="N976" s="504">
        <v>44743</v>
      </c>
      <c r="O976" s="504"/>
      <c r="P976" s="502"/>
      <c r="Q976" s="502"/>
      <c r="R976" s="502"/>
      <c r="S976" s="501" t="s">
        <v>2379</v>
      </c>
      <c r="T976" s="501">
        <v>60</v>
      </c>
      <c r="U976" s="501"/>
      <c r="V976" s="501" t="s">
        <v>973</v>
      </c>
      <c r="W976" s="501">
        <v>400</v>
      </c>
      <c r="X976" s="505">
        <v>832</v>
      </c>
      <c r="Y976" s="491">
        <f t="shared" si="135"/>
        <v>332800</v>
      </c>
      <c r="Z976" s="478">
        <v>0.53500000000000003</v>
      </c>
      <c r="AA976" s="492">
        <f t="shared" si="134"/>
        <v>178048</v>
      </c>
      <c r="AB976" s="480"/>
      <c r="AC976" s="481">
        <f t="shared" si="136"/>
        <v>0</v>
      </c>
      <c r="AD976" s="490"/>
      <c r="AE976" s="482"/>
      <c r="AF976" s="493">
        <f t="shared" si="137"/>
        <v>178048</v>
      </c>
      <c r="AG976" s="474" t="s">
        <v>1071</v>
      </c>
      <c r="AH976" s="474"/>
      <c r="AI976" s="483">
        <v>60</v>
      </c>
      <c r="AJ976" s="474" t="s">
        <v>1593</v>
      </c>
      <c r="AK976" s="494" t="s">
        <v>1144</v>
      </c>
      <c r="AL976" s="474">
        <v>78744</v>
      </c>
      <c r="AM976" s="474" t="s">
        <v>52</v>
      </c>
      <c r="AN976" s="474"/>
      <c r="AO976" s="474"/>
      <c r="AP976" s="486"/>
      <c r="AQ976" s="486" t="s">
        <v>37</v>
      </c>
      <c r="AR976" s="486" t="s">
        <v>4921</v>
      </c>
      <c r="AS976" s="495"/>
      <c r="AT976" s="495"/>
      <c r="AU976" s="495"/>
      <c r="AV976" s="478">
        <v>0.80577777777000004</v>
      </c>
    </row>
    <row r="977" spans="1:48" s="471" customFormat="1" ht="15" customHeight="1">
      <c r="A977" s="472"/>
      <c r="B977" s="514">
        <v>44622</v>
      </c>
      <c r="C977" s="472"/>
      <c r="D977" s="512" t="s">
        <v>3186</v>
      </c>
      <c r="E977" s="501" t="s">
        <v>3356</v>
      </c>
      <c r="F977" s="501"/>
      <c r="G977" s="501">
        <v>2022</v>
      </c>
      <c r="H977" s="501"/>
      <c r="I977" s="501" t="s">
        <v>1676</v>
      </c>
      <c r="J977" s="513"/>
      <c r="K977" s="503" t="s">
        <v>4939</v>
      </c>
      <c r="L977" s="501" t="s">
        <v>3361</v>
      </c>
      <c r="M977" s="504">
        <v>44622</v>
      </c>
      <c r="N977" s="504">
        <v>44778</v>
      </c>
      <c r="O977" s="504"/>
      <c r="P977" s="502"/>
      <c r="Q977" s="502"/>
      <c r="R977" s="502"/>
      <c r="S977" s="501" t="s">
        <v>2379</v>
      </c>
      <c r="T977" s="501">
        <v>60</v>
      </c>
      <c r="U977" s="501"/>
      <c r="V977" s="501" t="s">
        <v>973</v>
      </c>
      <c r="W977" s="501">
        <v>400</v>
      </c>
      <c r="X977" s="505">
        <v>832</v>
      </c>
      <c r="Y977" s="491">
        <f t="shared" si="135"/>
        <v>332800</v>
      </c>
      <c r="Z977" s="478">
        <v>0.53500000000000003</v>
      </c>
      <c r="AA977" s="492">
        <f t="shared" si="134"/>
        <v>178048</v>
      </c>
      <c r="AB977" s="480"/>
      <c r="AC977" s="481">
        <f t="shared" si="136"/>
        <v>0</v>
      </c>
      <c r="AD977" s="490"/>
      <c r="AE977" s="482"/>
      <c r="AF977" s="493">
        <f t="shared" si="137"/>
        <v>178048</v>
      </c>
      <c r="AG977" s="474" t="s">
        <v>1071</v>
      </c>
      <c r="AH977" s="474"/>
      <c r="AI977" s="483">
        <v>60</v>
      </c>
      <c r="AJ977" s="474" t="s">
        <v>1593</v>
      </c>
      <c r="AK977" s="494" t="s">
        <v>1144</v>
      </c>
      <c r="AL977" s="474">
        <v>78744</v>
      </c>
      <c r="AM977" s="474" t="s">
        <v>52</v>
      </c>
      <c r="AN977" s="474"/>
      <c r="AO977" s="474"/>
      <c r="AP977" s="486"/>
      <c r="AQ977" s="486" t="s">
        <v>37</v>
      </c>
      <c r="AR977" s="486" t="s">
        <v>4921</v>
      </c>
      <c r="AS977" s="495"/>
      <c r="AT977" s="495"/>
      <c r="AU977" s="495"/>
      <c r="AV977" s="478">
        <v>0.80577777777000004</v>
      </c>
    </row>
    <row r="978" spans="1:48" s="471" customFormat="1" ht="15" customHeight="1">
      <c r="A978" s="472"/>
      <c r="B978" s="514">
        <v>44622</v>
      </c>
      <c r="C978" s="472"/>
      <c r="D978" s="512" t="s">
        <v>3186</v>
      </c>
      <c r="E978" s="501" t="s">
        <v>3356</v>
      </c>
      <c r="F978" s="501"/>
      <c r="G978" s="501">
        <v>2022</v>
      </c>
      <c r="H978" s="501"/>
      <c r="I978" s="501" t="s">
        <v>1676</v>
      </c>
      <c r="J978" s="513"/>
      <c r="K978" s="503" t="s">
        <v>4940</v>
      </c>
      <c r="L978" s="501" t="s">
        <v>3361</v>
      </c>
      <c r="M978" s="504">
        <v>44622</v>
      </c>
      <c r="N978" s="504">
        <v>44806</v>
      </c>
      <c r="O978" s="504"/>
      <c r="P978" s="502"/>
      <c r="Q978" s="502"/>
      <c r="R978" s="502"/>
      <c r="S978" s="501" t="s">
        <v>2379</v>
      </c>
      <c r="T978" s="501">
        <v>60</v>
      </c>
      <c r="U978" s="501"/>
      <c r="V978" s="501" t="s">
        <v>973</v>
      </c>
      <c r="W978" s="501">
        <v>400</v>
      </c>
      <c r="X978" s="505">
        <v>832</v>
      </c>
      <c r="Y978" s="491">
        <f t="shared" si="135"/>
        <v>332800</v>
      </c>
      <c r="Z978" s="478">
        <v>0.53500000000000003</v>
      </c>
      <c r="AA978" s="492">
        <f t="shared" si="134"/>
        <v>178048</v>
      </c>
      <c r="AB978" s="480"/>
      <c r="AC978" s="481">
        <f t="shared" si="136"/>
        <v>0</v>
      </c>
      <c r="AD978" s="490"/>
      <c r="AE978" s="482"/>
      <c r="AF978" s="493">
        <f t="shared" si="137"/>
        <v>178048</v>
      </c>
      <c r="AG978" s="474" t="s">
        <v>1071</v>
      </c>
      <c r="AH978" s="474"/>
      <c r="AI978" s="483">
        <v>60</v>
      </c>
      <c r="AJ978" s="474" t="s">
        <v>1593</v>
      </c>
      <c r="AK978" s="494" t="s">
        <v>1144</v>
      </c>
      <c r="AL978" s="474">
        <v>78744</v>
      </c>
      <c r="AM978" s="474" t="s">
        <v>52</v>
      </c>
      <c r="AN978" s="474"/>
      <c r="AO978" s="474"/>
      <c r="AP978" s="486"/>
      <c r="AQ978" s="486" t="s">
        <v>37</v>
      </c>
      <c r="AR978" s="486" t="s">
        <v>4921</v>
      </c>
      <c r="AS978" s="495"/>
      <c r="AT978" s="495"/>
      <c r="AU978" s="495"/>
      <c r="AV978" s="478">
        <v>0.80577777777000004</v>
      </c>
    </row>
    <row r="979" spans="1:48" s="471" customFormat="1" ht="15" customHeight="1">
      <c r="A979" s="472"/>
      <c r="B979" s="514">
        <v>44622</v>
      </c>
      <c r="C979" s="472"/>
      <c r="D979" s="512" t="s">
        <v>3186</v>
      </c>
      <c r="E979" s="501" t="s">
        <v>3356</v>
      </c>
      <c r="F979" s="501"/>
      <c r="G979" s="501">
        <v>2022</v>
      </c>
      <c r="H979" s="501"/>
      <c r="I979" s="501" t="s">
        <v>1676</v>
      </c>
      <c r="J979" s="513"/>
      <c r="K979" s="503" t="s">
        <v>4941</v>
      </c>
      <c r="L979" s="501" t="s">
        <v>3361</v>
      </c>
      <c r="M979" s="504">
        <v>44622</v>
      </c>
      <c r="N979" s="504">
        <v>44837</v>
      </c>
      <c r="O979" s="504"/>
      <c r="P979" s="502"/>
      <c r="Q979" s="502"/>
      <c r="R979" s="502"/>
      <c r="S979" s="501" t="s">
        <v>2379</v>
      </c>
      <c r="T979" s="501">
        <v>60</v>
      </c>
      <c r="U979" s="501"/>
      <c r="V979" s="501" t="s">
        <v>973</v>
      </c>
      <c r="W979" s="501">
        <v>400</v>
      </c>
      <c r="X979" s="505">
        <v>832</v>
      </c>
      <c r="Y979" s="491">
        <f t="shared" si="135"/>
        <v>332800</v>
      </c>
      <c r="Z979" s="478">
        <v>0.53500000000000003</v>
      </c>
      <c r="AA979" s="492">
        <f t="shared" si="134"/>
        <v>178048</v>
      </c>
      <c r="AB979" s="480"/>
      <c r="AC979" s="481">
        <f t="shared" si="136"/>
        <v>0</v>
      </c>
      <c r="AD979" s="490"/>
      <c r="AE979" s="482"/>
      <c r="AF979" s="493">
        <f t="shared" si="137"/>
        <v>178048</v>
      </c>
      <c r="AG979" s="474" t="s">
        <v>1071</v>
      </c>
      <c r="AH979" s="474"/>
      <c r="AI979" s="483">
        <v>60</v>
      </c>
      <c r="AJ979" s="474" t="s">
        <v>1593</v>
      </c>
      <c r="AK979" s="494" t="s">
        <v>1144</v>
      </c>
      <c r="AL979" s="474">
        <v>78744</v>
      </c>
      <c r="AM979" s="474" t="s">
        <v>52</v>
      </c>
      <c r="AN979" s="474"/>
      <c r="AO979" s="474"/>
      <c r="AP979" s="486"/>
      <c r="AQ979" s="486" t="s">
        <v>37</v>
      </c>
      <c r="AR979" s="486" t="s">
        <v>4921</v>
      </c>
      <c r="AS979" s="495"/>
      <c r="AT979" s="495"/>
      <c r="AU979" s="495"/>
      <c r="AV979" s="478">
        <v>0.80577777777000004</v>
      </c>
    </row>
    <row r="980" spans="1:48" s="471" customFormat="1" ht="15" customHeight="1">
      <c r="A980" s="472"/>
      <c r="B980" s="514">
        <v>44622</v>
      </c>
      <c r="C980" s="472"/>
      <c r="D980" s="512" t="s">
        <v>3186</v>
      </c>
      <c r="E980" s="501" t="s">
        <v>3356</v>
      </c>
      <c r="F980" s="501"/>
      <c r="G980" s="501">
        <v>2022</v>
      </c>
      <c r="H980" s="501"/>
      <c r="I980" s="501" t="s">
        <v>1676</v>
      </c>
      <c r="J980" s="513"/>
      <c r="K980" s="503" t="s">
        <v>4942</v>
      </c>
      <c r="L980" s="501" t="s">
        <v>3361</v>
      </c>
      <c r="M980" s="504">
        <v>44622</v>
      </c>
      <c r="N980" s="504">
        <v>44869</v>
      </c>
      <c r="O980" s="504"/>
      <c r="P980" s="502"/>
      <c r="Q980" s="502"/>
      <c r="R980" s="502"/>
      <c r="S980" s="501" t="s">
        <v>2379</v>
      </c>
      <c r="T980" s="501">
        <v>60</v>
      </c>
      <c r="U980" s="501"/>
      <c r="V980" s="501" t="s">
        <v>973</v>
      </c>
      <c r="W980" s="501">
        <v>400</v>
      </c>
      <c r="X980" s="505">
        <v>832</v>
      </c>
      <c r="Y980" s="491">
        <f t="shared" si="135"/>
        <v>332800</v>
      </c>
      <c r="Z980" s="478">
        <v>0.53500000000000003</v>
      </c>
      <c r="AA980" s="492">
        <f t="shared" si="134"/>
        <v>178048</v>
      </c>
      <c r="AB980" s="480"/>
      <c r="AC980" s="481">
        <f t="shared" si="136"/>
        <v>0</v>
      </c>
      <c r="AD980" s="490"/>
      <c r="AE980" s="482"/>
      <c r="AF980" s="493">
        <f t="shared" si="137"/>
        <v>178048</v>
      </c>
      <c r="AG980" s="474" t="s">
        <v>1071</v>
      </c>
      <c r="AH980" s="474"/>
      <c r="AI980" s="483">
        <v>60</v>
      </c>
      <c r="AJ980" s="474" t="s">
        <v>1593</v>
      </c>
      <c r="AK980" s="494" t="s">
        <v>1144</v>
      </c>
      <c r="AL980" s="474">
        <v>78744</v>
      </c>
      <c r="AM980" s="474" t="s">
        <v>52</v>
      </c>
      <c r="AN980" s="474"/>
      <c r="AO980" s="474"/>
      <c r="AP980" s="486"/>
      <c r="AQ980" s="486" t="s">
        <v>37</v>
      </c>
      <c r="AR980" s="486" t="s">
        <v>4921</v>
      </c>
      <c r="AS980" s="495"/>
      <c r="AT980" s="495"/>
      <c r="AU980" s="495"/>
      <c r="AV980" s="478">
        <v>0.80577777777000004</v>
      </c>
    </row>
    <row r="981" spans="1:48" s="471" customFormat="1" ht="15" customHeight="1">
      <c r="A981" s="472"/>
      <c r="B981" s="514">
        <v>44655</v>
      </c>
      <c r="C981" s="472"/>
      <c r="D981" s="512" t="s">
        <v>3186</v>
      </c>
      <c r="E981" s="501" t="s">
        <v>3356</v>
      </c>
      <c r="F981" s="501"/>
      <c r="G981" s="501">
        <v>2022</v>
      </c>
      <c r="H981" s="501"/>
      <c r="I981" s="501" t="s">
        <v>1676</v>
      </c>
      <c r="J981" s="513"/>
      <c r="K981" s="503" t="s">
        <v>4943</v>
      </c>
      <c r="L981" s="501" t="s">
        <v>3361</v>
      </c>
      <c r="M981" s="504">
        <v>44652</v>
      </c>
      <c r="N981" s="504">
        <v>44746</v>
      </c>
      <c r="O981" s="504"/>
      <c r="P981" s="502"/>
      <c r="Q981" s="502"/>
      <c r="R981" s="502"/>
      <c r="S981" s="501" t="s">
        <v>1563</v>
      </c>
      <c r="T981" s="501">
        <v>60</v>
      </c>
      <c r="U981" s="501"/>
      <c r="V981" s="501" t="s">
        <v>986</v>
      </c>
      <c r="W981" s="501">
        <v>360</v>
      </c>
      <c r="X981" s="505">
        <v>768</v>
      </c>
      <c r="Y981" s="491">
        <f t="shared" si="135"/>
        <v>276480</v>
      </c>
      <c r="Z981" s="478">
        <v>0.53500000000000003</v>
      </c>
      <c r="AA981" s="492">
        <f t="shared" ref="AA981:AA1044" si="138">Z981*Y981</f>
        <v>147916.80000000002</v>
      </c>
      <c r="AB981" s="480"/>
      <c r="AC981" s="481">
        <f t="shared" si="136"/>
        <v>0</v>
      </c>
      <c r="AD981" s="490"/>
      <c r="AE981" s="482"/>
      <c r="AF981" s="493">
        <f t="shared" si="137"/>
        <v>147916.80000000002</v>
      </c>
      <c r="AG981" s="474" t="s">
        <v>1071</v>
      </c>
      <c r="AH981" s="474"/>
      <c r="AI981" s="483">
        <v>60</v>
      </c>
      <c r="AJ981" s="474" t="s">
        <v>3281</v>
      </c>
      <c r="AK981" s="494" t="s">
        <v>50</v>
      </c>
      <c r="AL981" s="474">
        <v>92841</v>
      </c>
      <c r="AM981" s="474" t="s">
        <v>52</v>
      </c>
      <c r="AN981" s="474"/>
      <c r="AO981" s="474"/>
      <c r="AP981" s="486"/>
      <c r="AQ981" s="486" t="s">
        <v>37</v>
      </c>
      <c r="AR981" s="486"/>
      <c r="AS981" s="495"/>
      <c r="AT981" s="495"/>
      <c r="AU981" s="495"/>
      <c r="AV981" s="478">
        <v>0.80577777777000004</v>
      </c>
    </row>
    <row r="982" spans="1:48" s="471" customFormat="1" ht="15" customHeight="1">
      <c r="A982" s="472"/>
      <c r="B982" s="514">
        <v>44622</v>
      </c>
      <c r="C982" s="472"/>
      <c r="D982" s="512" t="s">
        <v>3186</v>
      </c>
      <c r="E982" s="501" t="s">
        <v>3356</v>
      </c>
      <c r="F982" s="501"/>
      <c r="G982" s="501">
        <v>2022</v>
      </c>
      <c r="H982" s="501"/>
      <c r="I982" s="501" t="s">
        <v>1676</v>
      </c>
      <c r="J982" s="513"/>
      <c r="K982" s="503" t="s">
        <v>4944</v>
      </c>
      <c r="L982" s="501" t="s">
        <v>3361</v>
      </c>
      <c r="M982" s="504">
        <v>44622</v>
      </c>
      <c r="N982" s="504">
        <v>44897</v>
      </c>
      <c r="O982" s="504"/>
      <c r="P982" s="502"/>
      <c r="Q982" s="502"/>
      <c r="R982" s="502"/>
      <c r="S982" s="501" t="s">
        <v>2379</v>
      </c>
      <c r="T982" s="501">
        <v>60</v>
      </c>
      <c r="U982" s="501"/>
      <c r="V982" s="501" t="s">
        <v>973</v>
      </c>
      <c r="W982" s="501">
        <v>400</v>
      </c>
      <c r="X982" s="505">
        <v>832</v>
      </c>
      <c r="Y982" s="491">
        <f t="shared" si="135"/>
        <v>332800</v>
      </c>
      <c r="Z982" s="478">
        <v>0.53500000000000003</v>
      </c>
      <c r="AA982" s="492">
        <f t="shared" si="138"/>
        <v>178048</v>
      </c>
      <c r="AB982" s="480"/>
      <c r="AC982" s="481">
        <f t="shared" si="136"/>
        <v>0</v>
      </c>
      <c r="AD982" s="490"/>
      <c r="AE982" s="482"/>
      <c r="AF982" s="493">
        <f t="shared" si="137"/>
        <v>178048</v>
      </c>
      <c r="AG982" s="474" t="s">
        <v>1071</v>
      </c>
      <c r="AH982" s="474"/>
      <c r="AI982" s="483">
        <v>60</v>
      </c>
      <c r="AJ982" s="474" t="s">
        <v>1593</v>
      </c>
      <c r="AK982" s="494" t="s">
        <v>1144</v>
      </c>
      <c r="AL982" s="474">
        <v>78744</v>
      </c>
      <c r="AM982" s="474" t="s">
        <v>52</v>
      </c>
      <c r="AN982" s="474"/>
      <c r="AO982" s="474"/>
      <c r="AP982" s="486"/>
      <c r="AQ982" s="486" t="s">
        <v>37</v>
      </c>
      <c r="AR982" s="486" t="s">
        <v>4921</v>
      </c>
      <c r="AS982" s="495"/>
      <c r="AT982" s="495"/>
      <c r="AU982" s="495"/>
      <c r="AV982" s="478">
        <v>0.80577777777000004</v>
      </c>
    </row>
    <row r="983" spans="1:48" s="471" customFormat="1" ht="15" customHeight="1">
      <c r="A983" s="472"/>
      <c r="B983" s="514">
        <v>44655</v>
      </c>
      <c r="C983" s="472"/>
      <c r="D983" s="512" t="s">
        <v>3186</v>
      </c>
      <c r="E983" s="501" t="s">
        <v>3356</v>
      </c>
      <c r="F983" s="501"/>
      <c r="G983" s="501">
        <v>2022</v>
      </c>
      <c r="H983" s="501"/>
      <c r="I983" s="501" t="s">
        <v>1676</v>
      </c>
      <c r="J983" s="513"/>
      <c r="K983" s="503" t="s">
        <v>4945</v>
      </c>
      <c r="L983" s="501" t="s">
        <v>3361</v>
      </c>
      <c r="M983" s="504">
        <v>44652</v>
      </c>
      <c r="N983" s="504">
        <v>44774</v>
      </c>
      <c r="O983" s="504"/>
      <c r="P983" s="502"/>
      <c r="Q983" s="502"/>
      <c r="R983" s="502"/>
      <c r="S983" s="501" t="s">
        <v>1563</v>
      </c>
      <c r="T983" s="501">
        <v>60</v>
      </c>
      <c r="U983" s="501"/>
      <c r="V983" s="501" t="s">
        <v>986</v>
      </c>
      <c r="W983" s="501">
        <v>360</v>
      </c>
      <c r="X983" s="505">
        <v>768</v>
      </c>
      <c r="Y983" s="491">
        <f t="shared" si="135"/>
        <v>276480</v>
      </c>
      <c r="Z983" s="478">
        <v>0.53500000000000003</v>
      </c>
      <c r="AA983" s="492">
        <f t="shared" si="138"/>
        <v>147916.80000000002</v>
      </c>
      <c r="AB983" s="480"/>
      <c r="AC983" s="481">
        <f t="shared" si="136"/>
        <v>0</v>
      </c>
      <c r="AD983" s="490"/>
      <c r="AE983" s="482"/>
      <c r="AF983" s="493">
        <f t="shared" si="137"/>
        <v>147916.80000000002</v>
      </c>
      <c r="AG983" s="474" t="s">
        <v>1071</v>
      </c>
      <c r="AH983" s="474"/>
      <c r="AI983" s="483">
        <v>60</v>
      </c>
      <c r="AJ983" s="474" t="s">
        <v>3281</v>
      </c>
      <c r="AK983" s="494" t="s">
        <v>50</v>
      </c>
      <c r="AL983" s="474">
        <v>92841</v>
      </c>
      <c r="AM983" s="474" t="s">
        <v>52</v>
      </c>
      <c r="AN983" s="474"/>
      <c r="AO983" s="474"/>
      <c r="AP983" s="486"/>
      <c r="AQ983" s="486" t="s">
        <v>37</v>
      </c>
      <c r="AR983" s="486"/>
      <c r="AS983" s="495"/>
      <c r="AT983" s="495"/>
      <c r="AU983" s="495"/>
      <c r="AV983" s="478">
        <v>0.80577777777000004</v>
      </c>
    </row>
    <row r="984" spans="1:48" s="471" customFormat="1" ht="15" customHeight="1">
      <c r="A984" s="472"/>
      <c r="B984" s="514">
        <v>44652</v>
      </c>
      <c r="C984" s="589">
        <v>44671</v>
      </c>
      <c r="D984" s="512" t="s">
        <v>3186</v>
      </c>
      <c r="E984" s="501" t="s">
        <v>3356</v>
      </c>
      <c r="F984" s="501"/>
      <c r="G984" s="501">
        <v>2022</v>
      </c>
      <c r="H984" s="501">
        <v>5</v>
      </c>
      <c r="I984" s="501" t="s">
        <v>1676</v>
      </c>
      <c r="J984" s="513"/>
      <c r="K984" s="503" t="s">
        <v>4946</v>
      </c>
      <c r="L984" s="501" t="s">
        <v>3361</v>
      </c>
      <c r="M984" s="504">
        <v>44649</v>
      </c>
      <c r="N984" s="504">
        <v>44690</v>
      </c>
      <c r="O984" s="504"/>
      <c r="P984" s="502"/>
      <c r="Q984" s="502"/>
      <c r="R984" s="502"/>
      <c r="S984" s="501" t="s">
        <v>3353</v>
      </c>
      <c r="T984" s="501">
        <v>60</v>
      </c>
      <c r="U984" s="501"/>
      <c r="V984" s="501" t="s">
        <v>973</v>
      </c>
      <c r="W984" s="501">
        <v>400</v>
      </c>
      <c r="X984" s="505">
        <v>768</v>
      </c>
      <c r="Y984" s="491">
        <f t="shared" si="135"/>
        <v>307200</v>
      </c>
      <c r="Z984" s="478">
        <v>0.52500000000000002</v>
      </c>
      <c r="AA984" s="492">
        <f t="shared" si="138"/>
        <v>161280</v>
      </c>
      <c r="AB984" s="480"/>
      <c r="AC984" s="481">
        <f t="shared" si="136"/>
        <v>0</v>
      </c>
      <c r="AD984" s="490"/>
      <c r="AE984" s="482"/>
      <c r="AF984" s="493">
        <f t="shared" si="137"/>
        <v>161280</v>
      </c>
      <c r="AG984" s="474" t="s">
        <v>1071</v>
      </c>
      <c r="AH984" s="474"/>
      <c r="AI984" s="483">
        <v>60</v>
      </c>
      <c r="AJ984" s="474" t="s">
        <v>1593</v>
      </c>
      <c r="AK984" s="494" t="s">
        <v>1144</v>
      </c>
      <c r="AL984" s="474">
        <v>78744</v>
      </c>
      <c r="AM984" s="474" t="s">
        <v>52</v>
      </c>
      <c r="AN984" s="474"/>
      <c r="AO984" s="474"/>
      <c r="AP984" s="486"/>
      <c r="AQ984" s="486" t="s">
        <v>37</v>
      </c>
      <c r="AR984" s="486" t="s">
        <v>4921</v>
      </c>
      <c r="AS984" s="495"/>
      <c r="AT984" s="495"/>
      <c r="AU984" s="495"/>
      <c r="AV984" s="478">
        <v>0.80577777777000004</v>
      </c>
    </row>
    <row r="985" spans="1:48" s="471" customFormat="1" ht="15" customHeight="1">
      <c r="A985" s="472"/>
      <c r="B985" s="514">
        <v>44671</v>
      </c>
      <c r="C985" s="472"/>
      <c r="D985" s="512" t="s">
        <v>3186</v>
      </c>
      <c r="E985" s="501" t="s">
        <v>3356</v>
      </c>
      <c r="F985" s="501"/>
      <c r="G985" s="501">
        <v>2022</v>
      </c>
      <c r="H985" s="501"/>
      <c r="I985" s="501" t="s">
        <v>1676</v>
      </c>
      <c r="J985" s="513"/>
      <c r="K985" s="503" t="s">
        <v>5382</v>
      </c>
      <c r="L985" s="501" t="s">
        <v>3361</v>
      </c>
      <c r="M985" s="504">
        <v>44670</v>
      </c>
      <c r="N985" s="504">
        <v>44812</v>
      </c>
      <c r="O985" s="504"/>
      <c r="P985" s="502"/>
      <c r="Q985" s="502"/>
      <c r="R985" s="502"/>
      <c r="S985" s="501" t="s">
        <v>3353</v>
      </c>
      <c r="T985" s="501">
        <v>60</v>
      </c>
      <c r="U985" s="501"/>
      <c r="V985" s="501" t="s">
        <v>973</v>
      </c>
      <c r="W985" s="501">
        <v>400</v>
      </c>
      <c r="X985" s="505">
        <v>768</v>
      </c>
      <c r="Y985" s="491">
        <f t="shared" si="135"/>
        <v>307200</v>
      </c>
      <c r="Z985" s="478">
        <v>0.53</v>
      </c>
      <c r="AA985" s="492">
        <f t="shared" si="138"/>
        <v>162816</v>
      </c>
      <c r="AB985" s="480"/>
      <c r="AC985" s="481">
        <f t="shared" si="136"/>
        <v>0</v>
      </c>
      <c r="AD985" s="490"/>
      <c r="AE985" s="482"/>
      <c r="AF985" s="493">
        <f t="shared" si="137"/>
        <v>162816</v>
      </c>
      <c r="AG985" s="474" t="s">
        <v>1071</v>
      </c>
      <c r="AH985" s="474"/>
      <c r="AI985" s="483">
        <v>60</v>
      </c>
      <c r="AJ985" s="474" t="s">
        <v>2277</v>
      </c>
      <c r="AK985" s="494" t="s">
        <v>1084</v>
      </c>
      <c r="AL985" s="474">
        <v>32809</v>
      </c>
      <c r="AM985" s="474" t="s">
        <v>52</v>
      </c>
      <c r="AN985" s="474"/>
      <c r="AO985" s="474"/>
      <c r="AP985" s="486"/>
      <c r="AQ985" s="486" t="s">
        <v>37</v>
      </c>
      <c r="AR985" s="486" t="s">
        <v>4921</v>
      </c>
      <c r="AS985" s="495"/>
      <c r="AT985" s="495"/>
      <c r="AU985" s="495"/>
      <c r="AV985" s="478">
        <v>0.80577777777000004</v>
      </c>
    </row>
    <row r="986" spans="1:48" s="471" customFormat="1" ht="15" customHeight="1">
      <c r="A986" s="472"/>
      <c r="B986" s="514">
        <v>44671</v>
      </c>
      <c r="C986" s="472"/>
      <c r="D986" s="512" t="s">
        <v>3186</v>
      </c>
      <c r="E986" s="501" t="s">
        <v>3356</v>
      </c>
      <c r="F986" s="501"/>
      <c r="G986" s="501">
        <v>2022</v>
      </c>
      <c r="H986" s="501"/>
      <c r="I986" s="501" t="s">
        <v>1676</v>
      </c>
      <c r="J986" s="513"/>
      <c r="K986" s="503" t="s">
        <v>5383</v>
      </c>
      <c r="L986" s="501" t="s">
        <v>3361</v>
      </c>
      <c r="M986" s="504">
        <v>44670</v>
      </c>
      <c r="N986" s="504">
        <v>44819</v>
      </c>
      <c r="O986" s="504"/>
      <c r="P986" s="502"/>
      <c r="Q986" s="502"/>
      <c r="R986" s="502"/>
      <c r="S986" s="501" t="s">
        <v>3353</v>
      </c>
      <c r="T986" s="501">
        <v>60</v>
      </c>
      <c r="U986" s="501"/>
      <c r="V986" s="501" t="s">
        <v>986</v>
      </c>
      <c r="W986" s="501">
        <v>360</v>
      </c>
      <c r="X986" s="505">
        <v>832</v>
      </c>
      <c r="Y986" s="491">
        <f t="shared" si="135"/>
        <v>299520</v>
      </c>
      <c r="Z986" s="478">
        <v>0.505</v>
      </c>
      <c r="AA986" s="492">
        <f t="shared" si="138"/>
        <v>151257.60000000001</v>
      </c>
      <c r="AB986" s="480"/>
      <c r="AC986" s="481">
        <f t="shared" si="136"/>
        <v>0</v>
      </c>
      <c r="AD986" s="490"/>
      <c r="AE986" s="482"/>
      <c r="AF986" s="493">
        <f t="shared" si="137"/>
        <v>151257.60000000001</v>
      </c>
      <c r="AG986" s="474" t="s">
        <v>1071</v>
      </c>
      <c r="AH986" s="474"/>
      <c r="AI986" s="483">
        <v>60</v>
      </c>
      <c r="AJ986" s="474" t="s">
        <v>2277</v>
      </c>
      <c r="AK986" s="494" t="s">
        <v>1084</v>
      </c>
      <c r="AL986" s="474">
        <v>32809</v>
      </c>
      <c r="AM986" s="474" t="s">
        <v>52</v>
      </c>
      <c r="AN986" s="474"/>
      <c r="AO986" s="474"/>
      <c r="AP986" s="486"/>
      <c r="AQ986" s="486" t="s">
        <v>37</v>
      </c>
      <c r="AR986" s="486" t="s">
        <v>4921</v>
      </c>
      <c r="AS986" s="495"/>
      <c r="AT986" s="495"/>
      <c r="AU986" s="495"/>
      <c r="AV986" s="478">
        <v>0.80577777777000004</v>
      </c>
    </row>
    <row r="987" spans="1:48" s="471" customFormat="1" ht="15" customHeight="1">
      <c r="A987" s="472"/>
      <c r="B987" s="514">
        <v>44671</v>
      </c>
      <c r="C987" s="472"/>
      <c r="D987" s="512" t="s">
        <v>3186</v>
      </c>
      <c r="E987" s="501" t="s">
        <v>3356</v>
      </c>
      <c r="F987" s="501"/>
      <c r="G987" s="501">
        <v>2022</v>
      </c>
      <c r="H987" s="501"/>
      <c r="I987" s="501" t="s">
        <v>1676</v>
      </c>
      <c r="J987" s="513"/>
      <c r="K987" s="503" t="s">
        <v>5384</v>
      </c>
      <c r="L987" s="501" t="s">
        <v>3361</v>
      </c>
      <c r="M987" s="504">
        <v>44670</v>
      </c>
      <c r="N987" s="504">
        <v>44826</v>
      </c>
      <c r="O987" s="504"/>
      <c r="P987" s="502"/>
      <c r="Q987" s="502"/>
      <c r="R987" s="502"/>
      <c r="S987" s="501" t="s">
        <v>3353</v>
      </c>
      <c r="T987" s="501">
        <v>60</v>
      </c>
      <c r="U987" s="501"/>
      <c r="V987" s="501" t="s">
        <v>973</v>
      </c>
      <c r="W987" s="501">
        <v>400</v>
      </c>
      <c r="X987" s="505">
        <v>768</v>
      </c>
      <c r="Y987" s="491">
        <f t="shared" si="135"/>
        <v>307200</v>
      </c>
      <c r="Z987" s="478">
        <v>0.53</v>
      </c>
      <c r="AA987" s="492">
        <f t="shared" si="138"/>
        <v>162816</v>
      </c>
      <c r="AB987" s="480"/>
      <c r="AC987" s="481">
        <f t="shared" si="136"/>
        <v>0</v>
      </c>
      <c r="AD987" s="490"/>
      <c r="AE987" s="482"/>
      <c r="AF987" s="493">
        <f t="shared" si="137"/>
        <v>162816</v>
      </c>
      <c r="AG987" s="474" t="s">
        <v>1071</v>
      </c>
      <c r="AH987" s="474"/>
      <c r="AI987" s="483">
        <v>60</v>
      </c>
      <c r="AJ987" s="474" t="s">
        <v>2277</v>
      </c>
      <c r="AK987" s="494" t="s">
        <v>1084</v>
      </c>
      <c r="AL987" s="474">
        <v>32809</v>
      </c>
      <c r="AM987" s="474" t="s">
        <v>52</v>
      </c>
      <c r="AN987" s="474"/>
      <c r="AO987" s="474"/>
      <c r="AP987" s="486"/>
      <c r="AQ987" s="486" t="s">
        <v>37</v>
      </c>
      <c r="AR987" s="486" t="s">
        <v>4921</v>
      </c>
      <c r="AS987" s="495"/>
      <c r="AT987" s="495"/>
      <c r="AU987" s="495"/>
      <c r="AV987" s="478">
        <v>0.80577777777000004</v>
      </c>
    </row>
    <row r="988" spans="1:48" s="471" customFormat="1" ht="15" customHeight="1">
      <c r="A988" s="472"/>
      <c r="B988" s="514">
        <v>44655</v>
      </c>
      <c r="C988" s="472"/>
      <c r="D988" s="512" t="s">
        <v>3186</v>
      </c>
      <c r="E988" s="501" t="s">
        <v>3356</v>
      </c>
      <c r="F988" s="501"/>
      <c r="G988" s="501">
        <v>2022</v>
      </c>
      <c r="H988" s="501"/>
      <c r="I988" s="501" t="s">
        <v>1676</v>
      </c>
      <c r="J988" s="513"/>
      <c r="K988" s="503" t="s">
        <v>4949</v>
      </c>
      <c r="L988" s="501" t="s">
        <v>3361</v>
      </c>
      <c r="M988" s="504">
        <v>44652</v>
      </c>
      <c r="N988" s="504">
        <v>44809</v>
      </c>
      <c r="O988" s="504"/>
      <c r="P988" s="502"/>
      <c r="Q988" s="502"/>
      <c r="R988" s="502"/>
      <c r="S988" s="501" t="s">
        <v>1563</v>
      </c>
      <c r="T988" s="501">
        <v>60</v>
      </c>
      <c r="U988" s="501"/>
      <c r="V988" s="501" t="s">
        <v>986</v>
      </c>
      <c r="W988" s="501">
        <v>360</v>
      </c>
      <c r="X988" s="505">
        <v>768</v>
      </c>
      <c r="Y988" s="491">
        <f t="shared" si="135"/>
        <v>276480</v>
      </c>
      <c r="Z988" s="478">
        <v>0.53500000000000003</v>
      </c>
      <c r="AA988" s="492">
        <f t="shared" si="138"/>
        <v>147916.80000000002</v>
      </c>
      <c r="AB988" s="480"/>
      <c r="AC988" s="481">
        <f t="shared" si="136"/>
        <v>0</v>
      </c>
      <c r="AD988" s="490"/>
      <c r="AE988" s="482"/>
      <c r="AF988" s="493">
        <f t="shared" si="137"/>
        <v>147916.80000000002</v>
      </c>
      <c r="AG988" s="474" t="s">
        <v>1071</v>
      </c>
      <c r="AH988" s="474"/>
      <c r="AI988" s="483">
        <v>60</v>
      </c>
      <c r="AJ988" s="474" t="s">
        <v>3281</v>
      </c>
      <c r="AK988" s="494" t="s">
        <v>50</v>
      </c>
      <c r="AL988" s="474">
        <v>92841</v>
      </c>
      <c r="AM988" s="474" t="s">
        <v>52</v>
      </c>
      <c r="AN988" s="474"/>
      <c r="AO988" s="474"/>
      <c r="AP988" s="486"/>
      <c r="AQ988" s="486" t="s">
        <v>37</v>
      </c>
      <c r="AR988" s="486"/>
      <c r="AS988" s="495"/>
      <c r="AT988" s="495"/>
      <c r="AU988" s="495"/>
      <c r="AV988" s="478">
        <v>0.80577777777000004</v>
      </c>
    </row>
    <row r="989" spans="1:48" s="471" customFormat="1" ht="15" customHeight="1">
      <c r="A989" s="472"/>
      <c r="B989" s="515">
        <v>44649</v>
      </c>
      <c r="C989" s="472"/>
      <c r="D989" s="512" t="s">
        <v>3186</v>
      </c>
      <c r="E989" s="501" t="s">
        <v>3044</v>
      </c>
      <c r="F989" s="501"/>
      <c r="G989" s="501">
        <v>2022</v>
      </c>
      <c r="H989" s="501">
        <v>12</v>
      </c>
      <c r="I989" s="501" t="s">
        <v>1676</v>
      </c>
      <c r="J989" s="513"/>
      <c r="K989" s="503" t="s">
        <v>4950</v>
      </c>
      <c r="L989" s="501" t="s">
        <v>3290</v>
      </c>
      <c r="M989" s="504">
        <v>44649</v>
      </c>
      <c r="N989" s="504">
        <v>44713</v>
      </c>
      <c r="O989" s="504"/>
      <c r="P989" s="502"/>
      <c r="Q989" s="502"/>
      <c r="R989" s="502"/>
      <c r="S989" s="501" t="s">
        <v>1563</v>
      </c>
      <c r="T989" s="501">
        <v>60</v>
      </c>
      <c r="U989" s="501"/>
      <c r="V989" s="501" t="s">
        <v>973</v>
      </c>
      <c r="W989" s="501">
        <v>400</v>
      </c>
      <c r="X989" s="505">
        <v>768</v>
      </c>
      <c r="Y989" s="491">
        <f t="shared" si="135"/>
        <v>307200</v>
      </c>
      <c r="Z989" s="478">
        <v>0.55500000000000005</v>
      </c>
      <c r="AA989" s="492">
        <f t="shared" si="138"/>
        <v>170496.00000000003</v>
      </c>
      <c r="AB989" s="480"/>
      <c r="AC989" s="481">
        <f t="shared" si="136"/>
        <v>0</v>
      </c>
      <c r="AD989" s="490"/>
      <c r="AE989" s="482"/>
      <c r="AF989" s="493">
        <f t="shared" si="137"/>
        <v>170496.00000000003</v>
      </c>
      <c r="AG989" s="474" t="s">
        <v>1071</v>
      </c>
      <c r="AH989" s="474"/>
      <c r="AI989" s="483">
        <v>60</v>
      </c>
      <c r="AJ989" s="474" t="s">
        <v>3291</v>
      </c>
      <c r="AK989" s="494" t="s">
        <v>50</v>
      </c>
      <c r="AL989" s="474">
        <v>95363</v>
      </c>
      <c r="AM989" s="474" t="s">
        <v>52</v>
      </c>
      <c r="AN989" s="474"/>
      <c r="AO989" s="474"/>
      <c r="AP989" s="486"/>
      <c r="AQ989" s="486" t="s">
        <v>37</v>
      </c>
      <c r="AR989" s="486"/>
      <c r="AS989" s="495"/>
      <c r="AT989" s="495"/>
      <c r="AU989" s="495"/>
      <c r="AV989" s="478">
        <v>0.80577777777000004</v>
      </c>
    </row>
    <row r="990" spans="1:48" s="471" customFormat="1" ht="15" customHeight="1">
      <c r="A990" s="472"/>
      <c r="B990" s="514">
        <v>44655</v>
      </c>
      <c r="C990" s="472"/>
      <c r="D990" s="512" t="s">
        <v>3186</v>
      </c>
      <c r="E990" s="501" t="s">
        <v>3356</v>
      </c>
      <c r="F990" s="501"/>
      <c r="G990" s="501">
        <v>2022</v>
      </c>
      <c r="H990" s="501"/>
      <c r="I990" s="501" t="s">
        <v>1676</v>
      </c>
      <c r="J990" s="513"/>
      <c r="K990" s="503" t="s">
        <v>4951</v>
      </c>
      <c r="L990" s="501" t="s">
        <v>3361</v>
      </c>
      <c r="M990" s="504">
        <v>44652</v>
      </c>
      <c r="N990" s="504">
        <v>44837</v>
      </c>
      <c r="O990" s="504"/>
      <c r="P990" s="502"/>
      <c r="Q990" s="502"/>
      <c r="R990" s="502"/>
      <c r="S990" s="501" t="s">
        <v>1563</v>
      </c>
      <c r="T990" s="501">
        <v>60</v>
      </c>
      <c r="U990" s="501"/>
      <c r="V990" s="501" t="s">
        <v>1755</v>
      </c>
      <c r="W990" s="501">
        <v>360</v>
      </c>
      <c r="X990" s="505">
        <v>768</v>
      </c>
      <c r="Y990" s="491">
        <f t="shared" si="135"/>
        <v>276480</v>
      </c>
      <c r="Z990" s="478">
        <v>0.53500000000000003</v>
      </c>
      <c r="AA990" s="492">
        <f t="shared" si="138"/>
        <v>147916.80000000002</v>
      </c>
      <c r="AB990" s="480"/>
      <c r="AC990" s="481">
        <f t="shared" si="136"/>
        <v>0</v>
      </c>
      <c r="AD990" s="490"/>
      <c r="AE990" s="482"/>
      <c r="AF990" s="493">
        <f t="shared" si="137"/>
        <v>147916.80000000002</v>
      </c>
      <c r="AG990" s="474" t="s">
        <v>1071</v>
      </c>
      <c r="AH990" s="474"/>
      <c r="AI990" s="483">
        <v>60</v>
      </c>
      <c r="AJ990" s="474" t="s">
        <v>3281</v>
      </c>
      <c r="AK990" s="494" t="s">
        <v>50</v>
      </c>
      <c r="AL990" s="474">
        <v>92841</v>
      </c>
      <c r="AM990" s="474" t="s">
        <v>52</v>
      </c>
      <c r="AN990" s="474"/>
      <c r="AO990" s="474"/>
      <c r="AP990" s="486"/>
      <c r="AQ990" s="486" t="s">
        <v>37</v>
      </c>
      <c r="AR990" s="486"/>
      <c r="AS990" s="495"/>
      <c r="AT990" s="495"/>
      <c r="AU990" s="495"/>
      <c r="AV990" s="478">
        <v>0.80577777777000004</v>
      </c>
    </row>
    <row r="991" spans="1:48" s="471" customFormat="1" ht="15" customHeight="1">
      <c r="A991" s="472"/>
      <c r="B991" s="515">
        <v>44649</v>
      </c>
      <c r="C991" s="472"/>
      <c r="D991" s="512" t="s">
        <v>3186</v>
      </c>
      <c r="E991" s="501" t="s">
        <v>3044</v>
      </c>
      <c r="F991" s="501"/>
      <c r="G991" s="501">
        <v>2022</v>
      </c>
      <c r="H991" s="501"/>
      <c r="I991" s="501" t="s">
        <v>1676</v>
      </c>
      <c r="J991" s="513"/>
      <c r="K991" s="503" t="s">
        <v>4952</v>
      </c>
      <c r="L991" s="501" t="s">
        <v>3290</v>
      </c>
      <c r="M991" s="504">
        <v>44649</v>
      </c>
      <c r="N991" s="504">
        <v>44774</v>
      </c>
      <c r="O991" s="504"/>
      <c r="P991" s="502"/>
      <c r="Q991" s="502"/>
      <c r="R991" s="502"/>
      <c r="S991" s="501" t="s">
        <v>1563</v>
      </c>
      <c r="T991" s="501">
        <v>60</v>
      </c>
      <c r="U991" s="501"/>
      <c r="V991" s="501" t="s">
        <v>973</v>
      </c>
      <c r="W991" s="501">
        <v>400</v>
      </c>
      <c r="X991" s="505">
        <v>768</v>
      </c>
      <c r="Y991" s="491">
        <f t="shared" si="135"/>
        <v>307200</v>
      </c>
      <c r="Z991" s="478">
        <v>0.55500000000000005</v>
      </c>
      <c r="AA991" s="492">
        <f t="shared" si="138"/>
        <v>170496.00000000003</v>
      </c>
      <c r="AB991" s="480"/>
      <c r="AC991" s="481">
        <f t="shared" si="136"/>
        <v>0</v>
      </c>
      <c r="AD991" s="490"/>
      <c r="AE991" s="482"/>
      <c r="AF991" s="493">
        <f t="shared" si="137"/>
        <v>170496.00000000003</v>
      </c>
      <c r="AG991" s="474" t="s">
        <v>1071</v>
      </c>
      <c r="AH991" s="474"/>
      <c r="AI991" s="483">
        <v>60</v>
      </c>
      <c r="AJ991" s="474" t="s">
        <v>3291</v>
      </c>
      <c r="AK991" s="494" t="s">
        <v>50</v>
      </c>
      <c r="AL991" s="474">
        <v>95363</v>
      </c>
      <c r="AM991" s="474" t="s">
        <v>52</v>
      </c>
      <c r="AN991" s="474"/>
      <c r="AO991" s="474"/>
      <c r="AP991" s="486"/>
      <c r="AQ991" s="486" t="s">
        <v>37</v>
      </c>
      <c r="AR991" s="486"/>
      <c r="AS991" s="495"/>
      <c r="AT991" s="495"/>
      <c r="AU991" s="495"/>
      <c r="AV991" s="478">
        <v>0.80577777777000004</v>
      </c>
    </row>
    <row r="992" spans="1:48" s="471" customFormat="1" ht="15" customHeight="1">
      <c r="A992" s="472"/>
      <c r="B992" s="514">
        <v>44655</v>
      </c>
      <c r="C992" s="472"/>
      <c r="D992" s="512" t="s">
        <v>3186</v>
      </c>
      <c r="E992" s="501" t="s">
        <v>3356</v>
      </c>
      <c r="F992" s="501"/>
      <c r="G992" s="501">
        <v>2022</v>
      </c>
      <c r="H992" s="501"/>
      <c r="I992" s="501" t="s">
        <v>1676</v>
      </c>
      <c r="J992" s="513"/>
      <c r="K992" s="503" t="s">
        <v>4953</v>
      </c>
      <c r="L992" s="501" t="s">
        <v>3361</v>
      </c>
      <c r="M992" s="504">
        <v>44652</v>
      </c>
      <c r="N992" s="504">
        <v>44866</v>
      </c>
      <c r="O992" s="504"/>
      <c r="P992" s="502"/>
      <c r="Q992" s="502"/>
      <c r="R992" s="502"/>
      <c r="S992" s="501" t="s">
        <v>1563</v>
      </c>
      <c r="T992" s="501">
        <v>60</v>
      </c>
      <c r="U992" s="501"/>
      <c r="V992" s="501" t="s">
        <v>986</v>
      </c>
      <c r="W992" s="501">
        <v>360</v>
      </c>
      <c r="X992" s="505">
        <v>768</v>
      </c>
      <c r="Y992" s="491">
        <f t="shared" si="135"/>
        <v>276480</v>
      </c>
      <c r="Z992" s="478">
        <v>0.53500000000000003</v>
      </c>
      <c r="AA992" s="492">
        <f t="shared" si="138"/>
        <v>147916.80000000002</v>
      </c>
      <c r="AB992" s="480"/>
      <c r="AC992" s="481">
        <f t="shared" si="136"/>
        <v>0</v>
      </c>
      <c r="AD992" s="490"/>
      <c r="AE992" s="482"/>
      <c r="AF992" s="493">
        <f t="shared" si="137"/>
        <v>147916.80000000002</v>
      </c>
      <c r="AG992" s="474" t="s">
        <v>1071</v>
      </c>
      <c r="AH992" s="474"/>
      <c r="AI992" s="483">
        <v>60</v>
      </c>
      <c r="AJ992" s="474" t="s">
        <v>3281</v>
      </c>
      <c r="AK992" s="494" t="s">
        <v>50</v>
      </c>
      <c r="AL992" s="474">
        <v>92841</v>
      </c>
      <c r="AM992" s="474" t="s">
        <v>52</v>
      </c>
      <c r="AN992" s="474"/>
      <c r="AO992" s="474"/>
      <c r="AP992" s="486"/>
      <c r="AQ992" s="486" t="s">
        <v>37</v>
      </c>
      <c r="AR992" s="486"/>
      <c r="AS992" s="495"/>
      <c r="AT992" s="495"/>
      <c r="AU992" s="495"/>
      <c r="AV992" s="478">
        <v>0.80577777777000004</v>
      </c>
    </row>
    <row r="993" spans="1:48" s="471" customFormat="1" ht="15" customHeight="1">
      <c r="A993" s="472"/>
      <c r="B993" s="514">
        <v>44655</v>
      </c>
      <c r="C993" s="472"/>
      <c r="D993" s="512" t="s">
        <v>3186</v>
      </c>
      <c r="E993" s="501" t="s">
        <v>3356</v>
      </c>
      <c r="F993" s="501"/>
      <c r="G993" s="501">
        <v>2022</v>
      </c>
      <c r="H993" s="501"/>
      <c r="I993" s="501" t="s">
        <v>1676</v>
      </c>
      <c r="J993" s="513"/>
      <c r="K993" s="503" t="s">
        <v>4943</v>
      </c>
      <c r="L993" s="501" t="s">
        <v>3361</v>
      </c>
      <c r="M993" s="504">
        <v>44652</v>
      </c>
      <c r="N993" s="504">
        <v>44746</v>
      </c>
      <c r="O993" s="504"/>
      <c r="P993" s="502"/>
      <c r="Q993" s="502"/>
      <c r="R993" s="502"/>
      <c r="S993" s="501" t="s">
        <v>1563</v>
      </c>
      <c r="T993" s="501">
        <v>60</v>
      </c>
      <c r="U993" s="501"/>
      <c r="V993" s="501" t="s">
        <v>973</v>
      </c>
      <c r="W993" s="501">
        <v>400</v>
      </c>
      <c r="X993" s="505">
        <v>1536</v>
      </c>
      <c r="Y993" s="491">
        <f t="shared" si="135"/>
        <v>614400</v>
      </c>
      <c r="Z993" s="478">
        <v>0.55500000000000005</v>
      </c>
      <c r="AA993" s="492">
        <f t="shared" si="138"/>
        <v>340992.00000000006</v>
      </c>
      <c r="AB993" s="480"/>
      <c r="AC993" s="481">
        <f t="shared" si="136"/>
        <v>0</v>
      </c>
      <c r="AD993" s="490"/>
      <c r="AE993" s="482"/>
      <c r="AF993" s="493">
        <f t="shared" si="137"/>
        <v>340992.00000000006</v>
      </c>
      <c r="AG993" s="474" t="s">
        <v>1071</v>
      </c>
      <c r="AH993" s="474"/>
      <c r="AI993" s="483">
        <v>60</v>
      </c>
      <c r="AJ993" s="474" t="s">
        <v>3281</v>
      </c>
      <c r="AK993" s="494" t="s">
        <v>50</v>
      </c>
      <c r="AL993" s="474">
        <v>92841</v>
      </c>
      <c r="AM993" s="474" t="s">
        <v>52</v>
      </c>
      <c r="AN993" s="474"/>
      <c r="AO993" s="474"/>
      <c r="AP993" s="486"/>
      <c r="AQ993" s="486" t="s">
        <v>37</v>
      </c>
      <c r="AR993" s="486"/>
      <c r="AS993" s="495"/>
      <c r="AT993" s="495"/>
      <c r="AU993" s="495"/>
      <c r="AV993" s="478">
        <v>0.80577777777000004</v>
      </c>
    </row>
    <row r="994" spans="1:48" s="471" customFormat="1" ht="15" customHeight="1">
      <c r="A994" s="472"/>
      <c r="B994" s="514">
        <v>44655</v>
      </c>
      <c r="C994" s="472"/>
      <c r="D994" s="512" t="s">
        <v>3186</v>
      </c>
      <c r="E994" s="501" t="s">
        <v>3356</v>
      </c>
      <c r="F994" s="501"/>
      <c r="G994" s="501">
        <v>2022</v>
      </c>
      <c r="H994" s="501"/>
      <c r="I994" s="501" t="s">
        <v>1676</v>
      </c>
      <c r="J994" s="513"/>
      <c r="K994" s="503" t="s">
        <v>4954</v>
      </c>
      <c r="L994" s="501" t="s">
        <v>3361</v>
      </c>
      <c r="M994" s="504">
        <v>44652</v>
      </c>
      <c r="N994" s="504">
        <v>44746</v>
      </c>
      <c r="O994" s="504"/>
      <c r="P994" s="502"/>
      <c r="Q994" s="502"/>
      <c r="R994" s="502"/>
      <c r="S994" s="501" t="s">
        <v>1563</v>
      </c>
      <c r="T994" s="501">
        <v>60</v>
      </c>
      <c r="U994" s="501"/>
      <c r="V994" s="501" t="s">
        <v>986</v>
      </c>
      <c r="W994" s="501">
        <v>360</v>
      </c>
      <c r="X994" s="505">
        <v>1536</v>
      </c>
      <c r="Y994" s="491">
        <f t="shared" si="135"/>
        <v>552960</v>
      </c>
      <c r="Z994" s="478">
        <v>0.53500000000000003</v>
      </c>
      <c r="AA994" s="492">
        <f t="shared" si="138"/>
        <v>295833.60000000003</v>
      </c>
      <c r="AB994" s="480"/>
      <c r="AC994" s="481">
        <f t="shared" si="136"/>
        <v>0</v>
      </c>
      <c r="AD994" s="490"/>
      <c r="AE994" s="482"/>
      <c r="AF994" s="493">
        <f t="shared" si="137"/>
        <v>295833.60000000003</v>
      </c>
      <c r="AG994" s="474" t="s">
        <v>1071</v>
      </c>
      <c r="AH994" s="474"/>
      <c r="AI994" s="483">
        <v>60</v>
      </c>
      <c r="AJ994" s="474" t="s">
        <v>1575</v>
      </c>
      <c r="AK994" s="494" t="s">
        <v>50</v>
      </c>
      <c r="AL994" s="474">
        <v>94544</v>
      </c>
      <c r="AM994" s="474" t="s">
        <v>52</v>
      </c>
      <c r="AN994" s="474"/>
      <c r="AO994" s="474"/>
      <c r="AP994" s="486"/>
      <c r="AQ994" s="486" t="s">
        <v>37</v>
      </c>
      <c r="AR994" s="474"/>
      <c r="AS994" s="495"/>
      <c r="AT994" s="495"/>
      <c r="AU994" s="495"/>
      <c r="AV994" s="478">
        <v>0.80577777777000004</v>
      </c>
    </row>
    <row r="995" spans="1:48" s="471" customFormat="1" ht="15" customHeight="1">
      <c r="A995" s="472"/>
      <c r="B995" s="514">
        <v>44655</v>
      </c>
      <c r="C995" s="472"/>
      <c r="D995" s="512" t="s">
        <v>3186</v>
      </c>
      <c r="E995" s="501" t="s">
        <v>3356</v>
      </c>
      <c r="F995" s="501"/>
      <c r="G995" s="501">
        <v>2022</v>
      </c>
      <c r="H995" s="501"/>
      <c r="I995" s="501" t="s">
        <v>1676</v>
      </c>
      <c r="J995" s="513"/>
      <c r="K995" s="503" t="s">
        <v>4945</v>
      </c>
      <c r="L995" s="501" t="s">
        <v>3361</v>
      </c>
      <c r="M995" s="504">
        <v>44652</v>
      </c>
      <c r="N995" s="504">
        <v>44774</v>
      </c>
      <c r="O995" s="504"/>
      <c r="P995" s="502"/>
      <c r="Q995" s="502"/>
      <c r="R995" s="502"/>
      <c r="S995" s="501" t="s">
        <v>1563</v>
      </c>
      <c r="T995" s="501">
        <v>60</v>
      </c>
      <c r="U995" s="501"/>
      <c r="V995" s="501" t="s">
        <v>973</v>
      </c>
      <c r="W995" s="501">
        <v>400</v>
      </c>
      <c r="X995" s="505">
        <v>1536</v>
      </c>
      <c r="Y995" s="491">
        <f t="shared" si="135"/>
        <v>614400</v>
      </c>
      <c r="Z995" s="478">
        <v>0.55500000000000005</v>
      </c>
      <c r="AA995" s="492">
        <f t="shared" si="138"/>
        <v>340992.00000000006</v>
      </c>
      <c r="AB995" s="480"/>
      <c r="AC995" s="481">
        <f t="shared" si="136"/>
        <v>0</v>
      </c>
      <c r="AD995" s="490"/>
      <c r="AE995" s="482"/>
      <c r="AF995" s="493">
        <f t="shared" si="137"/>
        <v>340992.00000000006</v>
      </c>
      <c r="AG995" s="474" t="s">
        <v>1071</v>
      </c>
      <c r="AH995" s="474"/>
      <c r="AI995" s="483">
        <v>60</v>
      </c>
      <c r="AJ995" s="474" t="s">
        <v>3281</v>
      </c>
      <c r="AK995" s="494" t="s">
        <v>50</v>
      </c>
      <c r="AL995" s="474">
        <v>92841</v>
      </c>
      <c r="AM995" s="474" t="s">
        <v>52</v>
      </c>
      <c r="AN995" s="474"/>
      <c r="AO995" s="474"/>
      <c r="AP995" s="486"/>
      <c r="AQ995" s="486" t="s">
        <v>37</v>
      </c>
      <c r="AR995" s="486"/>
      <c r="AS995" s="495"/>
      <c r="AT995" s="495"/>
      <c r="AU995" s="495"/>
      <c r="AV995" s="478">
        <v>0.80577777777000004</v>
      </c>
    </row>
    <row r="996" spans="1:48" s="471" customFormat="1" ht="15" customHeight="1">
      <c r="A996" s="472"/>
      <c r="B996" s="514">
        <v>44655</v>
      </c>
      <c r="C996" s="472"/>
      <c r="D996" s="512" t="s">
        <v>3186</v>
      </c>
      <c r="E996" s="501" t="s">
        <v>3356</v>
      </c>
      <c r="F996" s="501"/>
      <c r="G996" s="501">
        <v>2022</v>
      </c>
      <c r="H996" s="501"/>
      <c r="I996" s="501" t="s">
        <v>1676</v>
      </c>
      <c r="J996" s="513"/>
      <c r="K996" s="503" t="s">
        <v>4955</v>
      </c>
      <c r="L996" s="501" t="s">
        <v>3361</v>
      </c>
      <c r="M996" s="504">
        <v>44652</v>
      </c>
      <c r="N996" s="504">
        <v>44774</v>
      </c>
      <c r="O996" s="504"/>
      <c r="P996" s="502"/>
      <c r="Q996" s="502"/>
      <c r="R996" s="502"/>
      <c r="S996" s="501" t="s">
        <v>1563</v>
      </c>
      <c r="T996" s="501">
        <v>60</v>
      </c>
      <c r="U996" s="501"/>
      <c r="V996" s="501" t="s">
        <v>986</v>
      </c>
      <c r="W996" s="501">
        <v>360</v>
      </c>
      <c r="X996" s="505">
        <v>768</v>
      </c>
      <c r="Y996" s="491">
        <f t="shared" si="135"/>
        <v>276480</v>
      </c>
      <c r="Z996" s="478">
        <v>0.53500000000000003</v>
      </c>
      <c r="AA996" s="492">
        <f t="shared" si="138"/>
        <v>147916.80000000002</v>
      </c>
      <c r="AB996" s="480"/>
      <c r="AC996" s="481">
        <f t="shared" si="136"/>
        <v>0</v>
      </c>
      <c r="AD996" s="490"/>
      <c r="AE996" s="482"/>
      <c r="AF996" s="493">
        <f t="shared" si="137"/>
        <v>147916.80000000002</v>
      </c>
      <c r="AG996" s="474" t="s">
        <v>1071</v>
      </c>
      <c r="AH996" s="474"/>
      <c r="AI996" s="483">
        <v>60</v>
      </c>
      <c r="AJ996" s="474" t="s">
        <v>1575</v>
      </c>
      <c r="AK996" s="494" t="s">
        <v>50</v>
      </c>
      <c r="AL996" s="474">
        <v>94544</v>
      </c>
      <c r="AM996" s="474" t="s">
        <v>52</v>
      </c>
      <c r="AN996" s="474"/>
      <c r="AO996" s="474"/>
      <c r="AP996" s="486"/>
      <c r="AQ996" s="486" t="s">
        <v>37</v>
      </c>
      <c r="AR996" s="474"/>
      <c r="AS996" s="495"/>
      <c r="AT996" s="495"/>
      <c r="AU996" s="495"/>
      <c r="AV996" s="478">
        <v>0.80577777777000004</v>
      </c>
    </row>
    <row r="997" spans="1:48" s="471" customFormat="1" ht="15" customHeight="1">
      <c r="A997" s="472"/>
      <c r="B997" s="514">
        <v>44655</v>
      </c>
      <c r="C997" s="472"/>
      <c r="D997" s="512" t="s">
        <v>3186</v>
      </c>
      <c r="E997" s="501" t="s">
        <v>3356</v>
      </c>
      <c r="F997" s="501"/>
      <c r="G997" s="501">
        <v>2022</v>
      </c>
      <c r="H997" s="501"/>
      <c r="I997" s="501" t="s">
        <v>1676</v>
      </c>
      <c r="J997" s="513"/>
      <c r="K997" s="503" t="s">
        <v>4949</v>
      </c>
      <c r="L997" s="501" t="s">
        <v>3361</v>
      </c>
      <c r="M997" s="504">
        <v>44652</v>
      </c>
      <c r="N997" s="504">
        <v>44809</v>
      </c>
      <c r="O997" s="504"/>
      <c r="P997" s="502"/>
      <c r="Q997" s="502"/>
      <c r="R997" s="502"/>
      <c r="S997" s="501" t="s">
        <v>1563</v>
      </c>
      <c r="T997" s="501">
        <v>60</v>
      </c>
      <c r="U997" s="501"/>
      <c r="V997" s="501" t="s">
        <v>973</v>
      </c>
      <c r="W997" s="501">
        <v>400</v>
      </c>
      <c r="X997" s="505">
        <v>1536</v>
      </c>
      <c r="Y997" s="491">
        <f t="shared" si="135"/>
        <v>614400</v>
      </c>
      <c r="Z997" s="478">
        <v>0.55500000000000005</v>
      </c>
      <c r="AA997" s="492">
        <f t="shared" si="138"/>
        <v>340992.00000000006</v>
      </c>
      <c r="AB997" s="480"/>
      <c r="AC997" s="481">
        <f t="shared" si="136"/>
        <v>0</v>
      </c>
      <c r="AD997" s="490"/>
      <c r="AE997" s="482"/>
      <c r="AF997" s="493">
        <f t="shared" si="137"/>
        <v>340992.00000000006</v>
      </c>
      <c r="AG997" s="474" t="s">
        <v>1071</v>
      </c>
      <c r="AH997" s="474"/>
      <c r="AI997" s="483">
        <v>60</v>
      </c>
      <c r="AJ997" s="474" t="s">
        <v>3281</v>
      </c>
      <c r="AK997" s="494" t="s">
        <v>50</v>
      </c>
      <c r="AL997" s="474">
        <v>92841</v>
      </c>
      <c r="AM997" s="474" t="s">
        <v>52</v>
      </c>
      <c r="AN997" s="474"/>
      <c r="AO997" s="474"/>
      <c r="AP997" s="486"/>
      <c r="AQ997" s="486" t="s">
        <v>37</v>
      </c>
      <c r="AR997" s="486"/>
      <c r="AS997" s="495"/>
      <c r="AT997" s="495"/>
      <c r="AU997" s="495"/>
      <c r="AV997" s="478">
        <v>0.80577777777000004</v>
      </c>
    </row>
    <row r="998" spans="1:48" s="471" customFormat="1" ht="15" customHeight="1">
      <c r="A998" s="472"/>
      <c r="B998" s="514">
        <v>44655</v>
      </c>
      <c r="C998" s="472"/>
      <c r="D998" s="512" t="s">
        <v>3186</v>
      </c>
      <c r="E998" s="501" t="s">
        <v>3356</v>
      </c>
      <c r="F998" s="501"/>
      <c r="G998" s="501">
        <v>2022</v>
      </c>
      <c r="H998" s="501"/>
      <c r="I998" s="501" t="s">
        <v>1676</v>
      </c>
      <c r="J998" s="513"/>
      <c r="K998" s="503" t="s">
        <v>4956</v>
      </c>
      <c r="L998" s="501" t="s">
        <v>3361</v>
      </c>
      <c r="M998" s="504">
        <v>44652</v>
      </c>
      <c r="N998" s="504">
        <v>44809</v>
      </c>
      <c r="O998" s="504"/>
      <c r="P998" s="502"/>
      <c r="Q998" s="502"/>
      <c r="R998" s="502"/>
      <c r="S998" s="501" t="s">
        <v>1563</v>
      </c>
      <c r="T998" s="501">
        <v>60</v>
      </c>
      <c r="U998" s="501"/>
      <c r="V998" s="501" t="s">
        <v>986</v>
      </c>
      <c r="W998" s="501">
        <v>360</v>
      </c>
      <c r="X998" s="505">
        <v>768</v>
      </c>
      <c r="Y998" s="491">
        <f t="shared" ref="Y998:Y1039" si="139">X998*W998</f>
        <v>276480</v>
      </c>
      <c r="Z998" s="478">
        <v>0.53500000000000003</v>
      </c>
      <c r="AA998" s="492">
        <f t="shared" si="138"/>
        <v>147916.80000000002</v>
      </c>
      <c r="AB998" s="480"/>
      <c r="AC998" s="481">
        <f t="shared" ref="AC998:AC1039" si="140">AB998*Y998</f>
        <v>0</v>
      </c>
      <c r="AD998" s="490"/>
      <c r="AE998" s="482"/>
      <c r="AF998" s="493">
        <f t="shared" ref="AF998:AF1061" si="141">AE998+AD998+AA998</f>
        <v>147916.80000000002</v>
      </c>
      <c r="AG998" s="474" t="s">
        <v>1071</v>
      </c>
      <c r="AH998" s="474"/>
      <c r="AI998" s="483">
        <v>60</v>
      </c>
      <c r="AJ998" s="474" t="s">
        <v>1575</v>
      </c>
      <c r="AK998" s="494" t="s">
        <v>50</v>
      </c>
      <c r="AL998" s="474">
        <v>94544</v>
      </c>
      <c r="AM998" s="474" t="s">
        <v>52</v>
      </c>
      <c r="AN998" s="474"/>
      <c r="AO998" s="474"/>
      <c r="AP998" s="486"/>
      <c r="AQ998" s="486" t="s">
        <v>37</v>
      </c>
      <c r="AR998" s="474"/>
      <c r="AS998" s="495"/>
      <c r="AT998" s="495"/>
      <c r="AU998" s="495"/>
      <c r="AV998" s="478">
        <v>0.80577777777000004</v>
      </c>
    </row>
    <row r="999" spans="1:48" s="471" customFormat="1" ht="15" customHeight="1">
      <c r="A999" s="472"/>
      <c r="B999" s="514">
        <v>44655</v>
      </c>
      <c r="C999" s="472"/>
      <c r="D999" s="512" t="s">
        <v>3186</v>
      </c>
      <c r="E999" s="501" t="s">
        <v>3356</v>
      </c>
      <c r="F999" s="501"/>
      <c r="G999" s="501">
        <v>2022</v>
      </c>
      <c r="H999" s="501"/>
      <c r="I999" s="501" t="s">
        <v>1676</v>
      </c>
      <c r="J999" s="513"/>
      <c r="K999" s="503" t="s">
        <v>4951</v>
      </c>
      <c r="L999" s="501" t="s">
        <v>3361</v>
      </c>
      <c r="M999" s="504">
        <v>44652</v>
      </c>
      <c r="N999" s="504">
        <v>44837</v>
      </c>
      <c r="O999" s="504"/>
      <c r="P999" s="502"/>
      <c r="Q999" s="502"/>
      <c r="R999" s="502"/>
      <c r="S999" s="501" t="s">
        <v>1563</v>
      </c>
      <c r="T999" s="501">
        <v>60</v>
      </c>
      <c r="U999" s="501"/>
      <c r="V999" s="501" t="s">
        <v>973</v>
      </c>
      <c r="W999" s="501">
        <v>400</v>
      </c>
      <c r="X999" s="505">
        <v>2304</v>
      </c>
      <c r="Y999" s="491">
        <f t="shared" si="139"/>
        <v>921600</v>
      </c>
      <c r="Z999" s="478">
        <v>0.55500000000000005</v>
      </c>
      <c r="AA999" s="492">
        <f t="shared" si="138"/>
        <v>511488.00000000006</v>
      </c>
      <c r="AB999" s="480"/>
      <c r="AC999" s="481">
        <f t="shared" si="140"/>
        <v>0</v>
      </c>
      <c r="AD999" s="490"/>
      <c r="AE999" s="482"/>
      <c r="AF999" s="493">
        <f t="shared" si="141"/>
        <v>511488.00000000006</v>
      </c>
      <c r="AG999" s="474" t="s">
        <v>1071</v>
      </c>
      <c r="AH999" s="474"/>
      <c r="AI999" s="483">
        <v>60</v>
      </c>
      <c r="AJ999" s="474" t="s">
        <v>3281</v>
      </c>
      <c r="AK999" s="494" t="s">
        <v>50</v>
      </c>
      <c r="AL999" s="474">
        <v>92841</v>
      </c>
      <c r="AM999" s="474" t="s">
        <v>52</v>
      </c>
      <c r="AN999" s="474"/>
      <c r="AO999" s="474"/>
      <c r="AP999" s="486"/>
      <c r="AQ999" s="486" t="s">
        <v>37</v>
      </c>
      <c r="AR999" s="486"/>
      <c r="AS999" s="495"/>
      <c r="AT999" s="495"/>
      <c r="AU999" s="495"/>
      <c r="AV999" s="478">
        <v>0.80577777777000004</v>
      </c>
    </row>
    <row r="1000" spans="1:48" s="471" customFormat="1" ht="15" customHeight="1">
      <c r="A1000" s="472"/>
      <c r="B1000" s="514">
        <v>44655</v>
      </c>
      <c r="C1000" s="472"/>
      <c r="D1000" s="512" t="s">
        <v>3186</v>
      </c>
      <c r="E1000" s="501" t="s">
        <v>3356</v>
      </c>
      <c r="F1000" s="501"/>
      <c r="G1000" s="501">
        <v>2022</v>
      </c>
      <c r="H1000" s="501"/>
      <c r="I1000" s="501" t="s">
        <v>1676</v>
      </c>
      <c r="J1000" s="513"/>
      <c r="K1000" s="503" t="s">
        <v>4957</v>
      </c>
      <c r="L1000" s="501" t="s">
        <v>3361</v>
      </c>
      <c r="M1000" s="504">
        <v>44652</v>
      </c>
      <c r="N1000" s="504">
        <v>44837</v>
      </c>
      <c r="O1000" s="504"/>
      <c r="P1000" s="502"/>
      <c r="Q1000" s="502"/>
      <c r="R1000" s="502"/>
      <c r="S1000" s="501" t="s">
        <v>1563</v>
      </c>
      <c r="T1000" s="501">
        <v>60</v>
      </c>
      <c r="U1000" s="501"/>
      <c r="V1000" s="501" t="s">
        <v>986</v>
      </c>
      <c r="W1000" s="501">
        <v>360</v>
      </c>
      <c r="X1000" s="505">
        <v>768</v>
      </c>
      <c r="Y1000" s="491">
        <f t="shared" si="139"/>
        <v>276480</v>
      </c>
      <c r="Z1000" s="478">
        <v>0.53500000000000003</v>
      </c>
      <c r="AA1000" s="492">
        <f t="shared" si="138"/>
        <v>147916.80000000002</v>
      </c>
      <c r="AB1000" s="480"/>
      <c r="AC1000" s="481">
        <f t="shared" si="140"/>
        <v>0</v>
      </c>
      <c r="AD1000" s="490"/>
      <c r="AE1000" s="482"/>
      <c r="AF1000" s="493">
        <f t="shared" si="141"/>
        <v>147916.80000000002</v>
      </c>
      <c r="AG1000" s="474" t="s">
        <v>1071</v>
      </c>
      <c r="AH1000" s="474"/>
      <c r="AI1000" s="483">
        <v>60</v>
      </c>
      <c r="AJ1000" s="474" t="s">
        <v>1575</v>
      </c>
      <c r="AK1000" s="494" t="s">
        <v>50</v>
      </c>
      <c r="AL1000" s="474">
        <v>94544</v>
      </c>
      <c r="AM1000" s="474" t="s">
        <v>52</v>
      </c>
      <c r="AN1000" s="474"/>
      <c r="AO1000" s="474"/>
      <c r="AP1000" s="486"/>
      <c r="AQ1000" s="486" t="s">
        <v>37</v>
      </c>
      <c r="AR1000" s="474"/>
      <c r="AS1000" s="495"/>
      <c r="AT1000" s="495"/>
      <c r="AU1000" s="495"/>
      <c r="AV1000" s="478">
        <v>0.80577777777000004</v>
      </c>
    </row>
    <row r="1001" spans="1:48" s="471" customFormat="1" ht="15" customHeight="1">
      <c r="A1001" s="472"/>
      <c r="B1001" s="514">
        <v>44655</v>
      </c>
      <c r="C1001" s="472"/>
      <c r="D1001" s="512" t="s">
        <v>3186</v>
      </c>
      <c r="E1001" s="501" t="s">
        <v>3356</v>
      </c>
      <c r="F1001" s="501"/>
      <c r="G1001" s="501">
        <v>2022</v>
      </c>
      <c r="H1001" s="501"/>
      <c r="I1001" s="501" t="s">
        <v>1676</v>
      </c>
      <c r="J1001" s="513"/>
      <c r="K1001" s="503" t="s">
        <v>4953</v>
      </c>
      <c r="L1001" s="501" t="s">
        <v>3361</v>
      </c>
      <c r="M1001" s="504">
        <v>44652</v>
      </c>
      <c r="N1001" s="504">
        <v>44866</v>
      </c>
      <c r="O1001" s="504"/>
      <c r="P1001" s="502"/>
      <c r="Q1001" s="502"/>
      <c r="R1001" s="502"/>
      <c r="S1001" s="501" t="s">
        <v>1563</v>
      </c>
      <c r="T1001" s="501">
        <v>60</v>
      </c>
      <c r="U1001" s="501"/>
      <c r="V1001" s="501" t="s">
        <v>973</v>
      </c>
      <c r="W1001" s="501">
        <v>400</v>
      </c>
      <c r="X1001" s="505">
        <v>1536</v>
      </c>
      <c r="Y1001" s="491">
        <f t="shared" si="139"/>
        <v>614400</v>
      </c>
      <c r="Z1001" s="478">
        <v>0.55500000000000005</v>
      </c>
      <c r="AA1001" s="492">
        <f t="shared" si="138"/>
        <v>340992.00000000006</v>
      </c>
      <c r="AB1001" s="480"/>
      <c r="AC1001" s="481">
        <f t="shared" si="140"/>
        <v>0</v>
      </c>
      <c r="AD1001" s="490"/>
      <c r="AE1001" s="482"/>
      <c r="AF1001" s="493">
        <f t="shared" si="141"/>
        <v>340992.00000000006</v>
      </c>
      <c r="AG1001" s="474" t="s">
        <v>1071</v>
      </c>
      <c r="AH1001" s="474"/>
      <c r="AI1001" s="483">
        <v>60</v>
      </c>
      <c r="AJ1001" s="474" t="s">
        <v>3281</v>
      </c>
      <c r="AK1001" s="494" t="s">
        <v>50</v>
      </c>
      <c r="AL1001" s="474">
        <v>92841</v>
      </c>
      <c r="AM1001" s="474" t="s">
        <v>52</v>
      </c>
      <c r="AN1001" s="474"/>
      <c r="AO1001" s="474"/>
      <c r="AP1001" s="486"/>
      <c r="AQ1001" s="486" t="s">
        <v>37</v>
      </c>
      <c r="AR1001" s="486"/>
      <c r="AS1001" s="495"/>
      <c r="AT1001" s="495"/>
      <c r="AU1001" s="495"/>
      <c r="AV1001" s="478">
        <v>0.80577777777000004</v>
      </c>
    </row>
    <row r="1002" spans="1:48" s="471" customFormat="1" ht="15" customHeight="1">
      <c r="A1002" s="472"/>
      <c r="B1002" s="514">
        <v>44655</v>
      </c>
      <c r="C1002" s="472"/>
      <c r="D1002" s="512" t="s">
        <v>3186</v>
      </c>
      <c r="E1002" s="501" t="s">
        <v>3356</v>
      </c>
      <c r="F1002" s="501"/>
      <c r="G1002" s="501">
        <v>2022</v>
      </c>
      <c r="H1002" s="501"/>
      <c r="I1002" s="501" t="s">
        <v>1676</v>
      </c>
      <c r="J1002" s="513"/>
      <c r="K1002" s="503" t="s">
        <v>4958</v>
      </c>
      <c r="L1002" s="501" t="s">
        <v>3361</v>
      </c>
      <c r="M1002" s="504">
        <v>44652</v>
      </c>
      <c r="N1002" s="504">
        <v>44866</v>
      </c>
      <c r="O1002" s="504"/>
      <c r="P1002" s="502"/>
      <c r="Q1002" s="502"/>
      <c r="R1002" s="502"/>
      <c r="S1002" s="501" t="s">
        <v>1563</v>
      </c>
      <c r="T1002" s="501">
        <v>60</v>
      </c>
      <c r="U1002" s="501"/>
      <c r="V1002" s="501" t="s">
        <v>986</v>
      </c>
      <c r="W1002" s="501">
        <v>360</v>
      </c>
      <c r="X1002" s="505">
        <v>1536</v>
      </c>
      <c r="Y1002" s="491">
        <f t="shared" si="139"/>
        <v>552960</v>
      </c>
      <c r="Z1002" s="478">
        <v>0.53500000000000003</v>
      </c>
      <c r="AA1002" s="492">
        <f t="shared" si="138"/>
        <v>295833.60000000003</v>
      </c>
      <c r="AB1002" s="480"/>
      <c r="AC1002" s="481">
        <f t="shared" si="140"/>
        <v>0</v>
      </c>
      <c r="AD1002" s="490"/>
      <c r="AE1002" s="482"/>
      <c r="AF1002" s="493">
        <f t="shared" si="141"/>
        <v>295833.60000000003</v>
      </c>
      <c r="AG1002" s="474" t="s">
        <v>1071</v>
      </c>
      <c r="AH1002" s="474"/>
      <c r="AI1002" s="483">
        <v>60</v>
      </c>
      <c r="AJ1002" s="474" t="s">
        <v>1575</v>
      </c>
      <c r="AK1002" s="494" t="s">
        <v>50</v>
      </c>
      <c r="AL1002" s="474">
        <v>94544</v>
      </c>
      <c r="AM1002" s="474" t="s">
        <v>52</v>
      </c>
      <c r="AN1002" s="474"/>
      <c r="AO1002" s="474"/>
      <c r="AP1002" s="486"/>
      <c r="AQ1002" s="486" t="s">
        <v>37</v>
      </c>
      <c r="AR1002" s="474"/>
      <c r="AS1002" s="495"/>
      <c r="AT1002" s="495"/>
      <c r="AU1002" s="495"/>
      <c r="AV1002" s="478">
        <v>0.80577777777000004</v>
      </c>
    </row>
    <row r="1003" spans="1:48" s="471" customFormat="1" ht="15" customHeight="1">
      <c r="A1003" s="472"/>
      <c r="B1003" s="514">
        <v>44655</v>
      </c>
      <c r="C1003" s="472"/>
      <c r="D1003" s="512" t="s">
        <v>3186</v>
      </c>
      <c r="E1003" s="501" t="s">
        <v>3356</v>
      </c>
      <c r="F1003" s="501"/>
      <c r="G1003" s="501">
        <v>2022</v>
      </c>
      <c r="H1003" s="501"/>
      <c r="I1003" s="501" t="s">
        <v>1676</v>
      </c>
      <c r="J1003" s="513"/>
      <c r="K1003" s="503" t="s">
        <v>4954</v>
      </c>
      <c r="L1003" s="501" t="s">
        <v>3361</v>
      </c>
      <c r="M1003" s="504">
        <v>44652</v>
      </c>
      <c r="N1003" s="504">
        <v>44746</v>
      </c>
      <c r="O1003" s="504"/>
      <c r="P1003" s="502"/>
      <c r="Q1003" s="502"/>
      <c r="R1003" s="502"/>
      <c r="S1003" s="501" t="s">
        <v>1563</v>
      </c>
      <c r="T1003" s="501">
        <v>60</v>
      </c>
      <c r="U1003" s="501"/>
      <c r="V1003" s="501" t="s">
        <v>973</v>
      </c>
      <c r="W1003" s="501">
        <v>400</v>
      </c>
      <c r="X1003" s="505">
        <v>1536</v>
      </c>
      <c r="Y1003" s="491">
        <f t="shared" si="139"/>
        <v>614400</v>
      </c>
      <c r="Z1003" s="478">
        <v>0.55500000000000005</v>
      </c>
      <c r="AA1003" s="492">
        <f t="shared" si="138"/>
        <v>340992.00000000006</v>
      </c>
      <c r="AB1003" s="480"/>
      <c r="AC1003" s="481">
        <f t="shared" si="140"/>
        <v>0</v>
      </c>
      <c r="AD1003" s="490"/>
      <c r="AE1003" s="482"/>
      <c r="AF1003" s="493">
        <f t="shared" si="141"/>
        <v>340992.00000000006</v>
      </c>
      <c r="AG1003" s="474" t="s">
        <v>1071</v>
      </c>
      <c r="AH1003" s="474"/>
      <c r="AI1003" s="483">
        <v>60</v>
      </c>
      <c r="AJ1003" s="474" t="s">
        <v>1575</v>
      </c>
      <c r="AK1003" s="494" t="s">
        <v>50</v>
      </c>
      <c r="AL1003" s="474">
        <v>94544</v>
      </c>
      <c r="AM1003" s="474" t="s">
        <v>52</v>
      </c>
      <c r="AN1003" s="474"/>
      <c r="AO1003" s="474"/>
      <c r="AP1003" s="486"/>
      <c r="AQ1003" s="486" t="s">
        <v>37</v>
      </c>
      <c r="AR1003" s="474"/>
      <c r="AS1003" s="495"/>
      <c r="AT1003" s="495"/>
      <c r="AU1003" s="495"/>
      <c r="AV1003" s="478">
        <v>0.80577777777000004</v>
      </c>
    </row>
    <row r="1004" spans="1:48" s="471" customFormat="1" ht="15" customHeight="1">
      <c r="A1004" s="472"/>
      <c r="B1004" s="514">
        <v>44655</v>
      </c>
      <c r="C1004" s="472"/>
      <c r="D1004" s="512" t="s">
        <v>3186</v>
      </c>
      <c r="E1004" s="501" t="s">
        <v>3356</v>
      </c>
      <c r="F1004" s="501"/>
      <c r="G1004" s="501">
        <v>2022</v>
      </c>
      <c r="H1004" s="501"/>
      <c r="I1004" s="501" t="s">
        <v>1676</v>
      </c>
      <c r="J1004" s="513"/>
      <c r="K1004" s="503" t="s">
        <v>4955</v>
      </c>
      <c r="L1004" s="501" t="s">
        <v>3361</v>
      </c>
      <c r="M1004" s="504">
        <v>44652</v>
      </c>
      <c r="N1004" s="504">
        <v>44774</v>
      </c>
      <c r="O1004" s="504"/>
      <c r="P1004" s="502"/>
      <c r="Q1004" s="502"/>
      <c r="R1004" s="502"/>
      <c r="S1004" s="501" t="s">
        <v>1563</v>
      </c>
      <c r="T1004" s="501">
        <v>60</v>
      </c>
      <c r="U1004" s="501"/>
      <c r="V1004" s="501" t="s">
        <v>973</v>
      </c>
      <c r="W1004" s="501">
        <v>400</v>
      </c>
      <c r="X1004" s="505">
        <v>1536</v>
      </c>
      <c r="Y1004" s="491">
        <f t="shared" si="139"/>
        <v>614400</v>
      </c>
      <c r="Z1004" s="478">
        <v>0.55500000000000005</v>
      </c>
      <c r="AA1004" s="492">
        <f t="shared" si="138"/>
        <v>340992.00000000006</v>
      </c>
      <c r="AB1004" s="480"/>
      <c r="AC1004" s="481">
        <f t="shared" si="140"/>
        <v>0</v>
      </c>
      <c r="AD1004" s="490"/>
      <c r="AE1004" s="482"/>
      <c r="AF1004" s="493">
        <f t="shared" si="141"/>
        <v>340992.00000000006</v>
      </c>
      <c r="AG1004" s="474" t="s">
        <v>1071</v>
      </c>
      <c r="AH1004" s="474"/>
      <c r="AI1004" s="483">
        <v>60</v>
      </c>
      <c r="AJ1004" s="474" t="s">
        <v>1575</v>
      </c>
      <c r="AK1004" s="494" t="s">
        <v>50</v>
      </c>
      <c r="AL1004" s="474">
        <v>94544</v>
      </c>
      <c r="AM1004" s="474" t="s">
        <v>52</v>
      </c>
      <c r="AN1004" s="474"/>
      <c r="AO1004" s="474"/>
      <c r="AP1004" s="486"/>
      <c r="AQ1004" s="486" t="s">
        <v>37</v>
      </c>
      <c r="AR1004" s="474"/>
      <c r="AS1004" s="495"/>
      <c r="AT1004" s="495"/>
      <c r="AU1004" s="495"/>
      <c r="AV1004" s="478">
        <v>0.80577777777000004</v>
      </c>
    </row>
    <row r="1005" spans="1:48" s="471" customFormat="1" ht="15" customHeight="1">
      <c r="A1005" s="472"/>
      <c r="B1005" s="514">
        <v>44655</v>
      </c>
      <c r="C1005" s="472"/>
      <c r="D1005" s="512" t="s">
        <v>3186</v>
      </c>
      <c r="E1005" s="501" t="s">
        <v>3356</v>
      </c>
      <c r="F1005" s="501"/>
      <c r="G1005" s="501">
        <v>2022</v>
      </c>
      <c r="H1005" s="501"/>
      <c r="I1005" s="501" t="s">
        <v>1676</v>
      </c>
      <c r="J1005" s="513"/>
      <c r="K1005" s="503" t="s">
        <v>4956</v>
      </c>
      <c r="L1005" s="501" t="s">
        <v>3361</v>
      </c>
      <c r="M1005" s="504">
        <v>44652</v>
      </c>
      <c r="N1005" s="504">
        <v>44809</v>
      </c>
      <c r="O1005" s="504"/>
      <c r="P1005" s="502"/>
      <c r="Q1005" s="502"/>
      <c r="R1005" s="502"/>
      <c r="S1005" s="501" t="s">
        <v>1563</v>
      </c>
      <c r="T1005" s="501">
        <v>60</v>
      </c>
      <c r="U1005" s="501"/>
      <c r="V1005" s="501" t="s">
        <v>973</v>
      </c>
      <c r="W1005" s="501">
        <v>400</v>
      </c>
      <c r="X1005" s="505">
        <v>768</v>
      </c>
      <c r="Y1005" s="491">
        <f t="shared" si="139"/>
        <v>307200</v>
      </c>
      <c r="Z1005" s="478">
        <v>0.55500000000000005</v>
      </c>
      <c r="AA1005" s="492">
        <f t="shared" si="138"/>
        <v>170496.00000000003</v>
      </c>
      <c r="AB1005" s="480"/>
      <c r="AC1005" s="481">
        <f t="shared" si="140"/>
        <v>0</v>
      </c>
      <c r="AD1005" s="490"/>
      <c r="AE1005" s="482"/>
      <c r="AF1005" s="493">
        <f t="shared" si="141"/>
        <v>170496.00000000003</v>
      </c>
      <c r="AG1005" s="474" t="s">
        <v>1071</v>
      </c>
      <c r="AH1005" s="474"/>
      <c r="AI1005" s="483">
        <v>60</v>
      </c>
      <c r="AJ1005" s="474" t="s">
        <v>1575</v>
      </c>
      <c r="AK1005" s="494" t="s">
        <v>50</v>
      </c>
      <c r="AL1005" s="474">
        <v>94544</v>
      </c>
      <c r="AM1005" s="474" t="s">
        <v>52</v>
      </c>
      <c r="AN1005" s="474"/>
      <c r="AO1005" s="474"/>
      <c r="AP1005" s="486"/>
      <c r="AQ1005" s="486" t="s">
        <v>37</v>
      </c>
      <c r="AR1005" s="474"/>
      <c r="AS1005" s="495"/>
      <c r="AT1005" s="495"/>
      <c r="AU1005" s="495"/>
      <c r="AV1005" s="478">
        <v>0.80577777777000004</v>
      </c>
    </row>
    <row r="1006" spans="1:48" s="471" customFormat="1" ht="15" customHeight="1">
      <c r="A1006" s="472"/>
      <c r="B1006" s="514">
        <v>44655</v>
      </c>
      <c r="C1006" s="472"/>
      <c r="D1006" s="512" t="s">
        <v>3186</v>
      </c>
      <c r="E1006" s="501" t="s">
        <v>3356</v>
      </c>
      <c r="F1006" s="501"/>
      <c r="G1006" s="501">
        <v>2022</v>
      </c>
      <c r="H1006" s="501"/>
      <c r="I1006" s="501" t="s">
        <v>1676</v>
      </c>
      <c r="J1006" s="513"/>
      <c r="K1006" s="503" t="s">
        <v>4957</v>
      </c>
      <c r="L1006" s="501" t="s">
        <v>3361</v>
      </c>
      <c r="M1006" s="504">
        <v>44652</v>
      </c>
      <c r="N1006" s="504">
        <v>44837</v>
      </c>
      <c r="O1006" s="504"/>
      <c r="P1006" s="502"/>
      <c r="Q1006" s="502"/>
      <c r="R1006" s="502"/>
      <c r="S1006" s="501" t="s">
        <v>1563</v>
      </c>
      <c r="T1006" s="501">
        <v>60</v>
      </c>
      <c r="U1006" s="501"/>
      <c r="V1006" s="501" t="s">
        <v>973</v>
      </c>
      <c r="W1006" s="501">
        <v>400</v>
      </c>
      <c r="X1006" s="505">
        <v>2304</v>
      </c>
      <c r="Y1006" s="491">
        <f t="shared" si="139"/>
        <v>921600</v>
      </c>
      <c r="Z1006" s="478">
        <v>0.55500000000000005</v>
      </c>
      <c r="AA1006" s="492">
        <f t="shared" si="138"/>
        <v>511488.00000000006</v>
      </c>
      <c r="AB1006" s="480"/>
      <c r="AC1006" s="481">
        <f t="shared" si="140"/>
        <v>0</v>
      </c>
      <c r="AD1006" s="490"/>
      <c r="AE1006" s="482"/>
      <c r="AF1006" s="493">
        <f t="shared" si="141"/>
        <v>511488.00000000006</v>
      </c>
      <c r="AG1006" s="474" t="s">
        <v>1071</v>
      </c>
      <c r="AH1006" s="474"/>
      <c r="AI1006" s="483">
        <v>60</v>
      </c>
      <c r="AJ1006" s="474" t="s">
        <v>1575</v>
      </c>
      <c r="AK1006" s="494" t="s">
        <v>50</v>
      </c>
      <c r="AL1006" s="474">
        <v>94544</v>
      </c>
      <c r="AM1006" s="474" t="s">
        <v>52</v>
      </c>
      <c r="AN1006" s="474"/>
      <c r="AO1006" s="474"/>
      <c r="AP1006" s="486"/>
      <c r="AQ1006" s="486" t="s">
        <v>37</v>
      </c>
      <c r="AR1006" s="474"/>
      <c r="AS1006" s="495"/>
      <c r="AT1006" s="495"/>
      <c r="AU1006" s="495"/>
      <c r="AV1006" s="478">
        <v>0.80577777777000004</v>
      </c>
    </row>
    <row r="1007" spans="1:48" s="471" customFormat="1" ht="15" customHeight="1">
      <c r="A1007" s="472"/>
      <c r="B1007" s="514">
        <v>44655</v>
      </c>
      <c r="C1007" s="472"/>
      <c r="D1007" s="512" t="s">
        <v>3186</v>
      </c>
      <c r="E1007" s="501" t="s">
        <v>3356</v>
      </c>
      <c r="F1007" s="501"/>
      <c r="G1007" s="501">
        <v>2022</v>
      </c>
      <c r="H1007" s="501"/>
      <c r="I1007" s="501" t="s">
        <v>1676</v>
      </c>
      <c r="J1007" s="513"/>
      <c r="K1007" s="503" t="s">
        <v>4958</v>
      </c>
      <c r="L1007" s="501" t="s">
        <v>3361</v>
      </c>
      <c r="M1007" s="504">
        <v>44652</v>
      </c>
      <c r="N1007" s="504">
        <v>44866</v>
      </c>
      <c r="O1007" s="504"/>
      <c r="P1007" s="502"/>
      <c r="Q1007" s="502"/>
      <c r="R1007" s="502"/>
      <c r="S1007" s="501" t="s">
        <v>1563</v>
      </c>
      <c r="T1007" s="501">
        <v>60</v>
      </c>
      <c r="U1007" s="501"/>
      <c r="V1007" s="501" t="s">
        <v>973</v>
      </c>
      <c r="W1007" s="501">
        <v>400</v>
      </c>
      <c r="X1007" s="505">
        <v>1536</v>
      </c>
      <c r="Y1007" s="491">
        <f t="shared" si="139"/>
        <v>614400</v>
      </c>
      <c r="Z1007" s="478">
        <v>0.55500000000000005</v>
      </c>
      <c r="AA1007" s="492">
        <f t="shared" si="138"/>
        <v>340992.00000000006</v>
      </c>
      <c r="AB1007" s="480"/>
      <c r="AC1007" s="481">
        <f t="shared" si="140"/>
        <v>0</v>
      </c>
      <c r="AD1007" s="490"/>
      <c r="AE1007" s="482"/>
      <c r="AF1007" s="493">
        <f t="shared" si="141"/>
        <v>340992.00000000006</v>
      </c>
      <c r="AG1007" s="474" t="s">
        <v>1071</v>
      </c>
      <c r="AH1007" s="474"/>
      <c r="AI1007" s="483">
        <v>60</v>
      </c>
      <c r="AJ1007" s="474" t="s">
        <v>1575</v>
      </c>
      <c r="AK1007" s="494" t="s">
        <v>50</v>
      </c>
      <c r="AL1007" s="474">
        <v>94544</v>
      </c>
      <c r="AM1007" s="474" t="s">
        <v>52</v>
      </c>
      <c r="AN1007" s="474"/>
      <c r="AO1007" s="474"/>
      <c r="AP1007" s="486"/>
      <c r="AQ1007" s="486" t="s">
        <v>37</v>
      </c>
      <c r="AR1007" s="474"/>
      <c r="AS1007" s="495"/>
      <c r="AT1007" s="495"/>
      <c r="AU1007" s="495"/>
      <c r="AV1007" s="478">
        <v>0.80577777777000004</v>
      </c>
    </row>
    <row r="1008" spans="1:48" s="471" customFormat="1" ht="15" customHeight="1">
      <c r="A1008" s="472"/>
      <c r="B1008" s="514">
        <v>44670</v>
      </c>
      <c r="C1008" s="472"/>
      <c r="D1008" s="512" t="s">
        <v>3186</v>
      </c>
      <c r="E1008" s="501" t="s">
        <v>3356</v>
      </c>
      <c r="F1008" s="501"/>
      <c r="G1008" s="501">
        <v>2022</v>
      </c>
      <c r="H1008" s="501"/>
      <c r="I1008" s="501" t="s">
        <v>1676</v>
      </c>
      <c r="J1008" s="513"/>
      <c r="K1008" s="503" t="s">
        <v>5255</v>
      </c>
      <c r="L1008" s="501" t="s">
        <v>3361</v>
      </c>
      <c r="M1008" s="504">
        <v>44669</v>
      </c>
      <c r="N1008" s="504">
        <v>44865</v>
      </c>
      <c r="O1008" s="504"/>
      <c r="P1008" s="502"/>
      <c r="Q1008" s="502"/>
      <c r="R1008" s="502"/>
      <c r="S1008" s="501" t="s">
        <v>2379</v>
      </c>
      <c r="T1008" s="501">
        <v>60</v>
      </c>
      <c r="U1008" s="501"/>
      <c r="V1008" s="501" t="s">
        <v>967</v>
      </c>
      <c r="W1008" s="501">
        <v>410</v>
      </c>
      <c r="X1008" s="505">
        <v>1920</v>
      </c>
      <c r="Y1008" s="491">
        <f t="shared" si="139"/>
        <v>787200</v>
      </c>
      <c r="Z1008" s="478">
        <v>0.55500000000000005</v>
      </c>
      <c r="AA1008" s="492">
        <f t="shared" si="138"/>
        <v>436896.00000000006</v>
      </c>
      <c r="AB1008" s="480"/>
      <c r="AC1008" s="481">
        <f t="shared" si="140"/>
        <v>0</v>
      </c>
      <c r="AD1008" s="490"/>
      <c r="AE1008" s="482"/>
      <c r="AF1008" s="493">
        <f t="shared" si="141"/>
        <v>436896.00000000006</v>
      </c>
      <c r="AG1008" s="474" t="s">
        <v>1071</v>
      </c>
      <c r="AH1008" s="474"/>
      <c r="AI1008" s="483">
        <v>60</v>
      </c>
      <c r="AJ1008" s="474" t="s">
        <v>1593</v>
      </c>
      <c r="AK1008" s="494" t="s">
        <v>1144</v>
      </c>
      <c r="AL1008" s="474">
        <v>78744</v>
      </c>
      <c r="AM1008" s="474" t="s">
        <v>52</v>
      </c>
      <c r="AN1008" s="474"/>
      <c r="AO1008" s="474"/>
      <c r="AP1008" s="486"/>
      <c r="AQ1008" s="486" t="s">
        <v>37</v>
      </c>
      <c r="AR1008" s="474"/>
      <c r="AS1008" s="495"/>
      <c r="AT1008" s="495"/>
      <c r="AU1008" s="495"/>
      <c r="AV1008" s="478">
        <v>0.80577777777000004</v>
      </c>
    </row>
    <row r="1009" spans="1:48" s="471" customFormat="1" ht="15" customHeight="1">
      <c r="A1009" s="472"/>
      <c r="B1009" s="514">
        <v>44672</v>
      </c>
      <c r="C1009" s="514"/>
      <c r="D1009" s="512" t="s">
        <v>3186</v>
      </c>
      <c r="E1009" s="501" t="s">
        <v>3044</v>
      </c>
      <c r="F1009" s="501"/>
      <c r="G1009" s="501">
        <v>2022</v>
      </c>
      <c r="H1009" s="501"/>
      <c r="I1009" s="501" t="s">
        <v>1676</v>
      </c>
      <c r="J1009" s="513"/>
      <c r="K1009" s="503" t="s">
        <v>5434</v>
      </c>
      <c r="L1009" s="501" t="s">
        <v>3361</v>
      </c>
      <c r="M1009" s="504">
        <v>44671</v>
      </c>
      <c r="N1009" s="504">
        <v>44840</v>
      </c>
      <c r="O1009" s="504"/>
      <c r="P1009" s="502"/>
      <c r="Q1009" s="502"/>
      <c r="R1009" s="502"/>
      <c r="S1009" s="501" t="s">
        <v>3353</v>
      </c>
      <c r="T1009" s="501">
        <v>60</v>
      </c>
      <c r="U1009" s="501"/>
      <c r="V1009" s="501" t="s">
        <v>973</v>
      </c>
      <c r="W1009" s="501">
        <v>400</v>
      </c>
      <c r="X1009" s="505">
        <v>768</v>
      </c>
      <c r="Y1009" s="491">
        <f>X1009*W1009</f>
        <v>307200</v>
      </c>
      <c r="Z1009" s="478">
        <v>0.53</v>
      </c>
      <c r="AA1009" s="492">
        <f>Z1009*Y1009</f>
        <v>162816</v>
      </c>
      <c r="AB1009" s="480"/>
      <c r="AC1009" s="481">
        <f>AB1009*Y1009</f>
        <v>0</v>
      </c>
      <c r="AD1009" s="490"/>
      <c r="AE1009" s="482"/>
      <c r="AF1009" s="493">
        <f>AE1009+AD1009+AA1009</f>
        <v>162816</v>
      </c>
      <c r="AG1009" s="474" t="s">
        <v>1071</v>
      </c>
      <c r="AH1009" s="474"/>
      <c r="AI1009" s="483">
        <v>60</v>
      </c>
      <c r="AJ1009" s="474" t="s">
        <v>2277</v>
      </c>
      <c r="AK1009" s="494" t="s">
        <v>1084</v>
      </c>
      <c r="AL1009" s="474">
        <v>32809</v>
      </c>
      <c r="AM1009" s="474" t="s">
        <v>52</v>
      </c>
      <c r="AN1009" s="474"/>
      <c r="AO1009" s="474"/>
      <c r="AP1009" s="486"/>
      <c r="AQ1009" s="486" t="s">
        <v>37</v>
      </c>
      <c r="AR1009" s="486"/>
      <c r="AS1009" s="495"/>
      <c r="AT1009" s="495"/>
      <c r="AU1009" s="495"/>
      <c r="AV1009" s="478">
        <v>0.80577777777000004</v>
      </c>
    </row>
    <row r="1010" spans="1:48" s="471" customFormat="1" ht="15" customHeight="1">
      <c r="A1010" s="472"/>
      <c r="B1010" s="514">
        <v>44672</v>
      </c>
      <c r="C1010" s="514"/>
      <c r="D1010" s="512" t="s">
        <v>3186</v>
      </c>
      <c r="E1010" s="501" t="s">
        <v>3044</v>
      </c>
      <c r="F1010" s="501"/>
      <c r="G1010" s="501">
        <v>2022</v>
      </c>
      <c r="H1010" s="501"/>
      <c r="I1010" s="501" t="s">
        <v>1676</v>
      </c>
      <c r="J1010" s="513"/>
      <c r="K1010" s="503" t="s">
        <v>5435</v>
      </c>
      <c r="L1010" s="501" t="s">
        <v>3361</v>
      </c>
      <c r="M1010" s="504">
        <v>44671</v>
      </c>
      <c r="N1010" s="504">
        <v>44847</v>
      </c>
      <c r="O1010" s="504"/>
      <c r="P1010" s="502"/>
      <c r="Q1010" s="502"/>
      <c r="R1010" s="502"/>
      <c r="S1010" s="501" t="s">
        <v>3353</v>
      </c>
      <c r="T1010" s="501">
        <v>60</v>
      </c>
      <c r="U1010" s="501"/>
      <c r="V1010" s="501" t="s">
        <v>986</v>
      </c>
      <c r="W1010" s="501">
        <v>360</v>
      </c>
      <c r="X1010" s="505">
        <v>832</v>
      </c>
      <c r="Y1010" s="491">
        <f>X1010*W1010</f>
        <v>299520</v>
      </c>
      <c r="Z1010" s="478">
        <v>0.505</v>
      </c>
      <c r="AA1010" s="492">
        <f>Z1010*Y1010</f>
        <v>151257.60000000001</v>
      </c>
      <c r="AB1010" s="480"/>
      <c r="AC1010" s="481">
        <f>AB1010*Y1010</f>
        <v>0</v>
      </c>
      <c r="AD1010" s="490"/>
      <c r="AE1010" s="482"/>
      <c r="AF1010" s="493">
        <f>AE1010+AD1010+AA1010</f>
        <v>151257.60000000001</v>
      </c>
      <c r="AG1010" s="474" t="s">
        <v>1071</v>
      </c>
      <c r="AH1010" s="474"/>
      <c r="AI1010" s="483">
        <v>60</v>
      </c>
      <c r="AJ1010" s="474" t="s">
        <v>2277</v>
      </c>
      <c r="AK1010" s="494" t="s">
        <v>1084</v>
      </c>
      <c r="AL1010" s="474">
        <v>32809</v>
      </c>
      <c r="AM1010" s="474" t="s">
        <v>52</v>
      </c>
      <c r="AN1010" s="474"/>
      <c r="AO1010" s="474"/>
      <c r="AP1010" s="486"/>
      <c r="AQ1010" s="486" t="s">
        <v>37</v>
      </c>
      <c r="AR1010" s="486"/>
      <c r="AS1010" s="495"/>
      <c r="AT1010" s="495"/>
      <c r="AU1010" s="495"/>
      <c r="AV1010" s="478">
        <v>0.80577777777000004</v>
      </c>
    </row>
    <row r="1011" spans="1:48" s="471" customFormat="1" ht="15" customHeight="1">
      <c r="A1011" s="472"/>
      <c r="B1011" s="514">
        <v>44672</v>
      </c>
      <c r="C1011" s="514"/>
      <c r="D1011" s="512" t="s">
        <v>3186</v>
      </c>
      <c r="E1011" s="501" t="s">
        <v>3044</v>
      </c>
      <c r="F1011" s="501"/>
      <c r="G1011" s="501">
        <v>2022</v>
      </c>
      <c r="H1011" s="501"/>
      <c r="I1011" s="501" t="s">
        <v>1676</v>
      </c>
      <c r="J1011" s="513"/>
      <c r="K1011" s="503" t="s">
        <v>5436</v>
      </c>
      <c r="L1011" s="501" t="s">
        <v>3361</v>
      </c>
      <c r="M1011" s="504">
        <v>44671</v>
      </c>
      <c r="N1011" s="504">
        <v>44854</v>
      </c>
      <c r="O1011" s="504"/>
      <c r="P1011" s="502"/>
      <c r="Q1011" s="502"/>
      <c r="R1011" s="502"/>
      <c r="S1011" s="501" t="s">
        <v>3353</v>
      </c>
      <c r="T1011" s="501">
        <v>60</v>
      </c>
      <c r="U1011" s="501"/>
      <c r="V1011" s="501" t="s">
        <v>973</v>
      </c>
      <c r="W1011" s="501">
        <v>400</v>
      </c>
      <c r="X1011" s="505">
        <v>768</v>
      </c>
      <c r="Y1011" s="491">
        <f>X1011*W1011</f>
        <v>307200</v>
      </c>
      <c r="Z1011" s="478">
        <v>0.53</v>
      </c>
      <c r="AA1011" s="492">
        <f>Z1011*Y1011</f>
        <v>162816</v>
      </c>
      <c r="AB1011" s="480"/>
      <c r="AC1011" s="481">
        <f>AB1011*Y1011</f>
        <v>0</v>
      </c>
      <c r="AD1011" s="490"/>
      <c r="AE1011" s="482"/>
      <c r="AF1011" s="493">
        <f>AE1011+AD1011+AA1011</f>
        <v>162816</v>
      </c>
      <c r="AG1011" s="474" t="s">
        <v>1071</v>
      </c>
      <c r="AH1011" s="474"/>
      <c r="AI1011" s="483">
        <v>60</v>
      </c>
      <c r="AJ1011" s="474" t="s">
        <v>2277</v>
      </c>
      <c r="AK1011" s="494" t="s">
        <v>1084</v>
      </c>
      <c r="AL1011" s="474">
        <v>32809</v>
      </c>
      <c r="AM1011" s="474" t="s">
        <v>52</v>
      </c>
      <c r="AN1011" s="474"/>
      <c r="AO1011" s="474"/>
      <c r="AP1011" s="486"/>
      <c r="AQ1011" s="486" t="s">
        <v>37</v>
      </c>
      <c r="AR1011" s="486"/>
      <c r="AS1011" s="495"/>
      <c r="AT1011" s="495"/>
      <c r="AU1011" s="495"/>
      <c r="AV1011" s="478">
        <v>0.80577777777000004</v>
      </c>
    </row>
    <row r="1012" spans="1:48" s="471" customFormat="1" ht="15" customHeight="1">
      <c r="A1012" s="472"/>
      <c r="B1012" s="514">
        <v>44677</v>
      </c>
      <c r="C1012" s="514"/>
      <c r="D1012" s="512" t="s">
        <v>3186</v>
      </c>
      <c r="E1012" s="501" t="s">
        <v>3044</v>
      </c>
      <c r="F1012" s="501"/>
      <c r="G1012" s="501">
        <v>2022</v>
      </c>
      <c r="H1012" s="501"/>
      <c r="I1012" s="501" t="s">
        <v>1676</v>
      </c>
      <c r="J1012" s="513"/>
      <c r="K1012" s="503" t="s">
        <v>5578</v>
      </c>
      <c r="L1012" s="501" t="s">
        <v>3361</v>
      </c>
      <c r="M1012" s="504">
        <v>44676</v>
      </c>
      <c r="N1012" s="504">
        <v>44903</v>
      </c>
      <c r="O1012" s="504"/>
      <c r="P1012" s="502"/>
      <c r="Q1012" s="502"/>
      <c r="R1012" s="502"/>
      <c r="S1012" s="501" t="s">
        <v>3353</v>
      </c>
      <c r="T1012" s="501">
        <v>60</v>
      </c>
      <c r="U1012" s="501"/>
      <c r="V1012" s="501" t="s">
        <v>973</v>
      </c>
      <c r="W1012" s="501">
        <v>400</v>
      </c>
      <c r="X1012" s="505">
        <v>768</v>
      </c>
      <c r="Y1012" s="491">
        <f>X1012*W1012</f>
        <v>307200</v>
      </c>
      <c r="Z1012" s="478">
        <v>0.53</v>
      </c>
      <c r="AA1012" s="492">
        <f>Z1012*Y1012</f>
        <v>162816</v>
      </c>
      <c r="AB1012" s="480"/>
      <c r="AC1012" s="481">
        <f>AB1012*Y1012</f>
        <v>0</v>
      </c>
      <c r="AD1012" s="490"/>
      <c r="AE1012" s="482"/>
      <c r="AF1012" s="493">
        <f>AE1012+AD1012+AA1012</f>
        <v>162816</v>
      </c>
      <c r="AG1012" s="474" t="s">
        <v>1071</v>
      </c>
      <c r="AH1012" s="474"/>
      <c r="AI1012" s="483">
        <v>60</v>
      </c>
      <c r="AJ1012" s="474" t="s">
        <v>2277</v>
      </c>
      <c r="AK1012" s="494" t="s">
        <v>1084</v>
      </c>
      <c r="AL1012" s="474">
        <v>32809</v>
      </c>
      <c r="AM1012" s="474" t="s">
        <v>52</v>
      </c>
      <c r="AN1012" s="474"/>
      <c r="AO1012" s="474"/>
      <c r="AP1012" s="486"/>
      <c r="AQ1012" s="486" t="s">
        <v>37</v>
      </c>
      <c r="AR1012" s="486"/>
      <c r="AS1012" s="495"/>
      <c r="AT1012" s="495"/>
      <c r="AU1012" s="495"/>
      <c r="AV1012" s="478">
        <v>0.80577777777000004</v>
      </c>
    </row>
    <row r="1013" spans="1:48" s="471" customFormat="1" ht="15" customHeight="1">
      <c r="A1013" s="472"/>
      <c r="B1013" s="514">
        <v>44677</v>
      </c>
      <c r="C1013" s="514"/>
      <c r="D1013" s="512" t="s">
        <v>3186</v>
      </c>
      <c r="E1013" s="501" t="s">
        <v>3044</v>
      </c>
      <c r="F1013" s="501"/>
      <c r="G1013" s="501">
        <v>2022</v>
      </c>
      <c r="H1013" s="501"/>
      <c r="I1013" s="501" t="s">
        <v>1676</v>
      </c>
      <c r="J1013" s="513"/>
      <c r="K1013" s="503" t="s">
        <v>5579</v>
      </c>
      <c r="L1013" s="501" t="s">
        <v>3361</v>
      </c>
      <c r="M1013" s="504">
        <v>44676</v>
      </c>
      <c r="N1013" s="504">
        <v>44910</v>
      </c>
      <c r="O1013" s="504"/>
      <c r="P1013" s="502"/>
      <c r="Q1013" s="502"/>
      <c r="R1013" s="502"/>
      <c r="S1013" s="501" t="s">
        <v>3353</v>
      </c>
      <c r="T1013" s="501">
        <v>60</v>
      </c>
      <c r="U1013" s="501"/>
      <c r="V1013" s="501" t="s">
        <v>973</v>
      </c>
      <c r="W1013" s="501">
        <v>400</v>
      </c>
      <c r="X1013" s="505">
        <v>768</v>
      </c>
      <c r="Y1013" s="491">
        <f>X1013*W1013</f>
        <v>307200</v>
      </c>
      <c r="Z1013" s="478">
        <v>0.53</v>
      </c>
      <c r="AA1013" s="492">
        <f>Z1013*Y1013</f>
        <v>162816</v>
      </c>
      <c r="AB1013" s="480"/>
      <c r="AC1013" s="481">
        <f>AB1013*Y1013</f>
        <v>0</v>
      </c>
      <c r="AD1013" s="490"/>
      <c r="AE1013" s="482"/>
      <c r="AF1013" s="493">
        <f>AE1013+AD1013+AA1013</f>
        <v>162816</v>
      </c>
      <c r="AG1013" s="474" t="s">
        <v>1071</v>
      </c>
      <c r="AH1013" s="474"/>
      <c r="AI1013" s="483">
        <v>60</v>
      </c>
      <c r="AJ1013" s="474" t="s">
        <v>2277</v>
      </c>
      <c r="AK1013" s="494" t="s">
        <v>1084</v>
      </c>
      <c r="AL1013" s="474">
        <v>32809</v>
      </c>
      <c r="AM1013" s="474" t="s">
        <v>52</v>
      </c>
      <c r="AN1013" s="474"/>
      <c r="AO1013" s="474"/>
      <c r="AP1013" s="486"/>
      <c r="AQ1013" s="486" t="s">
        <v>37</v>
      </c>
      <c r="AR1013" s="486"/>
      <c r="AS1013" s="495"/>
      <c r="AT1013" s="495"/>
      <c r="AU1013" s="495"/>
      <c r="AV1013" s="478">
        <v>0.80577777777000004</v>
      </c>
    </row>
    <row r="1014" spans="1:48" s="471" customFormat="1" ht="15" customHeight="1">
      <c r="A1014" s="472"/>
      <c r="B1014" s="515">
        <v>44658</v>
      </c>
      <c r="C1014" s="472"/>
      <c r="D1014" s="512" t="s">
        <v>3186</v>
      </c>
      <c r="E1014" s="501" t="s">
        <v>3356</v>
      </c>
      <c r="F1014" s="501"/>
      <c r="G1014" s="501">
        <v>2022</v>
      </c>
      <c r="H1014" s="501"/>
      <c r="I1014" s="501" t="s">
        <v>1676</v>
      </c>
      <c r="J1014" s="513"/>
      <c r="K1014" s="503" t="s">
        <v>4959</v>
      </c>
      <c r="L1014" s="501" t="s">
        <v>3290</v>
      </c>
      <c r="M1014" s="504">
        <v>44657</v>
      </c>
      <c r="N1014" s="504">
        <v>44805</v>
      </c>
      <c r="O1014" s="504"/>
      <c r="P1014" s="502"/>
      <c r="Q1014" s="502"/>
      <c r="R1014" s="502"/>
      <c r="S1014" s="501" t="s">
        <v>1563</v>
      </c>
      <c r="T1014" s="501">
        <v>60</v>
      </c>
      <c r="U1014" s="501"/>
      <c r="V1014" s="501" t="s">
        <v>973</v>
      </c>
      <c r="W1014" s="501">
        <v>400</v>
      </c>
      <c r="X1014" s="505">
        <v>768</v>
      </c>
      <c r="Y1014" s="491">
        <f t="shared" si="139"/>
        <v>307200</v>
      </c>
      <c r="Z1014" s="478">
        <v>0.55500000000000005</v>
      </c>
      <c r="AA1014" s="492">
        <f t="shared" si="138"/>
        <v>170496.00000000003</v>
      </c>
      <c r="AB1014" s="480"/>
      <c r="AC1014" s="481">
        <f t="shared" si="140"/>
        <v>0</v>
      </c>
      <c r="AD1014" s="490"/>
      <c r="AE1014" s="482"/>
      <c r="AF1014" s="493">
        <f t="shared" si="141"/>
        <v>170496.00000000003</v>
      </c>
      <c r="AG1014" s="474" t="s">
        <v>1071</v>
      </c>
      <c r="AH1014" s="474"/>
      <c r="AI1014" s="483">
        <v>60</v>
      </c>
      <c r="AJ1014" s="474" t="s">
        <v>3291</v>
      </c>
      <c r="AK1014" s="494" t="s">
        <v>50</v>
      </c>
      <c r="AL1014" s="474">
        <v>95363</v>
      </c>
      <c r="AM1014" s="474" t="s">
        <v>52</v>
      </c>
      <c r="AN1014" s="474"/>
      <c r="AO1014" s="474"/>
      <c r="AP1014" s="486"/>
      <c r="AQ1014" s="486" t="s">
        <v>37</v>
      </c>
      <c r="AR1014" s="486"/>
      <c r="AS1014" s="495"/>
      <c r="AT1014" s="495"/>
      <c r="AU1014" s="495"/>
      <c r="AV1014" s="478">
        <v>0.80577777777000004</v>
      </c>
    </row>
    <row r="1015" spans="1:48" s="471" customFormat="1" ht="15" customHeight="1">
      <c r="A1015" s="472"/>
      <c r="B1015" s="514">
        <v>44610</v>
      </c>
      <c r="C1015" s="472"/>
      <c r="D1015" s="485" t="s">
        <v>3186</v>
      </c>
      <c r="E1015" s="474" t="s">
        <v>4851</v>
      </c>
      <c r="F1015" s="496"/>
      <c r="G1015" s="501">
        <v>2022</v>
      </c>
      <c r="H1015" s="501"/>
      <c r="I1015" s="496" t="s">
        <v>1676</v>
      </c>
      <c r="J1015" s="497"/>
      <c r="K1015" s="498" t="s">
        <v>4960</v>
      </c>
      <c r="L1015" s="496" t="s">
        <v>4853</v>
      </c>
      <c r="M1015" s="499">
        <v>44606</v>
      </c>
      <c r="N1015" s="499">
        <v>44866</v>
      </c>
      <c r="O1015" s="499"/>
      <c r="P1015" s="497"/>
      <c r="Q1015" s="497"/>
      <c r="R1015" s="497"/>
      <c r="S1015" s="496" t="s">
        <v>2379</v>
      </c>
      <c r="T1015" s="496">
        <v>60</v>
      </c>
      <c r="U1015" s="496"/>
      <c r="V1015" s="496" t="s">
        <v>973</v>
      </c>
      <c r="W1015" s="496">
        <v>400</v>
      </c>
      <c r="X1015" s="500">
        <v>896</v>
      </c>
      <c r="Y1015" s="491">
        <f t="shared" si="139"/>
        <v>358400</v>
      </c>
      <c r="Z1015" s="478">
        <v>0.55000000000000004</v>
      </c>
      <c r="AA1015" s="492">
        <f t="shared" si="138"/>
        <v>197120.00000000003</v>
      </c>
      <c r="AB1015" s="480"/>
      <c r="AC1015" s="481">
        <f t="shared" si="140"/>
        <v>0</v>
      </c>
      <c r="AD1015" s="490"/>
      <c r="AE1015" s="482"/>
      <c r="AF1015" s="493">
        <f t="shared" si="141"/>
        <v>197120.00000000003</v>
      </c>
      <c r="AG1015" s="474" t="s">
        <v>1071</v>
      </c>
      <c r="AH1015" s="474"/>
      <c r="AI1015" s="483" t="s">
        <v>2442</v>
      </c>
      <c r="AJ1015" s="474" t="s">
        <v>4854</v>
      </c>
      <c r="AK1015" s="494" t="s">
        <v>3263</v>
      </c>
      <c r="AL1015" s="474">
        <v>84120</v>
      </c>
      <c r="AM1015" s="474" t="s">
        <v>52</v>
      </c>
      <c r="AN1015" s="474"/>
      <c r="AO1015" s="474"/>
      <c r="AP1015" s="486"/>
      <c r="AQ1015" s="486" t="s">
        <v>37</v>
      </c>
      <c r="AR1015" s="486"/>
      <c r="AS1015" s="495"/>
      <c r="AT1015" s="495"/>
      <c r="AU1015" s="495"/>
      <c r="AV1015" s="478">
        <v>0.51</v>
      </c>
    </row>
    <row r="1016" spans="1:48" s="471" customFormat="1" ht="15" customHeight="1">
      <c r="A1016" s="525"/>
      <c r="B1016" s="517">
        <v>44648</v>
      </c>
      <c r="C1016" s="472"/>
      <c r="D1016" s="485" t="s">
        <v>3186</v>
      </c>
      <c r="E1016" s="501" t="s">
        <v>3625</v>
      </c>
      <c r="F1016" s="501"/>
      <c r="G1016" s="501">
        <v>2022</v>
      </c>
      <c r="H1016" s="501"/>
      <c r="I1016" s="501" t="s">
        <v>1676</v>
      </c>
      <c r="J1016" s="502"/>
      <c r="K1016" s="503" t="s">
        <v>3626</v>
      </c>
      <c r="L1016" s="501" t="s">
        <v>3188</v>
      </c>
      <c r="M1016" s="504">
        <v>44644</v>
      </c>
      <c r="N1016" s="504">
        <v>44682</v>
      </c>
      <c r="O1016" s="504"/>
      <c r="P1016" s="502"/>
      <c r="Q1016" s="502"/>
      <c r="R1016" s="502"/>
      <c r="S1016" s="501" t="s">
        <v>2379</v>
      </c>
      <c r="T1016" s="501">
        <v>60</v>
      </c>
      <c r="U1016" s="501"/>
      <c r="V1016" s="501" t="s">
        <v>973</v>
      </c>
      <c r="W1016" s="501">
        <v>400</v>
      </c>
      <c r="X1016" s="505">
        <v>768</v>
      </c>
      <c r="Y1016" s="477">
        <f t="shared" si="139"/>
        <v>307200</v>
      </c>
      <c r="Z1016" s="478">
        <v>0.57999999999999996</v>
      </c>
      <c r="AA1016" s="479">
        <f t="shared" si="138"/>
        <v>178176</v>
      </c>
      <c r="AB1016" s="480"/>
      <c r="AC1016" s="481">
        <f t="shared" si="140"/>
        <v>0</v>
      </c>
      <c r="AD1016" s="490"/>
      <c r="AE1016" s="482"/>
      <c r="AF1016" s="493">
        <f t="shared" si="141"/>
        <v>178176</v>
      </c>
      <c r="AG1016" s="474" t="s">
        <v>47</v>
      </c>
      <c r="AH1016" s="474"/>
      <c r="AI1016" s="483" t="s">
        <v>2374</v>
      </c>
      <c r="AJ1016" s="474" t="s">
        <v>3252</v>
      </c>
      <c r="AK1016" s="494" t="s">
        <v>1375</v>
      </c>
      <c r="AL1016" s="474">
        <v>22031</v>
      </c>
      <c r="AM1016" s="474" t="s">
        <v>52</v>
      </c>
      <c r="AN1016" s="474"/>
      <c r="AO1016" s="474"/>
      <c r="AP1016" s="486"/>
      <c r="AQ1016" s="486" t="s">
        <v>37</v>
      </c>
      <c r="AR1016" s="486"/>
      <c r="AS1016" s="495"/>
      <c r="AT1016" s="495"/>
      <c r="AU1016" s="472"/>
      <c r="AV1016" s="478">
        <v>0.55000000000000004</v>
      </c>
    </row>
    <row r="1017" spans="1:48" s="471" customFormat="1" ht="14.25" customHeight="1">
      <c r="A1017" s="472"/>
      <c r="B1017" s="517">
        <v>44610</v>
      </c>
      <c r="C1017" s="472"/>
      <c r="D1017" s="485" t="s">
        <v>3186</v>
      </c>
      <c r="E1017" s="474" t="s">
        <v>4851</v>
      </c>
      <c r="F1017" s="496"/>
      <c r="G1017" s="501">
        <v>2022</v>
      </c>
      <c r="H1017" s="501"/>
      <c r="I1017" s="496" t="s">
        <v>1676</v>
      </c>
      <c r="J1017" s="497"/>
      <c r="K1017" s="498" t="s">
        <v>4961</v>
      </c>
      <c r="L1017" s="496" t="s">
        <v>4853</v>
      </c>
      <c r="M1017" s="499">
        <v>44606</v>
      </c>
      <c r="N1017" s="499">
        <v>44907</v>
      </c>
      <c r="O1017" s="499"/>
      <c r="P1017" s="497"/>
      <c r="Q1017" s="497"/>
      <c r="R1017" s="497"/>
      <c r="S1017" s="496" t="s">
        <v>2379</v>
      </c>
      <c r="T1017" s="496">
        <v>60</v>
      </c>
      <c r="U1017" s="496"/>
      <c r="V1017" s="496" t="s">
        <v>973</v>
      </c>
      <c r="W1017" s="496">
        <v>400</v>
      </c>
      <c r="X1017" s="500">
        <v>896</v>
      </c>
      <c r="Y1017" s="491">
        <f t="shared" si="139"/>
        <v>358400</v>
      </c>
      <c r="Z1017" s="478">
        <v>0.55000000000000004</v>
      </c>
      <c r="AA1017" s="492">
        <f t="shared" si="138"/>
        <v>197120.00000000003</v>
      </c>
      <c r="AB1017" s="480"/>
      <c r="AC1017" s="481">
        <f t="shared" si="140"/>
        <v>0</v>
      </c>
      <c r="AD1017" s="490"/>
      <c r="AE1017" s="482"/>
      <c r="AF1017" s="493">
        <f t="shared" si="141"/>
        <v>197120.00000000003</v>
      </c>
      <c r="AG1017" s="474" t="s">
        <v>1071</v>
      </c>
      <c r="AH1017" s="474"/>
      <c r="AI1017" s="483" t="s">
        <v>2442</v>
      </c>
      <c r="AJ1017" s="474" t="s">
        <v>4854</v>
      </c>
      <c r="AK1017" s="494" t="s">
        <v>3263</v>
      </c>
      <c r="AL1017" s="474">
        <v>84120</v>
      </c>
      <c r="AM1017" s="474" t="s">
        <v>52</v>
      </c>
      <c r="AN1017" s="474"/>
      <c r="AO1017" s="474"/>
      <c r="AP1017" s="486"/>
      <c r="AQ1017" s="486" t="s">
        <v>37</v>
      </c>
      <c r="AR1017" s="486"/>
      <c r="AS1017" s="495"/>
      <c r="AT1017" s="495"/>
      <c r="AU1017" s="495"/>
      <c r="AV1017" s="478">
        <v>0.51</v>
      </c>
    </row>
    <row r="1018" spans="1:48" s="471" customFormat="1" ht="14.25" customHeight="1">
      <c r="A1018" s="472"/>
      <c r="B1018" s="517">
        <v>44666</v>
      </c>
      <c r="C1018" s="472"/>
      <c r="D1018" s="485" t="s">
        <v>3186</v>
      </c>
      <c r="E1018" s="474"/>
      <c r="F1018" s="496"/>
      <c r="G1018" s="501">
        <v>2022</v>
      </c>
      <c r="H1018" s="501"/>
      <c r="I1018" s="496" t="s">
        <v>1676</v>
      </c>
      <c r="J1018" s="497"/>
      <c r="K1018" s="498" t="s">
        <v>5231</v>
      </c>
      <c r="L1018" s="496" t="s">
        <v>3418</v>
      </c>
      <c r="M1018" s="499">
        <v>44621</v>
      </c>
      <c r="N1018" s="499">
        <v>44713</v>
      </c>
      <c r="O1018" s="499"/>
      <c r="P1018" s="497"/>
      <c r="Q1018" s="497"/>
      <c r="R1018" s="497"/>
      <c r="S1018" s="496" t="s">
        <v>2379</v>
      </c>
      <c r="T1018" s="496">
        <v>60</v>
      </c>
      <c r="U1018" s="496"/>
      <c r="V1018" s="496" t="s">
        <v>973</v>
      </c>
      <c r="W1018" s="496">
        <v>400</v>
      </c>
      <c r="X1018" s="500">
        <v>832</v>
      </c>
      <c r="Y1018" s="491">
        <f t="shared" si="139"/>
        <v>332800</v>
      </c>
      <c r="Z1018" s="478">
        <v>0.50856250000000003</v>
      </c>
      <c r="AA1018" s="492">
        <f t="shared" si="138"/>
        <v>169249.6</v>
      </c>
      <c r="AB1018" s="480"/>
      <c r="AC1018" s="481">
        <f t="shared" si="140"/>
        <v>0</v>
      </c>
      <c r="AD1018" s="490"/>
      <c r="AE1018" s="482"/>
      <c r="AF1018" s="493">
        <f t="shared" si="141"/>
        <v>169249.6</v>
      </c>
      <c r="AG1018" s="474" t="s">
        <v>1071</v>
      </c>
      <c r="AH1018" s="474"/>
      <c r="AI1018" s="483" t="s">
        <v>2442</v>
      </c>
      <c r="AJ1018" s="474" t="s">
        <v>5232</v>
      </c>
      <c r="AK1018" s="494" t="s">
        <v>1117</v>
      </c>
      <c r="AL1018" s="474">
        <v>61611</v>
      </c>
      <c r="AM1018" s="474" t="s">
        <v>52</v>
      </c>
      <c r="AN1018" s="474"/>
      <c r="AO1018" s="474"/>
      <c r="AP1018" s="486"/>
      <c r="AQ1018" s="486" t="s">
        <v>37</v>
      </c>
      <c r="AR1018" s="486"/>
      <c r="AS1018" s="495"/>
      <c r="AT1018" s="495"/>
      <c r="AU1018" s="495"/>
      <c r="AV1018" s="478">
        <v>0.51</v>
      </c>
    </row>
    <row r="1019" spans="1:48" s="471" customFormat="1" ht="14.25" customHeight="1">
      <c r="A1019" s="472"/>
      <c r="B1019" s="517">
        <v>44666</v>
      </c>
      <c r="C1019" s="472"/>
      <c r="D1019" s="485" t="s">
        <v>3186</v>
      </c>
      <c r="E1019" s="474"/>
      <c r="F1019" s="496"/>
      <c r="G1019" s="501">
        <v>2022</v>
      </c>
      <c r="H1019" s="501"/>
      <c r="I1019" s="496" t="s">
        <v>1676</v>
      </c>
      <c r="J1019" s="497"/>
      <c r="K1019" s="498" t="s">
        <v>5233</v>
      </c>
      <c r="L1019" s="496" t="s">
        <v>3418</v>
      </c>
      <c r="M1019" s="499">
        <v>44621</v>
      </c>
      <c r="N1019" s="499">
        <v>44774</v>
      </c>
      <c r="O1019" s="499"/>
      <c r="P1019" s="497"/>
      <c r="Q1019" s="497"/>
      <c r="R1019" s="497"/>
      <c r="S1019" s="496" t="s">
        <v>2379</v>
      </c>
      <c r="T1019" s="496">
        <v>60</v>
      </c>
      <c r="U1019" s="496"/>
      <c r="V1019" s="496" t="s">
        <v>973</v>
      </c>
      <c r="W1019" s="496">
        <v>400</v>
      </c>
      <c r="X1019" s="500">
        <v>832</v>
      </c>
      <c r="Y1019" s="491">
        <f t="shared" si="139"/>
        <v>332800</v>
      </c>
      <c r="Z1019" s="478">
        <v>0.50856250000000003</v>
      </c>
      <c r="AA1019" s="492">
        <f t="shared" si="138"/>
        <v>169249.6</v>
      </c>
      <c r="AB1019" s="480"/>
      <c r="AC1019" s="481">
        <f t="shared" si="140"/>
        <v>0</v>
      </c>
      <c r="AD1019" s="490"/>
      <c r="AE1019" s="482"/>
      <c r="AF1019" s="493">
        <f t="shared" si="141"/>
        <v>169249.6</v>
      </c>
      <c r="AG1019" s="474" t="s">
        <v>1071</v>
      </c>
      <c r="AH1019" s="474"/>
      <c r="AI1019" s="483" t="s">
        <v>2442</v>
      </c>
      <c r="AJ1019" s="474" t="s">
        <v>5232</v>
      </c>
      <c r="AK1019" s="494" t="s">
        <v>1117</v>
      </c>
      <c r="AL1019" s="474">
        <v>61611</v>
      </c>
      <c r="AM1019" s="474" t="s">
        <v>52</v>
      </c>
      <c r="AN1019" s="474"/>
      <c r="AO1019" s="474"/>
      <c r="AP1019" s="486"/>
      <c r="AQ1019" s="486" t="s">
        <v>37</v>
      </c>
      <c r="AR1019" s="486"/>
      <c r="AS1019" s="495"/>
      <c r="AT1019" s="495"/>
      <c r="AU1019" s="495"/>
      <c r="AV1019" s="478">
        <v>0.51</v>
      </c>
    </row>
    <row r="1020" spans="1:48" s="471" customFormat="1" ht="15" customHeight="1">
      <c r="A1020" s="525"/>
      <c r="B1020" s="514">
        <v>44648</v>
      </c>
      <c r="C1020" s="472"/>
      <c r="D1020" s="485" t="s">
        <v>3186</v>
      </c>
      <c r="E1020" s="501" t="s">
        <v>3625</v>
      </c>
      <c r="F1020" s="501"/>
      <c r="G1020" s="501">
        <v>2022</v>
      </c>
      <c r="H1020" s="501"/>
      <c r="I1020" s="501" t="s">
        <v>1676</v>
      </c>
      <c r="J1020" s="502"/>
      <c r="K1020" s="503" t="s">
        <v>4962</v>
      </c>
      <c r="L1020" s="501" t="s">
        <v>3188</v>
      </c>
      <c r="M1020" s="504">
        <v>44644</v>
      </c>
      <c r="N1020" s="504">
        <v>44713</v>
      </c>
      <c r="O1020" s="504"/>
      <c r="P1020" s="502"/>
      <c r="Q1020" s="502"/>
      <c r="R1020" s="502"/>
      <c r="S1020" s="501" t="s">
        <v>2379</v>
      </c>
      <c r="T1020" s="501">
        <v>60</v>
      </c>
      <c r="U1020" s="501"/>
      <c r="V1020" s="501" t="s">
        <v>973</v>
      </c>
      <c r="W1020" s="501">
        <v>400</v>
      </c>
      <c r="X1020" s="505">
        <v>768</v>
      </c>
      <c r="Y1020" s="477">
        <f t="shared" si="139"/>
        <v>307200</v>
      </c>
      <c r="Z1020" s="478">
        <v>0.57999999999999996</v>
      </c>
      <c r="AA1020" s="479">
        <f t="shared" si="138"/>
        <v>178176</v>
      </c>
      <c r="AB1020" s="480"/>
      <c r="AC1020" s="481">
        <f t="shared" si="140"/>
        <v>0</v>
      </c>
      <c r="AD1020" s="490"/>
      <c r="AE1020" s="482"/>
      <c r="AF1020" s="493">
        <f t="shared" si="141"/>
        <v>178176</v>
      </c>
      <c r="AG1020" s="474" t="s">
        <v>47</v>
      </c>
      <c r="AH1020" s="474"/>
      <c r="AI1020" s="483" t="s">
        <v>2374</v>
      </c>
      <c r="AJ1020" s="474" t="s">
        <v>3252</v>
      </c>
      <c r="AK1020" s="494" t="s">
        <v>1375</v>
      </c>
      <c r="AL1020" s="474">
        <v>22031</v>
      </c>
      <c r="AM1020" s="474" t="s">
        <v>52</v>
      </c>
      <c r="AN1020" s="474"/>
      <c r="AO1020" s="474"/>
      <c r="AP1020" s="486"/>
      <c r="AQ1020" s="486" t="s">
        <v>37</v>
      </c>
      <c r="AR1020" s="486"/>
      <c r="AS1020" s="495"/>
      <c r="AT1020" s="495"/>
      <c r="AU1020" s="472"/>
      <c r="AV1020" s="478">
        <v>0.55000000000000004</v>
      </c>
    </row>
    <row r="1021" spans="1:48" s="471" customFormat="1" ht="15" customHeight="1">
      <c r="A1021" s="525"/>
      <c r="B1021" s="514">
        <v>44648</v>
      </c>
      <c r="C1021" s="472"/>
      <c r="D1021" s="485" t="s">
        <v>3186</v>
      </c>
      <c r="E1021" s="501" t="s">
        <v>3625</v>
      </c>
      <c r="F1021" s="501"/>
      <c r="G1021" s="501">
        <v>2022</v>
      </c>
      <c r="H1021" s="501"/>
      <c r="I1021" s="501" t="s">
        <v>1676</v>
      </c>
      <c r="J1021" s="502"/>
      <c r="K1021" s="503" t="s">
        <v>4963</v>
      </c>
      <c r="L1021" s="501" t="s">
        <v>3188</v>
      </c>
      <c r="M1021" s="504">
        <v>44644</v>
      </c>
      <c r="N1021" s="504">
        <v>44743</v>
      </c>
      <c r="O1021" s="504"/>
      <c r="P1021" s="502"/>
      <c r="Q1021" s="502"/>
      <c r="R1021" s="502"/>
      <c r="S1021" s="501" t="s">
        <v>2379</v>
      </c>
      <c r="T1021" s="501">
        <v>60</v>
      </c>
      <c r="U1021" s="501"/>
      <c r="V1021" s="501" t="s">
        <v>973</v>
      </c>
      <c r="W1021" s="501">
        <v>400</v>
      </c>
      <c r="X1021" s="505">
        <v>768</v>
      </c>
      <c r="Y1021" s="477">
        <f t="shared" si="139"/>
        <v>307200</v>
      </c>
      <c r="Z1021" s="478">
        <v>0.57999999999999996</v>
      </c>
      <c r="AA1021" s="479">
        <f t="shared" si="138"/>
        <v>178176</v>
      </c>
      <c r="AB1021" s="480"/>
      <c r="AC1021" s="481">
        <f t="shared" si="140"/>
        <v>0</v>
      </c>
      <c r="AD1021" s="490"/>
      <c r="AE1021" s="482"/>
      <c r="AF1021" s="493">
        <f t="shared" si="141"/>
        <v>178176</v>
      </c>
      <c r="AG1021" s="474" t="s">
        <v>47</v>
      </c>
      <c r="AH1021" s="474"/>
      <c r="AI1021" s="483" t="s">
        <v>2374</v>
      </c>
      <c r="AJ1021" s="474" t="s">
        <v>3252</v>
      </c>
      <c r="AK1021" s="494" t="s">
        <v>1375</v>
      </c>
      <c r="AL1021" s="474">
        <v>22031</v>
      </c>
      <c r="AM1021" s="474" t="s">
        <v>52</v>
      </c>
      <c r="AN1021" s="474"/>
      <c r="AO1021" s="474"/>
      <c r="AP1021" s="486"/>
      <c r="AQ1021" s="486" t="s">
        <v>37</v>
      </c>
      <c r="AR1021" s="486"/>
      <c r="AS1021" s="495"/>
      <c r="AT1021" s="495"/>
      <c r="AU1021" s="472"/>
      <c r="AV1021" s="478">
        <v>0.55000000000000004</v>
      </c>
    </row>
    <row r="1022" spans="1:48" s="471" customFormat="1" ht="15" customHeight="1">
      <c r="A1022" s="525"/>
      <c r="B1022" s="514"/>
      <c r="C1022" s="472"/>
      <c r="D1022" s="485" t="s">
        <v>3186</v>
      </c>
      <c r="E1022" s="501" t="s">
        <v>3635</v>
      </c>
      <c r="F1022" s="501"/>
      <c r="G1022" s="501">
        <v>2022</v>
      </c>
      <c r="H1022" s="501"/>
      <c r="I1022" s="501" t="s">
        <v>1676</v>
      </c>
      <c r="J1022" s="502"/>
      <c r="K1022" s="503" t="s">
        <v>3636</v>
      </c>
      <c r="L1022" s="501" t="s">
        <v>3188</v>
      </c>
      <c r="M1022" s="504">
        <v>44655</v>
      </c>
      <c r="N1022" s="504">
        <v>44753</v>
      </c>
      <c r="O1022" s="504"/>
      <c r="P1022" s="502"/>
      <c r="Q1022" s="502"/>
      <c r="R1022" s="502"/>
      <c r="S1022" s="501" t="s">
        <v>2379</v>
      </c>
      <c r="T1022" s="501">
        <v>60</v>
      </c>
      <c r="U1022" s="501"/>
      <c r="V1022" s="501" t="s">
        <v>986</v>
      </c>
      <c r="W1022" s="501">
        <v>365</v>
      </c>
      <c r="X1022" s="505">
        <v>320</v>
      </c>
      <c r="Y1022" s="477">
        <f t="shared" si="139"/>
        <v>116800</v>
      </c>
      <c r="Z1022" s="478">
        <v>0.56000000000000005</v>
      </c>
      <c r="AA1022" s="479">
        <f t="shared" si="138"/>
        <v>65408.000000000007</v>
      </c>
      <c r="AB1022" s="480"/>
      <c r="AC1022" s="481">
        <f t="shared" si="140"/>
        <v>0</v>
      </c>
      <c r="AD1022" s="490"/>
      <c r="AE1022" s="482"/>
      <c r="AF1022" s="493">
        <f t="shared" si="141"/>
        <v>65408.000000000007</v>
      </c>
      <c r="AG1022" s="474" t="s">
        <v>47</v>
      </c>
      <c r="AH1022" s="474"/>
      <c r="AI1022" s="483" t="s">
        <v>2374</v>
      </c>
      <c r="AJ1022" s="474" t="s">
        <v>3637</v>
      </c>
      <c r="AK1022" s="494" t="s">
        <v>1096</v>
      </c>
      <c r="AL1022" s="494">
        <v>1085</v>
      </c>
      <c r="AM1022" s="474" t="s">
        <v>52</v>
      </c>
      <c r="AN1022" s="474"/>
      <c r="AO1022" s="474"/>
      <c r="AP1022" s="486"/>
      <c r="AQ1022" s="486" t="s">
        <v>37</v>
      </c>
      <c r="AR1022" s="486"/>
      <c r="AS1022" s="495"/>
      <c r="AT1022" s="495"/>
      <c r="AU1022" s="472"/>
      <c r="AV1022" s="478">
        <v>0.55000000000000004</v>
      </c>
    </row>
    <row r="1023" spans="1:48" s="471" customFormat="1" ht="15" customHeight="1">
      <c r="A1023" s="525"/>
      <c r="B1023" s="514">
        <v>44651</v>
      </c>
      <c r="C1023" s="472"/>
      <c r="D1023" s="485" t="s">
        <v>3186</v>
      </c>
      <c r="E1023" s="501" t="s">
        <v>4964</v>
      </c>
      <c r="F1023" s="501"/>
      <c r="G1023" s="501">
        <v>2022</v>
      </c>
      <c r="H1023" s="501"/>
      <c r="I1023" s="501" t="s">
        <v>1676</v>
      </c>
      <c r="J1023" s="502"/>
      <c r="K1023" s="503" t="s">
        <v>4965</v>
      </c>
      <c r="L1023" s="501" t="s">
        <v>3188</v>
      </c>
      <c r="M1023" s="504">
        <v>44650</v>
      </c>
      <c r="N1023" s="504">
        <v>44757</v>
      </c>
      <c r="O1023" s="504"/>
      <c r="P1023" s="502"/>
      <c r="Q1023" s="502"/>
      <c r="R1023" s="502"/>
      <c r="S1023" s="501" t="s">
        <v>2379</v>
      </c>
      <c r="T1023" s="501">
        <v>60</v>
      </c>
      <c r="U1023" s="501"/>
      <c r="V1023" s="501" t="s">
        <v>973</v>
      </c>
      <c r="W1023" s="501">
        <v>400</v>
      </c>
      <c r="X1023" s="505">
        <v>384</v>
      </c>
      <c r="Y1023" s="477">
        <f t="shared" si="139"/>
        <v>153600</v>
      </c>
      <c r="Z1023" s="478">
        <v>0.57999999999999996</v>
      </c>
      <c r="AA1023" s="479">
        <f t="shared" si="138"/>
        <v>89088</v>
      </c>
      <c r="AB1023" s="480"/>
      <c r="AC1023" s="481">
        <f t="shared" si="140"/>
        <v>0</v>
      </c>
      <c r="AD1023" s="490"/>
      <c r="AE1023" s="482"/>
      <c r="AF1023" s="493">
        <f t="shared" si="141"/>
        <v>89088</v>
      </c>
      <c r="AG1023" s="474" t="s">
        <v>47</v>
      </c>
      <c r="AH1023" s="474">
        <v>10</v>
      </c>
      <c r="AI1023" s="483" t="s">
        <v>2374</v>
      </c>
      <c r="AJ1023" s="474" t="s">
        <v>4966</v>
      </c>
      <c r="AK1023" s="494" t="s">
        <v>1590</v>
      </c>
      <c r="AL1023" s="474">
        <v>37013</v>
      </c>
      <c r="AM1023" s="474" t="s">
        <v>52</v>
      </c>
      <c r="AN1023" s="474"/>
      <c r="AO1023" s="474"/>
      <c r="AP1023" s="486"/>
      <c r="AQ1023" s="486" t="s">
        <v>37</v>
      </c>
      <c r="AR1023" s="486"/>
      <c r="AS1023" s="495"/>
      <c r="AT1023" s="495"/>
      <c r="AU1023" s="472"/>
      <c r="AV1023" s="478">
        <v>0.55000000000000004</v>
      </c>
    </row>
    <row r="1024" spans="1:48" s="471" customFormat="1" ht="15" customHeight="1">
      <c r="A1024" s="525"/>
      <c r="B1024" s="514"/>
      <c r="C1024" s="472"/>
      <c r="D1024" s="485" t="s">
        <v>3186</v>
      </c>
      <c r="E1024" s="501" t="s">
        <v>3635</v>
      </c>
      <c r="F1024" s="501"/>
      <c r="G1024" s="501">
        <v>2022</v>
      </c>
      <c r="H1024" s="501"/>
      <c r="I1024" s="501" t="s">
        <v>1676</v>
      </c>
      <c r="J1024" s="502"/>
      <c r="K1024" s="503" t="s">
        <v>3645</v>
      </c>
      <c r="L1024" s="501" t="s">
        <v>3188</v>
      </c>
      <c r="M1024" s="504">
        <v>44655</v>
      </c>
      <c r="N1024" s="504">
        <v>44795</v>
      </c>
      <c r="O1024" s="504"/>
      <c r="P1024" s="502"/>
      <c r="Q1024" s="502"/>
      <c r="R1024" s="502"/>
      <c r="S1024" s="501" t="s">
        <v>2379</v>
      </c>
      <c r="T1024" s="501">
        <v>60</v>
      </c>
      <c r="U1024" s="501"/>
      <c r="V1024" s="501" t="s">
        <v>986</v>
      </c>
      <c r="W1024" s="501">
        <v>365</v>
      </c>
      <c r="X1024" s="505">
        <v>320</v>
      </c>
      <c r="Y1024" s="477">
        <f t="shared" si="139"/>
        <v>116800</v>
      </c>
      <c r="Z1024" s="478">
        <v>0.56000000000000005</v>
      </c>
      <c r="AA1024" s="479">
        <f t="shared" si="138"/>
        <v>65408.000000000007</v>
      </c>
      <c r="AB1024" s="480"/>
      <c r="AC1024" s="481">
        <f t="shared" si="140"/>
        <v>0</v>
      </c>
      <c r="AD1024" s="490"/>
      <c r="AE1024" s="482"/>
      <c r="AF1024" s="493">
        <f t="shared" si="141"/>
        <v>65408.000000000007</v>
      </c>
      <c r="AG1024" s="474" t="s">
        <v>47</v>
      </c>
      <c r="AH1024" s="474"/>
      <c r="AI1024" s="483" t="s">
        <v>2374</v>
      </c>
      <c r="AJ1024" s="474" t="s">
        <v>3637</v>
      </c>
      <c r="AK1024" s="494" t="s">
        <v>1096</v>
      </c>
      <c r="AL1024" s="494">
        <v>1085</v>
      </c>
      <c r="AM1024" s="474" t="s">
        <v>52</v>
      </c>
      <c r="AN1024" s="474"/>
      <c r="AO1024" s="474"/>
      <c r="AP1024" s="486"/>
      <c r="AQ1024" s="486" t="s">
        <v>37</v>
      </c>
      <c r="AR1024" s="486"/>
      <c r="AS1024" s="495"/>
      <c r="AT1024" s="495"/>
      <c r="AU1024" s="472"/>
      <c r="AV1024" s="478">
        <v>0.55000000000000004</v>
      </c>
    </row>
    <row r="1025" spans="1:48" s="471" customFormat="1" ht="15" customHeight="1">
      <c r="A1025" s="525"/>
      <c r="B1025" s="514">
        <v>44648</v>
      </c>
      <c r="C1025" s="472"/>
      <c r="D1025" s="485" t="s">
        <v>3186</v>
      </c>
      <c r="E1025" s="501" t="s">
        <v>3625</v>
      </c>
      <c r="F1025" s="501"/>
      <c r="G1025" s="501">
        <v>2022</v>
      </c>
      <c r="H1025" s="501"/>
      <c r="I1025" s="501" t="s">
        <v>1676</v>
      </c>
      <c r="J1025" s="502"/>
      <c r="K1025" s="503" t="s">
        <v>4967</v>
      </c>
      <c r="L1025" s="501" t="s">
        <v>3188</v>
      </c>
      <c r="M1025" s="504">
        <v>44645</v>
      </c>
      <c r="N1025" s="504">
        <v>44804</v>
      </c>
      <c r="O1025" s="504"/>
      <c r="P1025" s="502"/>
      <c r="Q1025" s="502"/>
      <c r="R1025" s="502"/>
      <c r="S1025" s="501" t="s">
        <v>2379</v>
      </c>
      <c r="T1025" s="501">
        <v>60</v>
      </c>
      <c r="U1025" s="501"/>
      <c r="V1025" s="501" t="s">
        <v>973</v>
      </c>
      <c r="W1025" s="501">
        <v>400</v>
      </c>
      <c r="X1025" s="505">
        <v>768</v>
      </c>
      <c r="Y1025" s="477">
        <f t="shared" si="139"/>
        <v>307200</v>
      </c>
      <c r="Z1025" s="478">
        <v>0.57999999999999996</v>
      </c>
      <c r="AA1025" s="479">
        <f t="shared" si="138"/>
        <v>178176</v>
      </c>
      <c r="AB1025" s="480"/>
      <c r="AC1025" s="481">
        <f t="shared" si="140"/>
        <v>0</v>
      </c>
      <c r="AD1025" s="490"/>
      <c r="AE1025" s="482"/>
      <c r="AF1025" s="493">
        <f t="shared" si="141"/>
        <v>178176</v>
      </c>
      <c r="AG1025" s="474" t="s">
        <v>47</v>
      </c>
      <c r="AH1025" s="474"/>
      <c r="AI1025" s="483" t="s">
        <v>2374</v>
      </c>
      <c r="AJ1025" s="474" t="s">
        <v>3252</v>
      </c>
      <c r="AK1025" s="494" t="s">
        <v>1375</v>
      </c>
      <c r="AL1025" s="474">
        <v>22031</v>
      </c>
      <c r="AM1025" s="474" t="s">
        <v>52</v>
      </c>
      <c r="AN1025" s="474"/>
      <c r="AO1025" s="474"/>
      <c r="AP1025" s="486"/>
      <c r="AQ1025" s="486" t="s">
        <v>37</v>
      </c>
      <c r="AR1025" s="486"/>
      <c r="AS1025" s="495"/>
      <c r="AT1025" s="495"/>
      <c r="AU1025" s="472"/>
      <c r="AV1025" s="478">
        <v>0.55000000000000004</v>
      </c>
    </row>
    <row r="1026" spans="1:48" s="471" customFormat="1" ht="15" customHeight="1">
      <c r="A1026" s="525"/>
      <c r="B1026" s="514">
        <v>44648</v>
      </c>
      <c r="C1026" s="472"/>
      <c r="D1026" s="485" t="s">
        <v>3186</v>
      </c>
      <c r="E1026" s="501" t="s">
        <v>3625</v>
      </c>
      <c r="F1026" s="501"/>
      <c r="G1026" s="501">
        <v>2022</v>
      </c>
      <c r="H1026" s="501"/>
      <c r="I1026" s="501" t="s">
        <v>1676</v>
      </c>
      <c r="J1026" s="502"/>
      <c r="K1026" s="503" t="s">
        <v>4968</v>
      </c>
      <c r="L1026" s="501" t="s">
        <v>3188</v>
      </c>
      <c r="M1026" s="504">
        <v>44645</v>
      </c>
      <c r="N1026" s="504">
        <v>44805</v>
      </c>
      <c r="O1026" s="504"/>
      <c r="P1026" s="502"/>
      <c r="Q1026" s="502"/>
      <c r="R1026" s="502"/>
      <c r="S1026" s="501" t="s">
        <v>2379</v>
      </c>
      <c r="T1026" s="501">
        <v>60</v>
      </c>
      <c r="U1026" s="501"/>
      <c r="V1026" s="501" t="s">
        <v>973</v>
      </c>
      <c r="W1026" s="501">
        <v>400</v>
      </c>
      <c r="X1026" s="505">
        <v>768</v>
      </c>
      <c r="Y1026" s="477">
        <f t="shared" si="139"/>
        <v>307200</v>
      </c>
      <c r="Z1026" s="478">
        <v>0.57999999999999996</v>
      </c>
      <c r="AA1026" s="479">
        <f t="shared" si="138"/>
        <v>178176</v>
      </c>
      <c r="AB1026" s="480"/>
      <c r="AC1026" s="481">
        <f t="shared" si="140"/>
        <v>0</v>
      </c>
      <c r="AD1026" s="490"/>
      <c r="AE1026" s="482"/>
      <c r="AF1026" s="493">
        <f t="shared" si="141"/>
        <v>178176</v>
      </c>
      <c r="AG1026" s="474" t="s">
        <v>47</v>
      </c>
      <c r="AH1026" s="474"/>
      <c r="AI1026" s="483" t="s">
        <v>2374</v>
      </c>
      <c r="AJ1026" s="474" t="s">
        <v>3252</v>
      </c>
      <c r="AK1026" s="494" t="s">
        <v>1375</v>
      </c>
      <c r="AL1026" s="474">
        <v>22031</v>
      </c>
      <c r="AM1026" s="474" t="s">
        <v>52</v>
      </c>
      <c r="AN1026" s="474"/>
      <c r="AO1026" s="474"/>
      <c r="AP1026" s="486"/>
      <c r="AQ1026" s="486" t="s">
        <v>37</v>
      </c>
      <c r="AR1026" s="486"/>
      <c r="AS1026" s="495"/>
      <c r="AT1026" s="495"/>
      <c r="AU1026" s="472"/>
      <c r="AV1026" s="478">
        <v>0.55000000000000004</v>
      </c>
    </row>
    <row r="1027" spans="1:48" s="471" customFormat="1" ht="15" customHeight="1">
      <c r="A1027" s="525"/>
      <c r="B1027" s="514">
        <v>44648</v>
      </c>
      <c r="C1027" s="472"/>
      <c r="D1027" s="485" t="s">
        <v>3186</v>
      </c>
      <c r="E1027" s="501" t="s">
        <v>3625</v>
      </c>
      <c r="F1027" s="501"/>
      <c r="G1027" s="501">
        <v>2022</v>
      </c>
      <c r="H1027" s="501"/>
      <c r="I1027" s="501" t="s">
        <v>1676</v>
      </c>
      <c r="J1027" s="502"/>
      <c r="K1027" s="503" t="s">
        <v>4969</v>
      </c>
      <c r="L1027" s="501" t="s">
        <v>3188</v>
      </c>
      <c r="M1027" s="504">
        <v>44645</v>
      </c>
      <c r="N1027" s="504">
        <v>44835</v>
      </c>
      <c r="O1027" s="504"/>
      <c r="P1027" s="502"/>
      <c r="Q1027" s="502"/>
      <c r="R1027" s="502"/>
      <c r="S1027" s="501" t="s">
        <v>2379</v>
      </c>
      <c r="T1027" s="501">
        <v>60</v>
      </c>
      <c r="U1027" s="501"/>
      <c r="V1027" s="501" t="s">
        <v>973</v>
      </c>
      <c r="W1027" s="501">
        <v>400</v>
      </c>
      <c r="X1027" s="505">
        <v>768</v>
      </c>
      <c r="Y1027" s="477">
        <f t="shared" si="139"/>
        <v>307200</v>
      </c>
      <c r="Z1027" s="478">
        <v>0.57999999999999996</v>
      </c>
      <c r="AA1027" s="479">
        <f t="shared" si="138"/>
        <v>178176</v>
      </c>
      <c r="AB1027" s="480"/>
      <c r="AC1027" s="481">
        <f t="shared" si="140"/>
        <v>0</v>
      </c>
      <c r="AD1027" s="490"/>
      <c r="AE1027" s="482"/>
      <c r="AF1027" s="493">
        <f t="shared" si="141"/>
        <v>178176</v>
      </c>
      <c r="AG1027" s="474" t="s">
        <v>47</v>
      </c>
      <c r="AH1027" s="474"/>
      <c r="AI1027" s="483" t="s">
        <v>2374</v>
      </c>
      <c r="AJ1027" s="474" t="s">
        <v>3252</v>
      </c>
      <c r="AK1027" s="494" t="s">
        <v>1375</v>
      </c>
      <c r="AL1027" s="474">
        <v>22031</v>
      </c>
      <c r="AM1027" s="474" t="s">
        <v>52</v>
      </c>
      <c r="AN1027" s="474"/>
      <c r="AO1027" s="474"/>
      <c r="AP1027" s="486"/>
      <c r="AQ1027" s="486" t="s">
        <v>37</v>
      </c>
      <c r="AR1027" s="486"/>
      <c r="AS1027" s="495"/>
      <c r="AT1027" s="495"/>
      <c r="AU1027" s="472"/>
      <c r="AV1027" s="478">
        <v>0.55000000000000004</v>
      </c>
    </row>
    <row r="1028" spans="1:48" s="471" customFormat="1" ht="15" customHeight="1">
      <c r="A1028" s="472"/>
      <c r="B1028" s="514">
        <v>44641</v>
      </c>
      <c r="C1028" s="472"/>
      <c r="D1028" s="485" t="s">
        <v>3186</v>
      </c>
      <c r="E1028" s="501" t="s">
        <v>4970</v>
      </c>
      <c r="F1028" s="501"/>
      <c r="G1028" s="501">
        <v>2022</v>
      </c>
      <c r="H1028" s="501"/>
      <c r="I1028" s="501" t="s">
        <v>1676</v>
      </c>
      <c r="J1028" s="502"/>
      <c r="K1028" s="503" t="s">
        <v>4971</v>
      </c>
      <c r="L1028" s="501" t="s">
        <v>3188</v>
      </c>
      <c r="M1028" s="504">
        <v>44641</v>
      </c>
      <c r="N1028" s="504">
        <v>44848</v>
      </c>
      <c r="O1028" s="504"/>
      <c r="P1028" s="502"/>
      <c r="Q1028" s="502"/>
      <c r="R1028" s="502"/>
      <c r="S1028" s="501" t="s">
        <v>2379</v>
      </c>
      <c r="T1028" s="501">
        <v>60</v>
      </c>
      <c r="U1028" s="501"/>
      <c r="V1028" s="501" t="s">
        <v>973</v>
      </c>
      <c r="W1028" s="501">
        <v>400</v>
      </c>
      <c r="X1028" s="505">
        <v>1452</v>
      </c>
      <c r="Y1028" s="477">
        <f t="shared" si="139"/>
        <v>580800</v>
      </c>
      <c r="Z1028" s="478">
        <v>0.56374999999999997</v>
      </c>
      <c r="AA1028" s="479">
        <f t="shared" si="138"/>
        <v>327426</v>
      </c>
      <c r="AB1028" s="480"/>
      <c r="AC1028" s="481">
        <f t="shared" si="140"/>
        <v>0</v>
      </c>
      <c r="AD1028" s="490"/>
      <c r="AE1028" s="482"/>
      <c r="AF1028" s="493">
        <f t="shared" si="141"/>
        <v>327426</v>
      </c>
      <c r="AG1028" s="474" t="s">
        <v>47</v>
      </c>
      <c r="AH1028" s="474"/>
      <c r="AI1028" s="483" t="s">
        <v>2374</v>
      </c>
      <c r="AJ1028" s="474" t="s">
        <v>3624</v>
      </c>
      <c r="AK1028" s="494" t="s">
        <v>3618</v>
      </c>
      <c r="AL1028" s="474">
        <v>63132</v>
      </c>
      <c r="AM1028" s="474" t="s">
        <v>52</v>
      </c>
      <c r="AN1028" s="474"/>
      <c r="AO1028" s="474"/>
      <c r="AP1028" s="486"/>
      <c r="AQ1028" s="486" t="s">
        <v>37</v>
      </c>
      <c r="AR1028" s="486"/>
      <c r="AS1028" s="495"/>
      <c r="AT1028" s="495"/>
      <c r="AU1028" s="472"/>
      <c r="AV1028" s="478">
        <v>0.55000000000000004</v>
      </c>
    </row>
    <row r="1029" spans="1:48" s="471" customFormat="1" ht="15" customHeight="1">
      <c r="A1029" s="525"/>
      <c r="B1029" s="514">
        <v>44651</v>
      </c>
      <c r="C1029" s="472"/>
      <c r="D1029" s="485" t="s">
        <v>3186</v>
      </c>
      <c r="E1029" s="501" t="s">
        <v>4964</v>
      </c>
      <c r="F1029" s="501"/>
      <c r="G1029" s="501">
        <v>2022</v>
      </c>
      <c r="H1029" s="501"/>
      <c r="I1029" s="501" t="s">
        <v>1676</v>
      </c>
      <c r="J1029" s="502"/>
      <c r="K1029" s="503" t="s">
        <v>4972</v>
      </c>
      <c r="L1029" s="501" t="s">
        <v>3188</v>
      </c>
      <c r="M1029" s="504">
        <v>44650</v>
      </c>
      <c r="N1029" s="504">
        <v>44849</v>
      </c>
      <c r="O1029" s="504"/>
      <c r="P1029" s="502"/>
      <c r="Q1029" s="502"/>
      <c r="R1029" s="502"/>
      <c r="S1029" s="501" t="s">
        <v>2379</v>
      </c>
      <c r="T1029" s="501">
        <v>60</v>
      </c>
      <c r="U1029" s="501"/>
      <c r="V1029" s="501" t="s">
        <v>973</v>
      </c>
      <c r="W1029" s="501">
        <v>400</v>
      </c>
      <c r="X1029" s="505">
        <v>384</v>
      </c>
      <c r="Y1029" s="477">
        <f t="shared" si="139"/>
        <v>153600</v>
      </c>
      <c r="Z1029" s="478">
        <v>0.57999999999999996</v>
      </c>
      <c r="AA1029" s="479">
        <f t="shared" si="138"/>
        <v>89088</v>
      </c>
      <c r="AB1029" s="480"/>
      <c r="AC1029" s="481">
        <f t="shared" si="140"/>
        <v>0</v>
      </c>
      <c r="AD1029" s="490"/>
      <c r="AE1029" s="482"/>
      <c r="AF1029" s="493">
        <f t="shared" si="141"/>
        <v>89088</v>
      </c>
      <c r="AG1029" s="474" t="s">
        <v>47</v>
      </c>
      <c r="AH1029" s="474">
        <v>10</v>
      </c>
      <c r="AI1029" s="483" t="s">
        <v>2374</v>
      </c>
      <c r="AJ1029" s="474" t="s">
        <v>4966</v>
      </c>
      <c r="AK1029" s="494" t="s">
        <v>1590</v>
      </c>
      <c r="AL1029" s="474">
        <v>37013</v>
      </c>
      <c r="AM1029" s="474" t="s">
        <v>52</v>
      </c>
      <c r="AN1029" s="474"/>
      <c r="AO1029" s="474"/>
      <c r="AP1029" s="486"/>
      <c r="AQ1029" s="486" t="s">
        <v>37</v>
      </c>
      <c r="AR1029" s="486"/>
      <c r="AS1029" s="495"/>
      <c r="AT1029" s="495"/>
      <c r="AU1029" s="472"/>
      <c r="AV1029" s="478">
        <v>0.55000000000000004</v>
      </c>
    </row>
    <row r="1030" spans="1:48" s="471" customFormat="1" ht="15" customHeight="1">
      <c r="A1030" s="525"/>
      <c r="B1030" s="514"/>
      <c r="C1030" s="472"/>
      <c r="D1030" s="485" t="s">
        <v>3186</v>
      </c>
      <c r="E1030" s="501" t="s">
        <v>3635</v>
      </c>
      <c r="F1030" s="501"/>
      <c r="G1030" s="501">
        <v>2022</v>
      </c>
      <c r="H1030" s="501"/>
      <c r="I1030" s="501" t="s">
        <v>1676</v>
      </c>
      <c r="J1030" s="502"/>
      <c r="K1030" s="503" t="s">
        <v>3653</v>
      </c>
      <c r="L1030" s="501" t="s">
        <v>3188</v>
      </c>
      <c r="M1030" s="504">
        <v>44655</v>
      </c>
      <c r="N1030" s="504">
        <v>44851</v>
      </c>
      <c r="O1030" s="504"/>
      <c r="P1030" s="502"/>
      <c r="Q1030" s="502"/>
      <c r="R1030" s="502"/>
      <c r="S1030" s="501" t="s">
        <v>2379</v>
      </c>
      <c r="T1030" s="501">
        <v>60</v>
      </c>
      <c r="U1030" s="501"/>
      <c r="V1030" s="501" t="s">
        <v>986</v>
      </c>
      <c r="W1030" s="501">
        <v>365</v>
      </c>
      <c r="X1030" s="505">
        <v>320</v>
      </c>
      <c r="Y1030" s="477">
        <f t="shared" si="139"/>
        <v>116800</v>
      </c>
      <c r="Z1030" s="478">
        <v>0.56000000000000005</v>
      </c>
      <c r="AA1030" s="479">
        <f t="shared" si="138"/>
        <v>65408.000000000007</v>
      </c>
      <c r="AB1030" s="480"/>
      <c r="AC1030" s="481">
        <f t="shared" si="140"/>
        <v>0</v>
      </c>
      <c r="AD1030" s="490"/>
      <c r="AE1030" s="482"/>
      <c r="AF1030" s="493">
        <f t="shared" si="141"/>
        <v>65408.000000000007</v>
      </c>
      <c r="AG1030" s="474" t="s">
        <v>47</v>
      </c>
      <c r="AH1030" s="474"/>
      <c r="AI1030" s="483" t="s">
        <v>2374</v>
      </c>
      <c r="AJ1030" s="474" t="s">
        <v>3637</v>
      </c>
      <c r="AK1030" s="494" t="s">
        <v>1096</v>
      </c>
      <c r="AL1030" s="494">
        <v>1085</v>
      </c>
      <c r="AM1030" s="474" t="s">
        <v>52</v>
      </c>
      <c r="AN1030" s="474"/>
      <c r="AO1030" s="474"/>
      <c r="AP1030" s="486"/>
      <c r="AQ1030" s="486" t="s">
        <v>37</v>
      </c>
      <c r="AR1030" s="486"/>
      <c r="AS1030" s="495"/>
      <c r="AT1030" s="495"/>
      <c r="AU1030" s="472"/>
      <c r="AV1030" s="478">
        <v>0.55000000000000004</v>
      </c>
    </row>
    <row r="1031" spans="1:48" s="471" customFormat="1" ht="15" customHeight="1">
      <c r="A1031" s="525"/>
      <c r="B1031" s="514">
        <v>44648</v>
      </c>
      <c r="C1031" s="472"/>
      <c r="D1031" s="485" t="s">
        <v>3186</v>
      </c>
      <c r="E1031" s="501" t="s">
        <v>3625</v>
      </c>
      <c r="F1031" s="501"/>
      <c r="G1031" s="501">
        <v>2022</v>
      </c>
      <c r="H1031" s="501"/>
      <c r="I1031" s="501" t="s">
        <v>1676</v>
      </c>
      <c r="J1031" s="502"/>
      <c r="K1031" s="503" t="s">
        <v>4973</v>
      </c>
      <c r="L1031" s="501" t="s">
        <v>3188</v>
      </c>
      <c r="M1031" s="504">
        <v>44645</v>
      </c>
      <c r="N1031" s="504">
        <v>44866</v>
      </c>
      <c r="O1031" s="504"/>
      <c r="P1031" s="502"/>
      <c r="Q1031" s="502"/>
      <c r="R1031" s="502"/>
      <c r="S1031" s="501" t="s">
        <v>2379</v>
      </c>
      <c r="T1031" s="501">
        <v>60</v>
      </c>
      <c r="U1031" s="501"/>
      <c r="V1031" s="501" t="s">
        <v>973</v>
      </c>
      <c r="W1031" s="501">
        <v>400</v>
      </c>
      <c r="X1031" s="505">
        <v>768</v>
      </c>
      <c r="Y1031" s="477">
        <f t="shared" si="139"/>
        <v>307200</v>
      </c>
      <c r="Z1031" s="478">
        <v>0.57999999999999996</v>
      </c>
      <c r="AA1031" s="479">
        <f t="shared" si="138"/>
        <v>178176</v>
      </c>
      <c r="AB1031" s="480"/>
      <c r="AC1031" s="481">
        <f t="shared" si="140"/>
        <v>0</v>
      </c>
      <c r="AD1031" s="490"/>
      <c r="AE1031" s="482"/>
      <c r="AF1031" s="493">
        <f t="shared" si="141"/>
        <v>178176</v>
      </c>
      <c r="AG1031" s="474" t="s">
        <v>47</v>
      </c>
      <c r="AH1031" s="474"/>
      <c r="AI1031" s="483" t="s">
        <v>2374</v>
      </c>
      <c r="AJ1031" s="474" t="s">
        <v>3252</v>
      </c>
      <c r="AK1031" s="494" t="s">
        <v>1375</v>
      </c>
      <c r="AL1031" s="474">
        <v>22031</v>
      </c>
      <c r="AM1031" s="474" t="s">
        <v>52</v>
      </c>
      <c r="AN1031" s="474"/>
      <c r="AO1031" s="474"/>
      <c r="AP1031" s="486"/>
      <c r="AQ1031" s="486" t="s">
        <v>37</v>
      </c>
      <c r="AR1031" s="486"/>
      <c r="AS1031" s="495"/>
      <c r="AT1031" s="495"/>
      <c r="AU1031" s="472"/>
      <c r="AV1031" s="478">
        <v>0.55000000000000004</v>
      </c>
    </row>
    <row r="1032" spans="1:48" s="471" customFormat="1" ht="15" customHeight="1">
      <c r="A1032" s="525"/>
      <c r="B1032" s="514">
        <v>44648</v>
      </c>
      <c r="C1032" s="472"/>
      <c r="D1032" s="485" t="s">
        <v>3186</v>
      </c>
      <c r="E1032" s="501" t="s">
        <v>3625</v>
      </c>
      <c r="F1032" s="501"/>
      <c r="G1032" s="501">
        <v>2022</v>
      </c>
      <c r="H1032" s="501"/>
      <c r="I1032" s="501" t="s">
        <v>1676</v>
      </c>
      <c r="J1032" s="502"/>
      <c r="K1032" s="503" t="s">
        <v>4974</v>
      </c>
      <c r="L1032" s="501" t="s">
        <v>3188</v>
      </c>
      <c r="M1032" s="504">
        <v>44644</v>
      </c>
      <c r="N1032" s="504">
        <v>44896</v>
      </c>
      <c r="O1032" s="504"/>
      <c r="P1032" s="502"/>
      <c r="Q1032" s="502"/>
      <c r="R1032" s="502"/>
      <c r="S1032" s="501" t="s">
        <v>2379</v>
      </c>
      <c r="T1032" s="501">
        <v>60</v>
      </c>
      <c r="U1032" s="501"/>
      <c r="V1032" s="501" t="s">
        <v>973</v>
      </c>
      <c r="W1032" s="501">
        <v>400</v>
      </c>
      <c r="X1032" s="505">
        <v>768</v>
      </c>
      <c r="Y1032" s="477">
        <f t="shared" si="139"/>
        <v>307200</v>
      </c>
      <c r="Z1032" s="478">
        <v>0.57999999999999996</v>
      </c>
      <c r="AA1032" s="479">
        <f t="shared" si="138"/>
        <v>178176</v>
      </c>
      <c r="AB1032" s="480"/>
      <c r="AC1032" s="481">
        <f t="shared" si="140"/>
        <v>0</v>
      </c>
      <c r="AD1032" s="490"/>
      <c r="AE1032" s="482"/>
      <c r="AF1032" s="493">
        <f t="shared" si="141"/>
        <v>178176</v>
      </c>
      <c r="AG1032" s="474" t="s">
        <v>47</v>
      </c>
      <c r="AH1032" s="474"/>
      <c r="AI1032" s="483" t="s">
        <v>2374</v>
      </c>
      <c r="AJ1032" s="474" t="s">
        <v>3252</v>
      </c>
      <c r="AK1032" s="494" t="s">
        <v>1375</v>
      </c>
      <c r="AL1032" s="474">
        <v>22031</v>
      </c>
      <c r="AM1032" s="474" t="s">
        <v>52</v>
      </c>
      <c r="AN1032" s="474"/>
      <c r="AO1032" s="474"/>
      <c r="AP1032" s="486"/>
      <c r="AQ1032" s="486" t="s">
        <v>37</v>
      </c>
      <c r="AR1032" s="486"/>
      <c r="AS1032" s="495"/>
      <c r="AT1032" s="495"/>
      <c r="AU1032" s="472"/>
      <c r="AV1032" s="478">
        <v>0.55000000000000004</v>
      </c>
    </row>
    <row r="1033" spans="1:48" s="471" customFormat="1" ht="15" customHeight="1">
      <c r="A1033" s="525"/>
      <c r="B1033" s="514"/>
      <c r="C1033" s="472"/>
      <c r="D1033" s="485" t="s">
        <v>3186</v>
      </c>
      <c r="E1033" s="501" t="s">
        <v>3635</v>
      </c>
      <c r="F1033" s="501"/>
      <c r="G1033" s="501">
        <v>2022</v>
      </c>
      <c r="H1033" s="501"/>
      <c r="I1033" s="501" t="s">
        <v>1676</v>
      </c>
      <c r="J1033" s="502"/>
      <c r="K1033" s="503" t="s">
        <v>3661</v>
      </c>
      <c r="L1033" s="501" t="s">
        <v>3188</v>
      </c>
      <c r="M1033" s="504">
        <v>44655</v>
      </c>
      <c r="N1033" s="504">
        <v>44907</v>
      </c>
      <c r="O1033" s="504"/>
      <c r="P1033" s="502"/>
      <c r="Q1033" s="502"/>
      <c r="R1033" s="502"/>
      <c r="S1033" s="501" t="s">
        <v>2379</v>
      </c>
      <c r="T1033" s="501">
        <v>60</v>
      </c>
      <c r="U1033" s="501"/>
      <c r="V1033" s="501" t="s">
        <v>986</v>
      </c>
      <c r="W1033" s="501">
        <v>365</v>
      </c>
      <c r="X1033" s="505">
        <v>320</v>
      </c>
      <c r="Y1033" s="477">
        <f t="shared" si="139"/>
        <v>116800</v>
      </c>
      <c r="Z1033" s="478">
        <v>0.56000000000000005</v>
      </c>
      <c r="AA1033" s="479">
        <f t="shared" si="138"/>
        <v>65408.000000000007</v>
      </c>
      <c r="AB1033" s="480"/>
      <c r="AC1033" s="481">
        <f t="shared" si="140"/>
        <v>0</v>
      </c>
      <c r="AD1033" s="490"/>
      <c r="AE1033" s="482"/>
      <c r="AF1033" s="493">
        <f t="shared" si="141"/>
        <v>65408.000000000007</v>
      </c>
      <c r="AG1033" s="474" t="s">
        <v>47</v>
      </c>
      <c r="AH1033" s="474"/>
      <c r="AI1033" s="483" t="s">
        <v>2374</v>
      </c>
      <c r="AJ1033" s="474" t="s">
        <v>3637</v>
      </c>
      <c r="AK1033" s="494" t="s">
        <v>1096</v>
      </c>
      <c r="AL1033" s="494">
        <v>1085</v>
      </c>
      <c r="AM1033" s="474" t="s">
        <v>52</v>
      </c>
      <c r="AN1033" s="474"/>
      <c r="AO1033" s="474"/>
      <c r="AP1033" s="486"/>
      <c r="AQ1033" s="486" t="s">
        <v>37</v>
      </c>
      <c r="AR1033" s="486"/>
      <c r="AS1033" s="495"/>
      <c r="AT1033" s="495"/>
      <c r="AU1033" s="472"/>
      <c r="AV1033" s="478">
        <v>0.55000000000000004</v>
      </c>
    </row>
    <row r="1034" spans="1:48" s="471" customFormat="1" ht="15" customHeight="1">
      <c r="A1034" s="525"/>
      <c r="B1034" s="514">
        <v>44648</v>
      </c>
      <c r="C1034" s="472"/>
      <c r="D1034" s="485" t="s">
        <v>3186</v>
      </c>
      <c r="E1034" s="501" t="s">
        <v>3625</v>
      </c>
      <c r="F1034" s="501"/>
      <c r="G1034" s="501">
        <v>2023</v>
      </c>
      <c r="H1034" s="501"/>
      <c r="I1034" s="501" t="s">
        <v>1676</v>
      </c>
      <c r="J1034" s="502"/>
      <c r="K1034" s="503" t="s">
        <v>4975</v>
      </c>
      <c r="L1034" s="501" t="s">
        <v>3188</v>
      </c>
      <c r="M1034" s="504">
        <v>44644</v>
      </c>
      <c r="N1034" s="504">
        <v>44928</v>
      </c>
      <c r="O1034" s="504"/>
      <c r="P1034" s="502"/>
      <c r="Q1034" s="502"/>
      <c r="R1034" s="502"/>
      <c r="S1034" s="501" t="s">
        <v>2379</v>
      </c>
      <c r="T1034" s="501">
        <v>60</v>
      </c>
      <c r="U1034" s="501"/>
      <c r="V1034" s="501" t="s">
        <v>973</v>
      </c>
      <c r="W1034" s="501">
        <v>400</v>
      </c>
      <c r="X1034" s="505">
        <v>768</v>
      </c>
      <c r="Y1034" s="477">
        <f t="shared" si="139"/>
        <v>307200</v>
      </c>
      <c r="Z1034" s="478">
        <v>0.57999999999999996</v>
      </c>
      <c r="AA1034" s="479">
        <f t="shared" si="138"/>
        <v>178176</v>
      </c>
      <c r="AB1034" s="480"/>
      <c r="AC1034" s="481">
        <f t="shared" si="140"/>
        <v>0</v>
      </c>
      <c r="AD1034" s="490"/>
      <c r="AE1034" s="482"/>
      <c r="AF1034" s="493">
        <f t="shared" si="141"/>
        <v>178176</v>
      </c>
      <c r="AG1034" s="474" t="s">
        <v>47</v>
      </c>
      <c r="AH1034" s="474"/>
      <c r="AI1034" s="483" t="s">
        <v>2374</v>
      </c>
      <c r="AJ1034" s="474" t="s">
        <v>3252</v>
      </c>
      <c r="AK1034" s="494" t="s">
        <v>1375</v>
      </c>
      <c r="AL1034" s="474">
        <v>22031</v>
      </c>
      <c r="AM1034" s="474" t="s">
        <v>52</v>
      </c>
      <c r="AN1034" s="474"/>
      <c r="AO1034" s="474"/>
      <c r="AP1034" s="486"/>
      <c r="AQ1034" s="486" t="s">
        <v>37</v>
      </c>
      <c r="AR1034" s="486"/>
      <c r="AS1034" s="495"/>
      <c r="AT1034" s="495"/>
      <c r="AU1034" s="472"/>
      <c r="AV1034" s="478">
        <v>0.55000000000000004</v>
      </c>
    </row>
    <row r="1035" spans="1:48" s="471" customFormat="1" ht="15" customHeight="1">
      <c r="A1035" s="525"/>
      <c r="B1035" s="514">
        <v>44651</v>
      </c>
      <c r="C1035" s="472"/>
      <c r="D1035" s="485" t="s">
        <v>3186</v>
      </c>
      <c r="E1035" s="501" t="s">
        <v>4964</v>
      </c>
      <c r="F1035" s="501"/>
      <c r="G1035" s="501">
        <v>2023</v>
      </c>
      <c r="H1035" s="501"/>
      <c r="I1035" s="501" t="s">
        <v>1676</v>
      </c>
      <c r="J1035" s="502"/>
      <c r="K1035" s="503" t="s">
        <v>4976</v>
      </c>
      <c r="L1035" s="501" t="s">
        <v>3188</v>
      </c>
      <c r="M1035" s="504">
        <v>44650</v>
      </c>
      <c r="N1035" s="504">
        <v>44941</v>
      </c>
      <c r="O1035" s="504"/>
      <c r="P1035" s="502"/>
      <c r="Q1035" s="502"/>
      <c r="R1035" s="502"/>
      <c r="S1035" s="501" t="s">
        <v>2379</v>
      </c>
      <c r="T1035" s="501">
        <v>60</v>
      </c>
      <c r="U1035" s="501"/>
      <c r="V1035" s="501" t="s">
        <v>973</v>
      </c>
      <c r="W1035" s="501">
        <v>400</v>
      </c>
      <c r="X1035" s="505">
        <v>384</v>
      </c>
      <c r="Y1035" s="477">
        <f t="shared" si="139"/>
        <v>153600</v>
      </c>
      <c r="Z1035" s="478">
        <v>0.57999999999999996</v>
      </c>
      <c r="AA1035" s="479">
        <f t="shared" si="138"/>
        <v>89088</v>
      </c>
      <c r="AB1035" s="480"/>
      <c r="AC1035" s="481">
        <f t="shared" si="140"/>
        <v>0</v>
      </c>
      <c r="AD1035" s="490"/>
      <c r="AE1035" s="482"/>
      <c r="AF1035" s="493">
        <f t="shared" si="141"/>
        <v>89088</v>
      </c>
      <c r="AG1035" s="474" t="s">
        <v>47</v>
      </c>
      <c r="AH1035" s="474">
        <v>10</v>
      </c>
      <c r="AI1035" s="483" t="s">
        <v>2374</v>
      </c>
      <c r="AJ1035" s="474" t="s">
        <v>4966</v>
      </c>
      <c r="AK1035" s="494" t="s">
        <v>1590</v>
      </c>
      <c r="AL1035" s="474">
        <v>37013</v>
      </c>
      <c r="AM1035" s="474" t="s">
        <v>52</v>
      </c>
      <c r="AN1035" s="474"/>
      <c r="AO1035" s="474"/>
      <c r="AP1035" s="486"/>
      <c r="AQ1035" s="486" t="s">
        <v>37</v>
      </c>
      <c r="AR1035" s="486"/>
      <c r="AS1035" s="495"/>
      <c r="AT1035" s="495"/>
      <c r="AU1035" s="472"/>
      <c r="AV1035" s="478">
        <v>0.55000000000000004</v>
      </c>
    </row>
    <row r="1036" spans="1:48" s="471" customFormat="1" ht="15" customHeight="1">
      <c r="A1036" s="525"/>
      <c r="B1036" s="514">
        <v>44648</v>
      </c>
      <c r="C1036" s="472"/>
      <c r="D1036" s="485" t="s">
        <v>3186</v>
      </c>
      <c r="E1036" s="501" t="s">
        <v>3625</v>
      </c>
      <c r="F1036" s="501"/>
      <c r="G1036" s="501">
        <v>2023</v>
      </c>
      <c r="H1036" s="501"/>
      <c r="I1036" s="501" t="s">
        <v>1676</v>
      </c>
      <c r="J1036" s="502"/>
      <c r="K1036" s="503" t="s">
        <v>4977</v>
      </c>
      <c r="L1036" s="501" t="s">
        <v>3188</v>
      </c>
      <c r="M1036" s="504">
        <v>44644</v>
      </c>
      <c r="N1036" s="504">
        <v>44958</v>
      </c>
      <c r="O1036" s="504"/>
      <c r="P1036" s="502"/>
      <c r="Q1036" s="502"/>
      <c r="R1036" s="502"/>
      <c r="S1036" s="501" t="s">
        <v>2379</v>
      </c>
      <c r="T1036" s="501">
        <v>60</v>
      </c>
      <c r="U1036" s="501"/>
      <c r="V1036" s="501" t="s">
        <v>973</v>
      </c>
      <c r="W1036" s="501">
        <v>400</v>
      </c>
      <c r="X1036" s="505">
        <v>768</v>
      </c>
      <c r="Y1036" s="477">
        <f t="shared" si="139"/>
        <v>307200</v>
      </c>
      <c r="Z1036" s="478">
        <v>0.57999999999999996</v>
      </c>
      <c r="AA1036" s="479">
        <f t="shared" si="138"/>
        <v>178176</v>
      </c>
      <c r="AB1036" s="480"/>
      <c r="AC1036" s="481">
        <f t="shared" si="140"/>
        <v>0</v>
      </c>
      <c r="AD1036" s="490"/>
      <c r="AE1036" s="482"/>
      <c r="AF1036" s="493">
        <f t="shared" si="141"/>
        <v>178176</v>
      </c>
      <c r="AG1036" s="474" t="s">
        <v>47</v>
      </c>
      <c r="AH1036" s="474"/>
      <c r="AI1036" s="483" t="s">
        <v>2374</v>
      </c>
      <c r="AJ1036" s="474" t="s">
        <v>3252</v>
      </c>
      <c r="AK1036" s="494" t="s">
        <v>1375</v>
      </c>
      <c r="AL1036" s="474">
        <v>22031</v>
      </c>
      <c r="AM1036" s="474" t="s">
        <v>52</v>
      </c>
      <c r="AN1036" s="474"/>
      <c r="AO1036" s="474"/>
      <c r="AP1036" s="486"/>
      <c r="AQ1036" s="486" t="s">
        <v>37</v>
      </c>
      <c r="AR1036" s="486"/>
      <c r="AS1036" s="495"/>
      <c r="AT1036" s="495"/>
      <c r="AU1036" s="472"/>
      <c r="AV1036" s="478">
        <v>0.55000000000000004</v>
      </c>
    </row>
    <row r="1037" spans="1:48" s="471" customFormat="1" ht="15" customHeight="1">
      <c r="A1037" s="525"/>
      <c r="B1037" s="514">
        <v>44648</v>
      </c>
      <c r="C1037" s="472"/>
      <c r="D1037" s="485" t="s">
        <v>3186</v>
      </c>
      <c r="E1037" s="501" t="s">
        <v>3625</v>
      </c>
      <c r="F1037" s="501"/>
      <c r="G1037" s="501">
        <v>2023</v>
      </c>
      <c r="H1037" s="501"/>
      <c r="I1037" s="501" t="s">
        <v>1676</v>
      </c>
      <c r="J1037" s="502"/>
      <c r="K1037" s="503" t="s">
        <v>4978</v>
      </c>
      <c r="L1037" s="501" t="s">
        <v>3188</v>
      </c>
      <c r="M1037" s="504">
        <v>44644</v>
      </c>
      <c r="N1037" s="504">
        <v>44986</v>
      </c>
      <c r="O1037" s="504"/>
      <c r="P1037" s="502"/>
      <c r="Q1037" s="502"/>
      <c r="R1037" s="502"/>
      <c r="S1037" s="501" t="s">
        <v>2379</v>
      </c>
      <c r="T1037" s="501">
        <v>60</v>
      </c>
      <c r="U1037" s="501"/>
      <c r="V1037" s="501" t="s">
        <v>973</v>
      </c>
      <c r="W1037" s="501">
        <v>400</v>
      </c>
      <c r="X1037" s="505">
        <v>768</v>
      </c>
      <c r="Y1037" s="477">
        <f t="shared" si="139"/>
        <v>307200</v>
      </c>
      <c r="Z1037" s="478">
        <v>0.57999999999999996</v>
      </c>
      <c r="AA1037" s="479">
        <f t="shared" si="138"/>
        <v>178176</v>
      </c>
      <c r="AB1037" s="480"/>
      <c r="AC1037" s="481">
        <f t="shared" si="140"/>
        <v>0</v>
      </c>
      <c r="AD1037" s="490"/>
      <c r="AE1037" s="482"/>
      <c r="AF1037" s="493">
        <f t="shared" si="141"/>
        <v>178176</v>
      </c>
      <c r="AG1037" s="474" t="s">
        <v>47</v>
      </c>
      <c r="AH1037" s="474"/>
      <c r="AI1037" s="483" t="s">
        <v>2374</v>
      </c>
      <c r="AJ1037" s="474" t="s">
        <v>3252</v>
      </c>
      <c r="AK1037" s="494" t="s">
        <v>1375</v>
      </c>
      <c r="AL1037" s="474">
        <v>22031</v>
      </c>
      <c r="AM1037" s="474" t="s">
        <v>52</v>
      </c>
      <c r="AN1037" s="474"/>
      <c r="AO1037" s="474"/>
      <c r="AP1037" s="486"/>
      <c r="AQ1037" s="486" t="s">
        <v>37</v>
      </c>
      <c r="AR1037" s="486"/>
      <c r="AS1037" s="495"/>
      <c r="AT1037" s="495"/>
      <c r="AU1037" s="472"/>
      <c r="AV1037" s="478">
        <v>0.55000000000000004</v>
      </c>
    </row>
    <row r="1038" spans="1:48" s="471" customFormat="1" ht="15" customHeight="1">
      <c r="A1038" s="525"/>
      <c r="B1038" s="514">
        <v>44648</v>
      </c>
      <c r="C1038" s="472"/>
      <c r="D1038" s="485" t="s">
        <v>3186</v>
      </c>
      <c r="E1038" s="501" t="s">
        <v>3625</v>
      </c>
      <c r="F1038" s="501"/>
      <c r="G1038" s="501">
        <v>2023</v>
      </c>
      <c r="H1038" s="501"/>
      <c r="I1038" s="501" t="s">
        <v>1676</v>
      </c>
      <c r="J1038" s="502"/>
      <c r="K1038" s="503" t="s">
        <v>4979</v>
      </c>
      <c r="L1038" s="501" t="s">
        <v>3188</v>
      </c>
      <c r="M1038" s="504">
        <v>44644</v>
      </c>
      <c r="N1038" s="504">
        <v>45017</v>
      </c>
      <c r="O1038" s="504"/>
      <c r="P1038" s="502"/>
      <c r="Q1038" s="502"/>
      <c r="R1038" s="502"/>
      <c r="S1038" s="501" t="s">
        <v>2379</v>
      </c>
      <c r="T1038" s="501">
        <v>60</v>
      </c>
      <c r="U1038" s="501"/>
      <c r="V1038" s="501" t="s">
        <v>973</v>
      </c>
      <c r="W1038" s="501">
        <v>400</v>
      </c>
      <c r="X1038" s="505">
        <v>768</v>
      </c>
      <c r="Y1038" s="477">
        <f t="shared" si="139"/>
        <v>307200</v>
      </c>
      <c r="Z1038" s="478">
        <v>0.57999999999999996</v>
      </c>
      <c r="AA1038" s="479">
        <f t="shared" si="138"/>
        <v>178176</v>
      </c>
      <c r="AB1038" s="480"/>
      <c r="AC1038" s="481">
        <f t="shared" si="140"/>
        <v>0</v>
      </c>
      <c r="AD1038" s="490"/>
      <c r="AE1038" s="482"/>
      <c r="AF1038" s="493">
        <f t="shared" si="141"/>
        <v>178176</v>
      </c>
      <c r="AG1038" s="474" t="s">
        <v>47</v>
      </c>
      <c r="AH1038" s="474"/>
      <c r="AI1038" s="483" t="s">
        <v>2374</v>
      </c>
      <c r="AJ1038" s="474" t="s">
        <v>3252</v>
      </c>
      <c r="AK1038" s="494" t="s">
        <v>1375</v>
      </c>
      <c r="AL1038" s="474">
        <v>22031</v>
      </c>
      <c r="AM1038" s="474" t="s">
        <v>52</v>
      </c>
      <c r="AN1038" s="474"/>
      <c r="AO1038" s="474"/>
      <c r="AP1038" s="486"/>
      <c r="AQ1038" s="486" t="s">
        <v>37</v>
      </c>
      <c r="AR1038" s="486"/>
      <c r="AS1038" s="495"/>
      <c r="AT1038" s="495"/>
      <c r="AU1038" s="472"/>
      <c r="AV1038" s="478">
        <v>0.55000000000000004</v>
      </c>
    </row>
    <row r="1039" spans="1:48" s="471" customFormat="1" ht="15" customHeight="1">
      <c r="A1039" s="525"/>
      <c r="B1039" s="514">
        <v>44662</v>
      </c>
      <c r="C1039" s="472"/>
      <c r="D1039" s="485" t="s">
        <v>3186</v>
      </c>
      <c r="E1039" s="501" t="s">
        <v>4980</v>
      </c>
      <c r="F1039" s="501"/>
      <c r="G1039" s="501">
        <v>2022</v>
      </c>
      <c r="H1039" s="501"/>
      <c r="I1039" s="501" t="s">
        <v>1676</v>
      </c>
      <c r="J1039" s="502"/>
      <c r="K1039" s="503" t="s">
        <v>4981</v>
      </c>
      <c r="L1039" s="501" t="s">
        <v>3188</v>
      </c>
      <c r="M1039" s="504">
        <v>44659</v>
      </c>
      <c r="N1039" s="504">
        <v>44837</v>
      </c>
      <c r="O1039" s="504"/>
      <c r="P1039" s="502"/>
      <c r="Q1039" s="502"/>
      <c r="R1039" s="502"/>
      <c r="S1039" s="501" t="s">
        <v>2379</v>
      </c>
      <c r="T1039" s="501">
        <v>60</v>
      </c>
      <c r="U1039" s="501"/>
      <c r="V1039" s="501" t="s">
        <v>973</v>
      </c>
      <c r="W1039" s="501">
        <v>410</v>
      </c>
      <c r="X1039" s="505">
        <v>3424</v>
      </c>
      <c r="Y1039" s="477">
        <f t="shared" si="139"/>
        <v>1403840</v>
      </c>
      <c r="Z1039" s="478">
        <v>0.57999999999999996</v>
      </c>
      <c r="AA1039" s="479">
        <f t="shared" si="138"/>
        <v>814227.2</v>
      </c>
      <c r="AB1039" s="480"/>
      <c r="AC1039" s="481">
        <f t="shared" si="140"/>
        <v>0</v>
      </c>
      <c r="AD1039" s="490"/>
      <c r="AE1039" s="482"/>
      <c r="AF1039" s="493">
        <f t="shared" si="141"/>
        <v>814227.2</v>
      </c>
      <c r="AG1039" s="474" t="s">
        <v>47</v>
      </c>
      <c r="AH1039" s="474">
        <v>100</v>
      </c>
      <c r="AI1039" s="483"/>
      <c r="AJ1039" s="474" t="s">
        <v>3198</v>
      </c>
      <c r="AK1039" s="494" t="s">
        <v>3199</v>
      </c>
      <c r="AL1039" s="474">
        <v>25704</v>
      </c>
      <c r="AM1039" s="474" t="s">
        <v>52</v>
      </c>
      <c r="AN1039" s="474"/>
      <c r="AO1039" s="474"/>
      <c r="AP1039" s="486"/>
      <c r="AQ1039" s="486" t="s">
        <v>37</v>
      </c>
      <c r="AR1039" s="486"/>
      <c r="AS1039" s="495"/>
      <c r="AT1039" s="495"/>
      <c r="AU1039" s="472"/>
      <c r="AV1039" s="478">
        <v>0.55000000000000004</v>
      </c>
    </row>
    <row r="1040" spans="1:48" s="471" customFormat="1" ht="15" customHeight="1">
      <c r="A1040" s="278"/>
      <c r="B1040" s="279"/>
      <c r="C1040" s="289" t="s">
        <v>1211</v>
      </c>
      <c r="D1040" s="405" t="s">
        <v>3678</v>
      </c>
      <c r="E1040" s="300"/>
      <c r="F1040" s="501"/>
      <c r="G1040" s="501">
        <v>2022</v>
      </c>
      <c r="H1040" s="382"/>
      <c r="I1040" s="382" t="s">
        <v>1286</v>
      </c>
      <c r="J1040" s="502"/>
      <c r="K1040" s="501" t="s">
        <v>5045</v>
      </c>
      <c r="L1040" s="502" t="s">
        <v>1120</v>
      </c>
      <c r="M1040" s="502">
        <v>44658</v>
      </c>
      <c r="N1040" s="502">
        <v>44846</v>
      </c>
      <c r="O1040" s="502"/>
      <c r="P1040" s="502"/>
      <c r="Q1040" s="501"/>
      <c r="R1040" s="501"/>
      <c r="S1040" s="501" t="s">
        <v>1102</v>
      </c>
      <c r="T1040" s="505">
        <v>60</v>
      </c>
      <c r="U1040" s="403"/>
      <c r="V1040" s="501" t="s">
        <v>1018</v>
      </c>
      <c r="W1040" s="505">
        <v>360</v>
      </c>
      <c r="X1040" s="403">
        <v>728</v>
      </c>
      <c r="Y1040" s="477">
        <f t="shared" ref="Y1040:Y1103" si="142">W1040*X1040</f>
        <v>262080</v>
      </c>
      <c r="Z1040" s="478">
        <v>0.8</v>
      </c>
      <c r="AA1040" s="479">
        <f t="shared" si="138"/>
        <v>209664</v>
      </c>
      <c r="AB1040" s="480"/>
      <c r="AC1040" s="481"/>
      <c r="AD1040" s="490"/>
      <c r="AE1040" s="482"/>
      <c r="AF1040" s="493">
        <f t="shared" si="141"/>
        <v>209664</v>
      </c>
      <c r="AG1040" s="474" t="s">
        <v>47</v>
      </c>
      <c r="AH1040" s="474"/>
      <c r="AI1040" s="474">
        <v>45</v>
      </c>
      <c r="AJ1040" s="474" t="s">
        <v>1121</v>
      </c>
      <c r="AK1040" s="474" t="s">
        <v>1117</v>
      </c>
      <c r="AL1040" s="494">
        <v>60433</v>
      </c>
      <c r="AM1040" s="474" t="s">
        <v>52</v>
      </c>
      <c r="AN1040" s="474"/>
      <c r="AO1040" s="474"/>
      <c r="AP1040" s="482"/>
      <c r="AQ1040" s="482" t="s">
        <v>37</v>
      </c>
      <c r="AR1040" s="474"/>
      <c r="AS1040" s="472"/>
      <c r="AT1040" s="281"/>
      <c r="AU1040" s="436"/>
      <c r="AV1040" s="472"/>
    </row>
    <row r="1041" spans="1:48" s="471" customFormat="1" ht="15" customHeight="1">
      <c r="A1041" s="278"/>
      <c r="B1041" s="279"/>
      <c r="C1041" s="289" t="s">
        <v>1211</v>
      </c>
      <c r="D1041" s="405" t="s">
        <v>3678</v>
      </c>
      <c r="E1041" s="300"/>
      <c r="F1041" s="501"/>
      <c r="G1041" s="501">
        <v>2022</v>
      </c>
      <c r="H1041" s="501"/>
      <c r="I1041" s="382" t="s">
        <v>1286</v>
      </c>
      <c r="J1041" s="502"/>
      <c r="K1041" s="501" t="s">
        <v>5046</v>
      </c>
      <c r="L1041" s="502" t="s">
        <v>1120</v>
      </c>
      <c r="M1041" s="502">
        <v>44657</v>
      </c>
      <c r="N1041" s="502">
        <v>44902</v>
      </c>
      <c r="O1041" s="502"/>
      <c r="P1041" s="502"/>
      <c r="Q1041" s="501"/>
      <c r="R1041" s="501"/>
      <c r="S1041" s="501" t="s">
        <v>1102</v>
      </c>
      <c r="T1041" s="505">
        <v>60</v>
      </c>
      <c r="U1041" s="403"/>
      <c r="V1041" s="501" t="s">
        <v>973</v>
      </c>
      <c r="W1041" s="505">
        <v>400</v>
      </c>
      <c r="X1041" s="403">
        <v>832</v>
      </c>
      <c r="Y1041" s="477">
        <f t="shared" si="142"/>
        <v>332800</v>
      </c>
      <c r="Z1041" s="478">
        <v>0.55000000000000004</v>
      </c>
      <c r="AA1041" s="479">
        <f t="shared" si="138"/>
        <v>183040.00000000003</v>
      </c>
      <c r="AB1041" s="386"/>
      <c r="AC1041" s="481"/>
      <c r="AD1041" s="474"/>
      <c r="AE1041" s="482"/>
      <c r="AF1041" s="493">
        <f t="shared" si="141"/>
        <v>183040.00000000003</v>
      </c>
      <c r="AG1041" s="474" t="s">
        <v>47</v>
      </c>
      <c r="AH1041" s="447"/>
      <c r="AI1041" s="474">
        <v>45</v>
      </c>
      <c r="AJ1041" s="474" t="s">
        <v>1412</v>
      </c>
      <c r="AK1041" s="474" t="s">
        <v>50</v>
      </c>
      <c r="AL1041" s="494">
        <v>91708</v>
      </c>
      <c r="AM1041" s="474" t="s">
        <v>52</v>
      </c>
      <c r="AN1041" s="474"/>
      <c r="AO1041" s="474"/>
      <c r="AP1041" s="474"/>
      <c r="AQ1041" s="482" t="s">
        <v>37</v>
      </c>
      <c r="AR1041" s="474"/>
      <c r="AS1041" s="387"/>
      <c r="AT1041" s="356"/>
      <c r="AU1041" s="387"/>
      <c r="AV1041" s="472"/>
    </row>
    <row r="1042" spans="1:48" s="471" customFormat="1" ht="15" customHeight="1">
      <c r="A1042" s="278"/>
      <c r="B1042" s="279"/>
      <c r="C1042" s="289" t="s">
        <v>1211</v>
      </c>
      <c r="D1042" s="405" t="s">
        <v>3678</v>
      </c>
      <c r="E1042" s="300"/>
      <c r="F1042" s="501"/>
      <c r="G1042" s="501">
        <v>2022</v>
      </c>
      <c r="H1042" s="382"/>
      <c r="I1042" s="382" t="s">
        <v>1286</v>
      </c>
      <c r="J1042" s="502"/>
      <c r="K1042" s="501" t="s">
        <v>5046</v>
      </c>
      <c r="L1042" s="502" t="s">
        <v>1120</v>
      </c>
      <c r="M1042" s="502">
        <v>44657</v>
      </c>
      <c r="N1042" s="502">
        <v>44902</v>
      </c>
      <c r="O1042" s="502"/>
      <c r="P1042" s="502"/>
      <c r="Q1042" s="501"/>
      <c r="R1042" s="501"/>
      <c r="S1042" s="501" t="s">
        <v>1102</v>
      </c>
      <c r="T1042" s="505">
        <v>60</v>
      </c>
      <c r="U1042" s="403"/>
      <c r="V1042" s="501" t="s">
        <v>973</v>
      </c>
      <c r="W1042" s="505">
        <v>400</v>
      </c>
      <c r="X1042" s="403">
        <v>832</v>
      </c>
      <c r="Y1042" s="477">
        <f t="shared" si="142"/>
        <v>332800</v>
      </c>
      <c r="Z1042" s="478">
        <v>0.55000000000000004</v>
      </c>
      <c r="AA1042" s="479">
        <f t="shared" si="138"/>
        <v>183040.00000000003</v>
      </c>
      <c r="AB1042" s="480"/>
      <c r="AC1042" s="481"/>
      <c r="AD1042" s="490"/>
      <c r="AE1042" s="482"/>
      <c r="AF1042" s="493">
        <f t="shared" si="141"/>
        <v>183040.00000000003</v>
      </c>
      <c r="AG1042" s="474" t="s">
        <v>47</v>
      </c>
      <c r="AH1042" s="474"/>
      <c r="AI1042" s="474">
        <v>45</v>
      </c>
      <c r="AJ1042" s="474" t="s">
        <v>1412</v>
      </c>
      <c r="AK1042" s="474" t="s">
        <v>50</v>
      </c>
      <c r="AL1042" s="494">
        <v>91708</v>
      </c>
      <c r="AM1042" s="474" t="s">
        <v>52</v>
      </c>
      <c r="AN1042" s="474"/>
      <c r="AO1042" s="474"/>
      <c r="AP1042" s="482"/>
      <c r="AQ1042" s="482" t="s">
        <v>37</v>
      </c>
      <c r="AR1042" s="474"/>
      <c r="AS1042" s="472"/>
      <c r="AT1042" s="281"/>
      <c r="AU1042" s="436"/>
      <c r="AV1042" s="472"/>
    </row>
    <row r="1043" spans="1:48" s="471" customFormat="1" ht="15" customHeight="1">
      <c r="A1043" s="278"/>
      <c r="B1043" s="279"/>
      <c r="C1043" s="289" t="s">
        <v>1211</v>
      </c>
      <c r="D1043" s="405" t="s">
        <v>3678</v>
      </c>
      <c r="E1043" s="300"/>
      <c r="F1043" s="501"/>
      <c r="G1043" s="501">
        <v>2022</v>
      </c>
      <c r="H1043" s="501"/>
      <c r="I1043" s="382" t="s">
        <v>1286</v>
      </c>
      <c r="J1043" s="502"/>
      <c r="K1043" s="501" t="s">
        <v>5047</v>
      </c>
      <c r="L1043" s="502" t="s">
        <v>1120</v>
      </c>
      <c r="M1043" s="502">
        <v>44657</v>
      </c>
      <c r="N1043" s="502">
        <v>44837</v>
      </c>
      <c r="O1043" s="502"/>
      <c r="P1043" s="502"/>
      <c r="Q1043" s="501"/>
      <c r="R1043" s="501"/>
      <c r="S1043" s="501" t="s">
        <v>1102</v>
      </c>
      <c r="T1043" s="505">
        <v>60</v>
      </c>
      <c r="U1043" s="403"/>
      <c r="V1043" s="501" t="s">
        <v>973</v>
      </c>
      <c r="W1043" s="505">
        <v>400</v>
      </c>
      <c r="X1043" s="403">
        <v>832</v>
      </c>
      <c r="Y1043" s="477">
        <f t="shared" si="142"/>
        <v>332800</v>
      </c>
      <c r="Z1043" s="478">
        <v>0.55000000000000004</v>
      </c>
      <c r="AA1043" s="479">
        <f t="shared" si="138"/>
        <v>183040.00000000003</v>
      </c>
      <c r="AB1043" s="386"/>
      <c r="AC1043" s="481"/>
      <c r="AD1043" s="474"/>
      <c r="AE1043" s="482"/>
      <c r="AF1043" s="493">
        <f t="shared" si="141"/>
        <v>183040.00000000003</v>
      </c>
      <c r="AG1043" s="474" t="s">
        <v>47</v>
      </c>
      <c r="AH1043" s="447"/>
      <c r="AI1043" s="474">
        <v>45</v>
      </c>
      <c r="AJ1043" s="474" t="s">
        <v>1412</v>
      </c>
      <c r="AK1043" s="474" t="s">
        <v>50</v>
      </c>
      <c r="AL1043" s="494">
        <v>91708</v>
      </c>
      <c r="AM1043" s="474" t="s">
        <v>52</v>
      </c>
      <c r="AN1043" s="474"/>
      <c r="AO1043" s="474"/>
      <c r="AP1043" s="474"/>
      <c r="AQ1043" s="482" t="s">
        <v>37</v>
      </c>
      <c r="AR1043" s="474"/>
      <c r="AS1043" s="387"/>
      <c r="AT1043" s="356"/>
      <c r="AU1043" s="387"/>
      <c r="AV1043" s="472"/>
    </row>
    <row r="1044" spans="1:48" s="471" customFormat="1" ht="15" customHeight="1">
      <c r="A1044" s="278"/>
      <c r="B1044" s="279"/>
      <c r="C1044" s="289" t="s">
        <v>1211</v>
      </c>
      <c r="D1044" s="405" t="s">
        <v>3678</v>
      </c>
      <c r="E1044" s="300"/>
      <c r="F1044" s="501"/>
      <c r="G1044" s="501">
        <v>2022</v>
      </c>
      <c r="H1044" s="501"/>
      <c r="I1044" s="382" t="s">
        <v>1286</v>
      </c>
      <c r="J1044" s="502"/>
      <c r="K1044" s="501" t="s">
        <v>5047</v>
      </c>
      <c r="L1044" s="502" t="s">
        <v>1120</v>
      </c>
      <c r="M1044" s="502">
        <v>44657</v>
      </c>
      <c r="N1044" s="502">
        <v>44837</v>
      </c>
      <c r="O1044" s="502"/>
      <c r="P1044" s="502"/>
      <c r="Q1044" s="501"/>
      <c r="R1044" s="501"/>
      <c r="S1044" s="501" t="s">
        <v>1102</v>
      </c>
      <c r="T1044" s="505">
        <v>60</v>
      </c>
      <c r="U1044" s="403"/>
      <c r="V1044" s="501" t="s">
        <v>986</v>
      </c>
      <c r="W1044" s="505">
        <v>360</v>
      </c>
      <c r="X1044" s="403">
        <v>768</v>
      </c>
      <c r="Y1044" s="477">
        <f t="shared" si="142"/>
        <v>276480</v>
      </c>
      <c r="Z1044" s="478">
        <v>0.53</v>
      </c>
      <c r="AA1044" s="479">
        <f t="shared" si="138"/>
        <v>146534.39999999999</v>
      </c>
      <c r="AB1044" s="386"/>
      <c r="AC1044" s="481"/>
      <c r="AD1044" s="474"/>
      <c r="AE1044" s="482"/>
      <c r="AF1044" s="493">
        <f t="shared" si="141"/>
        <v>146534.39999999999</v>
      </c>
      <c r="AG1044" s="474" t="s">
        <v>47</v>
      </c>
      <c r="AH1044" s="447"/>
      <c r="AI1044" s="474">
        <v>45</v>
      </c>
      <c r="AJ1044" s="474" t="s">
        <v>1412</v>
      </c>
      <c r="AK1044" s="474" t="s">
        <v>50</v>
      </c>
      <c r="AL1044" s="494">
        <v>91708</v>
      </c>
      <c r="AM1044" s="474" t="s">
        <v>52</v>
      </c>
      <c r="AN1044" s="474"/>
      <c r="AO1044" s="474"/>
      <c r="AP1044" s="474"/>
      <c r="AQ1044" s="482" t="s">
        <v>37</v>
      </c>
      <c r="AR1044" s="474"/>
      <c r="AS1044" s="387"/>
      <c r="AT1044" s="356"/>
      <c r="AU1044" s="387"/>
      <c r="AV1044" s="472"/>
    </row>
    <row r="1045" spans="1:48" s="471" customFormat="1" ht="15" customHeight="1">
      <c r="A1045" s="278"/>
      <c r="B1045" s="279"/>
      <c r="C1045" s="289" t="s">
        <v>1211</v>
      </c>
      <c r="D1045" s="405" t="s">
        <v>3678</v>
      </c>
      <c r="E1045" s="300"/>
      <c r="F1045" s="501"/>
      <c r="G1045" s="501">
        <v>2022</v>
      </c>
      <c r="H1045" s="501"/>
      <c r="I1045" s="382" t="s">
        <v>1286</v>
      </c>
      <c r="J1045" s="502"/>
      <c r="K1045" s="501" t="s">
        <v>5047</v>
      </c>
      <c r="L1045" s="502" t="s">
        <v>1120</v>
      </c>
      <c r="M1045" s="502">
        <v>44657</v>
      </c>
      <c r="N1045" s="502">
        <v>44837</v>
      </c>
      <c r="O1045" s="502"/>
      <c r="P1045" s="502"/>
      <c r="Q1045" s="501"/>
      <c r="R1045" s="501"/>
      <c r="S1045" s="501" t="s">
        <v>1102</v>
      </c>
      <c r="T1045" s="505">
        <v>60</v>
      </c>
      <c r="U1045" s="403"/>
      <c r="V1045" s="501" t="s">
        <v>973</v>
      </c>
      <c r="W1045" s="505">
        <v>400</v>
      </c>
      <c r="X1045" s="403">
        <v>832</v>
      </c>
      <c r="Y1045" s="477">
        <f t="shared" si="142"/>
        <v>332800</v>
      </c>
      <c r="Z1045" s="478">
        <v>0.55000000000000004</v>
      </c>
      <c r="AA1045" s="479">
        <f t="shared" ref="AA1045:AA1108" si="143">Z1045*Y1045</f>
        <v>183040.00000000003</v>
      </c>
      <c r="AB1045" s="386"/>
      <c r="AC1045" s="481"/>
      <c r="AD1045" s="474"/>
      <c r="AE1045" s="482"/>
      <c r="AF1045" s="493">
        <f t="shared" si="141"/>
        <v>183040.00000000003</v>
      </c>
      <c r="AG1045" s="474" t="s">
        <v>47</v>
      </c>
      <c r="AH1045" s="447"/>
      <c r="AI1045" s="474">
        <v>45</v>
      </c>
      <c r="AJ1045" s="474" t="s">
        <v>1412</v>
      </c>
      <c r="AK1045" s="474" t="s">
        <v>50</v>
      </c>
      <c r="AL1045" s="494">
        <v>91708</v>
      </c>
      <c r="AM1045" s="474" t="s">
        <v>52</v>
      </c>
      <c r="AN1045" s="474"/>
      <c r="AO1045" s="474"/>
      <c r="AP1045" s="474"/>
      <c r="AQ1045" s="482" t="s">
        <v>37</v>
      </c>
      <c r="AR1045" s="474"/>
      <c r="AS1045" s="387"/>
      <c r="AT1045" s="356"/>
      <c r="AU1045" s="387"/>
      <c r="AV1045" s="472"/>
    </row>
    <row r="1046" spans="1:48" s="471" customFormat="1" ht="15" customHeight="1">
      <c r="A1046" s="278"/>
      <c r="B1046" s="279"/>
      <c r="C1046" s="289" t="s">
        <v>1211</v>
      </c>
      <c r="D1046" s="405" t="s">
        <v>3678</v>
      </c>
      <c r="E1046" s="300"/>
      <c r="F1046" s="501"/>
      <c r="G1046" s="501">
        <v>2022</v>
      </c>
      <c r="H1046" s="501"/>
      <c r="I1046" s="382" t="s">
        <v>1286</v>
      </c>
      <c r="J1046" s="502"/>
      <c r="K1046" s="501" t="s">
        <v>5047</v>
      </c>
      <c r="L1046" s="502" t="s">
        <v>1120</v>
      </c>
      <c r="M1046" s="502">
        <v>44657</v>
      </c>
      <c r="N1046" s="502">
        <v>44837</v>
      </c>
      <c r="O1046" s="502"/>
      <c r="P1046" s="502"/>
      <c r="Q1046" s="501"/>
      <c r="R1046" s="501"/>
      <c r="S1046" s="501" t="s">
        <v>1102</v>
      </c>
      <c r="T1046" s="505">
        <v>60</v>
      </c>
      <c r="U1046" s="403"/>
      <c r="V1046" s="501" t="s">
        <v>973</v>
      </c>
      <c r="W1046" s="505">
        <v>400</v>
      </c>
      <c r="X1046" s="403">
        <v>832</v>
      </c>
      <c r="Y1046" s="477">
        <f t="shared" si="142"/>
        <v>332800</v>
      </c>
      <c r="Z1046" s="478">
        <v>0.55000000000000004</v>
      </c>
      <c r="AA1046" s="479">
        <f t="shared" si="143"/>
        <v>183040.00000000003</v>
      </c>
      <c r="AB1046" s="386"/>
      <c r="AC1046" s="481"/>
      <c r="AD1046" s="474"/>
      <c r="AE1046" s="482"/>
      <c r="AF1046" s="493">
        <f t="shared" si="141"/>
        <v>183040.00000000003</v>
      </c>
      <c r="AG1046" s="474" t="s">
        <v>47</v>
      </c>
      <c r="AH1046" s="447"/>
      <c r="AI1046" s="474">
        <v>45</v>
      </c>
      <c r="AJ1046" s="474" t="s">
        <v>1412</v>
      </c>
      <c r="AK1046" s="474" t="s">
        <v>50</v>
      </c>
      <c r="AL1046" s="494">
        <v>91708</v>
      </c>
      <c r="AM1046" s="474" t="s">
        <v>52</v>
      </c>
      <c r="AN1046" s="474"/>
      <c r="AO1046" s="474"/>
      <c r="AP1046" s="474"/>
      <c r="AQ1046" s="482" t="s">
        <v>37</v>
      </c>
      <c r="AR1046" s="474"/>
      <c r="AS1046" s="387"/>
      <c r="AT1046" s="356"/>
      <c r="AU1046" s="387"/>
      <c r="AV1046" s="472"/>
    </row>
    <row r="1047" spans="1:48" s="471" customFormat="1" ht="15" customHeight="1">
      <c r="A1047" s="278"/>
      <c r="B1047" s="279"/>
      <c r="C1047" s="289" t="s">
        <v>1211</v>
      </c>
      <c r="D1047" s="405" t="s">
        <v>3678</v>
      </c>
      <c r="E1047" s="300"/>
      <c r="F1047" s="501"/>
      <c r="G1047" s="501">
        <v>2022</v>
      </c>
      <c r="H1047" s="501"/>
      <c r="I1047" s="382" t="s">
        <v>1286</v>
      </c>
      <c r="J1047" s="502"/>
      <c r="K1047" s="501" t="s">
        <v>5048</v>
      </c>
      <c r="L1047" s="502" t="s">
        <v>1120</v>
      </c>
      <c r="M1047" s="502">
        <v>44657</v>
      </c>
      <c r="N1047" s="502">
        <v>44844</v>
      </c>
      <c r="O1047" s="502"/>
      <c r="P1047" s="502"/>
      <c r="Q1047" s="501"/>
      <c r="R1047" s="501"/>
      <c r="S1047" s="501" t="s">
        <v>1102</v>
      </c>
      <c r="T1047" s="505">
        <v>60</v>
      </c>
      <c r="U1047" s="403"/>
      <c r="V1047" s="501" t="s">
        <v>973</v>
      </c>
      <c r="W1047" s="505">
        <v>400</v>
      </c>
      <c r="X1047" s="403">
        <v>832</v>
      </c>
      <c r="Y1047" s="477">
        <f t="shared" si="142"/>
        <v>332800</v>
      </c>
      <c r="Z1047" s="478">
        <v>0.55000000000000004</v>
      </c>
      <c r="AA1047" s="479">
        <f t="shared" si="143"/>
        <v>183040.00000000003</v>
      </c>
      <c r="AB1047" s="386"/>
      <c r="AC1047" s="481">
        <f>AB1047*Y1047</f>
        <v>0</v>
      </c>
      <c r="AD1047" s="474"/>
      <c r="AE1047" s="482"/>
      <c r="AF1047" s="493">
        <f t="shared" si="141"/>
        <v>183040.00000000003</v>
      </c>
      <c r="AG1047" s="474" t="s">
        <v>47</v>
      </c>
      <c r="AH1047" s="447"/>
      <c r="AI1047" s="474">
        <v>45</v>
      </c>
      <c r="AJ1047" s="474" t="s">
        <v>3221</v>
      </c>
      <c r="AK1047" s="474" t="s">
        <v>1144</v>
      </c>
      <c r="AL1047" s="494">
        <v>76014</v>
      </c>
      <c r="AM1047" s="474" t="s">
        <v>52</v>
      </c>
      <c r="AN1047" s="474"/>
      <c r="AO1047" s="474"/>
      <c r="AP1047" s="474"/>
      <c r="AQ1047" s="482" t="s">
        <v>37</v>
      </c>
      <c r="AR1047" s="474"/>
      <c r="AS1047" s="387"/>
      <c r="AT1047" s="356"/>
      <c r="AU1047" s="387"/>
      <c r="AV1047" s="472"/>
    </row>
    <row r="1048" spans="1:48" s="471" customFormat="1" ht="15" customHeight="1">
      <c r="A1048" s="278"/>
      <c r="B1048" s="279"/>
      <c r="C1048" s="289"/>
      <c r="D1048" s="405" t="s">
        <v>3678</v>
      </c>
      <c r="E1048" s="301"/>
      <c r="F1048" s="501"/>
      <c r="G1048" s="501">
        <v>2022</v>
      </c>
      <c r="H1048" s="501"/>
      <c r="I1048" s="382" t="s">
        <v>1286</v>
      </c>
      <c r="J1048" s="502"/>
      <c r="K1048" s="501" t="s">
        <v>5048</v>
      </c>
      <c r="L1048" s="502" t="s">
        <v>1120</v>
      </c>
      <c r="M1048" s="502">
        <v>44657</v>
      </c>
      <c r="N1048" s="502">
        <v>44844</v>
      </c>
      <c r="O1048" s="502"/>
      <c r="P1048" s="502"/>
      <c r="Q1048" s="501"/>
      <c r="R1048" s="501"/>
      <c r="S1048" s="501" t="s">
        <v>1102</v>
      </c>
      <c r="T1048" s="505">
        <v>60</v>
      </c>
      <c r="U1048" s="403"/>
      <c r="V1048" s="501" t="s">
        <v>986</v>
      </c>
      <c r="W1048" s="505">
        <v>360</v>
      </c>
      <c r="X1048" s="403">
        <v>768</v>
      </c>
      <c r="Y1048" s="477">
        <f t="shared" si="142"/>
        <v>276480</v>
      </c>
      <c r="Z1048" s="478">
        <v>0.53</v>
      </c>
      <c r="AA1048" s="479">
        <f t="shared" si="143"/>
        <v>146534.39999999999</v>
      </c>
      <c r="AB1048" s="386"/>
      <c r="AC1048" s="481"/>
      <c r="AD1048" s="474"/>
      <c r="AE1048" s="482"/>
      <c r="AF1048" s="493">
        <f t="shared" si="141"/>
        <v>146534.39999999999</v>
      </c>
      <c r="AG1048" s="474" t="s">
        <v>47</v>
      </c>
      <c r="AH1048" s="447"/>
      <c r="AI1048" s="474">
        <v>45</v>
      </c>
      <c r="AJ1048" s="474" t="s">
        <v>3221</v>
      </c>
      <c r="AK1048" s="474" t="s">
        <v>1144</v>
      </c>
      <c r="AL1048" s="494">
        <v>76014</v>
      </c>
      <c r="AM1048" s="474" t="s">
        <v>52</v>
      </c>
      <c r="AN1048" s="474"/>
      <c r="AO1048" s="474"/>
      <c r="AP1048" s="474"/>
      <c r="AQ1048" s="482" t="s">
        <v>37</v>
      </c>
      <c r="AR1048" s="474"/>
      <c r="AS1048" s="387"/>
      <c r="AT1048" s="356"/>
      <c r="AU1048" s="387"/>
      <c r="AV1048" s="472"/>
    </row>
    <row r="1049" spans="1:48" s="471" customFormat="1" ht="15" customHeight="1">
      <c r="A1049" s="278"/>
      <c r="B1049" s="279"/>
      <c r="C1049" s="289" t="s">
        <v>1211</v>
      </c>
      <c r="D1049" s="405" t="s">
        <v>3678</v>
      </c>
      <c r="E1049" s="300"/>
      <c r="F1049" s="501"/>
      <c r="G1049" s="501">
        <v>2022</v>
      </c>
      <c r="H1049" s="501"/>
      <c r="I1049" s="382" t="s">
        <v>1286</v>
      </c>
      <c r="J1049" s="502"/>
      <c r="K1049" s="501" t="s">
        <v>5048</v>
      </c>
      <c r="L1049" s="502" t="s">
        <v>1120</v>
      </c>
      <c r="M1049" s="502">
        <v>44657</v>
      </c>
      <c r="N1049" s="502">
        <v>44844</v>
      </c>
      <c r="O1049" s="502"/>
      <c r="P1049" s="502"/>
      <c r="Q1049" s="501"/>
      <c r="R1049" s="501"/>
      <c r="S1049" s="501" t="s">
        <v>1102</v>
      </c>
      <c r="T1049" s="505">
        <v>60</v>
      </c>
      <c r="U1049" s="403"/>
      <c r="V1049" s="501" t="s">
        <v>973</v>
      </c>
      <c r="W1049" s="505">
        <v>400</v>
      </c>
      <c r="X1049" s="403">
        <v>832</v>
      </c>
      <c r="Y1049" s="477">
        <f t="shared" si="142"/>
        <v>332800</v>
      </c>
      <c r="Z1049" s="478">
        <v>0.55000000000000004</v>
      </c>
      <c r="AA1049" s="479">
        <f t="shared" si="143"/>
        <v>183040.00000000003</v>
      </c>
      <c r="AB1049" s="386"/>
      <c r="AC1049" s="481"/>
      <c r="AD1049" s="474"/>
      <c r="AE1049" s="482"/>
      <c r="AF1049" s="493">
        <f t="shared" si="141"/>
        <v>183040.00000000003</v>
      </c>
      <c r="AG1049" s="474" t="s">
        <v>47</v>
      </c>
      <c r="AH1049" s="447"/>
      <c r="AI1049" s="474">
        <v>45</v>
      </c>
      <c r="AJ1049" s="474" t="s">
        <v>3221</v>
      </c>
      <c r="AK1049" s="474" t="s">
        <v>1144</v>
      </c>
      <c r="AL1049" s="494">
        <v>76014</v>
      </c>
      <c r="AM1049" s="474" t="s">
        <v>52</v>
      </c>
      <c r="AN1049" s="474"/>
      <c r="AO1049" s="474"/>
      <c r="AP1049" s="474"/>
      <c r="AQ1049" s="482" t="s">
        <v>37</v>
      </c>
      <c r="AR1049" s="474"/>
      <c r="AS1049" s="387"/>
      <c r="AT1049" s="356"/>
      <c r="AU1049" s="387"/>
      <c r="AV1049" s="472"/>
    </row>
    <row r="1050" spans="1:48" s="471" customFormat="1" ht="15" customHeight="1">
      <c r="A1050" s="278"/>
      <c r="B1050" s="279"/>
      <c r="C1050" s="289" t="s">
        <v>1211</v>
      </c>
      <c r="D1050" s="405" t="s">
        <v>3678</v>
      </c>
      <c r="E1050" s="300"/>
      <c r="F1050" s="501"/>
      <c r="G1050" s="501">
        <v>2022</v>
      </c>
      <c r="H1050" s="501"/>
      <c r="I1050" s="382" t="s">
        <v>1286</v>
      </c>
      <c r="J1050" s="502"/>
      <c r="K1050" s="501" t="s">
        <v>5048</v>
      </c>
      <c r="L1050" s="502" t="s">
        <v>1120</v>
      </c>
      <c r="M1050" s="502">
        <v>44657</v>
      </c>
      <c r="N1050" s="502">
        <v>44844</v>
      </c>
      <c r="O1050" s="502"/>
      <c r="P1050" s="502"/>
      <c r="Q1050" s="501"/>
      <c r="R1050" s="501"/>
      <c r="S1050" s="501" t="s">
        <v>1102</v>
      </c>
      <c r="T1050" s="505">
        <v>60</v>
      </c>
      <c r="U1050" s="403"/>
      <c r="V1050" s="501" t="s">
        <v>986</v>
      </c>
      <c r="W1050" s="505">
        <v>360</v>
      </c>
      <c r="X1050" s="403">
        <v>768</v>
      </c>
      <c r="Y1050" s="477">
        <f t="shared" si="142"/>
        <v>276480</v>
      </c>
      <c r="Z1050" s="478">
        <v>0.53</v>
      </c>
      <c r="AA1050" s="479">
        <f t="shared" si="143"/>
        <v>146534.39999999999</v>
      </c>
      <c r="AB1050" s="386"/>
      <c r="AC1050" s="481"/>
      <c r="AD1050" s="474"/>
      <c r="AE1050" s="482"/>
      <c r="AF1050" s="493">
        <f t="shared" si="141"/>
        <v>146534.39999999999</v>
      </c>
      <c r="AG1050" s="474" t="s">
        <v>47</v>
      </c>
      <c r="AH1050" s="447"/>
      <c r="AI1050" s="474">
        <v>45</v>
      </c>
      <c r="AJ1050" s="474" t="s">
        <v>3221</v>
      </c>
      <c r="AK1050" s="474" t="s">
        <v>1144</v>
      </c>
      <c r="AL1050" s="494">
        <v>76014</v>
      </c>
      <c r="AM1050" s="474" t="s">
        <v>52</v>
      </c>
      <c r="AN1050" s="474"/>
      <c r="AO1050" s="474"/>
      <c r="AP1050" s="474"/>
      <c r="AQ1050" s="482" t="s">
        <v>37</v>
      </c>
      <c r="AR1050" s="474"/>
      <c r="AS1050" s="387"/>
      <c r="AT1050" s="356"/>
      <c r="AU1050" s="387"/>
      <c r="AV1050" s="472"/>
    </row>
    <row r="1051" spans="1:48" s="471" customFormat="1" ht="15" customHeight="1">
      <c r="A1051" s="278"/>
      <c r="B1051" s="279"/>
      <c r="C1051" s="289" t="s">
        <v>1211</v>
      </c>
      <c r="D1051" s="405" t="s">
        <v>3678</v>
      </c>
      <c r="E1051" s="300"/>
      <c r="F1051" s="501"/>
      <c r="G1051" s="501">
        <v>2022</v>
      </c>
      <c r="H1051" s="501"/>
      <c r="I1051" s="382" t="s">
        <v>1286</v>
      </c>
      <c r="J1051" s="502"/>
      <c r="K1051" s="501" t="s">
        <v>5049</v>
      </c>
      <c r="L1051" s="502" t="s">
        <v>1120</v>
      </c>
      <c r="M1051" s="502">
        <v>44657</v>
      </c>
      <c r="N1051" s="502">
        <v>44844</v>
      </c>
      <c r="O1051" s="502"/>
      <c r="P1051" s="502"/>
      <c r="Q1051" s="501"/>
      <c r="R1051" s="501"/>
      <c r="S1051" s="501" t="s">
        <v>1102</v>
      </c>
      <c r="T1051" s="505">
        <v>60</v>
      </c>
      <c r="U1051" s="403"/>
      <c r="V1051" s="501" t="s">
        <v>973</v>
      </c>
      <c r="W1051" s="505">
        <v>400</v>
      </c>
      <c r="X1051" s="403">
        <v>832</v>
      </c>
      <c r="Y1051" s="477">
        <f t="shared" si="142"/>
        <v>332800</v>
      </c>
      <c r="Z1051" s="478">
        <v>0.55000000000000004</v>
      </c>
      <c r="AA1051" s="479">
        <f t="shared" si="143"/>
        <v>183040.00000000003</v>
      </c>
      <c r="AB1051" s="386"/>
      <c r="AC1051" s="481"/>
      <c r="AD1051" s="474"/>
      <c r="AE1051" s="482"/>
      <c r="AF1051" s="493">
        <f t="shared" si="141"/>
        <v>183040.00000000003</v>
      </c>
      <c r="AG1051" s="474" t="s">
        <v>47</v>
      </c>
      <c r="AH1051" s="447"/>
      <c r="AI1051" s="474">
        <v>45</v>
      </c>
      <c r="AJ1051" s="474" t="s">
        <v>2277</v>
      </c>
      <c r="AK1051" s="474" t="s">
        <v>1084</v>
      </c>
      <c r="AL1051" s="494">
        <v>32822</v>
      </c>
      <c r="AM1051" s="474" t="s">
        <v>52</v>
      </c>
      <c r="AN1051" s="474"/>
      <c r="AO1051" s="474"/>
      <c r="AP1051" s="474"/>
      <c r="AQ1051" s="482" t="s">
        <v>37</v>
      </c>
      <c r="AR1051" s="474"/>
      <c r="AS1051" s="387"/>
      <c r="AT1051" s="356"/>
      <c r="AU1051" s="387"/>
      <c r="AV1051" s="472"/>
    </row>
    <row r="1052" spans="1:48" s="471" customFormat="1" ht="15" customHeight="1">
      <c r="A1052" s="278"/>
      <c r="B1052" s="279"/>
      <c r="C1052" s="289" t="s">
        <v>1211</v>
      </c>
      <c r="D1052" s="405" t="s">
        <v>3678</v>
      </c>
      <c r="E1052" s="300"/>
      <c r="F1052" s="501"/>
      <c r="G1052" s="501">
        <v>2022</v>
      </c>
      <c r="H1052" s="501"/>
      <c r="I1052" s="382" t="s">
        <v>1286</v>
      </c>
      <c r="J1052" s="502"/>
      <c r="K1052" s="382" t="s">
        <v>5049</v>
      </c>
      <c r="L1052" s="502" t="s">
        <v>1120</v>
      </c>
      <c r="M1052" s="502">
        <v>44657</v>
      </c>
      <c r="N1052" s="502">
        <v>44844</v>
      </c>
      <c r="O1052" s="502"/>
      <c r="P1052" s="502"/>
      <c r="Q1052" s="501"/>
      <c r="R1052" s="501"/>
      <c r="S1052" s="501" t="s">
        <v>1102</v>
      </c>
      <c r="T1052" s="505">
        <v>60</v>
      </c>
      <c r="U1052" s="403"/>
      <c r="V1052" s="501" t="s">
        <v>973</v>
      </c>
      <c r="W1052" s="505">
        <v>400</v>
      </c>
      <c r="X1052" s="403">
        <v>832</v>
      </c>
      <c r="Y1052" s="477">
        <f t="shared" si="142"/>
        <v>332800</v>
      </c>
      <c r="Z1052" s="478">
        <v>0.55000000000000004</v>
      </c>
      <c r="AA1052" s="479">
        <f t="shared" si="143"/>
        <v>183040.00000000003</v>
      </c>
      <c r="AB1052" s="386"/>
      <c r="AC1052" s="481"/>
      <c r="AD1052" s="474"/>
      <c r="AE1052" s="482"/>
      <c r="AF1052" s="493">
        <f t="shared" si="141"/>
        <v>183040.00000000003</v>
      </c>
      <c r="AG1052" s="474" t="s">
        <v>47</v>
      </c>
      <c r="AH1052" s="447"/>
      <c r="AI1052" s="474">
        <v>45</v>
      </c>
      <c r="AJ1052" s="474" t="s">
        <v>2277</v>
      </c>
      <c r="AK1052" s="474" t="s">
        <v>1084</v>
      </c>
      <c r="AL1052" s="494">
        <v>32822</v>
      </c>
      <c r="AM1052" s="474" t="s">
        <v>52</v>
      </c>
      <c r="AN1052" s="474"/>
      <c r="AO1052" s="474"/>
      <c r="AP1052" s="474"/>
      <c r="AQ1052" s="482" t="s">
        <v>37</v>
      </c>
      <c r="AR1052" s="474"/>
      <c r="AS1052" s="387"/>
      <c r="AT1052" s="356"/>
      <c r="AU1052" s="387"/>
      <c r="AV1052" s="472"/>
    </row>
    <row r="1053" spans="1:48" s="471" customFormat="1" ht="15" customHeight="1">
      <c r="A1053" s="278"/>
      <c r="B1053" s="279"/>
      <c r="C1053" s="289" t="s">
        <v>1211</v>
      </c>
      <c r="D1053" s="405" t="s">
        <v>3678</v>
      </c>
      <c r="E1053" s="300"/>
      <c r="F1053" s="501"/>
      <c r="G1053" s="501">
        <v>2022</v>
      </c>
      <c r="H1053" s="382"/>
      <c r="I1053" s="382" t="s">
        <v>1286</v>
      </c>
      <c r="J1053" s="502"/>
      <c r="K1053" s="501" t="s">
        <v>5049</v>
      </c>
      <c r="L1053" s="502" t="s">
        <v>1120</v>
      </c>
      <c r="M1053" s="502">
        <v>44657</v>
      </c>
      <c r="N1053" s="502">
        <v>44844</v>
      </c>
      <c r="O1053" s="502"/>
      <c r="P1053" s="502"/>
      <c r="Q1053" s="501"/>
      <c r="R1053" s="501"/>
      <c r="S1053" s="501" t="s">
        <v>1102</v>
      </c>
      <c r="T1053" s="505">
        <v>60</v>
      </c>
      <c r="U1053" s="403"/>
      <c r="V1053" s="501" t="s">
        <v>986</v>
      </c>
      <c r="W1053" s="505">
        <v>360</v>
      </c>
      <c r="X1053" s="403">
        <v>768</v>
      </c>
      <c r="Y1053" s="477">
        <f t="shared" si="142"/>
        <v>276480</v>
      </c>
      <c r="Z1053" s="478">
        <v>0.53</v>
      </c>
      <c r="AA1053" s="479">
        <f t="shared" si="143"/>
        <v>146534.39999999999</v>
      </c>
      <c r="AB1053" s="480"/>
      <c r="AC1053" s="481"/>
      <c r="AD1053" s="490"/>
      <c r="AE1053" s="482"/>
      <c r="AF1053" s="493">
        <f t="shared" si="141"/>
        <v>146534.39999999999</v>
      </c>
      <c r="AG1053" s="474" t="s">
        <v>47</v>
      </c>
      <c r="AH1053" s="474"/>
      <c r="AI1053" s="474">
        <v>45</v>
      </c>
      <c r="AJ1053" s="474" t="s">
        <v>2277</v>
      </c>
      <c r="AK1053" s="474" t="s">
        <v>1084</v>
      </c>
      <c r="AL1053" s="494">
        <v>32822</v>
      </c>
      <c r="AM1053" s="474" t="s">
        <v>52</v>
      </c>
      <c r="AN1053" s="474"/>
      <c r="AO1053" s="474"/>
      <c r="AP1053" s="482"/>
      <c r="AQ1053" s="482" t="s">
        <v>37</v>
      </c>
      <c r="AR1053" s="474"/>
      <c r="AS1053" s="472"/>
      <c r="AT1053" s="281"/>
      <c r="AU1053" s="436"/>
      <c r="AV1053" s="472"/>
    </row>
    <row r="1054" spans="1:48" s="471" customFormat="1" ht="15" customHeight="1">
      <c r="A1054" s="278"/>
      <c r="B1054" s="279"/>
      <c r="C1054" s="289" t="s">
        <v>1211</v>
      </c>
      <c r="D1054" s="405" t="s">
        <v>3678</v>
      </c>
      <c r="E1054" s="300"/>
      <c r="F1054" s="501"/>
      <c r="G1054" s="501">
        <v>2022</v>
      </c>
      <c r="H1054" s="382"/>
      <c r="I1054" s="382" t="s">
        <v>1286</v>
      </c>
      <c r="J1054" s="502"/>
      <c r="K1054" s="501" t="s">
        <v>5049</v>
      </c>
      <c r="L1054" s="502" t="s">
        <v>1120</v>
      </c>
      <c r="M1054" s="502">
        <v>44657</v>
      </c>
      <c r="N1054" s="502">
        <v>44844</v>
      </c>
      <c r="O1054" s="502"/>
      <c r="P1054" s="502"/>
      <c r="Q1054" s="501"/>
      <c r="R1054" s="501"/>
      <c r="S1054" s="501" t="s">
        <v>1102</v>
      </c>
      <c r="T1054" s="505">
        <v>60</v>
      </c>
      <c r="U1054" s="403"/>
      <c r="V1054" s="501" t="s">
        <v>973</v>
      </c>
      <c r="W1054" s="505">
        <v>400</v>
      </c>
      <c r="X1054" s="403">
        <v>832</v>
      </c>
      <c r="Y1054" s="477">
        <f t="shared" si="142"/>
        <v>332800</v>
      </c>
      <c r="Z1054" s="478">
        <v>0.55000000000000004</v>
      </c>
      <c r="AA1054" s="479">
        <f t="shared" si="143"/>
        <v>183040.00000000003</v>
      </c>
      <c r="AB1054" s="480"/>
      <c r="AC1054" s="481"/>
      <c r="AD1054" s="490"/>
      <c r="AE1054" s="482"/>
      <c r="AF1054" s="493">
        <f t="shared" si="141"/>
        <v>183040.00000000003</v>
      </c>
      <c r="AG1054" s="474" t="s">
        <v>47</v>
      </c>
      <c r="AH1054" s="474"/>
      <c r="AI1054" s="474">
        <v>45</v>
      </c>
      <c r="AJ1054" s="474" t="s">
        <v>2277</v>
      </c>
      <c r="AK1054" s="474" t="s">
        <v>1084</v>
      </c>
      <c r="AL1054" s="494">
        <v>32822</v>
      </c>
      <c r="AM1054" s="474" t="s">
        <v>52</v>
      </c>
      <c r="AN1054" s="474"/>
      <c r="AO1054" s="474"/>
      <c r="AP1054" s="482"/>
      <c r="AQ1054" s="482" t="s">
        <v>37</v>
      </c>
      <c r="AR1054" s="474"/>
      <c r="AS1054" s="472"/>
      <c r="AT1054" s="281"/>
      <c r="AU1054" s="436"/>
      <c r="AV1054" s="472"/>
    </row>
    <row r="1055" spans="1:48" s="471" customFormat="1" ht="15" customHeight="1">
      <c r="A1055" s="278"/>
      <c r="B1055" s="279"/>
      <c r="C1055" s="289" t="s">
        <v>1211</v>
      </c>
      <c r="D1055" s="405" t="s">
        <v>3678</v>
      </c>
      <c r="E1055" s="301"/>
      <c r="F1055" s="501"/>
      <c r="G1055" s="501">
        <v>2022</v>
      </c>
      <c r="H1055" s="501"/>
      <c r="I1055" s="382" t="s">
        <v>1286</v>
      </c>
      <c r="J1055" s="502"/>
      <c r="K1055" s="501" t="s">
        <v>5050</v>
      </c>
      <c r="L1055" s="502" t="s">
        <v>1120</v>
      </c>
      <c r="M1055" s="502">
        <v>44657</v>
      </c>
      <c r="N1055" s="502">
        <v>44844</v>
      </c>
      <c r="O1055" s="502"/>
      <c r="P1055" s="502"/>
      <c r="Q1055" s="501"/>
      <c r="R1055" s="501"/>
      <c r="S1055" s="501" t="s">
        <v>1102</v>
      </c>
      <c r="T1055" s="505">
        <v>60</v>
      </c>
      <c r="U1055" s="403"/>
      <c r="V1055" s="501" t="s">
        <v>973</v>
      </c>
      <c r="W1055" s="505">
        <v>400</v>
      </c>
      <c r="X1055" s="403">
        <v>832</v>
      </c>
      <c r="Y1055" s="477">
        <f t="shared" si="142"/>
        <v>332800</v>
      </c>
      <c r="Z1055" s="478">
        <v>0.55000000000000004</v>
      </c>
      <c r="AA1055" s="479">
        <f t="shared" si="143"/>
        <v>183040.00000000003</v>
      </c>
      <c r="AB1055" s="386"/>
      <c r="AC1055" s="481"/>
      <c r="AD1055" s="474"/>
      <c r="AE1055" s="482"/>
      <c r="AF1055" s="493">
        <f t="shared" si="141"/>
        <v>183040.00000000003</v>
      </c>
      <c r="AG1055" s="474" t="s">
        <v>47</v>
      </c>
      <c r="AH1055" s="447"/>
      <c r="AI1055" s="474">
        <v>45</v>
      </c>
      <c r="AJ1055" s="474" t="s">
        <v>3448</v>
      </c>
      <c r="AK1055" s="474" t="s">
        <v>1395</v>
      </c>
      <c r="AL1055" s="494">
        <v>89521</v>
      </c>
      <c r="AM1055" s="474" t="s">
        <v>52</v>
      </c>
      <c r="AN1055" s="474"/>
      <c r="AO1055" s="474"/>
      <c r="AP1055" s="474"/>
      <c r="AQ1055" s="482" t="s">
        <v>37</v>
      </c>
      <c r="AR1055" s="474"/>
      <c r="AS1055" s="387"/>
      <c r="AT1055" s="356"/>
      <c r="AU1055" s="387"/>
      <c r="AV1055" s="472"/>
    </row>
    <row r="1056" spans="1:48" s="471" customFormat="1" ht="15" customHeight="1">
      <c r="A1056" s="278"/>
      <c r="B1056" s="279"/>
      <c r="C1056" s="289" t="s">
        <v>1211</v>
      </c>
      <c r="D1056" s="405" t="s">
        <v>3678</v>
      </c>
      <c r="E1056" s="300"/>
      <c r="F1056" s="501"/>
      <c r="G1056" s="501">
        <v>2022</v>
      </c>
      <c r="H1056" s="382"/>
      <c r="I1056" s="382" t="s">
        <v>1286</v>
      </c>
      <c r="J1056" s="502"/>
      <c r="K1056" s="382" t="s">
        <v>5050</v>
      </c>
      <c r="L1056" s="502" t="s">
        <v>1120</v>
      </c>
      <c r="M1056" s="502">
        <v>44657</v>
      </c>
      <c r="N1056" s="502">
        <v>44844</v>
      </c>
      <c r="O1056" s="502"/>
      <c r="P1056" s="502"/>
      <c r="Q1056" s="501"/>
      <c r="R1056" s="501"/>
      <c r="S1056" s="501" t="s">
        <v>1102</v>
      </c>
      <c r="T1056" s="505">
        <v>60</v>
      </c>
      <c r="U1056" s="403"/>
      <c r="V1056" s="501" t="s">
        <v>973</v>
      </c>
      <c r="W1056" s="505">
        <v>400</v>
      </c>
      <c r="X1056" s="403">
        <v>832</v>
      </c>
      <c r="Y1056" s="477">
        <f t="shared" si="142"/>
        <v>332800</v>
      </c>
      <c r="Z1056" s="478">
        <v>0.55000000000000004</v>
      </c>
      <c r="AA1056" s="479">
        <f t="shared" si="143"/>
        <v>183040.00000000003</v>
      </c>
      <c r="AB1056" s="480"/>
      <c r="AC1056" s="481"/>
      <c r="AD1056" s="490"/>
      <c r="AE1056" s="482"/>
      <c r="AF1056" s="493">
        <f t="shared" si="141"/>
        <v>183040.00000000003</v>
      </c>
      <c r="AG1056" s="474" t="s">
        <v>47</v>
      </c>
      <c r="AH1056" s="474"/>
      <c r="AI1056" s="474">
        <v>45</v>
      </c>
      <c r="AJ1056" s="474" t="s">
        <v>3448</v>
      </c>
      <c r="AK1056" s="474" t="s">
        <v>1395</v>
      </c>
      <c r="AL1056" s="494">
        <v>89521</v>
      </c>
      <c r="AM1056" s="474" t="s">
        <v>52</v>
      </c>
      <c r="AN1056" s="474"/>
      <c r="AO1056" s="474"/>
      <c r="AP1056" s="482"/>
      <c r="AQ1056" s="482" t="s">
        <v>37</v>
      </c>
      <c r="AR1056" s="474"/>
      <c r="AS1056" s="472"/>
      <c r="AT1056" s="281"/>
      <c r="AU1056" s="436"/>
      <c r="AV1056" s="472"/>
    </row>
    <row r="1057" spans="1:48" s="471" customFormat="1" ht="15" customHeight="1">
      <c r="A1057" s="278"/>
      <c r="B1057" s="279"/>
      <c r="C1057" s="289" t="s">
        <v>1211</v>
      </c>
      <c r="D1057" s="405" t="s">
        <v>3678</v>
      </c>
      <c r="E1057" s="300"/>
      <c r="F1057" s="501"/>
      <c r="G1057" s="501">
        <v>2022</v>
      </c>
      <c r="H1057" s="501"/>
      <c r="I1057" s="382" t="s">
        <v>1286</v>
      </c>
      <c r="J1057" s="502"/>
      <c r="K1057" s="501" t="s">
        <v>5050</v>
      </c>
      <c r="L1057" s="502" t="s">
        <v>1120</v>
      </c>
      <c r="M1057" s="502">
        <v>44657</v>
      </c>
      <c r="N1057" s="502">
        <v>44844</v>
      </c>
      <c r="O1057" s="502"/>
      <c r="P1057" s="502"/>
      <c r="Q1057" s="501"/>
      <c r="R1057" s="501"/>
      <c r="S1057" s="501" t="s">
        <v>1102</v>
      </c>
      <c r="T1057" s="505">
        <v>60</v>
      </c>
      <c r="U1057" s="403"/>
      <c r="V1057" s="501" t="s">
        <v>986</v>
      </c>
      <c r="W1057" s="505">
        <v>360</v>
      </c>
      <c r="X1057" s="403">
        <v>768</v>
      </c>
      <c r="Y1057" s="477">
        <f t="shared" si="142"/>
        <v>276480</v>
      </c>
      <c r="Z1057" s="478">
        <v>0.53</v>
      </c>
      <c r="AA1057" s="479">
        <f t="shared" si="143"/>
        <v>146534.39999999999</v>
      </c>
      <c r="AB1057" s="386"/>
      <c r="AC1057" s="481"/>
      <c r="AD1057" s="474"/>
      <c r="AE1057" s="482"/>
      <c r="AF1057" s="493">
        <f t="shared" si="141"/>
        <v>146534.39999999999</v>
      </c>
      <c r="AG1057" s="474" t="s">
        <v>47</v>
      </c>
      <c r="AH1057" s="447"/>
      <c r="AI1057" s="474">
        <v>45</v>
      </c>
      <c r="AJ1057" s="474" t="s">
        <v>3448</v>
      </c>
      <c r="AK1057" s="474" t="s">
        <v>1395</v>
      </c>
      <c r="AL1057" s="494">
        <v>89521</v>
      </c>
      <c r="AM1057" s="474" t="s">
        <v>52</v>
      </c>
      <c r="AN1057" s="474"/>
      <c r="AO1057" s="474"/>
      <c r="AP1057" s="474"/>
      <c r="AQ1057" s="482" t="s">
        <v>37</v>
      </c>
      <c r="AR1057" s="474"/>
      <c r="AS1057" s="387"/>
      <c r="AT1057" s="356"/>
      <c r="AU1057" s="387"/>
      <c r="AV1057" s="472"/>
    </row>
    <row r="1058" spans="1:48" s="471" customFormat="1" ht="15" customHeight="1">
      <c r="A1058" s="278"/>
      <c r="B1058" s="279"/>
      <c r="C1058" s="289" t="s">
        <v>1211</v>
      </c>
      <c r="D1058" s="405" t="s">
        <v>3678</v>
      </c>
      <c r="E1058" s="300"/>
      <c r="F1058" s="501"/>
      <c r="G1058" s="501">
        <v>2022</v>
      </c>
      <c r="H1058" s="382"/>
      <c r="I1058" s="382" t="s">
        <v>1286</v>
      </c>
      <c r="J1058" s="502"/>
      <c r="K1058" s="501" t="s">
        <v>5050</v>
      </c>
      <c r="L1058" s="502" t="s">
        <v>1120</v>
      </c>
      <c r="M1058" s="502">
        <v>44657</v>
      </c>
      <c r="N1058" s="502">
        <v>44844</v>
      </c>
      <c r="O1058" s="502"/>
      <c r="P1058" s="502"/>
      <c r="Q1058" s="501"/>
      <c r="R1058" s="501"/>
      <c r="S1058" s="501" t="s">
        <v>1102</v>
      </c>
      <c r="T1058" s="505">
        <v>60</v>
      </c>
      <c r="U1058" s="403"/>
      <c r="V1058" s="501" t="s">
        <v>973</v>
      </c>
      <c r="W1058" s="505">
        <v>400</v>
      </c>
      <c r="X1058" s="403">
        <v>832</v>
      </c>
      <c r="Y1058" s="477">
        <f t="shared" si="142"/>
        <v>332800</v>
      </c>
      <c r="Z1058" s="478">
        <v>0.55000000000000004</v>
      </c>
      <c r="AA1058" s="479">
        <f t="shared" si="143"/>
        <v>183040.00000000003</v>
      </c>
      <c r="AB1058" s="480"/>
      <c r="AC1058" s="481"/>
      <c r="AD1058" s="490"/>
      <c r="AE1058" s="482"/>
      <c r="AF1058" s="493">
        <f t="shared" si="141"/>
        <v>183040.00000000003</v>
      </c>
      <c r="AG1058" s="474" t="s">
        <v>47</v>
      </c>
      <c r="AH1058" s="474"/>
      <c r="AI1058" s="474">
        <v>45</v>
      </c>
      <c r="AJ1058" s="474" t="s">
        <v>3448</v>
      </c>
      <c r="AK1058" s="474" t="s">
        <v>1395</v>
      </c>
      <c r="AL1058" s="494">
        <v>89521</v>
      </c>
      <c r="AM1058" s="474" t="s">
        <v>52</v>
      </c>
      <c r="AN1058" s="474"/>
      <c r="AO1058" s="474"/>
      <c r="AP1058" s="482"/>
      <c r="AQ1058" s="482" t="s">
        <v>37</v>
      </c>
      <c r="AR1058" s="474"/>
      <c r="AS1058" s="472"/>
      <c r="AT1058" s="281"/>
      <c r="AU1058" s="436"/>
      <c r="AV1058" s="472"/>
    </row>
    <row r="1059" spans="1:48" s="471" customFormat="1" ht="15" customHeight="1">
      <c r="A1059" s="278"/>
      <c r="B1059" s="279"/>
      <c r="C1059" s="289" t="s">
        <v>1211</v>
      </c>
      <c r="D1059" s="405" t="s">
        <v>3678</v>
      </c>
      <c r="E1059" s="300"/>
      <c r="F1059" s="501"/>
      <c r="G1059" s="501">
        <v>2022</v>
      </c>
      <c r="H1059" s="501"/>
      <c r="I1059" s="382" t="s">
        <v>1286</v>
      </c>
      <c r="J1059" s="502"/>
      <c r="K1059" s="501" t="s">
        <v>5051</v>
      </c>
      <c r="L1059" s="502" t="s">
        <v>1120</v>
      </c>
      <c r="M1059" s="502">
        <v>44657</v>
      </c>
      <c r="N1059" s="502">
        <v>44844</v>
      </c>
      <c r="O1059" s="502"/>
      <c r="P1059" s="502"/>
      <c r="Q1059" s="501"/>
      <c r="R1059" s="501"/>
      <c r="S1059" s="501" t="s">
        <v>1102</v>
      </c>
      <c r="T1059" s="505">
        <v>60</v>
      </c>
      <c r="U1059" s="403"/>
      <c r="V1059" s="501" t="s">
        <v>973</v>
      </c>
      <c r="W1059" s="505">
        <v>400</v>
      </c>
      <c r="X1059" s="403">
        <v>832</v>
      </c>
      <c r="Y1059" s="477">
        <f t="shared" si="142"/>
        <v>332800</v>
      </c>
      <c r="Z1059" s="478">
        <v>0.55000000000000004</v>
      </c>
      <c r="AA1059" s="479">
        <f t="shared" si="143"/>
        <v>183040.00000000003</v>
      </c>
      <c r="AB1059" s="386"/>
      <c r="AC1059" s="481"/>
      <c r="AD1059" s="474"/>
      <c r="AE1059" s="482"/>
      <c r="AF1059" s="493">
        <f t="shared" si="141"/>
        <v>183040.00000000003</v>
      </c>
      <c r="AG1059" s="474" t="s">
        <v>47</v>
      </c>
      <c r="AH1059" s="447"/>
      <c r="AI1059" s="474">
        <v>45</v>
      </c>
      <c r="AJ1059" s="474" t="s">
        <v>5052</v>
      </c>
      <c r="AK1059" s="474" t="s">
        <v>1138</v>
      </c>
      <c r="AL1059" s="494">
        <v>12306</v>
      </c>
      <c r="AM1059" s="474" t="s">
        <v>52</v>
      </c>
      <c r="AN1059" s="474"/>
      <c r="AO1059" s="474"/>
      <c r="AP1059" s="474"/>
      <c r="AQ1059" s="482" t="s">
        <v>37</v>
      </c>
      <c r="AR1059" s="474"/>
      <c r="AS1059" s="387"/>
      <c r="AT1059" s="356"/>
      <c r="AU1059" s="387"/>
      <c r="AV1059" s="472"/>
    </row>
    <row r="1060" spans="1:48" s="471" customFormat="1" ht="15" customHeight="1">
      <c r="A1060" s="278"/>
      <c r="B1060" s="279"/>
      <c r="C1060" s="289" t="s">
        <v>1211</v>
      </c>
      <c r="D1060" s="405" t="s">
        <v>3678</v>
      </c>
      <c r="E1060" s="300"/>
      <c r="F1060" s="501"/>
      <c r="G1060" s="501">
        <v>2022</v>
      </c>
      <c r="H1060" s="501"/>
      <c r="I1060" s="382" t="s">
        <v>1286</v>
      </c>
      <c r="J1060" s="502"/>
      <c r="K1060" s="501" t="s">
        <v>5051</v>
      </c>
      <c r="L1060" s="502" t="s">
        <v>1120</v>
      </c>
      <c r="M1060" s="502">
        <v>44657</v>
      </c>
      <c r="N1060" s="502">
        <v>44844</v>
      </c>
      <c r="O1060" s="502"/>
      <c r="P1060" s="502"/>
      <c r="Q1060" s="501"/>
      <c r="R1060" s="501"/>
      <c r="S1060" s="501" t="s">
        <v>1102</v>
      </c>
      <c r="T1060" s="505">
        <v>60</v>
      </c>
      <c r="U1060" s="403"/>
      <c r="V1060" s="501" t="s">
        <v>973</v>
      </c>
      <c r="W1060" s="505">
        <v>400</v>
      </c>
      <c r="X1060" s="403">
        <v>832</v>
      </c>
      <c r="Y1060" s="477">
        <f t="shared" si="142"/>
        <v>332800</v>
      </c>
      <c r="Z1060" s="478">
        <v>0.55000000000000004</v>
      </c>
      <c r="AA1060" s="479">
        <f t="shared" si="143"/>
        <v>183040.00000000003</v>
      </c>
      <c r="AB1060" s="386"/>
      <c r="AC1060" s="481"/>
      <c r="AD1060" s="474"/>
      <c r="AE1060" s="482"/>
      <c r="AF1060" s="493">
        <f t="shared" si="141"/>
        <v>183040.00000000003</v>
      </c>
      <c r="AG1060" s="474" t="s">
        <v>47</v>
      </c>
      <c r="AH1060" s="447"/>
      <c r="AI1060" s="474">
        <v>45</v>
      </c>
      <c r="AJ1060" s="474" t="s">
        <v>5052</v>
      </c>
      <c r="AK1060" s="474" t="s">
        <v>1138</v>
      </c>
      <c r="AL1060" s="494">
        <v>12306</v>
      </c>
      <c r="AM1060" s="474" t="s">
        <v>52</v>
      </c>
      <c r="AN1060" s="474"/>
      <c r="AO1060" s="474"/>
      <c r="AP1060" s="474"/>
      <c r="AQ1060" s="482" t="s">
        <v>37</v>
      </c>
      <c r="AR1060" s="474"/>
      <c r="AS1060" s="387"/>
      <c r="AT1060" s="356"/>
      <c r="AU1060" s="387"/>
      <c r="AV1060" s="472"/>
    </row>
    <row r="1061" spans="1:48" s="471" customFormat="1" ht="15" customHeight="1">
      <c r="A1061" s="278"/>
      <c r="B1061" s="279"/>
      <c r="C1061" s="289" t="s">
        <v>1211</v>
      </c>
      <c r="D1061" s="405" t="s">
        <v>3678</v>
      </c>
      <c r="E1061" s="300"/>
      <c r="F1061" s="501"/>
      <c r="G1061" s="501">
        <v>2022</v>
      </c>
      <c r="H1061" s="501"/>
      <c r="I1061" s="382" t="s">
        <v>1286</v>
      </c>
      <c r="J1061" s="502"/>
      <c r="K1061" s="501" t="s">
        <v>5051</v>
      </c>
      <c r="L1061" s="502" t="s">
        <v>1120</v>
      </c>
      <c r="M1061" s="502">
        <v>44657</v>
      </c>
      <c r="N1061" s="502">
        <v>44844</v>
      </c>
      <c r="O1061" s="502"/>
      <c r="P1061" s="502"/>
      <c r="Q1061" s="501"/>
      <c r="R1061" s="501"/>
      <c r="S1061" s="501" t="s">
        <v>1102</v>
      </c>
      <c r="T1061" s="505">
        <v>60</v>
      </c>
      <c r="U1061" s="403"/>
      <c r="V1061" s="501" t="s">
        <v>986</v>
      </c>
      <c r="W1061" s="505">
        <v>360</v>
      </c>
      <c r="X1061" s="403">
        <v>768</v>
      </c>
      <c r="Y1061" s="477">
        <f t="shared" si="142"/>
        <v>276480</v>
      </c>
      <c r="Z1061" s="478">
        <v>0.53</v>
      </c>
      <c r="AA1061" s="479">
        <f t="shared" si="143"/>
        <v>146534.39999999999</v>
      </c>
      <c r="AB1061" s="386"/>
      <c r="AC1061" s="481"/>
      <c r="AD1061" s="474"/>
      <c r="AE1061" s="482"/>
      <c r="AF1061" s="493">
        <f t="shared" si="141"/>
        <v>146534.39999999999</v>
      </c>
      <c r="AG1061" s="474" t="s">
        <v>47</v>
      </c>
      <c r="AH1061" s="447"/>
      <c r="AI1061" s="474">
        <v>45</v>
      </c>
      <c r="AJ1061" s="474" t="s">
        <v>5052</v>
      </c>
      <c r="AK1061" s="474" t="s">
        <v>1138</v>
      </c>
      <c r="AL1061" s="494">
        <v>12306</v>
      </c>
      <c r="AM1061" s="474" t="s">
        <v>52</v>
      </c>
      <c r="AN1061" s="474"/>
      <c r="AO1061" s="474"/>
      <c r="AP1061" s="474"/>
      <c r="AQ1061" s="482" t="s">
        <v>37</v>
      </c>
      <c r="AR1061" s="474"/>
      <c r="AS1061" s="387"/>
      <c r="AT1061" s="356"/>
      <c r="AU1061" s="387"/>
      <c r="AV1061" s="472"/>
    </row>
    <row r="1062" spans="1:48" s="471" customFormat="1" ht="15" customHeight="1">
      <c r="A1062" s="278"/>
      <c r="B1062" s="279"/>
      <c r="C1062" s="289" t="s">
        <v>1211</v>
      </c>
      <c r="D1062" s="405" t="s">
        <v>3678</v>
      </c>
      <c r="E1062" s="300"/>
      <c r="F1062" s="501"/>
      <c r="G1062" s="501">
        <v>2022</v>
      </c>
      <c r="H1062" s="382"/>
      <c r="I1062" s="382" t="s">
        <v>1286</v>
      </c>
      <c r="J1062" s="502"/>
      <c r="K1062" s="501" t="s">
        <v>5051</v>
      </c>
      <c r="L1062" s="502" t="s">
        <v>1120</v>
      </c>
      <c r="M1062" s="502">
        <v>44657</v>
      </c>
      <c r="N1062" s="502">
        <v>44844</v>
      </c>
      <c r="O1062" s="502"/>
      <c r="P1062" s="502"/>
      <c r="Q1062" s="501"/>
      <c r="R1062" s="501"/>
      <c r="S1062" s="501" t="s">
        <v>1102</v>
      </c>
      <c r="T1062" s="505">
        <v>60</v>
      </c>
      <c r="U1062" s="403"/>
      <c r="V1062" s="501" t="s">
        <v>973</v>
      </c>
      <c r="W1062" s="505">
        <v>400</v>
      </c>
      <c r="X1062" s="403">
        <v>832</v>
      </c>
      <c r="Y1062" s="477">
        <f t="shared" si="142"/>
        <v>332800</v>
      </c>
      <c r="Z1062" s="478">
        <v>0.55000000000000004</v>
      </c>
      <c r="AA1062" s="479">
        <f t="shared" si="143"/>
        <v>183040.00000000003</v>
      </c>
      <c r="AB1062" s="480"/>
      <c r="AC1062" s="481"/>
      <c r="AD1062" s="490"/>
      <c r="AE1062" s="482"/>
      <c r="AF1062" s="493">
        <f t="shared" ref="AF1062:AF1125" si="144">AE1062+AD1062+AA1062</f>
        <v>183040.00000000003</v>
      </c>
      <c r="AG1062" s="474" t="s">
        <v>47</v>
      </c>
      <c r="AH1062" s="474"/>
      <c r="AI1062" s="474">
        <v>45</v>
      </c>
      <c r="AJ1062" s="474" t="s">
        <v>5052</v>
      </c>
      <c r="AK1062" s="474" t="s">
        <v>1138</v>
      </c>
      <c r="AL1062" s="494">
        <v>12306</v>
      </c>
      <c r="AM1062" s="474" t="s">
        <v>52</v>
      </c>
      <c r="AN1062" s="474"/>
      <c r="AO1062" s="474"/>
      <c r="AP1062" s="482"/>
      <c r="AQ1062" s="482" t="s">
        <v>37</v>
      </c>
      <c r="AR1062" s="474"/>
      <c r="AS1062" s="472"/>
      <c r="AT1062" s="281"/>
      <c r="AU1062" s="436"/>
      <c r="AV1062" s="472"/>
    </row>
    <row r="1063" spans="1:48" s="471" customFormat="1" ht="15" customHeight="1">
      <c r="A1063" s="278"/>
      <c r="B1063" s="279"/>
      <c r="C1063" s="289" t="s">
        <v>1211</v>
      </c>
      <c r="D1063" s="405" t="s">
        <v>3678</v>
      </c>
      <c r="E1063" s="300"/>
      <c r="F1063" s="501"/>
      <c r="G1063" s="501">
        <v>2022</v>
      </c>
      <c r="H1063" s="382"/>
      <c r="I1063" s="382" t="s">
        <v>1286</v>
      </c>
      <c r="J1063" s="502"/>
      <c r="K1063" s="501" t="s">
        <v>5051</v>
      </c>
      <c r="L1063" s="502" t="s">
        <v>1120</v>
      </c>
      <c r="M1063" s="502">
        <v>44657</v>
      </c>
      <c r="N1063" s="502">
        <v>44844</v>
      </c>
      <c r="O1063" s="502"/>
      <c r="P1063" s="502"/>
      <c r="Q1063" s="501"/>
      <c r="R1063" s="501"/>
      <c r="S1063" s="501" t="s">
        <v>1102</v>
      </c>
      <c r="T1063" s="505">
        <v>60</v>
      </c>
      <c r="U1063" s="403"/>
      <c r="V1063" s="501" t="s">
        <v>973</v>
      </c>
      <c r="W1063" s="505">
        <v>400</v>
      </c>
      <c r="X1063" s="403">
        <v>832</v>
      </c>
      <c r="Y1063" s="477">
        <f t="shared" si="142"/>
        <v>332800</v>
      </c>
      <c r="Z1063" s="478">
        <v>0.55000000000000004</v>
      </c>
      <c r="AA1063" s="479">
        <f t="shared" si="143"/>
        <v>183040.00000000003</v>
      </c>
      <c r="AB1063" s="480"/>
      <c r="AC1063" s="481"/>
      <c r="AD1063" s="490"/>
      <c r="AE1063" s="482"/>
      <c r="AF1063" s="493">
        <f t="shared" si="144"/>
        <v>183040.00000000003</v>
      </c>
      <c r="AG1063" s="474" t="s">
        <v>47</v>
      </c>
      <c r="AH1063" s="474"/>
      <c r="AI1063" s="474">
        <v>45</v>
      </c>
      <c r="AJ1063" s="474" t="s">
        <v>5052</v>
      </c>
      <c r="AK1063" s="474" t="s">
        <v>1138</v>
      </c>
      <c r="AL1063" s="494">
        <v>12306</v>
      </c>
      <c r="AM1063" s="474" t="s">
        <v>52</v>
      </c>
      <c r="AN1063" s="474"/>
      <c r="AO1063" s="474"/>
      <c r="AP1063" s="482"/>
      <c r="AQ1063" s="482" t="s">
        <v>37</v>
      </c>
      <c r="AR1063" s="474"/>
      <c r="AS1063" s="472"/>
      <c r="AT1063" s="281"/>
      <c r="AU1063" s="436"/>
      <c r="AV1063" s="472"/>
    </row>
    <row r="1064" spans="1:48" s="471" customFormat="1" ht="15" customHeight="1">
      <c r="A1064" s="278"/>
      <c r="B1064" s="279"/>
      <c r="C1064" s="289"/>
      <c r="D1064" s="405" t="s">
        <v>3678</v>
      </c>
      <c r="E1064" s="301"/>
      <c r="F1064" s="501"/>
      <c r="G1064" s="501">
        <v>2022</v>
      </c>
      <c r="H1064" s="501"/>
      <c r="I1064" s="382" t="s">
        <v>1286</v>
      </c>
      <c r="J1064" s="502"/>
      <c r="K1064" s="501" t="s">
        <v>5053</v>
      </c>
      <c r="L1064" s="502" t="s">
        <v>1120</v>
      </c>
      <c r="M1064" s="502">
        <v>44657</v>
      </c>
      <c r="N1064" s="502">
        <v>44840</v>
      </c>
      <c r="O1064" s="502"/>
      <c r="P1064" s="502"/>
      <c r="Q1064" s="501"/>
      <c r="R1064" s="501"/>
      <c r="S1064" s="501" t="s">
        <v>1102</v>
      </c>
      <c r="T1064" s="505">
        <v>60</v>
      </c>
      <c r="U1064" s="403"/>
      <c r="V1064" s="501" t="s">
        <v>973</v>
      </c>
      <c r="W1064" s="505">
        <v>400</v>
      </c>
      <c r="X1064" s="403">
        <v>832</v>
      </c>
      <c r="Y1064" s="477">
        <f t="shared" si="142"/>
        <v>332800</v>
      </c>
      <c r="Z1064" s="478">
        <v>0.55000000000000004</v>
      </c>
      <c r="AA1064" s="479">
        <f t="shared" si="143"/>
        <v>183040.00000000003</v>
      </c>
      <c r="AB1064" s="386"/>
      <c r="AC1064" s="481"/>
      <c r="AD1064" s="474"/>
      <c r="AE1064" s="482"/>
      <c r="AF1064" s="493">
        <f t="shared" si="144"/>
        <v>183040.00000000003</v>
      </c>
      <c r="AG1064" s="474" t="s">
        <v>47</v>
      </c>
      <c r="AH1064" s="447"/>
      <c r="AI1064" s="474">
        <v>45</v>
      </c>
      <c r="AJ1064" s="474" t="s">
        <v>1132</v>
      </c>
      <c r="AK1064" s="474" t="s">
        <v>1133</v>
      </c>
      <c r="AL1064" s="494">
        <v>85215</v>
      </c>
      <c r="AM1064" s="474" t="s">
        <v>52</v>
      </c>
      <c r="AN1064" s="474"/>
      <c r="AO1064" s="474"/>
      <c r="AP1064" s="474"/>
      <c r="AQ1064" s="482" t="s">
        <v>37</v>
      </c>
      <c r="AR1064" s="474"/>
      <c r="AS1064" s="387"/>
      <c r="AT1064" s="356"/>
      <c r="AU1064" s="387"/>
      <c r="AV1064" s="472"/>
    </row>
    <row r="1065" spans="1:48" s="471" customFormat="1" ht="15" customHeight="1">
      <c r="A1065" s="278"/>
      <c r="B1065" s="279"/>
      <c r="C1065" s="289" t="s">
        <v>1211</v>
      </c>
      <c r="D1065" s="405" t="s">
        <v>3678</v>
      </c>
      <c r="E1065" s="300"/>
      <c r="F1065" s="501"/>
      <c r="G1065" s="501">
        <v>2022</v>
      </c>
      <c r="H1065" s="501"/>
      <c r="I1065" s="382" t="s">
        <v>1286</v>
      </c>
      <c r="J1065" s="502"/>
      <c r="K1065" s="501" t="s">
        <v>5053</v>
      </c>
      <c r="L1065" s="502" t="s">
        <v>1120</v>
      </c>
      <c r="M1065" s="502">
        <v>44657</v>
      </c>
      <c r="N1065" s="502">
        <v>44840</v>
      </c>
      <c r="O1065" s="502"/>
      <c r="P1065" s="502"/>
      <c r="Q1065" s="501"/>
      <c r="R1065" s="501"/>
      <c r="S1065" s="501" t="s">
        <v>1102</v>
      </c>
      <c r="T1065" s="505">
        <v>60</v>
      </c>
      <c r="U1065" s="403"/>
      <c r="V1065" s="501" t="s">
        <v>1018</v>
      </c>
      <c r="W1065" s="505">
        <v>360</v>
      </c>
      <c r="X1065" s="403">
        <v>728</v>
      </c>
      <c r="Y1065" s="477">
        <f t="shared" si="142"/>
        <v>262080</v>
      </c>
      <c r="Z1065" s="478">
        <v>0.8</v>
      </c>
      <c r="AA1065" s="479">
        <f t="shared" si="143"/>
        <v>209664</v>
      </c>
      <c r="AB1065" s="386"/>
      <c r="AC1065" s="481"/>
      <c r="AD1065" s="474"/>
      <c r="AE1065" s="482"/>
      <c r="AF1065" s="493">
        <f t="shared" si="144"/>
        <v>209664</v>
      </c>
      <c r="AG1065" s="474" t="s">
        <v>47</v>
      </c>
      <c r="AH1065" s="447"/>
      <c r="AI1065" s="474">
        <v>45</v>
      </c>
      <c r="AJ1065" s="474" t="s">
        <v>1132</v>
      </c>
      <c r="AK1065" s="474" t="s">
        <v>1133</v>
      </c>
      <c r="AL1065" s="494">
        <v>85215</v>
      </c>
      <c r="AM1065" s="474" t="s">
        <v>52</v>
      </c>
      <c r="AN1065" s="474"/>
      <c r="AO1065" s="474"/>
      <c r="AP1065" s="474"/>
      <c r="AQ1065" s="482" t="s">
        <v>37</v>
      </c>
      <c r="AR1065" s="474"/>
      <c r="AS1065" s="387"/>
      <c r="AT1065" s="356"/>
      <c r="AU1065" s="387"/>
      <c r="AV1065" s="472"/>
    </row>
    <row r="1066" spans="1:48" s="471" customFormat="1" ht="15" customHeight="1">
      <c r="A1066" s="278"/>
      <c r="B1066" s="279"/>
      <c r="C1066" s="289" t="s">
        <v>1211</v>
      </c>
      <c r="D1066" s="405" t="s">
        <v>3678</v>
      </c>
      <c r="E1066" s="300"/>
      <c r="F1066" s="501"/>
      <c r="G1066" s="501">
        <v>2022</v>
      </c>
      <c r="H1066" s="501"/>
      <c r="I1066" s="382" t="s">
        <v>1286</v>
      </c>
      <c r="J1066" s="502"/>
      <c r="K1066" s="501" t="s">
        <v>5053</v>
      </c>
      <c r="L1066" s="502" t="s">
        <v>1120</v>
      </c>
      <c r="M1066" s="502">
        <v>44657</v>
      </c>
      <c r="N1066" s="502">
        <v>44840</v>
      </c>
      <c r="O1066" s="502"/>
      <c r="P1066" s="502"/>
      <c r="Q1066" s="501"/>
      <c r="R1066" s="501"/>
      <c r="S1066" s="501" t="s">
        <v>1102</v>
      </c>
      <c r="T1066" s="505">
        <v>60</v>
      </c>
      <c r="U1066" s="403"/>
      <c r="V1066" s="501" t="s">
        <v>986</v>
      </c>
      <c r="W1066" s="505">
        <v>360</v>
      </c>
      <c r="X1066" s="403">
        <v>768</v>
      </c>
      <c r="Y1066" s="477">
        <f t="shared" si="142"/>
        <v>276480</v>
      </c>
      <c r="Z1066" s="478">
        <v>0.53</v>
      </c>
      <c r="AA1066" s="479">
        <f t="shared" si="143"/>
        <v>146534.39999999999</v>
      </c>
      <c r="AB1066" s="386"/>
      <c r="AC1066" s="481"/>
      <c r="AD1066" s="474"/>
      <c r="AE1066" s="482"/>
      <c r="AF1066" s="493">
        <f t="shared" si="144"/>
        <v>146534.39999999999</v>
      </c>
      <c r="AG1066" s="474" t="s">
        <v>47</v>
      </c>
      <c r="AH1066" s="447"/>
      <c r="AI1066" s="474">
        <v>45</v>
      </c>
      <c r="AJ1066" s="474" t="s">
        <v>1132</v>
      </c>
      <c r="AK1066" s="474" t="s">
        <v>1133</v>
      </c>
      <c r="AL1066" s="494">
        <v>85215</v>
      </c>
      <c r="AM1066" s="474" t="s">
        <v>52</v>
      </c>
      <c r="AN1066" s="474"/>
      <c r="AO1066" s="474"/>
      <c r="AP1066" s="474"/>
      <c r="AQ1066" s="482" t="s">
        <v>37</v>
      </c>
      <c r="AR1066" s="474"/>
      <c r="AS1066" s="387"/>
      <c r="AT1066" s="356"/>
      <c r="AU1066" s="387"/>
      <c r="AV1066" s="472"/>
    </row>
    <row r="1067" spans="1:48" s="471" customFormat="1" ht="15" customHeight="1">
      <c r="A1067" s="278"/>
      <c r="B1067" s="279"/>
      <c r="C1067" s="289" t="s">
        <v>1211</v>
      </c>
      <c r="D1067" s="405" t="s">
        <v>3678</v>
      </c>
      <c r="E1067" s="300"/>
      <c r="F1067" s="501"/>
      <c r="G1067" s="501">
        <v>2022</v>
      </c>
      <c r="H1067" s="501"/>
      <c r="I1067" s="382" t="s">
        <v>1286</v>
      </c>
      <c r="J1067" s="502"/>
      <c r="K1067" s="501" t="s">
        <v>5053</v>
      </c>
      <c r="L1067" s="502" t="s">
        <v>1120</v>
      </c>
      <c r="M1067" s="502">
        <v>44657</v>
      </c>
      <c r="N1067" s="502">
        <v>44840</v>
      </c>
      <c r="O1067" s="502"/>
      <c r="P1067" s="502"/>
      <c r="Q1067" s="501"/>
      <c r="R1067" s="501"/>
      <c r="S1067" s="501" t="s">
        <v>1102</v>
      </c>
      <c r="T1067" s="505">
        <v>60</v>
      </c>
      <c r="U1067" s="403"/>
      <c r="V1067" s="501" t="s">
        <v>1018</v>
      </c>
      <c r="W1067" s="505">
        <v>360</v>
      </c>
      <c r="X1067" s="403">
        <v>728</v>
      </c>
      <c r="Y1067" s="477">
        <f t="shared" si="142"/>
        <v>262080</v>
      </c>
      <c r="Z1067" s="478">
        <v>0.8</v>
      </c>
      <c r="AA1067" s="479">
        <f t="shared" si="143"/>
        <v>209664</v>
      </c>
      <c r="AB1067" s="386"/>
      <c r="AC1067" s="481"/>
      <c r="AD1067" s="474"/>
      <c r="AE1067" s="482"/>
      <c r="AF1067" s="493">
        <f t="shared" si="144"/>
        <v>209664</v>
      </c>
      <c r="AG1067" s="474" t="s">
        <v>47</v>
      </c>
      <c r="AH1067" s="447"/>
      <c r="AI1067" s="474">
        <v>45</v>
      </c>
      <c r="AJ1067" s="474" t="s">
        <v>1132</v>
      </c>
      <c r="AK1067" s="474" t="s">
        <v>1133</v>
      </c>
      <c r="AL1067" s="494">
        <v>85215</v>
      </c>
      <c r="AM1067" s="474" t="s">
        <v>52</v>
      </c>
      <c r="AN1067" s="474"/>
      <c r="AO1067" s="474"/>
      <c r="AP1067" s="474"/>
      <c r="AQ1067" s="482" t="s">
        <v>37</v>
      </c>
      <c r="AR1067" s="474"/>
      <c r="AS1067" s="387"/>
      <c r="AT1067" s="356"/>
      <c r="AU1067" s="387"/>
      <c r="AV1067" s="472"/>
    </row>
    <row r="1068" spans="1:48" s="471" customFormat="1" ht="15" customHeight="1">
      <c r="A1068" s="278"/>
      <c r="B1068" s="279"/>
      <c r="C1068" s="289" t="s">
        <v>1211</v>
      </c>
      <c r="D1068" s="405" t="s">
        <v>3678</v>
      </c>
      <c r="E1068" s="300"/>
      <c r="F1068" s="501"/>
      <c r="G1068" s="501">
        <v>2022</v>
      </c>
      <c r="H1068" s="501"/>
      <c r="I1068" s="382" t="s">
        <v>1286</v>
      </c>
      <c r="J1068" s="502"/>
      <c r="K1068" s="501" t="s">
        <v>5053</v>
      </c>
      <c r="L1068" s="502" t="s">
        <v>1120</v>
      </c>
      <c r="M1068" s="502">
        <v>44657</v>
      </c>
      <c r="N1068" s="502">
        <v>44840</v>
      </c>
      <c r="O1068" s="502"/>
      <c r="P1068" s="502"/>
      <c r="Q1068" s="501"/>
      <c r="R1068" s="501"/>
      <c r="S1068" s="501" t="s">
        <v>1102</v>
      </c>
      <c r="T1068" s="505">
        <v>60</v>
      </c>
      <c r="U1068" s="403"/>
      <c r="V1068" s="501" t="s">
        <v>973</v>
      </c>
      <c r="W1068" s="505">
        <v>400</v>
      </c>
      <c r="X1068" s="403">
        <v>832</v>
      </c>
      <c r="Y1068" s="477">
        <f t="shared" si="142"/>
        <v>332800</v>
      </c>
      <c r="Z1068" s="478">
        <v>0.55000000000000004</v>
      </c>
      <c r="AA1068" s="479">
        <f t="shared" si="143"/>
        <v>183040.00000000003</v>
      </c>
      <c r="AB1068" s="386"/>
      <c r="AC1068" s="481"/>
      <c r="AD1068" s="474"/>
      <c r="AE1068" s="482"/>
      <c r="AF1068" s="493">
        <f t="shared" si="144"/>
        <v>183040.00000000003</v>
      </c>
      <c r="AG1068" s="474" t="s">
        <v>47</v>
      </c>
      <c r="AH1068" s="447"/>
      <c r="AI1068" s="474">
        <v>45</v>
      </c>
      <c r="AJ1068" s="474" t="s">
        <v>1132</v>
      </c>
      <c r="AK1068" s="474" t="s">
        <v>1133</v>
      </c>
      <c r="AL1068" s="494">
        <v>85215</v>
      </c>
      <c r="AM1068" s="474" t="s">
        <v>52</v>
      </c>
      <c r="AN1068" s="474"/>
      <c r="AO1068" s="474"/>
      <c r="AP1068" s="474"/>
      <c r="AQ1068" s="482" t="s">
        <v>37</v>
      </c>
      <c r="AR1068" s="474"/>
      <c r="AS1068" s="387"/>
      <c r="AT1068" s="356"/>
      <c r="AU1068" s="387"/>
      <c r="AV1068" s="472"/>
    </row>
    <row r="1069" spans="1:48" s="471" customFormat="1" ht="15" customHeight="1">
      <c r="A1069" s="278"/>
      <c r="B1069" s="279"/>
      <c r="C1069" s="289" t="s">
        <v>1211</v>
      </c>
      <c r="D1069" s="405" t="s">
        <v>3678</v>
      </c>
      <c r="E1069" s="300"/>
      <c r="F1069" s="501"/>
      <c r="G1069" s="501">
        <v>2022</v>
      </c>
      <c r="H1069" s="382"/>
      <c r="I1069" s="382" t="s">
        <v>1286</v>
      </c>
      <c r="J1069" s="502"/>
      <c r="K1069" s="501" t="s">
        <v>5054</v>
      </c>
      <c r="L1069" s="502" t="s">
        <v>1120</v>
      </c>
      <c r="M1069" s="502">
        <v>44657</v>
      </c>
      <c r="N1069" s="502">
        <v>44846</v>
      </c>
      <c r="O1069" s="502"/>
      <c r="P1069" s="502"/>
      <c r="Q1069" s="501"/>
      <c r="R1069" s="501"/>
      <c r="S1069" s="501" t="s">
        <v>1102</v>
      </c>
      <c r="T1069" s="505">
        <v>60</v>
      </c>
      <c r="U1069" s="403"/>
      <c r="V1069" s="501" t="s">
        <v>986</v>
      </c>
      <c r="W1069" s="505">
        <v>360</v>
      </c>
      <c r="X1069" s="403">
        <v>768</v>
      </c>
      <c r="Y1069" s="477">
        <f t="shared" si="142"/>
        <v>276480</v>
      </c>
      <c r="Z1069" s="478">
        <v>0.53</v>
      </c>
      <c r="AA1069" s="479">
        <f t="shared" si="143"/>
        <v>146534.39999999999</v>
      </c>
      <c r="AB1069" s="480"/>
      <c r="AC1069" s="481"/>
      <c r="AD1069" s="490"/>
      <c r="AE1069" s="482"/>
      <c r="AF1069" s="493">
        <f t="shared" si="144"/>
        <v>146534.39999999999</v>
      </c>
      <c r="AG1069" s="474" t="s">
        <v>47</v>
      </c>
      <c r="AH1069" s="474"/>
      <c r="AI1069" s="474">
        <v>45</v>
      </c>
      <c r="AJ1069" s="474" t="s">
        <v>1135</v>
      </c>
      <c r="AK1069" s="474" t="s">
        <v>1084</v>
      </c>
      <c r="AL1069" s="494">
        <v>33069</v>
      </c>
      <c r="AM1069" s="474" t="s">
        <v>52</v>
      </c>
      <c r="AN1069" s="474"/>
      <c r="AO1069" s="474"/>
      <c r="AP1069" s="482"/>
      <c r="AQ1069" s="482" t="s">
        <v>37</v>
      </c>
      <c r="AR1069" s="474"/>
      <c r="AS1069" s="472"/>
      <c r="AT1069" s="281"/>
      <c r="AU1069" s="436"/>
      <c r="AV1069" s="472"/>
    </row>
    <row r="1070" spans="1:48" s="471" customFormat="1" ht="15" customHeight="1">
      <c r="A1070" s="278"/>
      <c r="B1070" s="279"/>
      <c r="C1070" s="289" t="s">
        <v>1211</v>
      </c>
      <c r="D1070" s="405" t="s">
        <v>3678</v>
      </c>
      <c r="E1070" s="300"/>
      <c r="F1070" s="501"/>
      <c r="G1070" s="501">
        <v>2022</v>
      </c>
      <c r="H1070" s="501"/>
      <c r="I1070" s="382" t="s">
        <v>1286</v>
      </c>
      <c r="J1070" s="502"/>
      <c r="K1070" s="501" t="s">
        <v>5054</v>
      </c>
      <c r="L1070" s="502" t="s">
        <v>1120</v>
      </c>
      <c r="M1070" s="502">
        <v>44657</v>
      </c>
      <c r="N1070" s="502">
        <v>44846</v>
      </c>
      <c r="O1070" s="502"/>
      <c r="P1070" s="502"/>
      <c r="Q1070" s="501"/>
      <c r="R1070" s="501"/>
      <c r="S1070" s="501" t="s">
        <v>1102</v>
      </c>
      <c r="T1070" s="505">
        <v>60</v>
      </c>
      <c r="U1070" s="403"/>
      <c r="V1070" s="501" t="s">
        <v>973</v>
      </c>
      <c r="W1070" s="505">
        <v>400</v>
      </c>
      <c r="X1070" s="403">
        <v>832</v>
      </c>
      <c r="Y1070" s="477">
        <f t="shared" si="142"/>
        <v>332800</v>
      </c>
      <c r="Z1070" s="478">
        <v>0.55000000000000004</v>
      </c>
      <c r="AA1070" s="479">
        <f t="shared" si="143"/>
        <v>183040.00000000003</v>
      </c>
      <c r="AB1070" s="386"/>
      <c r="AC1070" s="481">
        <f>AB1070*Y1070</f>
        <v>0</v>
      </c>
      <c r="AD1070" s="474"/>
      <c r="AE1070" s="482"/>
      <c r="AF1070" s="493">
        <f t="shared" si="144"/>
        <v>183040.00000000003</v>
      </c>
      <c r="AG1070" s="474" t="s">
        <v>47</v>
      </c>
      <c r="AH1070" s="447"/>
      <c r="AI1070" s="474">
        <v>45</v>
      </c>
      <c r="AJ1070" s="474" t="s">
        <v>1135</v>
      </c>
      <c r="AK1070" s="474" t="s">
        <v>1084</v>
      </c>
      <c r="AL1070" s="494">
        <v>33069</v>
      </c>
      <c r="AM1070" s="474" t="s">
        <v>52</v>
      </c>
      <c r="AN1070" s="474"/>
      <c r="AO1070" s="474"/>
      <c r="AP1070" s="474"/>
      <c r="AQ1070" s="482" t="s">
        <v>37</v>
      </c>
      <c r="AR1070" s="474"/>
      <c r="AS1070" s="387"/>
      <c r="AT1070" s="356"/>
      <c r="AU1070" s="387"/>
      <c r="AV1070" s="472"/>
    </row>
    <row r="1071" spans="1:48" s="471" customFormat="1" ht="15" customHeight="1">
      <c r="A1071" s="278"/>
      <c r="B1071" s="279"/>
      <c r="C1071" s="289" t="s">
        <v>1211</v>
      </c>
      <c r="D1071" s="405" t="s">
        <v>3678</v>
      </c>
      <c r="E1071" s="300"/>
      <c r="F1071" s="501"/>
      <c r="G1071" s="501">
        <v>2022</v>
      </c>
      <c r="H1071" s="382"/>
      <c r="I1071" s="382" t="s">
        <v>1286</v>
      </c>
      <c r="J1071" s="502"/>
      <c r="K1071" s="501" t="s">
        <v>5055</v>
      </c>
      <c r="L1071" s="502" t="s">
        <v>1120</v>
      </c>
      <c r="M1071" s="502">
        <v>44657</v>
      </c>
      <c r="N1071" s="502">
        <v>44838</v>
      </c>
      <c r="O1071" s="502"/>
      <c r="P1071" s="502"/>
      <c r="Q1071" s="501"/>
      <c r="R1071" s="501"/>
      <c r="S1071" s="501" t="s">
        <v>1102</v>
      </c>
      <c r="T1071" s="505">
        <v>60</v>
      </c>
      <c r="U1071" s="403"/>
      <c r="V1071" s="501" t="s">
        <v>986</v>
      </c>
      <c r="W1071" s="505">
        <v>360</v>
      </c>
      <c r="X1071" s="403">
        <v>768</v>
      </c>
      <c r="Y1071" s="477">
        <f t="shared" si="142"/>
        <v>276480</v>
      </c>
      <c r="Z1071" s="478">
        <v>0.53</v>
      </c>
      <c r="AA1071" s="479">
        <f t="shared" si="143"/>
        <v>146534.39999999999</v>
      </c>
      <c r="AB1071" s="480"/>
      <c r="AC1071" s="481"/>
      <c r="AD1071" s="490"/>
      <c r="AE1071" s="482"/>
      <c r="AF1071" s="493">
        <f t="shared" si="144"/>
        <v>146534.39999999999</v>
      </c>
      <c r="AG1071" s="474" t="s">
        <v>47</v>
      </c>
      <c r="AH1071" s="474"/>
      <c r="AI1071" s="474">
        <v>45</v>
      </c>
      <c r="AJ1071" s="474" t="s">
        <v>3974</v>
      </c>
      <c r="AK1071" s="474" t="s">
        <v>1096</v>
      </c>
      <c r="AL1071" s="494">
        <v>1583</v>
      </c>
      <c r="AM1071" s="474" t="s">
        <v>52</v>
      </c>
      <c r="AN1071" s="474"/>
      <c r="AO1071" s="474"/>
      <c r="AP1071" s="482"/>
      <c r="AQ1071" s="482" t="s">
        <v>37</v>
      </c>
      <c r="AR1071" s="474"/>
      <c r="AS1071" s="472"/>
      <c r="AT1071" s="281"/>
      <c r="AU1071" s="436"/>
      <c r="AV1071" s="472"/>
    </row>
    <row r="1072" spans="1:48" s="471" customFormat="1" ht="15" customHeight="1">
      <c r="A1072" s="278"/>
      <c r="B1072" s="279"/>
      <c r="C1072" s="289" t="s">
        <v>1211</v>
      </c>
      <c r="D1072" s="405" t="s">
        <v>3678</v>
      </c>
      <c r="E1072" s="300"/>
      <c r="F1072" s="501"/>
      <c r="G1072" s="501">
        <v>2022</v>
      </c>
      <c r="H1072" s="501"/>
      <c r="I1072" s="382" t="s">
        <v>1286</v>
      </c>
      <c r="J1072" s="502"/>
      <c r="K1072" s="501" t="s">
        <v>5055</v>
      </c>
      <c r="L1072" s="502" t="s">
        <v>1120</v>
      </c>
      <c r="M1072" s="502">
        <v>44657</v>
      </c>
      <c r="N1072" s="502">
        <v>44838</v>
      </c>
      <c r="O1072" s="502"/>
      <c r="P1072" s="502"/>
      <c r="Q1072" s="501"/>
      <c r="R1072" s="501"/>
      <c r="S1072" s="501" t="s">
        <v>1102</v>
      </c>
      <c r="T1072" s="505">
        <v>60</v>
      </c>
      <c r="U1072" s="403"/>
      <c r="V1072" s="501" t="s">
        <v>986</v>
      </c>
      <c r="W1072" s="505">
        <v>360</v>
      </c>
      <c r="X1072" s="403">
        <v>768</v>
      </c>
      <c r="Y1072" s="477">
        <f t="shared" si="142"/>
        <v>276480</v>
      </c>
      <c r="Z1072" s="478">
        <v>0.53</v>
      </c>
      <c r="AA1072" s="479">
        <f t="shared" si="143"/>
        <v>146534.39999999999</v>
      </c>
      <c r="AB1072" s="386"/>
      <c r="AC1072" s="481"/>
      <c r="AD1072" s="474"/>
      <c r="AE1072" s="482"/>
      <c r="AF1072" s="493">
        <f t="shared" si="144"/>
        <v>146534.39999999999</v>
      </c>
      <c r="AG1072" s="474" t="s">
        <v>47</v>
      </c>
      <c r="AH1072" s="447"/>
      <c r="AI1072" s="474">
        <v>45</v>
      </c>
      <c r="AJ1072" s="474" t="s">
        <v>3974</v>
      </c>
      <c r="AK1072" s="474" t="s">
        <v>1096</v>
      </c>
      <c r="AL1072" s="494">
        <v>1583</v>
      </c>
      <c r="AM1072" s="474" t="s">
        <v>52</v>
      </c>
      <c r="AN1072" s="474"/>
      <c r="AO1072" s="474"/>
      <c r="AP1072" s="474"/>
      <c r="AQ1072" s="482" t="s">
        <v>37</v>
      </c>
      <c r="AR1072" s="474"/>
      <c r="AS1072" s="387"/>
      <c r="AT1072" s="356"/>
      <c r="AU1072" s="387"/>
      <c r="AV1072" s="472"/>
    </row>
    <row r="1073" spans="1:48" s="471" customFormat="1" ht="15" customHeight="1">
      <c r="A1073" s="278"/>
      <c r="B1073" s="279"/>
      <c r="C1073" s="289" t="s">
        <v>1211</v>
      </c>
      <c r="D1073" s="405" t="s">
        <v>3678</v>
      </c>
      <c r="E1073" s="300"/>
      <c r="F1073" s="501"/>
      <c r="G1073" s="501">
        <v>2022</v>
      </c>
      <c r="H1073" s="382"/>
      <c r="I1073" s="382" t="s">
        <v>1286</v>
      </c>
      <c r="J1073" s="502"/>
      <c r="K1073" s="501" t="s">
        <v>5055</v>
      </c>
      <c r="L1073" s="502" t="s">
        <v>1120</v>
      </c>
      <c r="M1073" s="502">
        <v>44657</v>
      </c>
      <c r="N1073" s="502">
        <v>44838</v>
      </c>
      <c r="O1073" s="502"/>
      <c r="P1073" s="502"/>
      <c r="Q1073" s="501"/>
      <c r="R1073" s="501"/>
      <c r="S1073" s="501" t="s">
        <v>1102</v>
      </c>
      <c r="T1073" s="505">
        <v>60</v>
      </c>
      <c r="U1073" s="403"/>
      <c r="V1073" s="501" t="s">
        <v>973</v>
      </c>
      <c r="W1073" s="505">
        <v>400</v>
      </c>
      <c r="X1073" s="403">
        <v>832</v>
      </c>
      <c r="Y1073" s="477">
        <f t="shared" si="142"/>
        <v>332800</v>
      </c>
      <c r="Z1073" s="478">
        <v>0.55000000000000004</v>
      </c>
      <c r="AA1073" s="479">
        <f t="shared" si="143"/>
        <v>183040.00000000003</v>
      </c>
      <c r="AB1073" s="480"/>
      <c r="AC1073" s="481"/>
      <c r="AD1073" s="490"/>
      <c r="AE1073" s="482"/>
      <c r="AF1073" s="493">
        <f t="shared" si="144"/>
        <v>183040.00000000003</v>
      </c>
      <c r="AG1073" s="474" t="s">
        <v>47</v>
      </c>
      <c r="AH1073" s="474"/>
      <c r="AI1073" s="474">
        <v>45</v>
      </c>
      <c r="AJ1073" s="474" t="s">
        <v>3974</v>
      </c>
      <c r="AK1073" s="474" t="s">
        <v>1096</v>
      </c>
      <c r="AL1073" s="494">
        <v>1583</v>
      </c>
      <c r="AM1073" s="474" t="s">
        <v>52</v>
      </c>
      <c r="AN1073" s="474"/>
      <c r="AO1073" s="474"/>
      <c r="AP1073" s="482"/>
      <c r="AQ1073" s="482" t="s">
        <v>37</v>
      </c>
      <c r="AR1073" s="474"/>
      <c r="AS1073" s="472"/>
      <c r="AT1073" s="281"/>
      <c r="AU1073" s="436"/>
      <c r="AV1073" s="472"/>
    </row>
    <row r="1074" spans="1:48" s="471" customFormat="1" ht="15" customHeight="1">
      <c r="A1074" s="278"/>
      <c r="B1074" s="279"/>
      <c r="C1074" s="289" t="s">
        <v>1211</v>
      </c>
      <c r="D1074" s="405" t="s">
        <v>3678</v>
      </c>
      <c r="E1074" s="300"/>
      <c r="F1074" s="501"/>
      <c r="G1074" s="501">
        <v>2022</v>
      </c>
      <c r="H1074" s="501"/>
      <c r="I1074" s="382" t="s">
        <v>1286</v>
      </c>
      <c r="J1074" s="502"/>
      <c r="K1074" s="501" t="s">
        <v>5055</v>
      </c>
      <c r="L1074" s="502" t="s">
        <v>1120</v>
      </c>
      <c r="M1074" s="502">
        <v>44657</v>
      </c>
      <c r="N1074" s="502">
        <v>44838</v>
      </c>
      <c r="O1074" s="502"/>
      <c r="P1074" s="502"/>
      <c r="Q1074" s="501"/>
      <c r="R1074" s="501"/>
      <c r="S1074" s="501" t="s">
        <v>1102</v>
      </c>
      <c r="T1074" s="505">
        <v>60</v>
      </c>
      <c r="U1074" s="403"/>
      <c r="V1074" s="501" t="s">
        <v>986</v>
      </c>
      <c r="W1074" s="505">
        <v>360</v>
      </c>
      <c r="X1074" s="403">
        <v>768</v>
      </c>
      <c r="Y1074" s="477">
        <f t="shared" si="142"/>
        <v>276480</v>
      </c>
      <c r="Z1074" s="478">
        <v>0.53</v>
      </c>
      <c r="AA1074" s="479">
        <f t="shared" si="143"/>
        <v>146534.39999999999</v>
      </c>
      <c r="AB1074" s="386"/>
      <c r="AC1074" s="481"/>
      <c r="AD1074" s="474"/>
      <c r="AE1074" s="482"/>
      <c r="AF1074" s="493">
        <f t="shared" si="144"/>
        <v>146534.39999999999</v>
      </c>
      <c r="AG1074" s="474" t="s">
        <v>47</v>
      </c>
      <c r="AH1074" s="447"/>
      <c r="AI1074" s="474">
        <v>45</v>
      </c>
      <c r="AJ1074" s="474" t="s">
        <v>3974</v>
      </c>
      <c r="AK1074" s="474" t="s">
        <v>1096</v>
      </c>
      <c r="AL1074" s="494">
        <v>1583</v>
      </c>
      <c r="AM1074" s="474" t="s">
        <v>52</v>
      </c>
      <c r="AN1074" s="474"/>
      <c r="AO1074" s="474"/>
      <c r="AP1074" s="474"/>
      <c r="AQ1074" s="482" t="s">
        <v>37</v>
      </c>
      <c r="AR1074" s="474"/>
      <c r="AS1074" s="387"/>
      <c r="AT1074" s="356"/>
      <c r="AU1074" s="387"/>
      <c r="AV1074" s="472"/>
    </row>
    <row r="1075" spans="1:48" s="471" customFormat="1" ht="15" customHeight="1">
      <c r="A1075" s="278"/>
      <c r="B1075" s="279"/>
      <c r="C1075" s="289" t="s">
        <v>1211</v>
      </c>
      <c r="D1075" s="405" t="s">
        <v>3678</v>
      </c>
      <c r="E1075" s="300"/>
      <c r="F1075" s="501"/>
      <c r="G1075" s="501">
        <v>2022</v>
      </c>
      <c r="H1075" s="501"/>
      <c r="I1075" s="382" t="s">
        <v>1286</v>
      </c>
      <c r="J1075" s="502"/>
      <c r="K1075" s="501" t="s">
        <v>5055</v>
      </c>
      <c r="L1075" s="502" t="s">
        <v>1120</v>
      </c>
      <c r="M1075" s="502">
        <v>44657</v>
      </c>
      <c r="N1075" s="502">
        <v>44838</v>
      </c>
      <c r="O1075" s="502"/>
      <c r="P1075" s="502"/>
      <c r="Q1075" s="501"/>
      <c r="R1075" s="501"/>
      <c r="S1075" s="501" t="s">
        <v>1102</v>
      </c>
      <c r="T1075" s="505">
        <v>60</v>
      </c>
      <c r="U1075" s="403"/>
      <c r="V1075" s="501" t="s">
        <v>986</v>
      </c>
      <c r="W1075" s="505">
        <v>360</v>
      </c>
      <c r="X1075" s="403">
        <v>768</v>
      </c>
      <c r="Y1075" s="477">
        <f t="shared" si="142"/>
        <v>276480</v>
      </c>
      <c r="Z1075" s="478">
        <v>0.53</v>
      </c>
      <c r="AA1075" s="479">
        <f t="shared" si="143"/>
        <v>146534.39999999999</v>
      </c>
      <c r="AB1075" s="386"/>
      <c r="AC1075" s="481"/>
      <c r="AD1075" s="474"/>
      <c r="AE1075" s="482"/>
      <c r="AF1075" s="493">
        <f t="shared" si="144"/>
        <v>146534.39999999999</v>
      </c>
      <c r="AG1075" s="474" t="s">
        <v>47</v>
      </c>
      <c r="AH1075" s="447"/>
      <c r="AI1075" s="474">
        <v>45</v>
      </c>
      <c r="AJ1075" s="474" t="s">
        <v>3974</v>
      </c>
      <c r="AK1075" s="474" t="s">
        <v>1096</v>
      </c>
      <c r="AL1075" s="494">
        <v>1583</v>
      </c>
      <c r="AM1075" s="474" t="s">
        <v>52</v>
      </c>
      <c r="AN1075" s="474"/>
      <c r="AO1075" s="474"/>
      <c r="AP1075" s="474"/>
      <c r="AQ1075" s="482" t="s">
        <v>37</v>
      </c>
      <c r="AR1075" s="474"/>
      <c r="AS1075" s="387"/>
      <c r="AT1075" s="356"/>
      <c r="AU1075" s="387"/>
      <c r="AV1075" s="472"/>
    </row>
    <row r="1076" spans="1:48" s="471" customFormat="1" ht="15" customHeight="1">
      <c r="A1076" s="278"/>
      <c r="B1076" s="279"/>
      <c r="C1076" s="289" t="s">
        <v>1211</v>
      </c>
      <c r="D1076" s="405" t="s">
        <v>3678</v>
      </c>
      <c r="E1076" s="300"/>
      <c r="F1076" s="501"/>
      <c r="G1076" s="501">
        <v>2022</v>
      </c>
      <c r="H1076" s="382"/>
      <c r="I1076" s="382" t="s">
        <v>1286</v>
      </c>
      <c r="J1076" s="502"/>
      <c r="K1076" s="501" t="s">
        <v>5055</v>
      </c>
      <c r="L1076" s="502" t="s">
        <v>1120</v>
      </c>
      <c r="M1076" s="502">
        <v>44657</v>
      </c>
      <c r="N1076" s="502">
        <v>44838</v>
      </c>
      <c r="O1076" s="502"/>
      <c r="P1076" s="502"/>
      <c r="Q1076" s="501"/>
      <c r="R1076" s="501"/>
      <c r="S1076" s="501" t="s">
        <v>1102</v>
      </c>
      <c r="T1076" s="505">
        <v>60</v>
      </c>
      <c r="U1076" s="403"/>
      <c r="V1076" s="501" t="s">
        <v>986</v>
      </c>
      <c r="W1076" s="505">
        <v>360</v>
      </c>
      <c r="X1076" s="403">
        <v>768</v>
      </c>
      <c r="Y1076" s="477">
        <f t="shared" si="142"/>
        <v>276480</v>
      </c>
      <c r="Z1076" s="478">
        <v>0.53</v>
      </c>
      <c r="AA1076" s="479">
        <f t="shared" si="143"/>
        <v>146534.39999999999</v>
      </c>
      <c r="AB1076" s="480"/>
      <c r="AC1076" s="481"/>
      <c r="AD1076" s="490"/>
      <c r="AE1076" s="482"/>
      <c r="AF1076" s="493">
        <f t="shared" si="144"/>
        <v>146534.39999999999</v>
      </c>
      <c r="AG1076" s="474" t="s">
        <v>47</v>
      </c>
      <c r="AH1076" s="474"/>
      <c r="AI1076" s="474">
        <v>45</v>
      </c>
      <c r="AJ1076" s="474" t="s">
        <v>3974</v>
      </c>
      <c r="AK1076" s="474" t="s">
        <v>1096</v>
      </c>
      <c r="AL1076" s="494">
        <v>1583</v>
      </c>
      <c r="AM1076" s="474" t="s">
        <v>52</v>
      </c>
      <c r="AN1076" s="474"/>
      <c r="AO1076" s="474"/>
      <c r="AP1076" s="482"/>
      <c r="AQ1076" s="482" t="s">
        <v>37</v>
      </c>
      <c r="AR1076" s="474"/>
      <c r="AS1076" s="472"/>
      <c r="AT1076" s="281"/>
      <c r="AU1076" s="436"/>
      <c r="AV1076" s="472"/>
    </row>
    <row r="1077" spans="1:48" s="471" customFormat="1" ht="15" customHeight="1">
      <c r="A1077" s="278"/>
      <c r="B1077" s="279"/>
      <c r="C1077" s="289" t="s">
        <v>1211</v>
      </c>
      <c r="D1077" s="405" t="s">
        <v>3678</v>
      </c>
      <c r="E1077" s="300"/>
      <c r="F1077" s="501"/>
      <c r="G1077" s="501">
        <v>2022</v>
      </c>
      <c r="H1077" s="501"/>
      <c r="I1077" s="382" t="s">
        <v>1286</v>
      </c>
      <c r="J1077" s="502"/>
      <c r="K1077" s="501" t="s">
        <v>5056</v>
      </c>
      <c r="L1077" s="502" t="s">
        <v>1120</v>
      </c>
      <c r="M1077" s="502">
        <v>44657</v>
      </c>
      <c r="N1077" s="502">
        <v>44844</v>
      </c>
      <c r="O1077" s="502"/>
      <c r="P1077" s="502"/>
      <c r="Q1077" s="501"/>
      <c r="R1077" s="501"/>
      <c r="S1077" s="501" t="s">
        <v>1102</v>
      </c>
      <c r="T1077" s="505">
        <v>60</v>
      </c>
      <c r="U1077" s="403"/>
      <c r="V1077" s="501" t="s">
        <v>973</v>
      </c>
      <c r="W1077" s="505">
        <v>400</v>
      </c>
      <c r="X1077" s="403">
        <v>832</v>
      </c>
      <c r="Y1077" s="477">
        <f t="shared" si="142"/>
        <v>332800</v>
      </c>
      <c r="Z1077" s="478">
        <v>0.55000000000000004</v>
      </c>
      <c r="AA1077" s="479">
        <f t="shared" si="143"/>
        <v>183040.00000000003</v>
      </c>
      <c r="AB1077" s="386"/>
      <c r="AC1077" s="481"/>
      <c r="AD1077" s="474"/>
      <c r="AE1077" s="482"/>
      <c r="AF1077" s="493">
        <f t="shared" si="144"/>
        <v>183040.00000000003</v>
      </c>
      <c r="AG1077" s="474" t="s">
        <v>47</v>
      </c>
      <c r="AH1077" s="447"/>
      <c r="AI1077" s="474">
        <v>45</v>
      </c>
      <c r="AJ1077" s="474" t="s">
        <v>1137</v>
      </c>
      <c r="AK1077" s="474" t="s">
        <v>1138</v>
      </c>
      <c r="AL1077" s="494">
        <v>11416</v>
      </c>
      <c r="AM1077" s="474" t="s">
        <v>52</v>
      </c>
      <c r="AN1077" s="474"/>
      <c r="AO1077" s="474"/>
      <c r="AP1077" s="474"/>
      <c r="AQ1077" s="482" t="s">
        <v>37</v>
      </c>
      <c r="AR1077" s="474"/>
      <c r="AS1077" s="387"/>
      <c r="AT1077" s="356"/>
      <c r="AU1077" s="387"/>
      <c r="AV1077" s="472"/>
    </row>
    <row r="1078" spans="1:48" s="471" customFormat="1" ht="15" customHeight="1">
      <c r="A1078" s="278"/>
      <c r="B1078" s="279"/>
      <c r="C1078" s="289" t="s">
        <v>1211</v>
      </c>
      <c r="D1078" s="405" t="s">
        <v>3678</v>
      </c>
      <c r="E1078" s="300"/>
      <c r="F1078" s="501"/>
      <c r="G1078" s="501">
        <v>2022</v>
      </c>
      <c r="H1078" s="382"/>
      <c r="I1078" s="382" t="s">
        <v>1286</v>
      </c>
      <c r="J1078" s="502"/>
      <c r="K1078" s="501" t="s">
        <v>5056</v>
      </c>
      <c r="L1078" s="502" t="s">
        <v>1120</v>
      </c>
      <c r="M1078" s="502">
        <v>44657</v>
      </c>
      <c r="N1078" s="502">
        <v>44844</v>
      </c>
      <c r="O1078" s="502"/>
      <c r="P1078" s="502"/>
      <c r="Q1078" s="501"/>
      <c r="R1078" s="501"/>
      <c r="S1078" s="501" t="s">
        <v>1102</v>
      </c>
      <c r="T1078" s="505">
        <v>60</v>
      </c>
      <c r="U1078" s="403"/>
      <c r="V1078" s="501" t="s">
        <v>1018</v>
      </c>
      <c r="W1078" s="505">
        <v>360</v>
      </c>
      <c r="X1078" s="403">
        <v>728</v>
      </c>
      <c r="Y1078" s="477">
        <f t="shared" si="142"/>
        <v>262080</v>
      </c>
      <c r="Z1078" s="478">
        <v>0.8</v>
      </c>
      <c r="AA1078" s="479">
        <f t="shared" si="143"/>
        <v>209664</v>
      </c>
      <c r="AB1078" s="480"/>
      <c r="AC1078" s="481"/>
      <c r="AD1078" s="490"/>
      <c r="AE1078" s="482"/>
      <c r="AF1078" s="493">
        <f t="shared" si="144"/>
        <v>209664</v>
      </c>
      <c r="AG1078" s="474" t="s">
        <v>47</v>
      </c>
      <c r="AH1078" s="474"/>
      <c r="AI1078" s="474">
        <v>45</v>
      </c>
      <c r="AJ1078" s="474" t="s">
        <v>1137</v>
      </c>
      <c r="AK1078" s="474" t="s">
        <v>1138</v>
      </c>
      <c r="AL1078" s="494">
        <v>11416</v>
      </c>
      <c r="AM1078" s="474" t="s">
        <v>52</v>
      </c>
      <c r="AN1078" s="474"/>
      <c r="AO1078" s="474"/>
      <c r="AP1078" s="482"/>
      <c r="AQ1078" s="482" t="s">
        <v>37</v>
      </c>
      <c r="AR1078" s="474"/>
      <c r="AS1078" s="472"/>
      <c r="AT1078" s="281"/>
      <c r="AU1078" s="436"/>
      <c r="AV1078" s="472"/>
    </row>
    <row r="1079" spans="1:48" s="471" customFormat="1" ht="15" customHeight="1">
      <c r="A1079" s="278"/>
      <c r="B1079" s="279"/>
      <c r="C1079" s="289" t="s">
        <v>1211</v>
      </c>
      <c r="D1079" s="405" t="s">
        <v>3678</v>
      </c>
      <c r="E1079" s="300"/>
      <c r="F1079" s="501"/>
      <c r="G1079" s="501">
        <v>2022</v>
      </c>
      <c r="H1079" s="382"/>
      <c r="I1079" s="382" t="s">
        <v>1286</v>
      </c>
      <c r="J1079" s="502"/>
      <c r="K1079" s="501" t="s">
        <v>5056</v>
      </c>
      <c r="L1079" s="502" t="s">
        <v>1120</v>
      </c>
      <c r="M1079" s="502">
        <v>44657</v>
      </c>
      <c r="N1079" s="502">
        <v>44844</v>
      </c>
      <c r="O1079" s="502"/>
      <c r="P1079" s="502"/>
      <c r="Q1079" s="501"/>
      <c r="R1079" s="501"/>
      <c r="S1079" s="501" t="s">
        <v>1102</v>
      </c>
      <c r="T1079" s="505">
        <v>60</v>
      </c>
      <c r="U1079" s="403"/>
      <c r="V1079" s="501" t="s">
        <v>973</v>
      </c>
      <c r="W1079" s="505">
        <v>400</v>
      </c>
      <c r="X1079" s="403">
        <v>832</v>
      </c>
      <c r="Y1079" s="477">
        <f t="shared" si="142"/>
        <v>332800</v>
      </c>
      <c r="Z1079" s="478">
        <v>0.55000000000000004</v>
      </c>
      <c r="AA1079" s="479">
        <f t="shared" si="143"/>
        <v>183040.00000000003</v>
      </c>
      <c r="AB1079" s="480"/>
      <c r="AC1079" s="481"/>
      <c r="AD1079" s="490"/>
      <c r="AE1079" s="482"/>
      <c r="AF1079" s="493">
        <f t="shared" si="144"/>
        <v>183040.00000000003</v>
      </c>
      <c r="AG1079" s="474" t="s">
        <v>47</v>
      </c>
      <c r="AH1079" s="474"/>
      <c r="AI1079" s="474">
        <v>45</v>
      </c>
      <c r="AJ1079" s="474" t="s">
        <v>1137</v>
      </c>
      <c r="AK1079" s="474" t="s">
        <v>1138</v>
      </c>
      <c r="AL1079" s="494">
        <v>11416</v>
      </c>
      <c r="AM1079" s="474" t="s">
        <v>52</v>
      </c>
      <c r="AN1079" s="474"/>
      <c r="AO1079" s="474"/>
      <c r="AP1079" s="482"/>
      <c r="AQ1079" s="482" t="s">
        <v>37</v>
      </c>
      <c r="AR1079" s="474"/>
      <c r="AS1079" s="472"/>
      <c r="AT1079" s="281"/>
      <c r="AU1079" s="436"/>
      <c r="AV1079" s="472"/>
    </row>
    <row r="1080" spans="1:48" s="471" customFormat="1" ht="15" customHeight="1">
      <c r="A1080" s="278"/>
      <c r="B1080" s="279"/>
      <c r="C1080" s="289" t="s">
        <v>1211</v>
      </c>
      <c r="D1080" s="405" t="s">
        <v>3678</v>
      </c>
      <c r="E1080" s="301"/>
      <c r="F1080" s="501"/>
      <c r="G1080" s="501">
        <v>2022</v>
      </c>
      <c r="H1080" s="501"/>
      <c r="I1080" s="382" t="s">
        <v>1286</v>
      </c>
      <c r="J1080" s="502"/>
      <c r="K1080" s="501" t="s">
        <v>5056</v>
      </c>
      <c r="L1080" s="502" t="s">
        <v>1120</v>
      </c>
      <c r="M1080" s="502">
        <v>44657</v>
      </c>
      <c r="N1080" s="502">
        <v>44844</v>
      </c>
      <c r="O1080" s="502"/>
      <c r="P1080" s="502"/>
      <c r="Q1080" s="501"/>
      <c r="R1080" s="501"/>
      <c r="S1080" s="501" t="s">
        <v>1102</v>
      </c>
      <c r="T1080" s="505">
        <v>60</v>
      </c>
      <c r="U1080" s="403"/>
      <c r="V1080" s="501" t="s">
        <v>1018</v>
      </c>
      <c r="W1080" s="505">
        <v>360</v>
      </c>
      <c r="X1080" s="403">
        <v>728</v>
      </c>
      <c r="Y1080" s="477">
        <f t="shared" si="142"/>
        <v>262080</v>
      </c>
      <c r="Z1080" s="478">
        <v>0.8</v>
      </c>
      <c r="AA1080" s="479">
        <f t="shared" si="143"/>
        <v>209664</v>
      </c>
      <c r="AB1080" s="386"/>
      <c r="AC1080" s="481"/>
      <c r="AD1080" s="474"/>
      <c r="AE1080" s="482"/>
      <c r="AF1080" s="493">
        <f t="shared" si="144"/>
        <v>209664</v>
      </c>
      <c r="AG1080" s="474" t="s">
        <v>47</v>
      </c>
      <c r="AH1080" s="447"/>
      <c r="AI1080" s="474">
        <v>45</v>
      </c>
      <c r="AJ1080" s="474" t="s">
        <v>1137</v>
      </c>
      <c r="AK1080" s="474" t="s">
        <v>1138</v>
      </c>
      <c r="AL1080" s="494">
        <v>11416</v>
      </c>
      <c r="AM1080" s="474" t="s">
        <v>52</v>
      </c>
      <c r="AN1080" s="474"/>
      <c r="AO1080" s="474"/>
      <c r="AP1080" s="474"/>
      <c r="AQ1080" s="482" t="s">
        <v>37</v>
      </c>
      <c r="AR1080" s="474"/>
      <c r="AS1080" s="387"/>
      <c r="AT1080" s="356"/>
      <c r="AU1080" s="387"/>
      <c r="AV1080" s="472"/>
    </row>
    <row r="1081" spans="1:48" s="471" customFormat="1" ht="15" customHeight="1">
      <c r="A1081" s="278"/>
      <c r="B1081" s="279"/>
      <c r="C1081" s="289" t="s">
        <v>1211</v>
      </c>
      <c r="D1081" s="405" t="s">
        <v>3678</v>
      </c>
      <c r="E1081" s="300"/>
      <c r="F1081" s="501"/>
      <c r="G1081" s="501">
        <v>2022</v>
      </c>
      <c r="H1081" s="501"/>
      <c r="I1081" s="382" t="s">
        <v>1286</v>
      </c>
      <c r="J1081" s="502"/>
      <c r="K1081" s="501" t="s">
        <v>5057</v>
      </c>
      <c r="L1081" s="502" t="s">
        <v>1120</v>
      </c>
      <c r="M1081" s="502">
        <v>44657</v>
      </c>
      <c r="N1081" s="502">
        <v>44841</v>
      </c>
      <c r="O1081" s="502"/>
      <c r="P1081" s="502"/>
      <c r="Q1081" s="501"/>
      <c r="R1081" s="501"/>
      <c r="S1081" s="501" t="s">
        <v>1102</v>
      </c>
      <c r="T1081" s="505">
        <v>60</v>
      </c>
      <c r="U1081" s="403"/>
      <c r="V1081" s="501" t="s">
        <v>973</v>
      </c>
      <c r="W1081" s="505">
        <v>400</v>
      </c>
      <c r="X1081" s="403">
        <v>832</v>
      </c>
      <c r="Y1081" s="477">
        <f t="shared" si="142"/>
        <v>332800</v>
      </c>
      <c r="Z1081" s="478">
        <v>0.55000000000000004</v>
      </c>
      <c r="AA1081" s="479">
        <f t="shared" si="143"/>
        <v>183040.00000000003</v>
      </c>
      <c r="AB1081" s="386"/>
      <c r="AC1081" s="481"/>
      <c r="AD1081" s="474"/>
      <c r="AE1081" s="482"/>
      <c r="AF1081" s="493">
        <f t="shared" si="144"/>
        <v>183040.00000000003</v>
      </c>
      <c r="AG1081" s="474" t="s">
        <v>47</v>
      </c>
      <c r="AH1081" s="447"/>
      <c r="AI1081" s="474">
        <v>45</v>
      </c>
      <c r="AJ1081" s="474" t="s">
        <v>1124</v>
      </c>
      <c r="AK1081" s="474" t="s">
        <v>1125</v>
      </c>
      <c r="AL1081" s="494">
        <v>55122</v>
      </c>
      <c r="AM1081" s="474" t="s">
        <v>52</v>
      </c>
      <c r="AN1081" s="474"/>
      <c r="AO1081" s="474"/>
      <c r="AP1081" s="474"/>
      <c r="AQ1081" s="482" t="s">
        <v>37</v>
      </c>
      <c r="AR1081" s="474"/>
      <c r="AS1081" s="387"/>
      <c r="AT1081" s="356"/>
      <c r="AU1081" s="387"/>
      <c r="AV1081" s="472"/>
    </row>
    <row r="1082" spans="1:48" s="471" customFormat="1" ht="15" customHeight="1">
      <c r="A1082" s="278"/>
      <c r="B1082" s="279"/>
      <c r="C1082" s="289" t="s">
        <v>1211</v>
      </c>
      <c r="D1082" s="405" t="s">
        <v>3678</v>
      </c>
      <c r="E1082" s="300"/>
      <c r="F1082" s="501"/>
      <c r="G1082" s="501">
        <v>2022</v>
      </c>
      <c r="H1082" s="501"/>
      <c r="I1082" s="382" t="s">
        <v>1286</v>
      </c>
      <c r="J1082" s="502"/>
      <c r="K1082" s="501" t="s">
        <v>5057</v>
      </c>
      <c r="L1082" s="502" t="s">
        <v>1120</v>
      </c>
      <c r="M1082" s="502">
        <v>44657</v>
      </c>
      <c r="N1082" s="502">
        <v>44841</v>
      </c>
      <c r="O1082" s="502"/>
      <c r="P1082" s="502"/>
      <c r="Q1082" s="501"/>
      <c r="R1082" s="501"/>
      <c r="S1082" s="501" t="s">
        <v>1102</v>
      </c>
      <c r="T1082" s="505">
        <v>60</v>
      </c>
      <c r="U1082" s="403"/>
      <c r="V1082" s="501" t="s">
        <v>986</v>
      </c>
      <c r="W1082" s="505">
        <v>360</v>
      </c>
      <c r="X1082" s="403">
        <v>768</v>
      </c>
      <c r="Y1082" s="477">
        <f t="shared" si="142"/>
        <v>276480</v>
      </c>
      <c r="Z1082" s="478">
        <v>0.53</v>
      </c>
      <c r="AA1082" s="479">
        <f t="shared" si="143"/>
        <v>146534.39999999999</v>
      </c>
      <c r="AB1082" s="386"/>
      <c r="AC1082" s="481"/>
      <c r="AD1082" s="474"/>
      <c r="AE1082" s="482"/>
      <c r="AF1082" s="493">
        <f t="shared" si="144"/>
        <v>146534.39999999999</v>
      </c>
      <c r="AG1082" s="474" t="s">
        <v>47</v>
      </c>
      <c r="AH1082" s="447"/>
      <c r="AI1082" s="474">
        <v>45</v>
      </c>
      <c r="AJ1082" s="474" t="s">
        <v>1124</v>
      </c>
      <c r="AK1082" s="474" t="s">
        <v>1125</v>
      </c>
      <c r="AL1082" s="494">
        <v>55122</v>
      </c>
      <c r="AM1082" s="474" t="s">
        <v>52</v>
      </c>
      <c r="AN1082" s="474"/>
      <c r="AO1082" s="474"/>
      <c r="AP1082" s="474"/>
      <c r="AQ1082" s="482" t="s">
        <v>37</v>
      </c>
      <c r="AR1082" s="474"/>
      <c r="AS1082" s="387"/>
      <c r="AT1082" s="356"/>
      <c r="AU1082" s="387"/>
      <c r="AV1082" s="472"/>
    </row>
    <row r="1083" spans="1:48" s="471" customFormat="1" ht="15" customHeight="1">
      <c r="A1083" s="278"/>
      <c r="B1083" s="279"/>
      <c r="C1083" s="289" t="s">
        <v>1211</v>
      </c>
      <c r="D1083" s="405" t="s">
        <v>3678</v>
      </c>
      <c r="E1083" s="300"/>
      <c r="F1083" s="501"/>
      <c r="G1083" s="501">
        <v>2022</v>
      </c>
      <c r="H1083" s="501"/>
      <c r="I1083" s="382" t="s">
        <v>1286</v>
      </c>
      <c r="J1083" s="502"/>
      <c r="K1083" s="501" t="s">
        <v>5058</v>
      </c>
      <c r="L1083" s="502" t="s">
        <v>1120</v>
      </c>
      <c r="M1083" s="502">
        <v>44657</v>
      </c>
      <c r="N1083" s="502">
        <v>44896</v>
      </c>
      <c r="O1083" s="502"/>
      <c r="P1083" s="502"/>
      <c r="Q1083" s="501"/>
      <c r="R1083" s="501"/>
      <c r="S1083" s="501" t="s">
        <v>1102</v>
      </c>
      <c r="T1083" s="505">
        <v>60</v>
      </c>
      <c r="U1083" s="403"/>
      <c r="V1083" s="501" t="s">
        <v>973</v>
      </c>
      <c r="W1083" s="505">
        <v>400</v>
      </c>
      <c r="X1083" s="403">
        <v>832</v>
      </c>
      <c r="Y1083" s="477">
        <f t="shared" si="142"/>
        <v>332800</v>
      </c>
      <c r="Z1083" s="478">
        <v>0.55000000000000004</v>
      </c>
      <c r="AA1083" s="479">
        <f t="shared" si="143"/>
        <v>183040.00000000003</v>
      </c>
      <c r="AB1083" s="386"/>
      <c r="AC1083" s="481"/>
      <c r="AD1083" s="474"/>
      <c r="AE1083" s="482"/>
      <c r="AF1083" s="493">
        <f t="shared" si="144"/>
        <v>183040.00000000003</v>
      </c>
      <c r="AG1083" s="474" t="s">
        <v>47</v>
      </c>
      <c r="AH1083" s="447"/>
      <c r="AI1083" s="474">
        <v>45</v>
      </c>
      <c r="AJ1083" s="474" t="s">
        <v>1839</v>
      </c>
      <c r="AK1083" s="474" t="s">
        <v>50</v>
      </c>
      <c r="AL1083" s="494">
        <v>91311</v>
      </c>
      <c r="AM1083" s="474" t="s">
        <v>52</v>
      </c>
      <c r="AN1083" s="474"/>
      <c r="AO1083" s="474"/>
      <c r="AP1083" s="474"/>
      <c r="AQ1083" s="482" t="s">
        <v>37</v>
      </c>
      <c r="AR1083" s="474"/>
      <c r="AS1083" s="387"/>
      <c r="AT1083" s="356"/>
      <c r="AU1083" s="387"/>
      <c r="AV1083" s="472"/>
    </row>
    <row r="1084" spans="1:48" s="471" customFormat="1" ht="15" customHeight="1">
      <c r="A1084" s="278"/>
      <c r="B1084" s="279"/>
      <c r="C1084" s="289" t="s">
        <v>1211</v>
      </c>
      <c r="D1084" s="405" t="s">
        <v>3678</v>
      </c>
      <c r="E1084" s="300"/>
      <c r="F1084" s="501"/>
      <c r="G1084" s="501">
        <v>2022</v>
      </c>
      <c r="H1084" s="501"/>
      <c r="I1084" s="382" t="s">
        <v>1286</v>
      </c>
      <c r="J1084" s="502"/>
      <c r="K1084" s="501" t="s">
        <v>5058</v>
      </c>
      <c r="L1084" s="502" t="s">
        <v>1120</v>
      </c>
      <c r="M1084" s="502">
        <v>44657</v>
      </c>
      <c r="N1084" s="502">
        <v>44896</v>
      </c>
      <c r="O1084" s="502"/>
      <c r="P1084" s="502"/>
      <c r="Q1084" s="501"/>
      <c r="R1084" s="501"/>
      <c r="S1084" s="501" t="s">
        <v>1102</v>
      </c>
      <c r="T1084" s="505">
        <v>60</v>
      </c>
      <c r="U1084" s="403"/>
      <c r="V1084" s="501" t="s">
        <v>986</v>
      </c>
      <c r="W1084" s="505">
        <v>360</v>
      </c>
      <c r="X1084" s="403">
        <v>768</v>
      </c>
      <c r="Y1084" s="477">
        <f t="shared" si="142"/>
        <v>276480</v>
      </c>
      <c r="Z1084" s="478">
        <v>0.53</v>
      </c>
      <c r="AA1084" s="479">
        <f t="shared" si="143"/>
        <v>146534.39999999999</v>
      </c>
      <c r="AB1084" s="386"/>
      <c r="AC1084" s="481"/>
      <c r="AD1084" s="474"/>
      <c r="AE1084" s="482"/>
      <c r="AF1084" s="493">
        <f t="shared" si="144"/>
        <v>146534.39999999999</v>
      </c>
      <c r="AG1084" s="474" t="s">
        <v>47</v>
      </c>
      <c r="AH1084" s="447"/>
      <c r="AI1084" s="474">
        <v>45</v>
      </c>
      <c r="AJ1084" s="474" t="s">
        <v>1839</v>
      </c>
      <c r="AK1084" s="474" t="s">
        <v>50</v>
      </c>
      <c r="AL1084" s="494">
        <v>91311</v>
      </c>
      <c r="AM1084" s="474" t="s">
        <v>52</v>
      </c>
      <c r="AN1084" s="474"/>
      <c r="AO1084" s="474"/>
      <c r="AP1084" s="474"/>
      <c r="AQ1084" s="482" t="s">
        <v>37</v>
      </c>
      <c r="AR1084" s="474"/>
      <c r="AS1084" s="387"/>
      <c r="AT1084" s="356"/>
      <c r="AU1084" s="387"/>
      <c r="AV1084" s="472"/>
    </row>
    <row r="1085" spans="1:48" s="471" customFormat="1" ht="15" customHeight="1">
      <c r="A1085" s="278"/>
      <c r="B1085" s="279"/>
      <c r="C1085" s="289" t="s">
        <v>1211</v>
      </c>
      <c r="D1085" s="405" t="s">
        <v>3678</v>
      </c>
      <c r="E1085" s="300"/>
      <c r="F1085" s="501"/>
      <c r="G1085" s="501">
        <v>2022</v>
      </c>
      <c r="H1085" s="501"/>
      <c r="I1085" s="382" t="s">
        <v>1286</v>
      </c>
      <c r="J1085" s="502"/>
      <c r="K1085" s="501" t="s">
        <v>5058</v>
      </c>
      <c r="L1085" s="502" t="s">
        <v>1120</v>
      </c>
      <c r="M1085" s="502">
        <v>44657</v>
      </c>
      <c r="N1085" s="502">
        <v>44896</v>
      </c>
      <c r="O1085" s="502"/>
      <c r="P1085" s="502"/>
      <c r="Q1085" s="501"/>
      <c r="R1085" s="501"/>
      <c r="S1085" s="501" t="s">
        <v>1102</v>
      </c>
      <c r="T1085" s="505">
        <v>60</v>
      </c>
      <c r="U1085" s="403"/>
      <c r="V1085" s="501" t="s">
        <v>973</v>
      </c>
      <c r="W1085" s="505">
        <v>400</v>
      </c>
      <c r="X1085" s="403">
        <v>832</v>
      </c>
      <c r="Y1085" s="477">
        <f t="shared" si="142"/>
        <v>332800</v>
      </c>
      <c r="Z1085" s="478">
        <v>0.55000000000000004</v>
      </c>
      <c r="AA1085" s="479">
        <f t="shared" si="143"/>
        <v>183040.00000000003</v>
      </c>
      <c r="AB1085" s="386"/>
      <c r="AC1085" s="481"/>
      <c r="AD1085" s="474"/>
      <c r="AE1085" s="482"/>
      <c r="AF1085" s="493">
        <f t="shared" si="144"/>
        <v>183040.00000000003</v>
      </c>
      <c r="AG1085" s="474" t="s">
        <v>47</v>
      </c>
      <c r="AH1085" s="447"/>
      <c r="AI1085" s="474">
        <v>45</v>
      </c>
      <c r="AJ1085" s="474" t="s">
        <v>1839</v>
      </c>
      <c r="AK1085" s="474" t="s">
        <v>50</v>
      </c>
      <c r="AL1085" s="494">
        <v>91311</v>
      </c>
      <c r="AM1085" s="474" t="s">
        <v>52</v>
      </c>
      <c r="AN1085" s="474"/>
      <c r="AO1085" s="474"/>
      <c r="AP1085" s="474"/>
      <c r="AQ1085" s="482" t="s">
        <v>37</v>
      </c>
      <c r="AR1085" s="474"/>
      <c r="AS1085" s="387"/>
      <c r="AT1085" s="356"/>
      <c r="AU1085" s="387"/>
      <c r="AV1085" s="472"/>
    </row>
    <row r="1086" spans="1:48" s="471" customFormat="1" ht="15" customHeight="1">
      <c r="A1086" s="278"/>
      <c r="B1086" s="279"/>
      <c r="C1086" s="289" t="s">
        <v>1211</v>
      </c>
      <c r="D1086" s="405" t="s">
        <v>3678</v>
      </c>
      <c r="E1086" s="300"/>
      <c r="F1086" s="501"/>
      <c r="G1086" s="501">
        <v>2022</v>
      </c>
      <c r="H1086" s="501"/>
      <c r="I1086" s="382" t="s">
        <v>1286</v>
      </c>
      <c r="J1086" s="502"/>
      <c r="K1086" s="501" t="s">
        <v>5058</v>
      </c>
      <c r="L1086" s="502" t="s">
        <v>1120</v>
      </c>
      <c r="M1086" s="502">
        <v>44657</v>
      </c>
      <c r="N1086" s="502">
        <v>44896</v>
      </c>
      <c r="O1086" s="502"/>
      <c r="P1086" s="502"/>
      <c r="Q1086" s="501"/>
      <c r="R1086" s="501"/>
      <c r="S1086" s="501" t="s">
        <v>1102</v>
      </c>
      <c r="T1086" s="505">
        <v>60</v>
      </c>
      <c r="U1086" s="403"/>
      <c r="V1086" s="501" t="s">
        <v>973</v>
      </c>
      <c r="W1086" s="505">
        <v>400</v>
      </c>
      <c r="X1086" s="403">
        <v>832</v>
      </c>
      <c r="Y1086" s="477">
        <f t="shared" si="142"/>
        <v>332800</v>
      </c>
      <c r="Z1086" s="478">
        <v>0.55000000000000004</v>
      </c>
      <c r="AA1086" s="479">
        <f t="shared" si="143"/>
        <v>183040.00000000003</v>
      </c>
      <c r="AB1086" s="386"/>
      <c r="AC1086" s="481"/>
      <c r="AD1086" s="474"/>
      <c r="AE1086" s="482"/>
      <c r="AF1086" s="493">
        <f t="shared" si="144"/>
        <v>183040.00000000003</v>
      </c>
      <c r="AG1086" s="474" t="s">
        <v>47</v>
      </c>
      <c r="AH1086" s="447"/>
      <c r="AI1086" s="474">
        <v>45</v>
      </c>
      <c r="AJ1086" s="474" t="s">
        <v>1839</v>
      </c>
      <c r="AK1086" s="474" t="s">
        <v>50</v>
      </c>
      <c r="AL1086" s="494">
        <v>91311</v>
      </c>
      <c r="AM1086" s="474" t="s">
        <v>52</v>
      </c>
      <c r="AN1086" s="474"/>
      <c r="AO1086" s="474"/>
      <c r="AP1086" s="474"/>
      <c r="AQ1086" s="482" t="s">
        <v>37</v>
      </c>
      <c r="AR1086" s="474"/>
      <c r="AS1086" s="387"/>
      <c r="AT1086" s="356"/>
      <c r="AU1086" s="387"/>
      <c r="AV1086" s="472"/>
    </row>
    <row r="1087" spans="1:48" s="471" customFormat="1" ht="15" customHeight="1">
      <c r="A1087" s="278"/>
      <c r="B1087" s="279"/>
      <c r="C1087" s="289" t="s">
        <v>1211</v>
      </c>
      <c r="D1087" s="405" t="s">
        <v>3678</v>
      </c>
      <c r="E1087" s="300"/>
      <c r="F1087" s="501"/>
      <c r="G1087" s="501">
        <v>2022</v>
      </c>
      <c r="H1087" s="501"/>
      <c r="I1087" s="382" t="s">
        <v>1286</v>
      </c>
      <c r="J1087" s="502"/>
      <c r="K1087" s="501" t="s">
        <v>5059</v>
      </c>
      <c r="L1087" s="502" t="s">
        <v>1120</v>
      </c>
      <c r="M1087" s="502">
        <v>44657</v>
      </c>
      <c r="N1087" s="502">
        <v>44866</v>
      </c>
      <c r="O1087" s="502"/>
      <c r="P1087" s="502"/>
      <c r="Q1087" s="501"/>
      <c r="R1087" s="501"/>
      <c r="S1087" s="501" t="s">
        <v>1102</v>
      </c>
      <c r="T1087" s="505">
        <v>60</v>
      </c>
      <c r="U1087" s="403"/>
      <c r="V1087" s="501" t="s">
        <v>973</v>
      </c>
      <c r="W1087" s="505">
        <v>400</v>
      </c>
      <c r="X1087" s="403">
        <v>832</v>
      </c>
      <c r="Y1087" s="477">
        <f t="shared" si="142"/>
        <v>332800</v>
      </c>
      <c r="Z1087" s="478">
        <v>0.55000000000000004</v>
      </c>
      <c r="AA1087" s="479">
        <f t="shared" si="143"/>
        <v>183040.00000000003</v>
      </c>
      <c r="AB1087" s="386"/>
      <c r="AC1087" s="481"/>
      <c r="AD1087" s="474"/>
      <c r="AE1087" s="482"/>
      <c r="AF1087" s="493">
        <f t="shared" si="144"/>
        <v>183040.00000000003</v>
      </c>
      <c r="AG1087" s="474" t="s">
        <v>47</v>
      </c>
      <c r="AH1087" s="447"/>
      <c r="AI1087" s="474">
        <v>45</v>
      </c>
      <c r="AJ1087" s="474" t="s">
        <v>1839</v>
      </c>
      <c r="AK1087" s="474" t="s">
        <v>50</v>
      </c>
      <c r="AL1087" s="494">
        <v>91311</v>
      </c>
      <c r="AM1087" s="474" t="s">
        <v>52</v>
      </c>
      <c r="AN1087" s="474"/>
      <c r="AO1087" s="474"/>
      <c r="AP1087" s="474"/>
      <c r="AQ1087" s="482" t="s">
        <v>37</v>
      </c>
      <c r="AR1087" s="474"/>
      <c r="AS1087" s="387"/>
      <c r="AT1087" s="356"/>
      <c r="AU1087" s="387"/>
      <c r="AV1087" s="472"/>
    </row>
    <row r="1088" spans="1:48" s="471" customFormat="1" ht="15" customHeight="1">
      <c r="A1088" s="278"/>
      <c r="B1088" s="279"/>
      <c r="C1088" s="289" t="s">
        <v>1211</v>
      </c>
      <c r="D1088" s="405" t="s">
        <v>3678</v>
      </c>
      <c r="E1088" s="300"/>
      <c r="F1088" s="501"/>
      <c r="G1088" s="501">
        <v>2022</v>
      </c>
      <c r="H1088" s="382"/>
      <c r="I1088" s="382" t="s">
        <v>1286</v>
      </c>
      <c r="J1088" s="502"/>
      <c r="K1088" s="501" t="s">
        <v>5059</v>
      </c>
      <c r="L1088" s="502" t="s">
        <v>1120</v>
      </c>
      <c r="M1088" s="502">
        <v>44657</v>
      </c>
      <c r="N1088" s="502">
        <v>44866</v>
      </c>
      <c r="O1088" s="502"/>
      <c r="P1088" s="502"/>
      <c r="Q1088" s="501"/>
      <c r="R1088" s="501"/>
      <c r="S1088" s="501" t="s">
        <v>1102</v>
      </c>
      <c r="T1088" s="505">
        <v>60</v>
      </c>
      <c r="U1088" s="403"/>
      <c r="V1088" s="501" t="s">
        <v>1018</v>
      </c>
      <c r="W1088" s="505">
        <v>360</v>
      </c>
      <c r="X1088" s="403">
        <v>728</v>
      </c>
      <c r="Y1088" s="477">
        <f t="shared" si="142"/>
        <v>262080</v>
      </c>
      <c r="Z1088" s="478">
        <v>0.8</v>
      </c>
      <c r="AA1088" s="479">
        <f t="shared" si="143"/>
        <v>209664</v>
      </c>
      <c r="AB1088" s="480"/>
      <c r="AC1088" s="481"/>
      <c r="AD1088" s="490"/>
      <c r="AE1088" s="482"/>
      <c r="AF1088" s="493">
        <f t="shared" si="144"/>
        <v>209664</v>
      </c>
      <c r="AG1088" s="474" t="s">
        <v>47</v>
      </c>
      <c r="AH1088" s="474"/>
      <c r="AI1088" s="474">
        <v>45</v>
      </c>
      <c r="AJ1088" s="474" t="s">
        <v>1839</v>
      </c>
      <c r="AK1088" s="474" t="s">
        <v>50</v>
      </c>
      <c r="AL1088" s="494">
        <v>91311</v>
      </c>
      <c r="AM1088" s="474" t="s">
        <v>52</v>
      </c>
      <c r="AN1088" s="474"/>
      <c r="AO1088" s="474"/>
      <c r="AP1088" s="482"/>
      <c r="AQ1088" s="482" t="s">
        <v>37</v>
      </c>
      <c r="AR1088" s="474"/>
      <c r="AS1088" s="472"/>
      <c r="AT1088" s="281"/>
      <c r="AU1088" s="436"/>
      <c r="AV1088" s="472"/>
    </row>
    <row r="1089" spans="1:48" s="471" customFormat="1" ht="15" customHeight="1">
      <c r="A1089" s="278"/>
      <c r="B1089" s="279"/>
      <c r="C1089" s="289" t="s">
        <v>1211</v>
      </c>
      <c r="D1089" s="405" t="s">
        <v>3678</v>
      </c>
      <c r="E1089" s="300"/>
      <c r="F1089" s="501"/>
      <c r="G1089" s="501">
        <v>2022</v>
      </c>
      <c r="H1089" s="382"/>
      <c r="I1089" s="382" t="s">
        <v>1286</v>
      </c>
      <c r="J1089" s="502"/>
      <c r="K1089" s="501" t="s">
        <v>5059</v>
      </c>
      <c r="L1089" s="502" t="s">
        <v>1120</v>
      </c>
      <c r="M1089" s="502">
        <v>44657</v>
      </c>
      <c r="N1089" s="502">
        <v>44866</v>
      </c>
      <c r="O1089" s="502"/>
      <c r="P1089" s="502"/>
      <c r="Q1089" s="501"/>
      <c r="R1089" s="501"/>
      <c r="S1089" s="501" t="s">
        <v>1102</v>
      </c>
      <c r="T1089" s="505">
        <v>60</v>
      </c>
      <c r="U1089" s="403"/>
      <c r="V1089" s="501" t="s">
        <v>986</v>
      </c>
      <c r="W1089" s="505">
        <v>360</v>
      </c>
      <c r="X1089" s="403">
        <v>768</v>
      </c>
      <c r="Y1089" s="477">
        <f t="shared" si="142"/>
        <v>276480</v>
      </c>
      <c r="Z1089" s="478">
        <v>0.53</v>
      </c>
      <c r="AA1089" s="479">
        <f t="shared" si="143"/>
        <v>146534.39999999999</v>
      </c>
      <c r="AB1089" s="480"/>
      <c r="AC1089" s="481"/>
      <c r="AD1089" s="490"/>
      <c r="AE1089" s="482"/>
      <c r="AF1089" s="493">
        <f t="shared" si="144"/>
        <v>146534.39999999999</v>
      </c>
      <c r="AG1089" s="474" t="s">
        <v>47</v>
      </c>
      <c r="AH1089" s="474"/>
      <c r="AI1089" s="474">
        <v>45</v>
      </c>
      <c r="AJ1089" s="474" t="s">
        <v>1839</v>
      </c>
      <c r="AK1089" s="474" t="s">
        <v>50</v>
      </c>
      <c r="AL1089" s="494">
        <v>91311</v>
      </c>
      <c r="AM1089" s="474" t="s">
        <v>52</v>
      </c>
      <c r="AN1089" s="474"/>
      <c r="AO1089" s="474"/>
      <c r="AP1089" s="482"/>
      <c r="AQ1089" s="482" t="s">
        <v>37</v>
      </c>
      <c r="AR1089" s="474"/>
      <c r="AS1089" s="472"/>
      <c r="AT1089" s="281"/>
      <c r="AU1089" s="436"/>
      <c r="AV1089" s="472"/>
    </row>
    <row r="1090" spans="1:48" s="471" customFormat="1" ht="15" customHeight="1">
      <c r="A1090" s="278"/>
      <c r="B1090" s="279"/>
      <c r="C1090" s="289" t="s">
        <v>1211</v>
      </c>
      <c r="D1090" s="405" t="s">
        <v>3678</v>
      </c>
      <c r="E1090" s="300"/>
      <c r="F1090" s="501"/>
      <c r="G1090" s="501">
        <v>2022</v>
      </c>
      <c r="H1090" s="501"/>
      <c r="I1090" s="382" t="s">
        <v>1286</v>
      </c>
      <c r="J1090" s="502"/>
      <c r="K1090" s="501" t="s">
        <v>5059</v>
      </c>
      <c r="L1090" s="502" t="s">
        <v>1120</v>
      </c>
      <c r="M1090" s="502">
        <v>44657</v>
      </c>
      <c r="N1090" s="502">
        <v>44866</v>
      </c>
      <c r="O1090" s="502"/>
      <c r="P1090" s="502"/>
      <c r="Q1090" s="501"/>
      <c r="R1090" s="501"/>
      <c r="S1090" s="501" t="s">
        <v>1102</v>
      </c>
      <c r="T1090" s="505">
        <v>60</v>
      </c>
      <c r="U1090" s="403"/>
      <c r="V1090" s="501" t="s">
        <v>973</v>
      </c>
      <c r="W1090" s="505">
        <v>400</v>
      </c>
      <c r="X1090" s="403">
        <v>832</v>
      </c>
      <c r="Y1090" s="477">
        <f t="shared" si="142"/>
        <v>332800</v>
      </c>
      <c r="Z1090" s="478">
        <v>0.55000000000000004</v>
      </c>
      <c r="AA1090" s="479">
        <f t="shared" si="143"/>
        <v>183040.00000000003</v>
      </c>
      <c r="AB1090" s="386"/>
      <c r="AC1090" s="481">
        <f>AB1090*Y1090</f>
        <v>0</v>
      </c>
      <c r="AD1090" s="474"/>
      <c r="AE1090" s="482"/>
      <c r="AF1090" s="493">
        <f t="shared" si="144"/>
        <v>183040.00000000003</v>
      </c>
      <c r="AG1090" s="474" t="s">
        <v>47</v>
      </c>
      <c r="AH1090" s="447"/>
      <c r="AI1090" s="474">
        <v>45</v>
      </c>
      <c r="AJ1090" s="474" t="s">
        <v>1839</v>
      </c>
      <c r="AK1090" s="474" t="s">
        <v>50</v>
      </c>
      <c r="AL1090" s="494">
        <v>91311</v>
      </c>
      <c r="AM1090" s="474" t="s">
        <v>52</v>
      </c>
      <c r="AN1090" s="474"/>
      <c r="AO1090" s="474"/>
      <c r="AP1090" s="474"/>
      <c r="AQ1090" s="482" t="s">
        <v>37</v>
      </c>
      <c r="AR1090" s="474"/>
      <c r="AS1090" s="387"/>
      <c r="AT1090" s="356"/>
      <c r="AU1090" s="387"/>
      <c r="AV1090" s="472"/>
    </row>
    <row r="1091" spans="1:48" s="471" customFormat="1" ht="15" customHeight="1">
      <c r="A1091" s="278"/>
      <c r="B1091" s="279"/>
      <c r="C1091" s="289"/>
      <c r="D1091" s="405" t="s">
        <v>3678</v>
      </c>
      <c r="E1091" s="301"/>
      <c r="F1091" s="501"/>
      <c r="G1091" s="501">
        <v>2022</v>
      </c>
      <c r="H1091" s="501"/>
      <c r="I1091" s="382" t="s">
        <v>1286</v>
      </c>
      <c r="J1091" s="502"/>
      <c r="K1091" s="501" t="s">
        <v>5059</v>
      </c>
      <c r="L1091" s="502" t="s">
        <v>1120</v>
      </c>
      <c r="M1091" s="502">
        <v>44657</v>
      </c>
      <c r="N1091" s="502">
        <v>44866</v>
      </c>
      <c r="O1091" s="502"/>
      <c r="P1091" s="502"/>
      <c r="Q1091" s="501"/>
      <c r="R1091" s="501"/>
      <c r="S1091" s="501" t="s">
        <v>1102</v>
      </c>
      <c r="T1091" s="505">
        <v>60</v>
      </c>
      <c r="U1091" s="403"/>
      <c r="V1091" s="501" t="s">
        <v>973</v>
      </c>
      <c r="W1091" s="505">
        <v>400</v>
      </c>
      <c r="X1091" s="403">
        <v>832</v>
      </c>
      <c r="Y1091" s="477">
        <f t="shared" si="142"/>
        <v>332800</v>
      </c>
      <c r="Z1091" s="478">
        <v>0.55000000000000004</v>
      </c>
      <c r="AA1091" s="479">
        <f t="shared" si="143"/>
        <v>183040.00000000003</v>
      </c>
      <c r="AB1091" s="386"/>
      <c r="AC1091" s="481"/>
      <c r="AD1091" s="474"/>
      <c r="AE1091" s="482"/>
      <c r="AF1091" s="493">
        <f t="shared" si="144"/>
        <v>183040.00000000003</v>
      </c>
      <c r="AG1091" s="474" t="s">
        <v>47</v>
      </c>
      <c r="AH1091" s="447"/>
      <c r="AI1091" s="474">
        <v>45</v>
      </c>
      <c r="AJ1091" s="474" t="s">
        <v>1839</v>
      </c>
      <c r="AK1091" s="474" t="s">
        <v>50</v>
      </c>
      <c r="AL1091" s="494">
        <v>91311</v>
      </c>
      <c r="AM1091" s="474" t="s">
        <v>52</v>
      </c>
      <c r="AN1091" s="474"/>
      <c r="AO1091" s="474"/>
      <c r="AP1091" s="474"/>
      <c r="AQ1091" s="482" t="s">
        <v>37</v>
      </c>
      <c r="AR1091" s="474"/>
      <c r="AS1091" s="387"/>
      <c r="AT1091" s="356"/>
      <c r="AU1091" s="387"/>
      <c r="AV1091" s="472"/>
    </row>
    <row r="1092" spans="1:48" s="471" customFormat="1" ht="15" customHeight="1">
      <c r="A1092" s="278"/>
      <c r="B1092" s="279"/>
      <c r="C1092" s="289" t="s">
        <v>1211</v>
      </c>
      <c r="D1092" s="405" t="s">
        <v>3678</v>
      </c>
      <c r="E1092" s="300"/>
      <c r="F1092" s="501"/>
      <c r="G1092" s="501">
        <v>2022</v>
      </c>
      <c r="H1092" s="382"/>
      <c r="I1092" s="382" t="s">
        <v>1286</v>
      </c>
      <c r="J1092" s="502"/>
      <c r="K1092" s="501" t="s">
        <v>5060</v>
      </c>
      <c r="L1092" s="502" t="s">
        <v>1120</v>
      </c>
      <c r="M1092" s="502">
        <v>44657</v>
      </c>
      <c r="N1092" s="502">
        <v>44837</v>
      </c>
      <c r="O1092" s="502"/>
      <c r="P1092" s="502"/>
      <c r="Q1092" s="501"/>
      <c r="R1092" s="501"/>
      <c r="S1092" s="501" t="s">
        <v>1102</v>
      </c>
      <c r="T1092" s="505">
        <v>60</v>
      </c>
      <c r="U1092" s="403"/>
      <c r="V1092" s="501" t="s">
        <v>973</v>
      </c>
      <c r="W1092" s="505">
        <v>400</v>
      </c>
      <c r="X1092" s="403">
        <v>832</v>
      </c>
      <c r="Y1092" s="477">
        <f t="shared" si="142"/>
        <v>332800</v>
      </c>
      <c r="Z1092" s="478">
        <v>0.55000000000000004</v>
      </c>
      <c r="AA1092" s="479">
        <f t="shared" si="143"/>
        <v>183040.00000000003</v>
      </c>
      <c r="AB1092" s="480"/>
      <c r="AC1092" s="481"/>
      <c r="AD1092" s="490"/>
      <c r="AE1092" s="482"/>
      <c r="AF1092" s="493">
        <f t="shared" si="144"/>
        <v>183040.00000000003</v>
      </c>
      <c r="AG1092" s="474" t="s">
        <v>47</v>
      </c>
      <c r="AH1092" s="474"/>
      <c r="AI1092" s="474">
        <v>45</v>
      </c>
      <c r="AJ1092" s="474" t="s">
        <v>1839</v>
      </c>
      <c r="AK1092" s="474" t="s">
        <v>50</v>
      </c>
      <c r="AL1092" s="494">
        <v>91311</v>
      </c>
      <c r="AM1092" s="474" t="s">
        <v>52</v>
      </c>
      <c r="AN1092" s="474"/>
      <c r="AO1092" s="474"/>
      <c r="AP1092" s="482"/>
      <c r="AQ1092" s="482" t="s">
        <v>37</v>
      </c>
      <c r="AR1092" s="474"/>
      <c r="AS1092" s="472"/>
      <c r="AT1092" s="281"/>
      <c r="AU1092" s="436"/>
      <c r="AV1092" s="472"/>
    </row>
    <row r="1093" spans="1:48" s="471" customFormat="1" ht="15" customHeight="1">
      <c r="A1093" s="278"/>
      <c r="B1093" s="279"/>
      <c r="C1093" s="289" t="s">
        <v>1211</v>
      </c>
      <c r="D1093" s="405" t="s">
        <v>3678</v>
      </c>
      <c r="E1093" s="300"/>
      <c r="F1093" s="501"/>
      <c r="G1093" s="501">
        <v>2022</v>
      </c>
      <c r="H1093" s="501"/>
      <c r="I1093" s="382" t="s">
        <v>1286</v>
      </c>
      <c r="J1093" s="502"/>
      <c r="K1093" s="501" t="s">
        <v>5060</v>
      </c>
      <c r="L1093" s="502" t="s">
        <v>1120</v>
      </c>
      <c r="M1093" s="502">
        <v>44657</v>
      </c>
      <c r="N1093" s="502">
        <v>44837</v>
      </c>
      <c r="O1093" s="502"/>
      <c r="P1093" s="502"/>
      <c r="Q1093" s="501"/>
      <c r="R1093" s="501"/>
      <c r="S1093" s="501" t="s">
        <v>1102</v>
      </c>
      <c r="T1093" s="505">
        <v>60</v>
      </c>
      <c r="U1093" s="403"/>
      <c r="V1093" s="501" t="s">
        <v>986</v>
      </c>
      <c r="W1093" s="505">
        <v>360</v>
      </c>
      <c r="X1093" s="403">
        <v>768</v>
      </c>
      <c r="Y1093" s="477">
        <f t="shared" si="142"/>
        <v>276480</v>
      </c>
      <c r="Z1093" s="478">
        <v>0.53</v>
      </c>
      <c r="AA1093" s="479">
        <f t="shared" si="143"/>
        <v>146534.39999999999</v>
      </c>
      <c r="AB1093" s="386"/>
      <c r="AC1093" s="481"/>
      <c r="AD1093" s="474"/>
      <c r="AE1093" s="482"/>
      <c r="AF1093" s="493">
        <f t="shared" si="144"/>
        <v>146534.39999999999</v>
      </c>
      <c r="AG1093" s="474" t="s">
        <v>47</v>
      </c>
      <c r="AH1093" s="447"/>
      <c r="AI1093" s="474">
        <v>45</v>
      </c>
      <c r="AJ1093" s="474" t="s">
        <v>1839</v>
      </c>
      <c r="AK1093" s="474" t="s">
        <v>50</v>
      </c>
      <c r="AL1093" s="494">
        <v>91311</v>
      </c>
      <c r="AM1093" s="474" t="s">
        <v>52</v>
      </c>
      <c r="AN1093" s="474"/>
      <c r="AO1093" s="474"/>
      <c r="AP1093" s="474"/>
      <c r="AQ1093" s="482" t="s">
        <v>37</v>
      </c>
      <c r="AR1093" s="474"/>
      <c r="AS1093" s="387"/>
      <c r="AT1093" s="356"/>
      <c r="AU1093" s="387"/>
      <c r="AV1093" s="472"/>
    </row>
    <row r="1094" spans="1:48" s="471" customFormat="1" ht="15" customHeight="1">
      <c r="A1094" s="278"/>
      <c r="B1094" s="279"/>
      <c r="C1094" s="289" t="s">
        <v>1211</v>
      </c>
      <c r="D1094" s="405" t="s">
        <v>3678</v>
      </c>
      <c r="E1094" s="300"/>
      <c r="F1094" s="501"/>
      <c r="G1094" s="501">
        <v>2022</v>
      </c>
      <c r="H1094" s="382"/>
      <c r="I1094" s="382" t="s">
        <v>1286</v>
      </c>
      <c r="J1094" s="502"/>
      <c r="K1094" s="501" t="s">
        <v>5060</v>
      </c>
      <c r="L1094" s="502" t="s">
        <v>1120</v>
      </c>
      <c r="M1094" s="502">
        <v>44657</v>
      </c>
      <c r="N1094" s="502">
        <v>44837</v>
      </c>
      <c r="O1094" s="502"/>
      <c r="P1094" s="502"/>
      <c r="Q1094" s="501"/>
      <c r="R1094" s="501"/>
      <c r="S1094" s="501" t="s">
        <v>1102</v>
      </c>
      <c r="T1094" s="505">
        <v>60</v>
      </c>
      <c r="U1094" s="403"/>
      <c r="V1094" s="501" t="s">
        <v>973</v>
      </c>
      <c r="W1094" s="505">
        <v>400</v>
      </c>
      <c r="X1094" s="403">
        <v>832</v>
      </c>
      <c r="Y1094" s="477">
        <f t="shared" si="142"/>
        <v>332800</v>
      </c>
      <c r="Z1094" s="478">
        <v>0.55000000000000004</v>
      </c>
      <c r="AA1094" s="479">
        <f t="shared" si="143"/>
        <v>183040.00000000003</v>
      </c>
      <c r="AB1094" s="480"/>
      <c r="AC1094" s="481"/>
      <c r="AD1094" s="490"/>
      <c r="AE1094" s="482"/>
      <c r="AF1094" s="493">
        <f t="shared" si="144"/>
        <v>183040.00000000003</v>
      </c>
      <c r="AG1094" s="474" t="s">
        <v>47</v>
      </c>
      <c r="AH1094" s="474"/>
      <c r="AI1094" s="474">
        <v>45</v>
      </c>
      <c r="AJ1094" s="474" t="s">
        <v>1839</v>
      </c>
      <c r="AK1094" s="474" t="s">
        <v>50</v>
      </c>
      <c r="AL1094" s="494">
        <v>91311</v>
      </c>
      <c r="AM1094" s="474" t="s">
        <v>52</v>
      </c>
      <c r="AN1094" s="474"/>
      <c r="AO1094" s="474"/>
      <c r="AP1094" s="482"/>
      <c r="AQ1094" s="482" t="s">
        <v>37</v>
      </c>
      <c r="AR1094" s="474"/>
      <c r="AS1094" s="472"/>
      <c r="AT1094" s="281"/>
      <c r="AU1094" s="436"/>
      <c r="AV1094" s="472"/>
    </row>
    <row r="1095" spans="1:48" s="471" customFormat="1" ht="15" customHeight="1">
      <c r="A1095" s="278"/>
      <c r="B1095" s="279"/>
      <c r="C1095" s="289" t="s">
        <v>1211</v>
      </c>
      <c r="D1095" s="405" t="s">
        <v>3678</v>
      </c>
      <c r="E1095" s="300"/>
      <c r="F1095" s="501"/>
      <c r="G1095" s="501">
        <v>2022</v>
      </c>
      <c r="H1095" s="501"/>
      <c r="I1095" s="382" t="s">
        <v>1286</v>
      </c>
      <c r="J1095" s="502"/>
      <c r="K1095" s="501" t="s">
        <v>5060</v>
      </c>
      <c r="L1095" s="502" t="s">
        <v>1120</v>
      </c>
      <c r="M1095" s="502">
        <v>44657</v>
      </c>
      <c r="N1095" s="502">
        <v>44837</v>
      </c>
      <c r="O1095" s="502"/>
      <c r="P1095" s="502"/>
      <c r="Q1095" s="501"/>
      <c r="R1095" s="501"/>
      <c r="S1095" s="501" t="s">
        <v>1102</v>
      </c>
      <c r="T1095" s="505">
        <v>60</v>
      </c>
      <c r="U1095" s="403"/>
      <c r="V1095" s="501" t="s">
        <v>973</v>
      </c>
      <c r="W1095" s="505">
        <v>400</v>
      </c>
      <c r="X1095" s="403">
        <v>832</v>
      </c>
      <c r="Y1095" s="477">
        <f t="shared" si="142"/>
        <v>332800</v>
      </c>
      <c r="Z1095" s="478">
        <v>0.55000000000000004</v>
      </c>
      <c r="AA1095" s="479">
        <f t="shared" si="143"/>
        <v>183040.00000000003</v>
      </c>
      <c r="AB1095" s="386"/>
      <c r="AC1095" s="481"/>
      <c r="AD1095" s="474"/>
      <c r="AE1095" s="482"/>
      <c r="AF1095" s="493">
        <f t="shared" si="144"/>
        <v>183040.00000000003</v>
      </c>
      <c r="AG1095" s="474" t="s">
        <v>47</v>
      </c>
      <c r="AH1095" s="447"/>
      <c r="AI1095" s="474">
        <v>45</v>
      </c>
      <c r="AJ1095" s="474" t="s">
        <v>1839</v>
      </c>
      <c r="AK1095" s="474" t="s">
        <v>50</v>
      </c>
      <c r="AL1095" s="494">
        <v>91311</v>
      </c>
      <c r="AM1095" s="474" t="s">
        <v>52</v>
      </c>
      <c r="AN1095" s="474"/>
      <c r="AO1095" s="474"/>
      <c r="AP1095" s="474"/>
      <c r="AQ1095" s="482" t="s">
        <v>37</v>
      </c>
      <c r="AR1095" s="474"/>
      <c r="AS1095" s="387"/>
      <c r="AT1095" s="356"/>
      <c r="AU1095" s="387"/>
      <c r="AV1095" s="472"/>
    </row>
    <row r="1096" spans="1:48" s="471" customFormat="1" ht="15" customHeight="1">
      <c r="A1096" s="278"/>
      <c r="B1096" s="279"/>
      <c r="C1096" s="289" t="s">
        <v>1211</v>
      </c>
      <c r="D1096" s="405" t="s">
        <v>3678</v>
      </c>
      <c r="E1096" s="300"/>
      <c r="F1096" s="501"/>
      <c r="G1096" s="501">
        <v>2022</v>
      </c>
      <c r="H1096" s="382"/>
      <c r="I1096" s="382" t="s">
        <v>1286</v>
      </c>
      <c r="J1096" s="502"/>
      <c r="K1096" s="501" t="s">
        <v>5061</v>
      </c>
      <c r="L1096" s="502" t="s">
        <v>1120</v>
      </c>
      <c r="M1096" s="502">
        <v>44657</v>
      </c>
      <c r="N1096" s="502">
        <v>44896</v>
      </c>
      <c r="O1096" s="502"/>
      <c r="P1096" s="502"/>
      <c r="Q1096" s="501"/>
      <c r="R1096" s="501"/>
      <c r="S1096" s="501" t="s">
        <v>1102</v>
      </c>
      <c r="T1096" s="505">
        <v>60</v>
      </c>
      <c r="U1096" s="403"/>
      <c r="V1096" s="501" t="s">
        <v>986</v>
      </c>
      <c r="W1096" s="505">
        <v>360</v>
      </c>
      <c r="X1096" s="403">
        <v>768</v>
      </c>
      <c r="Y1096" s="477">
        <f t="shared" si="142"/>
        <v>276480</v>
      </c>
      <c r="Z1096" s="478">
        <v>0.53</v>
      </c>
      <c r="AA1096" s="479">
        <f t="shared" si="143"/>
        <v>146534.39999999999</v>
      </c>
      <c r="AB1096" s="480"/>
      <c r="AC1096" s="481"/>
      <c r="AD1096" s="490"/>
      <c r="AE1096" s="482"/>
      <c r="AF1096" s="493">
        <f t="shared" si="144"/>
        <v>146534.39999999999</v>
      </c>
      <c r="AG1096" s="474" t="s">
        <v>47</v>
      </c>
      <c r="AH1096" s="474"/>
      <c r="AI1096" s="474">
        <v>45</v>
      </c>
      <c r="AJ1096" s="474" t="s">
        <v>1128</v>
      </c>
      <c r="AK1096" s="474" t="s">
        <v>1085</v>
      </c>
      <c r="AL1096" s="494">
        <v>8505</v>
      </c>
      <c r="AM1096" s="474" t="s">
        <v>52</v>
      </c>
      <c r="AN1096" s="474"/>
      <c r="AO1096" s="474"/>
      <c r="AP1096" s="482"/>
      <c r="AQ1096" s="482" t="s">
        <v>37</v>
      </c>
      <c r="AR1096" s="474"/>
      <c r="AS1096" s="472"/>
      <c r="AT1096" s="281"/>
      <c r="AU1096" s="436"/>
      <c r="AV1096" s="472"/>
    </row>
    <row r="1097" spans="1:48" s="471" customFormat="1" ht="15" customHeight="1">
      <c r="A1097" s="278"/>
      <c r="B1097" s="279"/>
      <c r="C1097" s="289" t="s">
        <v>1211</v>
      </c>
      <c r="D1097" s="405" t="s">
        <v>3678</v>
      </c>
      <c r="E1097" s="301"/>
      <c r="F1097" s="501"/>
      <c r="G1097" s="501">
        <v>2022</v>
      </c>
      <c r="H1097" s="501"/>
      <c r="I1097" s="382" t="s">
        <v>1286</v>
      </c>
      <c r="J1097" s="502"/>
      <c r="K1097" s="501" t="s">
        <v>5061</v>
      </c>
      <c r="L1097" s="502" t="s">
        <v>1120</v>
      </c>
      <c r="M1097" s="502">
        <v>44657</v>
      </c>
      <c r="N1097" s="502">
        <v>44896</v>
      </c>
      <c r="O1097" s="502"/>
      <c r="P1097" s="502"/>
      <c r="Q1097" s="501"/>
      <c r="R1097" s="501"/>
      <c r="S1097" s="501" t="s">
        <v>1102</v>
      </c>
      <c r="T1097" s="505">
        <v>60</v>
      </c>
      <c r="U1097" s="403"/>
      <c r="V1097" s="501" t="s">
        <v>986</v>
      </c>
      <c r="W1097" s="505">
        <v>360</v>
      </c>
      <c r="X1097" s="403">
        <v>768</v>
      </c>
      <c r="Y1097" s="477">
        <f t="shared" si="142"/>
        <v>276480</v>
      </c>
      <c r="Z1097" s="478">
        <v>0.53</v>
      </c>
      <c r="AA1097" s="479">
        <f t="shared" si="143"/>
        <v>146534.39999999999</v>
      </c>
      <c r="AB1097" s="386"/>
      <c r="AC1097" s="481"/>
      <c r="AD1097" s="474"/>
      <c r="AE1097" s="482"/>
      <c r="AF1097" s="493">
        <f t="shared" si="144"/>
        <v>146534.39999999999</v>
      </c>
      <c r="AG1097" s="474" t="s">
        <v>47</v>
      </c>
      <c r="AH1097" s="447"/>
      <c r="AI1097" s="474">
        <v>45</v>
      </c>
      <c r="AJ1097" s="474" t="s">
        <v>1128</v>
      </c>
      <c r="AK1097" s="474" t="s">
        <v>1085</v>
      </c>
      <c r="AL1097" s="494">
        <v>8505</v>
      </c>
      <c r="AM1097" s="474" t="s">
        <v>52</v>
      </c>
      <c r="AN1097" s="474"/>
      <c r="AO1097" s="474"/>
      <c r="AP1097" s="474"/>
      <c r="AQ1097" s="482" t="s">
        <v>37</v>
      </c>
      <c r="AR1097" s="474"/>
      <c r="AS1097" s="387"/>
      <c r="AT1097" s="356"/>
      <c r="AU1097" s="387"/>
      <c r="AV1097" s="472"/>
    </row>
    <row r="1098" spans="1:48" s="471" customFormat="1" ht="15" customHeight="1">
      <c r="A1098" s="278"/>
      <c r="B1098" s="279"/>
      <c r="C1098" s="289" t="s">
        <v>1211</v>
      </c>
      <c r="D1098" s="405" t="s">
        <v>3678</v>
      </c>
      <c r="E1098" s="300"/>
      <c r="F1098" s="501"/>
      <c r="G1098" s="501">
        <v>2022</v>
      </c>
      <c r="H1098" s="501"/>
      <c r="I1098" s="382" t="s">
        <v>1286</v>
      </c>
      <c r="J1098" s="502"/>
      <c r="K1098" s="501" t="s">
        <v>5062</v>
      </c>
      <c r="L1098" s="502" t="s">
        <v>1120</v>
      </c>
      <c r="M1098" s="502">
        <v>44657</v>
      </c>
      <c r="N1098" s="502">
        <v>44838</v>
      </c>
      <c r="O1098" s="502"/>
      <c r="P1098" s="502"/>
      <c r="Q1098" s="501"/>
      <c r="R1098" s="501"/>
      <c r="S1098" s="501" t="s">
        <v>1102</v>
      </c>
      <c r="T1098" s="505">
        <v>60</v>
      </c>
      <c r="U1098" s="403"/>
      <c r="V1098" s="501" t="s">
        <v>986</v>
      </c>
      <c r="W1098" s="505">
        <v>360</v>
      </c>
      <c r="X1098" s="403">
        <v>768</v>
      </c>
      <c r="Y1098" s="477">
        <f t="shared" si="142"/>
        <v>276480</v>
      </c>
      <c r="Z1098" s="478">
        <v>0.53</v>
      </c>
      <c r="AA1098" s="479">
        <f t="shared" si="143"/>
        <v>146534.39999999999</v>
      </c>
      <c r="AB1098" s="386"/>
      <c r="AC1098" s="481"/>
      <c r="AD1098" s="474"/>
      <c r="AE1098" s="482"/>
      <c r="AF1098" s="493">
        <f t="shared" si="144"/>
        <v>146534.39999999999</v>
      </c>
      <c r="AG1098" s="474" t="s">
        <v>47</v>
      </c>
      <c r="AH1098" s="447"/>
      <c r="AI1098" s="474">
        <v>45</v>
      </c>
      <c r="AJ1098" s="474" t="s">
        <v>1128</v>
      </c>
      <c r="AK1098" s="474" t="s">
        <v>1085</v>
      </c>
      <c r="AL1098" s="494">
        <v>8505</v>
      </c>
      <c r="AM1098" s="474" t="s">
        <v>52</v>
      </c>
      <c r="AN1098" s="474"/>
      <c r="AO1098" s="474"/>
      <c r="AP1098" s="474"/>
      <c r="AQ1098" s="482" t="s">
        <v>37</v>
      </c>
      <c r="AR1098" s="474"/>
      <c r="AS1098" s="387"/>
      <c r="AT1098" s="356"/>
      <c r="AU1098" s="387"/>
      <c r="AV1098" s="472"/>
    </row>
    <row r="1099" spans="1:48" s="471" customFormat="1" ht="15" customHeight="1">
      <c r="A1099" s="278"/>
      <c r="B1099" s="279"/>
      <c r="C1099" s="289" t="s">
        <v>1211</v>
      </c>
      <c r="D1099" s="405" t="s">
        <v>3678</v>
      </c>
      <c r="E1099" s="300"/>
      <c r="F1099" s="501"/>
      <c r="G1099" s="501">
        <v>2022</v>
      </c>
      <c r="H1099" s="501"/>
      <c r="I1099" s="382" t="s">
        <v>1286</v>
      </c>
      <c r="J1099" s="502"/>
      <c r="K1099" s="501" t="s">
        <v>5062</v>
      </c>
      <c r="L1099" s="502" t="s">
        <v>1120</v>
      </c>
      <c r="M1099" s="502">
        <v>44657</v>
      </c>
      <c r="N1099" s="502">
        <v>44838</v>
      </c>
      <c r="O1099" s="502"/>
      <c r="P1099" s="502"/>
      <c r="Q1099" s="501"/>
      <c r="R1099" s="501"/>
      <c r="S1099" s="501" t="s">
        <v>1102</v>
      </c>
      <c r="T1099" s="505">
        <v>60</v>
      </c>
      <c r="U1099" s="403"/>
      <c r="V1099" s="501" t="s">
        <v>973</v>
      </c>
      <c r="W1099" s="505">
        <v>400</v>
      </c>
      <c r="X1099" s="403">
        <v>832</v>
      </c>
      <c r="Y1099" s="477">
        <f t="shared" si="142"/>
        <v>332800</v>
      </c>
      <c r="Z1099" s="478">
        <v>0.55000000000000004</v>
      </c>
      <c r="AA1099" s="479">
        <f t="shared" si="143"/>
        <v>183040.00000000003</v>
      </c>
      <c r="AB1099" s="386"/>
      <c r="AC1099" s="481"/>
      <c r="AD1099" s="474"/>
      <c r="AE1099" s="482"/>
      <c r="AF1099" s="493">
        <f t="shared" si="144"/>
        <v>183040.00000000003</v>
      </c>
      <c r="AG1099" s="474" t="s">
        <v>47</v>
      </c>
      <c r="AH1099" s="447"/>
      <c r="AI1099" s="474">
        <v>45</v>
      </c>
      <c r="AJ1099" s="474" t="s">
        <v>1128</v>
      </c>
      <c r="AK1099" s="474" t="s">
        <v>1085</v>
      </c>
      <c r="AL1099" s="494">
        <v>8505</v>
      </c>
      <c r="AM1099" s="474" t="s">
        <v>52</v>
      </c>
      <c r="AN1099" s="474"/>
      <c r="AO1099" s="474"/>
      <c r="AP1099" s="474"/>
      <c r="AQ1099" s="482" t="s">
        <v>37</v>
      </c>
      <c r="AR1099" s="474"/>
      <c r="AS1099" s="387"/>
      <c r="AT1099" s="356"/>
      <c r="AU1099" s="387"/>
      <c r="AV1099" s="472"/>
    </row>
    <row r="1100" spans="1:48" s="471" customFormat="1" ht="15" customHeight="1">
      <c r="A1100" s="278"/>
      <c r="B1100" s="279"/>
      <c r="C1100" s="289" t="s">
        <v>1211</v>
      </c>
      <c r="D1100" s="405" t="s">
        <v>3678</v>
      </c>
      <c r="E1100" s="300"/>
      <c r="F1100" s="501"/>
      <c r="G1100" s="501">
        <v>2022</v>
      </c>
      <c r="H1100" s="501"/>
      <c r="I1100" s="382" t="s">
        <v>1286</v>
      </c>
      <c r="J1100" s="502"/>
      <c r="K1100" s="501" t="s">
        <v>5062</v>
      </c>
      <c r="L1100" s="502" t="s">
        <v>1120</v>
      </c>
      <c r="M1100" s="502">
        <v>44657</v>
      </c>
      <c r="N1100" s="502">
        <v>44838</v>
      </c>
      <c r="O1100" s="502"/>
      <c r="P1100" s="502"/>
      <c r="Q1100" s="501"/>
      <c r="R1100" s="501"/>
      <c r="S1100" s="501" t="s">
        <v>1102</v>
      </c>
      <c r="T1100" s="505">
        <v>60</v>
      </c>
      <c r="U1100" s="403"/>
      <c r="V1100" s="501" t="s">
        <v>986</v>
      </c>
      <c r="W1100" s="505">
        <v>360</v>
      </c>
      <c r="X1100" s="403">
        <v>768</v>
      </c>
      <c r="Y1100" s="477">
        <f t="shared" si="142"/>
        <v>276480</v>
      </c>
      <c r="Z1100" s="478">
        <v>0.53</v>
      </c>
      <c r="AA1100" s="479">
        <f t="shared" si="143"/>
        <v>146534.39999999999</v>
      </c>
      <c r="AB1100" s="386"/>
      <c r="AC1100" s="481"/>
      <c r="AD1100" s="474"/>
      <c r="AE1100" s="482"/>
      <c r="AF1100" s="493">
        <f t="shared" si="144"/>
        <v>146534.39999999999</v>
      </c>
      <c r="AG1100" s="474" t="s">
        <v>47</v>
      </c>
      <c r="AH1100" s="447"/>
      <c r="AI1100" s="474">
        <v>45</v>
      </c>
      <c r="AJ1100" s="474" t="s">
        <v>1128</v>
      </c>
      <c r="AK1100" s="474" t="s">
        <v>1085</v>
      </c>
      <c r="AL1100" s="494">
        <v>8505</v>
      </c>
      <c r="AM1100" s="474" t="s">
        <v>52</v>
      </c>
      <c r="AN1100" s="474"/>
      <c r="AO1100" s="474"/>
      <c r="AP1100" s="474"/>
      <c r="AQ1100" s="482" t="s">
        <v>37</v>
      </c>
      <c r="AR1100" s="474"/>
      <c r="AS1100" s="387"/>
      <c r="AT1100" s="356"/>
      <c r="AU1100" s="387"/>
      <c r="AV1100" s="472"/>
    </row>
    <row r="1101" spans="1:48" s="471" customFormat="1" ht="15" customHeight="1">
      <c r="A1101" s="278"/>
      <c r="B1101" s="279"/>
      <c r="C1101" s="289" t="s">
        <v>1211</v>
      </c>
      <c r="D1101" s="405" t="s">
        <v>3678</v>
      </c>
      <c r="E1101" s="300"/>
      <c r="F1101" s="501"/>
      <c r="G1101" s="501">
        <v>2022</v>
      </c>
      <c r="H1101" s="501"/>
      <c r="I1101" s="382" t="s">
        <v>1286</v>
      </c>
      <c r="J1101" s="502"/>
      <c r="K1101" s="501" t="s">
        <v>5062</v>
      </c>
      <c r="L1101" s="502" t="s">
        <v>1120</v>
      </c>
      <c r="M1101" s="502">
        <v>44657</v>
      </c>
      <c r="N1101" s="502">
        <v>44838</v>
      </c>
      <c r="O1101" s="502"/>
      <c r="P1101" s="502"/>
      <c r="Q1101" s="501"/>
      <c r="R1101" s="501"/>
      <c r="S1101" s="501" t="s">
        <v>1102</v>
      </c>
      <c r="T1101" s="505">
        <v>60</v>
      </c>
      <c r="U1101" s="403"/>
      <c r="V1101" s="501" t="s">
        <v>986</v>
      </c>
      <c r="W1101" s="505">
        <v>360</v>
      </c>
      <c r="X1101" s="403">
        <v>768</v>
      </c>
      <c r="Y1101" s="477">
        <f t="shared" si="142"/>
        <v>276480</v>
      </c>
      <c r="Z1101" s="478">
        <v>0.53</v>
      </c>
      <c r="AA1101" s="479">
        <f t="shared" si="143"/>
        <v>146534.39999999999</v>
      </c>
      <c r="AB1101" s="386"/>
      <c r="AC1101" s="481"/>
      <c r="AD1101" s="474"/>
      <c r="AE1101" s="482"/>
      <c r="AF1101" s="493">
        <f t="shared" si="144"/>
        <v>146534.39999999999</v>
      </c>
      <c r="AG1101" s="474" t="s">
        <v>47</v>
      </c>
      <c r="AH1101" s="447"/>
      <c r="AI1101" s="474">
        <v>45</v>
      </c>
      <c r="AJ1101" s="474" t="s">
        <v>1128</v>
      </c>
      <c r="AK1101" s="474" t="s">
        <v>1085</v>
      </c>
      <c r="AL1101" s="494">
        <v>8505</v>
      </c>
      <c r="AM1101" s="474" t="s">
        <v>52</v>
      </c>
      <c r="AN1101" s="474"/>
      <c r="AO1101" s="474"/>
      <c r="AP1101" s="474"/>
      <c r="AQ1101" s="482" t="s">
        <v>37</v>
      </c>
      <c r="AR1101" s="474"/>
      <c r="AS1101" s="387"/>
      <c r="AT1101" s="356"/>
      <c r="AU1101" s="387"/>
      <c r="AV1101" s="472"/>
    </row>
    <row r="1102" spans="1:48" s="471" customFormat="1" ht="15" customHeight="1">
      <c r="A1102" s="278"/>
      <c r="B1102" s="279"/>
      <c r="C1102" s="289" t="s">
        <v>1211</v>
      </c>
      <c r="D1102" s="405" t="s">
        <v>3678</v>
      </c>
      <c r="E1102" s="300"/>
      <c r="F1102" s="501"/>
      <c r="G1102" s="501">
        <v>2022</v>
      </c>
      <c r="H1102" s="382"/>
      <c r="I1102" s="382" t="s">
        <v>1286</v>
      </c>
      <c r="J1102" s="502"/>
      <c r="K1102" s="501" t="s">
        <v>5062</v>
      </c>
      <c r="L1102" s="502" t="s">
        <v>1120</v>
      </c>
      <c r="M1102" s="502">
        <v>44657</v>
      </c>
      <c r="N1102" s="502">
        <v>44838</v>
      </c>
      <c r="O1102" s="502"/>
      <c r="P1102" s="502"/>
      <c r="Q1102" s="501"/>
      <c r="R1102" s="501"/>
      <c r="S1102" s="501" t="s">
        <v>1102</v>
      </c>
      <c r="T1102" s="505">
        <v>60</v>
      </c>
      <c r="U1102" s="403"/>
      <c r="V1102" s="501" t="s">
        <v>986</v>
      </c>
      <c r="W1102" s="505">
        <v>360</v>
      </c>
      <c r="X1102" s="403">
        <v>768</v>
      </c>
      <c r="Y1102" s="477">
        <f t="shared" si="142"/>
        <v>276480</v>
      </c>
      <c r="Z1102" s="478">
        <v>0.53</v>
      </c>
      <c r="AA1102" s="479">
        <f t="shared" si="143"/>
        <v>146534.39999999999</v>
      </c>
      <c r="AB1102" s="480"/>
      <c r="AC1102" s="481"/>
      <c r="AD1102" s="490"/>
      <c r="AE1102" s="482"/>
      <c r="AF1102" s="493">
        <f t="shared" si="144"/>
        <v>146534.39999999999</v>
      </c>
      <c r="AG1102" s="474" t="s">
        <v>47</v>
      </c>
      <c r="AH1102" s="474"/>
      <c r="AI1102" s="474">
        <v>45</v>
      </c>
      <c r="AJ1102" s="474" t="s">
        <v>1128</v>
      </c>
      <c r="AK1102" s="474" t="s">
        <v>1085</v>
      </c>
      <c r="AL1102" s="494">
        <v>8505</v>
      </c>
      <c r="AM1102" s="474" t="s">
        <v>52</v>
      </c>
      <c r="AN1102" s="474"/>
      <c r="AO1102" s="474"/>
      <c r="AP1102" s="482"/>
      <c r="AQ1102" s="482" t="s">
        <v>37</v>
      </c>
      <c r="AR1102" s="474"/>
      <c r="AS1102" s="472"/>
      <c r="AT1102" s="281"/>
      <c r="AU1102" s="436"/>
      <c r="AV1102" s="472"/>
    </row>
    <row r="1103" spans="1:48" s="471" customFormat="1" ht="15" customHeight="1">
      <c r="A1103" s="278"/>
      <c r="B1103" s="279"/>
      <c r="C1103" s="289" t="s">
        <v>1211</v>
      </c>
      <c r="D1103" s="405" t="s">
        <v>3678</v>
      </c>
      <c r="E1103" s="300"/>
      <c r="F1103" s="501"/>
      <c r="G1103" s="501">
        <v>2022</v>
      </c>
      <c r="H1103" s="501"/>
      <c r="I1103" s="382" t="s">
        <v>1286</v>
      </c>
      <c r="J1103" s="502"/>
      <c r="K1103" s="501" t="s">
        <v>5063</v>
      </c>
      <c r="L1103" s="502" t="s">
        <v>1120</v>
      </c>
      <c r="M1103" s="502">
        <v>44657</v>
      </c>
      <c r="N1103" s="502">
        <v>44844</v>
      </c>
      <c r="O1103" s="502"/>
      <c r="P1103" s="502"/>
      <c r="Q1103" s="501"/>
      <c r="R1103" s="501"/>
      <c r="S1103" s="501" t="s">
        <v>1102</v>
      </c>
      <c r="T1103" s="505">
        <v>60</v>
      </c>
      <c r="U1103" s="403"/>
      <c r="V1103" s="501" t="s">
        <v>986</v>
      </c>
      <c r="W1103" s="505">
        <v>360</v>
      </c>
      <c r="X1103" s="403">
        <v>768</v>
      </c>
      <c r="Y1103" s="477">
        <f t="shared" si="142"/>
        <v>276480</v>
      </c>
      <c r="Z1103" s="478">
        <v>0.53</v>
      </c>
      <c r="AA1103" s="479">
        <f t="shared" si="143"/>
        <v>146534.39999999999</v>
      </c>
      <c r="AB1103" s="386"/>
      <c r="AC1103" s="481"/>
      <c r="AD1103" s="474"/>
      <c r="AE1103" s="482"/>
      <c r="AF1103" s="493">
        <f t="shared" si="144"/>
        <v>146534.39999999999</v>
      </c>
      <c r="AG1103" s="474" t="s">
        <v>47</v>
      </c>
      <c r="AH1103" s="447"/>
      <c r="AI1103" s="474">
        <v>45</v>
      </c>
      <c r="AJ1103" s="474" t="s">
        <v>1143</v>
      </c>
      <c r="AK1103" s="474" t="s">
        <v>1144</v>
      </c>
      <c r="AL1103" s="494">
        <v>74074</v>
      </c>
      <c r="AM1103" s="474" t="s">
        <v>52</v>
      </c>
      <c r="AN1103" s="474"/>
      <c r="AO1103" s="474"/>
      <c r="AP1103" s="474"/>
      <c r="AQ1103" s="482" t="s">
        <v>37</v>
      </c>
      <c r="AR1103" s="474"/>
      <c r="AS1103" s="387"/>
      <c r="AT1103" s="356"/>
      <c r="AU1103" s="387"/>
      <c r="AV1103" s="472"/>
    </row>
    <row r="1104" spans="1:48" s="471" customFormat="1" ht="15" customHeight="1">
      <c r="A1104" s="278"/>
      <c r="B1104" s="279"/>
      <c r="C1104" s="289" t="s">
        <v>1211</v>
      </c>
      <c r="D1104" s="405" t="s">
        <v>3678</v>
      </c>
      <c r="E1104" s="300"/>
      <c r="F1104" s="501"/>
      <c r="G1104" s="501">
        <v>2022</v>
      </c>
      <c r="H1104" s="501"/>
      <c r="I1104" s="382" t="s">
        <v>1286</v>
      </c>
      <c r="J1104" s="502"/>
      <c r="K1104" s="501" t="s">
        <v>5063</v>
      </c>
      <c r="L1104" s="502" t="s">
        <v>1120</v>
      </c>
      <c r="M1104" s="502">
        <v>44657</v>
      </c>
      <c r="N1104" s="502">
        <v>44844</v>
      </c>
      <c r="O1104" s="502"/>
      <c r="P1104" s="502"/>
      <c r="Q1104" s="501"/>
      <c r="R1104" s="501"/>
      <c r="S1104" s="501" t="s">
        <v>1102</v>
      </c>
      <c r="T1104" s="505">
        <v>60</v>
      </c>
      <c r="U1104" s="403"/>
      <c r="V1104" s="501" t="s">
        <v>1018</v>
      </c>
      <c r="W1104" s="505">
        <v>360</v>
      </c>
      <c r="X1104" s="403">
        <v>728</v>
      </c>
      <c r="Y1104" s="477">
        <f t="shared" ref="Y1104:Y1167" si="145">W1104*X1104</f>
        <v>262080</v>
      </c>
      <c r="Z1104" s="478">
        <v>0.8</v>
      </c>
      <c r="AA1104" s="479">
        <f t="shared" si="143"/>
        <v>209664</v>
      </c>
      <c r="AB1104" s="386"/>
      <c r="AC1104" s="481"/>
      <c r="AD1104" s="474"/>
      <c r="AE1104" s="482"/>
      <c r="AF1104" s="493">
        <f t="shared" si="144"/>
        <v>209664</v>
      </c>
      <c r="AG1104" s="474" t="s">
        <v>47</v>
      </c>
      <c r="AH1104" s="447"/>
      <c r="AI1104" s="474">
        <v>45</v>
      </c>
      <c r="AJ1104" s="474" t="s">
        <v>1143</v>
      </c>
      <c r="AK1104" s="474" t="s">
        <v>1144</v>
      </c>
      <c r="AL1104" s="494">
        <v>74074</v>
      </c>
      <c r="AM1104" s="474" t="s">
        <v>52</v>
      </c>
      <c r="AN1104" s="474"/>
      <c r="AO1104" s="474"/>
      <c r="AP1104" s="474"/>
      <c r="AQ1104" s="482" t="s">
        <v>37</v>
      </c>
      <c r="AR1104" s="474"/>
      <c r="AS1104" s="387"/>
      <c r="AT1104" s="356"/>
      <c r="AU1104" s="387"/>
      <c r="AV1104" s="472"/>
    </row>
    <row r="1105" spans="1:48" s="471" customFormat="1" ht="15" customHeight="1">
      <c r="A1105" s="278"/>
      <c r="B1105" s="279"/>
      <c r="C1105" s="289" t="s">
        <v>1211</v>
      </c>
      <c r="D1105" s="405" t="s">
        <v>3678</v>
      </c>
      <c r="E1105" s="300"/>
      <c r="F1105" s="501"/>
      <c r="G1105" s="501">
        <v>2022</v>
      </c>
      <c r="H1105" s="501"/>
      <c r="I1105" s="382" t="s">
        <v>1286</v>
      </c>
      <c r="J1105" s="502"/>
      <c r="K1105" s="501" t="s">
        <v>5063</v>
      </c>
      <c r="L1105" s="502" t="s">
        <v>1120</v>
      </c>
      <c r="M1105" s="502">
        <v>44657</v>
      </c>
      <c r="N1105" s="502">
        <v>44844</v>
      </c>
      <c r="O1105" s="502"/>
      <c r="P1105" s="502"/>
      <c r="Q1105" s="501"/>
      <c r="R1105" s="501"/>
      <c r="S1105" s="501" t="s">
        <v>1102</v>
      </c>
      <c r="T1105" s="505">
        <v>60</v>
      </c>
      <c r="U1105" s="403"/>
      <c r="V1105" s="501" t="s">
        <v>973</v>
      </c>
      <c r="W1105" s="505">
        <v>400</v>
      </c>
      <c r="X1105" s="403">
        <v>832</v>
      </c>
      <c r="Y1105" s="477">
        <f t="shared" si="145"/>
        <v>332800</v>
      </c>
      <c r="Z1105" s="478">
        <v>0.55000000000000004</v>
      </c>
      <c r="AA1105" s="479">
        <f t="shared" si="143"/>
        <v>183040.00000000003</v>
      </c>
      <c r="AB1105" s="386"/>
      <c r="AC1105" s="481"/>
      <c r="AD1105" s="474"/>
      <c r="AE1105" s="482"/>
      <c r="AF1105" s="493">
        <f t="shared" si="144"/>
        <v>183040.00000000003</v>
      </c>
      <c r="AG1105" s="474" t="s">
        <v>47</v>
      </c>
      <c r="AH1105" s="447"/>
      <c r="AI1105" s="474">
        <v>45</v>
      </c>
      <c r="AJ1105" s="474" t="s">
        <v>1143</v>
      </c>
      <c r="AK1105" s="474" t="s">
        <v>1144</v>
      </c>
      <c r="AL1105" s="494">
        <v>74074</v>
      </c>
      <c r="AM1105" s="474" t="s">
        <v>52</v>
      </c>
      <c r="AN1105" s="474"/>
      <c r="AO1105" s="474"/>
      <c r="AP1105" s="474"/>
      <c r="AQ1105" s="482" t="s">
        <v>37</v>
      </c>
      <c r="AR1105" s="474"/>
      <c r="AS1105" s="387"/>
      <c r="AT1105" s="356"/>
      <c r="AU1105" s="387"/>
      <c r="AV1105" s="472"/>
    </row>
    <row r="1106" spans="1:48" s="471" customFormat="1" ht="15" customHeight="1">
      <c r="A1106" s="278"/>
      <c r="B1106" s="279"/>
      <c r="C1106" s="289" t="s">
        <v>1211</v>
      </c>
      <c r="D1106" s="405" t="s">
        <v>3678</v>
      </c>
      <c r="E1106" s="300"/>
      <c r="F1106" s="501"/>
      <c r="G1106" s="501">
        <v>2022</v>
      </c>
      <c r="H1106" s="382"/>
      <c r="I1106" s="382" t="s">
        <v>1286</v>
      </c>
      <c r="J1106" s="502"/>
      <c r="K1106" s="501" t="s">
        <v>5064</v>
      </c>
      <c r="L1106" s="502" t="s">
        <v>1120</v>
      </c>
      <c r="M1106" s="502">
        <v>44657</v>
      </c>
      <c r="N1106" s="502">
        <v>44841</v>
      </c>
      <c r="O1106" s="502"/>
      <c r="P1106" s="502"/>
      <c r="Q1106" s="501"/>
      <c r="R1106" s="501"/>
      <c r="S1106" s="501" t="s">
        <v>1102</v>
      </c>
      <c r="T1106" s="505">
        <v>60</v>
      </c>
      <c r="U1106" s="403"/>
      <c r="V1106" s="501" t="s">
        <v>1018</v>
      </c>
      <c r="W1106" s="505">
        <v>360</v>
      </c>
      <c r="X1106" s="403">
        <v>728</v>
      </c>
      <c r="Y1106" s="477">
        <f t="shared" si="145"/>
        <v>262080</v>
      </c>
      <c r="Z1106" s="478">
        <v>0.8</v>
      </c>
      <c r="AA1106" s="479">
        <f t="shared" si="143"/>
        <v>209664</v>
      </c>
      <c r="AB1106" s="480"/>
      <c r="AC1106" s="481"/>
      <c r="AD1106" s="490"/>
      <c r="AE1106" s="482"/>
      <c r="AF1106" s="493">
        <f t="shared" si="144"/>
        <v>209664</v>
      </c>
      <c r="AG1106" s="474" t="s">
        <v>47</v>
      </c>
      <c r="AH1106" s="474"/>
      <c r="AI1106" s="474">
        <v>45</v>
      </c>
      <c r="AJ1106" s="474" t="s">
        <v>1146</v>
      </c>
      <c r="AK1106" s="474" t="s">
        <v>50</v>
      </c>
      <c r="AL1106" s="494">
        <v>94577</v>
      </c>
      <c r="AM1106" s="474" t="s">
        <v>52</v>
      </c>
      <c r="AN1106" s="474"/>
      <c r="AO1106" s="474"/>
      <c r="AP1106" s="482"/>
      <c r="AQ1106" s="482" t="s">
        <v>37</v>
      </c>
      <c r="AR1106" s="474"/>
      <c r="AS1106" s="472"/>
      <c r="AT1106" s="281"/>
      <c r="AU1106" s="436"/>
      <c r="AV1106" s="472"/>
    </row>
    <row r="1107" spans="1:48" s="471" customFormat="1" ht="15" customHeight="1">
      <c r="A1107" s="278"/>
      <c r="B1107" s="279"/>
      <c r="C1107" s="289" t="s">
        <v>1211</v>
      </c>
      <c r="D1107" s="405" t="s">
        <v>3678</v>
      </c>
      <c r="E1107" s="300"/>
      <c r="F1107" s="501"/>
      <c r="G1107" s="501">
        <v>2022</v>
      </c>
      <c r="H1107" s="382"/>
      <c r="I1107" s="382" t="s">
        <v>1286</v>
      </c>
      <c r="J1107" s="502"/>
      <c r="K1107" s="501" t="s">
        <v>5064</v>
      </c>
      <c r="L1107" s="502" t="s">
        <v>1120</v>
      </c>
      <c r="M1107" s="502">
        <v>44657</v>
      </c>
      <c r="N1107" s="502">
        <v>44841</v>
      </c>
      <c r="O1107" s="502"/>
      <c r="P1107" s="502"/>
      <c r="Q1107" s="501"/>
      <c r="R1107" s="501"/>
      <c r="S1107" s="501" t="s">
        <v>1102</v>
      </c>
      <c r="T1107" s="505">
        <v>60</v>
      </c>
      <c r="U1107" s="403"/>
      <c r="V1107" s="501" t="s">
        <v>986</v>
      </c>
      <c r="W1107" s="505">
        <v>360</v>
      </c>
      <c r="X1107" s="403">
        <v>768</v>
      </c>
      <c r="Y1107" s="477">
        <f t="shared" si="145"/>
        <v>276480</v>
      </c>
      <c r="Z1107" s="478">
        <v>0.53</v>
      </c>
      <c r="AA1107" s="479">
        <f t="shared" si="143"/>
        <v>146534.39999999999</v>
      </c>
      <c r="AB1107" s="480"/>
      <c r="AC1107" s="481"/>
      <c r="AD1107" s="490"/>
      <c r="AE1107" s="482"/>
      <c r="AF1107" s="493">
        <f t="shared" si="144"/>
        <v>146534.39999999999</v>
      </c>
      <c r="AG1107" s="474" t="s">
        <v>47</v>
      </c>
      <c r="AH1107" s="474"/>
      <c r="AI1107" s="474">
        <v>45</v>
      </c>
      <c r="AJ1107" s="474" t="s">
        <v>1146</v>
      </c>
      <c r="AK1107" s="474" t="s">
        <v>50</v>
      </c>
      <c r="AL1107" s="494">
        <v>94577</v>
      </c>
      <c r="AM1107" s="474" t="s">
        <v>52</v>
      </c>
      <c r="AN1107" s="474"/>
      <c r="AO1107" s="474"/>
      <c r="AP1107" s="482"/>
      <c r="AQ1107" s="482" t="s">
        <v>37</v>
      </c>
      <c r="AR1107" s="474"/>
      <c r="AS1107" s="472"/>
      <c r="AT1107" s="281"/>
      <c r="AU1107" s="436"/>
      <c r="AV1107" s="472"/>
    </row>
    <row r="1108" spans="1:48" s="471" customFormat="1" ht="15" customHeight="1">
      <c r="A1108" s="278"/>
      <c r="B1108" s="279"/>
      <c r="C1108" s="289" t="s">
        <v>1211</v>
      </c>
      <c r="D1108" s="405" t="s">
        <v>3678</v>
      </c>
      <c r="E1108" s="300"/>
      <c r="F1108" s="501"/>
      <c r="G1108" s="501">
        <v>2022</v>
      </c>
      <c r="H1108" s="501"/>
      <c r="I1108" s="382" t="s">
        <v>1286</v>
      </c>
      <c r="J1108" s="502"/>
      <c r="K1108" s="501" t="s">
        <v>5064</v>
      </c>
      <c r="L1108" s="502" t="s">
        <v>1120</v>
      </c>
      <c r="M1108" s="502">
        <v>44657</v>
      </c>
      <c r="N1108" s="502">
        <v>44841</v>
      </c>
      <c r="O1108" s="502"/>
      <c r="P1108" s="502"/>
      <c r="Q1108" s="501"/>
      <c r="R1108" s="501"/>
      <c r="S1108" s="501" t="s">
        <v>1102</v>
      </c>
      <c r="T1108" s="505">
        <v>60</v>
      </c>
      <c r="U1108" s="403"/>
      <c r="V1108" s="501" t="s">
        <v>973</v>
      </c>
      <c r="W1108" s="505">
        <v>400</v>
      </c>
      <c r="X1108" s="403">
        <v>832</v>
      </c>
      <c r="Y1108" s="477">
        <f t="shared" si="145"/>
        <v>332800</v>
      </c>
      <c r="Z1108" s="478">
        <v>0.55000000000000004</v>
      </c>
      <c r="AA1108" s="479">
        <f t="shared" si="143"/>
        <v>183040.00000000003</v>
      </c>
      <c r="AB1108" s="386"/>
      <c r="AC1108" s="481">
        <f>AB1108*Y1108</f>
        <v>0</v>
      </c>
      <c r="AD1108" s="474"/>
      <c r="AE1108" s="482"/>
      <c r="AF1108" s="493">
        <f t="shared" si="144"/>
        <v>183040.00000000003</v>
      </c>
      <c r="AG1108" s="474" t="s">
        <v>47</v>
      </c>
      <c r="AH1108" s="447"/>
      <c r="AI1108" s="474">
        <v>45</v>
      </c>
      <c r="AJ1108" s="474" t="s">
        <v>1146</v>
      </c>
      <c r="AK1108" s="474" t="s">
        <v>50</v>
      </c>
      <c r="AL1108" s="494">
        <v>94577</v>
      </c>
      <c r="AM1108" s="474" t="s">
        <v>52</v>
      </c>
      <c r="AN1108" s="474"/>
      <c r="AO1108" s="474"/>
      <c r="AP1108" s="474"/>
      <c r="AQ1108" s="482" t="s">
        <v>37</v>
      </c>
      <c r="AR1108" s="474"/>
      <c r="AS1108" s="387"/>
      <c r="AT1108" s="356"/>
      <c r="AU1108" s="387"/>
      <c r="AV1108" s="472"/>
    </row>
    <row r="1109" spans="1:48" s="471" customFormat="1" ht="15" customHeight="1">
      <c r="A1109" s="278"/>
      <c r="B1109" s="279"/>
      <c r="C1109" s="289"/>
      <c r="D1109" s="405" t="s">
        <v>3678</v>
      </c>
      <c r="E1109" s="301"/>
      <c r="F1109" s="501"/>
      <c r="G1109" s="501">
        <v>2022</v>
      </c>
      <c r="H1109" s="501"/>
      <c r="I1109" s="382" t="s">
        <v>1286</v>
      </c>
      <c r="J1109" s="502"/>
      <c r="K1109" s="501" t="s">
        <v>5064</v>
      </c>
      <c r="L1109" s="502" t="s">
        <v>1120</v>
      </c>
      <c r="M1109" s="502">
        <v>44657</v>
      </c>
      <c r="N1109" s="502">
        <v>44841</v>
      </c>
      <c r="O1109" s="502"/>
      <c r="P1109" s="502"/>
      <c r="Q1109" s="501"/>
      <c r="R1109" s="501"/>
      <c r="S1109" s="501" t="s">
        <v>1102</v>
      </c>
      <c r="T1109" s="505">
        <v>60</v>
      </c>
      <c r="U1109" s="403"/>
      <c r="V1109" s="501" t="s">
        <v>986</v>
      </c>
      <c r="W1109" s="505">
        <v>360</v>
      </c>
      <c r="X1109" s="403">
        <v>768</v>
      </c>
      <c r="Y1109" s="477">
        <f t="shared" si="145"/>
        <v>276480</v>
      </c>
      <c r="Z1109" s="478">
        <v>0.53</v>
      </c>
      <c r="AA1109" s="479">
        <f t="shared" ref="AA1109:AA1172" si="146">Z1109*Y1109</f>
        <v>146534.39999999999</v>
      </c>
      <c r="AB1109" s="386"/>
      <c r="AC1109" s="481"/>
      <c r="AD1109" s="474"/>
      <c r="AE1109" s="482"/>
      <c r="AF1109" s="493">
        <f t="shared" si="144"/>
        <v>146534.39999999999</v>
      </c>
      <c r="AG1109" s="474" t="s">
        <v>47</v>
      </c>
      <c r="AH1109" s="447"/>
      <c r="AI1109" s="474">
        <v>45</v>
      </c>
      <c r="AJ1109" s="474" t="s">
        <v>1146</v>
      </c>
      <c r="AK1109" s="474" t="s">
        <v>50</v>
      </c>
      <c r="AL1109" s="494">
        <v>94577</v>
      </c>
      <c r="AM1109" s="474" t="s">
        <v>52</v>
      </c>
      <c r="AN1109" s="474"/>
      <c r="AO1109" s="474"/>
      <c r="AP1109" s="474"/>
      <c r="AQ1109" s="482" t="s">
        <v>37</v>
      </c>
      <c r="AR1109" s="474"/>
      <c r="AS1109" s="387"/>
      <c r="AT1109" s="356"/>
      <c r="AU1109" s="387"/>
      <c r="AV1109" s="472"/>
    </row>
    <row r="1110" spans="1:48" s="471" customFormat="1" ht="15" customHeight="1">
      <c r="A1110" s="278"/>
      <c r="B1110" s="279"/>
      <c r="C1110" s="289" t="s">
        <v>1211</v>
      </c>
      <c r="D1110" s="405" t="s">
        <v>3678</v>
      </c>
      <c r="E1110" s="300"/>
      <c r="F1110" s="501"/>
      <c r="G1110" s="501">
        <v>2022</v>
      </c>
      <c r="H1110" s="382"/>
      <c r="I1110" s="382" t="s">
        <v>1286</v>
      </c>
      <c r="J1110" s="502"/>
      <c r="K1110" s="501" t="s">
        <v>5065</v>
      </c>
      <c r="L1110" s="502" t="s">
        <v>1120</v>
      </c>
      <c r="M1110" s="502">
        <v>44657</v>
      </c>
      <c r="N1110" s="502">
        <v>44841</v>
      </c>
      <c r="O1110" s="502"/>
      <c r="P1110" s="502"/>
      <c r="Q1110" s="501"/>
      <c r="R1110" s="501"/>
      <c r="S1110" s="501" t="s">
        <v>1102</v>
      </c>
      <c r="T1110" s="505">
        <v>60</v>
      </c>
      <c r="U1110" s="403"/>
      <c r="V1110" s="501" t="s">
        <v>973</v>
      </c>
      <c r="W1110" s="505">
        <v>400</v>
      </c>
      <c r="X1110" s="403">
        <v>832</v>
      </c>
      <c r="Y1110" s="477">
        <f t="shared" si="145"/>
        <v>332800</v>
      </c>
      <c r="Z1110" s="478">
        <v>0.55000000000000004</v>
      </c>
      <c r="AA1110" s="479">
        <f t="shared" si="146"/>
        <v>183040.00000000003</v>
      </c>
      <c r="AB1110" s="480"/>
      <c r="AC1110" s="481"/>
      <c r="AD1110" s="490"/>
      <c r="AE1110" s="482"/>
      <c r="AF1110" s="493">
        <f t="shared" si="144"/>
        <v>183040.00000000003</v>
      </c>
      <c r="AG1110" s="474" t="s">
        <v>47</v>
      </c>
      <c r="AH1110" s="474"/>
      <c r="AI1110" s="474">
        <v>45</v>
      </c>
      <c r="AJ1110" s="474" t="s">
        <v>1121</v>
      </c>
      <c r="AK1110" s="474" t="s">
        <v>1117</v>
      </c>
      <c r="AL1110" s="494">
        <v>60433</v>
      </c>
      <c r="AM1110" s="474" t="s">
        <v>52</v>
      </c>
      <c r="AN1110" s="474"/>
      <c r="AO1110" s="474"/>
      <c r="AP1110" s="482"/>
      <c r="AQ1110" s="482" t="s">
        <v>37</v>
      </c>
      <c r="AR1110" s="474"/>
      <c r="AS1110" s="472"/>
      <c r="AT1110" s="281"/>
      <c r="AU1110" s="436"/>
      <c r="AV1110" s="472"/>
    </row>
    <row r="1111" spans="1:48" s="471" customFormat="1" ht="15" customHeight="1">
      <c r="A1111" s="278"/>
      <c r="B1111" s="279"/>
      <c r="C1111" s="289" t="s">
        <v>1211</v>
      </c>
      <c r="D1111" s="405" t="s">
        <v>3678</v>
      </c>
      <c r="E1111" s="300"/>
      <c r="F1111" s="501"/>
      <c r="G1111" s="501">
        <v>2022</v>
      </c>
      <c r="H1111" s="501"/>
      <c r="I1111" s="382" t="s">
        <v>1286</v>
      </c>
      <c r="J1111" s="502"/>
      <c r="K1111" s="501" t="s">
        <v>5065</v>
      </c>
      <c r="L1111" s="502" t="s">
        <v>1120</v>
      </c>
      <c r="M1111" s="502">
        <v>44657</v>
      </c>
      <c r="N1111" s="502">
        <v>44841</v>
      </c>
      <c r="O1111" s="502"/>
      <c r="P1111" s="502"/>
      <c r="Q1111" s="501"/>
      <c r="R1111" s="501"/>
      <c r="S1111" s="501" t="s">
        <v>1102</v>
      </c>
      <c r="T1111" s="505">
        <v>60</v>
      </c>
      <c r="U1111" s="403"/>
      <c r="V1111" s="501" t="s">
        <v>986</v>
      </c>
      <c r="W1111" s="505">
        <v>360</v>
      </c>
      <c r="X1111" s="403">
        <v>768</v>
      </c>
      <c r="Y1111" s="477">
        <f t="shared" si="145"/>
        <v>276480</v>
      </c>
      <c r="Z1111" s="478">
        <v>0.53</v>
      </c>
      <c r="AA1111" s="479">
        <f t="shared" si="146"/>
        <v>146534.39999999999</v>
      </c>
      <c r="AB1111" s="386"/>
      <c r="AC1111" s="481"/>
      <c r="AD1111" s="474"/>
      <c r="AE1111" s="482"/>
      <c r="AF1111" s="493">
        <f t="shared" si="144"/>
        <v>146534.39999999999</v>
      </c>
      <c r="AG1111" s="474" t="s">
        <v>47</v>
      </c>
      <c r="AH1111" s="447"/>
      <c r="AI1111" s="474">
        <v>45</v>
      </c>
      <c r="AJ1111" s="474" t="s">
        <v>1121</v>
      </c>
      <c r="AK1111" s="474" t="s">
        <v>1117</v>
      </c>
      <c r="AL1111" s="494">
        <v>60433</v>
      </c>
      <c r="AM1111" s="474" t="s">
        <v>52</v>
      </c>
      <c r="AN1111" s="474"/>
      <c r="AO1111" s="474"/>
      <c r="AP1111" s="474"/>
      <c r="AQ1111" s="482" t="s">
        <v>37</v>
      </c>
      <c r="AR1111" s="474"/>
      <c r="AS1111" s="387"/>
      <c r="AT1111" s="356"/>
      <c r="AU1111" s="387"/>
      <c r="AV1111" s="472"/>
    </row>
    <row r="1112" spans="1:48" s="471" customFormat="1" ht="15" customHeight="1">
      <c r="A1112" s="278"/>
      <c r="B1112" s="279"/>
      <c r="C1112" s="289" t="s">
        <v>1211</v>
      </c>
      <c r="D1112" s="405" t="s">
        <v>3678</v>
      </c>
      <c r="E1112" s="300"/>
      <c r="F1112" s="501"/>
      <c r="G1112" s="501">
        <v>2022</v>
      </c>
      <c r="H1112" s="382"/>
      <c r="I1112" s="382" t="s">
        <v>1286</v>
      </c>
      <c r="J1112" s="502"/>
      <c r="K1112" s="501" t="s">
        <v>5065</v>
      </c>
      <c r="L1112" s="502" t="s">
        <v>1120</v>
      </c>
      <c r="M1112" s="502">
        <v>44657</v>
      </c>
      <c r="N1112" s="502">
        <v>44841</v>
      </c>
      <c r="O1112" s="502"/>
      <c r="P1112" s="502"/>
      <c r="Q1112" s="501"/>
      <c r="R1112" s="501"/>
      <c r="S1112" s="501" t="s">
        <v>1102</v>
      </c>
      <c r="T1112" s="505">
        <v>60</v>
      </c>
      <c r="U1112" s="403"/>
      <c r="V1112" s="501" t="s">
        <v>973</v>
      </c>
      <c r="W1112" s="505">
        <v>400</v>
      </c>
      <c r="X1112" s="403">
        <v>832</v>
      </c>
      <c r="Y1112" s="477">
        <f t="shared" si="145"/>
        <v>332800</v>
      </c>
      <c r="Z1112" s="478">
        <v>0.55000000000000004</v>
      </c>
      <c r="AA1112" s="479">
        <f t="shared" si="146"/>
        <v>183040.00000000003</v>
      </c>
      <c r="AB1112" s="480"/>
      <c r="AC1112" s="481"/>
      <c r="AD1112" s="490"/>
      <c r="AE1112" s="482"/>
      <c r="AF1112" s="493">
        <f t="shared" si="144"/>
        <v>183040.00000000003</v>
      </c>
      <c r="AG1112" s="474" t="s">
        <v>47</v>
      </c>
      <c r="AH1112" s="474"/>
      <c r="AI1112" s="474">
        <v>45</v>
      </c>
      <c r="AJ1112" s="474" t="s">
        <v>1121</v>
      </c>
      <c r="AK1112" s="474" t="s">
        <v>1117</v>
      </c>
      <c r="AL1112" s="494">
        <v>60433</v>
      </c>
      <c r="AM1112" s="474" t="s">
        <v>52</v>
      </c>
      <c r="AN1112" s="474"/>
      <c r="AO1112" s="474"/>
      <c r="AP1112" s="482"/>
      <c r="AQ1112" s="482" t="s">
        <v>37</v>
      </c>
      <c r="AR1112" s="474"/>
      <c r="AS1112" s="472"/>
      <c r="AT1112" s="281"/>
      <c r="AU1112" s="436"/>
      <c r="AV1112" s="472"/>
    </row>
    <row r="1113" spans="1:48" s="471" customFormat="1" ht="15" customHeight="1">
      <c r="A1113" s="278"/>
      <c r="B1113" s="279"/>
      <c r="C1113" s="289" t="s">
        <v>1211</v>
      </c>
      <c r="D1113" s="405" t="s">
        <v>3678</v>
      </c>
      <c r="E1113" s="300"/>
      <c r="F1113" s="501"/>
      <c r="G1113" s="501">
        <v>2022</v>
      </c>
      <c r="H1113" s="501"/>
      <c r="I1113" s="382" t="s">
        <v>1286</v>
      </c>
      <c r="J1113" s="502"/>
      <c r="K1113" s="501" t="s">
        <v>5065</v>
      </c>
      <c r="L1113" s="502" t="s">
        <v>1120</v>
      </c>
      <c r="M1113" s="502">
        <v>44657</v>
      </c>
      <c r="N1113" s="502">
        <v>44841</v>
      </c>
      <c r="O1113" s="502"/>
      <c r="P1113" s="502"/>
      <c r="Q1113" s="501"/>
      <c r="R1113" s="501"/>
      <c r="S1113" s="501" t="s">
        <v>1102</v>
      </c>
      <c r="T1113" s="505">
        <v>60</v>
      </c>
      <c r="U1113" s="403"/>
      <c r="V1113" s="501" t="s">
        <v>986</v>
      </c>
      <c r="W1113" s="505">
        <v>360</v>
      </c>
      <c r="X1113" s="403">
        <v>768</v>
      </c>
      <c r="Y1113" s="477">
        <f t="shared" si="145"/>
        <v>276480</v>
      </c>
      <c r="Z1113" s="478">
        <v>0.53</v>
      </c>
      <c r="AA1113" s="479">
        <f t="shared" si="146"/>
        <v>146534.39999999999</v>
      </c>
      <c r="AB1113" s="386"/>
      <c r="AC1113" s="481"/>
      <c r="AD1113" s="474"/>
      <c r="AE1113" s="482"/>
      <c r="AF1113" s="493">
        <f t="shared" si="144"/>
        <v>146534.39999999999</v>
      </c>
      <c r="AG1113" s="474" t="s">
        <v>47</v>
      </c>
      <c r="AH1113" s="447"/>
      <c r="AI1113" s="474">
        <v>45</v>
      </c>
      <c r="AJ1113" s="474" t="s">
        <v>1121</v>
      </c>
      <c r="AK1113" s="474" t="s">
        <v>1117</v>
      </c>
      <c r="AL1113" s="494">
        <v>60433</v>
      </c>
      <c r="AM1113" s="474" t="s">
        <v>52</v>
      </c>
      <c r="AN1113" s="474"/>
      <c r="AO1113" s="474"/>
      <c r="AP1113" s="474"/>
      <c r="AQ1113" s="482" t="s">
        <v>37</v>
      </c>
      <c r="AR1113" s="474"/>
      <c r="AS1113" s="387"/>
      <c r="AT1113" s="356"/>
      <c r="AU1113" s="387"/>
      <c r="AV1113" s="472"/>
    </row>
    <row r="1114" spans="1:48" s="471" customFormat="1" ht="15" customHeight="1">
      <c r="A1114" s="278"/>
      <c r="B1114" s="279"/>
      <c r="C1114" s="289" t="s">
        <v>1211</v>
      </c>
      <c r="D1114" s="405" t="s">
        <v>3678</v>
      </c>
      <c r="E1114" s="300"/>
      <c r="F1114" s="501"/>
      <c r="G1114" s="501">
        <v>2022</v>
      </c>
      <c r="H1114" s="501"/>
      <c r="I1114" s="382" t="s">
        <v>1286</v>
      </c>
      <c r="J1114" s="502"/>
      <c r="K1114" s="501" t="s">
        <v>5065</v>
      </c>
      <c r="L1114" s="502" t="s">
        <v>1120</v>
      </c>
      <c r="M1114" s="502">
        <v>44657</v>
      </c>
      <c r="N1114" s="502">
        <v>44841</v>
      </c>
      <c r="O1114" s="502"/>
      <c r="P1114" s="502"/>
      <c r="Q1114" s="501"/>
      <c r="R1114" s="501"/>
      <c r="S1114" s="501" t="s">
        <v>1102</v>
      </c>
      <c r="T1114" s="505">
        <v>60</v>
      </c>
      <c r="U1114" s="403"/>
      <c r="V1114" s="501" t="s">
        <v>973</v>
      </c>
      <c r="W1114" s="505">
        <v>400</v>
      </c>
      <c r="X1114" s="403">
        <v>832</v>
      </c>
      <c r="Y1114" s="477">
        <f t="shared" si="145"/>
        <v>332800</v>
      </c>
      <c r="Z1114" s="478">
        <v>0.55000000000000004</v>
      </c>
      <c r="AA1114" s="479">
        <f t="shared" si="146"/>
        <v>183040.00000000003</v>
      </c>
      <c r="AB1114" s="386"/>
      <c r="AC1114" s="481"/>
      <c r="AD1114" s="474"/>
      <c r="AE1114" s="482"/>
      <c r="AF1114" s="493">
        <f t="shared" si="144"/>
        <v>183040.00000000003</v>
      </c>
      <c r="AG1114" s="474" t="s">
        <v>47</v>
      </c>
      <c r="AH1114" s="447"/>
      <c r="AI1114" s="474">
        <v>45</v>
      </c>
      <c r="AJ1114" s="474" t="s">
        <v>1121</v>
      </c>
      <c r="AK1114" s="474" t="s">
        <v>1117</v>
      </c>
      <c r="AL1114" s="494">
        <v>60433</v>
      </c>
      <c r="AM1114" s="474" t="s">
        <v>52</v>
      </c>
      <c r="AN1114" s="474"/>
      <c r="AO1114" s="474"/>
      <c r="AP1114" s="474"/>
      <c r="AQ1114" s="482" t="s">
        <v>37</v>
      </c>
      <c r="AR1114" s="474"/>
      <c r="AS1114" s="387"/>
      <c r="AT1114" s="356"/>
      <c r="AU1114" s="387"/>
      <c r="AV1114" s="472"/>
    </row>
    <row r="1115" spans="1:48" s="471" customFormat="1" ht="15" customHeight="1">
      <c r="A1115" s="278"/>
      <c r="B1115" s="279"/>
      <c r="C1115" s="289" t="s">
        <v>1211</v>
      </c>
      <c r="D1115" s="405" t="s">
        <v>3678</v>
      </c>
      <c r="E1115" s="300"/>
      <c r="F1115" s="501"/>
      <c r="G1115" s="501">
        <v>2022</v>
      </c>
      <c r="H1115" s="501"/>
      <c r="I1115" s="382" t="s">
        <v>1286</v>
      </c>
      <c r="J1115" s="502"/>
      <c r="K1115" s="501" t="s">
        <v>5066</v>
      </c>
      <c r="L1115" s="502" t="s">
        <v>1120</v>
      </c>
      <c r="M1115" s="502">
        <v>44645</v>
      </c>
      <c r="N1115" s="502">
        <v>44755</v>
      </c>
      <c r="O1115" s="502"/>
      <c r="P1115" s="502"/>
      <c r="Q1115" s="501"/>
      <c r="R1115" s="501"/>
      <c r="S1115" s="501" t="s">
        <v>1102</v>
      </c>
      <c r="T1115" s="505">
        <v>60</v>
      </c>
      <c r="U1115" s="403"/>
      <c r="V1115" s="501" t="s">
        <v>986</v>
      </c>
      <c r="W1115" s="505">
        <v>360</v>
      </c>
      <c r="X1115" s="403">
        <v>768</v>
      </c>
      <c r="Y1115" s="477">
        <f t="shared" si="145"/>
        <v>276480</v>
      </c>
      <c r="Z1115" s="478">
        <v>0.53</v>
      </c>
      <c r="AA1115" s="479">
        <f t="shared" si="146"/>
        <v>146534.39999999999</v>
      </c>
      <c r="AB1115" s="386"/>
      <c r="AC1115" s="481"/>
      <c r="AD1115" s="474"/>
      <c r="AE1115" s="482"/>
      <c r="AF1115" s="493">
        <f t="shared" si="144"/>
        <v>146534.39999999999</v>
      </c>
      <c r="AG1115" s="474" t="s">
        <v>47</v>
      </c>
      <c r="AH1115" s="447"/>
      <c r="AI1115" s="474">
        <v>45</v>
      </c>
      <c r="AJ1115" s="474" t="s">
        <v>1412</v>
      </c>
      <c r="AK1115" s="474" t="s">
        <v>50</v>
      </c>
      <c r="AL1115" s="494">
        <v>91708</v>
      </c>
      <c r="AM1115" s="474" t="s">
        <v>52</v>
      </c>
      <c r="AN1115" s="474"/>
      <c r="AO1115" s="474"/>
      <c r="AP1115" s="474"/>
      <c r="AQ1115" s="482" t="s">
        <v>37</v>
      </c>
      <c r="AR1115" s="474"/>
      <c r="AS1115" s="387"/>
      <c r="AT1115" s="356"/>
      <c r="AU1115" s="387"/>
      <c r="AV1115" s="472"/>
    </row>
    <row r="1116" spans="1:48" s="471" customFormat="1" ht="15" customHeight="1">
      <c r="A1116" s="278"/>
      <c r="B1116" s="279"/>
      <c r="C1116" s="289" t="s">
        <v>1211</v>
      </c>
      <c r="D1116" s="405" t="s">
        <v>3678</v>
      </c>
      <c r="E1116" s="300"/>
      <c r="F1116" s="501"/>
      <c r="G1116" s="501">
        <v>2022</v>
      </c>
      <c r="H1116" s="501"/>
      <c r="I1116" s="382" t="s">
        <v>1286</v>
      </c>
      <c r="J1116" s="502"/>
      <c r="K1116" s="501" t="s">
        <v>5066</v>
      </c>
      <c r="L1116" s="502" t="s">
        <v>1120</v>
      </c>
      <c r="M1116" s="502">
        <v>44645</v>
      </c>
      <c r="N1116" s="502">
        <v>44790</v>
      </c>
      <c r="O1116" s="502"/>
      <c r="P1116" s="502"/>
      <c r="Q1116" s="501"/>
      <c r="R1116" s="501"/>
      <c r="S1116" s="501" t="s">
        <v>1102</v>
      </c>
      <c r="T1116" s="505">
        <v>60</v>
      </c>
      <c r="U1116" s="403"/>
      <c r="V1116" s="501" t="s">
        <v>973</v>
      </c>
      <c r="W1116" s="505">
        <v>400</v>
      </c>
      <c r="X1116" s="403">
        <v>832</v>
      </c>
      <c r="Y1116" s="477">
        <f t="shared" si="145"/>
        <v>332800</v>
      </c>
      <c r="Z1116" s="478">
        <v>0.55000000000000004</v>
      </c>
      <c r="AA1116" s="479">
        <f t="shared" si="146"/>
        <v>183040.00000000003</v>
      </c>
      <c r="AB1116" s="386"/>
      <c r="AC1116" s="481"/>
      <c r="AD1116" s="474"/>
      <c r="AE1116" s="482"/>
      <c r="AF1116" s="493">
        <f t="shared" si="144"/>
        <v>183040.00000000003</v>
      </c>
      <c r="AG1116" s="474" t="s">
        <v>47</v>
      </c>
      <c r="AH1116" s="447"/>
      <c r="AI1116" s="474">
        <v>45</v>
      </c>
      <c r="AJ1116" s="474" t="s">
        <v>1412</v>
      </c>
      <c r="AK1116" s="474" t="s">
        <v>50</v>
      </c>
      <c r="AL1116" s="494">
        <v>91708</v>
      </c>
      <c r="AM1116" s="474" t="s">
        <v>52</v>
      </c>
      <c r="AN1116" s="474"/>
      <c r="AO1116" s="474"/>
      <c r="AP1116" s="474"/>
      <c r="AQ1116" s="482" t="s">
        <v>37</v>
      </c>
      <c r="AR1116" s="474"/>
      <c r="AS1116" s="387"/>
      <c r="AT1116" s="356"/>
      <c r="AU1116" s="387"/>
      <c r="AV1116" s="472"/>
    </row>
    <row r="1117" spans="1:48" s="471" customFormat="1" ht="15" customHeight="1">
      <c r="A1117" s="278"/>
      <c r="B1117" s="279"/>
      <c r="C1117" s="289" t="s">
        <v>1211</v>
      </c>
      <c r="D1117" s="405" t="s">
        <v>3678</v>
      </c>
      <c r="E1117" s="300"/>
      <c r="F1117" s="501"/>
      <c r="G1117" s="501">
        <v>2022</v>
      </c>
      <c r="H1117" s="501"/>
      <c r="I1117" s="382" t="s">
        <v>1286</v>
      </c>
      <c r="J1117" s="502"/>
      <c r="K1117" s="501" t="s">
        <v>5066</v>
      </c>
      <c r="L1117" s="502" t="s">
        <v>1120</v>
      </c>
      <c r="M1117" s="502">
        <v>44645</v>
      </c>
      <c r="N1117" s="502">
        <v>44818</v>
      </c>
      <c r="O1117" s="502"/>
      <c r="P1117" s="502"/>
      <c r="Q1117" s="501"/>
      <c r="R1117" s="501"/>
      <c r="S1117" s="501" t="s">
        <v>1102</v>
      </c>
      <c r="T1117" s="505">
        <v>60</v>
      </c>
      <c r="U1117" s="403"/>
      <c r="V1117" s="501" t="s">
        <v>973</v>
      </c>
      <c r="W1117" s="505">
        <v>400</v>
      </c>
      <c r="X1117" s="403">
        <v>832</v>
      </c>
      <c r="Y1117" s="477">
        <f t="shared" si="145"/>
        <v>332800</v>
      </c>
      <c r="Z1117" s="478">
        <v>0.55000000000000004</v>
      </c>
      <c r="AA1117" s="479">
        <f t="shared" si="146"/>
        <v>183040.00000000003</v>
      </c>
      <c r="AB1117" s="386"/>
      <c r="AC1117" s="481"/>
      <c r="AD1117" s="474"/>
      <c r="AE1117" s="482"/>
      <c r="AF1117" s="493">
        <f t="shared" si="144"/>
        <v>183040.00000000003</v>
      </c>
      <c r="AG1117" s="474" t="s">
        <v>47</v>
      </c>
      <c r="AH1117" s="447"/>
      <c r="AI1117" s="474">
        <v>45</v>
      </c>
      <c r="AJ1117" s="474" t="s">
        <v>1412</v>
      </c>
      <c r="AK1117" s="474" t="s">
        <v>50</v>
      </c>
      <c r="AL1117" s="494">
        <v>91708</v>
      </c>
      <c r="AM1117" s="474" t="s">
        <v>52</v>
      </c>
      <c r="AN1117" s="474"/>
      <c r="AO1117" s="474"/>
      <c r="AP1117" s="474"/>
      <c r="AQ1117" s="482" t="s">
        <v>37</v>
      </c>
      <c r="AR1117" s="474"/>
      <c r="AS1117" s="387"/>
      <c r="AT1117" s="356"/>
      <c r="AU1117" s="387"/>
      <c r="AV1117" s="472"/>
    </row>
    <row r="1118" spans="1:48" s="471" customFormat="1" ht="15" customHeight="1">
      <c r="A1118" s="278"/>
      <c r="B1118" s="279"/>
      <c r="C1118" s="289" t="s">
        <v>1211</v>
      </c>
      <c r="D1118" s="405" t="s">
        <v>3678</v>
      </c>
      <c r="E1118" s="300"/>
      <c r="F1118" s="501"/>
      <c r="G1118" s="501">
        <v>2022</v>
      </c>
      <c r="H1118" s="501"/>
      <c r="I1118" s="382" t="s">
        <v>1286</v>
      </c>
      <c r="J1118" s="502"/>
      <c r="K1118" s="501" t="s">
        <v>5067</v>
      </c>
      <c r="L1118" s="502" t="s">
        <v>1120</v>
      </c>
      <c r="M1118" s="502">
        <v>44645</v>
      </c>
      <c r="N1118" s="502">
        <v>44755</v>
      </c>
      <c r="O1118" s="502"/>
      <c r="P1118" s="502"/>
      <c r="Q1118" s="501"/>
      <c r="R1118" s="501"/>
      <c r="S1118" s="501" t="s">
        <v>1102</v>
      </c>
      <c r="T1118" s="505">
        <v>60</v>
      </c>
      <c r="U1118" s="403"/>
      <c r="V1118" s="501" t="s">
        <v>986</v>
      </c>
      <c r="W1118" s="505">
        <v>360</v>
      </c>
      <c r="X1118" s="403">
        <v>768</v>
      </c>
      <c r="Y1118" s="477">
        <f t="shared" si="145"/>
        <v>276480</v>
      </c>
      <c r="Z1118" s="478">
        <v>0.53</v>
      </c>
      <c r="AA1118" s="479">
        <f t="shared" si="146"/>
        <v>146534.39999999999</v>
      </c>
      <c r="AB1118" s="386"/>
      <c r="AC1118" s="481"/>
      <c r="AD1118" s="474"/>
      <c r="AE1118" s="482"/>
      <c r="AF1118" s="493">
        <f t="shared" si="144"/>
        <v>146534.39999999999</v>
      </c>
      <c r="AG1118" s="474" t="s">
        <v>47</v>
      </c>
      <c r="AH1118" s="447"/>
      <c r="AI1118" s="474">
        <v>45</v>
      </c>
      <c r="AJ1118" s="474" t="s">
        <v>3221</v>
      </c>
      <c r="AK1118" s="474" t="s">
        <v>1144</v>
      </c>
      <c r="AL1118" s="494">
        <v>76014</v>
      </c>
      <c r="AM1118" s="474" t="s">
        <v>52</v>
      </c>
      <c r="AN1118" s="474"/>
      <c r="AO1118" s="474"/>
      <c r="AP1118" s="474"/>
      <c r="AQ1118" s="482" t="s">
        <v>37</v>
      </c>
      <c r="AR1118" s="474"/>
      <c r="AS1118" s="387"/>
      <c r="AT1118" s="356"/>
      <c r="AU1118" s="387"/>
      <c r="AV1118" s="472"/>
    </row>
    <row r="1119" spans="1:48" s="471" customFormat="1" ht="15" customHeight="1">
      <c r="A1119" s="278"/>
      <c r="B1119" s="279"/>
      <c r="C1119" s="289" t="s">
        <v>1211</v>
      </c>
      <c r="D1119" s="405" t="s">
        <v>3678</v>
      </c>
      <c r="E1119" s="300"/>
      <c r="F1119" s="501"/>
      <c r="G1119" s="501">
        <v>2022</v>
      </c>
      <c r="H1119" s="501"/>
      <c r="I1119" s="382" t="s">
        <v>1286</v>
      </c>
      <c r="J1119" s="502"/>
      <c r="K1119" s="501" t="s">
        <v>5067</v>
      </c>
      <c r="L1119" s="502" t="s">
        <v>1120</v>
      </c>
      <c r="M1119" s="502">
        <v>44645</v>
      </c>
      <c r="N1119" s="502">
        <v>44764</v>
      </c>
      <c r="O1119" s="502"/>
      <c r="P1119" s="502"/>
      <c r="Q1119" s="501"/>
      <c r="R1119" s="501"/>
      <c r="S1119" s="501" t="s">
        <v>1102</v>
      </c>
      <c r="T1119" s="505">
        <v>60</v>
      </c>
      <c r="U1119" s="403"/>
      <c r="V1119" s="501" t="s">
        <v>973</v>
      </c>
      <c r="W1119" s="505">
        <v>400</v>
      </c>
      <c r="X1119" s="403">
        <v>832</v>
      </c>
      <c r="Y1119" s="477">
        <f t="shared" si="145"/>
        <v>332800</v>
      </c>
      <c r="Z1119" s="478">
        <v>0.55000000000000004</v>
      </c>
      <c r="AA1119" s="479">
        <f t="shared" si="146"/>
        <v>183040.00000000003</v>
      </c>
      <c r="AB1119" s="386"/>
      <c r="AC1119" s="481"/>
      <c r="AD1119" s="474"/>
      <c r="AE1119" s="482"/>
      <c r="AF1119" s="493">
        <f t="shared" si="144"/>
        <v>183040.00000000003</v>
      </c>
      <c r="AG1119" s="474" t="s">
        <v>47</v>
      </c>
      <c r="AH1119" s="447"/>
      <c r="AI1119" s="474">
        <v>45</v>
      </c>
      <c r="AJ1119" s="474" t="s">
        <v>3221</v>
      </c>
      <c r="AK1119" s="474" t="s">
        <v>1144</v>
      </c>
      <c r="AL1119" s="494">
        <v>76014</v>
      </c>
      <c r="AM1119" s="474" t="s">
        <v>52</v>
      </c>
      <c r="AN1119" s="474"/>
      <c r="AO1119" s="474"/>
      <c r="AP1119" s="474"/>
      <c r="AQ1119" s="482" t="s">
        <v>37</v>
      </c>
      <c r="AR1119" s="474"/>
      <c r="AS1119" s="387"/>
      <c r="AT1119" s="356"/>
      <c r="AU1119" s="387"/>
      <c r="AV1119" s="472"/>
    </row>
    <row r="1120" spans="1:48" s="471" customFormat="1" ht="15" customHeight="1">
      <c r="A1120" s="278"/>
      <c r="B1120" s="279"/>
      <c r="C1120" s="289" t="s">
        <v>1211</v>
      </c>
      <c r="D1120" s="405" t="s">
        <v>3678</v>
      </c>
      <c r="E1120" s="300"/>
      <c r="F1120" s="501"/>
      <c r="G1120" s="501">
        <v>2022</v>
      </c>
      <c r="H1120" s="501"/>
      <c r="I1120" s="382" t="s">
        <v>1286</v>
      </c>
      <c r="J1120" s="502"/>
      <c r="K1120" s="501" t="s">
        <v>5067</v>
      </c>
      <c r="L1120" s="502" t="s">
        <v>1120</v>
      </c>
      <c r="M1120" s="502">
        <v>44645</v>
      </c>
      <c r="N1120" s="502">
        <v>44818</v>
      </c>
      <c r="O1120" s="502"/>
      <c r="P1120" s="502"/>
      <c r="Q1120" s="501"/>
      <c r="R1120" s="501"/>
      <c r="S1120" s="501" t="s">
        <v>1102</v>
      </c>
      <c r="T1120" s="505">
        <v>60</v>
      </c>
      <c r="U1120" s="403"/>
      <c r="V1120" s="501" t="s">
        <v>986</v>
      </c>
      <c r="W1120" s="505">
        <v>360</v>
      </c>
      <c r="X1120" s="403">
        <v>768</v>
      </c>
      <c r="Y1120" s="477">
        <f t="shared" si="145"/>
        <v>276480</v>
      </c>
      <c r="Z1120" s="478">
        <v>0.53</v>
      </c>
      <c r="AA1120" s="479">
        <f t="shared" si="146"/>
        <v>146534.39999999999</v>
      </c>
      <c r="AB1120" s="386"/>
      <c r="AC1120" s="481"/>
      <c r="AD1120" s="474"/>
      <c r="AE1120" s="482"/>
      <c r="AF1120" s="493">
        <f t="shared" si="144"/>
        <v>146534.39999999999</v>
      </c>
      <c r="AG1120" s="474" t="s">
        <v>47</v>
      </c>
      <c r="AH1120" s="447"/>
      <c r="AI1120" s="474">
        <v>45</v>
      </c>
      <c r="AJ1120" s="474" t="s">
        <v>3221</v>
      </c>
      <c r="AK1120" s="474" t="s">
        <v>1144</v>
      </c>
      <c r="AL1120" s="494">
        <v>76014</v>
      </c>
      <c r="AM1120" s="474" t="s">
        <v>52</v>
      </c>
      <c r="AN1120" s="474"/>
      <c r="AO1120" s="474"/>
      <c r="AP1120" s="474"/>
      <c r="AQ1120" s="482" t="s">
        <v>37</v>
      </c>
      <c r="AR1120" s="474"/>
      <c r="AS1120" s="387"/>
      <c r="AT1120" s="356"/>
      <c r="AU1120" s="387"/>
      <c r="AV1120" s="472"/>
    </row>
    <row r="1121" spans="1:48" s="471" customFormat="1" ht="15" customHeight="1">
      <c r="A1121" s="278"/>
      <c r="B1121" s="279"/>
      <c r="C1121" s="289" t="s">
        <v>1211</v>
      </c>
      <c r="D1121" s="405" t="s">
        <v>3678</v>
      </c>
      <c r="E1121" s="300"/>
      <c r="F1121" s="501"/>
      <c r="G1121" s="501">
        <v>2022</v>
      </c>
      <c r="H1121" s="501"/>
      <c r="I1121" s="382" t="s">
        <v>1286</v>
      </c>
      <c r="J1121" s="502"/>
      <c r="K1121" s="501" t="s">
        <v>5068</v>
      </c>
      <c r="L1121" s="502" t="s">
        <v>1120</v>
      </c>
      <c r="M1121" s="502">
        <v>44645</v>
      </c>
      <c r="N1121" s="502">
        <v>44755</v>
      </c>
      <c r="O1121" s="502"/>
      <c r="P1121" s="502"/>
      <c r="Q1121" s="501"/>
      <c r="R1121" s="501"/>
      <c r="S1121" s="501" t="s">
        <v>1102</v>
      </c>
      <c r="T1121" s="505">
        <v>60</v>
      </c>
      <c r="U1121" s="403"/>
      <c r="V1121" s="501" t="s">
        <v>973</v>
      </c>
      <c r="W1121" s="505">
        <v>400</v>
      </c>
      <c r="X1121" s="403">
        <v>832</v>
      </c>
      <c r="Y1121" s="477">
        <f t="shared" si="145"/>
        <v>332800</v>
      </c>
      <c r="Z1121" s="478">
        <v>0.55000000000000004</v>
      </c>
      <c r="AA1121" s="479">
        <f t="shared" si="146"/>
        <v>183040.00000000003</v>
      </c>
      <c r="AB1121" s="386"/>
      <c r="AC1121" s="481"/>
      <c r="AD1121" s="474"/>
      <c r="AE1121" s="482"/>
      <c r="AF1121" s="493">
        <f t="shared" si="144"/>
        <v>183040.00000000003</v>
      </c>
      <c r="AG1121" s="474" t="s">
        <v>47</v>
      </c>
      <c r="AH1121" s="447"/>
      <c r="AI1121" s="474">
        <v>45</v>
      </c>
      <c r="AJ1121" s="474" t="s">
        <v>2277</v>
      </c>
      <c r="AK1121" s="474" t="s">
        <v>1084</v>
      </c>
      <c r="AL1121" s="494">
        <v>32822</v>
      </c>
      <c r="AM1121" s="474" t="s">
        <v>52</v>
      </c>
      <c r="AN1121" s="474"/>
      <c r="AO1121" s="474"/>
      <c r="AP1121" s="474"/>
      <c r="AQ1121" s="482" t="s">
        <v>37</v>
      </c>
      <c r="AR1121" s="474"/>
      <c r="AS1121" s="387"/>
      <c r="AT1121" s="356"/>
      <c r="AU1121" s="387"/>
      <c r="AV1121" s="472"/>
    </row>
    <row r="1122" spans="1:48" s="471" customFormat="1" ht="15" customHeight="1">
      <c r="A1122" s="278"/>
      <c r="B1122" s="279"/>
      <c r="C1122" s="289" t="s">
        <v>1211</v>
      </c>
      <c r="D1122" s="405" t="s">
        <v>3678</v>
      </c>
      <c r="E1122" s="300"/>
      <c r="F1122" s="501"/>
      <c r="G1122" s="501">
        <v>2022</v>
      </c>
      <c r="H1122" s="501"/>
      <c r="I1122" s="382" t="s">
        <v>1286</v>
      </c>
      <c r="J1122" s="502"/>
      <c r="K1122" s="501" t="s">
        <v>5068</v>
      </c>
      <c r="L1122" s="502" t="s">
        <v>1120</v>
      </c>
      <c r="M1122" s="502">
        <v>44645</v>
      </c>
      <c r="N1122" s="502">
        <v>44785</v>
      </c>
      <c r="O1122" s="502"/>
      <c r="P1122" s="502"/>
      <c r="Q1122" s="501"/>
      <c r="R1122" s="501"/>
      <c r="S1122" s="501" t="s">
        <v>1102</v>
      </c>
      <c r="T1122" s="505">
        <v>60</v>
      </c>
      <c r="U1122" s="403"/>
      <c r="V1122" s="501" t="s">
        <v>986</v>
      </c>
      <c r="W1122" s="505">
        <v>360</v>
      </c>
      <c r="X1122" s="403">
        <v>768</v>
      </c>
      <c r="Y1122" s="477">
        <f t="shared" si="145"/>
        <v>276480</v>
      </c>
      <c r="Z1122" s="478">
        <v>0.53</v>
      </c>
      <c r="AA1122" s="479">
        <f t="shared" si="146"/>
        <v>146534.39999999999</v>
      </c>
      <c r="AB1122" s="386"/>
      <c r="AC1122" s="481"/>
      <c r="AD1122" s="474"/>
      <c r="AE1122" s="482"/>
      <c r="AF1122" s="493">
        <f t="shared" si="144"/>
        <v>146534.39999999999</v>
      </c>
      <c r="AG1122" s="474" t="s">
        <v>47</v>
      </c>
      <c r="AH1122" s="447"/>
      <c r="AI1122" s="474">
        <v>45</v>
      </c>
      <c r="AJ1122" s="474" t="s">
        <v>2277</v>
      </c>
      <c r="AK1122" s="474" t="s">
        <v>1084</v>
      </c>
      <c r="AL1122" s="494">
        <v>32822</v>
      </c>
      <c r="AM1122" s="474" t="s">
        <v>52</v>
      </c>
      <c r="AN1122" s="474"/>
      <c r="AO1122" s="474"/>
      <c r="AP1122" s="474"/>
      <c r="AQ1122" s="482" t="s">
        <v>37</v>
      </c>
      <c r="AR1122" s="474"/>
      <c r="AS1122" s="387"/>
      <c r="AT1122" s="356"/>
      <c r="AU1122" s="387"/>
      <c r="AV1122" s="472"/>
    </row>
    <row r="1123" spans="1:48" s="471" customFormat="1" ht="15" customHeight="1">
      <c r="A1123" s="278"/>
      <c r="B1123" s="279"/>
      <c r="C1123" s="289" t="s">
        <v>1211</v>
      </c>
      <c r="D1123" s="405" t="s">
        <v>3678</v>
      </c>
      <c r="E1123" s="300"/>
      <c r="F1123" s="501"/>
      <c r="G1123" s="501">
        <v>2022</v>
      </c>
      <c r="H1123" s="501"/>
      <c r="I1123" s="382" t="s">
        <v>1286</v>
      </c>
      <c r="J1123" s="502"/>
      <c r="K1123" s="501" t="s">
        <v>5068</v>
      </c>
      <c r="L1123" s="502" t="s">
        <v>1120</v>
      </c>
      <c r="M1123" s="502">
        <v>44645</v>
      </c>
      <c r="N1123" s="502">
        <v>44823</v>
      </c>
      <c r="O1123" s="502"/>
      <c r="P1123" s="502"/>
      <c r="Q1123" s="501"/>
      <c r="R1123" s="501"/>
      <c r="S1123" s="501" t="s">
        <v>1102</v>
      </c>
      <c r="T1123" s="505">
        <v>60</v>
      </c>
      <c r="U1123" s="403"/>
      <c r="V1123" s="501" t="s">
        <v>973</v>
      </c>
      <c r="W1123" s="505">
        <v>400</v>
      </c>
      <c r="X1123" s="403">
        <v>832</v>
      </c>
      <c r="Y1123" s="477">
        <f t="shared" si="145"/>
        <v>332800</v>
      </c>
      <c r="Z1123" s="478">
        <v>0.55000000000000004</v>
      </c>
      <c r="AA1123" s="479">
        <f t="shared" si="146"/>
        <v>183040.00000000003</v>
      </c>
      <c r="AB1123" s="386"/>
      <c r="AC1123" s="481"/>
      <c r="AD1123" s="474"/>
      <c r="AE1123" s="482"/>
      <c r="AF1123" s="493">
        <f t="shared" si="144"/>
        <v>183040.00000000003</v>
      </c>
      <c r="AG1123" s="474" t="s">
        <v>47</v>
      </c>
      <c r="AH1123" s="447"/>
      <c r="AI1123" s="474">
        <v>45</v>
      </c>
      <c r="AJ1123" s="474" t="s">
        <v>2277</v>
      </c>
      <c r="AK1123" s="474" t="s">
        <v>1084</v>
      </c>
      <c r="AL1123" s="494">
        <v>32822</v>
      </c>
      <c r="AM1123" s="474" t="s">
        <v>52</v>
      </c>
      <c r="AN1123" s="474"/>
      <c r="AO1123" s="474"/>
      <c r="AP1123" s="474"/>
      <c r="AQ1123" s="482" t="s">
        <v>37</v>
      </c>
      <c r="AR1123" s="474"/>
      <c r="AS1123" s="387"/>
      <c r="AT1123" s="356"/>
      <c r="AU1123" s="387"/>
      <c r="AV1123" s="472"/>
    </row>
    <row r="1124" spans="1:48" s="471" customFormat="1" ht="15" customHeight="1">
      <c r="A1124" s="278"/>
      <c r="B1124" s="279"/>
      <c r="C1124" s="289" t="s">
        <v>1211</v>
      </c>
      <c r="D1124" s="405" t="s">
        <v>3678</v>
      </c>
      <c r="E1124" s="300"/>
      <c r="F1124" s="501"/>
      <c r="G1124" s="501">
        <v>2022</v>
      </c>
      <c r="H1124" s="501"/>
      <c r="I1124" s="382" t="s">
        <v>1286</v>
      </c>
      <c r="J1124" s="502"/>
      <c r="K1124" s="501" t="s">
        <v>5069</v>
      </c>
      <c r="L1124" s="502" t="s">
        <v>1120</v>
      </c>
      <c r="M1124" s="502">
        <v>44645</v>
      </c>
      <c r="N1124" s="502">
        <v>44755</v>
      </c>
      <c r="O1124" s="502"/>
      <c r="P1124" s="502"/>
      <c r="Q1124" s="501"/>
      <c r="R1124" s="501"/>
      <c r="S1124" s="501" t="s">
        <v>1102</v>
      </c>
      <c r="T1124" s="505">
        <v>60</v>
      </c>
      <c r="U1124" s="403"/>
      <c r="V1124" s="501" t="s">
        <v>973</v>
      </c>
      <c r="W1124" s="505">
        <v>400</v>
      </c>
      <c r="X1124" s="403">
        <v>832</v>
      </c>
      <c r="Y1124" s="477">
        <f t="shared" si="145"/>
        <v>332800</v>
      </c>
      <c r="Z1124" s="478">
        <v>0.55000000000000004</v>
      </c>
      <c r="AA1124" s="479">
        <f t="shared" si="146"/>
        <v>183040.00000000003</v>
      </c>
      <c r="AB1124" s="386"/>
      <c r="AC1124" s="481"/>
      <c r="AD1124" s="474"/>
      <c r="AE1124" s="482"/>
      <c r="AF1124" s="493">
        <f t="shared" si="144"/>
        <v>183040.00000000003</v>
      </c>
      <c r="AG1124" s="474" t="s">
        <v>47</v>
      </c>
      <c r="AH1124" s="447"/>
      <c r="AI1124" s="474">
        <v>45</v>
      </c>
      <c r="AJ1124" s="474" t="s">
        <v>3448</v>
      </c>
      <c r="AK1124" s="474" t="s">
        <v>1395</v>
      </c>
      <c r="AL1124" s="494">
        <v>89521</v>
      </c>
      <c r="AM1124" s="474" t="s">
        <v>52</v>
      </c>
      <c r="AN1124" s="474"/>
      <c r="AO1124" s="474"/>
      <c r="AP1124" s="474"/>
      <c r="AQ1124" s="482" t="s">
        <v>37</v>
      </c>
      <c r="AR1124" s="474"/>
      <c r="AS1124" s="387"/>
      <c r="AT1124" s="356"/>
      <c r="AU1124" s="387"/>
      <c r="AV1124" s="472"/>
    </row>
    <row r="1125" spans="1:48" s="471" customFormat="1" ht="15" customHeight="1">
      <c r="A1125" s="278"/>
      <c r="B1125" s="279"/>
      <c r="C1125" s="289" t="s">
        <v>1211</v>
      </c>
      <c r="D1125" s="405" t="s">
        <v>3678</v>
      </c>
      <c r="E1125" s="300"/>
      <c r="F1125" s="501"/>
      <c r="G1125" s="501">
        <v>2022</v>
      </c>
      <c r="H1125" s="501"/>
      <c r="I1125" s="382" t="s">
        <v>1286</v>
      </c>
      <c r="J1125" s="502"/>
      <c r="K1125" s="501" t="s">
        <v>5069</v>
      </c>
      <c r="L1125" s="502" t="s">
        <v>1120</v>
      </c>
      <c r="M1125" s="502">
        <v>44645</v>
      </c>
      <c r="N1125" s="502">
        <v>44785</v>
      </c>
      <c r="O1125" s="502"/>
      <c r="P1125" s="502"/>
      <c r="Q1125" s="501"/>
      <c r="R1125" s="501"/>
      <c r="S1125" s="501" t="s">
        <v>1102</v>
      </c>
      <c r="T1125" s="505">
        <v>60</v>
      </c>
      <c r="U1125" s="403"/>
      <c r="V1125" s="501" t="s">
        <v>986</v>
      </c>
      <c r="W1125" s="505">
        <v>360</v>
      </c>
      <c r="X1125" s="403">
        <v>768</v>
      </c>
      <c r="Y1125" s="477">
        <f t="shared" si="145"/>
        <v>276480</v>
      </c>
      <c r="Z1125" s="478">
        <v>0.53</v>
      </c>
      <c r="AA1125" s="479">
        <f t="shared" si="146"/>
        <v>146534.39999999999</v>
      </c>
      <c r="AB1125" s="386"/>
      <c r="AC1125" s="481"/>
      <c r="AD1125" s="474"/>
      <c r="AE1125" s="482"/>
      <c r="AF1125" s="493">
        <f t="shared" si="144"/>
        <v>146534.39999999999</v>
      </c>
      <c r="AG1125" s="474" t="s">
        <v>47</v>
      </c>
      <c r="AH1125" s="447"/>
      <c r="AI1125" s="474">
        <v>45</v>
      </c>
      <c r="AJ1125" s="474" t="s">
        <v>3448</v>
      </c>
      <c r="AK1125" s="474" t="s">
        <v>1395</v>
      </c>
      <c r="AL1125" s="494">
        <v>89521</v>
      </c>
      <c r="AM1125" s="474" t="s">
        <v>52</v>
      </c>
      <c r="AN1125" s="474"/>
      <c r="AO1125" s="474"/>
      <c r="AP1125" s="474"/>
      <c r="AQ1125" s="482" t="s">
        <v>37</v>
      </c>
      <c r="AR1125" s="474"/>
      <c r="AS1125" s="387"/>
      <c r="AT1125" s="356"/>
      <c r="AU1125" s="387"/>
      <c r="AV1125" s="472"/>
    </row>
    <row r="1126" spans="1:48" s="471" customFormat="1" ht="15" customHeight="1">
      <c r="A1126" s="278"/>
      <c r="B1126" s="279"/>
      <c r="C1126" s="289" t="s">
        <v>1211</v>
      </c>
      <c r="D1126" s="405" t="s">
        <v>3678</v>
      </c>
      <c r="E1126" s="300"/>
      <c r="F1126" s="501"/>
      <c r="G1126" s="501">
        <v>2022</v>
      </c>
      <c r="H1126" s="501"/>
      <c r="I1126" s="382" t="s">
        <v>1286</v>
      </c>
      <c r="J1126" s="502"/>
      <c r="K1126" s="501" t="s">
        <v>5069</v>
      </c>
      <c r="L1126" s="502" t="s">
        <v>1120</v>
      </c>
      <c r="M1126" s="502">
        <v>44645</v>
      </c>
      <c r="N1126" s="502">
        <v>44823</v>
      </c>
      <c r="O1126" s="502"/>
      <c r="P1126" s="502"/>
      <c r="Q1126" s="501"/>
      <c r="R1126" s="501"/>
      <c r="S1126" s="501" t="s">
        <v>1102</v>
      </c>
      <c r="T1126" s="505">
        <v>60</v>
      </c>
      <c r="U1126" s="403"/>
      <c r="V1126" s="501" t="s">
        <v>973</v>
      </c>
      <c r="W1126" s="505">
        <v>400</v>
      </c>
      <c r="X1126" s="403">
        <v>832</v>
      </c>
      <c r="Y1126" s="477">
        <f t="shared" si="145"/>
        <v>332800</v>
      </c>
      <c r="Z1126" s="478">
        <v>0.55000000000000004</v>
      </c>
      <c r="AA1126" s="479">
        <f t="shared" si="146"/>
        <v>183040.00000000003</v>
      </c>
      <c r="AB1126" s="386"/>
      <c r="AC1126" s="481"/>
      <c r="AD1126" s="474"/>
      <c r="AE1126" s="482"/>
      <c r="AF1126" s="493">
        <f t="shared" ref="AF1126:AF1189" si="147">AE1126+AD1126+AA1126</f>
        <v>183040.00000000003</v>
      </c>
      <c r="AG1126" s="474" t="s">
        <v>47</v>
      </c>
      <c r="AH1126" s="447"/>
      <c r="AI1126" s="474">
        <v>45</v>
      </c>
      <c r="AJ1126" s="474" t="s">
        <v>3448</v>
      </c>
      <c r="AK1126" s="474" t="s">
        <v>1395</v>
      </c>
      <c r="AL1126" s="494">
        <v>89521</v>
      </c>
      <c r="AM1126" s="474" t="s">
        <v>52</v>
      </c>
      <c r="AN1126" s="474"/>
      <c r="AO1126" s="474"/>
      <c r="AP1126" s="474"/>
      <c r="AQ1126" s="482" t="s">
        <v>37</v>
      </c>
      <c r="AR1126" s="474"/>
      <c r="AS1126" s="387"/>
      <c r="AT1126" s="356"/>
      <c r="AU1126" s="387"/>
      <c r="AV1126" s="472"/>
    </row>
    <row r="1127" spans="1:48" s="471" customFormat="1" ht="15" customHeight="1">
      <c r="A1127" s="278"/>
      <c r="B1127" s="279"/>
      <c r="C1127" s="289"/>
      <c r="D1127" s="405" t="s">
        <v>3678</v>
      </c>
      <c r="E1127" s="301"/>
      <c r="F1127" s="501"/>
      <c r="G1127" s="501">
        <v>2022</v>
      </c>
      <c r="H1127" s="501"/>
      <c r="I1127" s="382" t="s">
        <v>1286</v>
      </c>
      <c r="J1127" s="502"/>
      <c r="K1127" s="501" t="s">
        <v>5070</v>
      </c>
      <c r="L1127" s="502" t="s">
        <v>1120</v>
      </c>
      <c r="M1127" s="502">
        <v>44645</v>
      </c>
      <c r="N1127" s="502">
        <v>44755</v>
      </c>
      <c r="O1127" s="502"/>
      <c r="P1127" s="502"/>
      <c r="Q1127" s="501"/>
      <c r="R1127" s="501"/>
      <c r="S1127" s="501" t="s">
        <v>1102</v>
      </c>
      <c r="T1127" s="505">
        <v>60</v>
      </c>
      <c r="U1127" s="403"/>
      <c r="V1127" s="501" t="s">
        <v>973</v>
      </c>
      <c r="W1127" s="505">
        <v>400</v>
      </c>
      <c r="X1127" s="403">
        <v>832</v>
      </c>
      <c r="Y1127" s="477">
        <f t="shared" si="145"/>
        <v>332800</v>
      </c>
      <c r="Z1127" s="478">
        <v>0.55000000000000004</v>
      </c>
      <c r="AA1127" s="479">
        <f t="shared" si="146"/>
        <v>183040.00000000003</v>
      </c>
      <c r="AB1127" s="386"/>
      <c r="AC1127" s="481"/>
      <c r="AD1127" s="474"/>
      <c r="AE1127" s="482"/>
      <c r="AF1127" s="493">
        <f t="shared" si="147"/>
        <v>183040.00000000003</v>
      </c>
      <c r="AG1127" s="474" t="s">
        <v>47</v>
      </c>
      <c r="AH1127" s="447"/>
      <c r="AI1127" s="474">
        <v>45</v>
      </c>
      <c r="AJ1127" s="474" t="s">
        <v>5052</v>
      </c>
      <c r="AK1127" s="474" t="s">
        <v>1138</v>
      </c>
      <c r="AL1127" s="494">
        <v>12306</v>
      </c>
      <c r="AM1127" s="474" t="s">
        <v>52</v>
      </c>
      <c r="AN1127" s="474"/>
      <c r="AO1127" s="474"/>
      <c r="AP1127" s="474"/>
      <c r="AQ1127" s="482" t="s">
        <v>37</v>
      </c>
      <c r="AR1127" s="474"/>
      <c r="AS1127" s="387"/>
      <c r="AT1127" s="356"/>
      <c r="AU1127" s="387"/>
      <c r="AV1127" s="472"/>
    </row>
    <row r="1128" spans="1:48" s="471" customFormat="1" ht="15" customHeight="1">
      <c r="A1128" s="278"/>
      <c r="B1128" s="279"/>
      <c r="C1128" s="289" t="s">
        <v>1211</v>
      </c>
      <c r="D1128" s="405" t="s">
        <v>3678</v>
      </c>
      <c r="E1128" s="301"/>
      <c r="F1128" s="501"/>
      <c r="G1128" s="501">
        <v>2022</v>
      </c>
      <c r="H1128" s="501"/>
      <c r="I1128" s="382" t="s">
        <v>1286</v>
      </c>
      <c r="J1128" s="502"/>
      <c r="K1128" s="501" t="s">
        <v>5070</v>
      </c>
      <c r="L1128" s="502" t="s">
        <v>1120</v>
      </c>
      <c r="M1128" s="502">
        <v>44645</v>
      </c>
      <c r="N1128" s="502">
        <v>44785</v>
      </c>
      <c r="O1128" s="502"/>
      <c r="P1128" s="502"/>
      <c r="Q1128" s="501"/>
      <c r="R1128" s="501"/>
      <c r="S1128" s="501" t="s">
        <v>1102</v>
      </c>
      <c r="T1128" s="505">
        <v>60</v>
      </c>
      <c r="U1128" s="403"/>
      <c r="V1128" s="501" t="s">
        <v>986</v>
      </c>
      <c r="W1128" s="505">
        <v>360</v>
      </c>
      <c r="X1128" s="403">
        <v>768</v>
      </c>
      <c r="Y1128" s="477">
        <f t="shared" si="145"/>
        <v>276480</v>
      </c>
      <c r="Z1128" s="478">
        <v>0.53</v>
      </c>
      <c r="AA1128" s="479">
        <f t="shared" si="146"/>
        <v>146534.39999999999</v>
      </c>
      <c r="AB1128" s="386"/>
      <c r="AC1128" s="481"/>
      <c r="AD1128" s="474"/>
      <c r="AE1128" s="482"/>
      <c r="AF1128" s="493">
        <f t="shared" si="147"/>
        <v>146534.39999999999</v>
      </c>
      <c r="AG1128" s="474" t="s">
        <v>47</v>
      </c>
      <c r="AH1128" s="447"/>
      <c r="AI1128" s="474">
        <v>45</v>
      </c>
      <c r="AJ1128" s="474" t="s">
        <v>5052</v>
      </c>
      <c r="AK1128" s="474" t="s">
        <v>1138</v>
      </c>
      <c r="AL1128" s="494">
        <v>12306</v>
      </c>
      <c r="AM1128" s="474" t="s">
        <v>52</v>
      </c>
      <c r="AN1128" s="474"/>
      <c r="AO1128" s="474"/>
      <c r="AP1128" s="474"/>
      <c r="AQ1128" s="482" t="s">
        <v>37</v>
      </c>
      <c r="AR1128" s="474"/>
      <c r="AS1128" s="387"/>
      <c r="AT1128" s="356"/>
      <c r="AU1128" s="387"/>
      <c r="AV1128" s="472"/>
    </row>
    <row r="1129" spans="1:48" s="471" customFormat="1" ht="15" customHeight="1">
      <c r="A1129" s="278"/>
      <c r="B1129" s="279"/>
      <c r="C1129" s="289"/>
      <c r="D1129" s="405" t="s">
        <v>3678</v>
      </c>
      <c r="E1129" s="301"/>
      <c r="F1129" s="501"/>
      <c r="G1129" s="501">
        <v>2022</v>
      </c>
      <c r="H1129" s="501"/>
      <c r="I1129" s="382" t="s">
        <v>1286</v>
      </c>
      <c r="J1129" s="502"/>
      <c r="K1129" s="501" t="s">
        <v>5070</v>
      </c>
      <c r="L1129" s="502" t="s">
        <v>1120</v>
      </c>
      <c r="M1129" s="502">
        <v>44645</v>
      </c>
      <c r="N1129" s="502">
        <v>44795</v>
      </c>
      <c r="O1129" s="502"/>
      <c r="P1129" s="502"/>
      <c r="Q1129" s="501"/>
      <c r="R1129" s="501"/>
      <c r="S1129" s="501" t="s">
        <v>1102</v>
      </c>
      <c r="T1129" s="505">
        <v>60</v>
      </c>
      <c r="U1129" s="403"/>
      <c r="V1129" s="501" t="s">
        <v>973</v>
      </c>
      <c r="W1129" s="505">
        <v>400</v>
      </c>
      <c r="X1129" s="403">
        <v>832</v>
      </c>
      <c r="Y1129" s="477">
        <f t="shared" si="145"/>
        <v>332800</v>
      </c>
      <c r="Z1129" s="478">
        <v>0.55000000000000004</v>
      </c>
      <c r="AA1129" s="479">
        <f t="shared" si="146"/>
        <v>183040.00000000003</v>
      </c>
      <c r="AB1129" s="386"/>
      <c r="AC1129" s="481"/>
      <c r="AD1129" s="474"/>
      <c r="AE1129" s="482"/>
      <c r="AF1129" s="493">
        <f t="shared" si="147"/>
        <v>183040.00000000003</v>
      </c>
      <c r="AG1129" s="474" t="s">
        <v>47</v>
      </c>
      <c r="AH1129" s="447"/>
      <c r="AI1129" s="474">
        <v>45</v>
      </c>
      <c r="AJ1129" s="474" t="s">
        <v>5052</v>
      </c>
      <c r="AK1129" s="474" t="s">
        <v>1138</v>
      </c>
      <c r="AL1129" s="494">
        <v>12306</v>
      </c>
      <c r="AM1129" s="474" t="s">
        <v>52</v>
      </c>
      <c r="AN1129" s="474"/>
      <c r="AO1129" s="474"/>
      <c r="AP1129" s="474"/>
      <c r="AQ1129" s="482" t="s">
        <v>37</v>
      </c>
      <c r="AR1129" s="474"/>
      <c r="AS1129" s="387"/>
      <c r="AT1129" s="356"/>
      <c r="AU1129" s="387"/>
      <c r="AV1129" s="472"/>
    </row>
    <row r="1130" spans="1:48" s="471" customFormat="1" ht="15" customHeight="1">
      <c r="A1130" s="278"/>
      <c r="B1130" s="279"/>
      <c r="C1130" s="289" t="s">
        <v>1211</v>
      </c>
      <c r="D1130" s="405" t="s">
        <v>3678</v>
      </c>
      <c r="E1130" s="300"/>
      <c r="F1130" s="501"/>
      <c r="G1130" s="501">
        <v>2022</v>
      </c>
      <c r="H1130" s="501"/>
      <c r="I1130" s="382" t="s">
        <v>1286</v>
      </c>
      <c r="J1130" s="502"/>
      <c r="K1130" s="501" t="s">
        <v>5070</v>
      </c>
      <c r="L1130" s="502" t="s">
        <v>1120</v>
      </c>
      <c r="M1130" s="502">
        <v>44645</v>
      </c>
      <c r="N1130" s="502">
        <v>44813</v>
      </c>
      <c r="O1130" s="502"/>
      <c r="P1130" s="502"/>
      <c r="Q1130" s="501"/>
      <c r="R1130" s="501"/>
      <c r="S1130" s="501" t="s">
        <v>1102</v>
      </c>
      <c r="T1130" s="505">
        <v>60</v>
      </c>
      <c r="U1130" s="403"/>
      <c r="V1130" s="501" t="s">
        <v>986</v>
      </c>
      <c r="W1130" s="505">
        <v>360</v>
      </c>
      <c r="X1130" s="403">
        <v>768</v>
      </c>
      <c r="Y1130" s="477">
        <f t="shared" si="145"/>
        <v>276480</v>
      </c>
      <c r="Z1130" s="478">
        <v>0.53</v>
      </c>
      <c r="AA1130" s="479">
        <f t="shared" si="146"/>
        <v>146534.39999999999</v>
      </c>
      <c r="AB1130" s="386"/>
      <c r="AC1130" s="481"/>
      <c r="AD1130" s="474"/>
      <c r="AE1130" s="482"/>
      <c r="AF1130" s="493">
        <f t="shared" si="147"/>
        <v>146534.39999999999</v>
      </c>
      <c r="AG1130" s="474" t="s">
        <v>47</v>
      </c>
      <c r="AH1130" s="447"/>
      <c r="AI1130" s="474">
        <v>45</v>
      </c>
      <c r="AJ1130" s="474" t="s">
        <v>5052</v>
      </c>
      <c r="AK1130" s="474" t="s">
        <v>1138</v>
      </c>
      <c r="AL1130" s="494">
        <v>12306</v>
      </c>
      <c r="AM1130" s="474" t="s">
        <v>52</v>
      </c>
      <c r="AN1130" s="474"/>
      <c r="AO1130" s="474"/>
      <c r="AP1130" s="474"/>
      <c r="AQ1130" s="482" t="s">
        <v>37</v>
      </c>
      <c r="AR1130" s="474"/>
      <c r="AS1130" s="387"/>
      <c r="AT1130" s="356"/>
      <c r="AU1130" s="387"/>
      <c r="AV1130" s="472"/>
    </row>
    <row r="1131" spans="1:48" s="471" customFormat="1" ht="15" customHeight="1">
      <c r="A1131" s="278"/>
      <c r="B1131" s="279"/>
      <c r="C1131" s="289" t="s">
        <v>1211</v>
      </c>
      <c r="D1131" s="405" t="s">
        <v>3678</v>
      </c>
      <c r="E1131" s="300"/>
      <c r="F1131" s="501"/>
      <c r="G1131" s="501">
        <v>2022</v>
      </c>
      <c r="H1131" s="501"/>
      <c r="I1131" s="382" t="s">
        <v>1286</v>
      </c>
      <c r="J1131" s="502"/>
      <c r="K1131" s="501" t="s">
        <v>5070</v>
      </c>
      <c r="L1131" s="502" t="s">
        <v>1120</v>
      </c>
      <c r="M1131" s="502">
        <v>44645</v>
      </c>
      <c r="N1131" s="502">
        <v>44823</v>
      </c>
      <c r="O1131" s="502"/>
      <c r="P1131" s="502"/>
      <c r="Q1131" s="501"/>
      <c r="R1131" s="501"/>
      <c r="S1131" s="501" t="s">
        <v>1102</v>
      </c>
      <c r="T1131" s="505">
        <v>60</v>
      </c>
      <c r="U1131" s="403"/>
      <c r="V1131" s="501" t="s">
        <v>973</v>
      </c>
      <c r="W1131" s="505">
        <v>400</v>
      </c>
      <c r="X1131" s="403">
        <v>832</v>
      </c>
      <c r="Y1131" s="477">
        <f t="shared" si="145"/>
        <v>332800</v>
      </c>
      <c r="Z1131" s="478">
        <v>0.55000000000000004</v>
      </c>
      <c r="AA1131" s="479">
        <f t="shared" si="146"/>
        <v>183040.00000000003</v>
      </c>
      <c r="AB1131" s="386"/>
      <c r="AC1131" s="481"/>
      <c r="AD1131" s="474"/>
      <c r="AE1131" s="482"/>
      <c r="AF1131" s="493">
        <f t="shared" si="147"/>
        <v>183040.00000000003</v>
      </c>
      <c r="AG1131" s="474" t="s">
        <v>47</v>
      </c>
      <c r="AH1131" s="447"/>
      <c r="AI1131" s="474">
        <v>45</v>
      </c>
      <c r="AJ1131" s="474" t="s">
        <v>5052</v>
      </c>
      <c r="AK1131" s="474" t="s">
        <v>1138</v>
      </c>
      <c r="AL1131" s="494">
        <v>12306</v>
      </c>
      <c r="AM1131" s="474" t="s">
        <v>52</v>
      </c>
      <c r="AN1131" s="474"/>
      <c r="AO1131" s="474"/>
      <c r="AP1131" s="474"/>
      <c r="AQ1131" s="482" t="s">
        <v>37</v>
      </c>
      <c r="AR1131" s="474"/>
      <c r="AS1131" s="387"/>
      <c r="AT1131" s="356"/>
      <c r="AU1131" s="387"/>
      <c r="AV1131" s="472"/>
    </row>
    <row r="1132" spans="1:48" s="471" customFormat="1" ht="15" customHeight="1">
      <c r="A1132" s="278"/>
      <c r="B1132" s="279"/>
      <c r="C1132" s="289" t="s">
        <v>1211</v>
      </c>
      <c r="D1132" s="405" t="s">
        <v>3678</v>
      </c>
      <c r="E1132" s="300"/>
      <c r="F1132" s="501"/>
      <c r="G1132" s="501">
        <v>2022</v>
      </c>
      <c r="H1132" s="382"/>
      <c r="I1132" s="382" t="s">
        <v>1286</v>
      </c>
      <c r="J1132" s="502"/>
      <c r="K1132" s="501" t="s">
        <v>1131</v>
      </c>
      <c r="L1132" s="502" t="s">
        <v>1120</v>
      </c>
      <c r="M1132" s="502">
        <v>44645</v>
      </c>
      <c r="N1132" s="502">
        <v>44755</v>
      </c>
      <c r="O1132" s="502"/>
      <c r="P1132" s="502"/>
      <c r="Q1132" s="501"/>
      <c r="R1132" s="501"/>
      <c r="S1132" s="501" t="s">
        <v>1102</v>
      </c>
      <c r="T1132" s="505">
        <v>60</v>
      </c>
      <c r="U1132" s="403"/>
      <c r="V1132" s="501" t="s">
        <v>973</v>
      </c>
      <c r="W1132" s="505">
        <v>400</v>
      </c>
      <c r="X1132" s="403">
        <v>832</v>
      </c>
      <c r="Y1132" s="477">
        <f t="shared" si="145"/>
        <v>332800</v>
      </c>
      <c r="Z1132" s="478">
        <v>0.55000000000000004</v>
      </c>
      <c r="AA1132" s="479">
        <f t="shared" si="146"/>
        <v>183040.00000000003</v>
      </c>
      <c r="AB1132" s="480"/>
      <c r="AC1132" s="481"/>
      <c r="AD1132" s="490"/>
      <c r="AE1132" s="482"/>
      <c r="AF1132" s="493">
        <f t="shared" si="147"/>
        <v>183040.00000000003</v>
      </c>
      <c r="AG1132" s="474" t="s">
        <v>47</v>
      </c>
      <c r="AH1132" s="474"/>
      <c r="AI1132" s="474">
        <v>45</v>
      </c>
      <c r="AJ1132" s="474" t="s">
        <v>1132</v>
      </c>
      <c r="AK1132" s="474" t="s">
        <v>1133</v>
      </c>
      <c r="AL1132" s="494">
        <v>85215</v>
      </c>
      <c r="AM1132" s="474" t="s">
        <v>52</v>
      </c>
      <c r="AN1132" s="474"/>
      <c r="AO1132" s="474"/>
      <c r="AP1132" s="482"/>
      <c r="AQ1132" s="482" t="s">
        <v>37</v>
      </c>
      <c r="AR1132" s="474"/>
      <c r="AS1132" s="472"/>
      <c r="AT1132" s="281"/>
      <c r="AU1132" s="436"/>
      <c r="AV1132" s="472"/>
    </row>
    <row r="1133" spans="1:48" s="471" customFormat="1" ht="15" customHeight="1">
      <c r="A1133" s="278"/>
      <c r="B1133" s="279"/>
      <c r="C1133" s="289" t="s">
        <v>1211</v>
      </c>
      <c r="D1133" s="405" t="s">
        <v>3678</v>
      </c>
      <c r="E1133" s="300"/>
      <c r="F1133" s="501"/>
      <c r="G1133" s="501">
        <v>2022</v>
      </c>
      <c r="H1133" s="501"/>
      <c r="I1133" s="382" t="s">
        <v>1286</v>
      </c>
      <c r="J1133" s="502"/>
      <c r="K1133" s="501" t="s">
        <v>1131</v>
      </c>
      <c r="L1133" s="502" t="s">
        <v>1120</v>
      </c>
      <c r="M1133" s="502">
        <v>44645</v>
      </c>
      <c r="N1133" s="502">
        <v>44785</v>
      </c>
      <c r="O1133" s="502"/>
      <c r="P1133" s="502"/>
      <c r="Q1133" s="501"/>
      <c r="R1133" s="501"/>
      <c r="S1133" s="501" t="s">
        <v>1102</v>
      </c>
      <c r="T1133" s="505">
        <v>60</v>
      </c>
      <c r="U1133" s="403"/>
      <c r="V1133" s="501" t="s">
        <v>986</v>
      </c>
      <c r="W1133" s="505">
        <v>360</v>
      </c>
      <c r="X1133" s="403">
        <v>768</v>
      </c>
      <c r="Y1133" s="477">
        <f t="shared" si="145"/>
        <v>276480</v>
      </c>
      <c r="Z1133" s="478">
        <v>0.53</v>
      </c>
      <c r="AA1133" s="479">
        <f t="shared" si="146"/>
        <v>146534.39999999999</v>
      </c>
      <c r="AB1133" s="386"/>
      <c r="AC1133" s="481"/>
      <c r="AD1133" s="474"/>
      <c r="AE1133" s="482"/>
      <c r="AF1133" s="493">
        <f t="shared" si="147"/>
        <v>146534.39999999999</v>
      </c>
      <c r="AG1133" s="474" t="s">
        <v>47</v>
      </c>
      <c r="AH1133" s="447"/>
      <c r="AI1133" s="474">
        <v>45</v>
      </c>
      <c r="AJ1133" s="474" t="s">
        <v>1132</v>
      </c>
      <c r="AK1133" s="474" t="s">
        <v>1133</v>
      </c>
      <c r="AL1133" s="494">
        <v>85215</v>
      </c>
      <c r="AM1133" s="474" t="s">
        <v>52</v>
      </c>
      <c r="AN1133" s="474"/>
      <c r="AO1133" s="474"/>
      <c r="AP1133" s="474"/>
      <c r="AQ1133" s="482" t="s">
        <v>37</v>
      </c>
      <c r="AR1133" s="474"/>
      <c r="AS1133" s="387"/>
      <c r="AT1133" s="356"/>
      <c r="AU1133" s="387"/>
      <c r="AV1133" s="472"/>
    </row>
    <row r="1134" spans="1:48" s="471" customFormat="1" ht="15" customHeight="1">
      <c r="A1134" s="278"/>
      <c r="B1134" s="279"/>
      <c r="C1134" s="289" t="s">
        <v>1211</v>
      </c>
      <c r="D1134" s="405" t="s">
        <v>3678</v>
      </c>
      <c r="E1134" s="300"/>
      <c r="F1134" s="501"/>
      <c r="G1134" s="501">
        <v>2022</v>
      </c>
      <c r="H1134" s="382"/>
      <c r="I1134" s="382" t="s">
        <v>1286</v>
      </c>
      <c r="J1134" s="502"/>
      <c r="K1134" s="501" t="s">
        <v>1131</v>
      </c>
      <c r="L1134" s="502" t="s">
        <v>1120</v>
      </c>
      <c r="M1134" s="502">
        <v>44645</v>
      </c>
      <c r="N1134" s="502">
        <v>44813</v>
      </c>
      <c r="O1134" s="502"/>
      <c r="P1134" s="502"/>
      <c r="Q1134" s="501"/>
      <c r="R1134" s="501"/>
      <c r="S1134" s="501" t="s">
        <v>1102</v>
      </c>
      <c r="T1134" s="505">
        <v>60</v>
      </c>
      <c r="U1134" s="403"/>
      <c r="V1134" s="501" t="s">
        <v>973</v>
      </c>
      <c r="W1134" s="505">
        <v>400</v>
      </c>
      <c r="X1134" s="403">
        <v>832</v>
      </c>
      <c r="Y1134" s="477">
        <f t="shared" si="145"/>
        <v>332800</v>
      </c>
      <c r="Z1134" s="478">
        <v>0.55000000000000004</v>
      </c>
      <c r="AA1134" s="479">
        <f t="shared" si="146"/>
        <v>183040.00000000003</v>
      </c>
      <c r="AB1134" s="480"/>
      <c r="AC1134" s="481"/>
      <c r="AD1134" s="490"/>
      <c r="AE1134" s="482"/>
      <c r="AF1134" s="493">
        <f t="shared" si="147"/>
        <v>183040.00000000003</v>
      </c>
      <c r="AG1134" s="474" t="s">
        <v>47</v>
      </c>
      <c r="AH1134" s="474"/>
      <c r="AI1134" s="474">
        <v>45</v>
      </c>
      <c r="AJ1134" s="474" t="s">
        <v>1132</v>
      </c>
      <c r="AK1134" s="474" t="s">
        <v>1133</v>
      </c>
      <c r="AL1134" s="494">
        <v>85215</v>
      </c>
      <c r="AM1134" s="474" t="s">
        <v>52</v>
      </c>
      <c r="AN1134" s="474"/>
      <c r="AO1134" s="474"/>
      <c r="AP1134" s="482"/>
      <c r="AQ1134" s="482" t="s">
        <v>37</v>
      </c>
      <c r="AR1134" s="474"/>
      <c r="AS1134" s="472"/>
      <c r="AT1134" s="281"/>
      <c r="AU1134" s="436"/>
      <c r="AV1134" s="472"/>
    </row>
    <row r="1135" spans="1:48" s="471" customFormat="1" ht="15" customHeight="1">
      <c r="A1135" s="278"/>
      <c r="B1135" s="279"/>
      <c r="C1135" s="289" t="s">
        <v>1211</v>
      </c>
      <c r="D1135" s="405" t="s">
        <v>3678</v>
      </c>
      <c r="E1135" s="300"/>
      <c r="F1135" s="501"/>
      <c r="G1135" s="501">
        <v>2022</v>
      </c>
      <c r="H1135" s="501"/>
      <c r="I1135" s="382" t="s">
        <v>1286</v>
      </c>
      <c r="J1135" s="502"/>
      <c r="K1135" s="501" t="s">
        <v>1134</v>
      </c>
      <c r="L1135" s="502" t="s">
        <v>1120</v>
      </c>
      <c r="M1135" s="502">
        <v>44645</v>
      </c>
      <c r="N1135" s="502">
        <v>44755</v>
      </c>
      <c r="O1135" s="502"/>
      <c r="P1135" s="502"/>
      <c r="Q1135" s="501"/>
      <c r="R1135" s="501"/>
      <c r="S1135" s="501" t="s">
        <v>1102</v>
      </c>
      <c r="T1135" s="505">
        <v>60</v>
      </c>
      <c r="U1135" s="403"/>
      <c r="V1135" s="501" t="s">
        <v>986</v>
      </c>
      <c r="W1135" s="505">
        <v>360</v>
      </c>
      <c r="X1135" s="403">
        <v>768</v>
      </c>
      <c r="Y1135" s="477">
        <f t="shared" si="145"/>
        <v>276480</v>
      </c>
      <c r="Z1135" s="478">
        <v>0.53</v>
      </c>
      <c r="AA1135" s="479">
        <f t="shared" si="146"/>
        <v>146534.39999999999</v>
      </c>
      <c r="AB1135" s="386"/>
      <c r="AC1135" s="481"/>
      <c r="AD1135" s="474"/>
      <c r="AE1135" s="482"/>
      <c r="AF1135" s="493">
        <f t="shared" si="147"/>
        <v>146534.39999999999</v>
      </c>
      <c r="AG1135" s="474" t="s">
        <v>47</v>
      </c>
      <c r="AH1135" s="447"/>
      <c r="AI1135" s="474">
        <v>45</v>
      </c>
      <c r="AJ1135" s="474" t="s">
        <v>1135</v>
      </c>
      <c r="AK1135" s="474" t="s">
        <v>1084</v>
      </c>
      <c r="AL1135" s="494">
        <v>33069</v>
      </c>
      <c r="AM1135" s="474" t="s">
        <v>52</v>
      </c>
      <c r="AN1135" s="474"/>
      <c r="AO1135" s="474"/>
      <c r="AP1135" s="474"/>
      <c r="AQ1135" s="482" t="s">
        <v>37</v>
      </c>
      <c r="AR1135" s="474"/>
      <c r="AS1135" s="387"/>
      <c r="AT1135" s="356"/>
      <c r="AU1135" s="387"/>
      <c r="AV1135" s="472"/>
    </row>
    <row r="1136" spans="1:48" s="471" customFormat="1" ht="15" customHeight="1">
      <c r="A1136" s="278"/>
      <c r="B1136" s="279"/>
      <c r="C1136" s="289" t="s">
        <v>1211</v>
      </c>
      <c r="D1136" s="405" t="s">
        <v>3678</v>
      </c>
      <c r="E1136" s="300"/>
      <c r="F1136" s="501"/>
      <c r="G1136" s="501">
        <v>2022</v>
      </c>
      <c r="H1136" s="382"/>
      <c r="I1136" s="382" t="s">
        <v>1286</v>
      </c>
      <c r="J1136" s="502"/>
      <c r="K1136" s="501" t="s">
        <v>1134</v>
      </c>
      <c r="L1136" s="502" t="s">
        <v>1120</v>
      </c>
      <c r="M1136" s="502">
        <v>44645</v>
      </c>
      <c r="N1136" s="502">
        <v>44790</v>
      </c>
      <c r="O1136" s="502"/>
      <c r="P1136" s="502"/>
      <c r="Q1136" s="501"/>
      <c r="R1136" s="501"/>
      <c r="S1136" s="501" t="s">
        <v>1102</v>
      </c>
      <c r="T1136" s="505">
        <v>60</v>
      </c>
      <c r="U1136" s="403"/>
      <c r="V1136" s="501" t="s">
        <v>973</v>
      </c>
      <c r="W1136" s="505">
        <v>400</v>
      </c>
      <c r="X1136" s="403">
        <v>832</v>
      </c>
      <c r="Y1136" s="477">
        <f t="shared" si="145"/>
        <v>332800</v>
      </c>
      <c r="Z1136" s="478">
        <v>0.55000000000000004</v>
      </c>
      <c r="AA1136" s="479">
        <f t="shared" si="146"/>
        <v>183040.00000000003</v>
      </c>
      <c r="AB1136" s="480"/>
      <c r="AC1136" s="481"/>
      <c r="AD1136" s="490"/>
      <c r="AE1136" s="482"/>
      <c r="AF1136" s="493">
        <f t="shared" si="147"/>
        <v>183040.00000000003</v>
      </c>
      <c r="AG1136" s="474" t="s">
        <v>47</v>
      </c>
      <c r="AH1136" s="474"/>
      <c r="AI1136" s="474">
        <v>45</v>
      </c>
      <c r="AJ1136" s="474" t="s">
        <v>1135</v>
      </c>
      <c r="AK1136" s="474" t="s">
        <v>1084</v>
      </c>
      <c r="AL1136" s="494">
        <v>33069</v>
      </c>
      <c r="AM1136" s="474" t="s">
        <v>52</v>
      </c>
      <c r="AN1136" s="474"/>
      <c r="AO1136" s="474"/>
      <c r="AP1136" s="482"/>
      <c r="AQ1136" s="482" t="s">
        <v>37</v>
      </c>
      <c r="AR1136" s="474"/>
      <c r="AS1136" s="472"/>
      <c r="AT1136" s="281"/>
      <c r="AU1136" s="436"/>
      <c r="AV1136" s="472"/>
    </row>
    <row r="1137" spans="1:48" s="471" customFormat="1" ht="15" customHeight="1">
      <c r="A1137" s="278"/>
      <c r="B1137" s="279"/>
      <c r="C1137" s="289" t="s">
        <v>1211</v>
      </c>
      <c r="D1137" s="405" t="s">
        <v>3678</v>
      </c>
      <c r="E1137" s="300"/>
      <c r="F1137" s="501"/>
      <c r="G1137" s="501">
        <v>2022</v>
      </c>
      <c r="H1137" s="501"/>
      <c r="I1137" s="382" t="s">
        <v>1286</v>
      </c>
      <c r="J1137" s="502"/>
      <c r="K1137" s="501" t="s">
        <v>1134</v>
      </c>
      <c r="L1137" s="502" t="s">
        <v>1120</v>
      </c>
      <c r="M1137" s="502">
        <v>44645</v>
      </c>
      <c r="N1137" s="502">
        <v>44818</v>
      </c>
      <c r="O1137" s="502"/>
      <c r="P1137" s="502"/>
      <c r="Q1137" s="501"/>
      <c r="R1137" s="501"/>
      <c r="S1137" s="501" t="s">
        <v>1102</v>
      </c>
      <c r="T1137" s="505">
        <v>60</v>
      </c>
      <c r="U1137" s="403"/>
      <c r="V1137" s="501" t="s">
        <v>986</v>
      </c>
      <c r="W1137" s="505">
        <v>360</v>
      </c>
      <c r="X1137" s="403">
        <v>768</v>
      </c>
      <c r="Y1137" s="477">
        <f t="shared" si="145"/>
        <v>276480</v>
      </c>
      <c r="Z1137" s="478">
        <v>0.53</v>
      </c>
      <c r="AA1137" s="479">
        <f t="shared" si="146"/>
        <v>146534.39999999999</v>
      </c>
      <c r="AB1137" s="386"/>
      <c r="AC1137" s="481"/>
      <c r="AD1137" s="474"/>
      <c r="AE1137" s="482"/>
      <c r="AF1137" s="493">
        <f t="shared" si="147"/>
        <v>146534.39999999999</v>
      </c>
      <c r="AG1137" s="474" t="s">
        <v>47</v>
      </c>
      <c r="AH1137" s="447"/>
      <c r="AI1137" s="474">
        <v>45</v>
      </c>
      <c r="AJ1137" s="474" t="s">
        <v>1135</v>
      </c>
      <c r="AK1137" s="474" t="s">
        <v>1084</v>
      </c>
      <c r="AL1137" s="494">
        <v>33069</v>
      </c>
      <c r="AM1137" s="474" t="s">
        <v>52</v>
      </c>
      <c r="AN1137" s="474"/>
      <c r="AO1137" s="474"/>
      <c r="AP1137" s="474"/>
      <c r="AQ1137" s="482" t="s">
        <v>37</v>
      </c>
      <c r="AR1137" s="474"/>
      <c r="AS1137" s="387"/>
      <c r="AT1137" s="356"/>
      <c r="AU1137" s="387"/>
      <c r="AV1137" s="472"/>
    </row>
    <row r="1138" spans="1:48" s="471" customFormat="1" ht="15" customHeight="1">
      <c r="A1138" s="278"/>
      <c r="B1138" s="279"/>
      <c r="C1138" s="289" t="s">
        <v>1211</v>
      </c>
      <c r="D1138" s="405" t="s">
        <v>3678</v>
      </c>
      <c r="E1138" s="300"/>
      <c r="F1138" s="501"/>
      <c r="G1138" s="501">
        <v>2022</v>
      </c>
      <c r="H1138" s="501"/>
      <c r="I1138" s="382" t="s">
        <v>1286</v>
      </c>
      <c r="J1138" s="502"/>
      <c r="K1138" s="501" t="s">
        <v>5071</v>
      </c>
      <c r="L1138" s="502" t="s">
        <v>1120</v>
      </c>
      <c r="M1138" s="502">
        <v>44645</v>
      </c>
      <c r="N1138" s="502">
        <v>44755</v>
      </c>
      <c r="O1138" s="502"/>
      <c r="P1138" s="502"/>
      <c r="Q1138" s="501"/>
      <c r="R1138" s="501"/>
      <c r="S1138" s="501" t="s">
        <v>1102</v>
      </c>
      <c r="T1138" s="505">
        <v>60</v>
      </c>
      <c r="U1138" s="403"/>
      <c r="V1138" s="501" t="s">
        <v>986</v>
      </c>
      <c r="W1138" s="505">
        <v>360</v>
      </c>
      <c r="X1138" s="403">
        <v>768</v>
      </c>
      <c r="Y1138" s="477">
        <f t="shared" si="145"/>
        <v>276480</v>
      </c>
      <c r="Z1138" s="478">
        <v>0.53</v>
      </c>
      <c r="AA1138" s="479">
        <f t="shared" si="146"/>
        <v>146534.39999999999</v>
      </c>
      <c r="AB1138" s="386"/>
      <c r="AC1138" s="481"/>
      <c r="AD1138" s="474"/>
      <c r="AE1138" s="482"/>
      <c r="AF1138" s="493">
        <f t="shared" si="147"/>
        <v>146534.39999999999</v>
      </c>
      <c r="AG1138" s="474" t="s">
        <v>47</v>
      </c>
      <c r="AH1138" s="447"/>
      <c r="AI1138" s="474">
        <v>45</v>
      </c>
      <c r="AJ1138" s="474" t="s">
        <v>3974</v>
      </c>
      <c r="AK1138" s="474" t="s">
        <v>1096</v>
      </c>
      <c r="AL1138" s="494">
        <v>1583</v>
      </c>
      <c r="AM1138" s="474" t="s">
        <v>52</v>
      </c>
      <c r="AN1138" s="474"/>
      <c r="AO1138" s="474"/>
      <c r="AP1138" s="474"/>
      <c r="AQ1138" s="482" t="s">
        <v>37</v>
      </c>
      <c r="AR1138" s="474"/>
      <c r="AS1138" s="387"/>
      <c r="AT1138" s="356"/>
      <c r="AU1138" s="387"/>
      <c r="AV1138" s="472"/>
    </row>
    <row r="1139" spans="1:48" s="471" customFormat="1" ht="15" customHeight="1">
      <c r="A1139" s="278"/>
      <c r="B1139" s="279"/>
      <c r="C1139" s="289" t="s">
        <v>1211</v>
      </c>
      <c r="D1139" s="405" t="s">
        <v>3678</v>
      </c>
      <c r="E1139" s="300"/>
      <c r="F1139" s="501"/>
      <c r="G1139" s="501">
        <v>2022</v>
      </c>
      <c r="H1139" s="382"/>
      <c r="I1139" s="382" t="s">
        <v>1286</v>
      </c>
      <c r="J1139" s="502"/>
      <c r="K1139" s="501" t="s">
        <v>5071</v>
      </c>
      <c r="L1139" s="502" t="s">
        <v>1120</v>
      </c>
      <c r="M1139" s="502">
        <v>44645</v>
      </c>
      <c r="N1139" s="502">
        <v>44764</v>
      </c>
      <c r="O1139" s="502"/>
      <c r="P1139" s="502"/>
      <c r="Q1139" s="501"/>
      <c r="R1139" s="501"/>
      <c r="S1139" s="501" t="s">
        <v>1102</v>
      </c>
      <c r="T1139" s="505">
        <v>60</v>
      </c>
      <c r="U1139" s="403"/>
      <c r="V1139" s="501" t="s">
        <v>1018</v>
      </c>
      <c r="W1139" s="505">
        <v>360</v>
      </c>
      <c r="X1139" s="403">
        <v>728</v>
      </c>
      <c r="Y1139" s="477">
        <f t="shared" si="145"/>
        <v>262080</v>
      </c>
      <c r="Z1139" s="478">
        <v>0.8</v>
      </c>
      <c r="AA1139" s="479">
        <f t="shared" si="146"/>
        <v>209664</v>
      </c>
      <c r="AB1139" s="480"/>
      <c r="AC1139" s="481"/>
      <c r="AD1139" s="490"/>
      <c r="AE1139" s="482"/>
      <c r="AF1139" s="493">
        <f t="shared" si="147"/>
        <v>209664</v>
      </c>
      <c r="AG1139" s="474" t="s">
        <v>47</v>
      </c>
      <c r="AH1139" s="474"/>
      <c r="AI1139" s="474">
        <v>45</v>
      </c>
      <c r="AJ1139" s="474" t="s">
        <v>3974</v>
      </c>
      <c r="AK1139" s="474" t="s">
        <v>1096</v>
      </c>
      <c r="AL1139" s="494">
        <v>1583</v>
      </c>
      <c r="AM1139" s="474" t="s">
        <v>52</v>
      </c>
      <c r="AN1139" s="474"/>
      <c r="AO1139" s="474"/>
      <c r="AP1139" s="482"/>
      <c r="AQ1139" s="482" t="s">
        <v>37</v>
      </c>
      <c r="AR1139" s="474"/>
      <c r="AS1139" s="472"/>
      <c r="AT1139" s="281"/>
      <c r="AU1139" s="436"/>
      <c r="AV1139" s="472"/>
    </row>
    <row r="1140" spans="1:48" s="471" customFormat="1" ht="15" customHeight="1">
      <c r="A1140" s="278"/>
      <c r="B1140" s="279"/>
      <c r="C1140" s="289" t="s">
        <v>1211</v>
      </c>
      <c r="D1140" s="405" t="s">
        <v>3678</v>
      </c>
      <c r="E1140" s="300"/>
      <c r="F1140" s="501"/>
      <c r="G1140" s="501">
        <v>2022</v>
      </c>
      <c r="H1140" s="382"/>
      <c r="I1140" s="382" t="s">
        <v>1286</v>
      </c>
      <c r="J1140" s="502"/>
      <c r="K1140" s="501" t="s">
        <v>5071</v>
      </c>
      <c r="L1140" s="502" t="s">
        <v>1120</v>
      </c>
      <c r="M1140" s="502">
        <v>44645</v>
      </c>
      <c r="N1140" s="502">
        <v>44783</v>
      </c>
      <c r="O1140" s="502"/>
      <c r="P1140" s="502"/>
      <c r="Q1140" s="501"/>
      <c r="R1140" s="501"/>
      <c r="S1140" s="501" t="s">
        <v>1102</v>
      </c>
      <c r="T1140" s="505">
        <v>60</v>
      </c>
      <c r="U1140" s="403"/>
      <c r="V1140" s="501" t="s">
        <v>973</v>
      </c>
      <c r="W1140" s="505">
        <v>400</v>
      </c>
      <c r="X1140" s="403">
        <v>832</v>
      </c>
      <c r="Y1140" s="477">
        <f t="shared" si="145"/>
        <v>332800</v>
      </c>
      <c r="Z1140" s="478">
        <v>0.55000000000000004</v>
      </c>
      <c r="AA1140" s="479">
        <f t="shared" si="146"/>
        <v>183040.00000000003</v>
      </c>
      <c r="AB1140" s="480"/>
      <c r="AC1140" s="481"/>
      <c r="AD1140" s="490"/>
      <c r="AE1140" s="482"/>
      <c r="AF1140" s="493">
        <f t="shared" si="147"/>
        <v>183040.00000000003</v>
      </c>
      <c r="AG1140" s="474" t="s">
        <v>47</v>
      </c>
      <c r="AH1140" s="474"/>
      <c r="AI1140" s="474">
        <v>45</v>
      </c>
      <c r="AJ1140" s="474" t="s">
        <v>3974</v>
      </c>
      <c r="AK1140" s="474" t="s">
        <v>1096</v>
      </c>
      <c r="AL1140" s="494">
        <v>1583</v>
      </c>
      <c r="AM1140" s="474" t="s">
        <v>52</v>
      </c>
      <c r="AN1140" s="474"/>
      <c r="AO1140" s="474"/>
      <c r="AP1140" s="482"/>
      <c r="AQ1140" s="482" t="s">
        <v>37</v>
      </c>
      <c r="AR1140" s="474"/>
      <c r="AS1140" s="472"/>
      <c r="AT1140" s="281"/>
      <c r="AU1140" s="436"/>
      <c r="AV1140" s="472"/>
    </row>
    <row r="1141" spans="1:48" s="471" customFormat="1" ht="15" customHeight="1">
      <c r="A1141" s="278"/>
      <c r="B1141" s="279"/>
      <c r="C1141" s="289" t="s">
        <v>1211</v>
      </c>
      <c r="D1141" s="405" t="s">
        <v>3678</v>
      </c>
      <c r="E1141" s="300"/>
      <c r="F1141" s="501"/>
      <c r="G1141" s="501">
        <v>2022</v>
      </c>
      <c r="H1141" s="501"/>
      <c r="I1141" s="382" t="s">
        <v>1286</v>
      </c>
      <c r="J1141" s="502"/>
      <c r="K1141" s="501" t="s">
        <v>5071</v>
      </c>
      <c r="L1141" s="502" t="s">
        <v>1120</v>
      </c>
      <c r="M1141" s="502">
        <v>44645</v>
      </c>
      <c r="N1141" s="502">
        <v>44818</v>
      </c>
      <c r="O1141" s="502"/>
      <c r="P1141" s="502"/>
      <c r="Q1141" s="501"/>
      <c r="R1141" s="501"/>
      <c r="S1141" s="501" t="s">
        <v>1102</v>
      </c>
      <c r="T1141" s="505">
        <v>60</v>
      </c>
      <c r="U1141" s="403"/>
      <c r="V1141" s="501" t="s">
        <v>986</v>
      </c>
      <c r="W1141" s="505">
        <v>360</v>
      </c>
      <c r="X1141" s="403">
        <v>768</v>
      </c>
      <c r="Y1141" s="477">
        <f t="shared" si="145"/>
        <v>276480</v>
      </c>
      <c r="Z1141" s="478">
        <v>0.53</v>
      </c>
      <c r="AA1141" s="479">
        <f t="shared" si="146"/>
        <v>146534.39999999999</v>
      </c>
      <c r="AB1141" s="386"/>
      <c r="AC1141" s="481"/>
      <c r="AD1141" s="474"/>
      <c r="AE1141" s="482"/>
      <c r="AF1141" s="493">
        <f t="shared" si="147"/>
        <v>146534.39999999999</v>
      </c>
      <c r="AG1141" s="474" t="s">
        <v>47</v>
      </c>
      <c r="AH1141" s="447"/>
      <c r="AI1141" s="474">
        <v>45</v>
      </c>
      <c r="AJ1141" s="474" t="s">
        <v>3974</v>
      </c>
      <c r="AK1141" s="474" t="s">
        <v>1096</v>
      </c>
      <c r="AL1141" s="494">
        <v>1583</v>
      </c>
      <c r="AM1141" s="474" t="s">
        <v>52</v>
      </c>
      <c r="AN1141" s="474"/>
      <c r="AO1141" s="474"/>
      <c r="AP1141" s="474"/>
      <c r="AQ1141" s="482" t="s">
        <v>37</v>
      </c>
      <c r="AR1141" s="474"/>
      <c r="AS1141" s="387"/>
      <c r="AT1141" s="356"/>
      <c r="AU1141" s="387"/>
      <c r="AV1141" s="472"/>
    </row>
    <row r="1142" spans="1:48" s="471" customFormat="1" ht="15" customHeight="1">
      <c r="A1142" s="278"/>
      <c r="B1142" s="279"/>
      <c r="C1142" s="289" t="s">
        <v>1211</v>
      </c>
      <c r="D1142" s="405" t="s">
        <v>3678</v>
      </c>
      <c r="E1142" s="300"/>
      <c r="F1142" s="501"/>
      <c r="G1142" s="501">
        <v>2022</v>
      </c>
      <c r="H1142" s="501"/>
      <c r="I1142" s="382" t="s">
        <v>1286</v>
      </c>
      <c r="J1142" s="502"/>
      <c r="K1142" s="501" t="s">
        <v>1136</v>
      </c>
      <c r="L1142" s="502" t="s">
        <v>1120</v>
      </c>
      <c r="M1142" s="502">
        <v>44645</v>
      </c>
      <c r="N1142" s="502">
        <v>44755</v>
      </c>
      <c r="O1142" s="502"/>
      <c r="P1142" s="502"/>
      <c r="Q1142" s="501"/>
      <c r="R1142" s="501"/>
      <c r="S1142" s="501" t="s">
        <v>1102</v>
      </c>
      <c r="T1142" s="505">
        <v>60</v>
      </c>
      <c r="U1142" s="403"/>
      <c r="V1142" s="501" t="s">
        <v>973</v>
      </c>
      <c r="W1142" s="505">
        <v>400</v>
      </c>
      <c r="X1142" s="403">
        <v>832</v>
      </c>
      <c r="Y1142" s="477">
        <f t="shared" si="145"/>
        <v>332800</v>
      </c>
      <c r="Z1142" s="478">
        <v>0.55000000000000004</v>
      </c>
      <c r="AA1142" s="479">
        <f t="shared" si="146"/>
        <v>183040.00000000003</v>
      </c>
      <c r="AB1142" s="386"/>
      <c r="AC1142" s="481"/>
      <c r="AD1142" s="474"/>
      <c r="AE1142" s="482"/>
      <c r="AF1142" s="493">
        <f t="shared" si="147"/>
        <v>183040.00000000003</v>
      </c>
      <c r="AG1142" s="474" t="s">
        <v>47</v>
      </c>
      <c r="AH1142" s="447"/>
      <c r="AI1142" s="474">
        <v>45</v>
      </c>
      <c r="AJ1142" s="474" t="s">
        <v>1137</v>
      </c>
      <c r="AK1142" s="474" t="s">
        <v>1138</v>
      </c>
      <c r="AL1142" s="494">
        <v>11416</v>
      </c>
      <c r="AM1142" s="474" t="s">
        <v>52</v>
      </c>
      <c r="AN1142" s="474"/>
      <c r="AO1142" s="474"/>
      <c r="AP1142" s="474"/>
      <c r="AQ1142" s="482" t="s">
        <v>37</v>
      </c>
      <c r="AR1142" s="474"/>
      <c r="AS1142" s="387"/>
      <c r="AT1142" s="356"/>
      <c r="AU1142" s="387"/>
      <c r="AV1142" s="472"/>
    </row>
    <row r="1143" spans="1:48" s="471" customFormat="1" ht="15" customHeight="1">
      <c r="A1143" s="278"/>
      <c r="B1143" s="279"/>
      <c r="C1143" s="289" t="s">
        <v>1211</v>
      </c>
      <c r="D1143" s="405" t="s">
        <v>3678</v>
      </c>
      <c r="E1143" s="300"/>
      <c r="F1143" s="501"/>
      <c r="G1143" s="501">
        <v>2022</v>
      </c>
      <c r="H1143" s="501"/>
      <c r="I1143" s="382" t="s">
        <v>1286</v>
      </c>
      <c r="J1143" s="502"/>
      <c r="K1143" s="501" t="s">
        <v>1136</v>
      </c>
      <c r="L1143" s="502" t="s">
        <v>1120</v>
      </c>
      <c r="M1143" s="502">
        <v>44645</v>
      </c>
      <c r="N1143" s="502">
        <v>44785</v>
      </c>
      <c r="O1143" s="502"/>
      <c r="P1143" s="502"/>
      <c r="Q1143" s="501"/>
      <c r="R1143" s="501"/>
      <c r="S1143" s="501" t="s">
        <v>1102</v>
      </c>
      <c r="T1143" s="505">
        <v>60</v>
      </c>
      <c r="U1143" s="403"/>
      <c r="V1143" s="501" t="s">
        <v>986</v>
      </c>
      <c r="W1143" s="505">
        <v>360</v>
      </c>
      <c r="X1143" s="403">
        <v>768</v>
      </c>
      <c r="Y1143" s="477">
        <f t="shared" si="145"/>
        <v>276480</v>
      </c>
      <c r="Z1143" s="478">
        <v>0.53</v>
      </c>
      <c r="AA1143" s="479">
        <f t="shared" si="146"/>
        <v>146534.39999999999</v>
      </c>
      <c r="AB1143" s="386"/>
      <c r="AC1143" s="481"/>
      <c r="AD1143" s="474"/>
      <c r="AE1143" s="482"/>
      <c r="AF1143" s="493">
        <f t="shared" si="147"/>
        <v>146534.39999999999</v>
      </c>
      <c r="AG1143" s="474" t="s">
        <v>47</v>
      </c>
      <c r="AH1143" s="447"/>
      <c r="AI1143" s="474">
        <v>45</v>
      </c>
      <c r="AJ1143" s="474" t="s">
        <v>1137</v>
      </c>
      <c r="AK1143" s="474" t="s">
        <v>1138</v>
      </c>
      <c r="AL1143" s="494">
        <v>11416</v>
      </c>
      <c r="AM1143" s="474" t="s">
        <v>52</v>
      </c>
      <c r="AN1143" s="474"/>
      <c r="AO1143" s="474"/>
      <c r="AP1143" s="474"/>
      <c r="AQ1143" s="482" t="s">
        <v>37</v>
      </c>
      <c r="AR1143" s="474"/>
      <c r="AS1143" s="387"/>
      <c r="AT1143" s="356"/>
      <c r="AU1143" s="387"/>
      <c r="AV1143" s="472"/>
    </row>
    <row r="1144" spans="1:48" s="471" customFormat="1" ht="15" customHeight="1">
      <c r="A1144" s="278"/>
      <c r="B1144" s="279"/>
      <c r="C1144" s="289" t="s">
        <v>1211</v>
      </c>
      <c r="D1144" s="405" t="s">
        <v>3678</v>
      </c>
      <c r="E1144" s="300"/>
      <c r="F1144" s="501"/>
      <c r="G1144" s="501">
        <v>2022</v>
      </c>
      <c r="H1144" s="501"/>
      <c r="I1144" s="382" t="s">
        <v>1286</v>
      </c>
      <c r="J1144" s="502"/>
      <c r="K1144" s="501" t="s">
        <v>1136</v>
      </c>
      <c r="L1144" s="502" t="s">
        <v>1120</v>
      </c>
      <c r="M1144" s="502">
        <v>44645</v>
      </c>
      <c r="N1144" s="502">
        <v>44813</v>
      </c>
      <c r="O1144" s="502"/>
      <c r="P1144" s="502"/>
      <c r="Q1144" s="501"/>
      <c r="R1144" s="501"/>
      <c r="S1144" s="501" t="s">
        <v>1102</v>
      </c>
      <c r="T1144" s="505">
        <v>60</v>
      </c>
      <c r="U1144" s="403"/>
      <c r="V1144" s="501" t="s">
        <v>973</v>
      </c>
      <c r="W1144" s="505">
        <v>400</v>
      </c>
      <c r="X1144" s="403">
        <v>832</v>
      </c>
      <c r="Y1144" s="477">
        <f t="shared" si="145"/>
        <v>332800</v>
      </c>
      <c r="Z1144" s="478">
        <v>0.55000000000000004</v>
      </c>
      <c r="AA1144" s="479">
        <f t="shared" si="146"/>
        <v>183040.00000000003</v>
      </c>
      <c r="AB1144" s="386"/>
      <c r="AC1144" s="481"/>
      <c r="AD1144" s="474"/>
      <c r="AE1144" s="482"/>
      <c r="AF1144" s="493">
        <f t="shared" si="147"/>
        <v>183040.00000000003</v>
      </c>
      <c r="AG1144" s="474" t="s">
        <v>47</v>
      </c>
      <c r="AH1144" s="447"/>
      <c r="AI1144" s="474">
        <v>45</v>
      </c>
      <c r="AJ1144" s="474" t="s">
        <v>1137</v>
      </c>
      <c r="AK1144" s="474" t="s">
        <v>1138</v>
      </c>
      <c r="AL1144" s="494">
        <v>11416</v>
      </c>
      <c r="AM1144" s="474" t="s">
        <v>52</v>
      </c>
      <c r="AN1144" s="474"/>
      <c r="AO1144" s="474"/>
      <c r="AP1144" s="474"/>
      <c r="AQ1144" s="482" t="s">
        <v>37</v>
      </c>
      <c r="AR1144" s="474"/>
      <c r="AS1144" s="387"/>
      <c r="AT1144" s="356"/>
      <c r="AU1144" s="387"/>
      <c r="AV1144" s="472"/>
    </row>
    <row r="1145" spans="1:48" s="471" customFormat="1" ht="15" customHeight="1">
      <c r="A1145" s="278"/>
      <c r="B1145" s="279"/>
      <c r="C1145" s="289"/>
      <c r="D1145" s="405" t="s">
        <v>3678</v>
      </c>
      <c r="E1145" s="301"/>
      <c r="F1145" s="501"/>
      <c r="G1145" s="501">
        <v>2022</v>
      </c>
      <c r="H1145" s="501"/>
      <c r="I1145" s="382" t="s">
        <v>1286</v>
      </c>
      <c r="J1145" s="502"/>
      <c r="K1145" s="501" t="s">
        <v>5072</v>
      </c>
      <c r="L1145" s="502" t="s">
        <v>1120</v>
      </c>
      <c r="M1145" s="502">
        <v>44645</v>
      </c>
      <c r="N1145" s="502">
        <v>44755</v>
      </c>
      <c r="O1145" s="502"/>
      <c r="P1145" s="502"/>
      <c r="Q1145" s="501"/>
      <c r="R1145" s="501"/>
      <c r="S1145" s="501" t="s">
        <v>1102</v>
      </c>
      <c r="T1145" s="505">
        <v>60</v>
      </c>
      <c r="U1145" s="403"/>
      <c r="V1145" s="501" t="s">
        <v>973</v>
      </c>
      <c r="W1145" s="505">
        <v>400</v>
      </c>
      <c r="X1145" s="403">
        <v>832</v>
      </c>
      <c r="Y1145" s="477">
        <f t="shared" si="145"/>
        <v>332800</v>
      </c>
      <c r="Z1145" s="478">
        <v>0.55000000000000004</v>
      </c>
      <c r="AA1145" s="479">
        <f t="shared" si="146"/>
        <v>183040.00000000003</v>
      </c>
      <c r="AB1145" s="386"/>
      <c r="AC1145" s="481"/>
      <c r="AD1145" s="474"/>
      <c r="AE1145" s="482"/>
      <c r="AF1145" s="493">
        <f t="shared" si="147"/>
        <v>183040.00000000003</v>
      </c>
      <c r="AG1145" s="474" t="s">
        <v>47</v>
      </c>
      <c r="AH1145" s="447"/>
      <c r="AI1145" s="474">
        <v>45</v>
      </c>
      <c r="AJ1145" s="474" t="s">
        <v>1124</v>
      </c>
      <c r="AK1145" s="474" t="s">
        <v>1125</v>
      </c>
      <c r="AL1145" s="494">
        <v>55122</v>
      </c>
      <c r="AM1145" s="474" t="s">
        <v>52</v>
      </c>
      <c r="AN1145" s="474"/>
      <c r="AO1145" s="474"/>
      <c r="AP1145" s="474"/>
      <c r="AQ1145" s="482" t="s">
        <v>37</v>
      </c>
      <c r="AR1145" s="474"/>
      <c r="AS1145" s="387"/>
      <c r="AT1145" s="356"/>
      <c r="AU1145" s="387"/>
      <c r="AV1145" s="472"/>
    </row>
    <row r="1146" spans="1:48" s="471" customFormat="1" ht="15" customHeight="1">
      <c r="A1146" s="278"/>
      <c r="B1146" s="279"/>
      <c r="C1146" s="289" t="s">
        <v>1211</v>
      </c>
      <c r="D1146" s="405" t="s">
        <v>3678</v>
      </c>
      <c r="E1146" s="300"/>
      <c r="F1146" s="501"/>
      <c r="G1146" s="501">
        <v>2022</v>
      </c>
      <c r="H1146" s="501"/>
      <c r="I1146" s="382" t="s">
        <v>1286</v>
      </c>
      <c r="J1146" s="502"/>
      <c r="K1146" s="501" t="s">
        <v>5072</v>
      </c>
      <c r="L1146" s="502" t="s">
        <v>1120</v>
      </c>
      <c r="M1146" s="502">
        <v>44645</v>
      </c>
      <c r="N1146" s="502">
        <v>44764</v>
      </c>
      <c r="O1146" s="502"/>
      <c r="P1146" s="502"/>
      <c r="Q1146" s="501"/>
      <c r="R1146" s="501"/>
      <c r="S1146" s="501" t="s">
        <v>1102</v>
      </c>
      <c r="T1146" s="505">
        <v>60</v>
      </c>
      <c r="U1146" s="403"/>
      <c r="V1146" s="501" t="s">
        <v>1018</v>
      </c>
      <c r="W1146" s="505">
        <v>360</v>
      </c>
      <c r="X1146" s="403">
        <v>728</v>
      </c>
      <c r="Y1146" s="477">
        <f t="shared" si="145"/>
        <v>262080</v>
      </c>
      <c r="Z1146" s="478">
        <v>0.8</v>
      </c>
      <c r="AA1146" s="479">
        <f t="shared" si="146"/>
        <v>209664</v>
      </c>
      <c r="AB1146" s="386"/>
      <c r="AC1146" s="481"/>
      <c r="AD1146" s="474"/>
      <c r="AE1146" s="482"/>
      <c r="AF1146" s="493">
        <f t="shared" si="147"/>
        <v>209664</v>
      </c>
      <c r="AG1146" s="474" t="s">
        <v>47</v>
      </c>
      <c r="AH1146" s="447"/>
      <c r="AI1146" s="474">
        <v>45</v>
      </c>
      <c r="AJ1146" s="474" t="s">
        <v>1124</v>
      </c>
      <c r="AK1146" s="474" t="s">
        <v>1125</v>
      </c>
      <c r="AL1146" s="494">
        <v>55122</v>
      </c>
      <c r="AM1146" s="474" t="s">
        <v>52</v>
      </c>
      <c r="AN1146" s="474"/>
      <c r="AO1146" s="474"/>
      <c r="AP1146" s="474"/>
      <c r="AQ1146" s="482" t="s">
        <v>37</v>
      </c>
      <c r="AR1146" s="474"/>
      <c r="AS1146" s="387"/>
      <c r="AT1146" s="356"/>
      <c r="AU1146" s="387"/>
      <c r="AV1146" s="472"/>
    </row>
    <row r="1147" spans="1:48" s="471" customFormat="1" ht="15" customHeight="1">
      <c r="A1147" s="278"/>
      <c r="B1147" s="279"/>
      <c r="C1147" s="289" t="s">
        <v>1211</v>
      </c>
      <c r="D1147" s="405" t="s">
        <v>3678</v>
      </c>
      <c r="E1147" s="300"/>
      <c r="F1147" s="501"/>
      <c r="G1147" s="501">
        <v>2022</v>
      </c>
      <c r="H1147" s="501"/>
      <c r="I1147" s="382" t="s">
        <v>1286</v>
      </c>
      <c r="J1147" s="502"/>
      <c r="K1147" s="501" t="s">
        <v>5072</v>
      </c>
      <c r="L1147" s="502" t="s">
        <v>1120</v>
      </c>
      <c r="M1147" s="502">
        <v>44645</v>
      </c>
      <c r="N1147" s="502">
        <v>44785</v>
      </c>
      <c r="O1147" s="502"/>
      <c r="P1147" s="502"/>
      <c r="Q1147" s="501"/>
      <c r="R1147" s="501"/>
      <c r="S1147" s="501" t="s">
        <v>1102</v>
      </c>
      <c r="T1147" s="505">
        <v>60</v>
      </c>
      <c r="U1147" s="403"/>
      <c r="V1147" s="501" t="s">
        <v>986</v>
      </c>
      <c r="W1147" s="505">
        <v>360</v>
      </c>
      <c r="X1147" s="403">
        <v>768</v>
      </c>
      <c r="Y1147" s="477">
        <f t="shared" si="145"/>
        <v>276480</v>
      </c>
      <c r="Z1147" s="478">
        <v>0.53</v>
      </c>
      <c r="AA1147" s="479">
        <f t="shared" si="146"/>
        <v>146534.39999999999</v>
      </c>
      <c r="AB1147" s="386"/>
      <c r="AC1147" s="481"/>
      <c r="AD1147" s="474"/>
      <c r="AE1147" s="482"/>
      <c r="AF1147" s="493">
        <f t="shared" si="147"/>
        <v>146534.39999999999</v>
      </c>
      <c r="AG1147" s="474" t="s">
        <v>47</v>
      </c>
      <c r="AH1147" s="447"/>
      <c r="AI1147" s="474">
        <v>45</v>
      </c>
      <c r="AJ1147" s="474" t="s">
        <v>1124</v>
      </c>
      <c r="AK1147" s="474" t="s">
        <v>1125</v>
      </c>
      <c r="AL1147" s="494">
        <v>55122</v>
      </c>
      <c r="AM1147" s="474" t="s">
        <v>52</v>
      </c>
      <c r="AN1147" s="474"/>
      <c r="AO1147" s="474"/>
      <c r="AP1147" s="474"/>
      <c r="AQ1147" s="482" t="s">
        <v>37</v>
      </c>
      <c r="AR1147" s="474"/>
      <c r="AS1147" s="387"/>
      <c r="AT1147" s="356"/>
      <c r="AU1147" s="387"/>
      <c r="AV1147" s="472"/>
    </row>
    <row r="1148" spans="1:48" s="471" customFormat="1" ht="15" customHeight="1">
      <c r="A1148" s="278"/>
      <c r="B1148" s="279"/>
      <c r="C1148" s="289" t="s">
        <v>1211</v>
      </c>
      <c r="D1148" s="405" t="s">
        <v>3678</v>
      </c>
      <c r="E1148" s="300"/>
      <c r="F1148" s="501"/>
      <c r="G1148" s="501">
        <v>2022</v>
      </c>
      <c r="H1148" s="501"/>
      <c r="I1148" s="382" t="s">
        <v>1286</v>
      </c>
      <c r="J1148" s="502"/>
      <c r="K1148" s="501" t="s">
        <v>1141</v>
      </c>
      <c r="L1148" s="502" t="s">
        <v>1120</v>
      </c>
      <c r="M1148" s="502">
        <v>44645</v>
      </c>
      <c r="N1148" s="502">
        <v>44797</v>
      </c>
      <c r="O1148" s="502"/>
      <c r="P1148" s="502"/>
      <c r="Q1148" s="501"/>
      <c r="R1148" s="501"/>
      <c r="S1148" s="501" t="s">
        <v>1102</v>
      </c>
      <c r="T1148" s="505">
        <v>60</v>
      </c>
      <c r="U1148" s="403"/>
      <c r="V1148" s="501" t="s">
        <v>973</v>
      </c>
      <c r="W1148" s="505">
        <v>400</v>
      </c>
      <c r="X1148" s="403">
        <v>832</v>
      </c>
      <c r="Y1148" s="477">
        <f t="shared" si="145"/>
        <v>332800</v>
      </c>
      <c r="Z1148" s="478">
        <v>0.55000000000000004</v>
      </c>
      <c r="AA1148" s="479">
        <f t="shared" si="146"/>
        <v>183040.00000000003</v>
      </c>
      <c r="AB1148" s="386"/>
      <c r="AC1148" s="481"/>
      <c r="AD1148" s="474"/>
      <c r="AE1148" s="482"/>
      <c r="AF1148" s="493">
        <f t="shared" si="147"/>
        <v>183040.00000000003</v>
      </c>
      <c r="AG1148" s="474" t="s">
        <v>47</v>
      </c>
      <c r="AH1148" s="447"/>
      <c r="AI1148" s="474">
        <v>45</v>
      </c>
      <c r="AJ1148" s="474" t="s">
        <v>1839</v>
      </c>
      <c r="AK1148" s="474" t="s">
        <v>50</v>
      </c>
      <c r="AL1148" s="494">
        <v>91311</v>
      </c>
      <c r="AM1148" s="474" t="s">
        <v>52</v>
      </c>
      <c r="AN1148" s="474"/>
      <c r="AO1148" s="474"/>
      <c r="AP1148" s="474"/>
      <c r="AQ1148" s="482" t="s">
        <v>37</v>
      </c>
      <c r="AR1148" s="474"/>
      <c r="AS1148" s="387"/>
      <c r="AT1148" s="356"/>
      <c r="AU1148" s="387"/>
      <c r="AV1148" s="472"/>
    </row>
    <row r="1149" spans="1:48" s="471" customFormat="1" ht="15" customHeight="1">
      <c r="A1149" s="278"/>
      <c r="B1149" s="279"/>
      <c r="C1149" s="289" t="s">
        <v>1211</v>
      </c>
      <c r="D1149" s="405" t="s">
        <v>3678</v>
      </c>
      <c r="E1149" s="300"/>
      <c r="F1149" s="501"/>
      <c r="G1149" s="501">
        <v>2022</v>
      </c>
      <c r="H1149" s="382"/>
      <c r="I1149" s="382" t="s">
        <v>1286</v>
      </c>
      <c r="J1149" s="502"/>
      <c r="K1149" s="501" t="s">
        <v>1141</v>
      </c>
      <c r="L1149" s="502" t="s">
        <v>1120</v>
      </c>
      <c r="M1149" s="502">
        <v>44645</v>
      </c>
      <c r="N1149" s="502">
        <v>44811</v>
      </c>
      <c r="O1149" s="502"/>
      <c r="P1149" s="502"/>
      <c r="Q1149" s="501"/>
      <c r="R1149" s="501"/>
      <c r="S1149" s="501" t="s">
        <v>1102</v>
      </c>
      <c r="T1149" s="505">
        <v>60</v>
      </c>
      <c r="U1149" s="403"/>
      <c r="V1149" s="501" t="s">
        <v>986</v>
      </c>
      <c r="W1149" s="505">
        <v>360</v>
      </c>
      <c r="X1149" s="403">
        <v>768</v>
      </c>
      <c r="Y1149" s="477">
        <f t="shared" si="145"/>
        <v>276480</v>
      </c>
      <c r="Z1149" s="478">
        <v>0.53</v>
      </c>
      <c r="AA1149" s="479">
        <f t="shared" si="146"/>
        <v>146534.39999999999</v>
      </c>
      <c r="AB1149" s="480"/>
      <c r="AC1149" s="481"/>
      <c r="AD1149" s="490"/>
      <c r="AE1149" s="482"/>
      <c r="AF1149" s="493">
        <f t="shared" si="147"/>
        <v>146534.39999999999</v>
      </c>
      <c r="AG1149" s="474" t="s">
        <v>47</v>
      </c>
      <c r="AH1149" s="474"/>
      <c r="AI1149" s="474">
        <v>45</v>
      </c>
      <c r="AJ1149" s="474" t="s">
        <v>1839</v>
      </c>
      <c r="AK1149" s="474" t="s">
        <v>50</v>
      </c>
      <c r="AL1149" s="494">
        <v>91311</v>
      </c>
      <c r="AM1149" s="474" t="s">
        <v>52</v>
      </c>
      <c r="AN1149" s="474"/>
      <c r="AO1149" s="474"/>
      <c r="AP1149" s="482"/>
      <c r="AQ1149" s="482" t="s">
        <v>37</v>
      </c>
      <c r="AR1149" s="474"/>
      <c r="AS1149" s="472"/>
      <c r="AT1149" s="281"/>
      <c r="AU1149" s="436"/>
      <c r="AV1149" s="472"/>
    </row>
    <row r="1150" spans="1:48" s="471" customFormat="1" ht="15" customHeight="1">
      <c r="A1150" s="278"/>
      <c r="B1150" s="279"/>
      <c r="C1150" s="289"/>
      <c r="D1150" s="405" t="s">
        <v>3678</v>
      </c>
      <c r="E1150" s="301"/>
      <c r="F1150" s="501"/>
      <c r="G1150" s="501">
        <v>2022</v>
      </c>
      <c r="H1150" s="501"/>
      <c r="I1150" s="382" t="s">
        <v>1286</v>
      </c>
      <c r="J1150" s="502"/>
      <c r="K1150" s="501" t="s">
        <v>1141</v>
      </c>
      <c r="L1150" s="502" t="s">
        <v>1120</v>
      </c>
      <c r="M1150" s="502">
        <v>44645</v>
      </c>
      <c r="N1150" s="502">
        <v>44818</v>
      </c>
      <c r="O1150" s="502"/>
      <c r="P1150" s="502"/>
      <c r="Q1150" s="501"/>
      <c r="R1150" s="501"/>
      <c r="S1150" s="501" t="s">
        <v>1102</v>
      </c>
      <c r="T1150" s="505">
        <v>60</v>
      </c>
      <c r="U1150" s="403"/>
      <c r="V1150" s="501" t="s">
        <v>1018</v>
      </c>
      <c r="W1150" s="505">
        <v>360</v>
      </c>
      <c r="X1150" s="403">
        <v>728</v>
      </c>
      <c r="Y1150" s="477">
        <f t="shared" si="145"/>
        <v>262080</v>
      </c>
      <c r="Z1150" s="478">
        <v>0.8</v>
      </c>
      <c r="AA1150" s="479">
        <f t="shared" si="146"/>
        <v>209664</v>
      </c>
      <c r="AB1150" s="386"/>
      <c r="AC1150" s="481"/>
      <c r="AD1150" s="474"/>
      <c r="AE1150" s="482"/>
      <c r="AF1150" s="493">
        <f t="shared" si="147"/>
        <v>209664</v>
      </c>
      <c r="AG1150" s="474" t="s">
        <v>47</v>
      </c>
      <c r="AH1150" s="447"/>
      <c r="AI1150" s="474">
        <v>45</v>
      </c>
      <c r="AJ1150" s="474" t="s">
        <v>1839</v>
      </c>
      <c r="AK1150" s="474" t="s">
        <v>50</v>
      </c>
      <c r="AL1150" s="494">
        <v>91311</v>
      </c>
      <c r="AM1150" s="474" t="s">
        <v>52</v>
      </c>
      <c r="AN1150" s="474"/>
      <c r="AO1150" s="474"/>
      <c r="AP1150" s="474"/>
      <c r="AQ1150" s="482" t="s">
        <v>37</v>
      </c>
      <c r="AR1150" s="474"/>
      <c r="AS1150" s="387"/>
      <c r="AT1150" s="356"/>
      <c r="AU1150" s="387"/>
      <c r="AV1150" s="472"/>
    </row>
    <row r="1151" spans="1:48" s="471" customFormat="1" ht="15" customHeight="1">
      <c r="A1151" s="278"/>
      <c r="B1151" s="279"/>
      <c r="C1151" s="289" t="s">
        <v>1211</v>
      </c>
      <c r="D1151" s="405" t="s">
        <v>3678</v>
      </c>
      <c r="E1151" s="301"/>
      <c r="F1151" s="501"/>
      <c r="G1151" s="501">
        <v>2022</v>
      </c>
      <c r="H1151" s="501"/>
      <c r="I1151" s="382" t="s">
        <v>1286</v>
      </c>
      <c r="J1151" s="502"/>
      <c r="K1151" s="501" t="s">
        <v>1141</v>
      </c>
      <c r="L1151" s="502" t="s">
        <v>1120</v>
      </c>
      <c r="M1151" s="502">
        <v>44645</v>
      </c>
      <c r="N1151" s="502">
        <v>44825</v>
      </c>
      <c r="O1151" s="502"/>
      <c r="P1151" s="502"/>
      <c r="Q1151" s="501"/>
      <c r="R1151" s="501"/>
      <c r="S1151" s="501" t="s">
        <v>1102</v>
      </c>
      <c r="T1151" s="505">
        <v>60</v>
      </c>
      <c r="U1151" s="403"/>
      <c r="V1151" s="501" t="s">
        <v>973</v>
      </c>
      <c r="W1151" s="505">
        <v>400</v>
      </c>
      <c r="X1151" s="403">
        <v>832</v>
      </c>
      <c r="Y1151" s="477">
        <f t="shared" si="145"/>
        <v>332800</v>
      </c>
      <c r="Z1151" s="478">
        <v>0.55000000000000004</v>
      </c>
      <c r="AA1151" s="479">
        <f t="shared" si="146"/>
        <v>183040.00000000003</v>
      </c>
      <c r="AB1151" s="386"/>
      <c r="AC1151" s="481"/>
      <c r="AD1151" s="474"/>
      <c r="AE1151" s="482"/>
      <c r="AF1151" s="493">
        <f t="shared" si="147"/>
        <v>183040.00000000003</v>
      </c>
      <c r="AG1151" s="474" t="s">
        <v>47</v>
      </c>
      <c r="AH1151" s="447"/>
      <c r="AI1151" s="474">
        <v>45</v>
      </c>
      <c r="AJ1151" s="474" t="s">
        <v>1839</v>
      </c>
      <c r="AK1151" s="474" t="s">
        <v>50</v>
      </c>
      <c r="AL1151" s="494">
        <v>91311</v>
      </c>
      <c r="AM1151" s="474" t="s">
        <v>52</v>
      </c>
      <c r="AN1151" s="474"/>
      <c r="AO1151" s="474"/>
      <c r="AP1151" s="474"/>
      <c r="AQ1151" s="482" t="s">
        <v>37</v>
      </c>
      <c r="AR1151" s="474"/>
      <c r="AS1151" s="387"/>
      <c r="AT1151" s="356"/>
      <c r="AU1151" s="387"/>
      <c r="AV1151" s="472"/>
    </row>
    <row r="1152" spans="1:48" s="471" customFormat="1" ht="15" customHeight="1">
      <c r="A1152" s="278"/>
      <c r="B1152" s="279"/>
      <c r="C1152" s="289" t="s">
        <v>1211</v>
      </c>
      <c r="D1152" s="405" t="s">
        <v>3678</v>
      </c>
      <c r="E1152" s="300"/>
      <c r="F1152" s="501"/>
      <c r="G1152" s="501">
        <v>2022</v>
      </c>
      <c r="H1152" s="501"/>
      <c r="I1152" s="382" t="s">
        <v>1286</v>
      </c>
      <c r="J1152" s="502"/>
      <c r="K1152" s="501" t="s">
        <v>5073</v>
      </c>
      <c r="L1152" s="502" t="s">
        <v>1120</v>
      </c>
      <c r="M1152" s="502">
        <v>44645</v>
      </c>
      <c r="N1152" s="502">
        <v>44750</v>
      </c>
      <c r="O1152" s="502"/>
      <c r="P1152" s="502"/>
      <c r="Q1152" s="501"/>
      <c r="R1152" s="501"/>
      <c r="S1152" s="501" t="s">
        <v>1102</v>
      </c>
      <c r="T1152" s="505">
        <v>60</v>
      </c>
      <c r="U1152" s="403"/>
      <c r="V1152" s="501" t="s">
        <v>986</v>
      </c>
      <c r="W1152" s="505">
        <v>360</v>
      </c>
      <c r="X1152" s="403">
        <v>768</v>
      </c>
      <c r="Y1152" s="477">
        <f t="shared" si="145"/>
        <v>276480</v>
      </c>
      <c r="Z1152" s="478">
        <v>0.53</v>
      </c>
      <c r="AA1152" s="479">
        <f t="shared" si="146"/>
        <v>146534.39999999999</v>
      </c>
      <c r="AB1152" s="386"/>
      <c r="AC1152" s="481"/>
      <c r="AD1152" s="474"/>
      <c r="AE1152" s="482"/>
      <c r="AF1152" s="493">
        <f t="shared" si="147"/>
        <v>146534.39999999999</v>
      </c>
      <c r="AG1152" s="474" t="s">
        <v>47</v>
      </c>
      <c r="AH1152" s="447"/>
      <c r="AI1152" s="474">
        <v>45</v>
      </c>
      <c r="AJ1152" s="474" t="s">
        <v>1839</v>
      </c>
      <c r="AK1152" s="474" t="s">
        <v>50</v>
      </c>
      <c r="AL1152" s="494">
        <v>91311</v>
      </c>
      <c r="AM1152" s="474" t="s">
        <v>52</v>
      </c>
      <c r="AN1152" s="474"/>
      <c r="AO1152" s="474"/>
      <c r="AP1152" s="474"/>
      <c r="AQ1152" s="482" t="s">
        <v>37</v>
      </c>
      <c r="AR1152" s="474"/>
      <c r="AS1152" s="387"/>
      <c r="AT1152" s="356"/>
      <c r="AU1152" s="387"/>
      <c r="AV1152" s="472"/>
    </row>
    <row r="1153" spans="1:48" s="471" customFormat="1" ht="15" customHeight="1">
      <c r="A1153" s="278"/>
      <c r="B1153" s="279"/>
      <c r="C1153" s="289" t="s">
        <v>1211</v>
      </c>
      <c r="D1153" s="405" t="s">
        <v>3678</v>
      </c>
      <c r="E1153" s="300"/>
      <c r="F1153" s="501"/>
      <c r="G1153" s="501">
        <v>2022</v>
      </c>
      <c r="H1153" s="501"/>
      <c r="I1153" s="382" t="s">
        <v>1286</v>
      </c>
      <c r="J1153" s="502"/>
      <c r="K1153" s="501" t="s">
        <v>5073</v>
      </c>
      <c r="L1153" s="502" t="s">
        <v>1120</v>
      </c>
      <c r="M1153" s="502">
        <v>44645</v>
      </c>
      <c r="N1153" s="502">
        <v>44755</v>
      </c>
      <c r="O1153" s="502"/>
      <c r="P1153" s="502"/>
      <c r="Q1153" s="501"/>
      <c r="R1153" s="501"/>
      <c r="S1153" s="501" t="s">
        <v>1102</v>
      </c>
      <c r="T1153" s="505">
        <v>60</v>
      </c>
      <c r="U1153" s="403"/>
      <c r="V1153" s="501" t="s">
        <v>1018</v>
      </c>
      <c r="W1153" s="505">
        <v>360</v>
      </c>
      <c r="X1153" s="403">
        <v>728</v>
      </c>
      <c r="Y1153" s="477">
        <f t="shared" si="145"/>
        <v>262080</v>
      </c>
      <c r="Z1153" s="478">
        <v>0.8</v>
      </c>
      <c r="AA1153" s="479">
        <f t="shared" si="146"/>
        <v>209664</v>
      </c>
      <c r="AB1153" s="386"/>
      <c r="AC1153" s="481"/>
      <c r="AD1153" s="474"/>
      <c r="AE1153" s="482"/>
      <c r="AF1153" s="493">
        <f t="shared" si="147"/>
        <v>209664</v>
      </c>
      <c r="AG1153" s="474" t="s">
        <v>47</v>
      </c>
      <c r="AH1153" s="447"/>
      <c r="AI1153" s="474">
        <v>45</v>
      </c>
      <c r="AJ1153" s="474" t="s">
        <v>1839</v>
      </c>
      <c r="AK1153" s="474" t="s">
        <v>50</v>
      </c>
      <c r="AL1153" s="494">
        <v>91311</v>
      </c>
      <c r="AM1153" s="474" t="s">
        <v>52</v>
      </c>
      <c r="AN1153" s="474"/>
      <c r="AO1153" s="474"/>
      <c r="AP1153" s="474"/>
      <c r="AQ1153" s="482" t="s">
        <v>37</v>
      </c>
      <c r="AR1153" s="474"/>
      <c r="AS1153" s="387"/>
      <c r="AT1153" s="356"/>
      <c r="AU1153" s="387"/>
      <c r="AV1153" s="472"/>
    </row>
    <row r="1154" spans="1:48" s="471" customFormat="1" ht="15" customHeight="1">
      <c r="A1154" s="278"/>
      <c r="B1154" s="279"/>
      <c r="C1154" s="289" t="s">
        <v>1211</v>
      </c>
      <c r="D1154" s="405" t="s">
        <v>3678</v>
      </c>
      <c r="E1154" s="300"/>
      <c r="F1154" s="501"/>
      <c r="G1154" s="501">
        <v>2022</v>
      </c>
      <c r="H1154" s="382"/>
      <c r="I1154" s="382" t="s">
        <v>1286</v>
      </c>
      <c r="J1154" s="502"/>
      <c r="K1154" s="501" t="s">
        <v>5073</v>
      </c>
      <c r="L1154" s="502" t="s">
        <v>1120</v>
      </c>
      <c r="M1154" s="502">
        <v>44645</v>
      </c>
      <c r="N1154" s="502">
        <v>44764</v>
      </c>
      <c r="O1154" s="502"/>
      <c r="P1154" s="502"/>
      <c r="Q1154" s="501"/>
      <c r="R1154" s="501"/>
      <c r="S1154" s="501" t="s">
        <v>1102</v>
      </c>
      <c r="T1154" s="505">
        <v>60</v>
      </c>
      <c r="U1154" s="403"/>
      <c r="V1154" s="501" t="s">
        <v>973</v>
      </c>
      <c r="W1154" s="505">
        <v>400</v>
      </c>
      <c r="X1154" s="403">
        <v>832</v>
      </c>
      <c r="Y1154" s="477">
        <f t="shared" si="145"/>
        <v>332800</v>
      </c>
      <c r="Z1154" s="478">
        <v>0.55000000000000004</v>
      </c>
      <c r="AA1154" s="479">
        <f t="shared" si="146"/>
        <v>183040.00000000003</v>
      </c>
      <c r="AB1154" s="480"/>
      <c r="AC1154" s="481"/>
      <c r="AD1154" s="490"/>
      <c r="AE1154" s="482"/>
      <c r="AF1154" s="493">
        <f t="shared" si="147"/>
        <v>183040.00000000003</v>
      </c>
      <c r="AG1154" s="474" t="s">
        <v>47</v>
      </c>
      <c r="AH1154" s="474"/>
      <c r="AI1154" s="474">
        <v>45</v>
      </c>
      <c r="AJ1154" s="474" t="s">
        <v>1839</v>
      </c>
      <c r="AK1154" s="474" t="s">
        <v>50</v>
      </c>
      <c r="AL1154" s="494">
        <v>91311</v>
      </c>
      <c r="AM1154" s="474" t="s">
        <v>52</v>
      </c>
      <c r="AN1154" s="474"/>
      <c r="AO1154" s="474"/>
      <c r="AP1154" s="482"/>
      <c r="AQ1154" s="482" t="s">
        <v>37</v>
      </c>
      <c r="AR1154" s="474"/>
      <c r="AS1154" s="472"/>
      <c r="AT1154" s="281"/>
      <c r="AU1154" s="436"/>
      <c r="AV1154" s="472"/>
    </row>
    <row r="1155" spans="1:48" s="471" customFormat="1" ht="15" customHeight="1">
      <c r="A1155" s="278"/>
      <c r="B1155" s="279"/>
      <c r="C1155" s="289" t="s">
        <v>1211</v>
      </c>
      <c r="D1155" s="405" t="s">
        <v>3678</v>
      </c>
      <c r="E1155" s="300"/>
      <c r="F1155" s="501"/>
      <c r="G1155" s="501">
        <v>2022</v>
      </c>
      <c r="H1155" s="501"/>
      <c r="I1155" s="382" t="s">
        <v>1286</v>
      </c>
      <c r="J1155" s="502"/>
      <c r="K1155" s="501" t="s">
        <v>5073</v>
      </c>
      <c r="L1155" s="502" t="s">
        <v>1120</v>
      </c>
      <c r="M1155" s="502">
        <v>44645</v>
      </c>
      <c r="N1155" s="502">
        <v>44783</v>
      </c>
      <c r="O1155" s="502"/>
      <c r="P1155" s="502"/>
      <c r="Q1155" s="501"/>
      <c r="R1155" s="501"/>
      <c r="S1155" s="501" t="s">
        <v>1102</v>
      </c>
      <c r="T1155" s="505">
        <v>60</v>
      </c>
      <c r="U1155" s="403"/>
      <c r="V1155" s="501" t="s">
        <v>973</v>
      </c>
      <c r="W1155" s="505">
        <v>400</v>
      </c>
      <c r="X1155" s="403">
        <v>832</v>
      </c>
      <c r="Y1155" s="477">
        <f t="shared" si="145"/>
        <v>332800</v>
      </c>
      <c r="Z1155" s="478">
        <v>0.55000000000000004</v>
      </c>
      <c r="AA1155" s="479">
        <f t="shared" si="146"/>
        <v>183040.00000000003</v>
      </c>
      <c r="AB1155" s="386"/>
      <c r="AC1155" s="481"/>
      <c r="AD1155" s="474"/>
      <c r="AE1155" s="482"/>
      <c r="AF1155" s="493">
        <f t="shared" si="147"/>
        <v>183040.00000000003</v>
      </c>
      <c r="AG1155" s="474" t="s">
        <v>47</v>
      </c>
      <c r="AH1155" s="447"/>
      <c r="AI1155" s="474">
        <v>45</v>
      </c>
      <c r="AJ1155" s="474" t="s">
        <v>1839</v>
      </c>
      <c r="AK1155" s="474" t="s">
        <v>50</v>
      </c>
      <c r="AL1155" s="494">
        <v>91311</v>
      </c>
      <c r="AM1155" s="474" t="s">
        <v>52</v>
      </c>
      <c r="AN1155" s="474"/>
      <c r="AO1155" s="474"/>
      <c r="AP1155" s="474"/>
      <c r="AQ1155" s="482" t="s">
        <v>37</v>
      </c>
      <c r="AR1155" s="474"/>
      <c r="AS1155" s="387"/>
      <c r="AT1155" s="356"/>
      <c r="AU1155" s="387"/>
      <c r="AV1155" s="472"/>
    </row>
    <row r="1156" spans="1:48" s="471" customFormat="1" ht="15" customHeight="1">
      <c r="A1156" s="278"/>
      <c r="B1156" s="279"/>
      <c r="C1156" s="289" t="s">
        <v>1211</v>
      </c>
      <c r="D1156" s="405" t="s">
        <v>3678</v>
      </c>
      <c r="E1156" s="300"/>
      <c r="F1156" s="501"/>
      <c r="G1156" s="501">
        <v>2022</v>
      </c>
      <c r="H1156" s="382"/>
      <c r="I1156" s="382" t="s">
        <v>1286</v>
      </c>
      <c r="J1156" s="502"/>
      <c r="K1156" s="501" t="s">
        <v>5073</v>
      </c>
      <c r="L1156" s="502" t="s">
        <v>1120</v>
      </c>
      <c r="M1156" s="502">
        <v>44645</v>
      </c>
      <c r="N1156" s="502">
        <v>44790</v>
      </c>
      <c r="O1156" s="502"/>
      <c r="P1156" s="502"/>
      <c r="Q1156" s="501"/>
      <c r="R1156" s="501"/>
      <c r="S1156" s="501" t="s">
        <v>1102</v>
      </c>
      <c r="T1156" s="505">
        <v>60</v>
      </c>
      <c r="U1156" s="403"/>
      <c r="V1156" s="501" t="s">
        <v>1018</v>
      </c>
      <c r="W1156" s="505">
        <v>360</v>
      </c>
      <c r="X1156" s="403">
        <v>728</v>
      </c>
      <c r="Y1156" s="477">
        <f t="shared" si="145"/>
        <v>262080</v>
      </c>
      <c r="Z1156" s="478">
        <v>0.8</v>
      </c>
      <c r="AA1156" s="479">
        <f t="shared" si="146"/>
        <v>209664</v>
      </c>
      <c r="AB1156" s="480"/>
      <c r="AC1156" s="481"/>
      <c r="AD1156" s="490"/>
      <c r="AE1156" s="482"/>
      <c r="AF1156" s="493">
        <f t="shared" si="147"/>
        <v>209664</v>
      </c>
      <c r="AG1156" s="474" t="s">
        <v>47</v>
      </c>
      <c r="AH1156" s="474"/>
      <c r="AI1156" s="474">
        <v>45</v>
      </c>
      <c r="AJ1156" s="474" t="s">
        <v>1839</v>
      </c>
      <c r="AK1156" s="474" t="s">
        <v>50</v>
      </c>
      <c r="AL1156" s="494">
        <v>91311</v>
      </c>
      <c r="AM1156" s="474" t="s">
        <v>52</v>
      </c>
      <c r="AN1156" s="474"/>
      <c r="AO1156" s="474"/>
      <c r="AP1156" s="482"/>
      <c r="AQ1156" s="482" t="s">
        <v>37</v>
      </c>
      <c r="AR1156" s="474"/>
      <c r="AS1156" s="472"/>
      <c r="AT1156" s="281"/>
      <c r="AU1156" s="436"/>
      <c r="AV1156" s="472"/>
    </row>
    <row r="1157" spans="1:48" s="471" customFormat="1" ht="15" customHeight="1">
      <c r="A1157" s="278"/>
      <c r="B1157" s="279"/>
      <c r="C1157" s="289" t="s">
        <v>1211</v>
      </c>
      <c r="D1157" s="405" t="s">
        <v>3678</v>
      </c>
      <c r="E1157" s="300"/>
      <c r="F1157" s="501"/>
      <c r="G1157" s="501">
        <v>2022</v>
      </c>
      <c r="H1157" s="382"/>
      <c r="I1157" s="382" t="s">
        <v>1286</v>
      </c>
      <c r="J1157" s="502"/>
      <c r="K1157" s="501" t="s">
        <v>5074</v>
      </c>
      <c r="L1157" s="502" t="s">
        <v>1120</v>
      </c>
      <c r="M1157" s="502">
        <v>44645</v>
      </c>
      <c r="N1157" s="502">
        <v>44825</v>
      </c>
      <c r="O1157" s="502"/>
      <c r="P1157" s="502"/>
      <c r="Q1157" s="501"/>
      <c r="R1157" s="501"/>
      <c r="S1157" s="501" t="s">
        <v>1102</v>
      </c>
      <c r="T1157" s="505">
        <v>60</v>
      </c>
      <c r="U1157" s="403"/>
      <c r="V1157" s="501" t="s">
        <v>973</v>
      </c>
      <c r="W1157" s="505">
        <v>400</v>
      </c>
      <c r="X1157" s="403">
        <v>832</v>
      </c>
      <c r="Y1157" s="477">
        <f t="shared" si="145"/>
        <v>332800</v>
      </c>
      <c r="Z1157" s="478">
        <v>0.55000000000000004</v>
      </c>
      <c r="AA1157" s="479">
        <f t="shared" si="146"/>
        <v>183040.00000000003</v>
      </c>
      <c r="AB1157" s="480"/>
      <c r="AC1157" s="481"/>
      <c r="AD1157" s="490"/>
      <c r="AE1157" s="482"/>
      <c r="AF1157" s="493">
        <f t="shared" si="147"/>
        <v>183040.00000000003</v>
      </c>
      <c r="AG1157" s="474" t="s">
        <v>47</v>
      </c>
      <c r="AH1157" s="474"/>
      <c r="AI1157" s="474">
        <v>45</v>
      </c>
      <c r="AJ1157" s="474" t="s">
        <v>1128</v>
      </c>
      <c r="AK1157" s="474" t="s">
        <v>1085</v>
      </c>
      <c r="AL1157" s="494">
        <v>8505</v>
      </c>
      <c r="AM1157" s="474" t="s">
        <v>52</v>
      </c>
      <c r="AN1157" s="474"/>
      <c r="AO1157" s="474"/>
      <c r="AP1157" s="482"/>
      <c r="AQ1157" s="482" t="s">
        <v>37</v>
      </c>
      <c r="AR1157" s="474"/>
      <c r="AS1157" s="472"/>
      <c r="AT1157" s="281"/>
      <c r="AU1157" s="436"/>
      <c r="AV1157" s="472"/>
    </row>
    <row r="1158" spans="1:48" s="471" customFormat="1" ht="15" customHeight="1">
      <c r="A1158" s="278"/>
      <c r="B1158" s="279"/>
      <c r="C1158" s="289" t="s">
        <v>1211</v>
      </c>
      <c r="D1158" s="405" t="s">
        <v>3678</v>
      </c>
      <c r="E1158" s="300"/>
      <c r="F1158" s="501"/>
      <c r="G1158" s="501">
        <v>2022</v>
      </c>
      <c r="H1158" s="501"/>
      <c r="I1158" s="382" t="s">
        <v>1286</v>
      </c>
      <c r="J1158" s="502"/>
      <c r="K1158" s="501" t="s">
        <v>5075</v>
      </c>
      <c r="L1158" s="502" t="s">
        <v>1120</v>
      </c>
      <c r="M1158" s="502">
        <v>44645</v>
      </c>
      <c r="N1158" s="502">
        <v>44755</v>
      </c>
      <c r="O1158" s="502"/>
      <c r="P1158" s="502"/>
      <c r="Q1158" s="501"/>
      <c r="R1158" s="501"/>
      <c r="S1158" s="501" t="s">
        <v>1102</v>
      </c>
      <c r="T1158" s="505">
        <v>60</v>
      </c>
      <c r="U1158" s="403"/>
      <c r="V1158" s="501" t="s">
        <v>986</v>
      </c>
      <c r="W1158" s="505">
        <v>360</v>
      </c>
      <c r="X1158" s="403">
        <v>768</v>
      </c>
      <c r="Y1158" s="477">
        <f t="shared" si="145"/>
        <v>276480</v>
      </c>
      <c r="Z1158" s="478">
        <v>0.53</v>
      </c>
      <c r="AA1158" s="479">
        <f t="shared" si="146"/>
        <v>146534.39999999999</v>
      </c>
      <c r="AB1158" s="386"/>
      <c r="AC1158" s="481"/>
      <c r="AD1158" s="474"/>
      <c r="AE1158" s="482"/>
      <c r="AF1158" s="493">
        <f t="shared" si="147"/>
        <v>146534.39999999999</v>
      </c>
      <c r="AG1158" s="474" t="s">
        <v>47</v>
      </c>
      <c r="AH1158" s="447"/>
      <c r="AI1158" s="474">
        <v>45</v>
      </c>
      <c r="AJ1158" s="474" t="s">
        <v>1128</v>
      </c>
      <c r="AK1158" s="474" t="s">
        <v>1085</v>
      </c>
      <c r="AL1158" s="494">
        <v>8505</v>
      </c>
      <c r="AM1158" s="474" t="s">
        <v>52</v>
      </c>
      <c r="AN1158" s="474"/>
      <c r="AO1158" s="474"/>
      <c r="AP1158" s="474"/>
      <c r="AQ1158" s="482" t="s">
        <v>37</v>
      </c>
      <c r="AR1158" s="474"/>
      <c r="AS1158" s="387"/>
      <c r="AT1158" s="356"/>
      <c r="AU1158" s="387"/>
      <c r="AV1158" s="472"/>
    </row>
    <row r="1159" spans="1:48" s="471" customFormat="1" ht="15" customHeight="1">
      <c r="A1159" s="278"/>
      <c r="B1159" s="279"/>
      <c r="C1159" s="289" t="s">
        <v>1211</v>
      </c>
      <c r="D1159" s="405" t="s">
        <v>3678</v>
      </c>
      <c r="E1159" s="300"/>
      <c r="F1159" s="501"/>
      <c r="G1159" s="501">
        <v>2022</v>
      </c>
      <c r="H1159" s="382"/>
      <c r="I1159" s="382" t="s">
        <v>1286</v>
      </c>
      <c r="J1159" s="502"/>
      <c r="K1159" s="501" t="s">
        <v>5075</v>
      </c>
      <c r="L1159" s="502" t="s">
        <v>1120</v>
      </c>
      <c r="M1159" s="502">
        <v>44645</v>
      </c>
      <c r="N1159" s="502">
        <v>44764</v>
      </c>
      <c r="O1159" s="502"/>
      <c r="P1159" s="502"/>
      <c r="Q1159" s="501"/>
      <c r="R1159" s="501"/>
      <c r="S1159" s="501" t="s">
        <v>1102</v>
      </c>
      <c r="T1159" s="505">
        <v>60</v>
      </c>
      <c r="U1159" s="403"/>
      <c r="V1159" s="501" t="s">
        <v>1018</v>
      </c>
      <c r="W1159" s="505">
        <v>360</v>
      </c>
      <c r="X1159" s="403">
        <v>728</v>
      </c>
      <c r="Y1159" s="477">
        <f t="shared" si="145"/>
        <v>262080</v>
      </c>
      <c r="Z1159" s="478">
        <v>0.8</v>
      </c>
      <c r="AA1159" s="479">
        <f t="shared" si="146"/>
        <v>209664</v>
      </c>
      <c r="AB1159" s="480"/>
      <c r="AC1159" s="481"/>
      <c r="AD1159" s="490"/>
      <c r="AE1159" s="482"/>
      <c r="AF1159" s="493">
        <f t="shared" si="147"/>
        <v>209664</v>
      </c>
      <c r="AG1159" s="474" t="s">
        <v>47</v>
      </c>
      <c r="AH1159" s="474"/>
      <c r="AI1159" s="474">
        <v>45</v>
      </c>
      <c r="AJ1159" s="474" t="s">
        <v>1128</v>
      </c>
      <c r="AK1159" s="474" t="s">
        <v>1085</v>
      </c>
      <c r="AL1159" s="494">
        <v>8505</v>
      </c>
      <c r="AM1159" s="474" t="s">
        <v>52</v>
      </c>
      <c r="AN1159" s="474"/>
      <c r="AO1159" s="474"/>
      <c r="AP1159" s="482"/>
      <c r="AQ1159" s="482" t="s">
        <v>37</v>
      </c>
      <c r="AR1159" s="474"/>
      <c r="AS1159" s="472"/>
      <c r="AT1159" s="281"/>
      <c r="AU1159" s="436"/>
      <c r="AV1159" s="472"/>
    </row>
    <row r="1160" spans="1:48" s="471" customFormat="1" ht="15" customHeight="1">
      <c r="A1160" s="278"/>
      <c r="B1160" s="279"/>
      <c r="C1160" s="289" t="s">
        <v>1211</v>
      </c>
      <c r="D1160" s="405" t="s">
        <v>3678</v>
      </c>
      <c r="E1160" s="300"/>
      <c r="F1160" s="501"/>
      <c r="G1160" s="501">
        <v>2022</v>
      </c>
      <c r="H1160" s="382"/>
      <c r="I1160" s="382" t="s">
        <v>1286</v>
      </c>
      <c r="J1160" s="502"/>
      <c r="K1160" s="501" t="s">
        <v>5075</v>
      </c>
      <c r="L1160" s="502" t="s">
        <v>1120</v>
      </c>
      <c r="M1160" s="502">
        <v>44645</v>
      </c>
      <c r="N1160" s="502">
        <v>44783</v>
      </c>
      <c r="O1160" s="502"/>
      <c r="P1160" s="502"/>
      <c r="Q1160" s="501"/>
      <c r="R1160" s="501"/>
      <c r="S1160" s="501" t="s">
        <v>1102</v>
      </c>
      <c r="T1160" s="505">
        <v>60</v>
      </c>
      <c r="U1160" s="403"/>
      <c r="V1160" s="501" t="s">
        <v>973</v>
      </c>
      <c r="W1160" s="505">
        <v>400</v>
      </c>
      <c r="X1160" s="403">
        <v>832</v>
      </c>
      <c r="Y1160" s="477">
        <f t="shared" si="145"/>
        <v>332800</v>
      </c>
      <c r="Z1160" s="478">
        <v>0.55000000000000004</v>
      </c>
      <c r="AA1160" s="479">
        <f t="shared" si="146"/>
        <v>183040.00000000003</v>
      </c>
      <c r="AB1160" s="480"/>
      <c r="AC1160" s="481"/>
      <c r="AD1160" s="490"/>
      <c r="AE1160" s="482"/>
      <c r="AF1160" s="493">
        <f t="shared" si="147"/>
        <v>183040.00000000003</v>
      </c>
      <c r="AG1160" s="474" t="s">
        <v>47</v>
      </c>
      <c r="AH1160" s="474"/>
      <c r="AI1160" s="474">
        <v>45</v>
      </c>
      <c r="AJ1160" s="474" t="s">
        <v>1128</v>
      </c>
      <c r="AK1160" s="474" t="s">
        <v>1085</v>
      </c>
      <c r="AL1160" s="494">
        <v>8505</v>
      </c>
      <c r="AM1160" s="474" t="s">
        <v>52</v>
      </c>
      <c r="AN1160" s="474"/>
      <c r="AO1160" s="474"/>
      <c r="AP1160" s="482"/>
      <c r="AQ1160" s="482" t="s">
        <v>37</v>
      </c>
      <c r="AR1160" s="474"/>
      <c r="AS1160" s="472"/>
      <c r="AT1160" s="281"/>
      <c r="AU1160" s="436"/>
      <c r="AV1160" s="472"/>
    </row>
    <row r="1161" spans="1:48" s="471" customFormat="1" ht="15" customHeight="1">
      <c r="A1161" s="278"/>
      <c r="B1161" s="279"/>
      <c r="C1161" s="289" t="s">
        <v>1211</v>
      </c>
      <c r="D1161" s="405" t="s">
        <v>3678</v>
      </c>
      <c r="E1161" s="300"/>
      <c r="F1161" s="501"/>
      <c r="G1161" s="501">
        <v>2022</v>
      </c>
      <c r="H1161" s="382"/>
      <c r="I1161" s="382" t="s">
        <v>1286</v>
      </c>
      <c r="J1161" s="502"/>
      <c r="K1161" s="501" t="s">
        <v>5075</v>
      </c>
      <c r="L1161" s="502" t="s">
        <v>1120</v>
      </c>
      <c r="M1161" s="502">
        <v>44645</v>
      </c>
      <c r="N1161" s="502">
        <v>44811</v>
      </c>
      <c r="O1161" s="502"/>
      <c r="P1161" s="502"/>
      <c r="Q1161" s="501"/>
      <c r="R1161" s="501"/>
      <c r="S1161" s="501" t="s">
        <v>1102</v>
      </c>
      <c r="T1161" s="505">
        <v>60</v>
      </c>
      <c r="U1161" s="403"/>
      <c r="V1161" s="501" t="s">
        <v>986</v>
      </c>
      <c r="W1161" s="505">
        <v>360</v>
      </c>
      <c r="X1161" s="403">
        <v>768</v>
      </c>
      <c r="Y1161" s="477">
        <f t="shared" si="145"/>
        <v>276480</v>
      </c>
      <c r="Z1161" s="478">
        <v>0.53</v>
      </c>
      <c r="AA1161" s="479">
        <f t="shared" si="146"/>
        <v>146534.39999999999</v>
      </c>
      <c r="AB1161" s="480"/>
      <c r="AC1161" s="481"/>
      <c r="AD1161" s="490"/>
      <c r="AE1161" s="482"/>
      <c r="AF1161" s="493">
        <f t="shared" si="147"/>
        <v>146534.39999999999</v>
      </c>
      <c r="AG1161" s="474" t="s">
        <v>47</v>
      </c>
      <c r="AH1161" s="474"/>
      <c r="AI1161" s="474">
        <v>45</v>
      </c>
      <c r="AJ1161" s="474" t="s">
        <v>1128</v>
      </c>
      <c r="AK1161" s="474" t="s">
        <v>1085</v>
      </c>
      <c r="AL1161" s="494">
        <v>8505</v>
      </c>
      <c r="AM1161" s="474" t="s">
        <v>52</v>
      </c>
      <c r="AN1161" s="474"/>
      <c r="AO1161" s="474"/>
      <c r="AP1161" s="482"/>
      <c r="AQ1161" s="482" t="s">
        <v>37</v>
      </c>
      <c r="AR1161" s="474"/>
      <c r="AS1161" s="472"/>
      <c r="AT1161" s="281"/>
      <c r="AU1161" s="436"/>
      <c r="AV1161" s="472"/>
    </row>
    <row r="1162" spans="1:48" s="471" customFormat="1" ht="15" customHeight="1">
      <c r="A1162" s="278"/>
      <c r="B1162" s="279"/>
      <c r="C1162" s="289" t="s">
        <v>1211</v>
      </c>
      <c r="D1162" s="405" t="s">
        <v>3678</v>
      </c>
      <c r="E1162" s="300"/>
      <c r="F1162" s="501"/>
      <c r="G1162" s="501">
        <v>2022</v>
      </c>
      <c r="H1162" s="382"/>
      <c r="I1162" s="382" t="s">
        <v>1286</v>
      </c>
      <c r="J1162" s="502"/>
      <c r="K1162" s="501" t="s">
        <v>5075</v>
      </c>
      <c r="L1162" s="502" t="s">
        <v>1120</v>
      </c>
      <c r="M1162" s="502">
        <v>44645</v>
      </c>
      <c r="N1162" s="502">
        <v>44818</v>
      </c>
      <c r="O1162" s="502"/>
      <c r="P1162" s="502"/>
      <c r="Q1162" s="501"/>
      <c r="R1162" s="501"/>
      <c r="S1162" s="501" t="s">
        <v>1102</v>
      </c>
      <c r="T1162" s="505">
        <v>60</v>
      </c>
      <c r="U1162" s="403"/>
      <c r="V1162" s="501" t="s">
        <v>1018</v>
      </c>
      <c r="W1162" s="505">
        <v>360</v>
      </c>
      <c r="X1162" s="403">
        <v>728</v>
      </c>
      <c r="Y1162" s="477">
        <f t="shared" si="145"/>
        <v>262080</v>
      </c>
      <c r="Z1162" s="478">
        <v>0.8</v>
      </c>
      <c r="AA1162" s="479">
        <f t="shared" si="146"/>
        <v>209664</v>
      </c>
      <c r="AB1162" s="480"/>
      <c r="AC1162" s="481"/>
      <c r="AD1162" s="490"/>
      <c r="AE1162" s="482"/>
      <c r="AF1162" s="493">
        <f t="shared" si="147"/>
        <v>209664</v>
      </c>
      <c r="AG1162" s="474" t="s">
        <v>47</v>
      </c>
      <c r="AH1162" s="474"/>
      <c r="AI1162" s="474">
        <v>45</v>
      </c>
      <c r="AJ1162" s="474" t="s">
        <v>1128</v>
      </c>
      <c r="AK1162" s="474" t="s">
        <v>1085</v>
      </c>
      <c r="AL1162" s="494">
        <v>8505</v>
      </c>
      <c r="AM1162" s="474" t="s">
        <v>52</v>
      </c>
      <c r="AN1162" s="474"/>
      <c r="AO1162" s="474"/>
      <c r="AP1162" s="482"/>
      <c r="AQ1162" s="482" t="s">
        <v>37</v>
      </c>
      <c r="AR1162" s="474"/>
      <c r="AS1162" s="472"/>
      <c r="AT1162" s="281"/>
      <c r="AU1162" s="436"/>
      <c r="AV1162" s="472"/>
    </row>
    <row r="1163" spans="1:48" s="471" customFormat="1" ht="15" customHeight="1">
      <c r="A1163" s="278"/>
      <c r="B1163" s="279"/>
      <c r="C1163" s="289" t="s">
        <v>1211</v>
      </c>
      <c r="D1163" s="405" t="s">
        <v>3678</v>
      </c>
      <c r="E1163" s="300"/>
      <c r="F1163" s="501"/>
      <c r="G1163" s="501">
        <v>2022</v>
      </c>
      <c r="H1163" s="382"/>
      <c r="I1163" s="382" t="s">
        <v>1286</v>
      </c>
      <c r="J1163" s="502"/>
      <c r="K1163" s="501" t="s">
        <v>1142</v>
      </c>
      <c r="L1163" s="502" t="s">
        <v>1120</v>
      </c>
      <c r="M1163" s="502">
        <v>44645</v>
      </c>
      <c r="N1163" s="502">
        <v>44755</v>
      </c>
      <c r="O1163" s="502"/>
      <c r="P1163" s="502"/>
      <c r="Q1163" s="501"/>
      <c r="R1163" s="501"/>
      <c r="S1163" s="501" t="s">
        <v>1102</v>
      </c>
      <c r="T1163" s="505">
        <v>60</v>
      </c>
      <c r="U1163" s="403"/>
      <c r="V1163" s="501" t="s">
        <v>973</v>
      </c>
      <c r="W1163" s="505">
        <v>400</v>
      </c>
      <c r="X1163" s="403">
        <v>832</v>
      </c>
      <c r="Y1163" s="477">
        <f t="shared" si="145"/>
        <v>332800</v>
      </c>
      <c r="Z1163" s="478">
        <v>0.55000000000000004</v>
      </c>
      <c r="AA1163" s="479">
        <f t="shared" si="146"/>
        <v>183040.00000000003</v>
      </c>
      <c r="AB1163" s="480"/>
      <c r="AC1163" s="481"/>
      <c r="AD1163" s="490"/>
      <c r="AE1163" s="482"/>
      <c r="AF1163" s="493">
        <f t="shared" si="147"/>
        <v>183040.00000000003</v>
      </c>
      <c r="AG1163" s="474" t="s">
        <v>47</v>
      </c>
      <c r="AH1163" s="474"/>
      <c r="AI1163" s="474">
        <v>45</v>
      </c>
      <c r="AJ1163" s="474" t="s">
        <v>1143</v>
      </c>
      <c r="AK1163" s="474" t="s">
        <v>1144</v>
      </c>
      <c r="AL1163" s="494">
        <v>74074</v>
      </c>
      <c r="AM1163" s="474" t="s">
        <v>52</v>
      </c>
      <c r="AN1163" s="474"/>
      <c r="AO1163" s="474"/>
      <c r="AP1163" s="482"/>
      <c r="AQ1163" s="482" t="s">
        <v>37</v>
      </c>
      <c r="AR1163" s="474"/>
      <c r="AS1163" s="472"/>
      <c r="AT1163" s="281"/>
      <c r="AU1163" s="436"/>
      <c r="AV1163" s="472"/>
    </row>
    <row r="1164" spans="1:48" s="471" customFormat="1" ht="15" customHeight="1">
      <c r="A1164" s="278"/>
      <c r="B1164" s="279"/>
      <c r="C1164" s="289" t="s">
        <v>1211</v>
      </c>
      <c r="D1164" s="405" t="s">
        <v>3678</v>
      </c>
      <c r="E1164" s="300"/>
      <c r="F1164" s="501"/>
      <c r="G1164" s="501">
        <v>2022</v>
      </c>
      <c r="H1164" s="501"/>
      <c r="I1164" s="382" t="s">
        <v>1286</v>
      </c>
      <c r="J1164" s="502"/>
      <c r="K1164" s="501" t="s">
        <v>1142</v>
      </c>
      <c r="L1164" s="502" t="s">
        <v>1120</v>
      </c>
      <c r="M1164" s="502">
        <v>44645</v>
      </c>
      <c r="N1164" s="502">
        <v>44783</v>
      </c>
      <c r="O1164" s="502"/>
      <c r="P1164" s="502"/>
      <c r="Q1164" s="501"/>
      <c r="R1164" s="501"/>
      <c r="S1164" s="501" t="s">
        <v>1102</v>
      </c>
      <c r="T1164" s="505">
        <v>60</v>
      </c>
      <c r="U1164" s="403"/>
      <c r="V1164" s="501" t="s">
        <v>986</v>
      </c>
      <c r="W1164" s="505">
        <v>360</v>
      </c>
      <c r="X1164" s="403">
        <v>768</v>
      </c>
      <c r="Y1164" s="477">
        <f t="shared" si="145"/>
        <v>276480</v>
      </c>
      <c r="Z1164" s="478">
        <v>0.53</v>
      </c>
      <c r="AA1164" s="479">
        <f t="shared" si="146"/>
        <v>146534.39999999999</v>
      </c>
      <c r="AB1164" s="386"/>
      <c r="AC1164" s="481"/>
      <c r="AD1164" s="474"/>
      <c r="AE1164" s="482"/>
      <c r="AF1164" s="493">
        <f t="shared" si="147"/>
        <v>146534.39999999999</v>
      </c>
      <c r="AG1164" s="474" t="s">
        <v>47</v>
      </c>
      <c r="AH1164" s="447"/>
      <c r="AI1164" s="474">
        <v>45</v>
      </c>
      <c r="AJ1164" s="474" t="s">
        <v>1143</v>
      </c>
      <c r="AK1164" s="474" t="s">
        <v>1144</v>
      </c>
      <c r="AL1164" s="494">
        <v>74074</v>
      </c>
      <c r="AM1164" s="474" t="s">
        <v>52</v>
      </c>
      <c r="AN1164" s="474"/>
      <c r="AO1164" s="474"/>
      <c r="AP1164" s="474"/>
      <c r="AQ1164" s="482" t="s">
        <v>37</v>
      </c>
      <c r="AR1164" s="474"/>
      <c r="AS1164" s="387"/>
      <c r="AT1164" s="356"/>
      <c r="AU1164" s="387"/>
      <c r="AV1164" s="472"/>
    </row>
    <row r="1165" spans="1:48" s="471" customFormat="1" ht="15" customHeight="1">
      <c r="A1165" s="278"/>
      <c r="B1165" s="279"/>
      <c r="C1165" s="289" t="s">
        <v>1211</v>
      </c>
      <c r="D1165" s="405" t="s">
        <v>3678</v>
      </c>
      <c r="E1165" s="300"/>
      <c r="F1165" s="501"/>
      <c r="G1165" s="501">
        <v>2022</v>
      </c>
      <c r="H1165" s="382"/>
      <c r="I1165" s="382" t="s">
        <v>1286</v>
      </c>
      <c r="J1165" s="502"/>
      <c r="K1165" s="501" t="s">
        <v>1142</v>
      </c>
      <c r="L1165" s="502" t="s">
        <v>1120</v>
      </c>
      <c r="M1165" s="502">
        <v>44645</v>
      </c>
      <c r="N1165" s="502">
        <v>44811</v>
      </c>
      <c r="O1165" s="502"/>
      <c r="P1165" s="502"/>
      <c r="Q1165" s="501"/>
      <c r="R1165" s="501"/>
      <c r="S1165" s="501" t="s">
        <v>1102</v>
      </c>
      <c r="T1165" s="505">
        <v>60</v>
      </c>
      <c r="U1165" s="403"/>
      <c r="V1165" s="501" t="s">
        <v>973</v>
      </c>
      <c r="W1165" s="505">
        <v>400</v>
      </c>
      <c r="X1165" s="403">
        <v>832</v>
      </c>
      <c r="Y1165" s="477">
        <f t="shared" si="145"/>
        <v>332800</v>
      </c>
      <c r="Z1165" s="478">
        <v>0.55000000000000004</v>
      </c>
      <c r="AA1165" s="479">
        <f t="shared" si="146"/>
        <v>183040.00000000003</v>
      </c>
      <c r="AB1165" s="480"/>
      <c r="AC1165" s="481"/>
      <c r="AD1165" s="490"/>
      <c r="AE1165" s="482"/>
      <c r="AF1165" s="493">
        <f t="shared" si="147"/>
        <v>183040.00000000003</v>
      </c>
      <c r="AG1165" s="474" t="s">
        <v>47</v>
      </c>
      <c r="AH1165" s="474"/>
      <c r="AI1165" s="474">
        <v>45</v>
      </c>
      <c r="AJ1165" s="474" t="s">
        <v>1143</v>
      </c>
      <c r="AK1165" s="474" t="s">
        <v>1144</v>
      </c>
      <c r="AL1165" s="494">
        <v>74074</v>
      </c>
      <c r="AM1165" s="474" t="s">
        <v>52</v>
      </c>
      <c r="AN1165" s="474"/>
      <c r="AO1165" s="474"/>
      <c r="AP1165" s="482"/>
      <c r="AQ1165" s="482" t="s">
        <v>37</v>
      </c>
      <c r="AR1165" s="474"/>
      <c r="AS1165" s="472"/>
      <c r="AT1165" s="281"/>
      <c r="AU1165" s="436"/>
      <c r="AV1165" s="472"/>
    </row>
    <row r="1166" spans="1:48" s="471" customFormat="1" ht="15" customHeight="1">
      <c r="A1166" s="278"/>
      <c r="B1166" s="279"/>
      <c r="C1166" s="289" t="s">
        <v>1211</v>
      </c>
      <c r="D1166" s="405" t="s">
        <v>3678</v>
      </c>
      <c r="E1166" s="300"/>
      <c r="F1166" s="501"/>
      <c r="G1166" s="501">
        <v>2022</v>
      </c>
      <c r="H1166" s="382"/>
      <c r="I1166" s="382" t="s">
        <v>1286</v>
      </c>
      <c r="J1166" s="502"/>
      <c r="K1166" s="501" t="s">
        <v>1142</v>
      </c>
      <c r="L1166" s="502" t="s">
        <v>1120</v>
      </c>
      <c r="M1166" s="502">
        <v>44645</v>
      </c>
      <c r="N1166" s="502">
        <v>44820</v>
      </c>
      <c r="O1166" s="502"/>
      <c r="P1166" s="502"/>
      <c r="Q1166" s="501"/>
      <c r="R1166" s="501"/>
      <c r="S1166" s="501" t="s">
        <v>1102</v>
      </c>
      <c r="T1166" s="505">
        <v>60</v>
      </c>
      <c r="U1166" s="403"/>
      <c r="V1166" s="501" t="s">
        <v>1018</v>
      </c>
      <c r="W1166" s="505">
        <v>360</v>
      </c>
      <c r="X1166" s="403">
        <v>728</v>
      </c>
      <c r="Y1166" s="477">
        <f t="shared" si="145"/>
        <v>262080</v>
      </c>
      <c r="Z1166" s="478">
        <v>0.8</v>
      </c>
      <c r="AA1166" s="479">
        <f t="shared" si="146"/>
        <v>209664</v>
      </c>
      <c r="AB1166" s="480"/>
      <c r="AC1166" s="481"/>
      <c r="AD1166" s="490"/>
      <c r="AE1166" s="482"/>
      <c r="AF1166" s="493">
        <f t="shared" si="147"/>
        <v>209664</v>
      </c>
      <c r="AG1166" s="474" t="s">
        <v>47</v>
      </c>
      <c r="AH1166" s="474"/>
      <c r="AI1166" s="474">
        <v>45</v>
      </c>
      <c r="AJ1166" s="474" t="s">
        <v>1143</v>
      </c>
      <c r="AK1166" s="474" t="s">
        <v>1144</v>
      </c>
      <c r="AL1166" s="494">
        <v>74074</v>
      </c>
      <c r="AM1166" s="474" t="s">
        <v>52</v>
      </c>
      <c r="AN1166" s="474"/>
      <c r="AO1166" s="474"/>
      <c r="AP1166" s="482"/>
      <c r="AQ1166" s="482" t="s">
        <v>37</v>
      </c>
      <c r="AR1166" s="474"/>
      <c r="AS1166" s="472"/>
      <c r="AT1166" s="281"/>
      <c r="AU1166" s="436"/>
      <c r="AV1166" s="472"/>
    </row>
    <row r="1167" spans="1:48" s="471" customFormat="1" ht="15" customHeight="1">
      <c r="A1167" s="278"/>
      <c r="B1167" s="279"/>
      <c r="C1167" s="289" t="s">
        <v>1211</v>
      </c>
      <c r="D1167" s="405" t="s">
        <v>3678</v>
      </c>
      <c r="E1167" s="300"/>
      <c r="F1167" s="501"/>
      <c r="G1167" s="501">
        <v>2022</v>
      </c>
      <c r="H1167" s="382"/>
      <c r="I1167" s="382" t="s">
        <v>1286</v>
      </c>
      <c r="J1167" s="502"/>
      <c r="K1167" s="501" t="s">
        <v>1145</v>
      </c>
      <c r="L1167" s="502" t="s">
        <v>1120</v>
      </c>
      <c r="M1167" s="502">
        <v>44645</v>
      </c>
      <c r="N1167" s="502">
        <v>44755</v>
      </c>
      <c r="O1167" s="502"/>
      <c r="P1167" s="502"/>
      <c r="Q1167" s="501"/>
      <c r="R1167" s="501"/>
      <c r="S1167" s="501" t="s">
        <v>1102</v>
      </c>
      <c r="T1167" s="505">
        <v>60</v>
      </c>
      <c r="U1167" s="403"/>
      <c r="V1167" s="501" t="s">
        <v>1018</v>
      </c>
      <c r="W1167" s="505">
        <v>360</v>
      </c>
      <c r="X1167" s="403">
        <v>728</v>
      </c>
      <c r="Y1167" s="477">
        <f t="shared" si="145"/>
        <v>262080</v>
      </c>
      <c r="Z1167" s="478">
        <v>0.8</v>
      </c>
      <c r="AA1167" s="479">
        <f t="shared" si="146"/>
        <v>209664</v>
      </c>
      <c r="AB1167" s="480"/>
      <c r="AC1167" s="481"/>
      <c r="AD1167" s="490"/>
      <c r="AE1167" s="482"/>
      <c r="AF1167" s="493">
        <f t="shared" si="147"/>
        <v>209664</v>
      </c>
      <c r="AG1167" s="474" t="s">
        <v>47</v>
      </c>
      <c r="AH1167" s="474"/>
      <c r="AI1167" s="474">
        <v>45</v>
      </c>
      <c r="AJ1167" s="474" t="s">
        <v>1146</v>
      </c>
      <c r="AK1167" s="474" t="s">
        <v>50</v>
      </c>
      <c r="AL1167" s="494">
        <v>94577</v>
      </c>
      <c r="AM1167" s="474" t="s">
        <v>52</v>
      </c>
      <c r="AN1167" s="474"/>
      <c r="AO1167" s="474"/>
      <c r="AP1167" s="482"/>
      <c r="AQ1167" s="482" t="s">
        <v>37</v>
      </c>
      <c r="AR1167" s="474"/>
      <c r="AS1167" s="472"/>
      <c r="AT1167" s="281"/>
      <c r="AU1167" s="436"/>
      <c r="AV1167" s="472"/>
    </row>
    <row r="1168" spans="1:48" s="471" customFormat="1" ht="15" customHeight="1">
      <c r="A1168" s="278"/>
      <c r="B1168" s="279"/>
      <c r="C1168" s="289" t="s">
        <v>1211</v>
      </c>
      <c r="D1168" s="405" t="s">
        <v>3678</v>
      </c>
      <c r="E1168" s="300"/>
      <c r="F1168" s="501"/>
      <c r="G1168" s="501">
        <v>2022</v>
      </c>
      <c r="H1168" s="501"/>
      <c r="I1168" s="382" t="s">
        <v>1286</v>
      </c>
      <c r="J1168" s="502"/>
      <c r="K1168" s="501" t="s">
        <v>1145</v>
      </c>
      <c r="L1168" s="502" t="s">
        <v>1120</v>
      </c>
      <c r="M1168" s="502">
        <v>44645</v>
      </c>
      <c r="N1168" s="502">
        <v>44783</v>
      </c>
      <c r="O1168" s="502"/>
      <c r="P1168" s="502"/>
      <c r="Q1168" s="501"/>
      <c r="R1168" s="501"/>
      <c r="S1168" s="501" t="s">
        <v>1102</v>
      </c>
      <c r="T1168" s="505">
        <v>60</v>
      </c>
      <c r="U1168" s="403"/>
      <c r="V1168" s="501" t="s">
        <v>986</v>
      </c>
      <c r="W1168" s="505">
        <v>360</v>
      </c>
      <c r="X1168" s="403">
        <v>768</v>
      </c>
      <c r="Y1168" s="477">
        <f t="shared" ref="Y1168:Y1231" si="148">W1168*X1168</f>
        <v>276480</v>
      </c>
      <c r="Z1168" s="478">
        <v>0.53</v>
      </c>
      <c r="AA1168" s="479">
        <f t="shared" si="146"/>
        <v>146534.39999999999</v>
      </c>
      <c r="AB1168" s="386"/>
      <c r="AC1168" s="481"/>
      <c r="AD1168" s="474"/>
      <c r="AE1168" s="482"/>
      <c r="AF1168" s="493">
        <f t="shared" si="147"/>
        <v>146534.39999999999</v>
      </c>
      <c r="AG1168" s="474" t="s">
        <v>47</v>
      </c>
      <c r="AH1168" s="447"/>
      <c r="AI1168" s="474">
        <v>45</v>
      </c>
      <c r="AJ1168" s="474" t="s">
        <v>1146</v>
      </c>
      <c r="AK1168" s="474" t="s">
        <v>50</v>
      </c>
      <c r="AL1168" s="494">
        <v>94577</v>
      </c>
      <c r="AM1168" s="474" t="s">
        <v>52</v>
      </c>
      <c r="AN1168" s="474"/>
      <c r="AO1168" s="474"/>
      <c r="AP1168" s="474"/>
      <c r="AQ1168" s="482" t="s">
        <v>37</v>
      </c>
      <c r="AR1168" s="474"/>
      <c r="AS1168" s="387"/>
      <c r="AT1168" s="356"/>
      <c r="AU1168" s="387"/>
      <c r="AV1168" s="472"/>
    </row>
    <row r="1169" spans="1:48" s="471" customFormat="1" ht="15" customHeight="1">
      <c r="A1169" s="278"/>
      <c r="B1169" s="279"/>
      <c r="C1169" s="289" t="s">
        <v>1211</v>
      </c>
      <c r="D1169" s="405" t="s">
        <v>3678</v>
      </c>
      <c r="E1169" s="300"/>
      <c r="F1169" s="501"/>
      <c r="G1169" s="501">
        <v>2022</v>
      </c>
      <c r="H1169" s="501"/>
      <c r="I1169" s="382" t="s">
        <v>1286</v>
      </c>
      <c r="J1169" s="502"/>
      <c r="K1169" s="501" t="s">
        <v>1145</v>
      </c>
      <c r="L1169" s="502" t="s">
        <v>1120</v>
      </c>
      <c r="M1169" s="502">
        <v>44645</v>
      </c>
      <c r="N1169" s="502">
        <v>44811</v>
      </c>
      <c r="O1169" s="502"/>
      <c r="P1169" s="502"/>
      <c r="Q1169" s="501"/>
      <c r="R1169" s="501"/>
      <c r="S1169" s="501" t="s">
        <v>1102</v>
      </c>
      <c r="T1169" s="505">
        <v>60</v>
      </c>
      <c r="U1169" s="403"/>
      <c r="V1169" s="501" t="s">
        <v>973</v>
      </c>
      <c r="W1169" s="505">
        <v>400</v>
      </c>
      <c r="X1169" s="403">
        <v>832</v>
      </c>
      <c r="Y1169" s="477">
        <f t="shared" si="148"/>
        <v>332800</v>
      </c>
      <c r="Z1169" s="478">
        <v>0.55000000000000004</v>
      </c>
      <c r="AA1169" s="479">
        <f t="shared" si="146"/>
        <v>183040.00000000003</v>
      </c>
      <c r="AB1169" s="386"/>
      <c r="AC1169" s="481"/>
      <c r="AD1169" s="474"/>
      <c r="AE1169" s="482"/>
      <c r="AF1169" s="493">
        <f t="shared" si="147"/>
        <v>183040.00000000003</v>
      </c>
      <c r="AG1169" s="474" t="s">
        <v>47</v>
      </c>
      <c r="AH1169" s="447"/>
      <c r="AI1169" s="474">
        <v>45</v>
      </c>
      <c r="AJ1169" s="474" t="s">
        <v>1146</v>
      </c>
      <c r="AK1169" s="474" t="s">
        <v>50</v>
      </c>
      <c r="AL1169" s="494">
        <v>94577</v>
      </c>
      <c r="AM1169" s="474" t="s">
        <v>52</v>
      </c>
      <c r="AN1169" s="474"/>
      <c r="AO1169" s="474"/>
      <c r="AP1169" s="474"/>
      <c r="AQ1169" s="482" t="s">
        <v>37</v>
      </c>
      <c r="AR1169" s="474"/>
      <c r="AS1169" s="387"/>
      <c r="AT1169" s="356"/>
      <c r="AU1169" s="387"/>
      <c r="AV1169" s="472"/>
    </row>
    <row r="1170" spans="1:48" s="471" customFormat="1" ht="15" customHeight="1">
      <c r="A1170" s="292"/>
      <c r="B1170" s="289"/>
      <c r="C1170" s="289" t="s">
        <v>1211</v>
      </c>
      <c r="D1170" s="405" t="s">
        <v>3678</v>
      </c>
      <c r="E1170" s="300"/>
      <c r="F1170" s="501"/>
      <c r="G1170" s="501">
        <v>2022</v>
      </c>
      <c r="H1170" s="382"/>
      <c r="I1170" s="382" t="s">
        <v>1286</v>
      </c>
      <c r="J1170" s="502"/>
      <c r="K1170" s="501" t="s">
        <v>5076</v>
      </c>
      <c r="L1170" s="502" t="s">
        <v>1120</v>
      </c>
      <c r="M1170" s="502">
        <v>44645</v>
      </c>
      <c r="N1170" s="502">
        <v>44753</v>
      </c>
      <c r="O1170" s="502"/>
      <c r="P1170" s="502"/>
      <c r="Q1170" s="501"/>
      <c r="R1170" s="501"/>
      <c r="S1170" s="501" t="s">
        <v>1102</v>
      </c>
      <c r="T1170" s="505">
        <v>60</v>
      </c>
      <c r="U1170" s="403"/>
      <c r="V1170" s="501" t="s">
        <v>986</v>
      </c>
      <c r="W1170" s="505">
        <v>360</v>
      </c>
      <c r="X1170" s="403">
        <v>768</v>
      </c>
      <c r="Y1170" s="477">
        <f t="shared" si="148"/>
        <v>276480</v>
      </c>
      <c r="Z1170" s="478">
        <v>0.53</v>
      </c>
      <c r="AA1170" s="480">
        <f t="shared" si="146"/>
        <v>146534.39999999999</v>
      </c>
      <c r="AB1170" s="480"/>
      <c r="AC1170" s="481">
        <f>AB1170*Y1170</f>
        <v>0</v>
      </c>
      <c r="AD1170" s="490"/>
      <c r="AE1170" s="482"/>
      <c r="AF1170" s="493">
        <f t="shared" si="147"/>
        <v>146534.39999999999</v>
      </c>
      <c r="AG1170" s="474" t="s">
        <v>47</v>
      </c>
      <c r="AH1170" s="474"/>
      <c r="AI1170" s="474">
        <v>45</v>
      </c>
      <c r="AJ1170" s="474" t="s">
        <v>1121</v>
      </c>
      <c r="AK1170" s="474" t="s">
        <v>1117</v>
      </c>
      <c r="AL1170" s="494">
        <v>60433</v>
      </c>
      <c r="AM1170" s="474" t="s">
        <v>52</v>
      </c>
      <c r="AN1170" s="474"/>
      <c r="AO1170" s="474"/>
      <c r="AP1170" s="482"/>
      <c r="AQ1170" s="482" t="s">
        <v>37</v>
      </c>
      <c r="AR1170" s="474"/>
      <c r="AS1170" s="488"/>
      <c r="AT1170" s="294"/>
      <c r="AU1170" s="293"/>
      <c r="AV1170" s="488"/>
    </row>
    <row r="1171" spans="1:48" s="471" customFormat="1" ht="15" customHeight="1">
      <c r="A1171" s="292"/>
      <c r="B1171" s="289"/>
      <c r="C1171" s="289"/>
      <c r="D1171" s="405" t="s">
        <v>3678</v>
      </c>
      <c r="E1171" s="300"/>
      <c r="F1171" s="501"/>
      <c r="G1171" s="501">
        <v>2022</v>
      </c>
      <c r="H1171" s="382"/>
      <c r="I1171" s="382" t="s">
        <v>1286</v>
      </c>
      <c r="J1171" s="502"/>
      <c r="K1171" s="501" t="s">
        <v>5076</v>
      </c>
      <c r="L1171" s="502" t="s">
        <v>1120</v>
      </c>
      <c r="M1171" s="502">
        <v>44645</v>
      </c>
      <c r="N1171" s="502">
        <v>44762</v>
      </c>
      <c r="O1171" s="502"/>
      <c r="P1171" s="502"/>
      <c r="Q1171" s="501"/>
      <c r="R1171" s="501"/>
      <c r="S1171" s="501" t="s">
        <v>1102</v>
      </c>
      <c r="T1171" s="505">
        <v>60</v>
      </c>
      <c r="U1171" s="403"/>
      <c r="V1171" s="501" t="s">
        <v>973</v>
      </c>
      <c r="W1171" s="505">
        <v>400</v>
      </c>
      <c r="X1171" s="403">
        <v>832</v>
      </c>
      <c r="Y1171" s="477">
        <f t="shared" si="148"/>
        <v>332800</v>
      </c>
      <c r="Z1171" s="478">
        <v>0.55000000000000004</v>
      </c>
      <c r="AA1171" s="480">
        <f t="shared" si="146"/>
        <v>183040.00000000003</v>
      </c>
      <c r="AB1171" s="480"/>
      <c r="AC1171" s="481">
        <f>AB1171*Y1171</f>
        <v>0</v>
      </c>
      <c r="AD1171" s="490"/>
      <c r="AE1171" s="482"/>
      <c r="AF1171" s="493">
        <f t="shared" si="147"/>
        <v>183040.00000000003</v>
      </c>
      <c r="AG1171" s="474" t="s">
        <v>47</v>
      </c>
      <c r="AH1171" s="474"/>
      <c r="AI1171" s="474">
        <v>45</v>
      </c>
      <c r="AJ1171" s="474" t="s">
        <v>1121</v>
      </c>
      <c r="AK1171" s="474" t="s">
        <v>1117</v>
      </c>
      <c r="AL1171" s="494">
        <v>60433</v>
      </c>
      <c r="AM1171" s="474" t="s">
        <v>52</v>
      </c>
      <c r="AN1171" s="474"/>
      <c r="AO1171" s="474"/>
      <c r="AP1171" s="482"/>
      <c r="AQ1171" s="482" t="s">
        <v>37</v>
      </c>
      <c r="AR1171" s="474"/>
      <c r="AS1171" s="488"/>
      <c r="AT1171" s="294"/>
      <c r="AU1171" s="293"/>
      <c r="AV1171" s="488"/>
    </row>
    <row r="1172" spans="1:48" s="471" customFormat="1" ht="15" customHeight="1">
      <c r="A1172" s="278"/>
      <c r="B1172" s="279"/>
      <c r="C1172" s="289" t="s">
        <v>1211</v>
      </c>
      <c r="D1172" s="405" t="s">
        <v>3678</v>
      </c>
      <c r="E1172" s="300"/>
      <c r="F1172" s="501"/>
      <c r="G1172" s="501">
        <v>2022</v>
      </c>
      <c r="H1172" s="382"/>
      <c r="I1172" s="382" t="s">
        <v>1286</v>
      </c>
      <c r="J1172" s="502"/>
      <c r="K1172" s="501" t="s">
        <v>5076</v>
      </c>
      <c r="L1172" s="502" t="s">
        <v>1120</v>
      </c>
      <c r="M1172" s="502">
        <v>44645</v>
      </c>
      <c r="N1172" s="502">
        <v>44783</v>
      </c>
      <c r="O1172" s="502"/>
      <c r="P1172" s="502"/>
      <c r="Q1172" s="501"/>
      <c r="R1172" s="501"/>
      <c r="S1172" s="501" t="s">
        <v>1102</v>
      </c>
      <c r="T1172" s="505">
        <v>60</v>
      </c>
      <c r="U1172" s="403"/>
      <c r="V1172" s="501" t="s">
        <v>986</v>
      </c>
      <c r="W1172" s="505">
        <v>360</v>
      </c>
      <c r="X1172" s="403">
        <v>768</v>
      </c>
      <c r="Y1172" s="477">
        <f t="shared" si="148"/>
        <v>276480</v>
      </c>
      <c r="Z1172" s="478">
        <v>0.53</v>
      </c>
      <c r="AA1172" s="479">
        <f t="shared" si="146"/>
        <v>146534.39999999999</v>
      </c>
      <c r="AB1172" s="480"/>
      <c r="AC1172" s="481">
        <f>AB1172*Y1172</f>
        <v>0</v>
      </c>
      <c r="AD1172" s="490"/>
      <c r="AE1172" s="482"/>
      <c r="AF1172" s="493">
        <f t="shared" si="147"/>
        <v>146534.39999999999</v>
      </c>
      <c r="AG1172" s="474" t="s">
        <v>47</v>
      </c>
      <c r="AH1172" s="474"/>
      <c r="AI1172" s="474">
        <v>45</v>
      </c>
      <c r="AJ1172" s="474" t="s">
        <v>1121</v>
      </c>
      <c r="AK1172" s="474" t="s">
        <v>1117</v>
      </c>
      <c r="AL1172" s="494">
        <v>60433</v>
      </c>
      <c r="AM1172" s="474" t="s">
        <v>52</v>
      </c>
      <c r="AN1172" s="474"/>
      <c r="AO1172" s="474"/>
      <c r="AP1172" s="482"/>
      <c r="AQ1172" s="482" t="s">
        <v>37</v>
      </c>
      <c r="AR1172" s="474"/>
      <c r="AS1172" s="472"/>
      <c r="AT1172" s="281"/>
      <c r="AU1172" s="436"/>
      <c r="AV1172" s="472"/>
    </row>
    <row r="1173" spans="1:48" s="471" customFormat="1" ht="15" customHeight="1">
      <c r="A1173" s="278"/>
      <c r="B1173" s="279"/>
      <c r="C1173" s="289" t="s">
        <v>1211</v>
      </c>
      <c r="D1173" s="405" t="s">
        <v>3678</v>
      </c>
      <c r="E1173" s="300"/>
      <c r="F1173" s="501"/>
      <c r="G1173" s="501">
        <v>2022</v>
      </c>
      <c r="H1173" s="382"/>
      <c r="I1173" s="382" t="s">
        <v>1286</v>
      </c>
      <c r="J1173" s="502"/>
      <c r="K1173" s="501" t="s">
        <v>5076</v>
      </c>
      <c r="L1173" s="502" t="s">
        <v>1120</v>
      </c>
      <c r="M1173" s="502">
        <v>44645</v>
      </c>
      <c r="N1173" s="502">
        <v>44792</v>
      </c>
      <c r="O1173" s="502"/>
      <c r="P1173" s="502"/>
      <c r="Q1173" s="501"/>
      <c r="R1173" s="501"/>
      <c r="S1173" s="501" t="s">
        <v>1102</v>
      </c>
      <c r="T1173" s="505">
        <v>60</v>
      </c>
      <c r="U1173" s="403"/>
      <c r="V1173" s="501" t="s">
        <v>973</v>
      </c>
      <c r="W1173" s="505">
        <v>400</v>
      </c>
      <c r="X1173" s="403">
        <v>832</v>
      </c>
      <c r="Y1173" s="477">
        <f t="shared" si="148"/>
        <v>332800</v>
      </c>
      <c r="Z1173" s="478">
        <v>0.55000000000000004</v>
      </c>
      <c r="AA1173" s="479">
        <f t="shared" ref="AA1173:AA1204" si="149">Z1173*Y1173</f>
        <v>183040.00000000003</v>
      </c>
      <c r="AB1173" s="480"/>
      <c r="AC1173" s="481">
        <f>AB1173*Y1173</f>
        <v>0</v>
      </c>
      <c r="AD1173" s="490"/>
      <c r="AE1173" s="482"/>
      <c r="AF1173" s="493">
        <f t="shared" si="147"/>
        <v>183040.00000000003</v>
      </c>
      <c r="AG1173" s="474" t="s">
        <v>47</v>
      </c>
      <c r="AH1173" s="474"/>
      <c r="AI1173" s="474">
        <v>45</v>
      </c>
      <c r="AJ1173" s="474" t="s">
        <v>1121</v>
      </c>
      <c r="AK1173" s="474" t="s">
        <v>1117</v>
      </c>
      <c r="AL1173" s="494">
        <v>60433</v>
      </c>
      <c r="AM1173" s="474" t="s">
        <v>52</v>
      </c>
      <c r="AN1173" s="474"/>
      <c r="AO1173" s="474"/>
      <c r="AP1173" s="482"/>
      <c r="AQ1173" s="482" t="s">
        <v>37</v>
      </c>
      <c r="AR1173" s="474"/>
      <c r="AS1173" s="472"/>
      <c r="AT1173" s="281"/>
      <c r="AU1173" s="436"/>
      <c r="AV1173" s="472"/>
    </row>
    <row r="1174" spans="1:48" s="471" customFormat="1" ht="15" customHeight="1">
      <c r="A1174" s="278"/>
      <c r="B1174" s="279"/>
      <c r="C1174" s="289" t="s">
        <v>1211</v>
      </c>
      <c r="D1174" s="405" t="s">
        <v>3678</v>
      </c>
      <c r="E1174" s="300"/>
      <c r="F1174" s="501"/>
      <c r="G1174" s="501">
        <v>2022</v>
      </c>
      <c r="H1174" s="501"/>
      <c r="I1174" s="382" t="s">
        <v>1286</v>
      </c>
      <c r="J1174" s="502"/>
      <c r="K1174" s="501" t="s">
        <v>5076</v>
      </c>
      <c r="L1174" s="502" t="s">
        <v>1120</v>
      </c>
      <c r="M1174" s="502">
        <v>44645</v>
      </c>
      <c r="N1174" s="502">
        <v>44818</v>
      </c>
      <c r="O1174" s="502"/>
      <c r="P1174" s="502"/>
      <c r="Q1174" s="501"/>
      <c r="R1174" s="501"/>
      <c r="S1174" s="501" t="s">
        <v>1102</v>
      </c>
      <c r="T1174" s="505">
        <v>60</v>
      </c>
      <c r="U1174" s="403"/>
      <c r="V1174" s="501" t="s">
        <v>973</v>
      </c>
      <c r="W1174" s="505">
        <v>400</v>
      </c>
      <c r="X1174" s="403">
        <v>832</v>
      </c>
      <c r="Y1174" s="477">
        <f t="shared" si="148"/>
        <v>332800</v>
      </c>
      <c r="Z1174" s="478">
        <v>0.55000000000000004</v>
      </c>
      <c r="AA1174" s="479">
        <f t="shared" si="149"/>
        <v>183040.00000000003</v>
      </c>
      <c r="AB1174" s="386"/>
      <c r="AC1174" s="481">
        <f>AB1174*Y1174</f>
        <v>0</v>
      </c>
      <c r="AD1174" s="474"/>
      <c r="AE1174" s="482"/>
      <c r="AF1174" s="493">
        <f t="shared" si="147"/>
        <v>183040.00000000003</v>
      </c>
      <c r="AG1174" s="474" t="s">
        <v>47</v>
      </c>
      <c r="AH1174" s="447"/>
      <c r="AI1174" s="474">
        <v>45</v>
      </c>
      <c r="AJ1174" s="474" t="s">
        <v>1121</v>
      </c>
      <c r="AK1174" s="474" t="s">
        <v>1117</v>
      </c>
      <c r="AL1174" s="494">
        <v>60433</v>
      </c>
      <c r="AM1174" s="474" t="s">
        <v>52</v>
      </c>
      <c r="AN1174" s="474"/>
      <c r="AO1174" s="474"/>
      <c r="AP1174" s="474"/>
      <c r="AQ1174" s="482" t="s">
        <v>37</v>
      </c>
      <c r="AR1174" s="474"/>
      <c r="AS1174" s="387"/>
      <c r="AT1174" s="356"/>
      <c r="AU1174" s="387"/>
      <c r="AV1174" s="472"/>
    </row>
    <row r="1175" spans="1:48" s="471" customFormat="1" ht="15" customHeight="1">
      <c r="A1175" s="278"/>
      <c r="B1175" s="279"/>
      <c r="C1175" s="289" t="s">
        <v>1211</v>
      </c>
      <c r="D1175" s="405" t="s">
        <v>3678</v>
      </c>
      <c r="E1175" s="300"/>
      <c r="F1175" s="501"/>
      <c r="G1175" s="501">
        <v>2022</v>
      </c>
      <c r="H1175" s="501"/>
      <c r="I1175" s="382" t="s">
        <v>1286</v>
      </c>
      <c r="J1175" s="502"/>
      <c r="K1175" s="501" t="s">
        <v>5077</v>
      </c>
      <c r="L1175" s="502" t="s">
        <v>1120</v>
      </c>
      <c r="M1175" s="502">
        <v>44616</v>
      </c>
      <c r="N1175" s="502">
        <v>44697</v>
      </c>
      <c r="O1175" s="502"/>
      <c r="P1175" s="502"/>
      <c r="Q1175" s="502"/>
      <c r="R1175" s="502"/>
      <c r="S1175" s="501" t="s">
        <v>1102</v>
      </c>
      <c r="T1175" s="501">
        <v>60</v>
      </c>
      <c r="U1175" s="501"/>
      <c r="V1175" s="501" t="s">
        <v>986</v>
      </c>
      <c r="W1175" s="505">
        <v>360</v>
      </c>
      <c r="X1175" s="403">
        <v>768</v>
      </c>
      <c r="Y1175" s="477">
        <f t="shared" si="148"/>
        <v>276480</v>
      </c>
      <c r="Z1175" s="478">
        <v>0.53</v>
      </c>
      <c r="AA1175" s="479">
        <f t="shared" si="149"/>
        <v>146534.39999999999</v>
      </c>
      <c r="AB1175" s="386"/>
      <c r="AC1175" s="481"/>
      <c r="AD1175" s="474"/>
      <c r="AE1175" s="482"/>
      <c r="AF1175" s="493">
        <f t="shared" si="147"/>
        <v>146534.39999999999</v>
      </c>
      <c r="AG1175" s="474" t="s">
        <v>47</v>
      </c>
      <c r="AH1175" s="447"/>
      <c r="AI1175" s="474">
        <v>45</v>
      </c>
      <c r="AJ1175" s="474" t="s">
        <v>3974</v>
      </c>
      <c r="AK1175" s="474" t="s">
        <v>1096</v>
      </c>
      <c r="AL1175" s="494">
        <v>1583</v>
      </c>
      <c r="AM1175" s="474" t="s">
        <v>52</v>
      </c>
      <c r="AN1175" s="474"/>
      <c r="AO1175" s="474"/>
      <c r="AP1175" s="474"/>
      <c r="AQ1175" s="482" t="s">
        <v>37</v>
      </c>
      <c r="AR1175" s="474"/>
      <c r="AS1175" s="387"/>
      <c r="AT1175" s="356"/>
      <c r="AU1175" s="387"/>
      <c r="AV1175" s="472"/>
    </row>
    <row r="1176" spans="1:48" s="471" customFormat="1" ht="15" customHeight="1">
      <c r="A1176" s="278"/>
      <c r="B1176" s="279"/>
      <c r="C1176" s="289" t="s">
        <v>1211</v>
      </c>
      <c r="D1176" s="405" t="s">
        <v>3678</v>
      </c>
      <c r="E1176" s="300"/>
      <c r="F1176" s="501"/>
      <c r="G1176" s="501">
        <v>2022</v>
      </c>
      <c r="H1176" s="501"/>
      <c r="I1176" s="382" t="s">
        <v>1286</v>
      </c>
      <c r="J1176" s="502"/>
      <c r="K1176" s="501" t="s">
        <v>5077</v>
      </c>
      <c r="L1176" s="502" t="s">
        <v>1120</v>
      </c>
      <c r="M1176" s="502">
        <v>44616</v>
      </c>
      <c r="N1176" s="502">
        <v>44697</v>
      </c>
      <c r="O1176" s="502"/>
      <c r="P1176" s="502"/>
      <c r="Q1176" s="502"/>
      <c r="R1176" s="502"/>
      <c r="S1176" s="501" t="s">
        <v>1102</v>
      </c>
      <c r="T1176" s="501">
        <v>60</v>
      </c>
      <c r="U1176" s="501"/>
      <c r="V1176" s="501" t="s">
        <v>986</v>
      </c>
      <c r="W1176" s="505">
        <v>360</v>
      </c>
      <c r="X1176" s="403">
        <v>768</v>
      </c>
      <c r="Y1176" s="477">
        <f t="shared" si="148"/>
        <v>276480</v>
      </c>
      <c r="Z1176" s="478">
        <v>0.53</v>
      </c>
      <c r="AA1176" s="479">
        <f t="shared" si="149"/>
        <v>146534.39999999999</v>
      </c>
      <c r="AB1176" s="386"/>
      <c r="AC1176" s="481"/>
      <c r="AD1176" s="474"/>
      <c r="AE1176" s="482"/>
      <c r="AF1176" s="493">
        <f t="shared" si="147"/>
        <v>146534.39999999999</v>
      </c>
      <c r="AG1176" s="474" t="s">
        <v>47</v>
      </c>
      <c r="AH1176" s="447"/>
      <c r="AI1176" s="474">
        <v>45</v>
      </c>
      <c r="AJ1176" s="474" t="s">
        <v>3974</v>
      </c>
      <c r="AK1176" s="474" t="s">
        <v>1096</v>
      </c>
      <c r="AL1176" s="494">
        <v>1583</v>
      </c>
      <c r="AM1176" s="474" t="s">
        <v>52</v>
      </c>
      <c r="AN1176" s="474"/>
      <c r="AO1176" s="474"/>
      <c r="AP1176" s="474"/>
      <c r="AQ1176" s="482" t="s">
        <v>37</v>
      </c>
      <c r="AR1176" s="474"/>
      <c r="AS1176" s="387"/>
      <c r="AT1176" s="356"/>
      <c r="AU1176" s="387"/>
      <c r="AV1176" s="472"/>
    </row>
    <row r="1177" spans="1:48" s="471" customFormat="1" ht="15" customHeight="1">
      <c r="A1177" s="278"/>
      <c r="B1177" s="279"/>
      <c r="C1177" s="289" t="s">
        <v>1211</v>
      </c>
      <c r="D1177" s="405" t="s">
        <v>3678</v>
      </c>
      <c r="E1177" s="300"/>
      <c r="F1177" s="501"/>
      <c r="G1177" s="501">
        <v>2022</v>
      </c>
      <c r="H1177" s="501"/>
      <c r="I1177" s="382" t="s">
        <v>1286</v>
      </c>
      <c r="J1177" s="502"/>
      <c r="K1177" s="501" t="s">
        <v>5077</v>
      </c>
      <c r="L1177" s="502" t="s">
        <v>1120</v>
      </c>
      <c r="M1177" s="502">
        <v>44616</v>
      </c>
      <c r="N1177" s="502">
        <v>44722</v>
      </c>
      <c r="O1177" s="502"/>
      <c r="P1177" s="502"/>
      <c r="Q1177" s="502"/>
      <c r="R1177" s="502"/>
      <c r="S1177" s="501" t="s">
        <v>1102</v>
      </c>
      <c r="T1177" s="501">
        <v>60</v>
      </c>
      <c r="U1177" s="501"/>
      <c r="V1177" s="501" t="s">
        <v>986</v>
      </c>
      <c r="W1177" s="505">
        <v>360</v>
      </c>
      <c r="X1177" s="403">
        <v>768</v>
      </c>
      <c r="Y1177" s="477">
        <f t="shared" si="148"/>
        <v>276480</v>
      </c>
      <c r="Z1177" s="478">
        <v>0.53</v>
      </c>
      <c r="AA1177" s="479">
        <f t="shared" si="149"/>
        <v>146534.39999999999</v>
      </c>
      <c r="AB1177" s="386"/>
      <c r="AC1177" s="481"/>
      <c r="AD1177" s="474"/>
      <c r="AE1177" s="482"/>
      <c r="AF1177" s="493">
        <f t="shared" si="147"/>
        <v>146534.39999999999</v>
      </c>
      <c r="AG1177" s="474" t="s">
        <v>47</v>
      </c>
      <c r="AH1177" s="447"/>
      <c r="AI1177" s="474">
        <v>45</v>
      </c>
      <c r="AJ1177" s="474" t="s">
        <v>3974</v>
      </c>
      <c r="AK1177" s="474" t="s">
        <v>1096</v>
      </c>
      <c r="AL1177" s="494">
        <v>1583</v>
      </c>
      <c r="AM1177" s="474" t="s">
        <v>52</v>
      </c>
      <c r="AN1177" s="474"/>
      <c r="AO1177" s="474"/>
      <c r="AP1177" s="474"/>
      <c r="AQ1177" s="482" t="s">
        <v>37</v>
      </c>
      <c r="AR1177" s="474"/>
      <c r="AS1177" s="387"/>
      <c r="AT1177" s="356"/>
      <c r="AU1177" s="387"/>
      <c r="AV1177" s="472"/>
    </row>
    <row r="1178" spans="1:48" s="471" customFormat="1" ht="15" customHeight="1">
      <c r="A1178" s="278"/>
      <c r="B1178" s="279"/>
      <c r="C1178" s="289" t="s">
        <v>1211</v>
      </c>
      <c r="D1178" s="405" t="s">
        <v>3678</v>
      </c>
      <c r="E1178" s="300"/>
      <c r="F1178" s="501"/>
      <c r="G1178" s="501">
        <v>2022</v>
      </c>
      <c r="H1178" s="501"/>
      <c r="I1178" s="382" t="s">
        <v>1286</v>
      </c>
      <c r="J1178" s="502"/>
      <c r="K1178" s="501" t="s">
        <v>5077</v>
      </c>
      <c r="L1178" s="502" t="s">
        <v>1120</v>
      </c>
      <c r="M1178" s="502">
        <v>44616</v>
      </c>
      <c r="N1178" s="502">
        <v>44722</v>
      </c>
      <c r="O1178" s="502"/>
      <c r="P1178" s="502"/>
      <c r="Q1178" s="502"/>
      <c r="R1178" s="502"/>
      <c r="S1178" s="501" t="s">
        <v>1102</v>
      </c>
      <c r="T1178" s="501">
        <v>60</v>
      </c>
      <c r="U1178" s="501"/>
      <c r="V1178" s="501" t="s">
        <v>986</v>
      </c>
      <c r="W1178" s="505">
        <v>360</v>
      </c>
      <c r="X1178" s="403">
        <v>768</v>
      </c>
      <c r="Y1178" s="477">
        <f t="shared" si="148"/>
        <v>276480</v>
      </c>
      <c r="Z1178" s="478">
        <v>0.53</v>
      </c>
      <c r="AA1178" s="479">
        <f t="shared" si="149"/>
        <v>146534.39999999999</v>
      </c>
      <c r="AB1178" s="386"/>
      <c r="AC1178" s="481"/>
      <c r="AD1178" s="474"/>
      <c r="AE1178" s="482"/>
      <c r="AF1178" s="493">
        <f t="shared" si="147"/>
        <v>146534.39999999999</v>
      </c>
      <c r="AG1178" s="474" t="s">
        <v>47</v>
      </c>
      <c r="AH1178" s="447"/>
      <c r="AI1178" s="474">
        <v>45</v>
      </c>
      <c r="AJ1178" s="474" t="s">
        <v>3974</v>
      </c>
      <c r="AK1178" s="474" t="s">
        <v>1096</v>
      </c>
      <c r="AL1178" s="494">
        <v>1583</v>
      </c>
      <c r="AM1178" s="474" t="s">
        <v>52</v>
      </c>
      <c r="AN1178" s="474"/>
      <c r="AO1178" s="474"/>
      <c r="AP1178" s="474"/>
      <c r="AQ1178" s="482" t="s">
        <v>37</v>
      </c>
      <c r="AR1178" s="474"/>
      <c r="AS1178" s="387"/>
      <c r="AT1178" s="356"/>
      <c r="AU1178" s="387"/>
      <c r="AV1178" s="472"/>
    </row>
    <row r="1179" spans="1:48" s="471" customFormat="1" ht="15" customHeight="1">
      <c r="A1179" s="278"/>
      <c r="B1179" s="279"/>
      <c r="C1179" s="289" t="s">
        <v>1211</v>
      </c>
      <c r="D1179" s="405" t="s">
        <v>3678</v>
      </c>
      <c r="E1179" s="300"/>
      <c r="F1179" s="501"/>
      <c r="G1179" s="501">
        <v>2022</v>
      </c>
      <c r="H1179" s="501"/>
      <c r="I1179" s="382" t="s">
        <v>1286</v>
      </c>
      <c r="J1179" s="502"/>
      <c r="K1179" s="501" t="s">
        <v>5077</v>
      </c>
      <c r="L1179" s="502" t="s">
        <v>1120</v>
      </c>
      <c r="M1179" s="502">
        <v>44616</v>
      </c>
      <c r="N1179" s="502">
        <v>44736</v>
      </c>
      <c r="O1179" s="502"/>
      <c r="P1179" s="502"/>
      <c r="Q1179" s="502"/>
      <c r="R1179" s="502"/>
      <c r="S1179" s="501" t="s">
        <v>1102</v>
      </c>
      <c r="T1179" s="501">
        <v>60</v>
      </c>
      <c r="U1179" s="501"/>
      <c r="V1179" s="501" t="s">
        <v>986</v>
      </c>
      <c r="W1179" s="505">
        <v>360</v>
      </c>
      <c r="X1179" s="403">
        <v>768</v>
      </c>
      <c r="Y1179" s="477">
        <f t="shared" si="148"/>
        <v>276480</v>
      </c>
      <c r="Z1179" s="478">
        <v>0.53</v>
      </c>
      <c r="AA1179" s="479">
        <f t="shared" si="149"/>
        <v>146534.39999999999</v>
      </c>
      <c r="AB1179" s="386"/>
      <c r="AC1179" s="481"/>
      <c r="AD1179" s="474"/>
      <c r="AE1179" s="482"/>
      <c r="AF1179" s="493">
        <f t="shared" si="147"/>
        <v>146534.39999999999</v>
      </c>
      <c r="AG1179" s="474" t="s">
        <v>47</v>
      </c>
      <c r="AH1179" s="447"/>
      <c r="AI1179" s="474">
        <v>45</v>
      </c>
      <c r="AJ1179" s="474" t="s">
        <v>3974</v>
      </c>
      <c r="AK1179" s="474" t="s">
        <v>1096</v>
      </c>
      <c r="AL1179" s="494">
        <v>1583</v>
      </c>
      <c r="AM1179" s="474" t="s">
        <v>52</v>
      </c>
      <c r="AN1179" s="474"/>
      <c r="AO1179" s="474"/>
      <c r="AP1179" s="474"/>
      <c r="AQ1179" s="482" t="s">
        <v>37</v>
      </c>
      <c r="AR1179" s="474"/>
      <c r="AS1179" s="387"/>
      <c r="AT1179" s="356"/>
      <c r="AU1179" s="387"/>
      <c r="AV1179" s="472"/>
    </row>
    <row r="1180" spans="1:48" s="471" customFormat="1" ht="15" customHeight="1">
      <c r="A1180" s="278"/>
      <c r="B1180" s="279"/>
      <c r="C1180" s="289" t="s">
        <v>1211</v>
      </c>
      <c r="D1180" s="405" t="s">
        <v>3678</v>
      </c>
      <c r="E1180" s="300"/>
      <c r="F1180" s="501"/>
      <c r="G1180" s="501">
        <v>2022</v>
      </c>
      <c r="H1180" s="501"/>
      <c r="I1180" s="382" t="s">
        <v>1286</v>
      </c>
      <c r="J1180" s="502"/>
      <c r="K1180" s="501" t="s">
        <v>5077</v>
      </c>
      <c r="L1180" s="502" t="s">
        <v>1120</v>
      </c>
      <c r="M1180" s="502">
        <v>44616</v>
      </c>
      <c r="N1180" s="502">
        <v>44736</v>
      </c>
      <c r="O1180" s="502"/>
      <c r="P1180" s="502"/>
      <c r="Q1180" s="502"/>
      <c r="R1180" s="502"/>
      <c r="S1180" s="501" t="s">
        <v>1102</v>
      </c>
      <c r="T1180" s="501">
        <v>60</v>
      </c>
      <c r="U1180" s="501"/>
      <c r="V1180" s="501" t="s">
        <v>986</v>
      </c>
      <c r="W1180" s="505">
        <v>360</v>
      </c>
      <c r="X1180" s="403">
        <v>768</v>
      </c>
      <c r="Y1180" s="477">
        <f t="shared" si="148"/>
        <v>276480</v>
      </c>
      <c r="Z1180" s="478">
        <v>0.53</v>
      </c>
      <c r="AA1180" s="479">
        <f t="shared" si="149"/>
        <v>146534.39999999999</v>
      </c>
      <c r="AB1180" s="386"/>
      <c r="AC1180" s="481"/>
      <c r="AD1180" s="474"/>
      <c r="AE1180" s="482"/>
      <c r="AF1180" s="493">
        <f t="shared" si="147"/>
        <v>146534.39999999999</v>
      </c>
      <c r="AG1180" s="474" t="s">
        <v>47</v>
      </c>
      <c r="AH1180" s="447"/>
      <c r="AI1180" s="474">
        <v>45</v>
      </c>
      <c r="AJ1180" s="474" t="s">
        <v>3974</v>
      </c>
      <c r="AK1180" s="474" t="s">
        <v>1096</v>
      </c>
      <c r="AL1180" s="494">
        <v>1583</v>
      </c>
      <c r="AM1180" s="474" t="s">
        <v>52</v>
      </c>
      <c r="AN1180" s="474"/>
      <c r="AO1180" s="474"/>
      <c r="AP1180" s="474"/>
      <c r="AQ1180" s="482" t="s">
        <v>37</v>
      </c>
      <c r="AR1180" s="474"/>
      <c r="AS1180" s="387"/>
      <c r="AT1180" s="356"/>
      <c r="AU1180" s="387"/>
      <c r="AV1180" s="472"/>
    </row>
    <row r="1181" spans="1:48" s="471" customFormat="1" ht="15" customHeight="1">
      <c r="A1181" s="278"/>
      <c r="B1181" s="279"/>
      <c r="C1181" s="289" t="s">
        <v>1211</v>
      </c>
      <c r="D1181" s="405" t="s">
        <v>3678</v>
      </c>
      <c r="E1181" s="300"/>
      <c r="F1181" s="501"/>
      <c r="G1181" s="501">
        <v>2022</v>
      </c>
      <c r="H1181" s="501"/>
      <c r="I1181" s="382" t="s">
        <v>1286</v>
      </c>
      <c r="J1181" s="502"/>
      <c r="K1181" s="501" t="s">
        <v>5077</v>
      </c>
      <c r="L1181" s="502" t="s">
        <v>1120</v>
      </c>
      <c r="M1181" s="502">
        <v>44616</v>
      </c>
      <c r="N1181" s="502">
        <v>44757</v>
      </c>
      <c r="O1181" s="502"/>
      <c r="P1181" s="502"/>
      <c r="Q1181" s="502"/>
      <c r="R1181" s="502"/>
      <c r="S1181" s="501" t="s">
        <v>1102</v>
      </c>
      <c r="T1181" s="501">
        <v>60</v>
      </c>
      <c r="U1181" s="501"/>
      <c r="V1181" s="501" t="s">
        <v>986</v>
      </c>
      <c r="W1181" s="505">
        <v>360</v>
      </c>
      <c r="X1181" s="403">
        <v>768</v>
      </c>
      <c r="Y1181" s="477">
        <f t="shared" si="148"/>
        <v>276480</v>
      </c>
      <c r="Z1181" s="478">
        <v>0.53</v>
      </c>
      <c r="AA1181" s="479">
        <f t="shared" si="149"/>
        <v>146534.39999999999</v>
      </c>
      <c r="AB1181" s="386"/>
      <c r="AC1181" s="481"/>
      <c r="AD1181" s="474"/>
      <c r="AE1181" s="482"/>
      <c r="AF1181" s="493">
        <f t="shared" si="147"/>
        <v>146534.39999999999</v>
      </c>
      <c r="AG1181" s="474" t="s">
        <v>47</v>
      </c>
      <c r="AH1181" s="447"/>
      <c r="AI1181" s="474">
        <v>45</v>
      </c>
      <c r="AJ1181" s="474" t="s">
        <v>3974</v>
      </c>
      <c r="AK1181" s="474" t="s">
        <v>1096</v>
      </c>
      <c r="AL1181" s="494">
        <v>1583</v>
      </c>
      <c r="AM1181" s="474" t="s">
        <v>52</v>
      </c>
      <c r="AN1181" s="474"/>
      <c r="AO1181" s="474"/>
      <c r="AP1181" s="474"/>
      <c r="AQ1181" s="482" t="s">
        <v>37</v>
      </c>
      <c r="AR1181" s="474"/>
      <c r="AS1181" s="387"/>
      <c r="AT1181" s="356"/>
      <c r="AU1181" s="387"/>
      <c r="AV1181" s="472"/>
    </row>
    <row r="1182" spans="1:48" s="471" customFormat="1" ht="15" customHeight="1">
      <c r="A1182" s="278"/>
      <c r="B1182" s="279"/>
      <c r="C1182" s="289" t="s">
        <v>1211</v>
      </c>
      <c r="D1182" s="405" t="s">
        <v>3678</v>
      </c>
      <c r="E1182" s="300"/>
      <c r="F1182" s="501"/>
      <c r="G1182" s="501">
        <v>2022</v>
      </c>
      <c r="H1182" s="501"/>
      <c r="I1182" s="382" t="s">
        <v>1286</v>
      </c>
      <c r="J1182" s="502"/>
      <c r="K1182" s="501" t="s">
        <v>5077</v>
      </c>
      <c r="L1182" s="502" t="s">
        <v>1120</v>
      </c>
      <c r="M1182" s="502">
        <v>44616</v>
      </c>
      <c r="N1182" s="502">
        <v>44757</v>
      </c>
      <c r="O1182" s="502"/>
      <c r="P1182" s="502"/>
      <c r="Q1182" s="502"/>
      <c r="R1182" s="502"/>
      <c r="S1182" s="501" t="s">
        <v>1102</v>
      </c>
      <c r="T1182" s="501">
        <v>60</v>
      </c>
      <c r="U1182" s="501"/>
      <c r="V1182" s="501" t="s">
        <v>986</v>
      </c>
      <c r="W1182" s="505">
        <v>360</v>
      </c>
      <c r="X1182" s="403">
        <v>768</v>
      </c>
      <c r="Y1182" s="477">
        <f t="shared" si="148"/>
        <v>276480</v>
      </c>
      <c r="Z1182" s="478">
        <v>0.53</v>
      </c>
      <c r="AA1182" s="479">
        <f t="shared" si="149"/>
        <v>146534.39999999999</v>
      </c>
      <c r="AB1182" s="386"/>
      <c r="AC1182" s="481"/>
      <c r="AD1182" s="474"/>
      <c r="AE1182" s="482"/>
      <c r="AF1182" s="493">
        <f t="shared" si="147"/>
        <v>146534.39999999999</v>
      </c>
      <c r="AG1182" s="474" t="s">
        <v>47</v>
      </c>
      <c r="AH1182" s="447"/>
      <c r="AI1182" s="474">
        <v>45</v>
      </c>
      <c r="AJ1182" s="474" t="s">
        <v>3974</v>
      </c>
      <c r="AK1182" s="474" t="s">
        <v>1096</v>
      </c>
      <c r="AL1182" s="494">
        <v>1583</v>
      </c>
      <c r="AM1182" s="474" t="s">
        <v>52</v>
      </c>
      <c r="AN1182" s="474"/>
      <c r="AO1182" s="474"/>
      <c r="AP1182" s="474"/>
      <c r="AQ1182" s="482" t="s">
        <v>37</v>
      </c>
      <c r="AR1182" s="474"/>
      <c r="AS1182" s="387"/>
      <c r="AT1182" s="356"/>
      <c r="AU1182" s="387"/>
      <c r="AV1182" s="472"/>
    </row>
    <row r="1183" spans="1:48" s="471" customFormat="1" ht="15" customHeight="1">
      <c r="A1183" s="278"/>
      <c r="B1183" s="279"/>
      <c r="C1183" s="289" t="s">
        <v>1211</v>
      </c>
      <c r="D1183" s="405" t="s">
        <v>3678</v>
      </c>
      <c r="E1183" s="300"/>
      <c r="F1183" s="501"/>
      <c r="G1183" s="501">
        <v>2022</v>
      </c>
      <c r="H1183" s="501"/>
      <c r="I1183" s="382" t="s">
        <v>1286</v>
      </c>
      <c r="J1183" s="502"/>
      <c r="K1183" s="501" t="s">
        <v>5078</v>
      </c>
      <c r="L1183" s="502" t="s">
        <v>1120</v>
      </c>
      <c r="M1183" s="502">
        <v>44615</v>
      </c>
      <c r="N1183" s="502">
        <v>44712</v>
      </c>
      <c r="O1183" s="502"/>
      <c r="P1183" s="502"/>
      <c r="Q1183" s="502"/>
      <c r="R1183" s="502"/>
      <c r="S1183" s="501" t="s">
        <v>1102</v>
      </c>
      <c r="T1183" s="501">
        <v>60</v>
      </c>
      <c r="U1183" s="501"/>
      <c r="V1183" s="501" t="s">
        <v>986</v>
      </c>
      <c r="W1183" s="505">
        <v>360</v>
      </c>
      <c r="X1183" s="403">
        <v>768</v>
      </c>
      <c r="Y1183" s="477">
        <f t="shared" si="148"/>
        <v>276480</v>
      </c>
      <c r="Z1183" s="478">
        <v>0.53</v>
      </c>
      <c r="AA1183" s="479">
        <f t="shared" si="149"/>
        <v>146534.39999999999</v>
      </c>
      <c r="AB1183" s="386"/>
      <c r="AC1183" s="481"/>
      <c r="AD1183" s="474"/>
      <c r="AE1183" s="482"/>
      <c r="AF1183" s="493">
        <f t="shared" si="147"/>
        <v>146534.39999999999</v>
      </c>
      <c r="AG1183" s="474" t="s">
        <v>47</v>
      </c>
      <c r="AH1183" s="447"/>
      <c r="AI1183" s="474">
        <v>45</v>
      </c>
      <c r="AJ1183" s="474" t="s">
        <v>1128</v>
      </c>
      <c r="AK1183" s="474" t="s">
        <v>1085</v>
      </c>
      <c r="AL1183" s="494">
        <v>8505</v>
      </c>
      <c r="AM1183" s="474" t="s">
        <v>52</v>
      </c>
      <c r="AN1183" s="474"/>
      <c r="AO1183" s="474"/>
      <c r="AP1183" s="474"/>
      <c r="AQ1183" s="482" t="s">
        <v>37</v>
      </c>
      <c r="AR1183" s="474"/>
      <c r="AS1183" s="387"/>
      <c r="AT1183" s="356"/>
      <c r="AU1183" s="387"/>
      <c r="AV1183" s="472"/>
    </row>
    <row r="1184" spans="1:48" s="471" customFormat="1" ht="15" customHeight="1">
      <c r="A1184" s="278"/>
      <c r="B1184" s="279"/>
      <c r="C1184" s="289" t="s">
        <v>1211</v>
      </c>
      <c r="D1184" s="405" t="s">
        <v>3678</v>
      </c>
      <c r="E1184" s="300"/>
      <c r="F1184" s="501"/>
      <c r="G1184" s="501">
        <v>2022</v>
      </c>
      <c r="H1184" s="501"/>
      <c r="I1184" s="382" t="s">
        <v>1286</v>
      </c>
      <c r="J1184" s="502"/>
      <c r="K1184" s="501" t="s">
        <v>5078</v>
      </c>
      <c r="L1184" s="502" t="s">
        <v>1120</v>
      </c>
      <c r="M1184" s="502">
        <v>44615</v>
      </c>
      <c r="N1184" s="502">
        <v>44712</v>
      </c>
      <c r="O1184" s="502"/>
      <c r="P1184" s="502"/>
      <c r="Q1184" s="502"/>
      <c r="R1184" s="502"/>
      <c r="S1184" s="501" t="s">
        <v>1102</v>
      </c>
      <c r="T1184" s="501">
        <v>60</v>
      </c>
      <c r="U1184" s="501"/>
      <c r="V1184" s="501" t="s">
        <v>986</v>
      </c>
      <c r="W1184" s="505">
        <v>360</v>
      </c>
      <c r="X1184" s="403">
        <v>768</v>
      </c>
      <c r="Y1184" s="477">
        <f t="shared" si="148"/>
        <v>276480</v>
      </c>
      <c r="Z1184" s="478">
        <v>0.53</v>
      </c>
      <c r="AA1184" s="479">
        <f t="shared" si="149"/>
        <v>146534.39999999999</v>
      </c>
      <c r="AB1184" s="386"/>
      <c r="AC1184" s="481"/>
      <c r="AD1184" s="474"/>
      <c r="AE1184" s="482"/>
      <c r="AF1184" s="493">
        <f t="shared" si="147"/>
        <v>146534.39999999999</v>
      </c>
      <c r="AG1184" s="474" t="s">
        <v>47</v>
      </c>
      <c r="AH1184" s="447"/>
      <c r="AI1184" s="474">
        <v>45</v>
      </c>
      <c r="AJ1184" s="474" t="s">
        <v>1128</v>
      </c>
      <c r="AK1184" s="474" t="s">
        <v>1085</v>
      </c>
      <c r="AL1184" s="494">
        <v>8505</v>
      </c>
      <c r="AM1184" s="474" t="s">
        <v>52</v>
      </c>
      <c r="AN1184" s="474"/>
      <c r="AO1184" s="474"/>
      <c r="AP1184" s="474"/>
      <c r="AQ1184" s="482" t="s">
        <v>37</v>
      </c>
      <c r="AR1184" s="474"/>
      <c r="AS1184" s="387"/>
      <c r="AT1184" s="356"/>
      <c r="AU1184" s="387"/>
      <c r="AV1184" s="472"/>
    </row>
    <row r="1185" spans="1:48" s="471" customFormat="1" ht="15" customHeight="1">
      <c r="A1185" s="278"/>
      <c r="B1185" s="279"/>
      <c r="C1185" s="289" t="s">
        <v>1211</v>
      </c>
      <c r="D1185" s="405" t="s">
        <v>3678</v>
      </c>
      <c r="E1185" s="300"/>
      <c r="F1185" s="501"/>
      <c r="G1185" s="501">
        <v>2022</v>
      </c>
      <c r="H1185" s="501"/>
      <c r="I1185" s="382" t="s">
        <v>1286</v>
      </c>
      <c r="J1185" s="502"/>
      <c r="K1185" s="501" t="s">
        <v>5078</v>
      </c>
      <c r="L1185" s="502" t="s">
        <v>1120</v>
      </c>
      <c r="M1185" s="502">
        <v>44615</v>
      </c>
      <c r="N1185" s="502">
        <v>44742</v>
      </c>
      <c r="O1185" s="502"/>
      <c r="P1185" s="502"/>
      <c r="Q1185" s="502"/>
      <c r="R1185" s="502"/>
      <c r="S1185" s="501" t="s">
        <v>1102</v>
      </c>
      <c r="T1185" s="501">
        <v>60</v>
      </c>
      <c r="U1185" s="501"/>
      <c r="V1185" s="501" t="s">
        <v>986</v>
      </c>
      <c r="W1185" s="505">
        <v>360</v>
      </c>
      <c r="X1185" s="403">
        <v>768</v>
      </c>
      <c r="Y1185" s="477">
        <f t="shared" si="148"/>
        <v>276480</v>
      </c>
      <c r="Z1185" s="478">
        <v>0.53</v>
      </c>
      <c r="AA1185" s="479">
        <f t="shared" si="149"/>
        <v>146534.39999999999</v>
      </c>
      <c r="AB1185" s="386"/>
      <c r="AC1185" s="481"/>
      <c r="AD1185" s="474"/>
      <c r="AE1185" s="482"/>
      <c r="AF1185" s="493">
        <f t="shared" si="147"/>
        <v>146534.39999999999</v>
      </c>
      <c r="AG1185" s="474" t="s">
        <v>47</v>
      </c>
      <c r="AH1185" s="447"/>
      <c r="AI1185" s="474">
        <v>45</v>
      </c>
      <c r="AJ1185" s="474" t="s">
        <v>1128</v>
      </c>
      <c r="AK1185" s="474" t="s">
        <v>1085</v>
      </c>
      <c r="AL1185" s="494">
        <v>8505</v>
      </c>
      <c r="AM1185" s="474" t="s">
        <v>52</v>
      </c>
      <c r="AN1185" s="474"/>
      <c r="AO1185" s="474"/>
      <c r="AP1185" s="474"/>
      <c r="AQ1185" s="482" t="s">
        <v>37</v>
      </c>
      <c r="AR1185" s="474"/>
      <c r="AS1185" s="387"/>
      <c r="AT1185" s="356"/>
      <c r="AU1185" s="387"/>
      <c r="AV1185" s="472"/>
    </row>
    <row r="1186" spans="1:48" s="471" customFormat="1" ht="15" customHeight="1">
      <c r="A1186" s="278"/>
      <c r="B1186" s="279"/>
      <c r="C1186" s="289" t="s">
        <v>1211</v>
      </c>
      <c r="D1186" s="405" t="s">
        <v>3678</v>
      </c>
      <c r="E1186" s="300"/>
      <c r="F1186" s="501"/>
      <c r="G1186" s="501">
        <v>2022</v>
      </c>
      <c r="H1186" s="501"/>
      <c r="I1186" s="382" t="s">
        <v>1286</v>
      </c>
      <c r="J1186" s="502"/>
      <c r="K1186" s="501" t="s">
        <v>5078</v>
      </c>
      <c r="L1186" s="502" t="s">
        <v>1120</v>
      </c>
      <c r="M1186" s="502">
        <v>44615</v>
      </c>
      <c r="N1186" s="502">
        <v>44742</v>
      </c>
      <c r="O1186" s="502"/>
      <c r="P1186" s="502"/>
      <c r="Q1186" s="502"/>
      <c r="R1186" s="502"/>
      <c r="S1186" s="501" t="s">
        <v>1102</v>
      </c>
      <c r="T1186" s="501">
        <v>60</v>
      </c>
      <c r="U1186" s="501"/>
      <c r="V1186" s="501" t="s">
        <v>986</v>
      </c>
      <c r="W1186" s="505">
        <v>360</v>
      </c>
      <c r="X1186" s="403">
        <v>768</v>
      </c>
      <c r="Y1186" s="477">
        <f t="shared" si="148"/>
        <v>276480</v>
      </c>
      <c r="Z1186" s="478">
        <v>0.53</v>
      </c>
      <c r="AA1186" s="479">
        <f t="shared" si="149"/>
        <v>146534.39999999999</v>
      </c>
      <c r="AB1186" s="386"/>
      <c r="AC1186" s="481"/>
      <c r="AD1186" s="474"/>
      <c r="AE1186" s="482"/>
      <c r="AF1186" s="493">
        <f t="shared" si="147"/>
        <v>146534.39999999999</v>
      </c>
      <c r="AG1186" s="474" t="s">
        <v>47</v>
      </c>
      <c r="AH1186" s="447"/>
      <c r="AI1186" s="474">
        <v>45</v>
      </c>
      <c r="AJ1186" s="474" t="s">
        <v>1128</v>
      </c>
      <c r="AK1186" s="474" t="s">
        <v>1085</v>
      </c>
      <c r="AL1186" s="494">
        <v>8505</v>
      </c>
      <c r="AM1186" s="474" t="s">
        <v>52</v>
      </c>
      <c r="AN1186" s="474"/>
      <c r="AO1186" s="474"/>
      <c r="AP1186" s="474"/>
      <c r="AQ1186" s="482" t="s">
        <v>37</v>
      </c>
      <c r="AR1186" s="474"/>
      <c r="AS1186" s="387"/>
      <c r="AT1186" s="356"/>
      <c r="AU1186" s="387"/>
      <c r="AV1186" s="472"/>
    </row>
    <row r="1187" spans="1:48" s="471" customFormat="1" ht="15" customHeight="1">
      <c r="A1187" s="292"/>
      <c r="B1187" s="289"/>
      <c r="C1187" s="289"/>
      <c r="D1187" s="405" t="s">
        <v>3678</v>
      </c>
      <c r="E1187" s="300" t="s">
        <v>5079</v>
      </c>
      <c r="F1187" s="501"/>
      <c r="G1187" s="501">
        <v>2022</v>
      </c>
      <c r="H1187" s="382"/>
      <c r="I1187" s="302" t="s">
        <v>5080</v>
      </c>
      <c r="J1187" s="353"/>
      <c r="K1187" s="302" t="s">
        <v>5081</v>
      </c>
      <c r="L1187" s="303" t="s">
        <v>1120</v>
      </c>
      <c r="M1187" s="502">
        <v>44594</v>
      </c>
      <c r="N1187" s="502">
        <v>44617</v>
      </c>
      <c r="O1187" s="502"/>
      <c r="P1187" s="502"/>
      <c r="Q1187" s="502"/>
      <c r="R1187" s="502"/>
      <c r="S1187" s="501" t="s">
        <v>1102</v>
      </c>
      <c r="T1187" s="501">
        <v>60</v>
      </c>
      <c r="U1187" s="501"/>
      <c r="V1187" s="501" t="s">
        <v>986</v>
      </c>
      <c r="W1187" s="505">
        <v>360</v>
      </c>
      <c r="X1187" s="403">
        <v>364</v>
      </c>
      <c r="Y1187" s="477">
        <f t="shared" si="148"/>
        <v>131040</v>
      </c>
      <c r="Z1187" s="478">
        <v>0.53</v>
      </c>
      <c r="AA1187" s="480">
        <f t="shared" si="149"/>
        <v>69451.199999999997</v>
      </c>
      <c r="AB1187" s="480"/>
      <c r="AC1187" s="481">
        <f>AB1187*Y1187</f>
        <v>0</v>
      </c>
      <c r="AD1187" s="490"/>
      <c r="AE1187" s="482"/>
      <c r="AF1187" s="493">
        <f t="shared" si="147"/>
        <v>69451.199999999997</v>
      </c>
      <c r="AG1187" s="474" t="s">
        <v>47</v>
      </c>
      <c r="AH1187" s="474"/>
      <c r="AI1187" s="474">
        <v>45</v>
      </c>
      <c r="AJ1187" s="474" t="s">
        <v>1146</v>
      </c>
      <c r="AK1187" s="474" t="s">
        <v>50</v>
      </c>
      <c r="AL1187" s="494">
        <v>94577</v>
      </c>
      <c r="AM1187" s="474" t="s">
        <v>52</v>
      </c>
      <c r="AN1187" s="474"/>
      <c r="AO1187" s="474"/>
      <c r="AP1187" s="482"/>
      <c r="AQ1187" s="482" t="s">
        <v>37</v>
      </c>
      <c r="AR1187" s="474"/>
      <c r="AS1187" s="488"/>
      <c r="AT1187" s="294"/>
      <c r="AU1187" s="293"/>
      <c r="AV1187" s="488"/>
    </row>
    <row r="1188" spans="1:48" s="471" customFormat="1" ht="15" customHeight="1">
      <c r="A1188" s="278"/>
      <c r="B1188" s="279"/>
      <c r="C1188" s="289"/>
      <c r="D1188" s="405" t="s">
        <v>3678</v>
      </c>
      <c r="E1188" s="304" t="s">
        <v>5082</v>
      </c>
      <c r="F1188" s="501"/>
      <c r="G1188" s="501">
        <v>2022</v>
      </c>
      <c r="H1188" s="501"/>
      <c r="I1188" s="382" t="s">
        <v>1286</v>
      </c>
      <c r="J1188" s="353"/>
      <c r="K1188" s="382" t="s">
        <v>5083</v>
      </c>
      <c r="L1188" s="353" t="s">
        <v>1120</v>
      </c>
      <c r="M1188" s="502">
        <v>44582</v>
      </c>
      <c r="N1188" s="502">
        <v>44596</v>
      </c>
      <c r="O1188" s="502"/>
      <c r="P1188" s="502"/>
      <c r="Q1188" s="502"/>
      <c r="R1188" s="502"/>
      <c r="S1188" s="501" t="s">
        <v>1102</v>
      </c>
      <c r="T1188" s="501">
        <v>60</v>
      </c>
      <c r="U1188" s="501"/>
      <c r="V1188" s="501" t="s">
        <v>3370</v>
      </c>
      <c r="W1188" s="505">
        <v>360</v>
      </c>
      <c r="X1188" s="403">
        <v>728</v>
      </c>
      <c r="Y1188" s="477">
        <f t="shared" si="148"/>
        <v>262080</v>
      </c>
      <c r="Z1188" s="478">
        <v>0.8</v>
      </c>
      <c r="AA1188" s="479">
        <f t="shared" si="149"/>
        <v>209664</v>
      </c>
      <c r="AB1188" s="386"/>
      <c r="AC1188" s="481"/>
      <c r="AD1188" s="474"/>
      <c r="AE1188" s="482"/>
      <c r="AF1188" s="493">
        <f t="shared" si="147"/>
        <v>209664</v>
      </c>
      <c r="AG1188" s="474" t="s">
        <v>47</v>
      </c>
      <c r="AH1188" s="447"/>
      <c r="AI1188" s="474">
        <v>45</v>
      </c>
      <c r="AJ1188" s="474" t="s">
        <v>1137</v>
      </c>
      <c r="AK1188" s="474" t="s">
        <v>1138</v>
      </c>
      <c r="AL1188" s="494">
        <v>11416</v>
      </c>
      <c r="AM1188" s="474" t="s">
        <v>52</v>
      </c>
      <c r="AN1188" s="474"/>
      <c r="AO1188" s="474"/>
      <c r="AP1188" s="474"/>
      <c r="AQ1188" s="482" t="s">
        <v>37</v>
      </c>
      <c r="AR1188" s="474"/>
      <c r="AS1188" s="387"/>
      <c r="AT1188" s="356"/>
      <c r="AU1188" s="387"/>
      <c r="AV1188" s="472"/>
    </row>
    <row r="1189" spans="1:48" s="471" customFormat="1" ht="15" customHeight="1">
      <c r="A1189" s="278"/>
      <c r="B1189" s="279"/>
      <c r="C1189" s="289"/>
      <c r="D1189" s="405" t="s">
        <v>3678</v>
      </c>
      <c r="E1189" s="304" t="s">
        <v>5082</v>
      </c>
      <c r="F1189" s="501"/>
      <c r="G1189" s="501">
        <v>2022</v>
      </c>
      <c r="H1189" s="501"/>
      <c r="I1189" s="382" t="s">
        <v>1286</v>
      </c>
      <c r="J1189" s="502"/>
      <c r="K1189" s="501" t="s">
        <v>5084</v>
      </c>
      <c r="L1189" s="502" t="s">
        <v>1120</v>
      </c>
      <c r="M1189" s="502">
        <v>44580</v>
      </c>
      <c r="N1189" s="502">
        <v>44607</v>
      </c>
      <c r="O1189" s="502"/>
      <c r="P1189" s="502"/>
      <c r="Q1189" s="502"/>
      <c r="R1189" s="502"/>
      <c r="S1189" s="501" t="s">
        <v>1102</v>
      </c>
      <c r="T1189" s="501">
        <v>60</v>
      </c>
      <c r="U1189" s="501"/>
      <c r="V1189" s="501" t="s">
        <v>3370</v>
      </c>
      <c r="W1189" s="505">
        <v>360</v>
      </c>
      <c r="X1189" s="403">
        <v>728</v>
      </c>
      <c r="Y1189" s="477">
        <f t="shared" si="148"/>
        <v>262080</v>
      </c>
      <c r="Z1189" s="478">
        <v>0.8</v>
      </c>
      <c r="AA1189" s="479">
        <f t="shared" si="149"/>
        <v>209664</v>
      </c>
      <c r="AB1189" s="386"/>
      <c r="AC1189" s="481"/>
      <c r="AD1189" s="474"/>
      <c r="AE1189" s="482"/>
      <c r="AF1189" s="493">
        <f t="shared" si="147"/>
        <v>209664</v>
      </c>
      <c r="AG1189" s="474" t="s">
        <v>47</v>
      </c>
      <c r="AH1189" s="447"/>
      <c r="AI1189" s="474">
        <v>45</v>
      </c>
      <c r="AJ1189" s="474" t="s">
        <v>1128</v>
      </c>
      <c r="AK1189" s="474" t="s">
        <v>1085</v>
      </c>
      <c r="AL1189" s="494">
        <v>8505</v>
      </c>
      <c r="AM1189" s="474" t="s">
        <v>52</v>
      </c>
      <c r="AN1189" s="474"/>
      <c r="AO1189" s="474"/>
      <c r="AP1189" s="474"/>
      <c r="AQ1189" s="482" t="s">
        <v>37</v>
      </c>
      <c r="AR1189" s="474"/>
      <c r="AS1189" s="387"/>
      <c r="AT1189" s="356"/>
      <c r="AU1189" s="387"/>
      <c r="AV1189" s="472"/>
    </row>
    <row r="1190" spans="1:48" s="471" customFormat="1" ht="15" customHeight="1">
      <c r="A1190" s="278"/>
      <c r="B1190" s="279"/>
      <c r="C1190" s="289" t="s">
        <v>1211</v>
      </c>
      <c r="D1190" s="405" t="s">
        <v>3678</v>
      </c>
      <c r="E1190" s="300" t="s">
        <v>3964</v>
      </c>
      <c r="F1190" s="501"/>
      <c r="G1190" s="501">
        <v>2022</v>
      </c>
      <c r="H1190" s="501"/>
      <c r="I1190" s="382" t="s">
        <v>1286</v>
      </c>
      <c r="J1190" s="502"/>
      <c r="K1190" s="501" t="s">
        <v>5085</v>
      </c>
      <c r="L1190" s="502" t="s">
        <v>1120</v>
      </c>
      <c r="M1190" s="502">
        <v>44565</v>
      </c>
      <c r="N1190" s="502">
        <v>44715</v>
      </c>
      <c r="O1190" s="502"/>
      <c r="P1190" s="502"/>
      <c r="Q1190" s="502"/>
      <c r="R1190" s="502"/>
      <c r="S1190" s="501" t="s">
        <v>1102</v>
      </c>
      <c r="T1190" s="501">
        <v>60</v>
      </c>
      <c r="U1190" s="501"/>
      <c r="V1190" s="501" t="s">
        <v>986</v>
      </c>
      <c r="W1190" s="505">
        <v>360</v>
      </c>
      <c r="X1190" s="403">
        <v>768</v>
      </c>
      <c r="Y1190" s="477">
        <f t="shared" si="148"/>
        <v>276480</v>
      </c>
      <c r="Z1190" s="478">
        <v>0.53</v>
      </c>
      <c r="AA1190" s="479">
        <f t="shared" si="149"/>
        <v>146534.39999999999</v>
      </c>
      <c r="AB1190" s="386"/>
      <c r="AC1190" s="481"/>
      <c r="AD1190" s="474"/>
      <c r="AE1190" s="482"/>
      <c r="AF1190" s="493">
        <f t="shared" ref="AF1190:AF1253" si="150">AE1190+AD1190+AA1190</f>
        <v>146534.39999999999</v>
      </c>
      <c r="AG1190" s="474" t="s">
        <v>47</v>
      </c>
      <c r="AH1190" s="447"/>
      <c r="AI1190" s="474">
        <v>45</v>
      </c>
      <c r="AJ1190" s="474" t="s">
        <v>1128</v>
      </c>
      <c r="AK1190" s="474" t="s">
        <v>1085</v>
      </c>
      <c r="AL1190" s="494">
        <v>8505</v>
      </c>
      <c r="AM1190" s="474" t="s">
        <v>52</v>
      </c>
      <c r="AN1190" s="474"/>
      <c r="AO1190" s="474"/>
      <c r="AP1190" s="474"/>
      <c r="AQ1190" s="482" t="s">
        <v>37</v>
      </c>
      <c r="AR1190" s="474"/>
      <c r="AS1190" s="387"/>
      <c r="AT1190" s="356"/>
      <c r="AU1190" s="387"/>
      <c r="AV1190" s="472"/>
    </row>
    <row r="1191" spans="1:48" s="471" customFormat="1" ht="15" customHeight="1">
      <c r="A1191" s="278"/>
      <c r="B1191" s="279"/>
      <c r="C1191" s="289" t="s">
        <v>1211</v>
      </c>
      <c r="D1191" s="405" t="s">
        <v>3678</v>
      </c>
      <c r="E1191" s="300" t="s">
        <v>3964</v>
      </c>
      <c r="F1191" s="501"/>
      <c r="G1191" s="501">
        <v>2022</v>
      </c>
      <c r="H1191" s="501"/>
      <c r="I1191" s="382" t="s">
        <v>1286</v>
      </c>
      <c r="J1191" s="502"/>
      <c r="K1191" s="501" t="s">
        <v>5085</v>
      </c>
      <c r="L1191" s="502" t="s">
        <v>1120</v>
      </c>
      <c r="M1191" s="502">
        <v>44565</v>
      </c>
      <c r="N1191" s="502">
        <v>44715</v>
      </c>
      <c r="O1191" s="502"/>
      <c r="P1191" s="502"/>
      <c r="Q1191" s="502"/>
      <c r="R1191" s="502"/>
      <c r="S1191" s="501" t="s">
        <v>1102</v>
      </c>
      <c r="T1191" s="501">
        <v>60</v>
      </c>
      <c r="U1191" s="501"/>
      <c r="V1191" s="501" t="s">
        <v>986</v>
      </c>
      <c r="W1191" s="505">
        <v>360</v>
      </c>
      <c r="X1191" s="403">
        <v>768</v>
      </c>
      <c r="Y1191" s="477">
        <f t="shared" si="148"/>
        <v>276480</v>
      </c>
      <c r="Z1191" s="478">
        <v>0.53</v>
      </c>
      <c r="AA1191" s="479">
        <f t="shared" si="149"/>
        <v>146534.39999999999</v>
      </c>
      <c r="AB1191" s="386"/>
      <c r="AC1191" s="481"/>
      <c r="AD1191" s="474"/>
      <c r="AE1191" s="482"/>
      <c r="AF1191" s="493">
        <f t="shared" si="150"/>
        <v>146534.39999999999</v>
      </c>
      <c r="AG1191" s="474" t="s">
        <v>47</v>
      </c>
      <c r="AH1191" s="447"/>
      <c r="AI1191" s="474">
        <v>45</v>
      </c>
      <c r="AJ1191" s="474" t="s">
        <v>1128</v>
      </c>
      <c r="AK1191" s="474" t="s">
        <v>1085</v>
      </c>
      <c r="AL1191" s="494">
        <v>8505</v>
      </c>
      <c r="AM1191" s="474" t="s">
        <v>52</v>
      </c>
      <c r="AN1191" s="474"/>
      <c r="AO1191" s="474"/>
      <c r="AP1191" s="474"/>
      <c r="AQ1191" s="482" t="s">
        <v>37</v>
      </c>
      <c r="AR1191" s="474"/>
      <c r="AS1191" s="387"/>
      <c r="AT1191" s="356"/>
      <c r="AU1191" s="387"/>
      <c r="AV1191" s="472"/>
    </row>
    <row r="1192" spans="1:48" s="471" customFormat="1" ht="15" customHeight="1">
      <c r="A1192" s="278"/>
      <c r="B1192" s="279"/>
      <c r="C1192" s="289" t="s">
        <v>1211</v>
      </c>
      <c r="D1192" s="405" t="s">
        <v>3678</v>
      </c>
      <c r="E1192" s="300" t="s">
        <v>3964</v>
      </c>
      <c r="F1192" s="501"/>
      <c r="G1192" s="501">
        <v>2022</v>
      </c>
      <c r="H1192" s="382"/>
      <c r="I1192" s="382" t="s">
        <v>1286</v>
      </c>
      <c r="J1192" s="502"/>
      <c r="K1192" s="501" t="s">
        <v>5086</v>
      </c>
      <c r="L1192" s="502" t="s">
        <v>1120</v>
      </c>
      <c r="M1192" s="502">
        <v>44565</v>
      </c>
      <c r="N1192" s="502">
        <v>44715</v>
      </c>
      <c r="O1192" s="502"/>
      <c r="P1192" s="502"/>
      <c r="Q1192" s="502"/>
      <c r="R1192" s="502"/>
      <c r="S1192" s="501" t="s">
        <v>1102</v>
      </c>
      <c r="T1192" s="501">
        <v>60</v>
      </c>
      <c r="U1192" s="501"/>
      <c r="V1192" s="501" t="s">
        <v>986</v>
      </c>
      <c r="W1192" s="505">
        <v>360</v>
      </c>
      <c r="X1192" s="403">
        <v>768</v>
      </c>
      <c r="Y1192" s="477">
        <f t="shared" si="148"/>
        <v>276480</v>
      </c>
      <c r="Z1192" s="478">
        <v>0.53</v>
      </c>
      <c r="AA1192" s="479">
        <f t="shared" si="149"/>
        <v>146534.39999999999</v>
      </c>
      <c r="AB1192" s="480"/>
      <c r="AC1192" s="481"/>
      <c r="AD1192" s="490"/>
      <c r="AE1192" s="482"/>
      <c r="AF1192" s="493">
        <f t="shared" si="150"/>
        <v>146534.39999999999</v>
      </c>
      <c r="AG1192" s="474" t="s">
        <v>47</v>
      </c>
      <c r="AH1192" s="474"/>
      <c r="AI1192" s="474">
        <v>45</v>
      </c>
      <c r="AJ1192" s="474" t="s">
        <v>3963</v>
      </c>
      <c r="AK1192" s="474" t="s">
        <v>1084</v>
      </c>
      <c r="AL1192" s="494">
        <v>33442</v>
      </c>
      <c r="AM1192" s="474" t="s">
        <v>52</v>
      </c>
      <c r="AN1192" s="474"/>
      <c r="AO1192" s="474"/>
      <c r="AP1192" s="482"/>
      <c r="AQ1192" s="482" t="s">
        <v>37</v>
      </c>
      <c r="AR1192" s="474"/>
      <c r="AS1192" s="472"/>
      <c r="AT1192" s="281"/>
      <c r="AU1192" s="436"/>
      <c r="AV1192" s="472"/>
    </row>
    <row r="1193" spans="1:48" s="471" customFormat="1" ht="15" customHeight="1">
      <c r="A1193" s="278"/>
      <c r="B1193" s="279"/>
      <c r="C1193" s="289" t="s">
        <v>1211</v>
      </c>
      <c r="D1193" s="405" t="s">
        <v>3678</v>
      </c>
      <c r="E1193" s="300" t="s">
        <v>3964</v>
      </c>
      <c r="F1193" s="501"/>
      <c r="G1193" s="501">
        <v>2022</v>
      </c>
      <c r="H1193" s="382"/>
      <c r="I1193" s="382" t="s">
        <v>1286</v>
      </c>
      <c r="J1193" s="502"/>
      <c r="K1193" s="501" t="s">
        <v>5086</v>
      </c>
      <c r="L1193" s="502" t="s">
        <v>1120</v>
      </c>
      <c r="M1193" s="502">
        <v>44565</v>
      </c>
      <c r="N1193" s="502">
        <v>44715</v>
      </c>
      <c r="O1193" s="502"/>
      <c r="P1193" s="502"/>
      <c r="Q1193" s="502"/>
      <c r="R1193" s="502"/>
      <c r="S1193" s="501" t="s">
        <v>1102</v>
      </c>
      <c r="T1193" s="501">
        <v>60</v>
      </c>
      <c r="U1193" s="501"/>
      <c r="V1193" s="501" t="s">
        <v>986</v>
      </c>
      <c r="W1193" s="505">
        <v>360</v>
      </c>
      <c r="X1193" s="403">
        <v>768</v>
      </c>
      <c r="Y1193" s="477">
        <f t="shared" si="148"/>
        <v>276480</v>
      </c>
      <c r="Z1193" s="478">
        <v>0.53</v>
      </c>
      <c r="AA1193" s="479">
        <f t="shared" si="149"/>
        <v>146534.39999999999</v>
      </c>
      <c r="AB1193" s="480"/>
      <c r="AC1193" s="481"/>
      <c r="AD1193" s="490"/>
      <c r="AE1193" s="482"/>
      <c r="AF1193" s="493">
        <f t="shared" si="150"/>
        <v>146534.39999999999</v>
      </c>
      <c r="AG1193" s="474" t="s">
        <v>47</v>
      </c>
      <c r="AH1193" s="474"/>
      <c r="AI1193" s="474">
        <v>45</v>
      </c>
      <c r="AJ1193" s="474" t="s">
        <v>3963</v>
      </c>
      <c r="AK1193" s="474" t="s">
        <v>1084</v>
      </c>
      <c r="AL1193" s="494">
        <v>33442</v>
      </c>
      <c r="AM1193" s="474" t="s">
        <v>52</v>
      </c>
      <c r="AN1193" s="474"/>
      <c r="AO1193" s="474"/>
      <c r="AP1193" s="482"/>
      <c r="AQ1193" s="482" t="s">
        <v>37</v>
      </c>
      <c r="AR1193" s="474"/>
      <c r="AS1193" s="472"/>
      <c r="AT1193" s="281"/>
      <c r="AU1193" s="436"/>
      <c r="AV1193" s="472"/>
    </row>
    <row r="1194" spans="1:48" s="471" customFormat="1" ht="15" customHeight="1">
      <c r="A1194" s="278"/>
      <c r="B1194" s="279"/>
      <c r="C1194" s="289" t="s">
        <v>1211</v>
      </c>
      <c r="D1194" s="405" t="s">
        <v>3678</v>
      </c>
      <c r="E1194" s="300" t="s">
        <v>3964</v>
      </c>
      <c r="F1194" s="501"/>
      <c r="G1194" s="501">
        <v>2022</v>
      </c>
      <c r="H1194" s="501"/>
      <c r="I1194" s="382" t="s">
        <v>1286</v>
      </c>
      <c r="J1194" s="502"/>
      <c r="K1194" s="501" t="s">
        <v>5087</v>
      </c>
      <c r="L1194" s="502" t="s">
        <v>1120</v>
      </c>
      <c r="M1194" s="502">
        <v>44565</v>
      </c>
      <c r="N1194" s="502">
        <v>44715</v>
      </c>
      <c r="O1194" s="502"/>
      <c r="P1194" s="502"/>
      <c r="Q1194" s="502"/>
      <c r="R1194" s="502"/>
      <c r="S1194" s="501" t="s">
        <v>1102</v>
      </c>
      <c r="T1194" s="501">
        <v>60</v>
      </c>
      <c r="U1194" s="501"/>
      <c r="V1194" s="501" t="s">
        <v>986</v>
      </c>
      <c r="W1194" s="505">
        <v>360</v>
      </c>
      <c r="X1194" s="403">
        <v>768</v>
      </c>
      <c r="Y1194" s="477">
        <f t="shared" si="148"/>
        <v>276480</v>
      </c>
      <c r="Z1194" s="478">
        <v>0.53</v>
      </c>
      <c r="AA1194" s="479">
        <f t="shared" si="149"/>
        <v>146534.39999999999</v>
      </c>
      <c r="AB1194" s="386"/>
      <c r="AC1194" s="481"/>
      <c r="AD1194" s="474"/>
      <c r="AE1194" s="482"/>
      <c r="AF1194" s="493">
        <f t="shared" si="150"/>
        <v>146534.39999999999</v>
      </c>
      <c r="AG1194" s="474" t="s">
        <v>47</v>
      </c>
      <c r="AH1194" s="447"/>
      <c r="AI1194" s="474">
        <v>45</v>
      </c>
      <c r="AJ1194" s="474" t="s">
        <v>5088</v>
      </c>
      <c r="AK1194" s="474" t="s">
        <v>1133</v>
      </c>
      <c r="AL1194" s="494">
        <v>85282</v>
      </c>
      <c r="AM1194" s="474" t="s">
        <v>52</v>
      </c>
      <c r="AN1194" s="474"/>
      <c r="AO1194" s="474"/>
      <c r="AP1194" s="474"/>
      <c r="AQ1194" s="482" t="s">
        <v>37</v>
      </c>
      <c r="AR1194" s="474"/>
      <c r="AS1194" s="387"/>
      <c r="AT1194" s="356"/>
      <c r="AU1194" s="387"/>
      <c r="AV1194" s="472"/>
    </row>
    <row r="1195" spans="1:48" s="471" customFormat="1" ht="15" customHeight="1">
      <c r="A1195" s="278"/>
      <c r="B1195" s="279"/>
      <c r="C1195" s="289" t="s">
        <v>1211</v>
      </c>
      <c r="D1195" s="405" t="s">
        <v>3678</v>
      </c>
      <c r="E1195" s="300" t="s">
        <v>3964</v>
      </c>
      <c r="F1195" s="501"/>
      <c r="G1195" s="501">
        <v>2022</v>
      </c>
      <c r="H1195" s="501"/>
      <c r="I1195" s="382" t="s">
        <v>1286</v>
      </c>
      <c r="J1195" s="502"/>
      <c r="K1195" s="501" t="s">
        <v>5087</v>
      </c>
      <c r="L1195" s="502" t="s">
        <v>1120</v>
      </c>
      <c r="M1195" s="502">
        <v>44565</v>
      </c>
      <c r="N1195" s="502">
        <v>44715</v>
      </c>
      <c r="O1195" s="502"/>
      <c r="P1195" s="502"/>
      <c r="Q1195" s="502"/>
      <c r="R1195" s="502"/>
      <c r="S1195" s="501" t="s">
        <v>1102</v>
      </c>
      <c r="T1195" s="501">
        <v>60</v>
      </c>
      <c r="U1195" s="501"/>
      <c r="V1195" s="501" t="s">
        <v>986</v>
      </c>
      <c r="W1195" s="505">
        <v>360</v>
      </c>
      <c r="X1195" s="403">
        <v>768</v>
      </c>
      <c r="Y1195" s="477">
        <f t="shared" si="148"/>
        <v>276480</v>
      </c>
      <c r="Z1195" s="478">
        <v>0.53</v>
      </c>
      <c r="AA1195" s="479">
        <f t="shared" si="149"/>
        <v>146534.39999999999</v>
      </c>
      <c r="AB1195" s="386"/>
      <c r="AC1195" s="481"/>
      <c r="AD1195" s="474"/>
      <c r="AE1195" s="482"/>
      <c r="AF1195" s="493">
        <f t="shared" si="150"/>
        <v>146534.39999999999</v>
      </c>
      <c r="AG1195" s="474" t="s">
        <v>47</v>
      </c>
      <c r="AH1195" s="447"/>
      <c r="AI1195" s="474">
        <v>45</v>
      </c>
      <c r="AJ1195" s="474" t="s">
        <v>5088</v>
      </c>
      <c r="AK1195" s="474" t="s">
        <v>1133</v>
      </c>
      <c r="AL1195" s="494">
        <v>85282</v>
      </c>
      <c r="AM1195" s="474" t="s">
        <v>52</v>
      </c>
      <c r="AN1195" s="474"/>
      <c r="AO1195" s="474"/>
      <c r="AP1195" s="474"/>
      <c r="AQ1195" s="482" t="s">
        <v>37</v>
      </c>
      <c r="AR1195" s="474"/>
      <c r="AS1195" s="387"/>
      <c r="AT1195" s="356"/>
      <c r="AU1195" s="387"/>
      <c r="AV1195" s="472"/>
    </row>
    <row r="1196" spans="1:48" s="471" customFormat="1" ht="15" customHeight="1">
      <c r="A1196" s="278"/>
      <c r="B1196" s="279"/>
      <c r="C1196" s="289" t="s">
        <v>1211</v>
      </c>
      <c r="D1196" s="405" t="s">
        <v>3678</v>
      </c>
      <c r="E1196" s="300" t="s">
        <v>3964</v>
      </c>
      <c r="F1196" s="501"/>
      <c r="G1196" s="501">
        <v>2022</v>
      </c>
      <c r="H1196" s="501"/>
      <c r="I1196" s="382" t="s">
        <v>1286</v>
      </c>
      <c r="J1196" s="502"/>
      <c r="K1196" s="501" t="s">
        <v>4022</v>
      </c>
      <c r="L1196" s="502" t="s">
        <v>1120</v>
      </c>
      <c r="M1196" s="502">
        <v>44565</v>
      </c>
      <c r="N1196" s="502">
        <v>44715</v>
      </c>
      <c r="O1196" s="502"/>
      <c r="P1196" s="502"/>
      <c r="Q1196" s="502"/>
      <c r="R1196" s="502"/>
      <c r="S1196" s="501" t="s">
        <v>1102</v>
      </c>
      <c r="T1196" s="501">
        <v>60</v>
      </c>
      <c r="U1196" s="501"/>
      <c r="V1196" s="501" t="s">
        <v>986</v>
      </c>
      <c r="W1196" s="505">
        <v>360</v>
      </c>
      <c r="X1196" s="403">
        <v>768</v>
      </c>
      <c r="Y1196" s="477">
        <f t="shared" si="148"/>
        <v>276480</v>
      </c>
      <c r="Z1196" s="478">
        <v>0.53</v>
      </c>
      <c r="AA1196" s="479">
        <f t="shared" si="149"/>
        <v>146534.39999999999</v>
      </c>
      <c r="AB1196" s="386"/>
      <c r="AC1196" s="481"/>
      <c r="AD1196" s="474"/>
      <c r="AE1196" s="482"/>
      <c r="AF1196" s="493">
        <f t="shared" si="150"/>
        <v>146534.39999999999</v>
      </c>
      <c r="AG1196" s="474" t="s">
        <v>47</v>
      </c>
      <c r="AH1196" s="447"/>
      <c r="AI1196" s="474">
        <v>45</v>
      </c>
      <c r="AJ1196" s="474" t="s">
        <v>1121</v>
      </c>
      <c r="AK1196" s="474" t="s">
        <v>1117</v>
      </c>
      <c r="AL1196" s="494">
        <v>60433</v>
      </c>
      <c r="AM1196" s="474" t="s">
        <v>52</v>
      </c>
      <c r="AN1196" s="474"/>
      <c r="AO1196" s="474"/>
      <c r="AP1196" s="474"/>
      <c r="AQ1196" s="482" t="s">
        <v>37</v>
      </c>
      <c r="AR1196" s="474"/>
      <c r="AS1196" s="387"/>
      <c r="AT1196" s="356"/>
      <c r="AU1196" s="387"/>
      <c r="AV1196" s="472"/>
    </row>
    <row r="1197" spans="1:48" s="471" customFormat="1" ht="15" customHeight="1">
      <c r="A1197" s="278"/>
      <c r="B1197" s="279"/>
      <c r="C1197" s="289" t="s">
        <v>1211</v>
      </c>
      <c r="D1197" s="405" t="s">
        <v>3678</v>
      </c>
      <c r="E1197" s="300" t="s">
        <v>3964</v>
      </c>
      <c r="F1197" s="501"/>
      <c r="G1197" s="501">
        <v>2022</v>
      </c>
      <c r="H1197" s="501"/>
      <c r="I1197" s="382" t="s">
        <v>1286</v>
      </c>
      <c r="J1197" s="502"/>
      <c r="K1197" s="501" t="s">
        <v>4022</v>
      </c>
      <c r="L1197" s="502" t="s">
        <v>1120</v>
      </c>
      <c r="M1197" s="502">
        <v>44565</v>
      </c>
      <c r="N1197" s="502">
        <v>44715</v>
      </c>
      <c r="O1197" s="502"/>
      <c r="P1197" s="502"/>
      <c r="Q1197" s="502"/>
      <c r="R1197" s="502"/>
      <c r="S1197" s="501" t="s">
        <v>1102</v>
      </c>
      <c r="T1197" s="501">
        <v>60</v>
      </c>
      <c r="U1197" s="501"/>
      <c r="V1197" s="501" t="s">
        <v>986</v>
      </c>
      <c r="W1197" s="505">
        <v>360</v>
      </c>
      <c r="X1197" s="403">
        <v>768</v>
      </c>
      <c r="Y1197" s="477">
        <f t="shared" si="148"/>
        <v>276480</v>
      </c>
      <c r="Z1197" s="478">
        <v>0.53</v>
      </c>
      <c r="AA1197" s="479">
        <f t="shared" si="149"/>
        <v>146534.39999999999</v>
      </c>
      <c r="AB1197" s="386"/>
      <c r="AC1197" s="481"/>
      <c r="AD1197" s="474"/>
      <c r="AE1197" s="482"/>
      <c r="AF1197" s="493">
        <f t="shared" si="150"/>
        <v>146534.39999999999</v>
      </c>
      <c r="AG1197" s="474" t="s">
        <v>47</v>
      </c>
      <c r="AH1197" s="447"/>
      <c r="AI1197" s="474">
        <v>45</v>
      </c>
      <c r="AJ1197" s="474" t="s">
        <v>1121</v>
      </c>
      <c r="AK1197" s="474" t="s">
        <v>1117</v>
      </c>
      <c r="AL1197" s="494">
        <v>60433</v>
      </c>
      <c r="AM1197" s="474" t="s">
        <v>52</v>
      </c>
      <c r="AN1197" s="474"/>
      <c r="AO1197" s="474"/>
      <c r="AP1197" s="474"/>
      <c r="AQ1197" s="482" t="s">
        <v>37</v>
      </c>
      <c r="AR1197" s="474"/>
      <c r="AS1197" s="387"/>
      <c r="AT1197" s="356"/>
      <c r="AU1197" s="387"/>
      <c r="AV1197" s="472"/>
    </row>
    <row r="1198" spans="1:48" s="471" customFormat="1" ht="15" customHeight="1">
      <c r="A1198" s="278"/>
      <c r="B1198" s="279"/>
      <c r="C1198" s="289" t="s">
        <v>1211</v>
      </c>
      <c r="D1198" s="405" t="s">
        <v>3678</v>
      </c>
      <c r="E1198" s="300" t="s">
        <v>3964</v>
      </c>
      <c r="F1198" s="501"/>
      <c r="G1198" s="501">
        <v>2022</v>
      </c>
      <c r="H1198" s="382"/>
      <c r="I1198" s="382" t="s">
        <v>1286</v>
      </c>
      <c r="J1198" s="502"/>
      <c r="K1198" s="501" t="s">
        <v>4021</v>
      </c>
      <c r="L1198" s="502" t="s">
        <v>1120</v>
      </c>
      <c r="M1198" s="502">
        <v>44565</v>
      </c>
      <c r="N1198" s="502">
        <v>44715</v>
      </c>
      <c r="O1198" s="502"/>
      <c r="P1198" s="502"/>
      <c r="Q1198" s="502"/>
      <c r="R1198" s="502"/>
      <c r="S1198" s="501" t="s">
        <v>1102</v>
      </c>
      <c r="T1198" s="501">
        <v>60</v>
      </c>
      <c r="U1198" s="501"/>
      <c r="V1198" s="501" t="s">
        <v>986</v>
      </c>
      <c r="W1198" s="505">
        <v>360</v>
      </c>
      <c r="X1198" s="403">
        <v>768</v>
      </c>
      <c r="Y1198" s="477">
        <f t="shared" si="148"/>
        <v>276480</v>
      </c>
      <c r="Z1198" s="478">
        <v>0.53</v>
      </c>
      <c r="AA1198" s="479">
        <f t="shared" si="149"/>
        <v>146534.39999999999</v>
      </c>
      <c r="AB1198" s="480"/>
      <c r="AC1198" s="481"/>
      <c r="AD1198" s="490"/>
      <c r="AE1198" s="482"/>
      <c r="AF1198" s="493">
        <f t="shared" si="150"/>
        <v>146534.39999999999</v>
      </c>
      <c r="AG1198" s="474" t="s">
        <v>47</v>
      </c>
      <c r="AH1198" s="474"/>
      <c r="AI1198" s="474">
        <v>45</v>
      </c>
      <c r="AJ1198" s="474" t="s">
        <v>3963</v>
      </c>
      <c r="AK1198" s="474" t="s">
        <v>1084</v>
      </c>
      <c r="AL1198" s="494">
        <v>33442</v>
      </c>
      <c r="AM1198" s="474" t="s">
        <v>52</v>
      </c>
      <c r="AN1198" s="474"/>
      <c r="AO1198" s="474"/>
      <c r="AP1198" s="482"/>
      <c r="AQ1198" s="482" t="s">
        <v>37</v>
      </c>
      <c r="AR1198" s="474"/>
      <c r="AS1198" s="472"/>
      <c r="AT1198" s="281"/>
      <c r="AU1198" s="436"/>
      <c r="AV1198" s="472"/>
    </row>
    <row r="1199" spans="1:48" s="471" customFormat="1" ht="15" customHeight="1">
      <c r="A1199" s="278"/>
      <c r="B1199" s="279"/>
      <c r="C1199" s="289" t="s">
        <v>1211</v>
      </c>
      <c r="D1199" s="405" t="s">
        <v>3678</v>
      </c>
      <c r="E1199" s="300" t="s">
        <v>3964</v>
      </c>
      <c r="F1199" s="501"/>
      <c r="G1199" s="501">
        <v>2022</v>
      </c>
      <c r="H1199" s="382"/>
      <c r="I1199" s="382" t="s">
        <v>1286</v>
      </c>
      <c r="J1199" s="502"/>
      <c r="K1199" s="501" t="s">
        <v>4021</v>
      </c>
      <c r="L1199" s="502" t="s">
        <v>1120</v>
      </c>
      <c r="M1199" s="502">
        <v>44565</v>
      </c>
      <c r="N1199" s="502">
        <v>44715</v>
      </c>
      <c r="O1199" s="502"/>
      <c r="P1199" s="502"/>
      <c r="Q1199" s="502"/>
      <c r="R1199" s="502"/>
      <c r="S1199" s="501" t="s">
        <v>1102</v>
      </c>
      <c r="T1199" s="501">
        <v>60</v>
      </c>
      <c r="U1199" s="501"/>
      <c r="V1199" s="501" t="s">
        <v>986</v>
      </c>
      <c r="W1199" s="505">
        <v>360</v>
      </c>
      <c r="X1199" s="403">
        <v>768</v>
      </c>
      <c r="Y1199" s="477">
        <f t="shared" si="148"/>
        <v>276480</v>
      </c>
      <c r="Z1199" s="478">
        <v>0.53</v>
      </c>
      <c r="AA1199" s="479">
        <f t="shared" si="149"/>
        <v>146534.39999999999</v>
      </c>
      <c r="AB1199" s="480"/>
      <c r="AC1199" s="481"/>
      <c r="AD1199" s="490"/>
      <c r="AE1199" s="482"/>
      <c r="AF1199" s="493">
        <f t="shared" si="150"/>
        <v>146534.39999999999</v>
      </c>
      <c r="AG1199" s="474" t="s">
        <v>47</v>
      </c>
      <c r="AH1199" s="474"/>
      <c r="AI1199" s="474">
        <v>45</v>
      </c>
      <c r="AJ1199" s="474" t="s">
        <v>3963</v>
      </c>
      <c r="AK1199" s="474" t="s">
        <v>1084</v>
      </c>
      <c r="AL1199" s="494">
        <v>33442</v>
      </c>
      <c r="AM1199" s="474" t="s">
        <v>52</v>
      </c>
      <c r="AN1199" s="474"/>
      <c r="AO1199" s="474"/>
      <c r="AP1199" s="482"/>
      <c r="AQ1199" s="482" t="s">
        <v>37</v>
      </c>
      <c r="AR1199" s="474"/>
      <c r="AS1199" s="472"/>
      <c r="AT1199" s="281"/>
      <c r="AU1199" s="436"/>
      <c r="AV1199" s="472"/>
    </row>
    <row r="1200" spans="1:48" s="471" customFormat="1" ht="15" customHeight="1">
      <c r="A1200" s="278"/>
      <c r="B1200" s="279"/>
      <c r="C1200" s="289" t="s">
        <v>1211</v>
      </c>
      <c r="D1200" s="405" t="s">
        <v>3678</v>
      </c>
      <c r="E1200" s="300"/>
      <c r="F1200" s="501"/>
      <c r="G1200" s="501">
        <v>2022</v>
      </c>
      <c r="H1200" s="501"/>
      <c r="I1200" s="382" t="s">
        <v>1286</v>
      </c>
      <c r="J1200" s="502"/>
      <c r="K1200" s="501" t="s">
        <v>4018</v>
      </c>
      <c r="L1200" s="502" t="s">
        <v>1120</v>
      </c>
      <c r="M1200" s="502">
        <v>44565</v>
      </c>
      <c r="N1200" s="502">
        <v>44685</v>
      </c>
      <c r="O1200" s="502"/>
      <c r="P1200" s="502"/>
      <c r="Q1200" s="502"/>
      <c r="R1200" s="502"/>
      <c r="S1200" s="501" t="s">
        <v>1102</v>
      </c>
      <c r="T1200" s="501">
        <v>60</v>
      </c>
      <c r="U1200" s="501"/>
      <c r="V1200" s="501" t="s">
        <v>986</v>
      </c>
      <c r="W1200" s="505">
        <v>360</v>
      </c>
      <c r="X1200" s="403">
        <v>768</v>
      </c>
      <c r="Y1200" s="477">
        <f t="shared" si="148"/>
        <v>276480</v>
      </c>
      <c r="Z1200" s="478">
        <v>0.53</v>
      </c>
      <c r="AA1200" s="479">
        <f t="shared" si="149"/>
        <v>146534.39999999999</v>
      </c>
      <c r="AB1200" s="386"/>
      <c r="AC1200" s="481"/>
      <c r="AD1200" s="474"/>
      <c r="AE1200" s="482"/>
      <c r="AF1200" s="493">
        <f t="shared" si="150"/>
        <v>146534.39999999999</v>
      </c>
      <c r="AG1200" s="474" t="s">
        <v>47</v>
      </c>
      <c r="AH1200" s="447"/>
      <c r="AI1200" s="474">
        <v>45</v>
      </c>
      <c r="AJ1200" s="474" t="s">
        <v>1132</v>
      </c>
      <c r="AK1200" s="474" t="s">
        <v>1133</v>
      </c>
      <c r="AL1200" s="494">
        <v>85215</v>
      </c>
      <c r="AM1200" s="474" t="s">
        <v>52</v>
      </c>
      <c r="AN1200" s="474"/>
      <c r="AO1200" s="474"/>
      <c r="AP1200" s="474"/>
      <c r="AQ1200" s="482" t="s">
        <v>37</v>
      </c>
      <c r="AR1200" s="474"/>
      <c r="AS1200" s="387"/>
      <c r="AT1200" s="356"/>
      <c r="AU1200" s="387"/>
      <c r="AV1200" s="472"/>
    </row>
    <row r="1201" spans="1:48" s="471" customFormat="1" ht="15" customHeight="1">
      <c r="A1201" s="278"/>
      <c r="B1201" s="279"/>
      <c r="C1201" s="289" t="s">
        <v>1211</v>
      </c>
      <c r="D1201" s="405" t="s">
        <v>3678</v>
      </c>
      <c r="E1201" s="300"/>
      <c r="F1201" s="501"/>
      <c r="G1201" s="501">
        <v>2022</v>
      </c>
      <c r="H1201" s="382"/>
      <c r="I1201" s="382" t="s">
        <v>1286</v>
      </c>
      <c r="J1201" s="502"/>
      <c r="K1201" s="501" t="s">
        <v>3971</v>
      </c>
      <c r="L1201" s="502" t="s">
        <v>1120</v>
      </c>
      <c r="M1201" s="502">
        <v>44565</v>
      </c>
      <c r="N1201" s="502">
        <v>44685</v>
      </c>
      <c r="O1201" s="502"/>
      <c r="P1201" s="502"/>
      <c r="Q1201" s="502"/>
      <c r="R1201" s="502"/>
      <c r="S1201" s="501" t="s">
        <v>1102</v>
      </c>
      <c r="T1201" s="501">
        <v>60</v>
      </c>
      <c r="U1201" s="501"/>
      <c r="V1201" s="501" t="s">
        <v>986</v>
      </c>
      <c r="W1201" s="505">
        <v>360</v>
      </c>
      <c r="X1201" s="403">
        <v>768</v>
      </c>
      <c r="Y1201" s="477">
        <f t="shared" si="148"/>
        <v>276480</v>
      </c>
      <c r="Z1201" s="478">
        <v>0.53</v>
      </c>
      <c r="AA1201" s="479">
        <f t="shared" si="149"/>
        <v>146534.39999999999</v>
      </c>
      <c r="AB1201" s="480"/>
      <c r="AC1201" s="481"/>
      <c r="AD1201" s="490"/>
      <c r="AE1201" s="482"/>
      <c r="AF1201" s="493">
        <f t="shared" si="150"/>
        <v>146534.39999999999</v>
      </c>
      <c r="AG1201" s="474" t="s">
        <v>47</v>
      </c>
      <c r="AH1201" s="474"/>
      <c r="AI1201" s="474">
        <v>45</v>
      </c>
      <c r="AJ1201" s="474" t="s">
        <v>1124</v>
      </c>
      <c r="AK1201" s="474" t="s">
        <v>1125</v>
      </c>
      <c r="AL1201" s="494">
        <v>55122</v>
      </c>
      <c r="AM1201" s="474" t="s">
        <v>52</v>
      </c>
      <c r="AN1201" s="474"/>
      <c r="AO1201" s="474"/>
      <c r="AP1201" s="482"/>
      <c r="AQ1201" s="482" t="s">
        <v>37</v>
      </c>
      <c r="AR1201" s="474"/>
      <c r="AS1201" s="472"/>
      <c r="AT1201" s="281"/>
      <c r="AU1201" s="436"/>
      <c r="AV1201" s="472"/>
    </row>
    <row r="1202" spans="1:48" s="471" customFormat="1" ht="15" customHeight="1">
      <c r="A1202" s="278"/>
      <c r="B1202" s="279"/>
      <c r="C1202" s="289" t="s">
        <v>1211</v>
      </c>
      <c r="D1202" s="405" t="s">
        <v>3678</v>
      </c>
      <c r="E1202" s="300"/>
      <c r="F1202" s="501"/>
      <c r="G1202" s="501">
        <v>2022</v>
      </c>
      <c r="H1202" s="382"/>
      <c r="I1202" s="382" t="s">
        <v>1286</v>
      </c>
      <c r="J1202" s="502"/>
      <c r="K1202" s="501" t="s">
        <v>3971</v>
      </c>
      <c r="L1202" s="502" t="s">
        <v>1120</v>
      </c>
      <c r="M1202" s="502">
        <v>44565</v>
      </c>
      <c r="N1202" s="502">
        <v>44685</v>
      </c>
      <c r="O1202" s="502"/>
      <c r="P1202" s="502"/>
      <c r="Q1202" s="502"/>
      <c r="R1202" s="502"/>
      <c r="S1202" s="501" t="s">
        <v>1102</v>
      </c>
      <c r="T1202" s="501">
        <v>60</v>
      </c>
      <c r="U1202" s="501"/>
      <c r="V1202" s="501" t="s">
        <v>973</v>
      </c>
      <c r="W1202" s="505">
        <v>400</v>
      </c>
      <c r="X1202" s="403">
        <v>832</v>
      </c>
      <c r="Y1202" s="477">
        <f t="shared" si="148"/>
        <v>332800</v>
      </c>
      <c r="Z1202" s="478">
        <v>0.55000000000000004</v>
      </c>
      <c r="AA1202" s="479">
        <f t="shared" si="149"/>
        <v>183040.00000000003</v>
      </c>
      <c r="AB1202" s="480"/>
      <c r="AC1202" s="481"/>
      <c r="AD1202" s="490"/>
      <c r="AE1202" s="482"/>
      <c r="AF1202" s="493">
        <f t="shared" si="150"/>
        <v>183040.00000000003</v>
      </c>
      <c r="AG1202" s="474" t="s">
        <v>47</v>
      </c>
      <c r="AH1202" s="474"/>
      <c r="AI1202" s="474">
        <v>45</v>
      </c>
      <c r="AJ1202" s="474" t="s">
        <v>1124</v>
      </c>
      <c r="AK1202" s="474" t="s">
        <v>1125</v>
      </c>
      <c r="AL1202" s="494">
        <v>55122</v>
      </c>
      <c r="AM1202" s="474" t="s">
        <v>52</v>
      </c>
      <c r="AN1202" s="474"/>
      <c r="AO1202" s="474"/>
      <c r="AP1202" s="482"/>
      <c r="AQ1202" s="482" t="s">
        <v>37</v>
      </c>
      <c r="AR1202" s="474"/>
      <c r="AS1202" s="472"/>
      <c r="AT1202" s="281"/>
      <c r="AU1202" s="436"/>
      <c r="AV1202" s="472"/>
    </row>
    <row r="1203" spans="1:48" s="471" customFormat="1" ht="15" customHeight="1">
      <c r="A1203" s="278"/>
      <c r="B1203" s="279">
        <v>44545</v>
      </c>
      <c r="C1203" s="279" t="s">
        <v>1211</v>
      </c>
      <c r="D1203" s="405" t="s">
        <v>3678</v>
      </c>
      <c r="E1203" s="305" t="s">
        <v>5089</v>
      </c>
      <c r="F1203" s="501"/>
      <c r="G1203" s="501">
        <v>2022</v>
      </c>
      <c r="H1203" s="501"/>
      <c r="I1203" s="501" t="s">
        <v>4982</v>
      </c>
      <c r="J1203" s="502"/>
      <c r="K1203" s="501" t="s">
        <v>5090</v>
      </c>
      <c r="L1203" s="502" t="s">
        <v>1187</v>
      </c>
      <c r="M1203" s="502">
        <v>44645</v>
      </c>
      <c r="N1203" s="502">
        <v>44755</v>
      </c>
      <c r="O1203" s="502"/>
      <c r="P1203" s="502"/>
      <c r="Q1203" s="502"/>
      <c r="R1203" s="502"/>
      <c r="S1203" s="501" t="s">
        <v>1102</v>
      </c>
      <c r="T1203" s="501">
        <v>60</v>
      </c>
      <c r="U1203" s="501"/>
      <c r="V1203" s="501" t="s">
        <v>986</v>
      </c>
      <c r="W1203" s="505">
        <v>400</v>
      </c>
      <c r="X1203" s="403">
        <v>9984</v>
      </c>
      <c r="Y1203" s="477">
        <f t="shared" si="148"/>
        <v>3993600</v>
      </c>
      <c r="Z1203" s="478">
        <v>0.52</v>
      </c>
      <c r="AA1203" s="479">
        <f t="shared" ref="AA1203:AA1222" si="151">Y1203*Z1203</f>
        <v>2076672</v>
      </c>
      <c r="AB1203" s="480"/>
      <c r="AC1203" s="481">
        <f t="shared" ref="AC1203:AC1213" si="152">AB1203*Y1203</f>
        <v>0</v>
      </c>
      <c r="AD1203" s="490"/>
      <c r="AE1203" s="482"/>
      <c r="AF1203" s="493">
        <f t="shared" si="150"/>
        <v>2076672</v>
      </c>
      <c r="AG1203" s="474" t="s">
        <v>1071</v>
      </c>
      <c r="AH1203" s="474"/>
      <c r="AI1203" s="474">
        <v>60</v>
      </c>
      <c r="AJ1203" s="474" t="s">
        <v>5091</v>
      </c>
      <c r="AK1203" s="474" t="s">
        <v>1096</v>
      </c>
      <c r="AL1203" s="494" t="s">
        <v>5092</v>
      </c>
      <c r="AM1203" s="474" t="s">
        <v>52</v>
      </c>
      <c r="AN1203" s="474" t="s">
        <v>1074</v>
      </c>
      <c r="AO1203" s="474"/>
      <c r="AP1203" s="482"/>
      <c r="AQ1203" s="482" t="s">
        <v>37</v>
      </c>
      <c r="AR1203" s="474"/>
      <c r="AS1203" s="472" t="s">
        <v>1076</v>
      </c>
      <c r="AT1203" s="281" t="s">
        <v>1076</v>
      </c>
      <c r="AU1203" s="436" t="s">
        <v>1076</v>
      </c>
      <c r="AV1203" s="472"/>
    </row>
    <row r="1204" spans="1:48" s="471" customFormat="1" ht="15" customHeight="1">
      <c r="A1204" s="278"/>
      <c r="B1204" s="279"/>
      <c r="C1204" s="279"/>
      <c r="D1204" s="405" t="s">
        <v>3678</v>
      </c>
      <c r="E1204" s="300" t="s">
        <v>5093</v>
      </c>
      <c r="F1204" s="501"/>
      <c r="G1204" s="501">
        <v>2022</v>
      </c>
      <c r="H1204" s="501"/>
      <c r="I1204" s="501" t="s">
        <v>4982</v>
      </c>
      <c r="J1204" s="502"/>
      <c r="K1204" s="501" t="s">
        <v>5090</v>
      </c>
      <c r="L1204" s="502" t="s">
        <v>5094</v>
      </c>
      <c r="M1204" s="502">
        <v>44645</v>
      </c>
      <c r="N1204" s="502">
        <v>44790</v>
      </c>
      <c r="O1204" s="502"/>
      <c r="P1204" s="502"/>
      <c r="Q1204" s="502"/>
      <c r="R1204" s="502"/>
      <c r="S1204" s="501" t="s">
        <v>1102</v>
      </c>
      <c r="T1204" s="501">
        <v>60</v>
      </c>
      <c r="U1204" s="501"/>
      <c r="V1204" s="501" t="s">
        <v>973</v>
      </c>
      <c r="W1204" s="505">
        <v>360</v>
      </c>
      <c r="X1204" s="403">
        <v>3328</v>
      </c>
      <c r="Y1204" s="477">
        <f t="shared" si="148"/>
        <v>1198080</v>
      </c>
      <c r="Z1204" s="478">
        <v>0.54</v>
      </c>
      <c r="AA1204" s="479">
        <f t="shared" si="151"/>
        <v>646963.20000000007</v>
      </c>
      <c r="AB1204" s="480"/>
      <c r="AC1204" s="481">
        <f t="shared" si="152"/>
        <v>0</v>
      </c>
      <c r="AD1204" s="490"/>
      <c r="AE1204" s="482"/>
      <c r="AF1204" s="493">
        <f t="shared" si="150"/>
        <v>646963.20000000007</v>
      </c>
      <c r="AG1204" s="474" t="s">
        <v>1071</v>
      </c>
      <c r="AH1204" s="474"/>
      <c r="AI1204" s="474">
        <v>60</v>
      </c>
      <c r="AJ1204" s="474" t="s">
        <v>1194</v>
      </c>
      <c r="AK1204" s="474" t="s">
        <v>1073</v>
      </c>
      <c r="AL1204" s="494">
        <v>21046</v>
      </c>
      <c r="AM1204" s="474" t="s">
        <v>52</v>
      </c>
      <c r="AN1204" s="474"/>
      <c r="AO1204" s="474"/>
      <c r="AP1204" s="482"/>
      <c r="AQ1204" s="482" t="s">
        <v>37</v>
      </c>
      <c r="AR1204" s="474"/>
      <c r="AS1204" s="472" t="s">
        <v>1076</v>
      </c>
      <c r="AT1204" s="281" t="s">
        <v>1076</v>
      </c>
      <c r="AU1204" s="436" t="s">
        <v>1076</v>
      </c>
      <c r="AV1204" s="472"/>
    </row>
    <row r="1205" spans="1:48" s="471" customFormat="1" ht="15" customHeight="1">
      <c r="A1205" s="278"/>
      <c r="B1205" s="279"/>
      <c r="C1205" s="279"/>
      <c r="D1205" s="405" t="s">
        <v>3678</v>
      </c>
      <c r="E1205" s="300" t="s">
        <v>5093</v>
      </c>
      <c r="F1205" s="501"/>
      <c r="G1205" s="501">
        <v>2022</v>
      </c>
      <c r="H1205" s="501"/>
      <c r="I1205" s="501" t="s">
        <v>4982</v>
      </c>
      <c r="J1205" s="502"/>
      <c r="K1205" s="501" t="s">
        <v>5090</v>
      </c>
      <c r="L1205" s="502" t="s">
        <v>5094</v>
      </c>
      <c r="M1205" s="502">
        <v>44645</v>
      </c>
      <c r="N1205" s="502">
        <v>44818</v>
      </c>
      <c r="O1205" s="502"/>
      <c r="P1205" s="502"/>
      <c r="Q1205" s="502"/>
      <c r="R1205" s="502"/>
      <c r="S1205" s="501" t="s">
        <v>1102</v>
      </c>
      <c r="T1205" s="501">
        <v>60</v>
      </c>
      <c r="U1205" s="501"/>
      <c r="V1205" s="501" t="s">
        <v>973</v>
      </c>
      <c r="W1205" s="505">
        <v>360</v>
      </c>
      <c r="X1205" s="403">
        <v>3328</v>
      </c>
      <c r="Y1205" s="477">
        <f t="shared" si="148"/>
        <v>1198080</v>
      </c>
      <c r="Z1205" s="478">
        <v>0.54</v>
      </c>
      <c r="AA1205" s="479">
        <f t="shared" si="151"/>
        <v>646963.20000000007</v>
      </c>
      <c r="AB1205" s="480"/>
      <c r="AC1205" s="481">
        <f t="shared" si="152"/>
        <v>0</v>
      </c>
      <c r="AD1205" s="490"/>
      <c r="AE1205" s="482"/>
      <c r="AF1205" s="493">
        <f t="shared" si="150"/>
        <v>646963.20000000007</v>
      </c>
      <c r="AG1205" s="474" t="s">
        <v>1071</v>
      </c>
      <c r="AH1205" s="474"/>
      <c r="AI1205" s="474">
        <v>60</v>
      </c>
      <c r="AJ1205" s="474" t="s">
        <v>1194</v>
      </c>
      <c r="AK1205" s="474" t="s">
        <v>1073</v>
      </c>
      <c r="AL1205" s="494">
        <v>21046</v>
      </c>
      <c r="AM1205" s="474" t="s">
        <v>52</v>
      </c>
      <c r="AN1205" s="474"/>
      <c r="AO1205" s="474"/>
      <c r="AP1205" s="482"/>
      <c r="AQ1205" s="482" t="s">
        <v>37</v>
      </c>
      <c r="AR1205" s="474"/>
      <c r="AS1205" s="472" t="s">
        <v>1076</v>
      </c>
      <c r="AT1205" s="281" t="s">
        <v>1076</v>
      </c>
      <c r="AU1205" s="436" t="s">
        <v>1076</v>
      </c>
      <c r="AV1205" s="472"/>
    </row>
    <row r="1206" spans="1:48" s="471" customFormat="1" ht="15" customHeight="1">
      <c r="A1206" s="278"/>
      <c r="B1206" s="279"/>
      <c r="C1206" s="279"/>
      <c r="D1206" s="405" t="s">
        <v>3678</v>
      </c>
      <c r="E1206" s="300" t="s">
        <v>5514</v>
      </c>
      <c r="F1206" s="501"/>
      <c r="G1206" s="501">
        <v>2022</v>
      </c>
      <c r="H1206" s="501"/>
      <c r="I1206" s="501" t="s">
        <v>4982</v>
      </c>
      <c r="J1206" s="502"/>
      <c r="K1206" s="501" t="s">
        <v>5096</v>
      </c>
      <c r="L1206" s="502" t="s">
        <v>5094</v>
      </c>
      <c r="M1206" s="502">
        <v>44655</v>
      </c>
      <c r="N1206" s="502">
        <v>44896</v>
      </c>
      <c r="O1206" s="502"/>
      <c r="P1206" s="502"/>
      <c r="Q1206" s="502"/>
      <c r="R1206" s="502"/>
      <c r="S1206" s="501" t="s">
        <v>1102</v>
      </c>
      <c r="T1206" s="501">
        <v>60</v>
      </c>
      <c r="U1206" s="501"/>
      <c r="V1206" s="501" t="s">
        <v>973</v>
      </c>
      <c r="W1206" s="505">
        <v>400</v>
      </c>
      <c r="X1206" s="403">
        <v>1664</v>
      </c>
      <c r="Y1206" s="477">
        <f t="shared" si="148"/>
        <v>665600</v>
      </c>
      <c r="Z1206" s="478">
        <v>0.55000000000000004</v>
      </c>
      <c r="AA1206" s="479">
        <f t="shared" si="151"/>
        <v>366080.00000000006</v>
      </c>
      <c r="AB1206" s="480"/>
      <c r="AC1206" s="481">
        <f t="shared" si="152"/>
        <v>0</v>
      </c>
      <c r="AD1206" s="490"/>
      <c r="AE1206" s="482"/>
      <c r="AF1206" s="493">
        <f t="shared" si="150"/>
        <v>366080.00000000006</v>
      </c>
      <c r="AG1206" s="474" t="s">
        <v>1071</v>
      </c>
      <c r="AH1206" s="474"/>
      <c r="AI1206" s="474">
        <v>60</v>
      </c>
      <c r="AJ1206" s="474" t="s">
        <v>1194</v>
      </c>
      <c r="AK1206" s="474" t="s">
        <v>1073</v>
      </c>
      <c r="AL1206" s="494">
        <v>21046</v>
      </c>
      <c r="AM1206" s="474" t="s">
        <v>52</v>
      </c>
      <c r="AN1206" s="474"/>
      <c r="AO1206" s="474"/>
      <c r="AP1206" s="482"/>
      <c r="AQ1206" s="482" t="s">
        <v>37</v>
      </c>
      <c r="AR1206" s="474"/>
      <c r="AS1206" s="472" t="s">
        <v>1076</v>
      </c>
      <c r="AT1206" s="281" t="s">
        <v>1076</v>
      </c>
      <c r="AU1206" s="436" t="s">
        <v>1076</v>
      </c>
      <c r="AV1206" s="472"/>
    </row>
    <row r="1207" spans="1:48" s="471" customFormat="1" ht="15" customHeight="1">
      <c r="A1207" s="278"/>
      <c r="B1207" s="279"/>
      <c r="C1207" s="279"/>
      <c r="D1207" s="405" t="s">
        <v>3678</v>
      </c>
      <c r="E1207" s="300" t="s">
        <v>5095</v>
      </c>
      <c r="F1207" s="501"/>
      <c r="G1207" s="501">
        <v>2022</v>
      </c>
      <c r="H1207" s="501"/>
      <c r="I1207" s="501" t="s">
        <v>4982</v>
      </c>
      <c r="J1207" s="502"/>
      <c r="K1207" s="501" t="s">
        <v>5096</v>
      </c>
      <c r="L1207" s="502" t="s">
        <v>5094</v>
      </c>
      <c r="M1207" s="502">
        <v>44655</v>
      </c>
      <c r="N1207" s="502">
        <v>44896</v>
      </c>
      <c r="O1207" s="502"/>
      <c r="P1207" s="502"/>
      <c r="Q1207" s="502"/>
      <c r="R1207" s="502"/>
      <c r="S1207" s="501" t="s">
        <v>1102</v>
      </c>
      <c r="T1207" s="501">
        <v>60</v>
      </c>
      <c r="U1207" s="501"/>
      <c r="V1207" s="501" t="s">
        <v>986</v>
      </c>
      <c r="W1207" s="505">
        <v>360</v>
      </c>
      <c r="X1207" s="403">
        <v>4160</v>
      </c>
      <c r="Y1207" s="477">
        <f t="shared" si="148"/>
        <v>1497600</v>
      </c>
      <c r="Z1207" s="478">
        <v>0.53</v>
      </c>
      <c r="AA1207" s="479">
        <f t="shared" si="151"/>
        <v>793728</v>
      </c>
      <c r="AB1207" s="480"/>
      <c r="AC1207" s="481">
        <f t="shared" si="152"/>
        <v>0</v>
      </c>
      <c r="AD1207" s="490"/>
      <c r="AE1207" s="482"/>
      <c r="AF1207" s="493">
        <f t="shared" si="150"/>
        <v>793728</v>
      </c>
      <c r="AG1207" s="474" t="s">
        <v>1071</v>
      </c>
      <c r="AH1207" s="474"/>
      <c r="AI1207" s="474">
        <v>60</v>
      </c>
      <c r="AJ1207" s="474" t="s">
        <v>1194</v>
      </c>
      <c r="AK1207" s="474" t="s">
        <v>1073</v>
      </c>
      <c r="AL1207" s="494">
        <v>21046</v>
      </c>
      <c r="AM1207" s="474" t="s">
        <v>52</v>
      </c>
      <c r="AN1207" s="474"/>
      <c r="AO1207" s="474"/>
      <c r="AP1207" s="482"/>
      <c r="AQ1207" s="482" t="s">
        <v>37</v>
      </c>
      <c r="AR1207" s="474"/>
      <c r="AS1207" s="472" t="s">
        <v>1076</v>
      </c>
      <c r="AT1207" s="281" t="s">
        <v>1076</v>
      </c>
      <c r="AU1207" s="436" t="s">
        <v>1076</v>
      </c>
      <c r="AV1207" s="472"/>
    </row>
    <row r="1208" spans="1:48" s="471" customFormat="1" ht="15" customHeight="1">
      <c r="A1208" s="278"/>
      <c r="B1208" s="279"/>
      <c r="C1208" s="279"/>
      <c r="D1208" s="405" t="s">
        <v>3678</v>
      </c>
      <c r="E1208" s="300" t="s">
        <v>5515</v>
      </c>
      <c r="F1208" s="501"/>
      <c r="G1208" s="501">
        <v>2022</v>
      </c>
      <c r="H1208" s="501"/>
      <c r="I1208" s="501" t="s">
        <v>4982</v>
      </c>
      <c r="J1208" s="502"/>
      <c r="K1208" s="501" t="s">
        <v>5098</v>
      </c>
      <c r="L1208" s="502" t="s">
        <v>5094</v>
      </c>
      <c r="M1208" s="502">
        <v>44655</v>
      </c>
      <c r="N1208" s="502">
        <v>44866</v>
      </c>
      <c r="O1208" s="502"/>
      <c r="P1208" s="502"/>
      <c r="Q1208" s="502"/>
      <c r="R1208" s="502"/>
      <c r="S1208" s="501" t="s">
        <v>1102</v>
      </c>
      <c r="T1208" s="501">
        <v>60</v>
      </c>
      <c r="U1208" s="501"/>
      <c r="V1208" s="501" t="s">
        <v>973</v>
      </c>
      <c r="W1208" s="505">
        <v>400</v>
      </c>
      <c r="X1208" s="403">
        <v>1664</v>
      </c>
      <c r="Y1208" s="477">
        <f t="shared" si="148"/>
        <v>665600</v>
      </c>
      <c r="Z1208" s="478">
        <v>0.55000000000000004</v>
      </c>
      <c r="AA1208" s="479">
        <f t="shared" si="151"/>
        <v>366080.00000000006</v>
      </c>
      <c r="AB1208" s="480"/>
      <c r="AC1208" s="481">
        <f t="shared" si="152"/>
        <v>0</v>
      </c>
      <c r="AD1208" s="490"/>
      <c r="AE1208" s="482"/>
      <c r="AF1208" s="493">
        <f t="shared" si="150"/>
        <v>366080.00000000006</v>
      </c>
      <c r="AG1208" s="474" t="s">
        <v>1071</v>
      </c>
      <c r="AH1208" s="474"/>
      <c r="AI1208" s="474">
        <v>60</v>
      </c>
      <c r="AJ1208" s="474" t="s">
        <v>1194</v>
      </c>
      <c r="AK1208" s="474" t="s">
        <v>1073</v>
      </c>
      <c r="AL1208" s="494">
        <v>21046</v>
      </c>
      <c r="AM1208" s="474" t="s">
        <v>52</v>
      </c>
      <c r="AN1208" s="474"/>
      <c r="AO1208" s="474"/>
      <c r="AP1208" s="482"/>
      <c r="AQ1208" s="482" t="s">
        <v>37</v>
      </c>
      <c r="AR1208" s="474"/>
      <c r="AS1208" s="472" t="s">
        <v>1076</v>
      </c>
      <c r="AT1208" s="281" t="s">
        <v>1076</v>
      </c>
      <c r="AU1208" s="436" t="s">
        <v>1076</v>
      </c>
      <c r="AV1208" s="472"/>
    </row>
    <row r="1209" spans="1:48" s="471" customFormat="1" ht="14.25" customHeight="1">
      <c r="A1209" s="278"/>
      <c r="B1209" s="279"/>
      <c r="C1209" s="279"/>
      <c r="D1209" s="405" t="s">
        <v>3678</v>
      </c>
      <c r="E1209" s="300" t="s">
        <v>5097</v>
      </c>
      <c r="F1209" s="501"/>
      <c r="G1209" s="501">
        <v>2022</v>
      </c>
      <c r="H1209" s="501"/>
      <c r="I1209" s="501" t="s">
        <v>4982</v>
      </c>
      <c r="J1209" s="502"/>
      <c r="K1209" s="501" t="s">
        <v>5098</v>
      </c>
      <c r="L1209" s="502" t="s">
        <v>5094</v>
      </c>
      <c r="M1209" s="502">
        <v>44655</v>
      </c>
      <c r="N1209" s="502">
        <v>44866</v>
      </c>
      <c r="O1209" s="502"/>
      <c r="P1209" s="502"/>
      <c r="Q1209" s="502"/>
      <c r="R1209" s="502"/>
      <c r="S1209" s="501" t="s">
        <v>1102</v>
      </c>
      <c r="T1209" s="501">
        <v>60</v>
      </c>
      <c r="U1209" s="501"/>
      <c r="V1209" s="501" t="s">
        <v>986</v>
      </c>
      <c r="W1209" s="505">
        <v>360</v>
      </c>
      <c r="X1209" s="403">
        <v>4160</v>
      </c>
      <c r="Y1209" s="477">
        <f t="shared" si="148"/>
        <v>1497600</v>
      </c>
      <c r="Z1209" s="478">
        <v>0.53</v>
      </c>
      <c r="AA1209" s="479">
        <f t="shared" si="151"/>
        <v>793728</v>
      </c>
      <c r="AB1209" s="480"/>
      <c r="AC1209" s="481">
        <f t="shared" si="152"/>
        <v>0</v>
      </c>
      <c r="AD1209" s="490"/>
      <c r="AE1209" s="482"/>
      <c r="AF1209" s="493">
        <f t="shared" si="150"/>
        <v>793728</v>
      </c>
      <c r="AG1209" s="474" t="s">
        <v>1071</v>
      </c>
      <c r="AH1209" s="474"/>
      <c r="AI1209" s="474">
        <v>60</v>
      </c>
      <c r="AJ1209" s="474" t="s">
        <v>1194</v>
      </c>
      <c r="AK1209" s="474" t="s">
        <v>1073</v>
      </c>
      <c r="AL1209" s="494">
        <v>21046</v>
      </c>
      <c r="AM1209" s="474" t="s">
        <v>52</v>
      </c>
      <c r="AN1209" s="474"/>
      <c r="AO1209" s="474"/>
      <c r="AP1209" s="482"/>
      <c r="AQ1209" s="482" t="s">
        <v>37</v>
      </c>
      <c r="AR1209" s="474"/>
      <c r="AS1209" s="472" t="s">
        <v>1076</v>
      </c>
      <c r="AT1209" s="281" t="s">
        <v>1076</v>
      </c>
      <c r="AU1209" s="436" t="s">
        <v>1076</v>
      </c>
      <c r="AV1209" s="472"/>
    </row>
    <row r="1210" spans="1:48" s="471" customFormat="1" ht="15" customHeight="1">
      <c r="A1210" s="278"/>
      <c r="B1210" s="279"/>
      <c r="C1210" s="279"/>
      <c r="D1210" s="405" t="s">
        <v>3678</v>
      </c>
      <c r="E1210" s="300" t="s">
        <v>5516</v>
      </c>
      <c r="F1210" s="501"/>
      <c r="G1210" s="501">
        <v>2022</v>
      </c>
      <c r="H1210" s="501"/>
      <c r="I1210" s="501" t="s">
        <v>4982</v>
      </c>
      <c r="J1210" s="502"/>
      <c r="K1210" s="501" t="s">
        <v>5100</v>
      </c>
      <c r="L1210" s="502" t="s">
        <v>5094</v>
      </c>
      <c r="M1210" s="502">
        <v>44655</v>
      </c>
      <c r="N1210" s="502">
        <v>44835</v>
      </c>
      <c r="O1210" s="502"/>
      <c r="P1210" s="502"/>
      <c r="Q1210" s="502"/>
      <c r="R1210" s="502"/>
      <c r="S1210" s="501" t="s">
        <v>1102</v>
      </c>
      <c r="T1210" s="501">
        <v>60</v>
      </c>
      <c r="U1210" s="501"/>
      <c r="V1210" s="501" t="s">
        <v>973</v>
      </c>
      <c r="W1210" s="505">
        <v>400</v>
      </c>
      <c r="X1210" s="403">
        <v>1664</v>
      </c>
      <c r="Y1210" s="477">
        <f t="shared" si="148"/>
        <v>665600</v>
      </c>
      <c r="Z1210" s="478">
        <v>0.55000000000000004</v>
      </c>
      <c r="AA1210" s="479">
        <f t="shared" si="151"/>
        <v>366080.00000000006</v>
      </c>
      <c r="AB1210" s="480"/>
      <c r="AC1210" s="481">
        <f t="shared" si="152"/>
        <v>0</v>
      </c>
      <c r="AD1210" s="490"/>
      <c r="AE1210" s="482"/>
      <c r="AF1210" s="493">
        <f t="shared" si="150"/>
        <v>366080.00000000006</v>
      </c>
      <c r="AG1210" s="474" t="s">
        <v>1071</v>
      </c>
      <c r="AH1210" s="474"/>
      <c r="AI1210" s="474">
        <v>60</v>
      </c>
      <c r="AJ1210" s="474" t="s">
        <v>1194</v>
      </c>
      <c r="AK1210" s="474" t="s">
        <v>1073</v>
      </c>
      <c r="AL1210" s="494">
        <v>21046</v>
      </c>
      <c r="AM1210" s="474" t="s">
        <v>52</v>
      </c>
      <c r="AN1210" s="474"/>
      <c r="AO1210" s="474"/>
      <c r="AP1210" s="482"/>
      <c r="AQ1210" s="482" t="s">
        <v>37</v>
      </c>
      <c r="AR1210" s="474"/>
      <c r="AS1210" s="472" t="s">
        <v>1076</v>
      </c>
      <c r="AT1210" s="281" t="s">
        <v>1076</v>
      </c>
      <c r="AU1210" s="436" t="s">
        <v>1076</v>
      </c>
      <c r="AV1210" s="472"/>
    </row>
    <row r="1211" spans="1:48" s="471" customFormat="1" ht="15" customHeight="1">
      <c r="A1211" s="278"/>
      <c r="B1211" s="279"/>
      <c r="C1211" s="279"/>
      <c r="D1211" s="405" t="s">
        <v>3678</v>
      </c>
      <c r="E1211" s="300" t="s">
        <v>5099</v>
      </c>
      <c r="F1211" s="501"/>
      <c r="G1211" s="501">
        <v>2022</v>
      </c>
      <c r="H1211" s="501"/>
      <c r="I1211" s="501" t="s">
        <v>4982</v>
      </c>
      <c r="J1211" s="502"/>
      <c r="K1211" s="501" t="s">
        <v>5100</v>
      </c>
      <c r="L1211" s="502" t="s">
        <v>5094</v>
      </c>
      <c r="M1211" s="502">
        <v>44655</v>
      </c>
      <c r="N1211" s="502">
        <v>44835</v>
      </c>
      <c r="O1211" s="502"/>
      <c r="P1211" s="502"/>
      <c r="Q1211" s="502"/>
      <c r="R1211" s="502"/>
      <c r="S1211" s="501" t="s">
        <v>1102</v>
      </c>
      <c r="T1211" s="501">
        <v>60</v>
      </c>
      <c r="U1211" s="501"/>
      <c r="V1211" s="501" t="s">
        <v>986</v>
      </c>
      <c r="W1211" s="505">
        <v>360</v>
      </c>
      <c r="X1211" s="403">
        <v>4160</v>
      </c>
      <c r="Y1211" s="477">
        <f t="shared" si="148"/>
        <v>1497600</v>
      </c>
      <c r="Z1211" s="478">
        <v>0.53</v>
      </c>
      <c r="AA1211" s="479">
        <f t="shared" si="151"/>
        <v>793728</v>
      </c>
      <c r="AB1211" s="480"/>
      <c r="AC1211" s="481">
        <f t="shared" si="152"/>
        <v>0</v>
      </c>
      <c r="AD1211" s="490"/>
      <c r="AE1211" s="482"/>
      <c r="AF1211" s="493">
        <f t="shared" si="150"/>
        <v>793728</v>
      </c>
      <c r="AG1211" s="474" t="s">
        <v>1071</v>
      </c>
      <c r="AH1211" s="474"/>
      <c r="AI1211" s="474">
        <v>60</v>
      </c>
      <c r="AJ1211" s="474" t="s">
        <v>1194</v>
      </c>
      <c r="AK1211" s="474" t="s">
        <v>1073</v>
      </c>
      <c r="AL1211" s="494">
        <v>21046</v>
      </c>
      <c r="AM1211" s="474" t="s">
        <v>52</v>
      </c>
      <c r="AN1211" s="474"/>
      <c r="AO1211" s="474"/>
      <c r="AP1211" s="482"/>
      <c r="AQ1211" s="482" t="s">
        <v>37</v>
      </c>
      <c r="AR1211" s="474"/>
      <c r="AS1211" s="472" t="s">
        <v>1076</v>
      </c>
      <c r="AT1211" s="281" t="s">
        <v>1076</v>
      </c>
      <c r="AU1211" s="436" t="s">
        <v>1076</v>
      </c>
      <c r="AV1211" s="472"/>
    </row>
    <row r="1212" spans="1:48" s="471" customFormat="1" ht="15" customHeight="1">
      <c r="A1212" s="278"/>
      <c r="B1212" s="279"/>
      <c r="C1212" s="279"/>
      <c r="D1212" s="405" t="s">
        <v>3678</v>
      </c>
      <c r="E1212" s="300" t="s">
        <v>5517</v>
      </c>
      <c r="F1212" s="501"/>
      <c r="G1212" s="501">
        <v>2022</v>
      </c>
      <c r="H1212" s="501"/>
      <c r="I1212" s="501" t="s">
        <v>4982</v>
      </c>
      <c r="J1212" s="502"/>
      <c r="K1212" s="501" t="s">
        <v>5102</v>
      </c>
      <c r="L1212" s="502" t="s">
        <v>5094</v>
      </c>
      <c r="M1212" s="502">
        <v>44655</v>
      </c>
      <c r="N1212" s="502">
        <v>44805</v>
      </c>
      <c r="O1212" s="502"/>
      <c r="P1212" s="502"/>
      <c r="Q1212" s="502"/>
      <c r="R1212" s="502"/>
      <c r="S1212" s="501" t="s">
        <v>1102</v>
      </c>
      <c r="T1212" s="501">
        <v>60</v>
      </c>
      <c r="U1212" s="501"/>
      <c r="V1212" s="501" t="s">
        <v>973</v>
      </c>
      <c r="W1212" s="505">
        <v>400</v>
      </c>
      <c r="X1212" s="403">
        <v>1664</v>
      </c>
      <c r="Y1212" s="477">
        <f t="shared" si="148"/>
        <v>665600</v>
      </c>
      <c r="Z1212" s="478">
        <v>0.55000000000000004</v>
      </c>
      <c r="AA1212" s="479">
        <f t="shared" si="151"/>
        <v>366080.00000000006</v>
      </c>
      <c r="AB1212" s="480"/>
      <c r="AC1212" s="481">
        <f t="shared" si="152"/>
        <v>0</v>
      </c>
      <c r="AD1212" s="490"/>
      <c r="AE1212" s="482"/>
      <c r="AF1212" s="493">
        <f t="shared" si="150"/>
        <v>366080.00000000006</v>
      </c>
      <c r="AG1212" s="474" t="s">
        <v>1071</v>
      </c>
      <c r="AH1212" s="474"/>
      <c r="AI1212" s="474">
        <v>60</v>
      </c>
      <c r="AJ1212" s="474" t="s">
        <v>1194</v>
      </c>
      <c r="AK1212" s="474" t="s">
        <v>1073</v>
      </c>
      <c r="AL1212" s="494">
        <v>21046</v>
      </c>
      <c r="AM1212" s="474" t="s">
        <v>52</v>
      </c>
      <c r="AN1212" s="474"/>
      <c r="AO1212" s="474"/>
      <c r="AP1212" s="482"/>
      <c r="AQ1212" s="482" t="s">
        <v>37</v>
      </c>
      <c r="AR1212" s="474"/>
      <c r="AS1212" s="472" t="s">
        <v>1076</v>
      </c>
      <c r="AT1212" s="281" t="s">
        <v>1076</v>
      </c>
      <c r="AU1212" s="436" t="s">
        <v>1076</v>
      </c>
      <c r="AV1212" s="472"/>
    </row>
    <row r="1213" spans="1:48" s="471" customFormat="1" ht="15" customHeight="1">
      <c r="A1213" s="278"/>
      <c r="B1213" s="279"/>
      <c r="C1213" s="279"/>
      <c r="D1213" s="405" t="s">
        <v>3678</v>
      </c>
      <c r="E1213" s="300" t="s">
        <v>5101</v>
      </c>
      <c r="F1213" s="501"/>
      <c r="G1213" s="501">
        <v>2022</v>
      </c>
      <c r="H1213" s="501"/>
      <c r="I1213" s="501" t="s">
        <v>4982</v>
      </c>
      <c r="J1213" s="502"/>
      <c r="K1213" s="501" t="s">
        <v>5102</v>
      </c>
      <c r="L1213" s="502" t="s">
        <v>5094</v>
      </c>
      <c r="M1213" s="502">
        <v>44655</v>
      </c>
      <c r="N1213" s="502">
        <v>44805</v>
      </c>
      <c r="O1213" s="502"/>
      <c r="P1213" s="502"/>
      <c r="Q1213" s="502"/>
      <c r="R1213" s="502"/>
      <c r="S1213" s="501" t="s">
        <v>1102</v>
      </c>
      <c r="T1213" s="501">
        <v>60</v>
      </c>
      <c r="U1213" s="501"/>
      <c r="V1213" s="501" t="s">
        <v>986</v>
      </c>
      <c r="W1213" s="505">
        <v>360</v>
      </c>
      <c r="X1213" s="403">
        <v>4160</v>
      </c>
      <c r="Y1213" s="477">
        <f t="shared" si="148"/>
        <v>1497600</v>
      </c>
      <c r="Z1213" s="478">
        <v>0.53</v>
      </c>
      <c r="AA1213" s="479">
        <f t="shared" si="151"/>
        <v>793728</v>
      </c>
      <c r="AB1213" s="480"/>
      <c r="AC1213" s="481">
        <f t="shared" si="152"/>
        <v>0</v>
      </c>
      <c r="AD1213" s="490"/>
      <c r="AE1213" s="482"/>
      <c r="AF1213" s="493">
        <f t="shared" si="150"/>
        <v>793728</v>
      </c>
      <c r="AG1213" s="474" t="s">
        <v>1071</v>
      </c>
      <c r="AH1213" s="474"/>
      <c r="AI1213" s="474">
        <v>60</v>
      </c>
      <c r="AJ1213" s="474" t="s">
        <v>1194</v>
      </c>
      <c r="AK1213" s="474" t="s">
        <v>1073</v>
      </c>
      <c r="AL1213" s="494">
        <v>21046</v>
      </c>
      <c r="AM1213" s="474" t="s">
        <v>52</v>
      </c>
      <c r="AN1213" s="474"/>
      <c r="AO1213" s="474"/>
      <c r="AP1213" s="482"/>
      <c r="AQ1213" s="482" t="s">
        <v>37</v>
      </c>
      <c r="AR1213" s="474"/>
      <c r="AS1213" s="472" t="s">
        <v>1076</v>
      </c>
      <c r="AT1213" s="281" t="s">
        <v>1076</v>
      </c>
      <c r="AU1213" s="436" t="s">
        <v>1076</v>
      </c>
      <c r="AV1213" s="472"/>
    </row>
    <row r="1214" spans="1:48" s="471" customFormat="1" ht="15" customHeight="1">
      <c r="A1214" s="495"/>
      <c r="B1214" s="407" t="s">
        <v>1211</v>
      </c>
      <c r="C1214" s="407" t="s">
        <v>1211</v>
      </c>
      <c r="D1214" s="501" t="s">
        <v>3678</v>
      </c>
      <c r="E1214" s="306" t="s">
        <v>5103</v>
      </c>
      <c r="F1214" s="501"/>
      <c r="G1214" s="501">
        <v>2022</v>
      </c>
      <c r="H1214" s="501"/>
      <c r="I1214" s="512" t="s">
        <v>1676</v>
      </c>
      <c r="J1214" s="502"/>
      <c r="K1214" s="501" t="s">
        <v>5104</v>
      </c>
      <c r="L1214" s="502" t="s">
        <v>1366</v>
      </c>
      <c r="M1214" s="502">
        <v>44645</v>
      </c>
      <c r="N1214" s="502">
        <v>44835</v>
      </c>
      <c r="O1214" s="502"/>
      <c r="P1214" s="502"/>
      <c r="Q1214" s="502"/>
      <c r="R1214" s="502"/>
      <c r="S1214" s="501" t="s">
        <v>1102</v>
      </c>
      <c r="T1214" s="501">
        <v>60</v>
      </c>
      <c r="U1214" s="501"/>
      <c r="V1214" s="501" t="s">
        <v>986</v>
      </c>
      <c r="W1214" s="505">
        <v>360</v>
      </c>
      <c r="X1214" s="403">
        <v>896</v>
      </c>
      <c r="Y1214" s="477">
        <f t="shared" si="148"/>
        <v>322560</v>
      </c>
      <c r="Z1214" s="478">
        <v>0.53</v>
      </c>
      <c r="AA1214" s="479">
        <f t="shared" si="151"/>
        <v>170956.80000000002</v>
      </c>
      <c r="AB1214" s="386"/>
      <c r="AC1214" s="481">
        <v>0</v>
      </c>
      <c r="AD1214" s="474"/>
      <c r="AE1214" s="482"/>
      <c r="AF1214" s="493">
        <f t="shared" si="150"/>
        <v>170956.80000000002</v>
      </c>
      <c r="AG1214" s="474" t="s">
        <v>1071</v>
      </c>
      <c r="AH1214" s="447"/>
      <c r="AI1214" s="474">
        <v>60</v>
      </c>
      <c r="AJ1214" s="474" t="s">
        <v>1346</v>
      </c>
      <c r="AK1214" s="474" t="s">
        <v>1347</v>
      </c>
      <c r="AL1214" s="494">
        <v>18360</v>
      </c>
      <c r="AM1214" s="474" t="s">
        <v>52</v>
      </c>
      <c r="AN1214" s="474"/>
      <c r="AO1214" s="474"/>
      <c r="AP1214" s="474"/>
      <c r="AQ1214" s="474" t="s">
        <v>37</v>
      </c>
      <c r="AR1214" s="474"/>
      <c r="AS1214" s="387" t="s">
        <v>1075</v>
      </c>
      <c r="AT1214" s="356" t="s">
        <v>1076</v>
      </c>
      <c r="AU1214" s="387" t="s">
        <v>1076</v>
      </c>
      <c r="AV1214" s="472"/>
    </row>
    <row r="1215" spans="1:48" s="471" customFormat="1" ht="15" customHeight="1">
      <c r="A1215" s="495"/>
      <c r="B1215" s="407" t="s">
        <v>1211</v>
      </c>
      <c r="C1215" s="407" t="s">
        <v>1211</v>
      </c>
      <c r="D1215" s="501" t="s">
        <v>3678</v>
      </c>
      <c r="E1215" s="306" t="s">
        <v>5105</v>
      </c>
      <c r="F1215" s="501"/>
      <c r="G1215" s="501">
        <v>2022</v>
      </c>
      <c r="H1215" s="501"/>
      <c r="I1215" s="512" t="s">
        <v>1676</v>
      </c>
      <c r="J1215" s="502"/>
      <c r="K1215" s="501" t="s">
        <v>5106</v>
      </c>
      <c r="L1215" s="502" t="s">
        <v>1366</v>
      </c>
      <c r="M1215" s="502">
        <v>44645</v>
      </c>
      <c r="N1215" s="502">
        <v>44805</v>
      </c>
      <c r="O1215" s="502"/>
      <c r="P1215" s="502"/>
      <c r="Q1215" s="502"/>
      <c r="R1215" s="502"/>
      <c r="S1215" s="501" t="s">
        <v>1102</v>
      </c>
      <c r="T1215" s="501">
        <v>60</v>
      </c>
      <c r="U1215" s="501"/>
      <c r="V1215" s="501" t="s">
        <v>986</v>
      </c>
      <c r="W1215" s="505">
        <v>360</v>
      </c>
      <c r="X1215" s="403">
        <v>1792</v>
      </c>
      <c r="Y1215" s="477">
        <f t="shared" si="148"/>
        <v>645120</v>
      </c>
      <c r="Z1215" s="478">
        <v>0.53</v>
      </c>
      <c r="AA1215" s="479">
        <f t="shared" si="151"/>
        <v>341913.60000000003</v>
      </c>
      <c r="AB1215" s="386"/>
      <c r="AC1215" s="481">
        <v>0</v>
      </c>
      <c r="AD1215" s="474"/>
      <c r="AE1215" s="482"/>
      <c r="AF1215" s="493">
        <f t="shared" si="150"/>
        <v>341913.60000000003</v>
      </c>
      <c r="AG1215" s="474" t="s">
        <v>1071</v>
      </c>
      <c r="AH1215" s="447"/>
      <c r="AI1215" s="474">
        <v>60</v>
      </c>
      <c r="AJ1215" s="474" t="s">
        <v>1346</v>
      </c>
      <c r="AK1215" s="474" t="s">
        <v>1347</v>
      </c>
      <c r="AL1215" s="494">
        <v>18360</v>
      </c>
      <c r="AM1215" s="474" t="s">
        <v>52</v>
      </c>
      <c r="AN1215" s="474"/>
      <c r="AO1215" s="474"/>
      <c r="AP1215" s="474"/>
      <c r="AQ1215" s="474" t="s">
        <v>37</v>
      </c>
      <c r="AR1215" s="474"/>
      <c r="AS1215" s="387" t="s">
        <v>1075</v>
      </c>
      <c r="AT1215" s="356" t="s">
        <v>1076</v>
      </c>
      <c r="AU1215" s="387" t="s">
        <v>1076</v>
      </c>
      <c r="AV1215" s="472"/>
    </row>
    <row r="1216" spans="1:48" s="471" customFormat="1" ht="15" customHeight="1">
      <c r="A1216" s="495"/>
      <c r="B1216" s="407" t="s">
        <v>1211</v>
      </c>
      <c r="C1216" s="407" t="s">
        <v>1211</v>
      </c>
      <c r="D1216" s="501" t="s">
        <v>3678</v>
      </c>
      <c r="E1216" s="306" t="s">
        <v>5107</v>
      </c>
      <c r="F1216" s="501"/>
      <c r="G1216" s="501">
        <v>2022</v>
      </c>
      <c r="H1216" s="501"/>
      <c r="I1216" s="512" t="s">
        <v>1676</v>
      </c>
      <c r="J1216" s="502"/>
      <c r="K1216" s="501" t="s">
        <v>5108</v>
      </c>
      <c r="L1216" s="502" t="s">
        <v>1366</v>
      </c>
      <c r="M1216" s="502">
        <v>44645</v>
      </c>
      <c r="N1216" s="502">
        <v>44774</v>
      </c>
      <c r="O1216" s="502"/>
      <c r="P1216" s="502"/>
      <c r="Q1216" s="502"/>
      <c r="R1216" s="502"/>
      <c r="S1216" s="501" t="s">
        <v>1102</v>
      </c>
      <c r="T1216" s="501">
        <v>60</v>
      </c>
      <c r="U1216" s="501"/>
      <c r="V1216" s="501" t="s">
        <v>986</v>
      </c>
      <c r="W1216" s="505">
        <v>360</v>
      </c>
      <c r="X1216" s="403">
        <v>1792</v>
      </c>
      <c r="Y1216" s="477">
        <f t="shared" si="148"/>
        <v>645120</v>
      </c>
      <c r="Z1216" s="478">
        <v>0.53</v>
      </c>
      <c r="AA1216" s="479">
        <f t="shared" si="151"/>
        <v>341913.60000000003</v>
      </c>
      <c r="AB1216" s="386"/>
      <c r="AC1216" s="481">
        <v>0</v>
      </c>
      <c r="AD1216" s="474"/>
      <c r="AE1216" s="482"/>
      <c r="AF1216" s="493">
        <f t="shared" si="150"/>
        <v>341913.60000000003</v>
      </c>
      <c r="AG1216" s="474" t="s">
        <v>1071</v>
      </c>
      <c r="AH1216" s="447"/>
      <c r="AI1216" s="474">
        <v>60</v>
      </c>
      <c r="AJ1216" s="474" t="s">
        <v>1346</v>
      </c>
      <c r="AK1216" s="474" t="s">
        <v>1347</v>
      </c>
      <c r="AL1216" s="494">
        <v>18360</v>
      </c>
      <c r="AM1216" s="474" t="s">
        <v>52</v>
      </c>
      <c r="AN1216" s="474"/>
      <c r="AO1216" s="474"/>
      <c r="AP1216" s="474"/>
      <c r="AQ1216" s="474" t="s">
        <v>37</v>
      </c>
      <c r="AR1216" s="474"/>
      <c r="AS1216" s="387" t="s">
        <v>1075</v>
      </c>
      <c r="AT1216" s="356" t="s">
        <v>1076</v>
      </c>
      <c r="AU1216" s="387" t="s">
        <v>1076</v>
      </c>
      <c r="AV1216" s="472"/>
    </row>
    <row r="1217" spans="1:48" s="471" customFormat="1" ht="15" customHeight="1">
      <c r="A1217" s="495"/>
      <c r="B1217" s="407" t="s">
        <v>1211</v>
      </c>
      <c r="C1217" s="407" t="s">
        <v>1211</v>
      </c>
      <c r="D1217" s="501" t="s">
        <v>3678</v>
      </c>
      <c r="E1217" s="306" t="s">
        <v>5109</v>
      </c>
      <c r="F1217" s="501"/>
      <c r="G1217" s="501">
        <v>2022</v>
      </c>
      <c r="H1217" s="501"/>
      <c r="I1217" s="512" t="s">
        <v>1676</v>
      </c>
      <c r="J1217" s="502"/>
      <c r="K1217" s="501" t="s">
        <v>5110</v>
      </c>
      <c r="L1217" s="502" t="s">
        <v>1366</v>
      </c>
      <c r="M1217" s="502">
        <v>44630</v>
      </c>
      <c r="N1217" s="502">
        <v>44743</v>
      </c>
      <c r="O1217" s="502"/>
      <c r="P1217" s="502"/>
      <c r="Q1217" s="502"/>
      <c r="R1217" s="502"/>
      <c r="S1217" s="501" t="s">
        <v>1102</v>
      </c>
      <c r="T1217" s="501">
        <v>60</v>
      </c>
      <c r="U1217" s="501">
        <v>49403140</v>
      </c>
      <c r="V1217" s="501" t="s">
        <v>973</v>
      </c>
      <c r="W1217" s="505">
        <v>400</v>
      </c>
      <c r="X1217" s="403">
        <v>768</v>
      </c>
      <c r="Y1217" s="477">
        <f t="shared" si="148"/>
        <v>307200</v>
      </c>
      <c r="Z1217" s="478">
        <v>0.55000000000000004</v>
      </c>
      <c r="AA1217" s="479">
        <f t="shared" si="151"/>
        <v>168960</v>
      </c>
      <c r="AB1217" s="386"/>
      <c r="AC1217" s="481">
        <v>0</v>
      </c>
      <c r="AD1217" s="474"/>
      <c r="AE1217" s="482"/>
      <c r="AF1217" s="493">
        <f t="shared" si="150"/>
        <v>168960</v>
      </c>
      <c r="AG1217" s="474" t="s">
        <v>1071</v>
      </c>
      <c r="AH1217" s="447"/>
      <c r="AI1217" s="474">
        <v>60</v>
      </c>
      <c r="AJ1217" s="474" t="s">
        <v>1346</v>
      </c>
      <c r="AK1217" s="474" t="s">
        <v>1347</v>
      </c>
      <c r="AL1217" s="494">
        <v>18360</v>
      </c>
      <c r="AM1217" s="474" t="s">
        <v>52</v>
      </c>
      <c r="AN1217" s="474" t="s">
        <v>1074</v>
      </c>
      <c r="AO1217" s="474"/>
      <c r="AP1217" s="474"/>
      <c r="AQ1217" s="474" t="s">
        <v>37</v>
      </c>
      <c r="AR1217" s="474"/>
      <c r="AS1217" s="387" t="s">
        <v>1075</v>
      </c>
      <c r="AT1217" s="356" t="s">
        <v>1076</v>
      </c>
      <c r="AU1217" s="387" t="s">
        <v>1076</v>
      </c>
      <c r="AV1217" s="472"/>
    </row>
    <row r="1218" spans="1:48" s="471" customFormat="1" ht="15" customHeight="1">
      <c r="A1218" s="495"/>
      <c r="B1218" s="407" t="s">
        <v>1211</v>
      </c>
      <c r="C1218" s="407" t="s">
        <v>1211</v>
      </c>
      <c r="D1218" s="501" t="s">
        <v>3678</v>
      </c>
      <c r="E1218" s="306" t="s">
        <v>5109</v>
      </c>
      <c r="F1218" s="501"/>
      <c r="G1218" s="501">
        <v>2022</v>
      </c>
      <c r="H1218" s="501"/>
      <c r="I1218" s="512" t="s">
        <v>1676</v>
      </c>
      <c r="J1218" s="502"/>
      <c r="K1218" s="501" t="s">
        <v>5111</v>
      </c>
      <c r="L1218" s="502" t="s">
        <v>1366</v>
      </c>
      <c r="M1218" s="502">
        <v>44630</v>
      </c>
      <c r="N1218" s="502">
        <v>44713</v>
      </c>
      <c r="O1218" s="502"/>
      <c r="P1218" s="502"/>
      <c r="Q1218" s="502"/>
      <c r="R1218" s="502"/>
      <c r="S1218" s="501" t="s">
        <v>1102</v>
      </c>
      <c r="T1218" s="501">
        <v>60</v>
      </c>
      <c r="U1218" s="501">
        <v>49403140</v>
      </c>
      <c r="V1218" s="501" t="s">
        <v>973</v>
      </c>
      <c r="W1218" s="505">
        <v>400</v>
      </c>
      <c r="X1218" s="403">
        <v>768</v>
      </c>
      <c r="Y1218" s="477">
        <f t="shared" si="148"/>
        <v>307200</v>
      </c>
      <c r="Z1218" s="478">
        <v>0.55000000000000004</v>
      </c>
      <c r="AA1218" s="479">
        <f t="shared" si="151"/>
        <v>168960</v>
      </c>
      <c r="AB1218" s="386"/>
      <c r="AC1218" s="481">
        <v>0</v>
      </c>
      <c r="AD1218" s="474"/>
      <c r="AE1218" s="482"/>
      <c r="AF1218" s="493">
        <f t="shared" si="150"/>
        <v>168960</v>
      </c>
      <c r="AG1218" s="474" t="s">
        <v>1071</v>
      </c>
      <c r="AH1218" s="447"/>
      <c r="AI1218" s="474">
        <v>60</v>
      </c>
      <c r="AJ1218" s="474" t="s">
        <v>1346</v>
      </c>
      <c r="AK1218" s="474" t="s">
        <v>1347</v>
      </c>
      <c r="AL1218" s="494">
        <v>18360</v>
      </c>
      <c r="AM1218" s="474" t="s">
        <v>52</v>
      </c>
      <c r="AN1218" s="474" t="s">
        <v>1074</v>
      </c>
      <c r="AO1218" s="474"/>
      <c r="AP1218" s="474"/>
      <c r="AQ1218" s="474" t="s">
        <v>37</v>
      </c>
      <c r="AR1218" s="474"/>
      <c r="AS1218" s="387" t="s">
        <v>1075</v>
      </c>
      <c r="AT1218" s="356" t="s">
        <v>1076</v>
      </c>
      <c r="AU1218" s="387" t="s">
        <v>1076</v>
      </c>
      <c r="AV1218" s="472"/>
    </row>
    <row r="1219" spans="1:48" s="471" customFormat="1" ht="15" customHeight="1">
      <c r="A1219" s="472"/>
      <c r="B1219" s="472"/>
      <c r="C1219" s="472"/>
      <c r="D1219" s="405" t="s">
        <v>3678</v>
      </c>
      <c r="E1219" s="306" t="s">
        <v>5112</v>
      </c>
      <c r="F1219" s="501"/>
      <c r="G1219" s="501">
        <v>2022</v>
      </c>
      <c r="H1219" s="501"/>
      <c r="I1219" s="501"/>
      <c r="J1219" s="502"/>
      <c r="K1219" s="501" t="s">
        <v>5113</v>
      </c>
      <c r="L1219" s="501" t="s">
        <v>1353</v>
      </c>
      <c r="M1219" s="502">
        <v>44655</v>
      </c>
      <c r="N1219" s="502">
        <v>44816</v>
      </c>
      <c r="O1219" s="502"/>
      <c r="P1219" s="502"/>
      <c r="Q1219" s="502"/>
      <c r="R1219" s="502"/>
      <c r="S1219" s="501" t="s">
        <v>1102</v>
      </c>
      <c r="T1219" s="501">
        <v>60</v>
      </c>
      <c r="U1219" s="501"/>
      <c r="V1219" s="501" t="s">
        <v>2482</v>
      </c>
      <c r="W1219" s="501">
        <v>400</v>
      </c>
      <c r="X1219" s="505">
        <v>768</v>
      </c>
      <c r="Y1219" s="477">
        <f t="shared" si="148"/>
        <v>307200</v>
      </c>
      <c r="Z1219" s="478">
        <v>0.55000000000000004</v>
      </c>
      <c r="AA1219" s="479">
        <f t="shared" si="151"/>
        <v>168960</v>
      </c>
      <c r="AB1219" s="386"/>
      <c r="AC1219" s="481">
        <v>0</v>
      </c>
      <c r="AD1219" s="474"/>
      <c r="AE1219" s="482"/>
      <c r="AF1219" s="493">
        <f t="shared" si="150"/>
        <v>168960</v>
      </c>
      <c r="AG1219" s="474" t="s">
        <v>1071</v>
      </c>
      <c r="AH1219" s="447"/>
      <c r="AI1219" s="474">
        <v>60</v>
      </c>
      <c r="AJ1219" s="474" t="s">
        <v>1205</v>
      </c>
      <c r="AK1219" s="474" t="s">
        <v>1138</v>
      </c>
      <c r="AL1219" s="494">
        <v>14624</v>
      </c>
      <c r="AM1219" s="474" t="s">
        <v>52</v>
      </c>
      <c r="AN1219" s="474"/>
      <c r="AO1219" s="474"/>
      <c r="AP1219" s="474"/>
      <c r="AQ1219" s="474" t="s">
        <v>37</v>
      </c>
      <c r="AR1219" s="474"/>
      <c r="AS1219" s="387" t="s">
        <v>1075</v>
      </c>
      <c r="AT1219" s="356"/>
      <c r="AU1219" s="387"/>
      <c r="AV1219" s="472"/>
    </row>
    <row r="1220" spans="1:48" s="471" customFormat="1" ht="15" customHeight="1">
      <c r="A1220" s="472"/>
      <c r="B1220" s="472"/>
      <c r="C1220" s="472"/>
      <c r="D1220" s="405" t="s">
        <v>3678</v>
      </c>
      <c r="E1220" s="306" t="s">
        <v>5112</v>
      </c>
      <c r="F1220" s="501"/>
      <c r="G1220" s="501">
        <v>2022</v>
      </c>
      <c r="H1220" s="501"/>
      <c r="I1220" s="501"/>
      <c r="J1220" s="502"/>
      <c r="K1220" s="501" t="s">
        <v>5114</v>
      </c>
      <c r="L1220" s="501" t="s">
        <v>1353</v>
      </c>
      <c r="M1220" s="502">
        <v>44655</v>
      </c>
      <c r="N1220" s="502">
        <v>44753</v>
      </c>
      <c r="O1220" s="502"/>
      <c r="P1220" s="502"/>
      <c r="Q1220" s="502"/>
      <c r="R1220" s="502"/>
      <c r="S1220" s="501" t="s">
        <v>1102</v>
      </c>
      <c r="T1220" s="501">
        <v>60</v>
      </c>
      <c r="U1220" s="501"/>
      <c r="V1220" s="501" t="s">
        <v>2482</v>
      </c>
      <c r="W1220" s="501">
        <v>400</v>
      </c>
      <c r="X1220" s="505">
        <v>768</v>
      </c>
      <c r="Y1220" s="477">
        <f t="shared" si="148"/>
        <v>307200</v>
      </c>
      <c r="Z1220" s="478">
        <v>0.55000000000000004</v>
      </c>
      <c r="AA1220" s="479">
        <f t="shared" si="151"/>
        <v>168960</v>
      </c>
      <c r="AB1220" s="386"/>
      <c r="AC1220" s="481">
        <v>0</v>
      </c>
      <c r="AD1220" s="474"/>
      <c r="AE1220" s="482"/>
      <c r="AF1220" s="493">
        <f t="shared" si="150"/>
        <v>168960</v>
      </c>
      <c r="AG1220" s="474" t="s">
        <v>1071</v>
      </c>
      <c r="AH1220" s="447"/>
      <c r="AI1220" s="474">
        <v>60</v>
      </c>
      <c r="AJ1220" s="474" t="s">
        <v>1205</v>
      </c>
      <c r="AK1220" s="474" t="s">
        <v>1138</v>
      </c>
      <c r="AL1220" s="494">
        <v>14624</v>
      </c>
      <c r="AM1220" s="474" t="s">
        <v>52</v>
      </c>
      <c r="AN1220" s="474"/>
      <c r="AO1220" s="474"/>
      <c r="AP1220" s="474"/>
      <c r="AQ1220" s="474" t="s">
        <v>37</v>
      </c>
      <c r="AR1220" s="474"/>
      <c r="AS1220" s="387" t="s">
        <v>1075</v>
      </c>
      <c r="AT1220" s="356"/>
      <c r="AU1220" s="387"/>
      <c r="AV1220" s="472"/>
    </row>
    <row r="1221" spans="1:48" s="471" customFormat="1" ht="15" customHeight="1">
      <c r="A1221" s="472"/>
      <c r="B1221" s="472"/>
      <c r="C1221" s="472"/>
      <c r="D1221" s="405" t="s">
        <v>3678</v>
      </c>
      <c r="E1221" s="306" t="s">
        <v>5115</v>
      </c>
      <c r="F1221" s="501"/>
      <c r="G1221" s="501">
        <v>2022</v>
      </c>
      <c r="H1221" s="501"/>
      <c r="I1221" s="501"/>
      <c r="J1221" s="502"/>
      <c r="K1221" s="501" t="s">
        <v>3992</v>
      </c>
      <c r="L1221" s="501" t="s">
        <v>1353</v>
      </c>
      <c r="M1221" s="502">
        <v>44505</v>
      </c>
      <c r="N1221" s="502">
        <v>44648</v>
      </c>
      <c r="O1221" s="502"/>
      <c r="P1221" s="502"/>
      <c r="Q1221" s="502"/>
      <c r="R1221" s="502"/>
      <c r="S1221" s="501" t="s">
        <v>1102</v>
      </c>
      <c r="T1221" s="501">
        <v>60</v>
      </c>
      <c r="U1221" s="501"/>
      <c r="V1221" s="501" t="s">
        <v>2482</v>
      </c>
      <c r="W1221" s="501">
        <v>400</v>
      </c>
      <c r="X1221" s="505">
        <v>768</v>
      </c>
      <c r="Y1221" s="477">
        <f t="shared" si="148"/>
        <v>307200</v>
      </c>
      <c r="Z1221" s="478">
        <v>0.55000000000000004</v>
      </c>
      <c r="AA1221" s="479">
        <f t="shared" si="151"/>
        <v>168960</v>
      </c>
      <c r="AB1221" s="386"/>
      <c r="AC1221" s="481">
        <v>0</v>
      </c>
      <c r="AD1221" s="474"/>
      <c r="AE1221" s="482"/>
      <c r="AF1221" s="493">
        <f t="shared" si="150"/>
        <v>168960</v>
      </c>
      <c r="AG1221" s="474" t="s">
        <v>1071</v>
      </c>
      <c r="AH1221" s="447"/>
      <c r="AI1221" s="474">
        <v>60</v>
      </c>
      <c r="AJ1221" s="474" t="s">
        <v>1205</v>
      </c>
      <c r="AK1221" s="474" t="s">
        <v>1138</v>
      </c>
      <c r="AL1221" s="494">
        <v>14624</v>
      </c>
      <c r="AM1221" s="474" t="s">
        <v>52</v>
      </c>
      <c r="AN1221" s="474"/>
      <c r="AO1221" s="474"/>
      <c r="AP1221" s="474"/>
      <c r="AQ1221" s="474" t="s">
        <v>37</v>
      </c>
      <c r="AR1221" s="474"/>
      <c r="AS1221" s="387" t="s">
        <v>1075</v>
      </c>
      <c r="AT1221" s="356"/>
      <c r="AU1221" s="387"/>
      <c r="AV1221" s="472"/>
    </row>
    <row r="1222" spans="1:48" s="471" customFormat="1" ht="15" customHeight="1">
      <c r="A1222" s="472"/>
      <c r="B1222" s="472"/>
      <c r="C1222" s="472"/>
      <c r="D1222" s="405" t="s">
        <v>3678</v>
      </c>
      <c r="E1222" s="306" t="s">
        <v>5115</v>
      </c>
      <c r="F1222" s="501" t="s">
        <v>1147</v>
      </c>
      <c r="G1222" s="501">
        <v>2022</v>
      </c>
      <c r="H1222" s="501"/>
      <c r="I1222" s="501"/>
      <c r="J1222" s="502"/>
      <c r="K1222" s="501" t="s">
        <v>3991</v>
      </c>
      <c r="L1222" s="501" t="s">
        <v>1353</v>
      </c>
      <c r="M1222" s="502">
        <v>44505</v>
      </c>
      <c r="N1222" s="502">
        <v>44607</v>
      </c>
      <c r="O1222" s="502"/>
      <c r="P1222" s="502"/>
      <c r="Q1222" s="502"/>
      <c r="R1222" s="502"/>
      <c r="S1222" s="501" t="s">
        <v>1102</v>
      </c>
      <c r="T1222" s="501">
        <v>60</v>
      </c>
      <c r="U1222" s="501"/>
      <c r="V1222" s="501" t="s">
        <v>1018</v>
      </c>
      <c r="W1222" s="501">
        <v>360</v>
      </c>
      <c r="X1222" s="505">
        <v>676</v>
      </c>
      <c r="Y1222" s="477">
        <f t="shared" si="148"/>
        <v>243360</v>
      </c>
      <c r="Z1222" s="478">
        <v>0.83</v>
      </c>
      <c r="AA1222" s="479">
        <f t="shared" si="151"/>
        <v>201988.8</v>
      </c>
      <c r="AB1222" s="386"/>
      <c r="AC1222" s="481">
        <v>0</v>
      </c>
      <c r="AD1222" s="474"/>
      <c r="AE1222" s="482"/>
      <c r="AF1222" s="493">
        <f t="shared" si="150"/>
        <v>201988.8</v>
      </c>
      <c r="AG1222" s="474" t="s">
        <v>1071</v>
      </c>
      <c r="AH1222" s="447"/>
      <c r="AI1222" s="474">
        <v>60</v>
      </c>
      <c r="AJ1222" s="474" t="s">
        <v>1205</v>
      </c>
      <c r="AK1222" s="474" t="s">
        <v>1138</v>
      </c>
      <c r="AL1222" s="494">
        <v>14624</v>
      </c>
      <c r="AM1222" s="474" t="s">
        <v>52</v>
      </c>
      <c r="AN1222" s="474"/>
      <c r="AO1222" s="474"/>
      <c r="AP1222" s="474"/>
      <c r="AQ1222" s="474" t="s">
        <v>37</v>
      </c>
      <c r="AR1222" s="474"/>
      <c r="AS1222" s="387" t="s">
        <v>1075</v>
      </c>
      <c r="AT1222" s="356"/>
      <c r="AU1222" s="387"/>
      <c r="AV1222" s="472"/>
    </row>
    <row r="1223" spans="1:48" s="471" customFormat="1" ht="15" customHeight="1">
      <c r="A1223" s="278"/>
      <c r="B1223" s="279"/>
      <c r="C1223" s="279"/>
      <c r="D1223" s="405" t="s">
        <v>3678</v>
      </c>
      <c r="E1223" s="307" t="s">
        <v>5116</v>
      </c>
      <c r="F1223" s="501"/>
      <c r="G1223" s="501"/>
      <c r="H1223" s="501"/>
      <c r="I1223" s="382" t="s">
        <v>1286</v>
      </c>
      <c r="J1223" s="502"/>
      <c r="K1223" s="501" t="s">
        <v>5117</v>
      </c>
      <c r="L1223" s="502" t="s">
        <v>1373</v>
      </c>
      <c r="M1223" s="502">
        <v>44573</v>
      </c>
      <c r="N1223" s="502">
        <v>44805</v>
      </c>
      <c r="O1223" s="502"/>
      <c r="P1223" s="502"/>
      <c r="Q1223" s="502"/>
      <c r="R1223" s="502"/>
      <c r="S1223" s="501" t="s">
        <v>1102</v>
      </c>
      <c r="T1223" s="501">
        <v>60</v>
      </c>
      <c r="U1223" s="501"/>
      <c r="V1223" s="501" t="s">
        <v>5118</v>
      </c>
      <c r="W1223" s="505">
        <v>400</v>
      </c>
      <c r="X1223" s="403">
        <v>1536</v>
      </c>
      <c r="Y1223" s="477">
        <f t="shared" si="148"/>
        <v>614400</v>
      </c>
      <c r="Z1223" s="478">
        <v>0.47499999999999998</v>
      </c>
      <c r="AA1223" s="479">
        <f t="shared" ref="AA1223:AA1235" si="153">Z1223*Y1223</f>
        <v>291840</v>
      </c>
      <c r="AB1223" s="480"/>
      <c r="AC1223" s="481">
        <f>AB1223*Y1223</f>
        <v>0</v>
      </c>
      <c r="AD1223" s="474"/>
      <c r="AE1223" s="482"/>
      <c r="AF1223" s="493">
        <f t="shared" si="150"/>
        <v>291840</v>
      </c>
      <c r="AG1223" s="474" t="s">
        <v>1071</v>
      </c>
      <c r="AH1223" s="447"/>
      <c r="AI1223" s="474">
        <v>60</v>
      </c>
      <c r="AJ1223" s="474" t="s">
        <v>1374</v>
      </c>
      <c r="AK1223" s="474" t="s">
        <v>1375</v>
      </c>
      <c r="AL1223" s="494">
        <v>23222</v>
      </c>
      <c r="AM1223" s="474" t="s">
        <v>52</v>
      </c>
      <c r="AN1223" s="474"/>
      <c r="AO1223" s="474"/>
      <c r="AP1223" s="474"/>
      <c r="AQ1223" s="482" t="s">
        <v>37</v>
      </c>
      <c r="AR1223" s="474"/>
      <c r="AS1223" s="387"/>
      <c r="AT1223" s="356"/>
      <c r="AU1223" s="387"/>
      <c r="AV1223" s="472"/>
    </row>
    <row r="1224" spans="1:48" s="471" customFormat="1" ht="15" customHeight="1">
      <c r="A1224" s="278"/>
      <c r="B1224" s="279"/>
      <c r="C1224" s="279"/>
      <c r="D1224" s="405" t="s">
        <v>3678</v>
      </c>
      <c r="E1224" s="307" t="s">
        <v>5116</v>
      </c>
      <c r="F1224" s="501"/>
      <c r="G1224" s="501"/>
      <c r="H1224" s="501"/>
      <c r="I1224" s="382" t="s">
        <v>1286</v>
      </c>
      <c r="J1224" s="502"/>
      <c r="K1224" s="501" t="s">
        <v>5119</v>
      </c>
      <c r="L1224" s="502" t="s">
        <v>1373</v>
      </c>
      <c r="M1224" s="502">
        <v>44573</v>
      </c>
      <c r="N1224" s="502">
        <v>44774</v>
      </c>
      <c r="O1224" s="502"/>
      <c r="P1224" s="502"/>
      <c r="Q1224" s="502"/>
      <c r="R1224" s="502"/>
      <c r="S1224" s="501" t="s">
        <v>1102</v>
      </c>
      <c r="T1224" s="501">
        <v>60</v>
      </c>
      <c r="U1224" s="501"/>
      <c r="V1224" s="501" t="s">
        <v>5118</v>
      </c>
      <c r="W1224" s="505">
        <v>400</v>
      </c>
      <c r="X1224" s="403">
        <v>1536</v>
      </c>
      <c r="Y1224" s="477">
        <f t="shared" si="148"/>
        <v>614400</v>
      </c>
      <c r="Z1224" s="478">
        <v>0.47499999999999998</v>
      </c>
      <c r="AA1224" s="479">
        <f t="shared" si="153"/>
        <v>291840</v>
      </c>
      <c r="AB1224" s="480"/>
      <c r="AC1224" s="481">
        <f>AB1224*Y1224</f>
        <v>0</v>
      </c>
      <c r="AD1224" s="474"/>
      <c r="AE1224" s="482"/>
      <c r="AF1224" s="493">
        <f t="shared" si="150"/>
        <v>291840</v>
      </c>
      <c r="AG1224" s="474" t="s">
        <v>1071</v>
      </c>
      <c r="AH1224" s="447"/>
      <c r="AI1224" s="474">
        <v>60</v>
      </c>
      <c r="AJ1224" s="474" t="s">
        <v>1374</v>
      </c>
      <c r="AK1224" s="474" t="s">
        <v>1375</v>
      </c>
      <c r="AL1224" s="494">
        <v>23222</v>
      </c>
      <c r="AM1224" s="474" t="s">
        <v>52</v>
      </c>
      <c r="AN1224" s="474"/>
      <c r="AO1224" s="474"/>
      <c r="AP1224" s="474"/>
      <c r="AQ1224" s="482" t="s">
        <v>37</v>
      </c>
      <c r="AR1224" s="474"/>
      <c r="AS1224" s="387"/>
      <c r="AT1224" s="356"/>
      <c r="AU1224" s="387"/>
      <c r="AV1224" s="472"/>
    </row>
    <row r="1225" spans="1:48" s="471" customFormat="1" ht="15" customHeight="1">
      <c r="A1225" s="278"/>
      <c r="B1225" s="279"/>
      <c r="C1225" s="279"/>
      <c r="D1225" s="405" t="s">
        <v>3678</v>
      </c>
      <c r="E1225" s="307" t="s">
        <v>5120</v>
      </c>
      <c r="F1225" s="501"/>
      <c r="G1225" s="501"/>
      <c r="H1225" s="501"/>
      <c r="I1225" s="382" t="s">
        <v>1286</v>
      </c>
      <c r="J1225" s="502"/>
      <c r="K1225" s="501" t="s">
        <v>5121</v>
      </c>
      <c r="L1225" s="502" t="s">
        <v>1373</v>
      </c>
      <c r="M1225" s="502">
        <v>44573</v>
      </c>
      <c r="N1225" s="502">
        <v>44774</v>
      </c>
      <c r="O1225" s="502"/>
      <c r="P1225" s="502"/>
      <c r="Q1225" s="502"/>
      <c r="R1225" s="502"/>
      <c r="S1225" s="501" t="s">
        <v>1102</v>
      </c>
      <c r="T1225" s="501">
        <v>60</v>
      </c>
      <c r="U1225" s="501"/>
      <c r="V1225" s="501" t="s">
        <v>5118</v>
      </c>
      <c r="W1225" s="505">
        <v>400</v>
      </c>
      <c r="X1225" s="403">
        <v>768</v>
      </c>
      <c r="Y1225" s="477">
        <f t="shared" si="148"/>
        <v>307200</v>
      </c>
      <c r="Z1225" s="478">
        <v>0.52</v>
      </c>
      <c r="AA1225" s="479">
        <f t="shared" si="153"/>
        <v>159744</v>
      </c>
      <c r="AB1225" s="480"/>
      <c r="AC1225" s="481">
        <f>AB1225*Y1225</f>
        <v>0</v>
      </c>
      <c r="AD1225" s="474"/>
      <c r="AE1225" s="482"/>
      <c r="AF1225" s="493">
        <f t="shared" si="150"/>
        <v>159744</v>
      </c>
      <c r="AG1225" s="474" t="s">
        <v>1071</v>
      </c>
      <c r="AH1225" s="447"/>
      <c r="AI1225" s="474">
        <v>60</v>
      </c>
      <c r="AJ1225" s="474" t="s">
        <v>1374</v>
      </c>
      <c r="AK1225" s="474" t="s">
        <v>1375</v>
      </c>
      <c r="AL1225" s="494">
        <v>23222</v>
      </c>
      <c r="AM1225" s="474" t="s">
        <v>52</v>
      </c>
      <c r="AN1225" s="474"/>
      <c r="AO1225" s="474"/>
      <c r="AP1225" s="474"/>
      <c r="AQ1225" s="482" t="s">
        <v>37</v>
      </c>
      <c r="AR1225" s="474"/>
      <c r="AS1225" s="387"/>
      <c r="AT1225" s="356"/>
      <c r="AU1225" s="387"/>
      <c r="AV1225" s="472"/>
    </row>
    <row r="1226" spans="1:48" s="471" customFormat="1" ht="15" customHeight="1">
      <c r="A1226" s="278"/>
      <c r="B1226" s="279"/>
      <c r="C1226" s="279"/>
      <c r="D1226" s="405" t="s">
        <v>3678</v>
      </c>
      <c r="E1226" s="307" t="s">
        <v>5122</v>
      </c>
      <c r="F1226" s="501"/>
      <c r="G1226" s="501">
        <v>2022</v>
      </c>
      <c r="H1226" s="501"/>
      <c r="I1226" s="501" t="s">
        <v>1286</v>
      </c>
      <c r="J1226" s="502"/>
      <c r="K1226" s="501" t="s">
        <v>5123</v>
      </c>
      <c r="L1226" s="502" t="s">
        <v>1373</v>
      </c>
      <c r="M1226" s="502">
        <v>44573</v>
      </c>
      <c r="N1226" s="502">
        <v>44743</v>
      </c>
      <c r="O1226" s="502"/>
      <c r="P1226" s="502"/>
      <c r="Q1226" s="502"/>
      <c r="R1226" s="502"/>
      <c r="S1226" s="501" t="s">
        <v>1102</v>
      </c>
      <c r="T1226" s="501">
        <v>60</v>
      </c>
      <c r="U1226" s="501"/>
      <c r="V1226" s="501" t="s">
        <v>5118</v>
      </c>
      <c r="W1226" s="505">
        <v>400</v>
      </c>
      <c r="X1226" s="403">
        <v>1536</v>
      </c>
      <c r="Y1226" s="477">
        <f t="shared" si="148"/>
        <v>614400</v>
      </c>
      <c r="Z1226" s="478">
        <v>0.47499999999999998</v>
      </c>
      <c r="AA1226" s="479">
        <f t="shared" si="153"/>
        <v>291840</v>
      </c>
      <c r="AB1226" s="386"/>
      <c r="AC1226" s="481"/>
      <c r="AD1226" s="474"/>
      <c r="AE1226" s="482"/>
      <c r="AF1226" s="493">
        <f t="shared" si="150"/>
        <v>291840</v>
      </c>
      <c r="AG1226" s="474" t="s">
        <v>1071</v>
      </c>
      <c r="AH1226" s="447"/>
      <c r="AI1226" s="474">
        <v>60</v>
      </c>
      <c r="AJ1226" s="404" t="s">
        <v>1374</v>
      </c>
      <c r="AK1226" s="474" t="s">
        <v>1375</v>
      </c>
      <c r="AL1226" s="494">
        <v>23222</v>
      </c>
      <c r="AM1226" s="474" t="s">
        <v>52</v>
      </c>
      <c r="AN1226" s="474"/>
      <c r="AO1226" s="474"/>
      <c r="AP1226" s="474"/>
      <c r="AQ1226" s="482" t="s">
        <v>37</v>
      </c>
      <c r="AR1226" s="474"/>
      <c r="AS1226" s="387"/>
      <c r="AT1226" s="356"/>
      <c r="AU1226" s="387"/>
      <c r="AV1226" s="472"/>
    </row>
    <row r="1227" spans="1:48" s="471" customFormat="1" ht="15" customHeight="1">
      <c r="A1227" s="278"/>
      <c r="B1227" s="279"/>
      <c r="C1227" s="279"/>
      <c r="D1227" s="405" t="s">
        <v>3678</v>
      </c>
      <c r="E1227" s="307" t="s">
        <v>5124</v>
      </c>
      <c r="F1227" s="501"/>
      <c r="G1227" s="501"/>
      <c r="H1227" s="501"/>
      <c r="I1227" s="382" t="s">
        <v>1286</v>
      </c>
      <c r="J1227" s="502"/>
      <c r="K1227" s="501" t="s">
        <v>5125</v>
      </c>
      <c r="L1227" s="502" t="s">
        <v>1340</v>
      </c>
      <c r="M1227" s="502">
        <v>44574</v>
      </c>
      <c r="N1227" s="502">
        <v>44802</v>
      </c>
      <c r="O1227" s="502"/>
      <c r="P1227" s="502"/>
      <c r="Q1227" s="502"/>
      <c r="R1227" s="502"/>
      <c r="S1227" s="501" t="s">
        <v>1102</v>
      </c>
      <c r="T1227" s="501">
        <v>60</v>
      </c>
      <c r="U1227" s="501"/>
      <c r="V1227" s="501" t="s">
        <v>973</v>
      </c>
      <c r="W1227" s="505">
        <v>400</v>
      </c>
      <c r="X1227" s="403">
        <v>5376</v>
      </c>
      <c r="Y1227" s="477">
        <f t="shared" si="148"/>
        <v>2150400</v>
      </c>
      <c r="Z1227" s="478">
        <v>0.52</v>
      </c>
      <c r="AA1227" s="479">
        <f t="shared" si="153"/>
        <v>1118208</v>
      </c>
      <c r="AB1227" s="480"/>
      <c r="AC1227" s="481">
        <f t="shared" ref="AC1227:AC1235" si="154">AB1227*Y1227</f>
        <v>0</v>
      </c>
      <c r="AD1227" s="474"/>
      <c r="AE1227" s="482"/>
      <c r="AF1227" s="493">
        <f t="shared" si="150"/>
        <v>1118208</v>
      </c>
      <c r="AG1227" s="474" t="s">
        <v>1071</v>
      </c>
      <c r="AH1227" s="447"/>
      <c r="AI1227" s="474">
        <v>60</v>
      </c>
      <c r="AJ1227" s="474" t="s">
        <v>1342</v>
      </c>
      <c r="AK1227" s="474" t="s">
        <v>1085</v>
      </c>
      <c r="AL1227" s="494">
        <v>8110</v>
      </c>
      <c r="AM1227" s="474" t="s">
        <v>52</v>
      </c>
      <c r="AN1227" s="474"/>
      <c r="AO1227" s="474"/>
      <c r="AP1227" s="474"/>
      <c r="AQ1227" s="482" t="s">
        <v>37</v>
      </c>
      <c r="AR1227" s="474"/>
      <c r="AS1227" s="387"/>
      <c r="AT1227" s="356"/>
      <c r="AU1227" s="387"/>
      <c r="AV1227" s="472"/>
    </row>
    <row r="1228" spans="1:48" s="471" customFormat="1" ht="15" customHeight="1">
      <c r="A1228" s="278"/>
      <c r="B1228" s="279"/>
      <c r="C1228" s="279"/>
      <c r="D1228" s="405" t="s">
        <v>3678</v>
      </c>
      <c r="E1228" s="307" t="s">
        <v>5120</v>
      </c>
      <c r="F1228" s="501"/>
      <c r="G1228" s="501"/>
      <c r="H1228" s="501"/>
      <c r="I1228" s="382" t="s">
        <v>1286</v>
      </c>
      <c r="J1228" s="502"/>
      <c r="K1228" s="501" t="s">
        <v>5126</v>
      </c>
      <c r="L1228" s="502" t="s">
        <v>1340</v>
      </c>
      <c r="M1228" s="502">
        <v>44574</v>
      </c>
      <c r="N1228" s="502">
        <v>44789</v>
      </c>
      <c r="O1228" s="502"/>
      <c r="P1228" s="502"/>
      <c r="Q1228" s="502"/>
      <c r="R1228" s="502"/>
      <c r="S1228" s="501" t="s">
        <v>1102</v>
      </c>
      <c r="T1228" s="501">
        <v>60</v>
      </c>
      <c r="U1228" s="501"/>
      <c r="V1228" s="501" t="s">
        <v>973</v>
      </c>
      <c r="W1228" s="505">
        <v>400</v>
      </c>
      <c r="X1228" s="403">
        <v>3840</v>
      </c>
      <c r="Y1228" s="477">
        <f t="shared" si="148"/>
        <v>1536000</v>
      </c>
      <c r="Z1228" s="478">
        <v>0.52</v>
      </c>
      <c r="AA1228" s="479">
        <f t="shared" si="153"/>
        <v>798720</v>
      </c>
      <c r="AB1228" s="480"/>
      <c r="AC1228" s="481">
        <f t="shared" si="154"/>
        <v>0</v>
      </c>
      <c r="AD1228" s="474"/>
      <c r="AE1228" s="482"/>
      <c r="AF1228" s="493">
        <f t="shared" si="150"/>
        <v>798720</v>
      </c>
      <c r="AG1228" s="474" t="s">
        <v>1071</v>
      </c>
      <c r="AH1228" s="447"/>
      <c r="AI1228" s="474">
        <v>60</v>
      </c>
      <c r="AJ1228" s="474" t="s">
        <v>1342</v>
      </c>
      <c r="AK1228" s="474" t="s">
        <v>1085</v>
      </c>
      <c r="AL1228" s="494">
        <v>8110</v>
      </c>
      <c r="AM1228" s="474" t="s">
        <v>52</v>
      </c>
      <c r="AN1228" s="474"/>
      <c r="AO1228" s="474"/>
      <c r="AP1228" s="474"/>
      <c r="AQ1228" s="482" t="s">
        <v>37</v>
      </c>
      <c r="AR1228" s="474"/>
      <c r="AS1228" s="387"/>
      <c r="AT1228" s="356"/>
      <c r="AU1228" s="387"/>
      <c r="AV1228" s="472"/>
    </row>
    <row r="1229" spans="1:48" s="471" customFormat="1" ht="15" customHeight="1">
      <c r="A1229" s="278"/>
      <c r="B1229" s="279"/>
      <c r="C1229" s="279"/>
      <c r="D1229" s="405" t="s">
        <v>3678</v>
      </c>
      <c r="E1229" s="307" t="s">
        <v>5120</v>
      </c>
      <c r="F1229" s="501"/>
      <c r="G1229" s="501"/>
      <c r="H1229" s="501"/>
      <c r="I1229" s="382" t="s">
        <v>1286</v>
      </c>
      <c r="J1229" s="502"/>
      <c r="K1229" s="501" t="s">
        <v>5127</v>
      </c>
      <c r="L1229" s="502" t="s">
        <v>1340</v>
      </c>
      <c r="M1229" s="502">
        <v>44574</v>
      </c>
      <c r="N1229" s="502">
        <v>44743</v>
      </c>
      <c r="O1229" s="502"/>
      <c r="P1229" s="502"/>
      <c r="Q1229" s="502"/>
      <c r="R1229" s="502"/>
      <c r="S1229" s="501" t="s">
        <v>1102</v>
      </c>
      <c r="T1229" s="501">
        <v>60</v>
      </c>
      <c r="U1229" s="501"/>
      <c r="V1229" s="501" t="s">
        <v>973</v>
      </c>
      <c r="W1229" s="505">
        <v>400</v>
      </c>
      <c r="X1229" s="403">
        <v>3840</v>
      </c>
      <c r="Y1229" s="477">
        <f t="shared" si="148"/>
        <v>1536000</v>
      </c>
      <c r="Z1229" s="478">
        <v>0.52</v>
      </c>
      <c r="AA1229" s="479">
        <f t="shared" si="153"/>
        <v>798720</v>
      </c>
      <c r="AB1229" s="480"/>
      <c r="AC1229" s="481">
        <f t="shared" si="154"/>
        <v>0</v>
      </c>
      <c r="AD1229" s="474"/>
      <c r="AE1229" s="482"/>
      <c r="AF1229" s="493">
        <f t="shared" si="150"/>
        <v>798720</v>
      </c>
      <c r="AG1229" s="474" t="s">
        <v>1071</v>
      </c>
      <c r="AH1229" s="447"/>
      <c r="AI1229" s="474">
        <v>60</v>
      </c>
      <c r="AJ1229" s="474" t="s">
        <v>1342</v>
      </c>
      <c r="AK1229" s="474" t="s">
        <v>1085</v>
      </c>
      <c r="AL1229" s="494">
        <v>8110</v>
      </c>
      <c r="AM1229" s="474" t="s">
        <v>52</v>
      </c>
      <c r="AN1229" s="474"/>
      <c r="AO1229" s="474"/>
      <c r="AP1229" s="474"/>
      <c r="AQ1229" s="482" t="s">
        <v>37</v>
      </c>
      <c r="AR1229" s="474"/>
      <c r="AS1229" s="387"/>
      <c r="AT1229" s="356"/>
      <c r="AU1229" s="387"/>
      <c r="AV1229" s="472"/>
    </row>
    <row r="1230" spans="1:48" s="471" customFormat="1" ht="15" customHeight="1">
      <c r="A1230" s="278"/>
      <c r="B1230" s="279"/>
      <c r="C1230" s="279"/>
      <c r="D1230" s="405" t="s">
        <v>3678</v>
      </c>
      <c r="E1230" s="307" t="s">
        <v>5120</v>
      </c>
      <c r="F1230" s="501"/>
      <c r="G1230" s="501"/>
      <c r="H1230" s="501"/>
      <c r="I1230" s="382" t="s">
        <v>1286</v>
      </c>
      <c r="J1230" s="502"/>
      <c r="K1230" s="501" t="s">
        <v>5128</v>
      </c>
      <c r="L1230" s="502" t="s">
        <v>1340</v>
      </c>
      <c r="M1230" s="502">
        <v>44574</v>
      </c>
      <c r="N1230" s="502">
        <v>44816</v>
      </c>
      <c r="O1230" s="502"/>
      <c r="P1230" s="502"/>
      <c r="Q1230" s="502"/>
      <c r="R1230" s="502"/>
      <c r="S1230" s="501" t="s">
        <v>1102</v>
      </c>
      <c r="T1230" s="501">
        <v>60</v>
      </c>
      <c r="U1230" s="501"/>
      <c r="V1230" s="501" t="s">
        <v>973</v>
      </c>
      <c r="W1230" s="505">
        <v>400</v>
      </c>
      <c r="X1230" s="403">
        <v>1536</v>
      </c>
      <c r="Y1230" s="477">
        <f t="shared" si="148"/>
        <v>614400</v>
      </c>
      <c r="Z1230" s="478">
        <v>0.47499999999999998</v>
      </c>
      <c r="AA1230" s="479">
        <f t="shared" si="153"/>
        <v>291840</v>
      </c>
      <c r="AB1230" s="480"/>
      <c r="AC1230" s="481">
        <f t="shared" si="154"/>
        <v>0</v>
      </c>
      <c r="AD1230" s="474"/>
      <c r="AE1230" s="482"/>
      <c r="AF1230" s="493">
        <f t="shared" si="150"/>
        <v>291840</v>
      </c>
      <c r="AG1230" s="474" t="s">
        <v>1071</v>
      </c>
      <c r="AH1230" s="447"/>
      <c r="AI1230" s="474">
        <v>60</v>
      </c>
      <c r="AJ1230" s="474" t="s">
        <v>1342</v>
      </c>
      <c r="AK1230" s="474" t="s">
        <v>1085</v>
      </c>
      <c r="AL1230" s="494">
        <v>8110</v>
      </c>
      <c r="AM1230" s="474" t="s">
        <v>52</v>
      </c>
      <c r="AN1230" s="474"/>
      <c r="AO1230" s="474"/>
      <c r="AP1230" s="474"/>
      <c r="AQ1230" s="482" t="s">
        <v>37</v>
      </c>
      <c r="AR1230" s="474"/>
      <c r="AS1230" s="387"/>
      <c r="AT1230" s="356"/>
      <c r="AU1230" s="387"/>
      <c r="AV1230" s="472"/>
    </row>
    <row r="1231" spans="1:48" s="471" customFormat="1" ht="15" customHeight="1">
      <c r="A1231" s="278"/>
      <c r="B1231" s="279"/>
      <c r="C1231" s="279"/>
      <c r="D1231" s="405" t="s">
        <v>3678</v>
      </c>
      <c r="E1231" s="307" t="s">
        <v>5129</v>
      </c>
      <c r="F1231" s="501"/>
      <c r="G1231" s="501"/>
      <c r="H1231" s="501"/>
      <c r="I1231" s="382" t="s">
        <v>1286</v>
      </c>
      <c r="J1231" s="502"/>
      <c r="K1231" s="501" t="s">
        <v>5130</v>
      </c>
      <c r="L1231" s="502" t="s">
        <v>1340</v>
      </c>
      <c r="M1231" s="502">
        <v>44574</v>
      </c>
      <c r="N1231" s="502">
        <v>44781</v>
      </c>
      <c r="O1231" s="502"/>
      <c r="P1231" s="502"/>
      <c r="Q1231" s="502"/>
      <c r="R1231" s="502"/>
      <c r="S1231" s="501" t="s">
        <v>1102</v>
      </c>
      <c r="T1231" s="501">
        <v>60</v>
      </c>
      <c r="U1231" s="501"/>
      <c r="V1231" s="501" t="s">
        <v>973</v>
      </c>
      <c r="W1231" s="505">
        <v>400</v>
      </c>
      <c r="X1231" s="403">
        <v>768</v>
      </c>
      <c r="Y1231" s="477">
        <f t="shared" si="148"/>
        <v>307200</v>
      </c>
      <c r="Z1231" s="478">
        <v>0.47499999999999998</v>
      </c>
      <c r="AA1231" s="479">
        <f t="shared" si="153"/>
        <v>145920</v>
      </c>
      <c r="AB1231" s="480"/>
      <c r="AC1231" s="481">
        <f t="shared" si="154"/>
        <v>0</v>
      </c>
      <c r="AD1231" s="474"/>
      <c r="AE1231" s="482"/>
      <c r="AF1231" s="493">
        <f t="shared" si="150"/>
        <v>145920</v>
      </c>
      <c r="AG1231" s="474" t="s">
        <v>1071</v>
      </c>
      <c r="AH1231" s="447"/>
      <c r="AI1231" s="474">
        <v>60</v>
      </c>
      <c r="AJ1231" s="474" t="s">
        <v>1342</v>
      </c>
      <c r="AK1231" s="474" t="s">
        <v>1085</v>
      </c>
      <c r="AL1231" s="494">
        <v>8110</v>
      </c>
      <c r="AM1231" s="474" t="s">
        <v>52</v>
      </c>
      <c r="AN1231" s="474"/>
      <c r="AO1231" s="474"/>
      <c r="AP1231" s="474"/>
      <c r="AQ1231" s="482" t="s">
        <v>37</v>
      </c>
      <c r="AR1231" s="474"/>
      <c r="AS1231" s="387"/>
      <c r="AT1231" s="356"/>
      <c r="AU1231" s="387"/>
      <c r="AV1231" s="472"/>
    </row>
    <row r="1232" spans="1:48" s="471" customFormat="1" ht="15" customHeight="1">
      <c r="A1232" s="278"/>
      <c r="B1232" s="279"/>
      <c r="C1232" s="279"/>
      <c r="D1232" s="405" t="s">
        <v>3678</v>
      </c>
      <c r="E1232" s="307" t="s">
        <v>5129</v>
      </c>
      <c r="F1232" s="501"/>
      <c r="G1232" s="501"/>
      <c r="H1232" s="501"/>
      <c r="I1232" s="382" t="s">
        <v>1286</v>
      </c>
      <c r="J1232" s="502"/>
      <c r="K1232" s="501" t="s">
        <v>5131</v>
      </c>
      <c r="L1232" s="502" t="s">
        <v>1340</v>
      </c>
      <c r="M1232" s="502">
        <v>44574</v>
      </c>
      <c r="N1232" s="502">
        <v>44743</v>
      </c>
      <c r="O1232" s="502"/>
      <c r="P1232" s="502"/>
      <c r="Q1232" s="502"/>
      <c r="R1232" s="502"/>
      <c r="S1232" s="501" t="s">
        <v>1102</v>
      </c>
      <c r="T1232" s="501">
        <v>60</v>
      </c>
      <c r="U1232" s="501"/>
      <c r="V1232" s="501" t="s">
        <v>973</v>
      </c>
      <c r="W1232" s="505">
        <v>400</v>
      </c>
      <c r="X1232" s="403">
        <v>768</v>
      </c>
      <c r="Y1232" s="477">
        <f t="shared" ref="Y1232:Y1295" si="155">W1232*X1232</f>
        <v>307200</v>
      </c>
      <c r="Z1232" s="478">
        <v>0.47499999999999998</v>
      </c>
      <c r="AA1232" s="479">
        <f t="shared" si="153"/>
        <v>145920</v>
      </c>
      <c r="AB1232" s="480"/>
      <c r="AC1232" s="481">
        <f t="shared" si="154"/>
        <v>0</v>
      </c>
      <c r="AD1232" s="474"/>
      <c r="AE1232" s="482"/>
      <c r="AF1232" s="493">
        <f t="shared" si="150"/>
        <v>145920</v>
      </c>
      <c r="AG1232" s="474" t="s">
        <v>1071</v>
      </c>
      <c r="AH1232" s="447"/>
      <c r="AI1232" s="474">
        <v>60</v>
      </c>
      <c r="AJ1232" s="474" t="s">
        <v>1342</v>
      </c>
      <c r="AK1232" s="474" t="s">
        <v>1085</v>
      </c>
      <c r="AL1232" s="494">
        <v>8110</v>
      </c>
      <c r="AM1232" s="474" t="s">
        <v>52</v>
      </c>
      <c r="AN1232" s="474"/>
      <c r="AO1232" s="474"/>
      <c r="AP1232" s="474"/>
      <c r="AQ1232" s="482" t="s">
        <v>37</v>
      </c>
      <c r="AR1232" s="474"/>
      <c r="AS1232" s="387"/>
      <c r="AT1232" s="356"/>
      <c r="AU1232" s="387"/>
      <c r="AV1232" s="472"/>
    </row>
    <row r="1233" spans="1:48" s="471" customFormat="1" ht="15" customHeight="1">
      <c r="A1233" s="278"/>
      <c r="B1233" s="279"/>
      <c r="C1233" s="279"/>
      <c r="D1233" s="405" t="s">
        <v>3678</v>
      </c>
      <c r="E1233" s="307" t="s">
        <v>5132</v>
      </c>
      <c r="F1233" s="501"/>
      <c r="G1233" s="501"/>
      <c r="H1233" s="501"/>
      <c r="I1233" s="382" t="s">
        <v>1286</v>
      </c>
      <c r="J1233" s="502"/>
      <c r="K1233" s="382" t="s">
        <v>5133</v>
      </c>
      <c r="L1233" s="353" t="s">
        <v>1340</v>
      </c>
      <c r="M1233" s="502">
        <v>44574</v>
      </c>
      <c r="N1233" s="502">
        <v>44805</v>
      </c>
      <c r="O1233" s="502"/>
      <c r="P1233" s="502"/>
      <c r="Q1233" s="502"/>
      <c r="R1233" s="502"/>
      <c r="S1233" s="501" t="s">
        <v>1102</v>
      </c>
      <c r="T1233" s="501">
        <v>60</v>
      </c>
      <c r="U1233" s="501"/>
      <c r="V1233" s="501" t="s">
        <v>973</v>
      </c>
      <c r="W1233" s="505">
        <v>400</v>
      </c>
      <c r="X1233" s="403">
        <v>2304</v>
      </c>
      <c r="Y1233" s="477">
        <f t="shared" si="155"/>
        <v>921600</v>
      </c>
      <c r="Z1233" s="478">
        <v>0.47499999999999998</v>
      </c>
      <c r="AA1233" s="479">
        <f t="shared" si="153"/>
        <v>437760</v>
      </c>
      <c r="AB1233" s="480"/>
      <c r="AC1233" s="481">
        <f t="shared" si="154"/>
        <v>0</v>
      </c>
      <c r="AD1233" s="474"/>
      <c r="AE1233" s="482"/>
      <c r="AF1233" s="493">
        <f t="shared" si="150"/>
        <v>437760</v>
      </c>
      <c r="AG1233" s="474" t="s">
        <v>1071</v>
      </c>
      <c r="AH1233" s="447"/>
      <c r="AI1233" s="474">
        <v>60</v>
      </c>
      <c r="AJ1233" s="474" t="s">
        <v>1342</v>
      </c>
      <c r="AK1233" s="474" t="s">
        <v>1085</v>
      </c>
      <c r="AL1233" s="494">
        <v>8110</v>
      </c>
      <c r="AM1233" s="474" t="s">
        <v>52</v>
      </c>
      <c r="AN1233" s="474"/>
      <c r="AO1233" s="474"/>
      <c r="AP1233" s="474"/>
      <c r="AQ1233" s="482" t="s">
        <v>37</v>
      </c>
      <c r="AR1233" s="474"/>
      <c r="AS1233" s="387"/>
      <c r="AT1233" s="356"/>
      <c r="AU1233" s="387"/>
      <c r="AV1233" s="472"/>
    </row>
    <row r="1234" spans="1:48" s="471" customFormat="1" ht="15" customHeight="1">
      <c r="A1234" s="278"/>
      <c r="B1234" s="279"/>
      <c r="C1234" s="279"/>
      <c r="D1234" s="405" t="s">
        <v>3678</v>
      </c>
      <c r="E1234" s="307" t="s">
        <v>5132</v>
      </c>
      <c r="F1234" s="501"/>
      <c r="G1234" s="501"/>
      <c r="H1234" s="501"/>
      <c r="I1234" s="382" t="s">
        <v>1286</v>
      </c>
      <c r="J1234" s="502"/>
      <c r="K1234" s="382" t="s">
        <v>5134</v>
      </c>
      <c r="L1234" s="353" t="s">
        <v>1340</v>
      </c>
      <c r="M1234" s="502">
        <v>44574</v>
      </c>
      <c r="N1234" s="502">
        <v>44774</v>
      </c>
      <c r="O1234" s="502"/>
      <c r="P1234" s="502"/>
      <c r="Q1234" s="502"/>
      <c r="R1234" s="502"/>
      <c r="S1234" s="501" t="s">
        <v>1102</v>
      </c>
      <c r="T1234" s="501">
        <v>60</v>
      </c>
      <c r="U1234" s="501"/>
      <c r="V1234" s="501" t="s">
        <v>973</v>
      </c>
      <c r="W1234" s="505">
        <v>400</v>
      </c>
      <c r="X1234" s="403">
        <v>2304</v>
      </c>
      <c r="Y1234" s="477">
        <f t="shared" si="155"/>
        <v>921600</v>
      </c>
      <c r="Z1234" s="478">
        <v>0.47499999999999998</v>
      </c>
      <c r="AA1234" s="479">
        <f t="shared" si="153"/>
        <v>437760</v>
      </c>
      <c r="AB1234" s="480"/>
      <c r="AC1234" s="481">
        <f t="shared" si="154"/>
        <v>0</v>
      </c>
      <c r="AD1234" s="474"/>
      <c r="AE1234" s="482"/>
      <c r="AF1234" s="493">
        <f t="shared" si="150"/>
        <v>437760</v>
      </c>
      <c r="AG1234" s="474" t="s">
        <v>1071</v>
      </c>
      <c r="AH1234" s="447"/>
      <c r="AI1234" s="474">
        <v>60</v>
      </c>
      <c r="AJ1234" s="474" t="s">
        <v>1342</v>
      </c>
      <c r="AK1234" s="474" t="s">
        <v>1085</v>
      </c>
      <c r="AL1234" s="494">
        <v>8110</v>
      </c>
      <c r="AM1234" s="474" t="s">
        <v>52</v>
      </c>
      <c r="AN1234" s="474"/>
      <c r="AO1234" s="474"/>
      <c r="AP1234" s="474"/>
      <c r="AQ1234" s="482" t="s">
        <v>37</v>
      </c>
      <c r="AR1234" s="474"/>
      <c r="AS1234" s="387"/>
      <c r="AT1234" s="356"/>
      <c r="AU1234" s="387"/>
      <c r="AV1234" s="472"/>
    </row>
    <row r="1235" spans="1:48" s="471" customFormat="1" ht="15" customHeight="1">
      <c r="A1235" s="278"/>
      <c r="B1235" s="279"/>
      <c r="C1235" s="279"/>
      <c r="D1235" s="405" t="s">
        <v>3678</v>
      </c>
      <c r="E1235" s="307" t="s">
        <v>5132</v>
      </c>
      <c r="F1235" s="501"/>
      <c r="G1235" s="501"/>
      <c r="H1235" s="501"/>
      <c r="I1235" s="382" t="s">
        <v>1286</v>
      </c>
      <c r="J1235" s="502"/>
      <c r="K1235" s="382" t="s">
        <v>5135</v>
      </c>
      <c r="L1235" s="353" t="s">
        <v>1340</v>
      </c>
      <c r="M1235" s="502">
        <v>44574</v>
      </c>
      <c r="N1235" s="502">
        <v>44743</v>
      </c>
      <c r="O1235" s="502"/>
      <c r="P1235" s="502"/>
      <c r="Q1235" s="502"/>
      <c r="R1235" s="502"/>
      <c r="S1235" s="501" t="s">
        <v>1102</v>
      </c>
      <c r="T1235" s="501">
        <v>60</v>
      </c>
      <c r="U1235" s="501"/>
      <c r="V1235" s="501" t="s">
        <v>973</v>
      </c>
      <c r="W1235" s="505">
        <v>400</v>
      </c>
      <c r="X1235" s="403">
        <v>2304</v>
      </c>
      <c r="Y1235" s="477">
        <f t="shared" si="155"/>
        <v>921600</v>
      </c>
      <c r="Z1235" s="478">
        <v>0.47499999999999998</v>
      </c>
      <c r="AA1235" s="479">
        <f t="shared" si="153"/>
        <v>437760</v>
      </c>
      <c r="AB1235" s="480"/>
      <c r="AC1235" s="481">
        <f t="shared" si="154"/>
        <v>0</v>
      </c>
      <c r="AD1235" s="474"/>
      <c r="AE1235" s="482"/>
      <c r="AF1235" s="493">
        <f t="shared" si="150"/>
        <v>437760</v>
      </c>
      <c r="AG1235" s="474" t="s">
        <v>1071</v>
      </c>
      <c r="AH1235" s="447"/>
      <c r="AI1235" s="474">
        <v>60</v>
      </c>
      <c r="AJ1235" s="474" t="s">
        <v>1342</v>
      </c>
      <c r="AK1235" s="474" t="s">
        <v>1085</v>
      </c>
      <c r="AL1235" s="494">
        <v>8110</v>
      </c>
      <c r="AM1235" s="474" t="s">
        <v>52</v>
      </c>
      <c r="AN1235" s="474"/>
      <c r="AO1235" s="474"/>
      <c r="AP1235" s="474"/>
      <c r="AQ1235" s="482" t="s">
        <v>37</v>
      </c>
      <c r="AR1235" s="474"/>
      <c r="AS1235" s="387"/>
      <c r="AT1235" s="356"/>
      <c r="AU1235" s="387"/>
      <c r="AV1235" s="472"/>
    </row>
    <row r="1236" spans="1:48" s="471" customFormat="1" ht="15" customHeight="1">
      <c r="A1236" s="278"/>
      <c r="B1236" s="279">
        <v>44568</v>
      </c>
      <c r="C1236" s="279" t="s">
        <v>1211</v>
      </c>
      <c r="D1236" s="405" t="s">
        <v>3678</v>
      </c>
      <c r="E1236" s="307" t="s">
        <v>5136</v>
      </c>
      <c r="F1236" s="501"/>
      <c r="G1236" s="501">
        <v>2022</v>
      </c>
      <c r="H1236" s="501"/>
      <c r="I1236" s="501" t="s">
        <v>1286</v>
      </c>
      <c r="J1236" s="502"/>
      <c r="K1236" s="501" t="s">
        <v>5137</v>
      </c>
      <c r="L1236" s="501" t="s">
        <v>1340</v>
      </c>
      <c r="M1236" s="502">
        <v>44568</v>
      </c>
      <c r="N1236" s="502">
        <v>44704</v>
      </c>
      <c r="O1236" s="502"/>
      <c r="P1236" s="502"/>
      <c r="Q1236" s="502"/>
      <c r="R1236" s="502"/>
      <c r="S1236" s="501" t="s">
        <v>1102</v>
      </c>
      <c r="T1236" s="501">
        <v>60</v>
      </c>
      <c r="U1236" s="501"/>
      <c r="V1236" s="501" t="s">
        <v>973</v>
      </c>
      <c r="W1236" s="501">
        <v>400</v>
      </c>
      <c r="X1236" s="401">
        <v>3840</v>
      </c>
      <c r="Y1236" s="477">
        <f t="shared" si="155"/>
        <v>1536000</v>
      </c>
      <c r="Z1236" s="478">
        <v>0.46500000000000002</v>
      </c>
      <c r="AA1236" s="479">
        <f t="shared" ref="AA1236:AA1278" si="156">Y1236*Z1236</f>
        <v>714240</v>
      </c>
      <c r="AB1236" s="386"/>
      <c r="AC1236" s="481">
        <v>0</v>
      </c>
      <c r="AD1236" s="474"/>
      <c r="AE1236" s="482"/>
      <c r="AF1236" s="493">
        <f t="shared" si="150"/>
        <v>714240</v>
      </c>
      <c r="AG1236" s="474" t="s">
        <v>1071</v>
      </c>
      <c r="AH1236" s="447"/>
      <c r="AI1236" s="474">
        <v>60</v>
      </c>
      <c r="AJ1236" s="474" t="s">
        <v>1342</v>
      </c>
      <c r="AK1236" s="474" t="s">
        <v>1085</v>
      </c>
      <c r="AL1236" s="494">
        <v>8110</v>
      </c>
      <c r="AM1236" s="474" t="s">
        <v>52</v>
      </c>
      <c r="AN1236" s="474"/>
      <c r="AO1236" s="474"/>
      <c r="AP1236" s="474"/>
      <c r="AQ1236" s="474"/>
      <c r="AR1236" s="474" t="s">
        <v>1248</v>
      </c>
      <c r="AS1236" s="387" t="s">
        <v>1075</v>
      </c>
      <c r="AT1236" s="356"/>
      <c r="AU1236" s="387" t="s">
        <v>1076</v>
      </c>
      <c r="AV1236" s="478">
        <v>0.46500000000000002</v>
      </c>
    </row>
    <row r="1237" spans="1:48" s="471" customFormat="1" ht="15.75" customHeight="1">
      <c r="A1237" s="278"/>
      <c r="B1237" s="279">
        <v>44568</v>
      </c>
      <c r="C1237" s="279" t="s">
        <v>1211</v>
      </c>
      <c r="D1237" s="405" t="s">
        <v>3678</v>
      </c>
      <c r="E1237" s="307" t="s">
        <v>5138</v>
      </c>
      <c r="F1237" s="501"/>
      <c r="G1237" s="501">
        <v>2022</v>
      </c>
      <c r="H1237" s="501"/>
      <c r="I1237" s="501" t="s">
        <v>1286</v>
      </c>
      <c r="J1237" s="502"/>
      <c r="K1237" s="501" t="s">
        <v>3744</v>
      </c>
      <c r="L1237" s="501" t="s">
        <v>1340</v>
      </c>
      <c r="M1237" s="502">
        <v>44568</v>
      </c>
      <c r="N1237" s="502">
        <v>44704</v>
      </c>
      <c r="O1237" s="502"/>
      <c r="P1237" s="502"/>
      <c r="Q1237" s="502"/>
      <c r="R1237" s="502"/>
      <c r="S1237" s="501" t="s">
        <v>1102</v>
      </c>
      <c r="T1237" s="501">
        <v>60</v>
      </c>
      <c r="U1237" s="501"/>
      <c r="V1237" s="501" t="s">
        <v>973</v>
      </c>
      <c r="W1237" s="501">
        <v>400</v>
      </c>
      <c r="X1237" s="401">
        <v>2304</v>
      </c>
      <c r="Y1237" s="477">
        <f t="shared" si="155"/>
        <v>921600</v>
      </c>
      <c r="Z1237" s="478">
        <v>0.55000000000000004</v>
      </c>
      <c r="AA1237" s="479">
        <f t="shared" si="156"/>
        <v>506880.00000000006</v>
      </c>
      <c r="AB1237" s="386"/>
      <c r="AC1237" s="481">
        <v>0</v>
      </c>
      <c r="AD1237" s="474"/>
      <c r="AE1237" s="482"/>
      <c r="AF1237" s="493">
        <f t="shared" si="150"/>
        <v>506880.00000000006</v>
      </c>
      <c r="AG1237" s="474" t="s">
        <v>1071</v>
      </c>
      <c r="AH1237" s="447"/>
      <c r="AI1237" s="474">
        <v>60</v>
      </c>
      <c r="AJ1237" s="474" t="s">
        <v>1342</v>
      </c>
      <c r="AK1237" s="474" t="s">
        <v>1085</v>
      </c>
      <c r="AL1237" s="494">
        <v>8110</v>
      </c>
      <c r="AM1237" s="474" t="s">
        <v>52</v>
      </c>
      <c r="AN1237" s="474"/>
      <c r="AO1237" s="474"/>
      <c r="AP1237" s="474"/>
      <c r="AQ1237" s="474"/>
      <c r="AR1237" s="474" t="s">
        <v>1248</v>
      </c>
      <c r="AS1237" s="387" t="s">
        <v>1075</v>
      </c>
      <c r="AT1237" s="356"/>
      <c r="AU1237" s="387" t="s">
        <v>1076</v>
      </c>
      <c r="AV1237" s="478">
        <v>0.46500000000000002</v>
      </c>
    </row>
    <row r="1238" spans="1:48" s="471" customFormat="1">
      <c r="A1238" s="278"/>
      <c r="B1238" s="279">
        <v>44552</v>
      </c>
      <c r="C1238" s="279">
        <v>44567</v>
      </c>
      <c r="D1238" s="405" t="s">
        <v>3678</v>
      </c>
      <c r="E1238" s="307" t="s">
        <v>5139</v>
      </c>
      <c r="F1238" s="501"/>
      <c r="G1238" s="501">
        <v>2022</v>
      </c>
      <c r="H1238" s="501"/>
      <c r="I1238" s="501" t="s">
        <v>1286</v>
      </c>
      <c r="J1238" s="502"/>
      <c r="K1238" s="501" t="s">
        <v>5140</v>
      </c>
      <c r="L1238" s="501" t="s">
        <v>1340</v>
      </c>
      <c r="M1238" s="502">
        <v>44474</v>
      </c>
      <c r="N1238" s="502">
        <v>44655</v>
      </c>
      <c r="O1238" s="502"/>
      <c r="P1238" s="502"/>
      <c r="Q1238" s="502"/>
      <c r="R1238" s="502"/>
      <c r="S1238" s="501" t="s">
        <v>1102</v>
      </c>
      <c r="T1238" s="501">
        <v>60</v>
      </c>
      <c r="U1238" s="501"/>
      <c r="V1238" s="501" t="s">
        <v>986</v>
      </c>
      <c r="W1238" s="501">
        <v>360</v>
      </c>
      <c r="X1238" s="401">
        <v>1664</v>
      </c>
      <c r="Y1238" s="477">
        <f t="shared" si="155"/>
        <v>599040</v>
      </c>
      <c r="Z1238" s="478">
        <v>0.5</v>
      </c>
      <c r="AA1238" s="479">
        <f t="shared" si="156"/>
        <v>299520</v>
      </c>
      <c r="AB1238" s="386"/>
      <c r="AC1238" s="481">
        <v>0</v>
      </c>
      <c r="AD1238" s="474"/>
      <c r="AE1238" s="482"/>
      <c r="AF1238" s="493">
        <f t="shared" si="150"/>
        <v>299520</v>
      </c>
      <c r="AG1238" s="474" t="s">
        <v>1071</v>
      </c>
      <c r="AH1238" s="447"/>
      <c r="AI1238" s="474">
        <v>60</v>
      </c>
      <c r="AJ1238" s="474" t="s">
        <v>1342</v>
      </c>
      <c r="AK1238" s="474" t="s">
        <v>1085</v>
      </c>
      <c r="AL1238" s="494">
        <v>8110</v>
      </c>
      <c r="AM1238" s="474" t="s">
        <v>52</v>
      </c>
      <c r="AN1238" s="474"/>
      <c r="AO1238" s="474"/>
      <c r="AP1238" s="474"/>
      <c r="AQ1238" s="474"/>
      <c r="AR1238" s="474"/>
      <c r="AS1238" s="400" t="s">
        <v>1075</v>
      </c>
      <c r="AT1238" s="387"/>
      <c r="AU1238" s="387" t="s">
        <v>1076</v>
      </c>
      <c r="AV1238" s="472"/>
    </row>
    <row r="1239" spans="1:48" s="471" customFormat="1">
      <c r="A1239" s="278"/>
      <c r="B1239" s="279"/>
      <c r="C1239" s="279"/>
      <c r="D1239" s="405" t="s">
        <v>3678</v>
      </c>
      <c r="E1239" s="301" t="s">
        <v>5141</v>
      </c>
      <c r="F1239" s="501"/>
      <c r="G1239" s="501">
        <v>2022</v>
      </c>
      <c r="H1239" s="501"/>
      <c r="I1239" s="382" t="s">
        <v>1286</v>
      </c>
      <c r="J1239" s="502"/>
      <c r="K1239" s="382" t="s">
        <v>5142</v>
      </c>
      <c r="L1239" s="501" t="s">
        <v>1228</v>
      </c>
      <c r="M1239" s="502">
        <v>44578</v>
      </c>
      <c r="N1239" s="502">
        <v>44774</v>
      </c>
      <c r="O1239" s="502"/>
      <c r="P1239" s="502"/>
      <c r="Q1239" s="502"/>
      <c r="R1239" s="502"/>
      <c r="S1239" s="501" t="s">
        <v>1102</v>
      </c>
      <c r="T1239" s="501">
        <v>60</v>
      </c>
      <c r="U1239" s="501"/>
      <c r="V1239" s="501" t="s">
        <v>5118</v>
      </c>
      <c r="W1239" s="501">
        <v>400</v>
      </c>
      <c r="X1239" s="401">
        <v>2688</v>
      </c>
      <c r="Y1239" s="477">
        <f t="shared" si="155"/>
        <v>1075200</v>
      </c>
      <c r="Z1239" s="478">
        <v>0.51</v>
      </c>
      <c r="AA1239" s="479">
        <f t="shared" si="156"/>
        <v>548352</v>
      </c>
      <c r="AB1239" s="386"/>
      <c r="AC1239" s="481">
        <v>0</v>
      </c>
      <c r="AD1239" s="474"/>
      <c r="AE1239" s="482"/>
      <c r="AF1239" s="493">
        <f t="shared" si="150"/>
        <v>548352</v>
      </c>
      <c r="AG1239" s="474" t="s">
        <v>1071</v>
      </c>
      <c r="AH1239" s="447"/>
      <c r="AI1239" s="474">
        <v>60</v>
      </c>
      <c r="AJ1239" s="474" t="s">
        <v>1230</v>
      </c>
      <c r="AK1239" s="474" t="s">
        <v>1190</v>
      </c>
      <c r="AL1239" s="494">
        <v>6492</v>
      </c>
      <c r="AM1239" s="474" t="s">
        <v>52</v>
      </c>
      <c r="AN1239" s="474"/>
      <c r="AO1239" s="474"/>
      <c r="AP1239" s="474"/>
      <c r="AQ1239" s="474"/>
      <c r="AR1239" s="474" t="s">
        <v>3884</v>
      </c>
      <c r="AS1239" s="400" t="s">
        <v>1075</v>
      </c>
      <c r="AT1239" s="387"/>
      <c r="AU1239" s="387" t="s">
        <v>1076</v>
      </c>
      <c r="AV1239" s="478">
        <v>0.51</v>
      </c>
    </row>
    <row r="1240" spans="1:48" s="471" customFormat="1">
      <c r="A1240" s="278"/>
      <c r="B1240" s="279"/>
      <c r="C1240" s="279"/>
      <c r="D1240" s="405" t="s">
        <v>3678</v>
      </c>
      <c r="E1240" s="301" t="s">
        <v>5141</v>
      </c>
      <c r="F1240" s="501"/>
      <c r="G1240" s="501">
        <v>2022</v>
      </c>
      <c r="H1240" s="501"/>
      <c r="I1240" s="382" t="s">
        <v>1286</v>
      </c>
      <c r="J1240" s="502"/>
      <c r="K1240" s="382" t="s">
        <v>5142</v>
      </c>
      <c r="L1240" s="501" t="s">
        <v>1228</v>
      </c>
      <c r="M1240" s="502">
        <v>44578</v>
      </c>
      <c r="N1240" s="502">
        <v>44774</v>
      </c>
      <c r="O1240" s="502"/>
      <c r="P1240" s="502"/>
      <c r="Q1240" s="502"/>
      <c r="R1240" s="502"/>
      <c r="S1240" s="501" t="s">
        <v>1102</v>
      </c>
      <c r="T1240" s="501">
        <v>60</v>
      </c>
      <c r="U1240" s="501"/>
      <c r="V1240" s="501" t="s">
        <v>5118</v>
      </c>
      <c r="W1240" s="501">
        <v>400</v>
      </c>
      <c r="X1240" s="401">
        <v>898</v>
      </c>
      <c r="Y1240" s="477">
        <f t="shared" si="155"/>
        <v>359200</v>
      </c>
      <c r="Z1240" s="478">
        <v>0.52</v>
      </c>
      <c r="AA1240" s="479">
        <f t="shared" si="156"/>
        <v>186784</v>
      </c>
      <c r="AB1240" s="386"/>
      <c r="AC1240" s="481">
        <v>0</v>
      </c>
      <c r="AD1240" s="474"/>
      <c r="AE1240" s="482"/>
      <c r="AF1240" s="493">
        <f t="shared" si="150"/>
        <v>186784</v>
      </c>
      <c r="AG1240" s="474" t="s">
        <v>1071</v>
      </c>
      <c r="AH1240" s="447"/>
      <c r="AI1240" s="474">
        <v>60</v>
      </c>
      <c r="AJ1240" s="474" t="s">
        <v>1230</v>
      </c>
      <c r="AK1240" s="474" t="s">
        <v>1190</v>
      </c>
      <c r="AL1240" s="494">
        <v>6492</v>
      </c>
      <c r="AM1240" s="474" t="s">
        <v>52</v>
      </c>
      <c r="AN1240" s="474"/>
      <c r="AO1240" s="474"/>
      <c r="AP1240" s="474"/>
      <c r="AQ1240" s="474"/>
      <c r="AR1240" s="474" t="s">
        <v>3884</v>
      </c>
      <c r="AS1240" s="400" t="s">
        <v>1075</v>
      </c>
      <c r="AT1240" s="387"/>
      <c r="AU1240" s="387" t="s">
        <v>1076</v>
      </c>
      <c r="AV1240" s="478">
        <v>0.52</v>
      </c>
    </row>
    <row r="1241" spans="1:48" s="471" customFormat="1">
      <c r="A1241" s="278"/>
      <c r="B1241" s="279"/>
      <c r="C1241" s="279"/>
      <c r="D1241" s="405" t="s">
        <v>3678</v>
      </c>
      <c r="E1241" s="307" t="s">
        <v>5143</v>
      </c>
      <c r="F1241" s="501"/>
      <c r="G1241" s="501">
        <v>2022</v>
      </c>
      <c r="H1241" s="501"/>
      <c r="I1241" s="382" t="s">
        <v>1286</v>
      </c>
      <c r="J1241" s="502"/>
      <c r="K1241" s="382" t="s">
        <v>5144</v>
      </c>
      <c r="L1241" s="501" t="s">
        <v>1228</v>
      </c>
      <c r="M1241" s="502">
        <v>44578</v>
      </c>
      <c r="N1241" s="502">
        <v>44746</v>
      </c>
      <c r="O1241" s="502"/>
      <c r="P1241" s="502"/>
      <c r="Q1241" s="502"/>
      <c r="R1241" s="502"/>
      <c r="S1241" s="501" t="s">
        <v>1102</v>
      </c>
      <c r="T1241" s="501">
        <v>60</v>
      </c>
      <c r="U1241" s="501"/>
      <c r="V1241" s="501" t="s">
        <v>5118</v>
      </c>
      <c r="W1241" s="501">
        <v>400</v>
      </c>
      <c r="X1241" s="401">
        <v>2688</v>
      </c>
      <c r="Y1241" s="477">
        <f t="shared" si="155"/>
        <v>1075200</v>
      </c>
      <c r="Z1241" s="478">
        <v>0.51</v>
      </c>
      <c r="AA1241" s="479">
        <f t="shared" si="156"/>
        <v>548352</v>
      </c>
      <c r="AB1241" s="386"/>
      <c r="AC1241" s="481">
        <v>0</v>
      </c>
      <c r="AD1241" s="474"/>
      <c r="AE1241" s="482"/>
      <c r="AF1241" s="493">
        <f t="shared" si="150"/>
        <v>548352</v>
      </c>
      <c r="AG1241" s="474" t="s">
        <v>1071</v>
      </c>
      <c r="AH1241" s="447"/>
      <c r="AI1241" s="474">
        <v>60</v>
      </c>
      <c r="AJ1241" s="474" t="s">
        <v>1230</v>
      </c>
      <c r="AK1241" s="474" t="s">
        <v>1190</v>
      </c>
      <c r="AL1241" s="494">
        <v>6492</v>
      </c>
      <c r="AM1241" s="474" t="s">
        <v>52</v>
      </c>
      <c r="AN1241" s="474"/>
      <c r="AO1241" s="474"/>
      <c r="AP1241" s="474"/>
      <c r="AQ1241" s="474"/>
      <c r="AR1241" s="474" t="s">
        <v>1248</v>
      </c>
      <c r="AS1241" s="400" t="s">
        <v>1075</v>
      </c>
      <c r="AT1241" s="387"/>
      <c r="AU1241" s="387" t="s">
        <v>1076</v>
      </c>
      <c r="AV1241" s="478">
        <v>0.51</v>
      </c>
    </row>
    <row r="1242" spans="1:48" s="471" customFormat="1" ht="15" customHeight="1">
      <c r="A1242" s="278"/>
      <c r="B1242" s="279"/>
      <c r="C1242" s="279"/>
      <c r="D1242" s="405" t="s">
        <v>3678</v>
      </c>
      <c r="E1242" s="301" t="s">
        <v>5145</v>
      </c>
      <c r="F1242" s="501"/>
      <c r="G1242" s="501">
        <v>2022</v>
      </c>
      <c r="H1242" s="501"/>
      <c r="I1242" s="382" t="s">
        <v>1286</v>
      </c>
      <c r="J1242" s="502"/>
      <c r="K1242" s="382" t="s">
        <v>5144</v>
      </c>
      <c r="L1242" s="501" t="s">
        <v>1228</v>
      </c>
      <c r="M1242" s="502">
        <v>44578</v>
      </c>
      <c r="N1242" s="502">
        <v>44746</v>
      </c>
      <c r="O1242" s="502"/>
      <c r="P1242" s="502"/>
      <c r="Q1242" s="502"/>
      <c r="R1242" s="502"/>
      <c r="S1242" s="501" t="s">
        <v>1102</v>
      </c>
      <c r="T1242" s="501">
        <v>60</v>
      </c>
      <c r="U1242" s="501"/>
      <c r="V1242" s="501" t="s">
        <v>5118</v>
      </c>
      <c r="W1242" s="501">
        <v>400</v>
      </c>
      <c r="X1242" s="401">
        <v>896</v>
      </c>
      <c r="Y1242" s="477">
        <f t="shared" si="155"/>
        <v>358400</v>
      </c>
      <c r="Z1242" s="478">
        <v>0.47499999999999998</v>
      </c>
      <c r="AA1242" s="479">
        <f t="shared" si="156"/>
        <v>170240</v>
      </c>
      <c r="AB1242" s="386"/>
      <c r="AC1242" s="481">
        <v>0</v>
      </c>
      <c r="AD1242" s="474"/>
      <c r="AE1242" s="482"/>
      <c r="AF1242" s="493">
        <f t="shared" si="150"/>
        <v>170240</v>
      </c>
      <c r="AG1242" s="474" t="s">
        <v>1071</v>
      </c>
      <c r="AH1242" s="447"/>
      <c r="AI1242" s="474">
        <v>60</v>
      </c>
      <c r="AJ1242" s="474" t="s">
        <v>1230</v>
      </c>
      <c r="AK1242" s="474" t="s">
        <v>1190</v>
      </c>
      <c r="AL1242" s="494">
        <v>6492</v>
      </c>
      <c r="AM1242" s="474" t="s">
        <v>52</v>
      </c>
      <c r="AN1242" s="474"/>
      <c r="AO1242" s="474"/>
      <c r="AP1242" s="474"/>
      <c r="AQ1242" s="474"/>
      <c r="AR1242" s="474" t="s">
        <v>5146</v>
      </c>
      <c r="AS1242" s="387" t="s">
        <v>1075</v>
      </c>
      <c r="AT1242" s="356"/>
      <c r="AU1242" s="387" t="s">
        <v>1076</v>
      </c>
      <c r="AV1242" s="478">
        <v>0.47499999999999998</v>
      </c>
    </row>
    <row r="1243" spans="1:48" s="471" customFormat="1" ht="15" customHeight="1">
      <c r="A1243" s="278"/>
      <c r="B1243" s="279"/>
      <c r="C1243" s="279"/>
      <c r="D1243" s="405" t="s">
        <v>3678</v>
      </c>
      <c r="E1243" s="307" t="s">
        <v>5518</v>
      </c>
      <c r="F1243" s="501"/>
      <c r="G1243" s="501">
        <v>2022</v>
      </c>
      <c r="H1243" s="501"/>
      <c r="I1243" s="382" t="s">
        <v>1286</v>
      </c>
      <c r="J1243" s="502"/>
      <c r="K1243" s="382" t="s">
        <v>5519</v>
      </c>
      <c r="L1243" s="501" t="s">
        <v>1228</v>
      </c>
      <c r="M1243" s="502">
        <v>44649</v>
      </c>
      <c r="N1243" s="502">
        <v>44753</v>
      </c>
      <c r="O1243" s="502"/>
      <c r="P1243" s="502"/>
      <c r="Q1243" s="502"/>
      <c r="R1243" s="502"/>
      <c r="S1243" s="501" t="s">
        <v>1102</v>
      </c>
      <c r="T1243" s="501">
        <v>60</v>
      </c>
      <c r="U1243" s="501"/>
      <c r="V1243" s="501" t="s">
        <v>986</v>
      </c>
      <c r="W1243" s="501">
        <v>360</v>
      </c>
      <c r="X1243" s="401">
        <v>896</v>
      </c>
      <c r="Y1243" s="477">
        <f t="shared" si="155"/>
        <v>322560</v>
      </c>
      <c r="Z1243" s="478">
        <v>0.53</v>
      </c>
      <c r="AA1243" s="479">
        <f t="shared" si="156"/>
        <v>170956.80000000002</v>
      </c>
      <c r="AB1243" s="386"/>
      <c r="AC1243" s="481">
        <v>0</v>
      </c>
      <c r="AD1243" s="474"/>
      <c r="AE1243" s="482"/>
      <c r="AF1243" s="493">
        <f t="shared" si="150"/>
        <v>170956.80000000002</v>
      </c>
      <c r="AG1243" s="474" t="s">
        <v>1071</v>
      </c>
      <c r="AH1243" s="447"/>
      <c r="AI1243" s="474">
        <v>60</v>
      </c>
      <c r="AJ1243" s="474" t="s">
        <v>1233</v>
      </c>
      <c r="AK1243" s="474" t="s">
        <v>1190</v>
      </c>
      <c r="AL1243" s="494">
        <v>6810</v>
      </c>
      <c r="AM1243" s="474" t="s">
        <v>52</v>
      </c>
      <c r="AN1243" s="474"/>
      <c r="AO1243" s="474"/>
      <c r="AP1243" s="474"/>
      <c r="AQ1243" s="474"/>
      <c r="AR1243" s="474" t="s">
        <v>5146</v>
      </c>
      <c r="AS1243" s="387" t="s">
        <v>1075</v>
      </c>
      <c r="AT1243" s="356"/>
      <c r="AU1243" s="387" t="s">
        <v>1076</v>
      </c>
      <c r="AV1243" s="478">
        <v>0.47499999999999998</v>
      </c>
    </row>
    <row r="1244" spans="1:48" s="471" customFormat="1" ht="15" customHeight="1">
      <c r="A1244" s="278"/>
      <c r="B1244" s="279"/>
      <c r="C1244" s="279"/>
      <c r="D1244" s="405" t="s">
        <v>3678</v>
      </c>
      <c r="E1244" s="307" t="s">
        <v>5518</v>
      </c>
      <c r="F1244" s="501"/>
      <c r="G1244" s="501">
        <v>2022</v>
      </c>
      <c r="H1244" s="501"/>
      <c r="I1244" s="382" t="s">
        <v>1286</v>
      </c>
      <c r="J1244" s="502"/>
      <c r="K1244" s="382" t="s">
        <v>5520</v>
      </c>
      <c r="L1244" s="501" t="s">
        <v>1228</v>
      </c>
      <c r="M1244" s="502">
        <v>44649</v>
      </c>
      <c r="N1244" s="502">
        <v>44774</v>
      </c>
      <c r="O1244" s="502"/>
      <c r="P1244" s="502"/>
      <c r="Q1244" s="502"/>
      <c r="R1244" s="502"/>
      <c r="S1244" s="501" t="s">
        <v>1102</v>
      </c>
      <c r="T1244" s="501">
        <v>60</v>
      </c>
      <c r="U1244" s="501"/>
      <c r="V1244" s="501" t="s">
        <v>986</v>
      </c>
      <c r="W1244" s="501">
        <v>360</v>
      </c>
      <c r="X1244" s="401">
        <v>896</v>
      </c>
      <c r="Y1244" s="477">
        <f t="shared" si="155"/>
        <v>322560</v>
      </c>
      <c r="Z1244" s="478">
        <v>0.53</v>
      </c>
      <c r="AA1244" s="479">
        <f t="shared" si="156"/>
        <v>170956.80000000002</v>
      </c>
      <c r="AB1244" s="386"/>
      <c r="AC1244" s="481">
        <v>0</v>
      </c>
      <c r="AD1244" s="474"/>
      <c r="AE1244" s="482"/>
      <c r="AF1244" s="493">
        <f t="shared" si="150"/>
        <v>170956.80000000002</v>
      </c>
      <c r="AG1244" s="474" t="s">
        <v>1071</v>
      </c>
      <c r="AH1244" s="447"/>
      <c r="AI1244" s="474">
        <v>60</v>
      </c>
      <c r="AJ1244" s="474" t="s">
        <v>1233</v>
      </c>
      <c r="AK1244" s="474" t="s">
        <v>1190</v>
      </c>
      <c r="AL1244" s="494">
        <v>6810</v>
      </c>
      <c r="AM1244" s="474" t="s">
        <v>52</v>
      </c>
      <c r="AN1244" s="474"/>
      <c r="AO1244" s="474"/>
      <c r="AP1244" s="474"/>
      <c r="AQ1244" s="474"/>
      <c r="AR1244" s="474" t="s">
        <v>5146</v>
      </c>
      <c r="AS1244" s="387" t="s">
        <v>1075</v>
      </c>
      <c r="AT1244" s="356"/>
      <c r="AU1244" s="387" t="s">
        <v>1076</v>
      </c>
      <c r="AV1244" s="478">
        <v>0.47499999999999998</v>
      </c>
    </row>
    <row r="1245" spans="1:48" s="471" customFormat="1" ht="15" customHeight="1">
      <c r="A1245" s="278"/>
      <c r="B1245" s="279"/>
      <c r="C1245" s="279"/>
      <c r="D1245" s="405" t="s">
        <v>3678</v>
      </c>
      <c r="E1245" s="307" t="s">
        <v>5518</v>
      </c>
      <c r="F1245" s="501"/>
      <c r="G1245" s="501">
        <v>2022</v>
      </c>
      <c r="H1245" s="501"/>
      <c r="I1245" s="382" t="s">
        <v>1286</v>
      </c>
      <c r="J1245" s="502"/>
      <c r="K1245" s="382" t="s">
        <v>5521</v>
      </c>
      <c r="L1245" s="501" t="s">
        <v>1228</v>
      </c>
      <c r="M1245" s="502">
        <v>44649</v>
      </c>
      <c r="N1245" s="502">
        <v>44802</v>
      </c>
      <c r="O1245" s="502"/>
      <c r="P1245" s="502"/>
      <c r="Q1245" s="502"/>
      <c r="R1245" s="502"/>
      <c r="S1245" s="501" t="s">
        <v>1102</v>
      </c>
      <c r="T1245" s="501">
        <v>60</v>
      </c>
      <c r="U1245" s="501"/>
      <c r="V1245" s="501" t="s">
        <v>986</v>
      </c>
      <c r="W1245" s="501">
        <v>360</v>
      </c>
      <c r="X1245" s="401">
        <v>896</v>
      </c>
      <c r="Y1245" s="477">
        <f t="shared" si="155"/>
        <v>322560</v>
      </c>
      <c r="Z1245" s="478">
        <v>0.53</v>
      </c>
      <c r="AA1245" s="479">
        <f t="shared" si="156"/>
        <v>170956.80000000002</v>
      </c>
      <c r="AB1245" s="386"/>
      <c r="AC1245" s="481">
        <v>0</v>
      </c>
      <c r="AD1245" s="474"/>
      <c r="AE1245" s="482"/>
      <c r="AF1245" s="493">
        <f t="shared" si="150"/>
        <v>170956.80000000002</v>
      </c>
      <c r="AG1245" s="474" t="s">
        <v>1071</v>
      </c>
      <c r="AH1245" s="447"/>
      <c r="AI1245" s="474">
        <v>60</v>
      </c>
      <c r="AJ1245" s="474" t="s">
        <v>1233</v>
      </c>
      <c r="AK1245" s="474" t="s">
        <v>1190</v>
      </c>
      <c r="AL1245" s="494">
        <v>6810</v>
      </c>
      <c r="AM1245" s="474" t="s">
        <v>52</v>
      </c>
      <c r="AN1245" s="474"/>
      <c r="AO1245" s="474"/>
      <c r="AP1245" s="474"/>
      <c r="AQ1245" s="474"/>
      <c r="AR1245" s="474" t="s">
        <v>5146</v>
      </c>
      <c r="AS1245" s="387" t="s">
        <v>1075</v>
      </c>
      <c r="AT1245" s="356"/>
      <c r="AU1245" s="387" t="s">
        <v>1076</v>
      </c>
      <c r="AV1245" s="478">
        <v>0.47499999999999998</v>
      </c>
    </row>
    <row r="1246" spans="1:48" s="471" customFormat="1" ht="15" customHeight="1">
      <c r="A1246" s="278"/>
      <c r="B1246" s="279"/>
      <c r="C1246" s="279"/>
      <c r="D1246" s="405" t="s">
        <v>3678</v>
      </c>
      <c r="E1246" s="307" t="s">
        <v>5518</v>
      </c>
      <c r="F1246" s="501"/>
      <c r="G1246" s="501">
        <v>2022</v>
      </c>
      <c r="H1246" s="501"/>
      <c r="I1246" s="382" t="s">
        <v>1286</v>
      </c>
      <c r="J1246" s="502"/>
      <c r="K1246" s="382" t="s">
        <v>5522</v>
      </c>
      <c r="L1246" s="501" t="s">
        <v>1228</v>
      </c>
      <c r="M1246" s="502">
        <v>44649</v>
      </c>
      <c r="N1246" s="502">
        <v>44809</v>
      </c>
      <c r="O1246" s="502"/>
      <c r="P1246" s="502"/>
      <c r="Q1246" s="502"/>
      <c r="R1246" s="502"/>
      <c r="S1246" s="501" t="s">
        <v>1102</v>
      </c>
      <c r="T1246" s="501">
        <v>60</v>
      </c>
      <c r="U1246" s="501"/>
      <c r="V1246" s="501" t="s">
        <v>973</v>
      </c>
      <c r="W1246" s="501">
        <v>400</v>
      </c>
      <c r="X1246" s="401">
        <v>896</v>
      </c>
      <c r="Y1246" s="477">
        <f t="shared" si="155"/>
        <v>358400</v>
      </c>
      <c r="Z1246" s="478">
        <v>0.55000000000000004</v>
      </c>
      <c r="AA1246" s="479">
        <f t="shared" si="156"/>
        <v>197120.00000000003</v>
      </c>
      <c r="AB1246" s="386"/>
      <c r="AC1246" s="481">
        <v>0</v>
      </c>
      <c r="AD1246" s="474"/>
      <c r="AE1246" s="482"/>
      <c r="AF1246" s="493">
        <f t="shared" si="150"/>
        <v>197120.00000000003</v>
      </c>
      <c r="AG1246" s="474" t="s">
        <v>1071</v>
      </c>
      <c r="AH1246" s="447"/>
      <c r="AI1246" s="474">
        <v>60</v>
      </c>
      <c r="AJ1246" s="474" t="s">
        <v>1233</v>
      </c>
      <c r="AK1246" s="474" t="s">
        <v>1190</v>
      </c>
      <c r="AL1246" s="494">
        <v>6810</v>
      </c>
      <c r="AM1246" s="474" t="s">
        <v>52</v>
      </c>
      <c r="AN1246" s="474"/>
      <c r="AO1246" s="474"/>
      <c r="AP1246" s="474"/>
      <c r="AQ1246" s="474"/>
      <c r="AR1246" s="474" t="s">
        <v>5146</v>
      </c>
      <c r="AS1246" s="387" t="s">
        <v>1075</v>
      </c>
      <c r="AT1246" s="356"/>
      <c r="AU1246" s="387" t="s">
        <v>1076</v>
      </c>
      <c r="AV1246" s="478">
        <v>0.47499999999999998</v>
      </c>
    </row>
    <row r="1247" spans="1:48" s="471" customFormat="1" ht="15" customHeight="1">
      <c r="A1247" s="278"/>
      <c r="B1247" s="279"/>
      <c r="C1247" s="279"/>
      <c r="D1247" s="405" t="s">
        <v>3678</v>
      </c>
      <c r="E1247" s="307" t="s">
        <v>5518</v>
      </c>
      <c r="F1247" s="501"/>
      <c r="G1247" s="501">
        <v>2022</v>
      </c>
      <c r="H1247" s="501"/>
      <c r="I1247" s="382" t="s">
        <v>1286</v>
      </c>
      <c r="J1247" s="502"/>
      <c r="K1247" s="382" t="s">
        <v>5523</v>
      </c>
      <c r="L1247" s="501" t="s">
        <v>1228</v>
      </c>
      <c r="M1247" s="502">
        <v>44649</v>
      </c>
      <c r="N1247" s="502">
        <v>44834</v>
      </c>
      <c r="O1247" s="502"/>
      <c r="P1247" s="502"/>
      <c r="Q1247" s="502"/>
      <c r="R1247" s="502"/>
      <c r="S1247" s="501" t="s">
        <v>1102</v>
      </c>
      <c r="T1247" s="501">
        <v>60</v>
      </c>
      <c r="U1247" s="501"/>
      <c r="V1247" s="501" t="s">
        <v>973</v>
      </c>
      <c r="W1247" s="501">
        <v>400</v>
      </c>
      <c r="X1247" s="401">
        <v>896</v>
      </c>
      <c r="Y1247" s="477">
        <f t="shared" si="155"/>
        <v>358400</v>
      </c>
      <c r="Z1247" s="478">
        <v>0.55000000000000004</v>
      </c>
      <c r="AA1247" s="479">
        <f t="shared" si="156"/>
        <v>197120.00000000003</v>
      </c>
      <c r="AB1247" s="386"/>
      <c r="AC1247" s="481">
        <v>0</v>
      </c>
      <c r="AD1247" s="474"/>
      <c r="AE1247" s="482"/>
      <c r="AF1247" s="493">
        <f t="shared" si="150"/>
        <v>197120.00000000003</v>
      </c>
      <c r="AG1247" s="474" t="s">
        <v>1071</v>
      </c>
      <c r="AH1247" s="447"/>
      <c r="AI1247" s="474">
        <v>60</v>
      </c>
      <c r="AJ1247" s="474" t="s">
        <v>1233</v>
      </c>
      <c r="AK1247" s="474" t="s">
        <v>1190</v>
      </c>
      <c r="AL1247" s="494">
        <v>6810</v>
      </c>
      <c r="AM1247" s="474" t="s">
        <v>52</v>
      </c>
      <c r="AN1247" s="474"/>
      <c r="AO1247" s="474"/>
      <c r="AP1247" s="474"/>
      <c r="AQ1247" s="474"/>
      <c r="AR1247" s="474" t="s">
        <v>5146</v>
      </c>
      <c r="AS1247" s="387" t="s">
        <v>1075</v>
      </c>
      <c r="AT1247" s="356"/>
      <c r="AU1247" s="387" t="s">
        <v>1076</v>
      </c>
      <c r="AV1247" s="478">
        <v>0.47499999999999998</v>
      </c>
    </row>
    <row r="1248" spans="1:48" s="471" customFormat="1" ht="15" customHeight="1">
      <c r="A1248" s="278"/>
      <c r="B1248" s="279"/>
      <c r="C1248" s="279"/>
      <c r="D1248" s="405" t="s">
        <v>3678</v>
      </c>
      <c r="E1248" s="307" t="s">
        <v>5518</v>
      </c>
      <c r="F1248" s="501"/>
      <c r="G1248" s="501">
        <v>2022</v>
      </c>
      <c r="H1248" s="501"/>
      <c r="I1248" s="382" t="s">
        <v>1286</v>
      </c>
      <c r="J1248" s="502"/>
      <c r="K1248" s="382" t="s">
        <v>5524</v>
      </c>
      <c r="L1248" s="501" t="s">
        <v>1228</v>
      </c>
      <c r="M1248" s="502">
        <v>44649</v>
      </c>
      <c r="N1248" s="502">
        <v>44858</v>
      </c>
      <c r="O1248" s="502"/>
      <c r="P1248" s="502"/>
      <c r="Q1248" s="502"/>
      <c r="R1248" s="502"/>
      <c r="S1248" s="501" t="s">
        <v>1102</v>
      </c>
      <c r="T1248" s="501">
        <v>60</v>
      </c>
      <c r="U1248" s="501"/>
      <c r="V1248" s="501" t="s">
        <v>973</v>
      </c>
      <c r="W1248" s="501">
        <v>400</v>
      </c>
      <c r="X1248" s="401">
        <v>896</v>
      </c>
      <c r="Y1248" s="477">
        <f t="shared" si="155"/>
        <v>358400</v>
      </c>
      <c r="Z1248" s="478">
        <v>0.55000000000000004</v>
      </c>
      <c r="AA1248" s="479">
        <f t="shared" si="156"/>
        <v>197120.00000000003</v>
      </c>
      <c r="AB1248" s="386"/>
      <c r="AC1248" s="481">
        <v>0</v>
      </c>
      <c r="AD1248" s="474"/>
      <c r="AE1248" s="482"/>
      <c r="AF1248" s="493">
        <f t="shared" si="150"/>
        <v>197120.00000000003</v>
      </c>
      <c r="AG1248" s="474" t="s">
        <v>1071</v>
      </c>
      <c r="AH1248" s="447"/>
      <c r="AI1248" s="474">
        <v>60</v>
      </c>
      <c r="AJ1248" s="474" t="s">
        <v>1233</v>
      </c>
      <c r="AK1248" s="474" t="s">
        <v>1190</v>
      </c>
      <c r="AL1248" s="494">
        <v>6810</v>
      </c>
      <c r="AM1248" s="474" t="s">
        <v>52</v>
      </c>
      <c r="AN1248" s="474"/>
      <c r="AO1248" s="474"/>
      <c r="AP1248" s="474"/>
      <c r="AQ1248" s="474"/>
      <c r="AR1248" s="474" t="s">
        <v>5146</v>
      </c>
      <c r="AS1248" s="387" t="s">
        <v>1075</v>
      </c>
      <c r="AT1248" s="356"/>
      <c r="AU1248" s="387" t="s">
        <v>1076</v>
      </c>
      <c r="AV1248" s="478">
        <v>0.47499999999999998</v>
      </c>
    </row>
    <row r="1249" spans="1:48" s="471" customFormat="1" ht="15" customHeight="1">
      <c r="A1249" s="278"/>
      <c r="B1249" s="279"/>
      <c r="C1249" s="279"/>
      <c r="D1249" s="405" t="s">
        <v>3678</v>
      </c>
      <c r="E1249" s="307" t="s">
        <v>5518</v>
      </c>
      <c r="F1249" s="501"/>
      <c r="G1249" s="501">
        <v>2022</v>
      </c>
      <c r="H1249" s="501"/>
      <c r="I1249" s="382" t="s">
        <v>1286</v>
      </c>
      <c r="J1249" s="502"/>
      <c r="K1249" s="382" t="s">
        <v>5525</v>
      </c>
      <c r="L1249" s="501" t="s">
        <v>1228</v>
      </c>
      <c r="M1249" s="502">
        <v>44649</v>
      </c>
      <c r="N1249" s="502">
        <v>44886</v>
      </c>
      <c r="O1249" s="502"/>
      <c r="P1249" s="502"/>
      <c r="Q1249" s="502"/>
      <c r="R1249" s="502"/>
      <c r="S1249" s="501" t="s">
        <v>1102</v>
      </c>
      <c r="T1249" s="501">
        <v>60</v>
      </c>
      <c r="U1249" s="501"/>
      <c r="V1249" s="501" t="s">
        <v>973</v>
      </c>
      <c r="W1249" s="501">
        <v>400</v>
      </c>
      <c r="X1249" s="401">
        <v>896</v>
      </c>
      <c r="Y1249" s="477">
        <f t="shared" si="155"/>
        <v>358400</v>
      </c>
      <c r="Z1249" s="478">
        <v>0.55000000000000004</v>
      </c>
      <c r="AA1249" s="479">
        <f t="shared" si="156"/>
        <v>197120.00000000003</v>
      </c>
      <c r="AB1249" s="386"/>
      <c r="AC1249" s="481">
        <v>0</v>
      </c>
      <c r="AD1249" s="474"/>
      <c r="AE1249" s="482"/>
      <c r="AF1249" s="493">
        <f t="shared" si="150"/>
        <v>197120.00000000003</v>
      </c>
      <c r="AG1249" s="474" t="s">
        <v>1071</v>
      </c>
      <c r="AH1249" s="447"/>
      <c r="AI1249" s="474">
        <v>60</v>
      </c>
      <c r="AJ1249" s="474" t="s">
        <v>1233</v>
      </c>
      <c r="AK1249" s="474" t="s">
        <v>1190</v>
      </c>
      <c r="AL1249" s="494">
        <v>6810</v>
      </c>
      <c r="AM1249" s="474" t="s">
        <v>52</v>
      </c>
      <c r="AN1249" s="474"/>
      <c r="AO1249" s="474"/>
      <c r="AP1249" s="474"/>
      <c r="AQ1249" s="474"/>
      <c r="AR1249" s="474" t="s">
        <v>5146</v>
      </c>
      <c r="AS1249" s="387" t="s">
        <v>1075</v>
      </c>
      <c r="AT1249" s="356"/>
      <c r="AU1249" s="387" t="s">
        <v>1076</v>
      </c>
      <c r="AV1249" s="478">
        <v>0.47499999999999998</v>
      </c>
    </row>
    <row r="1250" spans="1:48" s="471" customFormat="1" ht="15" customHeight="1">
      <c r="A1250" s="278"/>
      <c r="B1250" s="279"/>
      <c r="C1250" s="279"/>
      <c r="D1250" s="405" t="s">
        <v>3678</v>
      </c>
      <c r="E1250" s="307" t="s">
        <v>5518</v>
      </c>
      <c r="F1250" s="501"/>
      <c r="G1250" s="501">
        <v>2022</v>
      </c>
      <c r="H1250" s="501"/>
      <c r="I1250" s="382" t="s">
        <v>1286</v>
      </c>
      <c r="J1250" s="502"/>
      <c r="K1250" s="382" t="s">
        <v>5526</v>
      </c>
      <c r="L1250" s="501" t="s">
        <v>1228</v>
      </c>
      <c r="M1250" s="502">
        <v>44649</v>
      </c>
      <c r="N1250" s="502">
        <v>44907</v>
      </c>
      <c r="O1250" s="502"/>
      <c r="P1250" s="502"/>
      <c r="Q1250" s="502"/>
      <c r="R1250" s="502"/>
      <c r="S1250" s="501" t="s">
        <v>1102</v>
      </c>
      <c r="T1250" s="501">
        <v>60</v>
      </c>
      <c r="U1250" s="501"/>
      <c r="V1250" s="501" t="s">
        <v>973</v>
      </c>
      <c r="W1250" s="501">
        <v>400</v>
      </c>
      <c r="X1250" s="401">
        <v>896</v>
      </c>
      <c r="Y1250" s="477">
        <f t="shared" si="155"/>
        <v>358400</v>
      </c>
      <c r="Z1250" s="478">
        <v>0.55000000000000004</v>
      </c>
      <c r="AA1250" s="479">
        <f t="shared" si="156"/>
        <v>197120.00000000003</v>
      </c>
      <c r="AB1250" s="386"/>
      <c r="AC1250" s="481">
        <v>0</v>
      </c>
      <c r="AD1250" s="474"/>
      <c r="AE1250" s="482"/>
      <c r="AF1250" s="493">
        <f t="shared" si="150"/>
        <v>197120.00000000003</v>
      </c>
      <c r="AG1250" s="474" t="s">
        <v>1071</v>
      </c>
      <c r="AH1250" s="447"/>
      <c r="AI1250" s="474">
        <v>60</v>
      </c>
      <c r="AJ1250" s="474" t="s">
        <v>1233</v>
      </c>
      <c r="AK1250" s="474" t="s">
        <v>1190</v>
      </c>
      <c r="AL1250" s="494">
        <v>6810</v>
      </c>
      <c r="AM1250" s="474" t="s">
        <v>52</v>
      </c>
      <c r="AN1250" s="474"/>
      <c r="AO1250" s="474"/>
      <c r="AP1250" s="474"/>
      <c r="AQ1250" s="474"/>
      <c r="AR1250" s="474" t="s">
        <v>5146</v>
      </c>
      <c r="AS1250" s="387" t="s">
        <v>1075</v>
      </c>
      <c r="AT1250" s="356"/>
      <c r="AU1250" s="387" t="s">
        <v>1076</v>
      </c>
      <c r="AV1250" s="478">
        <v>0.47499999999999998</v>
      </c>
    </row>
    <row r="1251" spans="1:48" s="471" customFormat="1" ht="15" customHeight="1">
      <c r="A1251" s="278"/>
      <c r="B1251" s="279"/>
      <c r="C1251" s="279"/>
      <c r="D1251" s="405" t="s">
        <v>3678</v>
      </c>
      <c r="E1251" s="307" t="s">
        <v>5527</v>
      </c>
      <c r="F1251" s="501"/>
      <c r="G1251" s="501">
        <v>2022</v>
      </c>
      <c r="H1251" s="501"/>
      <c r="I1251" s="382" t="s">
        <v>1286</v>
      </c>
      <c r="J1251" s="502"/>
      <c r="K1251" s="382" t="s">
        <v>5528</v>
      </c>
      <c r="L1251" s="501" t="s">
        <v>1228</v>
      </c>
      <c r="M1251" s="502">
        <v>44651</v>
      </c>
      <c r="N1251" s="502">
        <v>44753</v>
      </c>
      <c r="O1251" s="502"/>
      <c r="P1251" s="502"/>
      <c r="Q1251" s="502"/>
      <c r="R1251" s="502"/>
      <c r="S1251" s="501" t="s">
        <v>1102</v>
      </c>
      <c r="T1251" s="501">
        <v>60</v>
      </c>
      <c r="U1251" s="501"/>
      <c r="V1251" s="501" t="s">
        <v>973</v>
      </c>
      <c r="W1251" s="501">
        <v>400</v>
      </c>
      <c r="X1251" s="401">
        <v>1792</v>
      </c>
      <c r="Y1251" s="477">
        <f t="shared" si="155"/>
        <v>716800</v>
      </c>
      <c r="Z1251" s="478">
        <v>0.53</v>
      </c>
      <c r="AA1251" s="479">
        <f t="shared" si="156"/>
        <v>379904</v>
      </c>
      <c r="AB1251" s="386"/>
      <c r="AC1251" s="481">
        <v>0</v>
      </c>
      <c r="AD1251" s="474"/>
      <c r="AE1251" s="482"/>
      <c r="AF1251" s="493">
        <f t="shared" si="150"/>
        <v>379904</v>
      </c>
      <c r="AG1251" s="474" t="s">
        <v>1071</v>
      </c>
      <c r="AH1251" s="447"/>
      <c r="AI1251" s="474">
        <v>60</v>
      </c>
      <c r="AJ1251" s="474" t="s">
        <v>1230</v>
      </c>
      <c r="AK1251" s="474" t="s">
        <v>1190</v>
      </c>
      <c r="AL1251" s="494">
        <v>6492</v>
      </c>
      <c r="AM1251" s="474" t="s">
        <v>52</v>
      </c>
      <c r="AN1251" s="474"/>
      <c r="AO1251" s="474"/>
      <c r="AP1251" s="474"/>
      <c r="AQ1251" s="474"/>
      <c r="AR1251" s="474" t="s">
        <v>5146</v>
      </c>
      <c r="AS1251" s="387" t="s">
        <v>1075</v>
      </c>
      <c r="AT1251" s="356"/>
      <c r="AU1251" s="387" t="s">
        <v>1076</v>
      </c>
      <c r="AV1251" s="478">
        <v>0.47499999999999998</v>
      </c>
    </row>
    <row r="1252" spans="1:48" s="471" customFormat="1" ht="15" customHeight="1">
      <c r="A1252" s="278"/>
      <c r="B1252" s="279"/>
      <c r="C1252" s="279"/>
      <c r="D1252" s="405" t="s">
        <v>3678</v>
      </c>
      <c r="E1252" s="307" t="s">
        <v>5527</v>
      </c>
      <c r="F1252" s="501"/>
      <c r="G1252" s="501">
        <v>2022</v>
      </c>
      <c r="H1252" s="501"/>
      <c r="I1252" s="382" t="s">
        <v>1286</v>
      </c>
      <c r="J1252" s="502"/>
      <c r="K1252" s="382" t="s">
        <v>5529</v>
      </c>
      <c r="L1252" s="501" t="s">
        <v>1228</v>
      </c>
      <c r="M1252" s="502">
        <v>44651</v>
      </c>
      <c r="N1252" s="502">
        <v>44781</v>
      </c>
      <c r="O1252" s="502"/>
      <c r="P1252" s="502"/>
      <c r="Q1252" s="502"/>
      <c r="R1252" s="502"/>
      <c r="S1252" s="501" t="s">
        <v>1102</v>
      </c>
      <c r="T1252" s="501">
        <v>60</v>
      </c>
      <c r="U1252" s="501"/>
      <c r="V1252" s="501" t="s">
        <v>973</v>
      </c>
      <c r="W1252" s="501">
        <v>400</v>
      </c>
      <c r="X1252" s="401">
        <v>1792</v>
      </c>
      <c r="Y1252" s="477">
        <f t="shared" si="155"/>
        <v>716800</v>
      </c>
      <c r="Z1252" s="478">
        <v>0.55000000000000004</v>
      </c>
      <c r="AA1252" s="479">
        <f t="shared" si="156"/>
        <v>394240.00000000006</v>
      </c>
      <c r="AB1252" s="386"/>
      <c r="AC1252" s="481">
        <v>0</v>
      </c>
      <c r="AD1252" s="474"/>
      <c r="AE1252" s="482"/>
      <c r="AF1252" s="493">
        <f t="shared" si="150"/>
        <v>394240.00000000006</v>
      </c>
      <c r="AG1252" s="474" t="s">
        <v>1071</v>
      </c>
      <c r="AH1252" s="447"/>
      <c r="AI1252" s="474">
        <v>60</v>
      </c>
      <c r="AJ1252" s="474" t="s">
        <v>1230</v>
      </c>
      <c r="AK1252" s="474" t="s">
        <v>1190</v>
      </c>
      <c r="AL1252" s="494">
        <v>6492</v>
      </c>
      <c r="AM1252" s="474" t="s">
        <v>52</v>
      </c>
      <c r="AN1252" s="474"/>
      <c r="AO1252" s="474"/>
      <c r="AP1252" s="474"/>
      <c r="AQ1252" s="474"/>
      <c r="AR1252" s="474" t="s">
        <v>5146</v>
      </c>
      <c r="AS1252" s="387" t="s">
        <v>1075</v>
      </c>
      <c r="AT1252" s="356"/>
      <c r="AU1252" s="387" t="s">
        <v>1076</v>
      </c>
      <c r="AV1252" s="478">
        <v>0.47499999999999998</v>
      </c>
    </row>
    <row r="1253" spans="1:48" s="471" customFormat="1" ht="15" customHeight="1">
      <c r="A1253" s="278"/>
      <c r="B1253" s="279"/>
      <c r="C1253" s="279"/>
      <c r="D1253" s="405" t="s">
        <v>3678</v>
      </c>
      <c r="E1253" s="307" t="s">
        <v>5527</v>
      </c>
      <c r="F1253" s="501"/>
      <c r="G1253" s="501">
        <v>2022</v>
      </c>
      <c r="H1253" s="501"/>
      <c r="I1253" s="382" t="s">
        <v>1286</v>
      </c>
      <c r="J1253" s="502"/>
      <c r="K1253" s="382" t="s">
        <v>5530</v>
      </c>
      <c r="L1253" s="501" t="s">
        <v>1228</v>
      </c>
      <c r="M1253" s="502">
        <v>44651</v>
      </c>
      <c r="N1253" s="502">
        <v>44816</v>
      </c>
      <c r="O1253" s="502"/>
      <c r="P1253" s="502"/>
      <c r="Q1253" s="502"/>
      <c r="R1253" s="502"/>
      <c r="S1253" s="501" t="s">
        <v>1102</v>
      </c>
      <c r="T1253" s="501">
        <v>60</v>
      </c>
      <c r="U1253" s="501"/>
      <c r="V1253" s="501" t="s">
        <v>973</v>
      </c>
      <c r="W1253" s="501">
        <v>400</v>
      </c>
      <c r="X1253" s="401">
        <v>1792</v>
      </c>
      <c r="Y1253" s="477">
        <f t="shared" si="155"/>
        <v>716800</v>
      </c>
      <c r="Z1253" s="478">
        <v>0.55000000000000004</v>
      </c>
      <c r="AA1253" s="479">
        <f t="shared" si="156"/>
        <v>394240.00000000006</v>
      </c>
      <c r="AB1253" s="386"/>
      <c r="AC1253" s="481">
        <v>0</v>
      </c>
      <c r="AD1253" s="474"/>
      <c r="AE1253" s="482"/>
      <c r="AF1253" s="493">
        <f t="shared" si="150"/>
        <v>394240.00000000006</v>
      </c>
      <c r="AG1253" s="474" t="s">
        <v>1071</v>
      </c>
      <c r="AH1253" s="447"/>
      <c r="AI1253" s="474">
        <v>60</v>
      </c>
      <c r="AJ1253" s="474" t="s">
        <v>1230</v>
      </c>
      <c r="AK1253" s="474" t="s">
        <v>1190</v>
      </c>
      <c r="AL1253" s="494">
        <v>6492</v>
      </c>
      <c r="AM1253" s="474" t="s">
        <v>52</v>
      </c>
      <c r="AN1253" s="474"/>
      <c r="AO1253" s="474"/>
      <c r="AP1253" s="474"/>
      <c r="AQ1253" s="474"/>
      <c r="AR1253" s="474" t="s">
        <v>5146</v>
      </c>
      <c r="AS1253" s="387" t="s">
        <v>1075</v>
      </c>
      <c r="AT1253" s="356"/>
      <c r="AU1253" s="387" t="s">
        <v>1076</v>
      </c>
      <c r="AV1253" s="478">
        <v>0.47499999999999998</v>
      </c>
    </row>
    <row r="1254" spans="1:48" s="471" customFormat="1" ht="15" customHeight="1">
      <c r="A1254" s="278"/>
      <c r="B1254" s="279"/>
      <c r="C1254" s="279"/>
      <c r="D1254" s="405" t="s">
        <v>3678</v>
      </c>
      <c r="E1254" s="307" t="s">
        <v>5527</v>
      </c>
      <c r="F1254" s="501"/>
      <c r="G1254" s="501">
        <v>2022</v>
      </c>
      <c r="H1254" s="501"/>
      <c r="I1254" s="382" t="s">
        <v>1286</v>
      </c>
      <c r="J1254" s="502"/>
      <c r="K1254" s="382" t="s">
        <v>5531</v>
      </c>
      <c r="L1254" s="501" t="s">
        <v>1228</v>
      </c>
      <c r="M1254" s="502">
        <v>44651</v>
      </c>
      <c r="N1254" s="502">
        <v>44851</v>
      </c>
      <c r="O1254" s="502"/>
      <c r="P1254" s="502"/>
      <c r="Q1254" s="502"/>
      <c r="R1254" s="502"/>
      <c r="S1254" s="501" t="s">
        <v>1102</v>
      </c>
      <c r="T1254" s="501">
        <v>60</v>
      </c>
      <c r="U1254" s="501"/>
      <c r="V1254" s="501" t="s">
        <v>973</v>
      </c>
      <c r="W1254" s="501">
        <v>400</v>
      </c>
      <c r="X1254" s="401">
        <v>1792</v>
      </c>
      <c r="Y1254" s="477">
        <f t="shared" si="155"/>
        <v>716800</v>
      </c>
      <c r="Z1254" s="478">
        <v>0.55000000000000004</v>
      </c>
      <c r="AA1254" s="479">
        <f t="shared" si="156"/>
        <v>394240.00000000006</v>
      </c>
      <c r="AB1254" s="386"/>
      <c r="AC1254" s="481">
        <v>0</v>
      </c>
      <c r="AD1254" s="474"/>
      <c r="AE1254" s="482"/>
      <c r="AF1254" s="493">
        <f t="shared" ref="AF1254:AF1317" si="157">AE1254+AD1254+AA1254</f>
        <v>394240.00000000006</v>
      </c>
      <c r="AG1254" s="474" t="s">
        <v>1071</v>
      </c>
      <c r="AH1254" s="447"/>
      <c r="AI1254" s="474">
        <v>60</v>
      </c>
      <c r="AJ1254" s="474" t="s">
        <v>1230</v>
      </c>
      <c r="AK1254" s="474" t="s">
        <v>1190</v>
      </c>
      <c r="AL1254" s="494">
        <v>6492</v>
      </c>
      <c r="AM1254" s="474" t="s">
        <v>52</v>
      </c>
      <c r="AN1254" s="474"/>
      <c r="AO1254" s="474"/>
      <c r="AP1254" s="474"/>
      <c r="AQ1254" s="474"/>
      <c r="AR1254" s="474" t="s">
        <v>5146</v>
      </c>
      <c r="AS1254" s="387" t="s">
        <v>1075</v>
      </c>
      <c r="AT1254" s="356"/>
      <c r="AU1254" s="387" t="s">
        <v>1076</v>
      </c>
      <c r="AV1254" s="478">
        <v>0.47499999999999998</v>
      </c>
    </row>
    <row r="1255" spans="1:48" s="471" customFormat="1" ht="15" customHeight="1">
      <c r="A1255" s="278"/>
      <c r="B1255" s="279"/>
      <c r="C1255" s="279"/>
      <c r="D1255" s="405" t="s">
        <v>3678</v>
      </c>
      <c r="E1255" s="307" t="s">
        <v>5527</v>
      </c>
      <c r="F1255" s="501"/>
      <c r="G1255" s="501">
        <v>2022</v>
      </c>
      <c r="H1255" s="501"/>
      <c r="I1255" s="382" t="s">
        <v>1286</v>
      </c>
      <c r="J1255" s="502"/>
      <c r="K1255" s="382" t="s">
        <v>5532</v>
      </c>
      <c r="L1255" s="501" t="s">
        <v>1228</v>
      </c>
      <c r="M1255" s="502">
        <v>44651</v>
      </c>
      <c r="N1255" s="502">
        <v>44879</v>
      </c>
      <c r="O1255" s="502"/>
      <c r="P1255" s="502"/>
      <c r="Q1255" s="502"/>
      <c r="R1255" s="502"/>
      <c r="S1255" s="501" t="s">
        <v>1102</v>
      </c>
      <c r="T1255" s="501">
        <v>60</v>
      </c>
      <c r="U1255" s="501"/>
      <c r="V1255" s="501" t="s">
        <v>973</v>
      </c>
      <c r="W1255" s="501">
        <v>400</v>
      </c>
      <c r="X1255" s="401">
        <v>1792</v>
      </c>
      <c r="Y1255" s="477">
        <f t="shared" si="155"/>
        <v>716800</v>
      </c>
      <c r="Z1255" s="478">
        <v>0.55000000000000004</v>
      </c>
      <c r="AA1255" s="479">
        <f t="shared" si="156"/>
        <v>394240.00000000006</v>
      </c>
      <c r="AB1255" s="386"/>
      <c r="AC1255" s="481">
        <v>0</v>
      </c>
      <c r="AD1255" s="474"/>
      <c r="AE1255" s="482"/>
      <c r="AF1255" s="493">
        <f t="shared" si="157"/>
        <v>394240.00000000006</v>
      </c>
      <c r="AG1255" s="474" t="s">
        <v>1071</v>
      </c>
      <c r="AH1255" s="447"/>
      <c r="AI1255" s="474">
        <v>60</v>
      </c>
      <c r="AJ1255" s="474" t="s">
        <v>1230</v>
      </c>
      <c r="AK1255" s="474" t="s">
        <v>1190</v>
      </c>
      <c r="AL1255" s="494">
        <v>6492</v>
      </c>
      <c r="AM1255" s="474" t="s">
        <v>52</v>
      </c>
      <c r="AN1255" s="474"/>
      <c r="AO1255" s="474"/>
      <c r="AP1255" s="474"/>
      <c r="AQ1255" s="474"/>
      <c r="AR1255" s="474" t="s">
        <v>5146</v>
      </c>
      <c r="AS1255" s="387" t="s">
        <v>1075</v>
      </c>
      <c r="AT1255" s="356"/>
      <c r="AU1255" s="387" t="s">
        <v>1076</v>
      </c>
      <c r="AV1255" s="478">
        <v>0.47499999999999998</v>
      </c>
    </row>
    <row r="1256" spans="1:48" s="471" customFormat="1" ht="15" customHeight="1">
      <c r="A1256" s="278"/>
      <c r="B1256" s="279"/>
      <c r="C1256" s="279"/>
      <c r="D1256" s="405" t="s">
        <v>3678</v>
      </c>
      <c r="E1256" s="307" t="s">
        <v>5527</v>
      </c>
      <c r="F1256" s="501"/>
      <c r="G1256" s="501">
        <v>2022</v>
      </c>
      <c r="H1256" s="501"/>
      <c r="I1256" s="382" t="s">
        <v>1286</v>
      </c>
      <c r="J1256" s="502"/>
      <c r="K1256" s="382" t="s">
        <v>5533</v>
      </c>
      <c r="L1256" s="501" t="s">
        <v>1228</v>
      </c>
      <c r="M1256" s="502">
        <v>44651</v>
      </c>
      <c r="N1256" s="502">
        <v>44907</v>
      </c>
      <c r="O1256" s="502"/>
      <c r="P1256" s="502"/>
      <c r="Q1256" s="502"/>
      <c r="R1256" s="502"/>
      <c r="S1256" s="501" t="s">
        <v>1102</v>
      </c>
      <c r="T1256" s="501">
        <v>60</v>
      </c>
      <c r="U1256" s="501"/>
      <c r="V1256" s="501" t="s">
        <v>973</v>
      </c>
      <c r="W1256" s="501">
        <v>400</v>
      </c>
      <c r="X1256" s="401">
        <v>1792</v>
      </c>
      <c r="Y1256" s="477">
        <f t="shared" si="155"/>
        <v>716800</v>
      </c>
      <c r="Z1256" s="478">
        <v>0.55000000000000004</v>
      </c>
      <c r="AA1256" s="479">
        <f t="shared" si="156"/>
        <v>394240.00000000006</v>
      </c>
      <c r="AB1256" s="386"/>
      <c r="AC1256" s="481">
        <v>0</v>
      </c>
      <c r="AD1256" s="474"/>
      <c r="AE1256" s="482"/>
      <c r="AF1256" s="493">
        <f t="shared" si="157"/>
        <v>394240.00000000006</v>
      </c>
      <c r="AG1256" s="474" t="s">
        <v>1071</v>
      </c>
      <c r="AH1256" s="447"/>
      <c r="AI1256" s="474">
        <v>60</v>
      </c>
      <c r="AJ1256" s="474" t="s">
        <v>1230</v>
      </c>
      <c r="AK1256" s="474" t="s">
        <v>1190</v>
      </c>
      <c r="AL1256" s="494">
        <v>6492</v>
      </c>
      <c r="AM1256" s="474" t="s">
        <v>52</v>
      </c>
      <c r="AN1256" s="474"/>
      <c r="AO1256" s="474"/>
      <c r="AP1256" s="474"/>
      <c r="AQ1256" s="474"/>
      <c r="AR1256" s="474" t="s">
        <v>5146</v>
      </c>
      <c r="AS1256" s="387" t="s">
        <v>1075</v>
      </c>
      <c r="AT1256" s="356"/>
      <c r="AU1256" s="387" t="s">
        <v>1076</v>
      </c>
      <c r="AV1256" s="478">
        <v>0.47499999999999998</v>
      </c>
    </row>
    <row r="1257" spans="1:48" s="471" customFormat="1" ht="15" customHeight="1">
      <c r="A1257" s="278"/>
      <c r="B1257" s="279"/>
      <c r="C1257" s="279"/>
      <c r="D1257" s="405" t="s">
        <v>3678</v>
      </c>
      <c r="E1257" s="307" t="s">
        <v>5147</v>
      </c>
      <c r="F1257" s="501"/>
      <c r="G1257" s="501">
        <v>2022</v>
      </c>
      <c r="H1257" s="501"/>
      <c r="I1257" s="501" t="s">
        <v>4982</v>
      </c>
      <c r="J1257" s="502"/>
      <c r="K1257" s="501" t="s">
        <v>5148</v>
      </c>
      <c r="L1257" s="501" t="s">
        <v>1295</v>
      </c>
      <c r="M1257" s="502">
        <v>44655</v>
      </c>
      <c r="N1257" s="502">
        <v>44896</v>
      </c>
      <c r="O1257" s="502"/>
      <c r="P1257" s="502"/>
      <c r="Q1257" s="502"/>
      <c r="R1257" s="502"/>
      <c r="S1257" s="501" t="s">
        <v>1102</v>
      </c>
      <c r="T1257" s="501">
        <v>60</v>
      </c>
      <c r="U1257" s="501"/>
      <c r="V1257" s="501" t="s">
        <v>973</v>
      </c>
      <c r="W1257" s="501">
        <v>400</v>
      </c>
      <c r="X1257" s="401">
        <v>768</v>
      </c>
      <c r="Y1257" s="477">
        <f t="shared" si="155"/>
        <v>307200</v>
      </c>
      <c r="Z1257" s="478">
        <v>0.55000000000000004</v>
      </c>
      <c r="AA1257" s="479">
        <f t="shared" si="156"/>
        <v>168960</v>
      </c>
      <c r="AB1257" s="386"/>
      <c r="AC1257" s="481">
        <v>0</v>
      </c>
      <c r="AD1257" s="474"/>
      <c r="AE1257" s="482"/>
      <c r="AF1257" s="493">
        <f t="shared" si="157"/>
        <v>168960</v>
      </c>
      <c r="AG1257" s="474" t="s">
        <v>1071</v>
      </c>
      <c r="AH1257" s="447"/>
      <c r="AI1257" s="474">
        <v>60</v>
      </c>
      <c r="AJ1257" s="474" t="s">
        <v>1296</v>
      </c>
      <c r="AK1257" s="474" t="s">
        <v>1297</v>
      </c>
      <c r="AL1257" s="494" t="s">
        <v>1298</v>
      </c>
      <c r="AM1257" s="474" t="s">
        <v>52</v>
      </c>
      <c r="AN1257" s="474"/>
      <c r="AO1257" s="474"/>
      <c r="AP1257" s="474"/>
      <c r="AQ1257" s="474" t="s">
        <v>37</v>
      </c>
      <c r="AR1257" s="474"/>
      <c r="AS1257" s="387" t="s">
        <v>1076</v>
      </c>
      <c r="AT1257" s="356"/>
      <c r="AU1257" s="387"/>
      <c r="AV1257" s="472"/>
    </row>
    <row r="1258" spans="1:48" s="471" customFormat="1" ht="15" customHeight="1">
      <c r="A1258" s="278"/>
      <c r="B1258" s="279"/>
      <c r="C1258" s="279"/>
      <c r="D1258" s="405" t="s">
        <v>3678</v>
      </c>
      <c r="E1258" s="307" t="s">
        <v>5147</v>
      </c>
      <c r="F1258" s="501"/>
      <c r="G1258" s="501">
        <v>2022</v>
      </c>
      <c r="H1258" s="501"/>
      <c r="I1258" s="501" t="s">
        <v>4982</v>
      </c>
      <c r="J1258" s="502"/>
      <c r="K1258" s="501" t="s">
        <v>5149</v>
      </c>
      <c r="L1258" s="501" t="s">
        <v>1295</v>
      </c>
      <c r="M1258" s="502">
        <v>44655</v>
      </c>
      <c r="N1258" s="502">
        <v>44866</v>
      </c>
      <c r="O1258" s="502"/>
      <c r="P1258" s="502"/>
      <c r="Q1258" s="502"/>
      <c r="R1258" s="502"/>
      <c r="S1258" s="501" t="s">
        <v>1102</v>
      </c>
      <c r="T1258" s="501">
        <v>60</v>
      </c>
      <c r="U1258" s="501"/>
      <c r="V1258" s="501" t="s">
        <v>973</v>
      </c>
      <c r="W1258" s="501">
        <v>400</v>
      </c>
      <c r="X1258" s="401">
        <v>768</v>
      </c>
      <c r="Y1258" s="477">
        <f t="shared" si="155"/>
        <v>307200</v>
      </c>
      <c r="Z1258" s="478">
        <v>0.55000000000000004</v>
      </c>
      <c r="AA1258" s="479">
        <f t="shared" si="156"/>
        <v>168960</v>
      </c>
      <c r="AB1258" s="386"/>
      <c r="AC1258" s="481">
        <v>0</v>
      </c>
      <c r="AD1258" s="474"/>
      <c r="AE1258" s="482"/>
      <c r="AF1258" s="493">
        <f t="shared" si="157"/>
        <v>168960</v>
      </c>
      <c r="AG1258" s="474" t="s">
        <v>1071</v>
      </c>
      <c r="AH1258" s="447"/>
      <c r="AI1258" s="474">
        <v>60</v>
      </c>
      <c r="AJ1258" s="474" t="s">
        <v>1296</v>
      </c>
      <c r="AK1258" s="474" t="s">
        <v>1297</v>
      </c>
      <c r="AL1258" s="494" t="s">
        <v>1298</v>
      </c>
      <c r="AM1258" s="474" t="s">
        <v>52</v>
      </c>
      <c r="AN1258" s="474"/>
      <c r="AO1258" s="474"/>
      <c r="AP1258" s="474"/>
      <c r="AQ1258" s="474" t="s">
        <v>37</v>
      </c>
      <c r="AR1258" s="474"/>
      <c r="AS1258" s="387" t="s">
        <v>1076</v>
      </c>
      <c r="AT1258" s="356"/>
      <c r="AU1258" s="387"/>
      <c r="AV1258" s="472"/>
    </row>
    <row r="1259" spans="1:48" s="471" customFormat="1" ht="15" customHeight="1">
      <c r="A1259" s="278"/>
      <c r="B1259" s="279"/>
      <c r="C1259" s="279"/>
      <c r="D1259" s="405" t="s">
        <v>3678</v>
      </c>
      <c r="E1259" s="307" t="s">
        <v>5147</v>
      </c>
      <c r="F1259" s="501"/>
      <c r="G1259" s="501">
        <v>2022</v>
      </c>
      <c r="H1259" s="501"/>
      <c r="I1259" s="501" t="s">
        <v>4982</v>
      </c>
      <c r="J1259" s="502"/>
      <c r="K1259" s="501" t="s">
        <v>5150</v>
      </c>
      <c r="L1259" s="501" t="s">
        <v>1295</v>
      </c>
      <c r="M1259" s="502">
        <v>44655</v>
      </c>
      <c r="N1259" s="502">
        <v>44835</v>
      </c>
      <c r="O1259" s="502"/>
      <c r="P1259" s="502"/>
      <c r="Q1259" s="502"/>
      <c r="R1259" s="502"/>
      <c r="S1259" s="501" t="s">
        <v>1102</v>
      </c>
      <c r="T1259" s="501">
        <v>60</v>
      </c>
      <c r="U1259" s="501"/>
      <c r="V1259" s="501" t="s">
        <v>973</v>
      </c>
      <c r="W1259" s="501">
        <v>400</v>
      </c>
      <c r="X1259" s="401">
        <v>768</v>
      </c>
      <c r="Y1259" s="477">
        <f t="shared" si="155"/>
        <v>307200</v>
      </c>
      <c r="Z1259" s="478">
        <v>0.55000000000000004</v>
      </c>
      <c r="AA1259" s="479">
        <f t="shared" si="156"/>
        <v>168960</v>
      </c>
      <c r="AB1259" s="386"/>
      <c r="AC1259" s="481">
        <v>0</v>
      </c>
      <c r="AD1259" s="474"/>
      <c r="AE1259" s="482"/>
      <c r="AF1259" s="493">
        <f t="shared" si="157"/>
        <v>168960</v>
      </c>
      <c r="AG1259" s="474" t="s">
        <v>1071</v>
      </c>
      <c r="AH1259" s="447"/>
      <c r="AI1259" s="474">
        <v>60</v>
      </c>
      <c r="AJ1259" s="474" t="s">
        <v>1296</v>
      </c>
      <c r="AK1259" s="474" t="s">
        <v>1297</v>
      </c>
      <c r="AL1259" s="494" t="s">
        <v>1298</v>
      </c>
      <c r="AM1259" s="474" t="s">
        <v>52</v>
      </c>
      <c r="AN1259" s="474"/>
      <c r="AO1259" s="474"/>
      <c r="AP1259" s="474"/>
      <c r="AQ1259" s="474" t="s">
        <v>37</v>
      </c>
      <c r="AR1259" s="474"/>
      <c r="AS1259" s="387" t="s">
        <v>1076</v>
      </c>
      <c r="AT1259" s="356"/>
      <c r="AU1259" s="387"/>
      <c r="AV1259" s="472"/>
    </row>
    <row r="1260" spans="1:48" s="471" customFormat="1" ht="15" customHeight="1">
      <c r="A1260" s="278"/>
      <c r="B1260" s="279"/>
      <c r="C1260" s="279"/>
      <c r="D1260" s="405" t="s">
        <v>3678</v>
      </c>
      <c r="E1260" s="307" t="s">
        <v>5147</v>
      </c>
      <c r="F1260" s="501"/>
      <c r="G1260" s="501">
        <v>2022</v>
      </c>
      <c r="H1260" s="501"/>
      <c r="I1260" s="501" t="s">
        <v>4982</v>
      </c>
      <c r="J1260" s="502"/>
      <c r="K1260" s="501" t="s">
        <v>5151</v>
      </c>
      <c r="L1260" s="501" t="s">
        <v>1295</v>
      </c>
      <c r="M1260" s="502">
        <v>44655</v>
      </c>
      <c r="N1260" s="502">
        <v>44805</v>
      </c>
      <c r="O1260" s="502"/>
      <c r="P1260" s="502"/>
      <c r="Q1260" s="502"/>
      <c r="R1260" s="502"/>
      <c r="S1260" s="501" t="s">
        <v>1102</v>
      </c>
      <c r="T1260" s="501">
        <v>60</v>
      </c>
      <c r="U1260" s="501"/>
      <c r="V1260" s="501" t="s">
        <v>973</v>
      </c>
      <c r="W1260" s="501">
        <v>400</v>
      </c>
      <c r="X1260" s="401">
        <v>768</v>
      </c>
      <c r="Y1260" s="477">
        <f t="shared" si="155"/>
        <v>307200</v>
      </c>
      <c r="Z1260" s="478">
        <v>0.55000000000000004</v>
      </c>
      <c r="AA1260" s="479">
        <f t="shared" si="156"/>
        <v>168960</v>
      </c>
      <c r="AB1260" s="386"/>
      <c r="AC1260" s="481">
        <v>0</v>
      </c>
      <c r="AD1260" s="474"/>
      <c r="AE1260" s="482"/>
      <c r="AF1260" s="493">
        <f t="shared" si="157"/>
        <v>168960</v>
      </c>
      <c r="AG1260" s="474" t="s">
        <v>1071</v>
      </c>
      <c r="AH1260" s="447"/>
      <c r="AI1260" s="474">
        <v>60</v>
      </c>
      <c r="AJ1260" s="474" t="s">
        <v>1296</v>
      </c>
      <c r="AK1260" s="474" t="s">
        <v>1297</v>
      </c>
      <c r="AL1260" s="494" t="s">
        <v>1298</v>
      </c>
      <c r="AM1260" s="474" t="s">
        <v>52</v>
      </c>
      <c r="AN1260" s="474"/>
      <c r="AO1260" s="474"/>
      <c r="AP1260" s="474"/>
      <c r="AQ1260" s="474" t="s">
        <v>37</v>
      </c>
      <c r="AR1260" s="474"/>
      <c r="AS1260" s="387" t="s">
        <v>1076</v>
      </c>
      <c r="AT1260" s="387"/>
      <c r="AU1260" s="387"/>
      <c r="AV1260" s="472"/>
    </row>
    <row r="1261" spans="1:48" s="471" customFormat="1" ht="15" customHeight="1">
      <c r="A1261" s="278"/>
      <c r="B1261" s="279"/>
      <c r="C1261" s="279"/>
      <c r="D1261" s="405" t="s">
        <v>3678</v>
      </c>
      <c r="E1261" s="307" t="s">
        <v>5147</v>
      </c>
      <c r="F1261" s="501"/>
      <c r="G1261" s="501">
        <v>2022</v>
      </c>
      <c r="H1261" s="501"/>
      <c r="I1261" s="501" t="s">
        <v>4982</v>
      </c>
      <c r="J1261" s="502"/>
      <c r="K1261" s="501" t="s">
        <v>5152</v>
      </c>
      <c r="L1261" s="501" t="s">
        <v>1295</v>
      </c>
      <c r="M1261" s="502">
        <v>44655</v>
      </c>
      <c r="N1261" s="502">
        <v>44774</v>
      </c>
      <c r="O1261" s="502"/>
      <c r="P1261" s="502"/>
      <c r="Q1261" s="502"/>
      <c r="R1261" s="502"/>
      <c r="S1261" s="501" t="s">
        <v>1102</v>
      </c>
      <c r="T1261" s="501">
        <v>60</v>
      </c>
      <c r="U1261" s="501"/>
      <c r="V1261" s="501" t="s">
        <v>973</v>
      </c>
      <c r="W1261" s="501">
        <v>400</v>
      </c>
      <c r="X1261" s="401">
        <v>768</v>
      </c>
      <c r="Y1261" s="477">
        <f t="shared" si="155"/>
        <v>307200</v>
      </c>
      <c r="Z1261" s="478">
        <v>0.55000000000000004</v>
      </c>
      <c r="AA1261" s="479">
        <f t="shared" si="156"/>
        <v>168960</v>
      </c>
      <c r="AB1261" s="386"/>
      <c r="AC1261" s="481">
        <v>0</v>
      </c>
      <c r="AD1261" s="474"/>
      <c r="AE1261" s="482"/>
      <c r="AF1261" s="493">
        <f t="shared" si="157"/>
        <v>168960</v>
      </c>
      <c r="AG1261" s="474" t="s">
        <v>1071</v>
      </c>
      <c r="AH1261" s="447"/>
      <c r="AI1261" s="474">
        <v>60</v>
      </c>
      <c r="AJ1261" s="474" t="s">
        <v>1296</v>
      </c>
      <c r="AK1261" s="474" t="s">
        <v>1297</v>
      </c>
      <c r="AL1261" s="494" t="s">
        <v>1298</v>
      </c>
      <c r="AM1261" s="474" t="s">
        <v>52</v>
      </c>
      <c r="AN1261" s="474"/>
      <c r="AO1261" s="474"/>
      <c r="AP1261" s="474"/>
      <c r="AQ1261" s="474" t="s">
        <v>37</v>
      </c>
      <c r="AR1261" s="474"/>
      <c r="AS1261" s="387" t="s">
        <v>1076</v>
      </c>
      <c r="AT1261" s="387"/>
      <c r="AU1261" s="387"/>
      <c r="AV1261" s="472"/>
    </row>
    <row r="1262" spans="1:48" s="471" customFormat="1" ht="15" customHeight="1">
      <c r="A1262" s="278"/>
      <c r="B1262" s="279">
        <v>44572</v>
      </c>
      <c r="C1262" s="279" t="s">
        <v>1211</v>
      </c>
      <c r="D1262" s="405" t="s">
        <v>3678</v>
      </c>
      <c r="E1262" s="307" t="s">
        <v>5153</v>
      </c>
      <c r="F1262" s="501"/>
      <c r="G1262" s="501">
        <v>2022</v>
      </c>
      <c r="H1262" s="501"/>
      <c r="I1262" s="501" t="s">
        <v>4982</v>
      </c>
      <c r="J1262" s="502"/>
      <c r="K1262" s="501" t="s">
        <v>5154</v>
      </c>
      <c r="L1262" s="501" t="s">
        <v>1295</v>
      </c>
      <c r="M1262" s="502">
        <v>44572</v>
      </c>
      <c r="N1262" s="502">
        <v>44682</v>
      </c>
      <c r="O1262" s="502"/>
      <c r="P1262" s="502"/>
      <c r="Q1262" s="502"/>
      <c r="R1262" s="502"/>
      <c r="S1262" s="501" t="s">
        <v>1102</v>
      </c>
      <c r="T1262" s="501">
        <v>60</v>
      </c>
      <c r="U1262" s="501"/>
      <c r="V1262" s="501" t="s">
        <v>973</v>
      </c>
      <c r="W1262" s="501">
        <v>400</v>
      </c>
      <c r="X1262" s="401">
        <v>768</v>
      </c>
      <c r="Y1262" s="477">
        <f t="shared" si="155"/>
        <v>307200</v>
      </c>
      <c r="Z1262" s="478">
        <v>0.55000000000000004</v>
      </c>
      <c r="AA1262" s="479">
        <f t="shared" si="156"/>
        <v>168960</v>
      </c>
      <c r="AB1262" s="386"/>
      <c r="AC1262" s="481">
        <v>0</v>
      </c>
      <c r="AD1262" s="474"/>
      <c r="AE1262" s="482"/>
      <c r="AF1262" s="493">
        <f t="shared" si="157"/>
        <v>168960</v>
      </c>
      <c r="AG1262" s="474" t="s">
        <v>1071</v>
      </c>
      <c r="AH1262" s="447"/>
      <c r="AI1262" s="474">
        <v>60</v>
      </c>
      <c r="AJ1262" s="474" t="s">
        <v>1296</v>
      </c>
      <c r="AK1262" s="474" t="s">
        <v>1297</v>
      </c>
      <c r="AL1262" s="494" t="s">
        <v>1298</v>
      </c>
      <c r="AM1262" s="474" t="s">
        <v>52</v>
      </c>
      <c r="AN1262" s="474"/>
      <c r="AO1262" s="474"/>
      <c r="AP1262" s="474"/>
      <c r="AQ1262" s="474" t="s">
        <v>37</v>
      </c>
      <c r="AR1262" s="474"/>
      <c r="AS1262" s="387" t="s">
        <v>1076</v>
      </c>
      <c r="AT1262" s="387"/>
      <c r="AU1262" s="387"/>
      <c r="AV1262" s="472"/>
    </row>
    <row r="1263" spans="1:48" s="471" customFormat="1" ht="15" customHeight="1">
      <c r="A1263" s="278"/>
      <c r="B1263" s="279">
        <v>44572</v>
      </c>
      <c r="C1263" s="279" t="s">
        <v>1211</v>
      </c>
      <c r="D1263" s="405" t="s">
        <v>3678</v>
      </c>
      <c r="E1263" s="307" t="s">
        <v>5155</v>
      </c>
      <c r="F1263" s="501"/>
      <c r="G1263" s="501">
        <v>2022</v>
      </c>
      <c r="H1263" s="501"/>
      <c r="I1263" s="365" t="s">
        <v>4982</v>
      </c>
      <c r="J1263" s="373"/>
      <c r="K1263" s="365" t="s">
        <v>5156</v>
      </c>
      <c r="L1263" s="365" t="s">
        <v>1295</v>
      </c>
      <c r="M1263" s="502">
        <v>44572</v>
      </c>
      <c r="N1263" s="502">
        <v>44572</v>
      </c>
      <c r="O1263" s="502"/>
      <c r="P1263" s="502"/>
      <c r="Q1263" s="502"/>
      <c r="R1263" s="502"/>
      <c r="S1263" s="501" t="s">
        <v>1102</v>
      </c>
      <c r="T1263" s="501">
        <v>60</v>
      </c>
      <c r="U1263" s="501"/>
      <c r="V1263" s="501" t="s">
        <v>973</v>
      </c>
      <c r="W1263" s="501">
        <v>400</v>
      </c>
      <c r="X1263" s="401">
        <v>768</v>
      </c>
      <c r="Y1263" s="477">
        <f t="shared" si="155"/>
        <v>307200</v>
      </c>
      <c r="Z1263" s="478">
        <v>0.55000000000000004</v>
      </c>
      <c r="AA1263" s="479">
        <f t="shared" si="156"/>
        <v>168960</v>
      </c>
      <c r="AB1263" s="386"/>
      <c r="AC1263" s="481">
        <v>0</v>
      </c>
      <c r="AD1263" s="474"/>
      <c r="AE1263" s="482"/>
      <c r="AF1263" s="493">
        <f t="shared" si="157"/>
        <v>168960</v>
      </c>
      <c r="AG1263" s="474" t="s">
        <v>1071</v>
      </c>
      <c r="AH1263" s="447"/>
      <c r="AI1263" s="474">
        <v>60</v>
      </c>
      <c r="AJ1263" s="474" t="s">
        <v>1296</v>
      </c>
      <c r="AK1263" s="474" t="s">
        <v>1297</v>
      </c>
      <c r="AL1263" s="494" t="s">
        <v>1298</v>
      </c>
      <c r="AM1263" s="474" t="s">
        <v>52</v>
      </c>
      <c r="AN1263" s="474"/>
      <c r="AO1263" s="474"/>
      <c r="AP1263" s="474"/>
      <c r="AQ1263" s="474" t="s">
        <v>37</v>
      </c>
      <c r="AR1263" s="474"/>
      <c r="AS1263" s="387" t="s">
        <v>1076</v>
      </c>
      <c r="AT1263" s="387"/>
      <c r="AU1263" s="387"/>
      <c r="AV1263" s="472"/>
    </row>
    <row r="1264" spans="1:48" s="471" customFormat="1" ht="15" customHeight="1">
      <c r="A1264" s="278"/>
      <c r="B1264" s="279"/>
      <c r="C1264" s="279"/>
      <c r="D1264" s="405" t="s">
        <v>3678</v>
      </c>
      <c r="E1264" s="307" t="s">
        <v>5819</v>
      </c>
      <c r="F1264" s="501"/>
      <c r="G1264" s="501">
        <v>2022</v>
      </c>
      <c r="H1264" s="501"/>
      <c r="I1264" s="501" t="s">
        <v>4982</v>
      </c>
      <c r="J1264" s="502"/>
      <c r="K1264" s="501" t="s">
        <v>5820</v>
      </c>
      <c r="L1264" s="501" t="s">
        <v>5821</v>
      </c>
      <c r="M1264" s="502">
        <v>44634</v>
      </c>
      <c r="N1264" s="502">
        <v>44634</v>
      </c>
      <c r="O1264" s="502"/>
      <c r="P1264" s="502"/>
      <c r="Q1264" s="502"/>
      <c r="R1264" s="502"/>
      <c r="S1264" s="501" t="s">
        <v>1102</v>
      </c>
      <c r="T1264" s="501">
        <v>60</v>
      </c>
      <c r="U1264" s="501"/>
      <c r="V1264" s="501" t="s">
        <v>973</v>
      </c>
      <c r="W1264" s="501">
        <v>400</v>
      </c>
      <c r="X1264" s="401">
        <v>768</v>
      </c>
      <c r="Y1264" s="477">
        <f t="shared" si="155"/>
        <v>307200</v>
      </c>
      <c r="Z1264" s="478">
        <v>0.56999999999999995</v>
      </c>
      <c r="AA1264" s="479">
        <f t="shared" si="156"/>
        <v>175103.99999999997</v>
      </c>
      <c r="AB1264" s="386"/>
      <c r="AC1264" s="481">
        <v>0</v>
      </c>
      <c r="AD1264" s="474"/>
      <c r="AE1264" s="482"/>
      <c r="AF1264" s="493">
        <f t="shared" si="157"/>
        <v>175103.99999999997</v>
      </c>
      <c r="AG1264" s="474" t="s">
        <v>47</v>
      </c>
      <c r="AH1264" s="447"/>
      <c r="AI1264" s="474">
        <v>60</v>
      </c>
      <c r="AJ1264" s="474" t="s">
        <v>1469</v>
      </c>
      <c r="AK1264" s="474" t="s">
        <v>1138</v>
      </c>
      <c r="AL1264" s="494">
        <v>12065</v>
      </c>
      <c r="AM1264" s="474" t="s">
        <v>52</v>
      </c>
      <c r="AN1264" s="474"/>
      <c r="AO1264" s="474"/>
      <c r="AP1264" s="474"/>
      <c r="AQ1264" s="474" t="s">
        <v>37</v>
      </c>
      <c r="AR1264" s="474"/>
      <c r="AS1264" s="387" t="s">
        <v>1076</v>
      </c>
      <c r="AT1264" s="387"/>
      <c r="AU1264" s="387"/>
      <c r="AV1264" s="472"/>
    </row>
    <row r="1265" spans="1:48" s="471" customFormat="1" ht="15" customHeight="1">
      <c r="A1265" s="278"/>
      <c r="B1265" s="279"/>
      <c r="C1265" s="279"/>
      <c r="D1265" s="405" t="s">
        <v>3678</v>
      </c>
      <c r="E1265" s="307" t="s">
        <v>5819</v>
      </c>
      <c r="F1265" s="501"/>
      <c r="G1265" s="501">
        <v>2022</v>
      </c>
      <c r="H1265" s="501"/>
      <c r="I1265" s="501" t="s">
        <v>4982</v>
      </c>
      <c r="J1265" s="502"/>
      <c r="K1265" s="501" t="s">
        <v>5822</v>
      </c>
      <c r="L1265" s="501" t="s">
        <v>5821</v>
      </c>
      <c r="M1265" s="502">
        <v>44634</v>
      </c>
      <c r="N1265" s="502">
        <v>44634</v>
      </c>
      <c r="O1265" s="502"/>
      <c r="P1265" s="502"/>
      <c r="Q1265" s="502"/>
      <c r="R1265" s="502"/>
      <c r="S1265" s="501" t="s">
        <v>1102</v>
      </c>
      <c r="T1265" s="501">
        <v>60</v>
      </c>
      <c r="U1265" s="501"/>
      <c r="V1265" s="501" t="s">
        <v>973</v>
      </c>
      <c r="W1265" s="501">
        <v>400</v>
      </c>
      <c r="X1265" s="401">
        <v>768</v>
      </c>
      <c r="Y1265" s="477">
        <f t="shared" si="155"/>
        <v>307200</v>
      </c>
      <c r="Z1265" s="478">
        <v>0.56999999999999995</v>
      </c>
      <c r="AA1265" s="479">
        <f t="shared" si="156"/>
        <v>175103.99999999997</v>
      </c>
      <c r="AB1265" s="386"/>
      <c r="AC1265" s="481">
        <v>0</v>
      </c>
      <c r="AD1265" s="474"/>
      <c r="AE1265" s="482"/>
      <c r="AF1265" s="493">
        <f t="shared" si="157"/>
        <v>175103.99999999997</v>
      </c>
      <c r="AG1265" s="474" t="s">
        <v>47</v>
      </c>
      <c r="AH1265" s="447"/>
      <c r="AI1265" s="474">
        <v>60</v>
      </c>
      <c r="AJ1265" s="474" t="s">
        <v>1469</v>
      </c>
      <c r="AK1265" s="474" t="s">
        <v>1138</v>
      </c>
      <c r="AL1265" s="494">
        <v>12065</v>
      </c>
      <c r="AM1265" s="474" t="s">
        <v>52</v>
      </c>
      <c r="AN1265" s="474"/>
      <c r="AO1265" s="474"/>
      <c r="AP1265" s="474"/>
      <c r="AQ1265" s="474" t="s">
        <v>37</v>
      </c>
      <c r="AR1265" s="474"/>
      <c r="AS1265" s="387" t="s">
        <v>1076</v>
      </c>
      <c r="AT1265" s="387"/>
      <c r="AU1265" s="387"/>
      <c r="AV1265" s="472"/>
    </row>
    <row r="1266" spans="1:48" s="471" customFormat="1" ht="15" customHeight="1">
      <c r="A1266" s="278"/>
      <c r="B1266" s="279"/>
      <c r="C1266" s="279"/>
      <c r="D1266" s="405" t="s">
        <v>3678</v>
      </c>
      <c r="E1266" s="307" t="s">
        <v>5819</v>
      </c>
      <c r="F1266" s="501"/>
      <c r="G1266" s="501">
        <v>2022</v>
      </c>
      <c r="H1266" s="501"/>
      <c r="I1266" s="501" t="s">
        <v>4982</v>
      </c>
      <c r="J1266" s="502"/>
      <c r="K1266" s="501" t="s">
        <v>5823</v>
      </c>
      <c r="L1266" s="501" t="s">
        <v>5821</v>
      </c>
      <c r="M1266" s="502">
        <v>44679</v>
      </c>
      <c r="N1266" s="502">
        <v>44679</v>
      </c>
      <c r="O1266" s="502"/>
      <c r="P1266" s="502"/>
      <c r="Q1266" s="502"/>
      <c r="R1266" s="502"/>
      <c r="S1266" s="501" t="s">
        <v>1102</v>
      </c>
      <c r="T1266" s="501">
        <v>60</v>
      </c>
      <c r="U1266" s="501"/>
      <c r="V1266" s="501" t="s">
        <v>986</v>
      </c>
      <c r="W1266" s="501">
        <v>360</v>
      </c>
      <c r="X1266" s="401">
        <v>896</v>
      </c>
      <c r="Y1266" s="477">
        <f t="shared" si="155"/>
        <v>322560</v>
      </c>
      <c r="Z1266" s="478">
        <v>0.63</v>
      </c>
      <c r="AA1266" s="479">
        <f t="shared" si="156"/>
        <v>203212.79999999999</v>
      </c>
      <c r="AB1266" s="386"/>
      <c r="AC1266" s="481">
        <v>0</v>
      </c>
      <c r="AD1266" s="474"/>
      <c r="AE1266" s="482"/>
      <c r="AF1266" s="493">
        <f t="shared" si="157"/>
        <v>203212.79999999999</v>
      </c>
      <c r="AG1266" s="474" t="s">
        <v>47</v>
      </c>
      <c r="AH1266" s="447"/>
      <c r="AI1266" s="474">
        <v>60</v>
      </c>
      <c r="AJ1266" s="474" t="s">
        <v>1469</v>
      </c>
      <c r="AK1266" s="474" t="s">
        <v>1138</v>
      </c>
      <c r="AL1266" s="494">
        <v>12065</v>
      </c>
      <c r="AM1266" s="474" t="s">
        <v>52</v>
      </c>
      <c r="AN1266" s="474"/>
      <c r="AO1266" s="474"/>
      <c r="AP1266" s="474"/>
      <c r="AQ1266" s="474" t="s">
        <v>37</v>
      </c>
      <c r="AR1266" s="474"/>
      <c r="AS1266" s="387" t="s">
        <v>1076</v>
      </c>
      <c r="AT1266" s="387"/>
      <c r="AU1266" s="387"/>
      <c r="AV1266" s="472"/>
    </row>
    <row r="1267" spans="1:48" s="471" customFormat="1" ht="15" customHeight="1" thickBot="1">
      <c r="A1267" s="278"/>
      <c r="B1267" s="279"/>
      <c r="C1267" s="279"/>
      <c r="D1267" s="405" t="s">
        <v>3678</v>
      </c>
      <c r="E1267" s="307" t="s">
        <v>5819</v>
      </c>
      <c r="F1267" s="501"/>
      <c r="G1267" s="501">
        <v>2022</v>
      </c>
      <c r="H1267" s="501"/>
      <c r="I1267" s="365" t="s">
        <v>4982</v>
      </c>
      <c r="J1267" s="373"/>
      <c r="K1267" s="365" t="s">
        <v>5824</v>
      </c>
      <c r="L1267" s="501" t="s">
        <v>5821</v>
      </c>
      <c r="M1267" s="502">
        <v>44679</v>
      </c>
      <c r="N1267" s="502">
        <v>44679</v>
      </c>
      <c r="O1267" s="502"/>
      <c r="P1267" s="502"/>
      <c r="Q1267" s="502"/>
      <c r="R1267" s="502"/>
      <c r="S1267" s="501" t="s">
        <v>1102</v>
      </c>
      <c r="T1267" s="501">
        <v>60</v>
      </c>
      <c r="U1267" s="501"/>
      <c r="V1267" s="501" t="s">
        <v>973</v>
      </c>
      <c r="W1267" s="501">
        <v>400</v>
      </c>
      <c r="X1267" s="401">
        <v>768</v>
      </c>
      <c r="Y1267" s="477">
        <f t="shared" si="155"/>
        <v>307200</v>
      </c>
      <c r="Z1267" s="478">
        <v>0.65</v>
      </c>
      <c r="AA1267" s="479">
        <f t="shared" si="156"/>
        <v>199680</v>
      </c>
      <c r="AB1267" s="386"/>
      <c r="AC1267" s="481">
        <v>0</v>
      </c>
      <c r="AD1267" s="474"/>
      <c r="AE1267" s="482"/>
      <c r="AF1267" s="493">
        <f t="shared" si="157"/>
        <v>199680</v>
      </c>
      <c r="AG1267" s="474" t="s">
        <v>47</v>
      </c>
      <c r="AH1267" s="447"/>
      <c r="AI1267" s="474">
        <v>60</v>
      </c>
      <c r="AJ1267" s="474" t="s">
        <v>1469</v>
      </c>
      <c r="AK1267" s="474" t="s">
        <v>1138</v>
      </c>
      <c r="AL1267" s="494">
        <v>12065</v>
      </c>
      <c r="AM1267" s="474" t="s">
        <v>52</v>
      </c>
      <c r="AN1267" s="474"/>
      <c r="AO1267" s="474"/>
      <c r="AP1267" s="474"/>
      <c r="AQ1267" s="474" t="s">
        <v>37</v>
      </c>
      <c r="AR1267" s="474"/>
      <c r="AS1267" s="387" t="s">
        <v>1076</v>
      </c>
      <c r="AT1267" s="387"/>
      <c r="AU1267" s="387"/>
      <c r="AV1267" s="472"/>
    </row>
    <row r="1268" spans="1:48" s="471" customFormat="1" ht="15" customHeight="1">
      <c r="A1268" s="278"/>
      <c r="B1268" s="279"/>
      <c r="C1268" s="279"/>
      <c r="D1268" s="405" t="s">
        <v>3678</v>
      </c>
      <c r="E1268" s="307" t="s">
        <v>5534</v>
      </c>
      <c r="F1268" s="501"/>
      <c r="G1268" s="501">
        <v>2022</v>
      </c>
      <c r="H1268" s="608">
        <v>8</v>
      </c>
      <c r="I1268" s="629" t="s">
        <v>4982</v>
      </c>
      <c r="J1268" s="630"/>
      <c r="K1268" s="631" t="s">
        <v>5108</v>
      </c>
      <c r="L1268" s="632" t="s">
        <v>1366</v>
      </c>
      <c r="M1268" s="633">
        <v>44645</v>
      </c>
      <c r="N1268" s="502">
        <v>44774</v>
      </c>
      <c r="O1268" s="502"/>
      <c r="P1268" s="502"/>
      <c r="Q1268" s="502"/>
      <c r="R1268" s="502"/>
      <c r="S1268" s="501" t="s">
        <v>1102</v>
      </c>
      <c r="T1268" s="501">
        <v>60</v>
      </c>
      <c r="U1268" s="501"/>
      <c r="V1268" s="501" t="s">
        <v>986</v>
      </c>
      <c r="W1268" s="501">
        <v>360</v>
      </c>
      <c r="X1268" s="401">
        <v>1792</v>
      </c>
      <c r="Y1268" s="477">
        <f t="shared" si="155"/>
        <v>645120</v>
      </c>
      <c r="Z1268" s="478">
        <v>0.53</v>
      </c>
      <c r="AA1268" s="479">
        <f t="shared" si="156"/>
        <v>341913.60000000003</v>
      </c>
      <c r="AB1268" s="386"/>
      <c r="AC1268" s="481">
        <v>0</v>
      </c>
      <c r="AD1268" s="474"/>
      <c r="AE1268" s="482"/>
      <c r="AF1268" s="493">
        <f t="shared" si="157"/>
        <v>341913.60000000003</v>
      </c>
      <c r="AG1268" s="474" t="s">
        <v>1071</v>
      </c>
      <c r="AH1268" s="447"/>
      <c r="AI1268" s="474">
        <v>60</v>
      </c>
      <c r="AJ1268" s="474" t="s">
        <v>1346</v>
      </c>
      <c r="AK1268" s="474" t="s">
        <v>1347</v>
      </c>
      <c r="AL1268" s="494">
        <v>18360</v>
      </c>
      <c r="AM1268" s="474" t="s">
        <v>52</v>
      </c>
      <c r="AN1268" s="474"/>
      <c r="AO1268" s="474"/>
      <c r="AP1268" s="474"/>
      <c r="AQ1268" s="474" t="s">
        <v>37</v>
      </c>
      <c r="AR1268" s="474"/>
      <c r="AS1268" s="387" t="s">
        <v>1076</v>
      </c>
      <c r="AT1268" s="387"/>
      <c r="AU1268" s="387"/>
      <c r="AV1268" s="472"/>
    </row>
    <row r="1269" spans="1:48" s="471" customFormat="1" ht="15" customHeight="1">
      <c r="A1269" s="278"/>
      <c r="B1269" s="279"/>
      <c r="C1269" s="279"/>
      <c r="D1269" s="405" t="s">
        <v>3678</v>
      </c>
      <c r="E1269" s="307" t="s">
        <v>5534</v>
      </c>
      <c r="F1269" s="501"/>
      <c r="G1269" s="501">
        <v>2022</v>
      </c>
      <c r="H1269" s="608">
        <v>9</v>
      </c>
      <c r="I1269" s="634" t="s">
        <v>4982</v>
      </c>
      <c r="J1269" s="502"/>
      <c r="K1269" s="501" t="s">
        <v>5106</v>
      </c>
      <c r="L1269" s="635" t="s">
        <v>1366</v>
      </c>
      <c r="M1269" s="633">
        <v>44645</v>
      </c>
      <c r="N1269" s="502">
        <v>44805</v>
      </c>
      <c r="O1269" s="502"/>
      <c r="P1269" s="502"/>
      <c r="Q1269" s="502"/>
      <c r="R1269" s="502"/>
      <c r="S1269" s="501" t="s">
        <v>1102</v>
      </c>
      <c r="T1269" s="501">
        <v>60</v>
      </c>
      <c r="U1269" s="501"/>
      <c r="V1269" s="501" t="s">
        <v>986</v>
      </c>
      <c r="W1269" s="501">
        <v>360</v>
      </c>
      <c r="X1269" s="401">
        <v>1792</v>
      </c>
      <c r="Y1269" s="477">
        <f t="shared" si="155"/>
        <v>645120</v>
      </c>
      <c r="Z1269" s="478">
        <v>0.53</v>
      </c>
      <c r="AA1269" s="479">
        <f t="shared" si="156"/>
        <v>341913.60000000003</v>
      </c>
      <c r="AB1269" s="386"/>
      <c r="AC1269" s="481">
        <v>0</v>
      </c>
      <c r="AD1269" s="474"/>
      <c r="AE1269" s="482"/>
      <c r="AF1269" s="493">
        <f t="shared" si="157"/>
        <v>341913.60000000003</v>
      </c>
      <c r="AG1269" s="474" t="s">
        <v>1071</v>
      </c>
      <c r="AH1269" s="447"/>
      <c r="AI1269" s="474">
        <v>60</v>
      </c>
      <c r="AJ1269" s="474" t="s">
        <v>1346</v>
      </c>
      <c r="AK1269" s="474" t="s">
        <v>1347</v>
      </c>
      <c r="AL1269" s="494">
        <v>18360</v>
      </c>
      <c r="AM1269" s="474" t="s">
        <v>52</v>
      </c>
      <c r="AN1269" s="474"/>
      <c r="AO1269" s="474"/>
      <c r="AP1269" s="474"/>
      <c r="AQ1269" s="474" t="s">
        <v>37</v>
      </c>
      <c r="AR1269" s="474"/>
      <c r="AS1269" s="387" t="s">
        <v>1076</v>
      </c>
      <c r="AT1269" s="387"/>
      <c r="AU1269" s="387"/>
      <c r="AV1269" s="472"/>
    </row>
    <row r="1270" spans="1:48" s="471" customFormat="1" ht="15" customHeight="1">
      <c r="A1270" s="278"/>
      <c r="B1270" s="279"/>
      <c r="C1270" s="279"/>
      <c r="D1270" s="405" t="s">
        <v>3678</v>
      </c>
      <c r="E1270" s="307" t="s">
        <v>5534</v>
      </c>
      <c r="F1270" s="501"/>
      <c r="G1270" s="501">
        <v>2022</v>
      </c>
      <c r="H1270" s="608">
        <v>10</v>
      </c>
      <c r="I1270" s="634" t="s">
        <v>4982</v>
      </c>
      <c r="J1270" s="502"/>
      <c r="K1270" s="501" t="s">
        <v>5104</v>
      </c>
      <c r="L1270" s="635" t="s">
        <v>1366</v>
      </c>
      <c r="M1270" s="633">
        <v>44645</v>
      </c>
      <c r="N1270" s="502">
        <v>44835</v>
      </c>
      <c r="O1270" s="502"/>
      <c r="P1270" s="502"/>
      <c r="Q1270" s="502"/>
      <c r="R1270" s="502"/>
      <c r="S1270" s="501" t="s">
        <v>1102</v>
      </c>
      <c r="T1270" s="501">
        <v>60</v>
      </c>
      <c r="U1270" s="501"/>
      <c r="V1270" s="501" t="s">
        <v>986</v>
      </c>
      <c r="W1270" s="501">
        <v>360</v>
      </c>
      <c r="X1270" s="401">
        <v>896</v>
      </c>
      <c r="Y1270" s="477">
        <f t="shared" si="155"/>
        <v>322560</v>
      </c>
      <c r="Z1270" s="478">
        <v>0.53</v>
      </c>
      <c r="AA1270" s="479">
        <f t="shared" si="156"/>
        <v>170956.80000000002</v>
      </c>
      <c r="AB1270" s="386"/>
      <c r="AC1270" s="481">
        <v>0</v>
      </c>
      <c r="AD1270" s="474"/>
      <c r="AE1270" s="482"/>
      <c r="AF1270" s="493">
        <f t="shared" si="157"/>
        <v>170956.80000000002</v>
      </c>
      <c r="AG1270" s="474" t="s">
        <v>1071</v>
      </c>
      <c r="AH1270" s="447"/>
      <c r="AI1270" s="474">
        <v>60</v>
      </c>
      <c r="AJ1270" s="474" t="s">
        <v>1346</v>
      </c>
      <c r="AK1270" s="474" t="s">
        <v>1347</v>
      </c>
      <c r="AL1270" s="494">
        <v>18360</v>
      </c>
      <c r="AM1270" s="474" t="s">
        <v>52</v>
      </c>
      <c r="AN1270" s="474"/>
      <c r="AO1270" s="474"/>
      <c r="AP1270" s="474"/>
      <c r="AQ1270" s="474" t="s">
        <v>37</v>
      </c>
      <c r="AR1270" s="474"/>
      <c r="AS1270" s="387" t="s">
        <v>1076</v>
      </c>
      <c r="AT1270" s="387"/>
      <c r="AU1270" s="387"/>
      <c r="AV1270" s="472"/>
    </row>
    <row r="1271" spans="1:48" s="471" customFormat="1" ht="15" customHeight="1">
      <c r="A1271" s="278"/>
      <c r="B1271" s="279"/>
      <c r="C1271" s="279"/>
      <c r="D1271" s="405" t="s">
        <v>3678</v>
      </c>
      <c r="E1271" s="307" t="s">
        <v>5534</v>
      </c>
      <c r="F1271" s="501"/>
      <c r="G1271" s="501">
        <v>2022</v>
      </c>
      <c r="H1271" s="608">
        <v>7</v>
      </c>
      <c r="I1271" s="634" t="s">
        <v>4982</v>
      </c>
      <c r="J1271" s="502"/>
      <c r="K1271" s="501" t="s">
        <v>5535</v>
      </c>
      <c r="L1271" s="635" t="s">
        <v>1340</v>
      </c>
      <c r="M1271" s="633">
        <v>44648</v>
      </c>
      <c r="N1271" s="502">
        <v>44743</v>
      </c>
      <c r="O1271" s="502"/>
      <c r="P1271" s="502"/>
      <c r="Q1271" s="502"/>
      <c r="R1271" s="502"/>
      <c r="S1271" s="501" t="s">
        <v>1102</v>
      </c>
      <c r="T1271" s="501">
        <v>60</v>
      </c>
      <c r="U1271" s="501"/>
      <c r="V1271" s="501" t="s">
        <v>986</v>
      </c>
      <c r="W1271" s="501">
        <v>360</v>
      </c>
      <c r="X1271" s="401">
        <v>4992</v>
      </c>
      <c r="Y1271" s="477">
        <f t="shared" si="155"/>
        <v>1797120</v>
      </c>
      <c r="Z1271" s="478">
        <v>0.53</v>
      </c>
      <c r="AA1271" s="479">
        <f t="shared" si="156"/>
        <v>952473.60000000009</v>
      </c>
      <c r="AB1271" s="386"/>
      <c r="AC1271" s="481">
        <v>0</v>
      </c>
      <c r="AD1271" s="474"/>
      <c r="AE1271" s="482"/>
      <c r="AF1271" s="493">
        <f t="shared" si="157"/>
        <v>952473.60000000009</v>
      </c>
      <c r="AG1271" s="474" t="s">
        <v>1071</v>
      </c>
      <c r="AH1271" s="447"/>
      <c r="AI1271" s="474">
        <v>60</v>
      </c>
      <c r="AJ1271" s="474" t="s">
        <v>1342</v>
      </c>
      <c r="AK1271" s="474" t="s">
        <v>1085</v>
      </c>
      <c r="AL1271" s="494">
        <v>8110</v>
      </c>
      <c r="AM1271" s="474" t="s">
        <v>52</v>
      </c>
      <c r="AN1271" s="474"/>
      <c r="AO1271" s="474"/>
      <c r="AP1271" s="474"/>
      <c r="AQ1271" s="474" t="s">
        <v>37</v>
      </c>
      <c r="AR1271" s="474"/>
      <c r="AS1271" s="387" t="s">
        <v>1076</v>
      </c>
      <c r="AT1271" s="387"/>
      <c r="AU1271" s="387"/>
      <c r="AV1271" s="472"/>
    </row>
    <row r="1272" spans="1:48" s="471" customFormat="1" ht="15" customHeight="1">
      <c r="A1272" s="278"/>
      <c r="B1272" s="279"/>
      <c r="C1272" s="279"/>
      <c r="D1272" s="405" t="s">
        <v>3678</v>
      </c>
      <c r="E1272" s="307" t="s">
        <v>5534</v>
      </c>
      <c r="F1272" s="501"/>
      <c r="G1272" s="501">
        <v>2022</v>
      </c>
      <c r="H1272" s="608">
        <v>8</v>
      </c>
      <c r="I1272" s="634" t="s">
        <v>4982</v>
      </c>
      <c r="J1272" s="502"/>
      <c r="K1272" s="501" t="s">
        <v>5536</v>
      </c>
      <c r="L1272" s="635" t="s">
        <v>1340</v>
      </c>
      <c r="M1272" s="633">
        <v>44648</v>
      </c>
      <c r="N1272" s="502">
        <v>44774</v>
      </c>
      <c r="O1272" s="502"/>
      <c r="P1272" s="502"/>
      <c r="Q1272" s="502"/>
      <c r="R1272" s="502"/>
      <c r="S1272" s="501" t="s">
        <v>1102</v>
      </c>
      <c r="T1272" s="501">
        <v>60</v>
      </c>
      <c r="U1272" s="501"/>
      <c r="V1272" s="501" t="s">
        <v>986</v>
      </c>
      <c r="W1272" s="501">
        <v>360</v>
      </c>
      <c r="X1272" s="401">
        <v>4992</v>
      </c>
      <c r="Y1272" s="477">
        <f t="shared" si="155"/>
        <v>1797120</v>
      </c>
      <c r="Z1272" s="478">
        <v>0.53</v>
      </c>
      <c r="AA1272" s="479">
        <f t="shared" si="156"/>
        <v>952473.60000000009</v>
      </c>
      <c r="AB1272" s="386"/>
      <c r="AC1272" s="481">
        <v>0</v>
      </c>
      <c r="AD1272" s="474"/>
      <c r="AE1272" s="482"/>
      <c r="AF1272" s="493">
        <f t="shared" si="157"/>
        <v>952473.60000000009</v>
      </c>
      <c r="AG1272" s="474" t="s">
        <v>1071</v>
      </c>
      <c r="AH1272" s="447"/>
      <c r="AI1272" s="474">
        <v>60</v>
      </c>
      <c r="AJ1272" s="474" t="s">
        <v>1342</v>
      </c>
      <c r="AK1272" s="474" t="s">
        <v>1085</v>
      </c>
      <c r="AL1272" s="494">
        <v>8110</v>
      </c>
      <c r="AM1272" s="474" t="s">
        <v>52</v>
      </c>
      <c r="AN1272" s="474"/>
      <c r="AO1272" s="474"/>
      <c r="AP1272" s="474"/>
      <c r="AQ1272" s="474" t="s">
        <v>37</v>
      </c>
      <c r="AR1272" s="474"/>
      <c r="AS1272" s="387" t="s">
        <v>1076</v>
      </c>
      <c r="AT1272" s="387"/>
      <c r="AU1272" s="387"/>
      <c r="AV1272" s="472"/>
    </row>
    <row r="1273" spans="1:48" s="471" customFormat="1" ht="15" customHeight="1">
      <c r="A1273" s="278"/>
      <c r="B1273" s="279"/>
      <c r="C1273" s="279"/>
      <c r="D1273" s="405" t="s">
        <v>3678</v>
      </c>
      <c r="E1273" s="307" t="s">
        <v>5534</v>
      </c>
      <c r="F1273" s="501"/>
      <c r="G1273" s="501">
        <v>2022</v>
      </c>
      <c r="H1273" s="608">
        <v>9</v>
      </c>
      <c r="I1273" s="634" t="s">
        <v>4982</v>
      </c>
      <c r="J1273" s="502"/>
      <c r="K1273" s="501" t="s">
        <v>5537</v>
      </c>
      <c r="L1273" s="635" t="s">
        <v>1340</v>
      </c>
      <c r="M1273" s="633">
        <v>44648</v>
      </c>
      <c r="N1273" s="502">
        <v>44805</v>
      </c>
      <c r="O1273" s="502"/>
      <c r="P1273" s="502"/>
      <c r="Q1273" s="502"/>
      <c r="R1273" s="502"/>
      <c r="S1273" s="501" t="s">
        <v>1102</v>
      </c>
      <c r="T1273" s="501">
        <v>60</v>
      </c>
      <c r="U1273" s="501"/>
      <c r="V1273" s="501" t="s">
        <v>986</v>
      </c>
      <c r="W1273" s="501">
        <v>360</v>
      </c>
      <c r="X1273" s="401">
        <v>4992</v>
      </c>
      <c r="Y1273" s="477">
        <f t="shared" si="155"/>
        <v>1797120</v>
      </c>
      <c r="Z1273" s="478">
        <v>0.53</v>
      </c>
      <c r="AA1273" s="479">
        <f t="shared" si="156"/>
        <v>952473.60000000009</v>
      </c>
      <c r="AB1273" s="386"/>
      <c r="AC1273" s="481">
        <v>0</v>
      </c>
      <c r="AD1273" s="474"/>
      <c r="AE1273" s="482"/>
      <c r="AF1273" s="493">
        <f t="shared" si="157"/>
        <v>952473.60000000009</v>
      </c>
      <c r="AG1273" s="474" t="s">
        <v>1071</v>
      </c>
      <c r="AH1273" s="447"/>
      <c r="AI1273" s="474">
        <v>60</v>
      </c>
      <c r="AJ1273" s="474" t="s">
        <v>1342</v>
      </c>
      <c r="AK1273" s="474" t="s">
        <v>1085</v>
      </c>
      <c r="AL1273" s="494">
        <v>8110</v>
      </c>
      <c r="AM1273" s="474" t="s">
        <v>52</v>
      </c>
      <c r="AN1273" s="474"/>
      <c r="AO1273" s="474"/>
      <c r="AP1273" s="474"/>
      <c r="AQ1273" s="474" t="s">
        <v>37</v>
      </c>
      <c r="AR1273" s="474"/>
      <c r="AS1273" s="387" t="s">
        <v>1076</v>
      </c>
      <c r="AT1273" s="387"/>
      <c r="AU1273" s="387"/>
      <c r="AV1273" s="472"/>
    </row>
    <row r="1274" spans="1:48" s="471" customFormat="1" ht="15" customHeight="1">
      <c r="A1274" s="278"/>
      <c r="B1274" s="279"/>
      <c r="C1274" s="279"/>
      <c r="D1274" s="405" t="s">
        <v>3678</v>
      </c>
      <c r="E1274" s="307" t="s">
        <v>5534</v>
      </c>
      <c r="F1274" s="501"/>
      <c r="G1274" s="501">
        <v>2022</v>
      </c>
      <c r="H1274" s="608">
        <v>7</v>
      </c>
      <c r="I1274" s="634" t="s">
        <v>4982</v>
      </c>
      <c r="J1274" s="502"/>
      <c r="K1274" s="501" t="s">
        <v>5538</v>
      </c>
      <c r="L1274" s="635" t="s">
        <v>1340</v>
      </c>
      <c r="M1274" s="633">
        <v>44648</v>
      </c>
      <c r="N1274" s="502">
        <v>44746</v>
      </c>
      <c r="O1274" s="502"/>
      <c r="P1274" s="502"/>
      <c r="Q1274" s="502"/>
      <c r="R1274" s="502"/>
      <c r="S1274" s="501" t="s">
        <v>1102</v>
      </c>
      <c r="T1274" s="501">
        <v>60</v>
      </c>
      <c r="U1274" s="501"/>
      <c r="V1274" s="501" t="s">
        <v>973</v>
      </c>
      <c r="W1274" s="501">
        <v>400</v>
      </c>
      <c r="X1274" s="401">
        <v>5376</v>
      </c>
      <c r="Y1274" s="477">
        <f t="shared" si="155"/>
        <v>2150400</v>
      </c>
      <c r="Z1274" s="478">
        <v>0.55000000000000004</v>
      </c>
      <c r="AA1274" s="479">
        <f t="shared" si="156"/>
        <v>1182720</v>
      </c>
      <c r="AB1274" s="386"/>
      <c r="AC1274" s="481">
        <v>0</v>
      </c>
      <c r="AD1274" s="474"/>
      <c r="AE1274" s="482"/>
      <c r="AF1274" s="493">
        <f t="shared" si="157"/>
        <v>1182720</v>
      </c>
      <c r="AG1274" s="474" t="s">
        <v>1071</v>
      </c>
      <c r="AH1274" s="447"/>
      <c r="AI1274" s="474">
        <v>60</v>
      </c>
      <c r="AJ1274" s="474" t="s">
        <v>1342</v>
      </c>
      <c r="AK1274" s="474" t="s">
        <v>1085</v>
      </c>
      <c r="AL1274" s="494">
        <v>8110</v>
      </c>
      <c r="AM1274" s="474" t="s">
        <v>52</v>
      </c>
      <c r="AN1274" s="474"/>
      <c r="AO1274" s="474"/>
      <c r="AP1274" s="474"/>
      <c r="AQ1274" s="474" t="s">
        <v>37</v>
      </c>
      <c r="AR1274" s="474"/>
      <c r="AS1274" s="387" t="s">
        <v>1076</v>
      </c>
      <c r="AT1274" s="387"/>
      <c r="AU1274" s="387"/>
      <c r="AV1274" s="472"/>
    </row>
    <row r="1275" spans="1:48" s="471" customFormat="1" ht="15" customHeight="1">
      <c r="A1275" s="278"/>
      <c r="B1275" s="279"/>
      <c r="C1275" s="279"/>
      <c r="D1275" s="405" t="s">
        <v>3678</v>
      </c>
      <c r="E1275" s="307" t="s">
        <v>5534</v>
      </c>
      <c r="F1275" s="501"/>
      <c r="G1275" s="501">
        <v>2022</v>
      </c>
      <c r="H1275" s="608">
        <v>8</v>
      </c>
      <c r="I1275" s="634" t="s">
        <v>4982</v>
      </c>
      <c r="J1275" s="502"/>
      <c r="K1275" s="501" t="s">
        <v>5539</v>
      </c>
      <c r="L1275" s="635" t="s">
        <v>1340</v>
      </c>
      <c r="M1275" s="633">
        <v>44648</v>
      </c>
      <c r="N1275" s="502">
        <v>44774</v>
      </c>
      <c r="O1275" s="502"/>
      <c r="P1275" s="502"/>
      <c r="Q1275" s="502"/>
      <c r="R1275" s="502"/>
      <c r="S1275" s="501" t="s">
        <v>1102</v>
      </c>
      <c r="T1275" s="501">
        <v>60</v>
      </c>
      <c r="U1275" s="501"/>
      <c r="V1275" s="501" t="s">
        <v>973</v>
      </c>
      <c r="W1275" s="501">
        <v>400</v>
      </c>
      <c r="X1275" s="401">
        <v>5376</v>
      </c>
      <c r="Y1275" s="477">
        <f t="shared" si="155"/>
        <v>2150400</v>
      </c>
      <c r="Z1275" s="478">
        <v>0.55000000000000004</v>
      </c>
      <c r="AA1275" s="479">
        <f t="shared" si="156"/>
        <v>1182720</v>
      </c>
      <c r="AB1275" s="386"/>
      <c r="AC1275" s="481">
        <v>0</v>
      </c>
      <c r="AD1275" s="474"/>
      <c r="AE1275" s="482"/>
      <c r="AF1275" s="493">
        <f t="shared" si="157"/>
        <v>1182720</v>
      </c>
      <c r="AG1275" s="474" t="s">
        <v>1071</v>
      </c>
      <c r="AH1275" s="447"/>
      <c r="AI1275" s="474">
        <v>60</v>
      </c>
      <c r="AJ1275" s="474" t="s">
        <v>1342</v>
      </c>
      <c r="AK1275" s="474" t="s">
        <v>1085</v>
      </c>
      <c r="AL1275" s="494">
        <v>8110</v>
      </c>
      <c r="AM1275" s="474" t="s">
        <v>52</v>
      </c>
      <c r="AN1275" s="474"/>
      <c r="AO1275" s="474"/>
      <c r="AP1275" s="474"/>
      <c r="AQ1275" s="474" t="s">
        <v>37</v>
      </c>
      <c r="AR1275" s="474"/>
      <c r="AS1275" s="387" t="s">
        <v>1076</v>
      </c>
      <c r="AT1275" s="387"/>
      <c r="AU1275" s="387"/>
      <c r="AV1275" s="472"/>
    </row>
    <row r="1276" spans="1:48" s="471" customFormat="1" ht="15" customHeight="1">
      <c r="A1276" s="278"/>
      <c r="B1276" s="279"/>
      <c r="C1276" s="279"/>
      <c r="D1276" s="405" t="s">
        <v>3678</v>
      </c>
      <c r="E1276" s="307" t="s">
        <v>5534</v>
      </c>
      <c r="F1276" s="501"/>
      <c r="G1276" s="501">
        <v>2022</v>
      </c>
      <c r="H1276" s="608">
        <v>9</v>
      </c>
      <c r="I1276" s="634" t="s">
        <v>4982</v>
      </c>
      <c r="J1276" s="502"/>
      <c r="K1276" s="501" t="s">
        <v>5540</v>
      </c>
      <c r="L1276" s="635" t="s">
        <v>1340</v>
      </c>
      <c r="M1276" s="633">
        <v>44648</v>
      </c>
      <c r="N1276" s="502">
        <v>44805</v>
      </c>
      <c r="O1276" s="502"/>
      <c r="P1276" s="502"/>
      <c r="Q1276" s="502"/>
      <c r="R1276" s="502"/>
      <c r="S1276" s="501" t="s">
        <v>1102</v>
      </c>
      <c r="T1276" s="501">
        <v>60</v>
      </c>
      <c r="U1276" s="501"/>
      <c r="V1276" s="501" t="s">
        <v>973</v>
      </c>
      <c r="W1276" s="501">
        <v>400</v>
      </c>
      <c r="X1276" s="401">
        <v>5376</v>
      </c>
      <c r="Y1276" s="477">
        <f t="shared" si="155"/>
        <v>2150400</v>
      </c>
      <c r="Z1276" s="478">
        <v>0.55000000000000004</v>
      </c>
      <c r="AA1276" s="479">
        <f t="shared" si="156"/>
        <v>1182720</v>
      </c>
      <c r="AB1276" s="386"/>
      <c r="AC1276" s="481">
        <v>0</v>
      </c>
      <c r="AD1276" s="474"/>
      <c r="AE1276" s="482"/>
      <c r="AF1276" s="493">
        <f t="shared" si="157"/>
        <v>1182720</v>
      </c>
      <c r="AG1276" s="474" t="s">
        <v>1071</v>
      </c>
      <c r="AH1276" s="447"/>
      <c r="AI1276" s="474">
        <v>60</v>
      </c>
      <c r="AJ1276" s="474" t="s">
        <v>1342</v>
      </c>
      <c r="AK1276" s="474" t="s">
        <v>1085</v>
      </c>
      <c r="AL1276" s="494">
        <v>8110</v>
      </c>
      <c r="AM1276" s="474" t="s">
        <v>52</v>
      </c>
      <c r="AN1276" s="474"/>
      <c r="AO1276" s="474"/>
      <c r="AP1276" s="474"/>
      <c r="AQ1276" s="474" t="s">
        <v>37</v>
      </c>
      <c r="AR1276" s="474"/>
      <c r="AS1276" s="387" t="s">
        <v>1076</v>
      </c>
      <c r="AT1276" s="387"/>
      <c r="AU1276" s="387"/>
      <c r="AV1276" s="472"/>
    </row>
    <row r="1277" spans="1:48" s="471" customFormat="1" ht="15" customHeight="1">
      <c r="A1277" s="278"/>
      <c r="B1277" s="279"/>
      <c r="C1277" s="279"/>
      <c r="D1277" s="405" t="s">
        <v>3678</v>
      </c>
      <c r="E1277" s="301" t="s">
        <v>5541</v>
      </c>
      <c r="F1277" s="501"/>
      <c r="G1277" s="501">
        <v>2022</v>
      </c>
      <c r="H1277" s="608"/>
      <c r="I1277" s="634" t="s">
        <v>5542</v>
      </c>
      <c r="J1277" s="502"/>
      <c r="K1277" s="501" t="s">
        <v>5543</v>
      </c>
      <c r="L1277" s="635" t="s">
        <v>1340</v>
      </c>
      <c r="M1277" s="633">
        <v>44648</v>
      </c>
      <c r="N1277" s="502" t="s">
        <v>5544</v>
      </c>
      <c r="O1277" s="502"/>
      <c r="P1277" s="502"/>
      <c r="Q1277" s="502"/>
      <c r="R1277" s="502"/>
      <c r="S1277" s="501" t="s">
        <v>1102</v>
      </c>
      <c r="T1277" s="501">
        <v>60</v>
      </c>
      <c r="U1277" s="501"/>
      <c r="V1277" s="501" t="s">
        <v>986</v>
      </c>
      <c r="W1277" s="501">
        <v>360</v>
      </c>
      <c r="X1277" s="401">
        <v>24960</v>
      </c>
      <c r="Y1277" s="477">
        <f t="shared" si="155"/>
        <v>8985600</v>
      </c>
      <c r="Z1277" s="478">
        <v>0.53</v>
      </c>
      <c r="AA1277" s="479">
        <f t="shared" si="156"/>
        <v>4762368</v>
      </c>
      <c r="AB1277" s="386"/>
      <c r="AC1277" s="481">
        <v>0</v>
      </c>
      <c r="AD1277" s="474"/>
      <c r="AE1277" s="482"/>
      <c r="AF1277" s="493">
        <f t="shared" si="157"/>
        <v>4762368</v>
      </c>
      <c r="AG1277" s="474" t="s">
        <v>1071</v>
      </c>
      <c r="AH1277" s="447"/>
      <c r="AI1277" s="474">
        <v>60</v>
      </c>
      <c r="AJ1277" s="474" t="s">
        <v>1342</v>
      </c>
      <c r="AK1277" s="474" t="s">
        <v>1085</v>
      </c>
      <c r="AL1277" s="494">
        <v>8110</v>
      </c>
      <c r="AM1277" s="474" t="s">
        <v>52</v>
      </c>
      <c r="AN1277" s="474"/>
      <c r="AO1277" s="474"/>
      <c r="AP1277" s="474"/>
      <c r="AQ1277" s="474" t="s">
        <v>37</v>
      </c>
      <c r="AR1277" s="474"/>
      <c r="AS1277" s="387" t="s">
        <v>1076</v>
      </c>
      <c r="AT1277" s="387"/>
      <c r="AU1277" s="387"/>
      <c r="AV1277" s="472"/>
    </row>
    <row r="1278" spans="1:48" s="471" customFormat="1" ht="15" customHeight="1" thickBot="1">
      <c r="A1278" s="278"/>
      <c r="B1278" s="279"/>
      <c r="C1278" s="279"/>
      <c r="D1278" s="405" t="s">
        <v>3678</v>
      </c>
      <c r="E1278" s="301" t="s">
        <v>5541</v>
      </c>
      <c r="F1278" s="501"/>
      <c r="G1278" s="501">
        <v>2022</v>
      </c>
      <c r="H1278" s="608"/>
      <c r="I1278" s="636" t="s">
        <v>5542</v>
      </c>
      <c r="J1278" s="637"/>
      <c r="K1278" s="638" t="s">
        <v>5543</v>
      </c>
      <c r="L1278" s="639" t="s">
        <v>1340</v>
      </c>
      <c r="M1278" s="633">
        <v>44648</v>
      </c>
      <c r="N1278" s="502" t="s">
        <v>5544</v>
      </c>
      <c r="O1278" s="502"/>
      <c r="P1278" s="502"/>
      <c r="Q1278" s="502"/>
      <c r="R1278" s="502"/>
      <c r="S1278" s="501" t="s">
        <v>1102</v>
      </c>
      <c r="T1278" s="501">
        <v>60</v>
      </c>
      <c r="U1278" s="501"/>
      <c r="V1278" s="501" t="s">
        <v>973</v>
      </c>
      <c r="W1278" s="501">
        <v>400</v>
      </c>
      <c r="X1278" s="401">
        <v>26112</v>
      </c>
      <c r="Y1278" s="477">
        <f t="shared" si="155"/>
        <v>10444800</v>
      </c>
      <c r="Z1278" s="478">
        <v>0.55000000000000004</v>
      </c>
      <c r="AA1278" s="479">
        <f t="shared" si="156"/>
        <v>5744640</v>
      </c>
      <c r="AB1278" s="386"/>
      <c r="AC1278" s="481">
        <v>0</v>
      </c>
      <c r="AD1278" s="474"/>
      <c r="AE1278" s="482"/>
      <c r="AF1278" s="493">
        <f t="shared" si="157"/>
        <v>5744640</v>
      </c>
      <c r="AG1278" s="474" t="s">
        <v>1071</v>
      </c>
      <c r="AH1278" s="447"/>
      <c r="AI1278" s="474">
        <v>60</v>
      </c>
      <c r="AJ1278" s="474" t="s">
        <v>1342</v>
      </c>
      <c r="AK1278" s="474" t="s">
        <v>1085</v>
      </c>
      <c r="AL1278" s="494">
        <v>8110</v>
      </c>
      <c r="AM1278" s="474" t="s">
        <v>52</v>
      </c>
      <c r="AN1278" s="474"/>
      <c r="AO1278" s="474"/>
      <c r="AP1278" s="474"/>
      <c r="AQ1278" s="474" t="s">
        <v>37</v>
      </c>
      <c r="AR1278" s="474"/>
      <c r="AS1278" s="387" t="s">
        <v>1076</v>
      </c>
      <c r="AT1278" s="387"/>
      <c r="AU1278" s="387"/>
      <c r="AV1278" s="472"/>
    </row>
    <row r="1279" spans="1:48" s="471" customFormat="1" ht="15" customHeight="1">
      <c r="A1279" s="278"/>
      <c r="B1279" s="279"/>
      <c r="C1279" s="279"/>
      <c r="D1279" s="405" t="s">
        <v>3678</v>
      </c>
      <c r="E1279" s="307" t="s">
        <v>1097</v>
      </c>
      <c r="F1279" s="501"/>
      <c r="G1279" s="501"/>
      <c r="H1279" s="501"/>
      <c r="I1279" s="371" t="s">
        <v>1286</v>
      </c>
      <c r="J1279" s="370"/>
      <c r="K1279" s="604" t="s">
        <v>5157</v>
      </c>
      <c r="L1279" s="605" t="s">
        <v>3747</v>
      </c>
      <c r="M1279" s="502">
        <v>44613</v>
      </c>
      <c r="N1279" s="502">
        <v>44805</v>
      </c>
      <c r="O1279" s="502"/>
      <c r="P1279" s="502"/>
      <c r="Q1279" s="502"/>
      <c r="R1279" s="502"/>
      <c r="S1279" s="501" t="s">
        <v>1102</v>
      </c>
      <c r="T1279" s="501">
        <v>60</v>
      </c>
      <c r="U1279" s="501"/>
      <c r="V1279" s="501" t="s">
        <v>986</v>
      </c>
      <c r="W1279" s="505">
        <v>360</v>
      </c>
      <c r="X1279" s="403">
        <v>6656</v>
      </c>
      <c r="Y1279" s="477">
        <f t="shared" si="155"/>
        <v>2396160</v>
      </c>
      <c r="Z1279" s="478">
        <v>0.53</v>
      </c>
      <c r="AA1279" s="479">
        <f>Z1279*Y1279</f>
        <v>1269964.8</v>
      </c>
      <c r="AB1279" s="386"/>
      <c r="AC1279" s="481"/>
      <c r="AD1279" s="474"/>
      <c r="AE1279" s="482"/>
      <c r="AF1279" s="493">
        <f t="shared" si="157"/>
        <v>1269964.8</v>
      </c>
      <c r="AG1279" s="474" t="s">
        <v>1071</v>
      </c>
      <c r="AH1279" s="447"/>
      <c r="AI1279" s="474">
        <v>60</v>
      </c>
      <c r="AJ1279" s="474" t="s">
        <v>3816</v>
      </c>
      <c r="AK1279" s="474" t="s">
        <v>1138</v>
      </c>
      <c r="AL1279" s="494">
        <v>11779</v>
      </c>
      <c r="AM1279" s="474" t="s">
        <v>52</v>
      </c>
      <c r="AN1279" s="474"/>
      <c r="AO1279" s="474"/>
      <c r="AP1279" s="474"/>
      <c r="AQ1279" s="482" t="s">
        <v>37</v>
      </c>
      <c r="AR1279" s="474"/>
      <c r="AS1279" s="387"/>
      <c r="AT1279" s="387"/>
      <c r="AU1279" s="387"/>
      <c r="AV1279" s="472"/>
    </row>
    <row r="1280" spans="1:48" s="471" customFormat="1" ht="15" customHeight="1">
      <c r="A1280" s="278"/>
      <c r="B1280" s="279"/>
      <c r="C1280" s="279"/>
      <c r="D1280" s="405" t="s">
        <v>3678</v>
      </c>
      <c r="E1280" s="307" t="s">
        <v>1097</v>
      </c>
      <c r="F1280" s="501"/>
      <c r="G1280" s="501"/>
      <c r="H1280" s="501"/>
      <c r="I1280" s="501" t="s">
        <v>1286</v>
      </c>
      <c r="J1280" s="502"/>
      <c r="K1280" s="524" t="s">
        <v>5158</v>
      </c>
      <c r="L1280" s="538" t="s">
        <v>3747</v>
      </c>
      <c r="M1280" s="502">
        <v>44613</v>
      </c>
      <c r="N1280" s="502">
        <v>44774</v>
      </c>
      <c r="O1280" s="502"/>
      <c r="P1280" s="502"/>
      <c r="Q1280" s="502"/>
      <c r="R1280" s="502"/>
      <c r="S1280" s="501" t="s">
        <v>1102</v>
      </c>
      <c r="T1280" s="501">
        <v>60</v>
      </c>
      <c r="U1280" s="501"/>
      <c r="V1280" s="501" t="s">
        <v>986</v>
      </c>
      <c r="W1280" s="505">
        <v>360</v>
      </c>
      <c r="X1280" s="403">
        <v>6656</v>
      </c>
      <c r="Y1280" s="477">
        <f t="shared" si="155"/>
        <v>2396160</v>
      </c>
      <c r="Z1280" s="478">
        <v>0.53</v>
      </c>
      <c r="AA1280" s="479">
        <f>Z1280*Y1280</f>
        <v>1269964.8</v>
      </c>
      <c r="AB1280" s="386"/>
      <c r="AC1280" s="481"/>
      <c r="AD1280" s="474"/>
      <c r="AE1280" s="482"/>
      <c r="AF1280" s="493">
        <f t="shared" si="157"/>
        <v>1269964.8</v>
      </c>
      <c r="AG1280" s="474" t="s">
        <v>1071</v>
      </c>
      <c r="AH1280" s="447"/>
      <c r="AI1280" s="474">
        <v>60</v>
      </c>
      <c r="AJ1280" s="474" t="s">
        <v>3816</v>
      </c>
      <c r="AK1280" s="474" t="s">
        <v>1138</v>
      </c>
      <c r="AL1280" s="494">
        <v>11779</v>
      </c>
      <c r="AM1280" s="474" t="s">
        <v>52</v>
      </c>
      <c r="AN1280" s="474"/>
      <c r="AO1280" s="474"/>
      <c r="AP1280" s="474"/>
      <c r="AQ1280" s="482" t="s">
        <v>37</v>
      </c>
      <c r="AR1280" s="474"/>
      <c r="AS1280" s="387"/>
      <c r="AT1280" s="387"/>
      <c r="AU1280" s="387"/>
      <c r="AV1280" s="472"/>
    </row>
    <row r="1281" spans="1:48" s="471" customFormat="1" ht="15" customHeight="1">
      <c r="A1281" s="278"/>
      <c r="B1281" s="279"/>
      <c r="C1281" s="279"/>
      <c r="D1281" s="405" t="s">
        <v>3678</v>
      </c>
      <c r="E1281" s="307" t="s">
        <v>1097</v>
      </c>
      <c r="F1281" s="501"/>
      <c r="G1281" s="501"/>
      <c r="H1281" s="501"/>
      <c r="I1281" s="501" t="s">
        <v>1286</v>
      </c>
      <c r="J1281" s="502"/>
      <c r="K1281" s="524" t="s">
        <v>5159</v>
      </c>
      <c r="L1281" s="538" t="s">
        <v>3747</v>
      </c>
      <c r="M1281" s="502">
        <v>44613</v>
      </c>
      <c r="N1281" s="502">
        <v>44743</v>
      </c>
      <c r="O1281" s="502"/>
      <c r="P1281" s="502"/>
      <c r="Q1281" s="502"/>
      <c r="R1281" s="502"/>
      <c r="S1281" s="501" t="s">
        <v>1102</v>
      </c>
      <c r="T1281" s="501">
        <v>60</v>
      </c>
      <c r="U1281" s="501"/>
      <c r="V1281" s="501" t="s">
        <v>986</v>
      </c>
      <c r="W1281" s="505">
        <v>360</v>
      </c>
      <c r="X1281" s="403">
        <v>6656</v>
      </c>
      <c r="Y1281" s="477">
        <f t="shared" si="155"/>
        <v>2396160</v>
      </c>
      <c r="Z1281" s="478">
        <v>0.53</v>
      </c>
      <c r="AA1281" s="479">
        <f>Z1281*Y1281</f>
        <v>1269964.8</v>
      </c>
      <c r="AB1281" s="386"/>
      <c r="AC1281" s="481"/>
      <c r="AD1281" s="474"/>
      <c r="AE1281" s="482"/>
      <c r="AF1281" s="493">
        <f t="shared" si="157"/>
        <v>1269964.8</v>
      </c>
      <c r="AG1281" s="474" t="s">
        <v>1071</v>
      </c>
      <c r="AH1281" s="447"/>
      <c r="AI1281" s="474">
        <v>60</v>
      </c>
      <c r="AJ1281" s="474" t="s">
        <v>3816</v>
      </c>
      <c r="AK1281" s="474" t="s">
        <v>1138</v>
      </c>
      <c r="AL1281" s="494">
        <v>11779</v>
      </c>
      <c r="AM1281" s="474" t="s">
        <v>52</v>
      </c>
      <c r="AN1281" s="474"/>
      <c r="AO1281" s="474"/>
      <c r="AP1281" s="474"/>
      <c r="AQ1281" s="482" t="s">
        <v>37</v>
      </c>
      <c r="AR1281" s="474"/>
      <c r="AS1281" s="387"/>
      <c r="AT1281" s="387"/>
      <c r="AU1281" s="387"/>
      <c r="AV1281" s="472"/>
    </row>
    <row r="1282" spans="1:48" s="471" customFormat="1" ht="15" customHeight="1">
      <c r="A1282" s="278"/>
      <c r="B1282" s="279"/>
      <c r="C1282" s="289"/>
      <c r="D1282" s="405" t="s">
        <v>3678</v>
      </c>
      <c r="E1282" s="300" t="s">
        <v>5160</v>
      </c>
      <c r="F1282" s="501"/>
      <c r="G1282" s="501">
        <v>2022</v>
      </c>
      <c r="H1282" s="501">
        <v>4</v>
      </c>
      <c r="I1282" s="382"/>
      <c r="J1282" s="502"/>
      <c r="K1282" s="501" t="s">
        <v>3871</v>
      </c>
      <c r="L1282" s="502" t="s">
        <v>3697</v>
      </c>
      <c r="M1282" s="502">
        <v>44656</v>
      </c>
      <c r="N1282" s="502">
        <v>44656</v>
      </c>
      <c r="O1282" s="502"/>
      <c r="P1282" s="502"/>
      <c r="Q1282" s="502"/>
      <c r="R1282" s="502"/>
      <c r="S1282" s="501" t="s">
        <v>1102</v>
      </c>
      <c r="T1282" s="501">
        <v>60</v>
      </c>
      <c r="U1282" s="501"/>
      <c r="V1282" s="501" t="s">
        <v>973</v>
      </c>
      <c r="W1282" s="505">
        <v>360</v>
      </c>
      <c r="X1282" s="403">
        <v>768</v>
      </c>
      <c r="Y1282" s="477">
        <f t="shared" si="155"/>
        <v>276480</v>
      </c>
      <c r="Z1282" s="478">
        <v>0.47</v>
      </c>
      <c r="AA1282" s="479">
        <f>Y1282*Z1282</f>
        <v>129945.59999999999</v>
      </c>
      <c r="AB1282" s="386"/>
      <c r="AC1282" s="481">
        <f t="shared" ref="AC1282:AC1292" si="158">AB1282*Y1282</f>
        <v>0</v>
      </c>
      <c r="AD1282" s="474"/>
      <c r="AE1282" s="482"/>
      <c r="AF1282" s="493">
        <f t="shared" si="157"/>
        <v>129945.59999999999</v>
      </c>
      <c r="AG1282" s="474" t="s">
        <v>47</v>
      </c>
      <c r="AH1282" s="447"/>
      <c r="AI1282" s="474">
        <v>45</v>
      </c>
      <c r="AJ1282" s="474" t="s">
        <v>1950</v>
      </c>
      <c r="AK1282" s="474" t="s">
        <v>50</v>
      </c>
      <c r="AL1282" s="494">
        <v>91761</v>
      </c>
      <c r="AM1282" s="474" t="s">
        <v>52</v>
      </c>
      <c r="AN1282" s="474"/>
      <c r="AO1282" s="474"/>
      <c r="AP1282" s="474" t="s">
        <v>38</v>
      </c>
      <c r="AQ1282" s="482" t="s">
        <v>37</v>
      </c>
      <c r="AR1282" s="474"/>
      <c r="AS1282" s="387" t="s">
        <v>1152</v>
      </c>
      <c r="AT1282" s="387" t="s">
        <v>1076</v>
      </c>
      <c r="AU1282" s="387" t="s">
        <v>1076</v>
      </c>
      <c r="AV1282" s="472"/>
    </row>
    <row r="1283" spans="1:48" s="471" customFormat="1" ht="15" customHeight="1">
      <c r="A1283" s="278"/>
      <c r="B1283" s="279"/>
      <c r="C1283" s="289"/>
      <c r="D1283" s="405" t="s">
        <v>3678</v>
      </c>
      <c r="E1283" s="300" t="s">
        <v>5160</v>
      </c>
      <c r="F1283" s="501"/>
      <c r="G1283" s="501">
        <v>2022</v>
      </c>
      <c r="H1283" s="501">
        <v>4</v>
      </c>
      <c r="I1283" s="382"/>
      <c r="J1283" s="502"/>
      <c r="K1283" s="501" t="s">
        <v>3870</v>
      </c>
      <c r="L1283" s="502" t="s">
        <v>3697</v>
      </c>
      <c r="M1283" s="502">
        <v>44656</v>
      </c>
      <c r="N1283" s="502">
        <v>44656</v>
      </c>
      <c r="O1283" s="502"/>
      <c r="P1283" s="502"/>
      <c r="Q1283" s="502"/>
      <c r="R1283" s="502"/>
      <c r="S1283" s="501" t="s">
        <v>1102</v>
      </c>
      <c r="T1283" s="501">
        <v>60</v>
      </c>
      <c r="U1283" s="501"/>
      <c r="V1283" s="501" t="s">
        <v>973</v>
      </c>
      <c r="W1283" s="505">
        <v>360</v>
      </c>
      <c r="X1283" s="403">
        <v>768</v>
      </c>
      <c r="Y1283" s="477">
        <f t="shared" si="155"/>
        <v>276480</v>
      </c>
      <c r="Z1283" s="478">
        <v>0.47</v>
      </c>
      <c r="AA1283" s="479">
        <f>Y1283*Z1283</f>
        <v>129945.59999999999</v>
      </c>
      <c r="AB1283" s="386"/>
      <c r="AC1283" s="481">
        <f t="shared" si="158"/>
        <v>0</v>
      </c>
      <c r="AD1283" s="474"/>
      <c r="AE1283" s="482"/>
      <c r="AF1283" s="493">
        <f t="shared" si="157"/>
        <v>129945.59999999999</v>
      </c>
      <c r="AG1283" s="474" t="s">
        <v>47</v>
      </c>
      <c r="AH1283" s="447"/>
      <c r="AI1283" s="474">
        <v>45</v>
      </c>
      <c r="AJ1283" s="474" t="s">
        <v>3708</v>
      </c>
      <c r="AK1283" s="474" t="s">
        <v>50</v>
      </c>
      <c r="AL1283" s="494">
        <v>94551</v>
      </c>
      <c r="AM1283" s="474" t="s">
        <v>52</v>
      </c>
      <c r="AN1283" s="474"/>
      <c r="AO1283" s="474"/>
      <c r="AP1283" s="474" t="s">
        <v>38</v>
      </c>
      <c r="AQ1283" s="482" t="s">
        <v>37</v>
      </c>
      <c r="AR1283" s="474"/>
      <c r="AS1283" s="387" t="s">
        <v>1152</v>
      </c>
      <c r="AT1283" s="387" t="s">
        <v>1076</v>
      </c>
      <c r="AU1283" s="387" t="s">
        <v>1076</v>
      </c>
      <c r="AV1283" s="472"/>
    </row>
    <row r="1284" spans="1:48" s="471" customFormat="1" ht="15" customHeight="1">
      <c r="A1284" s="278"/>
      <c r="B1284" s="279"/>
      <c r="C1284" s="289"/>
      <c r="D1284" s="405" t="s">
        <v>3678</v>
      </c>
      <c r="E1284" s="300" t="s">
        <v>5160</v>
      </c>
      <c r="F1284" s="501"/>
      <c r="G1284" s="501">
        <v>2022</v>
      </c>
      <c r="H1284" s="501">
        <v>4</v>
      </c>
      <c r="I1284" s="382"/>
      <c r="J1284" s="502"/>
      <c r="K1284" s="501" t="s">
        <v>3869</v>
      </c>
      <c r="L1284" s="502" t="s">
        <v>3697</v>
      </c>
      <c r="M1284" s="502">
        <v>44656</v>
      </c>
      <c r="N1284" s="502">
        <v>44656</v>
      </c>
      <c r="O1284" s="502"/>
      <c r="P1284" s="502"/>
      <c r="Q1284" s="502"/>
      <c r="R1284" s="502"/>
      <c r="S1284" s="501" t="s">
        <v>1102</v>
      </c>
      <c r="T1284" s="501">
        <v>60</v>
      </c>
      <c r="U1284" s="501"/>
      <c r="V1284" s="501" t="s">
        <v>973</v>
      </c>
      <c r="W1284" s="505">
        <v>360</v>
      </c>
      <c r="X1284" s="403">
        <v>768</v>
      </c>
      <c r="Y1284" s="477">
        <f t="shared" si="155"/>
        <v>276480</v>
      </c>
      <c r="Z1284" s="478">
        <v>0.47</v>
      </c>
      <c r="AA1284" s="479">
        <f>Y1284*Z1284</f>
        <v>129945.59999999999</v>
      </c>
      <c r="AB1284" s="386"/>
      <c r="AC1284" s="481">
        <f t="shared" si="158"/>
        <v>0</v>
      </c>
      <c r="AD1284" s="474"/>
      <c r="AE1284" s="482"/>
      <c r="AF1284" s="493">
        <f t="shared" si="157"/>
        <v>129945.59999999999</v>
      </c>
      <c r="AG1284" s="474" t="s">
        <v>47</v>
      </c>
      <c r="AH1284" s="447"/>
      <c r="AI1284" s="474">
        <v>45</v>
      </c>
      <c r="AJ1284" s="474" t="s">
        <v>1790</v>
      </c>
      <c r="AK1284" s="474" t="s">
        <v>50</v>
      </c>
      <c r="AL1284" s="494">
        <v>95827</v>
      </c>
      <c r="AM1284" s="474" t="s">
        <v>52</v>
      </c>
      <c r="AN1284" s="474"/>
      <c r="AO1284" s="474"/>
      <c r="AP1284" s="474" t="s">
        <v>38</v>
      </c>
      <c r="AQ1284" s="482" t="s">
        <v>37</v>
      </c>
      <c r="AR1284" s="474"/>
      <c r="AS1284" s="387" t="s">
        <v>1152</v>
      </c>
      <c r="AT1284" s="387" t="s">
        <v>1076</v>
      </c>
      <c r="AU1284" s="387" t="s">
        <v>1076</v>
      </c>
      <c r="AV1284" s="472"/>
    </row>
    <row r="1285" spans="1:48" s="471" customFormat="1" ht="15" customHeight="1">
      <c r="A1285" s="278"/>
      <c r="B1285" s="279"/>
      <c r="C1285" s="289"/>
      <c r="D1285" s="405" t="s">
        <v>3678</v>
      </c>
      <c r="E1285" s="300" t="s">
        <v>5160</v>
      </c>
      <c r="F1285" s="501"/>
      <c r="G1285" s="501">
        <v>2022</v>
      </c>
      <c r="H1285" s="501">
        <v>4</v>
      </c>
      <c r="I1285" s="382"/>
      <c r="J1285" s="502"/>
      <c r="K1285" s="501" t="s">
        <v>3868</v>
      </c>
      <c r="L1285" s="502" t="s">
        <v>3697</v>
      </c>
      <c r="M1285" s="502">
        <v>44656</v>
      </c>
      <c r="N1285" s="502">
        <v>44656</v>
      </c>
      <c r="O1285" s="502"/>
      <c r="P1285" s="502"/>
      <c r="Q1285" s="502"/>
      <c r="R1285" s="502"/>
      <c r="S1285" s="501" t="s">
        <v>1102</v>
      </c>
      <c r="T1285" s="501">
        <v>60</v>
      </c>
      <c r="U1285" s="501"/>
      <c r="V1285" s="501" t="s">
        <v>973</v>
      </c>
      <c r="W1285" s="505">
        <v>360</v>
      </c>
      <c r="X1285" s="403">
        <v>768</v>
      </c>
      <c r="Y1285" s="477">
        <f t="shared" si="155"/>
        <v>276480</v>
      </c>
      <c r="Z1285" s="478">
        <v>0.47</v>
      </c>
      <c r="AA1285" s="479">
        <f>Y1285*Z1285</f>
        <v>129945.59999999999</v>
      </c>
      <c r="AB1285" s="386"/>
      <c r="AC1285" s="481">
        <f t="shared" si="158"/>
        <v>0</v>
      </c>
      <c r="AD1285" s="474"/>
      <c r="AE1285" s="482"/>
      <c r="AF1285" s="493">
        <f t="shared" si="157"/>
        <v>129945.59999999999</v>
      </c>
      <c r="AG1285" s="474" t="s">
        <v>47</v>
      </c>
      <c r="AH1285" s="447"/>
      <c r="AI1285" s="474">
        <v>45</v>
      </c>
      <c r="AJ1285" s="474" t="s">
        <v>1777</v>
      </c>
      <c r="AK1285" s="474" t="s">
        <v>50</v>
      </c>
      <c r="AL1285" s="494">
        <v>93308</v>
      </c>
      <c r="AM1285" s="474" t="s">
        <v>52</v>
      </c>
      <c r="AN1285" s="474"/>
      <c r="AO1285" s="474"/>
      <c r="AP1285" s="474" t="s">
        <v>38</v>
      </c>
      <c r="AQ1285" s="482" t="s">
        <v>37</v>
      </c>
      <c r="AR1285" s="474"/>
      <c r="AS1285" s="387" t="s">
        <v>1152</v>
      </c>
      <c r="AT1285" s="387" t="s">
        <v>1076</v>
      </c>
      <c r="AU1285" s="387" t="s">
        <v>1076</v>
      </c>
      <c r="AV1285" s="472"/>
    </row>
    <row r="1286" spans="1:48" s="471" customFormat="1">
      <c r="A1286" s="287"/>
      <c r="B1286" s="279"/>
      <c r="C1286" s="289"/>
      <c r="D1286" s="405" t="s">
        <v>3678</v>
      </c>
      <c r="E1286" s="300" t="s">
        <v>5160</v>
      </c>
      <c r="F1286" s="501"/>
      <c r="G1286" s="501">
        <v>2022</v>
      </c>
      <c r="H1286" s="501">
        <v>4</v>
      </c>
      <c r="I1286" s="382"/>
      <c r="J1286" s="502"/>
      <c r="K1286" s="501" t="s">
        <v>3980</v>
      </c>
      <c r="L1286" s="502" t="s">
        <v>3697</v>
      </c>
      <c r="M1286" s="502">
        <v>44656</v>
      </c>
      <c r="N1286" s="502">
        <v>44656</v>
      </c>
      <c r="O1286" s="502"/>
      <c r="P1286" s="502"/>
      <c r="Q1286" s="502"/>
      <c r="R1286" s="502"/>
      <c r="S1286" s="501" t="s">
        <v>1102</v>
      </c>
      <c r="T1286" s="501">
        <v>60</v>
      </c>
      <c r="U1286" s="501"/>
      <c r="V1286" s="501" t="s">
        <v>973</v>
      </c>
      <c r="W1286" s="505">
        <v>400</v>
      </c>
      <c r="X1286" s="403">
        <v>768</v>
      </c>
      <c r="Y1286" s="477">
        <f t="shared" si="155"/>
        <v>307200</v>
      </c>
      <c r="Z1286" s="478">
        <v>0.48</v>
      </c>
      <c r="AA1286" s="479">
        <f>Y1286*Z1286</f>
        <v>147456</v>
      </c>
      <c r="AB1286" s="386"/>
      <c r="AC1286" s="481">
        <f t="shared" si="158"/>
        <v>0</v>
      </c>
      <c r="AD1286" s="474"/>
      <c r="AE1286" s="482"/>
      <c r="AF1286" s="493">
        <f t="shared" si="157"/>
        <v>147456</v>
      </c>
      <c r="AG1286" s="474" t="s">
        <v>47</v>
      </c>
      <c r="AH1286" s="447"/>
      <c r="AI1286" s="474">
        <v>45</v>
      </c>
      <c r="AJ1286" s="474" t="s">
        <v>3700</v>
      </c>
      <c r="AK1286" s="474" t="s">
        <v>1117</v>
      </c>
      <c r="AL1286" s="494">
        <v>60517</v>
      </c>
      <c r="AM1286" s="474" t="s">
        <v>52</v>
      </c>
      <c r="AN1286" s="474"/>
      <c r="AO1286" s="474"/>
      <c r="AP1286" s="474" t="s">
        <v>38</v>
      </c>
      <c r="AQ1286" s="482" t="s">
        <v>37</v>
      </c>
      <c r="AR1286" s="474"/>
      <c r="AS1286" s="400" t="s">
        <v>1152</v>
      </c>
      <c r="AT1286" s="387" t="s">
        <v>1076</v>
      </c>
      <c r="AU1286" s="387" t="s">
        <v>1076</v>
      </c>
      <c r="AV1286" s="472"/>
    </row>
    <row r="1287" spans="1:48" s="471" customFormat="1">
      <c r="A1287" s="287"/>
      <c r="B1287" s="279"/>
      <c r="C1287" s="279"/>
      <c r="D1287" s="405" t="s">
        <v>3678</v>
      </c>
      <c r="E1287" s="307" t="s">
        <v>5161</v>
      </c>
      <c r="F1287" s="501"/>
      <c r="G1287" s="501"/>
      <c r="H1287" s="501"/>
      <c r="I1287" s="382" t="s">
        <v>1286</v>
      </c>
      <c r="J1287" s="502"/>
      <c r="K1287" s="501" t="s">
        <v>5162</v>
      </c>
      <c r="L1287" s="502" t="s">
        <v>1368</v>
      </c>
      <c r="M1287" s="502">
        <v>44623</v>
      </c>
      <c r="N1287" s="502">
        <v>44623</v>
      </c>
      <c r="O1287" s="502"/>
      <c r="P1287" s="502"/>
      <c r="Q1287" s="502"/>
      <c r="R1287" s="502"/>
      <c r="S1287" s="501" t="s">
        <v>1102</v>
      </c>
      <c r="T1287" s="501">
        <v>60</v>
      </c>
      <c r="U1287" s="501"/>
      <c r="V1287" s="501" t="s">
        <v>973</v>
      </c>
      <c r="W1287" s="505">
        <v>400</v>
      </c>
      <c r="X1287" s="403">
        <v>832</v>
      </c>
      <c r="Y1287" s="477">
        <f t="shared" si="155"/>
        <v>332800</v>
      </c>
      <c r="Z1287" s="478">
        <v>0.55000000000000004</v>
      </c>
      <c r="AA1287" s="479">
        <f>Z1287*Y1287</f>
        <v>183040.00000000003</v>
      </c>
      <c r="AB1287" s="480"/>
      <c r="AC1287" s="481">
        <f t="shared" si="158"/>
        <v>0</v>
      </c>
      <c r="AD1287" s="474"/>
      <c r="AE1287" s="482"/>
      <c r="AF1287" s="493">
        <f t="shared" si="157"/>
        <v>183040.00000000003</v>
      </c>
      <c r="AG1287" s="474" t="s">
        <v>1071</v>
      </c>
      <c r="AH1287" s="447"/>
      <c r="AI1287" s="474">
        <v>60</v>
      </c>
      <c r="AJ1287" s="474" t="s">
        <v>1369</v>
      </c>
      <c r="AK1287" s="474" t="s">
        <v>1370</v>
      </c>
      <c r="AL1287" s="494">
        <v>5401</v>
      </c>
      <c r="AM1287" s="474" t="s">
        <v>52</v>
      </c>
      <c r="AN1287" s="474"/>
      <c r="AO1287" s="474"/>
      <c r="AP1287" s="474"/>
      <c r="AQ1287" s="482" t="s">
        <v>37</v>
      </c>
      <c r="AR1287" s="474"/>
      <c r="AS1287" s="400"/>
      <c r="AT1287" s="387"/>
      <c r="AU1287" s="387"/>
      <c r="AV1287" s="472"/>
    </row>
    <row r="1288" spans="1:48" s="471" customFormat="1">
      <c r="A1288" s="287"/>
      <c r="B1288" s="279">
        <v>44545</v>
      </c>
      <c r="C1288" s="279" t="s">
        <v>1211</v>
      </c>
      <c r="D1288" s="405" t="s">
        <v>3678</v>
      </c>
      <c r="E1288" s="305" t="s">
        <v>5089</v>
      </c>
      <c r="F1288" s="501"/>
      <c r="G1288" s="501">
        <v>2022</v>
      </c>
      <c r="H1288" s="501"/>
      <c r="I1288" s="501" t="s">
        <v>4982</v>
      </c>
      <c r="J1288" s="502"/>
      <c r="K1288" s="501" t="s">
        <v>5163</v>
      </c>
      <c r="L1288" s="502" t="s">
        <v>1187</v>
      </c>
      <c r="M1288" s="502">
        <v>44545</v>
      </c>
      <c r="N1288" s="502">
        <v>44713</v>
      </c>
      <c r="O1288" s="502"/>
      <c r="P1288" s="502"/>
      <c r="Q1288" s="502"/>
      <c r="R1288" s="502"/>
      <c r="S1288" s="501" t="s">
        <v>1102</v>
      </c>
      <c r="T1288" s="501">
        <v>60</v>
      </c>
      <c r="U1288" s="501"/>
      <c r="V1288" s="501" t="s">
        <v>973</v>
      </c>
      <c r="W1288" s="505">
        <v>400</v>
      </c>
      <c r="X1288" s="403">
        <v>10816</v>
      </c>
      <c r="Y1288" s="477">
        <f t="shared" si="155"/>
        <v>4326400</v>
      </c>
      <c r="Z1288" s="478">
        <v>0.52</v>
      </c>
      <c r="AA1288" s="479">
        <f>Y1288*Z1288</f>
        <v>2249728</v>
      </c>
      <c r="AB1288" s="480"/>
      <c r="AC1288" s="481">
        <f t="shared" si="158"/>
        <v>0</v>
      </c>
      <c r="AD1288" s="490"/>
      <c r="AE1288" s="482"/>
      <c r="AF1288" s="493">
        <f t="shared" si="157"/>
        <v>2249728</v>
      </c>
      <c r="AG1288" s="474" t="s">
        <v>1071</v>
      </c>
      <c r="AH1288" s="474"/>
      <c r="AI1288" s="474">
        <v>60</v>
      </c>
      <c r="AJ1288" s="474" t="s">
        <v>5091</v>
      </c>
      <c r="AK1288" s="474" t="s">
        <v>1096</v>
      </c>
      <c r="AL1288" s="494" t="s">
        <v>5092</v>
      </c>
      <c r="AM1288" s="474" t="s">
        <v>52</v>
      </c>
      <c r="AN1288" s="474"/>
      <c r="AO1288" s="474"/>
      <c r="AP1288" s="482"/>
      <c r="AQ1288" s="482" t="s">
        <v>37</v>
      </c>
      <c r="AR1288" s="474"/>
      <c r="AS1288" s="399" t="s">
        <v>1076</v>
      </c>
      <c r="AT1288" s="436" t="s">
        <v>1076</v>
      </c>
      <c r="AU1288" s="436" t="s">
        <v>1076</v>
      </c>
      <c r="AV1288" s="472"/>
    </row>
    <row r="1289" spans="1:48" s="471" customFormat="1">
      <c r="A1289" s="287"/>
      <c r="B1289" s="279">
        <v>44545</v>
      </c>
      <c r="C1289" s="279" t="s">
        <v>1211</v>
      </c>
      <c r="D1289" s="405" t="s">
        <v>3678</v>
      </c>
      <c r="E1289" s="305" t="s">
        <v>5164</v>
      </c>
      <c r="F1289" s="501"/>
      <c r="G1289" s="501">
        <v>2022</v>
      </c>
      <c r="H1289" s="501"/>
      <c r="I1289" s="501" t="s">
        <v>4982</v>
      </c>
      <c r="J1289" s="502"/>
      <c r="K1289" s="501" t="s">
        <v>5165</v>
      </c>
      <c r="L1289" s="502" t="s">
        <v>1187</v>
      </c>
      <c r="M1289" s="502">
        <v>44545</v>
      </c>
      <c r="N1289" s="502">
        <v>44655</v>
      </c>
      <c r="O1289" s="502"/>
      <c r="P1289" s="502"/>
      <c r="Q1289" s="502"/>
      <c r="R1289" s="502"/>
      <c r="S1289" s="501" t="s">
        <v>1102</v>
      </c>
      <c r="T1289" s="501">
        <v>60</v>
      </c>
      <c r="U1289" s="501"/>
      <c r="V1289" s="501" t="s">
        <v>973</v>
      </c>
      <c r="W1289" s="505">
        <v>400</v>
      </c>
      <c r="X1289" s="403">
        <f>8320-768-768</f>
        <v>6784</v>
      </c>
      <c r="Y1289" s="477">
        <f t="shared" si="155"/>
        <v>2713600</v>
      </c>
      <c r="Z1289" s="478">
        <v>0.52</v>
      </c>
      <c r="AA1289" s="479">
        <f>Y1289*Z1289</f>
        <v>1411072</v>
      </c>
      <c r="AB1289" s="480"/>
      <c r="AC1289" s="481">
        <f t="shared" si="158"/>
        <v>0</v>
      </c>
      <c r="AD1289" s="490"/>
      <c r="AE1289" s="482"/>
      <c r="AF1289" s="493">
        <f t="shared" si="157"/>
        <v>1411072</v>
      </c>
      <c r="AG1289" s="474" t="s">
        <v>1071</v>
      </c>
      <c r="AH1289" s="474"/>
      <c r="AI1289" s="474">
        <v>60</v>
      </c>
      <c r="AJ1289" s="474" t="s">
        <v>5091</v>
      </c>
      <c r="AK1289" s="474" t="s">
        <v>1096</v>
      </c>
      <c r="AL1289" s="494" t="s">
        <v>5092</v>
      </c>
      <c r="AM1289" s="474" t="s">
        <v>52</v>
      </c>
      <c r="AN1289" s="474"/>
      <c r="AO1289" s="474"/>
      <c r="AP1289" s="482"/>
      <c r="AQ1289" s="482" t="s">
        <v>37</v>
      </c>
      <c r="AR1289" s="474" t="s">
        <v>1248</v>
      </c>
      <c r="AS1289" s="399" t="s">
        <v>1076</v>
      </c>
      <c r="AT1289" s="436" t="s">
        <v>1076</v>
      </c>
      <c r="AU1289" s="436" t="s">
        <v>1076</v>
      </c>
      <c r="AV1289" s="478">
        <v>0.52</v>
      </c>
    </row>
    <row r="1290" spans="1:48" s="471" customFormat="1">
      <c r="A1290" s="287"/>
      <c r="B1290" s="279">
        <v>44545</v>
      </c>
      <c r="C1290" s="279" t="s">
        <v>1211</v>
      </c>
      <c r="D1290" s="405" t="s">
        <v>3678</v>
      </c>
      <c r="E1290" s="305" t="s">
        <v>5164</v>
      </c>
      <c r="F1290" s="501"/>
      <c r="G1290" s="501">
        <v>2022</v>
      </c>
      <c r="H1290" s="524">
        <v>5</v>
      </c>
      <c r="I1290" s="524" t="s">
        <v>5166</v>
      </c>
      <c r="J1290" s="502"/>
      <c r="K1290" s="501" t="s">
        <v>5165</v>
      </c>
      <c r="L1290" s="502" t="s">
        <v>1187</v>
      </c>
      <c r="M1290" s="502">
        <v>44545</v>
      </c>
      <c r="N1290" s="502">
        <v>44655</v>
      </c>
      <c r="O1290" s="502"/>
      <c r="P1290" s="502"/>
      <c r="Q1290" s="502"/>
      <c r="R1290" s="502"/>
      <c r="S1290" s="501" t="s">
        <v>1102</v>
      </c>
      <c r="T1290" s="501">
        <v>60</v>
      </c>
      <c r="U1290" s="501"/>
      <c r="V1290" s="501" t="s">
        <v>973</v>
      </c>
      <c r="W1290" s="505">
        <v>400</v>
      </c>
      <c r="X1290" s="403">
        <v>768</v>
      </c>
      <c r="Y1290" s="477">
        <f t="shared" si="155"/>
        <v>307200</v>
      </c>
      <c r="Z1290" s="478">
        <v>0.52</v>
      </c>
      <c r="AA1290" s="479">
        <f>Y1290*Z1290</f>
        <v>159744</v>
      </c>
      <c r="AB1290" s="480"/>
      <c r="AC1290" s="481">
        <f t="shared" si="158"/>
        <v>0</v>
      </c>
      <c r="AD1290" s="490"/>
      <c r="AE1290" s="482"/>
      <c r="AF1290" s="493">
        <f t="shared" si="157"/>
        <v>159744</v>
      </c>
      <c r="AG1290" s="474" t="s">
        <v>1071</v>
      </c>
      <c r="AH1290" s="474"/>
      <c r="AI1290" s="474">
        <v>60</v>
      </c>
      <c r="AJ1290" s="474" t="s">
        <v>5091</v>
      </c>
      <c r="AK1290" s="474" t="s">
        <v>1096</v>
      </c>
      <c r="AL1290" s="494" t="s">
        <v>5092</v>
      </c>
      <c r="AM1290" s="474" t="s">
        <v>52</v>
      </c>
      <c r="AN1290" s="474"/>
      <c r="AO1290" s="474"/>
      <c r="AP1290" s="482"/>
      <c r="AQ1290" s="482" t="s">
        <v>37</v>
      </c>
      <c r="AR1290" s="474" t="s">
        <v>1248</v>
      </c>
      <c r="AS1290" s="399" t="s">
        <v>1076</v>
      </c>
      <c r="AT1290" s="436" t="s">
        <v>1076</v>
      </c>
      <c r="AU1290" s="436" t="s">
        <v>1076</v>
      </c>
      <c r="AV1290" s="478">
        <v>0.52</v>
      </c>
    </row>
    <row r="1291" spans="1:48" s="471" customFormat="1" ht="15" customHeight="1">
      <c r="A1291" s="278"/>
      <c r="B1291" s="279">
        <v>44545</v>
      </c>
      <c r="C1291" s="279" t="s">
        <v>1211</v>
      </c>
      <c r="D1291" s="405" t="s">
        <v>3678</v>
      </c>
      <c r="E1291" s="305" t="s">
        <v>5164</v>
      </c>
      <c r="F1291" s="501"/>
      <c r="G1291" s="501">
        <v>2022</v>
      </c>
      <c r="H1291" s="524">
        <v>6</v>
      </c>
      <c r="I1291" s="524" t="s">
        <v>5166</v>
      </c>
      <c r="J1291" s="502"/>
      <c r="K1291" s="501" t="s">
        <v>5165</v>
      </c>
      <c r="L1291" s="502" t="s">
        <v>1187</v>
      </c>
      <c r="M1291" s="502">
        <v>44545</v>
      </c>
      <c r="N1291" s="502">
        <v>44655</v>
      </c>
      <c r="O1291" s="502"/>
      <c r="P1291" s="502"/>
      <c r="Q1291" s="502"/>
      <c r="R1291" s="502"/>
      <c r="S1291" s="501" t="s">
        <v>1102</v>
      </c>
      <c r="T1291" s="501">
        <v>60</v>
      </c>
      <c r="U1291" s="501"/>
      <c r="V1291" s="501" t="s">
        <v>973</v>
      </c>
      <c r="W1291" s="505">
        <v>400</v>
      </c>
      <c r="X1291" s="403">
        <v>768</v>
      </c>
      <c r="Y1291" s="477">
        <f t="shared" si="155"/>
        <v>307200</v>
      </c>
      <c r="Z1291" s="478">
        <v>0.52</v>
      </c>
      <c r="AA1291" s="479">
        <f>Y1291*Z1291</f>
        <v>159744</v>
      </c>
      <c r="AB1291" s="480"/>
      <c r="AC1291" s="481">
        <f t="shared" si="158"/>
        <v>0</v>
      </c>
      <c r="AD1291" s="490"/>
      <c r="AE1291" s="482"/>
      <c r="AF1291" s="493">
        <f t="shared" si="157"/>
        <v>159744</v>
      </c>
      <c r="AG1291" s="474" t="s">
        <v>1071</v>
      </c>
      <c r="AH1291" s="474"/>
      <c r="AI1291" s="474">
        <v>60</v>
      </c>
      <c r="AJ1291" s="474" t="s">
        <v>5091</v>
      </c>
      <c r="AK1291" s="474" t="s">
        <v>1096</v>
      </c>
      <c r="AL1291" s="494" t="s">
        <v>5092</v>
      </c>
      <c r="AM1291" s="474" t="s">
        <v>52</v>
      </c>
      <c r="AN1291" s="474"/>
      <c r="AO1291" s="474"/>
      <c r="AP1291" s="482"/>
      <c r="AQ1291" s="482" t="s">
        <v>37</v>
      </c>
      <c r="AR1291" s="474" t="s">
        <v>1248</v>
      </c>
      <c r="AS1291" s="472" t="s">
        <v>1076</v>
      </c>
      <c r="AT1291" s="436" t="s">
        <v>1076</v>
      </c>
      <c r="AU1291" s="436" t="s">
        <v>1076</v>
      </c>
      <c r="AV1291" s="478">
        <v>0.52</v>
      </c>
    </row>
    <row r="1292" spans="1:48" s="471" customFormat="1" ht="15" customHeight="1">
      <c r="A1292" s="278"/>
      <c r="B1292" s="279">
        <v>44547</v>
      </c>
      <c r="C1292" s="279">
        <v>44586</v>
      </c>
      <c r="D1292" s="308" t="s">
        <v>3678</v>
      </c>
      <c r="E1292" s="309" t="s">
        <v>1283</v>
      </c>
      <c r="F1292" s="558"/>
      <c r="G1292" s="558">
        <v>2022</v>
      </c>
      <c r="H1292" s="558"/>
      <c r="I1292" s="310" t="s">
        <v>1286</v>
      </c>
      <c r="J1292" s="559"/>
      <c r="K1292" s="558">
        <v>179889</v>
      </c>
      <c r="L1292" s="558" t="s">
        <v>1101</v>
      </c>
      <c r="M1292" s="502">
        <v>44546</v>
      </c>
      <c r="N1292" s="502">
        <v>44576</v>
      </c>
      <c r="O1292" s="502"/>
      <c r="P1292" s="502"/>
      <c r="Q1292" s="502"/>
      <c r="R1292" s="502"/>
      <c r="S1292" s="501" t="s">
        <v>1102</v>
      </c>
      <c r="T1292" s="501">
        <v>60</v>
      </c>
      <c r="U1292" s="501"/>
      <c r="V1292" s="501" t="s">
        <v>973</v>
      </c>
      <c r="W1292" s="501">
        <v>400</v>
      </c>
      <c r="X1292" s="401">
        <v>768</v>
      </c>
      <c r="Y1292" s="477">
        <f t="shared" si="155"/>
        <v>307200</v>
      </c>
      <c r="Z1292" s="478">
        <v>0.53</v>
      </c>
      <c r="AA1292" s="479">
        <f>Z1292*Y1292</f>
        <v>162816</v>
      </c>
      <c r="AB1292" s="386"/>
      <c r="AC1292" s="481">
        <f t="shared" si="158"/>
        <v>0</v>
      </c>
      <c r="AD1292" s="474"/>
      <c r="AE1292" s="482"/>
      <c r="AF1292" s="493">
        <f t="shared" si="157"/>
        <v>162816</v>
      </c>
      <c r="AG1292" s="474" t="s">
        <v>47</v>
      </c>
      <c r="AH1292" s="447">
        <v>10</v>
      </c>
      <c r="AI1292" s="474">
        <v>30</v>
      </c>
      <c r="AJ1292" s="474" t="s">
        <v>3684</v>
      </c>
      <c r="AK1292" s="474" t="s">
        <v>50</v>
      </c>
      <c r="AL1292" s="494">
        <v>92590</v>
      </c>
      <c r="AM1292" s="474" t="s">
        <v>52</v>
      </c>
      <c r="AN1292" s="474"/>
      <c r="AO1292" s="474"/>
      <c r="AP1292" s="474"/>
      <c r="AQ1292" s="474" t="s">
        <v>1086</v>
      </c>
      <c r="AR1292" s="474"/>
      <c r="AS1292" s="387" t="s">
        <v>1075</v>
      </c>
      <c r="AT1292" s="387" t="s">
        <v>1075</v>
      </c>
      <c r="AU1292" s="387" t="s">
        <v>1075</v>
      </c>
      <c r="AV1292" s="472"/>
    </row>
    <row r="1293" spans="1:48" s="471" customFormat="1">
      <c r="A1293" s="495"/>
      <c r="B1293" s="495"/>
      <c r="C1293" s="495"/>
      <c r="D1293" s="501" t="s">
        <v>1066</v>
      </c>
      <c r="E1293" s="429" t="s">
        <v>1097</v>
      </c>
      <c r="F1293" s="501"/>
      <c r="G1293" s="510"/>
      <c r="H1293" s="501"/>
      <c r="I1293" s="501" t="s">
        <v>4982</v>
      </c>
      <c r="J1293" s="502"/>
      <c r="K1293" s="501" t="s">
        <v>4983</v>
      </c>
      <c r="L1293" s="501" t="s">
        <v>1313</v>
      </c>
      <c r="M1293" s="502">
        <v>44568</v>
      </c>
      <c r="N1293" s="502">
        <v>44753</v>
      </c>
      <c r="O1293" s="502"/>
      <c r="P1293" s="502"/>
      <c r="Q1293" s="502"/>
      <c r="R1293" s="502"/>
      <c r="S1293" s="510" t="s">
        <v>1114</v>
      </c>
      <c r="T1293" s="501">
        <v>60</v>
      </c>
      <c r="U1293" s="501"/>
      <c r="V1293" s="501" t="s">
        <v>973</v>
      </c>
      <c r="W1293" s="501">
        <v>400</v>
      </c>
      <c r="X1293" s="512">
        <v>6656</v>
      </c>
      <c r="Y1293" s="477">
        <f t="shared" si="155"/>
        <v>2662400</v>
      </c>
      <c r="Z1293" s="478">
        <v>0.52</v>
      </c>
      <c r="AA1293" s="479">
        <f t="shared" ref="AA1293:AA1300" si="159">Y1293*Z1293</f>
        <v>1384448</v>
      </c>
      <c r="AB1293" s="480"/>
      <c r="AC1293" s="481">
        <v>0</v>
      </c>
      <c r="AD1293" s="490"/>
      <c r="AE1293" s="482"/>
      <c r="AF1293" s="493">
        <f t="shared" si="157"/>
        <v>1384448</v>
      </c>
      <c r="AG1293" s="474" t="s">
        <v>1071</v>
      </c>
      <c r="AH1293" s="474"/>
      <c r="AI1293" s="474">
        <v>60</v>
      </c>
      <c r="AJ1293" s="474" t="s">
        <v>1314</v>
      </c>
      <c r="AK1293" s="474" t="s">
        <v>1125</v>
      </c>
      <c r="AL1293" s="494" t="s">
        <v>1315</v>
      </c>
      <c r="AM1293" s="474" t="s">
        <v>52</v>
      </c>
      <c r="AN1293" s="474" t="s">
        <v>1074</v>
      </c>
      <c r="AO1293" s="474"/>
      <c r="AP1293" s="482"/>
      <c r="AQ1293" s="482" t="s">
        <v>37</v>
      </c>
      <c r="AR1293" s="474" t="s">
        <v>1216</v>
      </c>
      <c r="AS1293" s="399" t="s">
        <v>1076</v>
      </c>
      <c r="AT1293" s="436"/>
      <c r="AU1293" s="436"/>
    </row>
    <row r="1294" spans="1:48" s="471" customFormat="1">
      <c r="A1294" s="495"/>
      <c r="B1294" s="495"/>
      <c r="C1294" s="495"/>
      <c r="D1294" s="501" t="s">
        <v>1066</v>
      </c>
      <c r="E1294" s="429" t="s">
        <v>1097</v>
      </c>
      <c r="F1294" s="501"/>
      <c r="G1294" s="510"/>
      <c r="H1294" s="501"/>
      <c r="I1294" s="501" t="s">
        <v>4982</v>
      </c>
      <c r="J1294" s="502"/>
      <c r="K1294" s="501" t="s">
        <v>4984</v>
      </c>
      <c r="L1294" s="501" t="s">
        <v>1313</v>
      </c>
      <c r="M1294" s="502">
        <v>44568</v>
      </c>
      <c r="N1294" s="502">
        <v>44784</v>
      </c>
      <c r="O1294" s="502"/>
      <c r="P1294" s="502"/>
      <c r="Q1294" s="502"/>
      <c r="R1294" s="502"/>
      <c r="S1294" s="510" t="s">
        <v>1114</v>
      </c>
      <c r="T1294" s="501">
        <v>60</v>
      </c>
      <c r="U1294" s="501"/>
      <c r="V1294" s="501" t="s">
        <v>973</v>
      </c>
      <c r="W1294" s="501">
        <v>400</v>
      </c>
      <c r="X1294" s="512">
        <v>6656</v>
      </c>
      <c r="Y1294" s="477">
        <f t="shared" si="155"/>
        <v>2662400</v>
      </c>
      <c r="Z1294" s="478">
        <v>0.52</v>
      </c>
      <c r="AA1294" s="479">
        <f t="shared" si="159"/>
        <v>1384448</v>
      </c>
      <c r="AB1294" s="480"/>
      <c r="AC1294" s="481">
        <v>0</v>
      </c>
      <c r="AD1294" s="490"/>
      <c r="AE1294" s="482"/>
      <c r="AF1294" s="493">
        <f t="shared" si="157"/>
        <v>1384448</v>
      </c>
      <c r="AG1294" s="474" t="s">
        <v>1071</v>
      </c>
      <c r="AH1294" s="474"/>
      <c r="AI1294" s="474">
        <v>60</v>
      </c>
      <c r="AJ1294" s="474" t="s">
        <v>1314</v>
      </c>
      <c r="AK1294" s="474" t="s">
        <v>1125</v>
      </c>
      <c r="AL1294" s="494" t="s">
        <v>1315</v>
      </c>
      <c r="AM1294" s="474" t="s">
        <v>52</v>
      </c>
      <c r="AN1294" s="474" t="s">
        <v>1074</v>
      </c>
      <c r="AO1294" s="474"/>
      <c r="AP1294" s="482"/>
      <c r="AQ1294" s="482" t="s">
        <v>37</v>
      </c>
      <c r="AR1294" s="474" t="s">
        <v>1216</v>
      </c>
      <c r="AS1294" s="399" t="s">
        <v>1076</v>
      </c>
      <c r="AT1294" s="436"/>
      <c r="AU1294" s="436"/>
    </row>
    <row r="1295" spans="1:48" s="471" customFormat="1">
      <c r="A1295" s="495"/>
      <c r="B1295" s="495"/>
      <c r="C1295" s="495"/>
      <c r="D1295" s="501" t="s">
        <v>1066</v>
      </c>
      <c r="E1295" s="429" t="s">
        <v>1097</v>
      </c>
      <c r="F1295" s="501"/>
      <c r="G1295" s="510"/>
      <c r="H1295" s="501"/>
      <c r="I1295" s="501" t="s">
        <v>4982</v>
      </c>
      <c r="J1295" s="502"/>
      <c r="K1295" s="501" t="s">
        <v>4985</v>
      </c>
      <c r="L1295" s="501" t="s">
        <v>1313</v>
      </c>
      <c r="M1295" s="502">
        <v>44568</v>
      </c>
      <c r="N1295" s="502">
        <v>44815</v>
      </c>
      <c r="O1295" s="502"/>
      <c r="P1295" s="502"/>
      <c r="Q1295" s="502"/>
      <c r="R1295" s="502"/>
      <c r="S1295" s="510" t="s">
        <v>1114</v>
      </c>
      <c r="T1295" s="501">
        <v>60</v>
      </c>
      <c r="U1295" s="501"/>
      <c r="V1295" s="501" t="s">
        <v>973</v>
      </c>
      <c r="W1295" s="501">
        <v>400</v>
      </c>
      <c r="X1295" s="512">
        <v>6656</v>
      </c>
      <c r="Y1295" s="477">
        <f t="shared" si="155"/>
        <v>2662400</v>
      </c>
      <c r="Z1295" s="478">
        <v>0.52</v>
      </c>
      <c r="AA1295" s="479">
        <f t="shared" si="159"/>
        <v>1384448</v>
      </c>
      <c r="AB1295" s="480"/>
      <c r="AC1295" s="481">
        <v>0</v>
      </c>
      <c r="AD1295" s="490"/>
      <c r="AE1295" s="482"/>
      <c r="AF1295" s="493">
        <f t="shared" si="157"/>
        <v>1384448</v>
      </c>
      <c r="AG1295" s="474" t="s">
        <v>1071</v>
      </c>
      <c r="AH1295" s="474"/>
      <c r="AI1295" s="474">
        <v>60</v>
      </c>
      <c r="AJ1295" s="474" t="s">
        <v>1314</v>
      </c>
      <c r="AK1295" s="474" t="s">
        <v>1125</v>
      </c>
      <c r="AL1295" s="494" t="s">
        <v>1315</v>
      </c>
      <c r="AM1295" s="474" t="s">
        <v>52</v>
      </c>
      <c r="AN1295" s="474" t="s">
        <v>1074</v>
      </c>
      <c r="AO1295" s="474"/>
      <c r="AP1295" s="482"/>
      <c r="AQ1295" s="482" t="s">
        <v>37</v>
      </c>
      <c r="AR1295" s="474" t="s">
        <v>1216</v>
      </c>
      <c r="AS1295" s="399" t="s">
        <v>1076</v>
      </c>
      <c r="AT1295" s="436"/>
      <c r="AU1295" s="436"/>
    </row>
    <row r="1296" spans="1:48" s="471" customFormat="1">
      <c r="A1296" s="495"/>
      <c r="B1296" s="495"/>
      <c r="C1296" s="495"/>
      <c r="D1296" s="501" t="s">
        <v>1066</v>
      </c>
      <c r="E1296" s="429" t="s">
        <v>1097</v>
      </c>
      <c r="F1296" s="501"/>
      <c r="G1296" s="510"/>
      <c r="H1296" s="501"/>
      <c r="I1296" s="501" t="s">
        <v>4982</v>
      </c>
      <c r="J1296" s="502"/>
      <c r="K1296" s="501" t="s">
        <v>4986</v>
      </c>
      <c r="L1296" s="501" t="s">
        <v>1313</v>
      </c>
      <c r="M1296" s="502">
        <v>44648</v>
      </c>
      <c r="N1296" s="502">
        <v>44743</v>
      </c>
      <c r="O1296" s="502"/>
      <c r="P1296" s="502"/>
      <c r="Q1296" s="502"/>
      <c r="R1296" s="502"/>
      <c r="S1296" s="510" t="s">
        <v>1114</v>
      </c>
      <c r="T1296" s="501">
        <v>60</v>
      </c>
      <c r="U1296" s="501"/>
      <c r="V1296" s="501" t="s">
        <v>973</v>
      </c>
      <c r="W1296" s="501">
        <v>400</v>
      </c>
      <c r="X1296" s="512">
        <v>1664</v>
      </c>
      <c r="Y1296" s="477">
        <f t="shared" ref="Y1296:Y1303" si="160">W1296*X1296</f>
        <v>665600</v>
      </c>
      <c r="Z1296" s="478">
        <v>0.52</v>
      </c>
      <c r="AA1296" s="479">
        <f t="shared" si="159"/>
        <v>346112</v>
      </c>
      <c r="AB1296" s="480"/>
      <c r="AC1296" s="481">
        <v>0</v>
      </c>
      <c r="AD1296" s="490"/>
      <c r="AE1296" s="482"/>
      <c r="AF1296" s="493">
        <f t="shared" si="157"/>
        <v>346112</v>
      </c>
      <c r="AG1296" s="474" t="s">
        <v>1071</v>
      </c>
      <c r="AH1296" s="474"/>
      <c r="AI1296" s="474">
        <v>60</v>
      </c>
      <c r="AJ1296" s="474" t="s">
        <v>1314</v>
      </c>
      <c r="AK1296" s="474" t="s">
        <v>1125</v>
      </c>
      <c r="AL1296" s="494" t="s">
        <v>1315</v>
      </c>
      <c r="AM1296" s="474" t="s">
        <v>52</v>
      </c>
      <c r="AN1296" s="474" t="s">
        <v>1074</v>
      </c>
      <c r="AO1296" s="474"/>
      <c r="AP1296" s="482"/>
      <c r="AQ1296" s="482" t="s">
        <v>37</v>
      </c>
      <c r="AR1296" s="474" t="s">
        <v>1216</v>
      </c>
      <c r="AS1296" s="399" t="s">
        <v>1076</v>
      </c>
      <c r="AT1296" s="436"/>
      <c r="AU1296" s="436"/>
    </row>
    <row r="1297" spans="1:47" s="471" customFormat="1">
      <c r="A1297" s="495"/>
      <c r="B1297" s="495"/>
      <c r="C1297" s="495"/>
      <c r="D1297" s="501" t="s">
        <v>1066</v>
      </c>
      <c r="E1297" s="429" t="s">
        <v>1097</v>
      </c>
      <c r="F1297" s="501"/>
      <c r="G1297" s="510"/>
      <c r="H1297" s="501"/>
      <c r="I1297" s="501" t="s">
        <v>4982</v>
      </c>
      <c r="J1297" s="502"/>
      <c r="K1297" s="501" t="s">
        <v>4987</v>
      </c>
      <c r="L1297" s="501" t="s">
        <v>1313</v>
      </c>
      <c r="M1297" s="502">
        <v>44648</v>
      </c>
      <c r="N1297" s="502">
        <v>44774</v>
      </c>
      <c r="O1297" s="502"/>
      <c r="P1297" s="502"/>
      <c r="Q1297" s="502"/>
      <c r="R1297" s="502"/>
      <c r="S1297" s="510" t="s">
        <v>1114</v>
      </c>
      <c r="T1297" s="501">
        <v>60</v>
      </c>
      <c r="U1297" s="501"/>
      <c r="V1297" s="501" t="s">
        <v>973</v>
      </c>
      <c r="W1297" s="501">
        <v>400</v>
      </c>
      <c r="X1297" s="512">
        <v>1664</v>
      </c>
      <c r="Y1297" s="477">
        <f t="shared" si="160"/>
        <v>665600</v>
      </c>
      <c r="Z1297" s="478">
        <v>0.52</v>
      </c>
      <c r="AA1297" s="479">
        <f t="shared" si="159"/>
        <v>346112</v>
      </c>
      <c r="AB1297" s="480"/>
      <c r="AC1297" s="481">
        <v>0</v>
      </c>
      <c r="AD1297" s="490"/>
      <c r="AE1297" s="482"/>
      <c r="AF1297" s="493">
        <f t="shared" si="157"/>
        <v>346112</v>
      </c>
      <c r="AG1297" s="474" t="s">
        <v>1071</v>
      </c>
      <c r="AH1297" s="474"/>
      <c r="AI1297" s="474">
        <v>60</v>
      </c>
      <c r="AJ1297" s="474" t="s">
        <v>1314</v>
      </c>
      <c r="AK1297" s="474" t="s">
        <v>1125</v>
      </c>
      <c r="AL1297" s="494" t="s">
        <v>1315</v>
      </c>
      <c r="AM1297" s="474" t="s">
        <v>52</v>
      </c>
      <c r="AN1297" s="474" t="s">
        <v>1074</v>
      </c>
      <c r="AO1297" s="474"/>
      <c r="AP1297" s="482"/>
      <c r="AQ1297" s="482" t="s">
        <v>37</v>
      </c>
      <c r="AR1297" s="474" t="s">
        <v>1216</v>
      </c>
      <c r="AS1297" s="399" t="s">
        <v>1076</v>
      </c>
      <c r="AT1297" s="436"/>
      <c r="AU1297" s="436"/>
    </row>
    <row r="1298" spans="1:47" s="471" customFormat="1">
      <c r="A1298" s="495"/>
      <c r="B1298" s="495"/>
      <c r="C1298" s="495"/>
      <c r="D1298" s="501" t="s">
        <v>1066</v>
      </c>
      <c r="E1298" s="429" t="s">
        <v>1097</v>
      </c>
      <c r="F1298" s="501"/>
      <c r="G1298" s="510"/>
      <c r="H1298" s="501"/>
      <c r="I1298" s="501" t="s">
        <v>4982</v>
      </c>
      <c r="J1298" s="502"/>
      <c r="K1298" s="501" t="s">
        <v>4988</v>
      </c>
      <c r="L1298" s="501" t="s">
        <v>1313</v>
      </c>
      <c r="M1298" s="502">
        <v>44648</v>
      </c>
      <c r="N1298" s="502">
        <v>44805</v>
      </c>
      <c r="O1298" s="502"/>
      <c r="P1298" s="502"/>
      <c r="Q1298" s="502"/>
      <c r="R1298" s="502"/>
      <c r="S1298" s="510" t="s">
        <v>1114</v>
      </c>
      <c r="T1298" s="501">
        <v>60</v>
      </c>
      <c r="U1298" s="501"/>
      <c r="V1298" s="501" t="s">
        <v>973</v>
      </c>
      <c r="W1298" s="501">
        <v>400</v>
      </c>
      <c r="X1298" s="512">
        <v>1664</v>
      </c>
      <c r="Y1298" s="477">
        <f t="shared" si="160"/>
        <v>665600</v>
      </c>
      <c r="Z1298" s="478">
        <v>0.52</v>
      </c>
      <c r="AA1298" s="479">
        <f t="shared" si="159"/>
        <v>346112</v>
      </c>
      <c r="AB1298" s="480"/>
      <c r="AC1298" s="481">
        <v>0</v>
      </c>
      <c r="AD1298" s="490"/>
      <c r="AE1298" s="482"/>
      <c r="AF1298" s="493">
        <f t="shared" si="157"/>
        <v>346112</v>
      </c>
      <c r="AG1298" s="474" t="s">
        <v>1071</v>
      </c>
      <c r="AH1298" s="474"/>
      <c r="AI1298" s="474">
        <v>60</v>
      </c>
      <c r="AJ1298" s="474" t="s">
        <v>1314</v>
      </c>
      <c r="AK1298" s="474" t="s">
        <v>1125</v>
      </c>
      <c r="AL1298" s="494" t="s">
        <v>1315</v>
      </c>
      <c r="AM1298" s="474" t="s">
        <v>52</v>
      </c>
      <c r="AN1298" s="474" t="s">
        <v>1074</v>
      </c>
      <c r="AO1298" s="474"/>
      <c r="AP1298" s="482"/>
      <c r="AQ1298" s="482" t="s">
        <v>37</v>
      </c>
      <c r="AR1298" s="474" t="s">
        <v>1216</v>
      </c>
      <c r="AS1298" s="399" t="s">
        <v>1076</v>
      </c>
      <c r="AT1298" s="436"/>
      <c r="AU1298" s="436"/>
    </row>
    <row r="1299" spans="1:47" s="471" customFormat="1">
      <c r="A1299" s="495"/>
      <c r="B1299" s="495"/>
      <c r="C1299" s="495"/>
      <c r="D1299" s="501" t="s">
        <v>1066</v>
      </c>
      <c r="E1299" s="429" t="s">
        <v>1097</v>
      </c>
      <c r="F1299" s="501"/>
      <c r="G1299" s="510"/>
      <c r="H1299" s="501"/>
      <c r="I1299" s="501" t="s">
        <v>4982</v>
      </c>
      <c r="J1299" s="502"/>
      <c r="K1299" s="501" t="s">
        <v>4989</v>
      </c>
      <c r="L1299" s="501" t="s">
        <v>1313</v>
      </c>
      <c r="M1299" s="502">
        <v>44648</v>
      </c>
      <c r="N1299" s="502">
        <v>44835</v>
      </c>
      <c r="O1299" s="502"/>
      <c r="P1299" s="502"/>
      <c r="Q1299" s="502"/>
      <c r="R1299" s="502"/>
      <c r="S1299" s="510" t="s">
        <v>1114</v>
      </c>
      <c r="T1299" s="501">
        <v>60</v>
      </c>
      <c r="U1299" s="501"/>
      <c r="V1299" s="501" t="s">
        <v>973</v>
      </c>
      <c r="W1299" s="501">
        <v>400</v>
      </c>
      <c r="X1299" s="512">
        <v>1664</v>
      </c>
      <c r="Y1299" s="477">
        <f t="shared" si="160"/>
        <v>665600</v>
      </c>
      <c r="Z1299" s="478">
        <v>0.52</v>
      </c>
      <c r="AA1299" s="479">
        <f t="shared" si="159"/>
        <v>346112</v>
      </c>
      <c r="AB1299" s="480"/>
      <c r="AC1299" s="481">
        <v>0</v>
      </c>
      <c r="AD1299" s="490"/>
      <c r="AE1299" s="482"/>
      <c r="AF1299" s="493">
        <f t="shared" si="157"/>
        <v>346112</v>
      </c>
      <c r="AG1299" s="474" t="s">
        <v>1071</v>
      </c>
      <c r="AH1299" s="474"/>
      <c r="AI1299" s="474">
        <v>60</v>
      </c>
      <c r="AJ1299" s="474" t="s">
        <v>1314</v>
      </c>
      <c r="AK1299" s="474" t="s">
        <v>1125</v>
      </c>
      <c r="AL1299" s="494" t="s">
        <v>1315</v>
      </c>
      <c r="AM1299" s="474" t="s">
        <v>52</v>
      </c>
      <c r="AN1299" s="474" t="s">
        <v>1074</v>
      </c>
      <c r="AO1299" s="474"/>
      <c r="AP1299" s="482"/>
      <c r="AQ1299" s="482" t="s">
        <v>37</v>
      </c>
      <c r="AR1299" s="474" t="s">
        <v>1216</v>
      </c>
      <c r="AS1299" s="399" t="s">
        <v>1076</v>
      </c>
      <c r="AT1299" s="436"/>
      <c r="AU1299" s="436"/>
    </row>
    <row r="1300" spans="1:47" s="471" customFormat="1">
      <c r="A1300" s="495"/>
      <c r="B1300" s="495"/>
      <c r="C1300" s="495"/>
      <c r="D1300" s="501" t="s">
        <v>1066</v>
      </c>
      <c r="E1300" s="429" t="s">
        <v>1097</v>
      </c>
      <c r="F1300" s="501"/>
      <c r="G1300" s="510"/>
      <c r="H1300" s="501"/>
      <c r="I1300" s="501" t="s">
        <v>4982</v>
      </c>
      <c r="J1300" s="502"/>
      <c r="K1300" s="501" t="s">
        <v>4990</v>
      </c>
      <c r="L1300" s="501" t="s">
        <v>1313</v>
      </c>
      <c r="M1300" s="502">
        <v>44648</v>
      </c>
      <c r="N1300" s="502">
        <v>44866</v>
      </c>
      <c r="O1300" s="502"/>
      <c r="P1300" s="502"/>
      <c r="Q1300" s="502"/>
      <c r="R1300" s="502"/>
      <c r="S1300" s="510" t="s">
        <v>1114</v>
      </c>
      <c r="T1300" s="501">
        <v>60</v>
      </c>
      <c r="U1300" s="501"/>
      <c r="V1300" s="501" t="s">
        <v>973</v>
      </c>
      <c r="W1300" s="501">
        <v>400</v>
      </c>
      <c r="X1300" s="512">
        <v>1664</v>
      </c>
      <c r="Y1300" s="477">
        <f t="shared" si="160"/>
        <v>665600</v>
      </c>
      <c r="Z1300" s="478">
        <v>0.52</v>
      </c>
      <c r="AA1300" s="479">
        <f t="shared" si="159"/>
        <v>346112</v>
      </c>
      <c r="AB1300" s="480"/>
      <c r="AC1300" s="481">
        <v>0</v>
      </c>
      <c r="AD1300" s="490"/>
      <c r="AE1300" s="482"/>
      <c r="AF1300" s="493">
        <f t="shared" si="157"/>
        <v>346112</v>
      </c>
      <c r="AG1300" s="474" t="s">
        <v>1071</v>
      </c>
      <c r="AH1300" s="474"/>
      <c r="AI1300" s="474">
        <v>60</v>
      </c>
      <c r="AJ1300" s="474" t="s">
        <v>1314</v>
      </c>
      <c r="AK1300" s="474" t="s">
        <v>1125</v>
      </c>
      <c r="AL1300" s="494" t="s">
        <v>1315</v>
      </c>
      <c r="AM1300" s="474" t="s">
        <v>52</v>
      </c>
      <c r="AN1300" s="474" t="s">
        <v>1074</v>
      </c>
      <c r="AO1300" s="474"/>
      <c r="AP1300" s="482"/>
      <c r="AQ1300" s="482" t="s">
        <v>37</v>
      </c>
      <c r="AR1300" s="474" t="s">
        <v>1216</v>
      </c>
      <c r="AS1300" s="399" t="s">
        <v>1076</v>
      </c>
      <c r="AT1300" s="436"/>
      <c r="AU1300" s="436"/>
    </row>
    <row r="1301" spans="1:47" s="471" customFormat="1">
      <c r="A1301" s="495"/>
      <c r="B1301" s="495"/>
      <c r="C1301" s="495"/>
      <c r="D1301" s="501" t="s">
        <v>1066</v>
      </c>
      <c r="E1301" s="429" t="s">
        <v>1097</v>
      </c>
      <c r="F1301" s="501"/>
      <c r="G1301" s="510"/>
      <c r="H1301" s="501"/>
      <c r="I1301" s="501" t="s">
        <v>4982</v>
      </c>
      <c r="J1301" s="502"/>
      <c r="K1301" s="501" t="s">
        <v>4991</v>
      </c>
      <c r="L1301" s="501" t="s">
        <v>1219</v>
      </c>
      <c r="M1301" s="502">
        <v>44551</v>
      </c>
      <c r="N1301" s="502">
        <v>44607</v>
      </c>
      <c r="O1301" s="502"/>
      <c r="P1301" s="502"/>
      <c r="Q1301" s="502"/>
      <c r="R1301" s="502"/>
      <c r="S1301" s="510" t="s">
        <v>1114</v>
      </c>
      <c r="T1301" s="501">
        <v>60</v>
      </c>
      <c r="U1301" s="501"/>
      <c r="V1301" s="501" t="s">
        <v>973</v>
      </c>
      <c r="W1301" s="501">
        <v>400</v>
      </c>
      <c r="X1301" s="512">
        <v>768</v>
      </c>
      <c r="Y1301" s="477">
        <f t="shared" ref="Y1301:Y1323" si="161">X1301*W1301</f>
        <v>307200</v>
      </c>
      <c r="Z1301" s="478">
        <v>0.52</v>
      </c>
      <c r="AA1301" s="479">
        <f t="shared" ref="AA1301:AA1364" si="162">Z1301*Y1301</f>
        <v>159744</v>
      </c>
      <c r="AB1301" s="480"/>
      <c r="AC1301" s="481">
        <f t="shared" ref="AC1301:AC1364" si="163">AB1301*Y1301</f>
        <v>0</v>
      </c>
      <c r="AD1301" s="490"/>
      <c r="AE1301" s="482"/>
      <c r="AF1301" s="493">
        <f t="shared" si="157"/>
        <v>159744</v>
      </c>
      <c r="AG1301" s="474" t="s">
        <v>1071</v>
      </c>
      <c r="AH1301" s="474">
        <v>0</v>
      </c>
      <c r="AI1301" s="474">
        <v>60</v>
      </c>
      <c r="AJ1301" s="474" t="s">
        <v>1220</v>
      </c>
      <c r="AK1301" s="474" t="s">
        <v>1221</v>
      </c>
      <c r="AL1301" s="494">
        <v>43125</v>
      </c>
      <c r="AM1301" s="474" t="s">
        <v>52</v>
      </c>
      <c r="AN1301" s="474" t="s">
        <v>1074</v>
      </c>
      <c r="AO1301" s="474"/>
      <c r="AP1301" s="482"/>
      <c r="AQ1301" s="482" t="s">
        <v>1086</v>
      </c>
      <c r="AR1301" s="474" t="s">
        <v>1216</v>
      </c>
      <c r="AS1301" s="399" t="s">
        <v>1075</v>
      </c>
      <c r="AT1301" s="436" t="s">
        <v>1087</v>
      </c>
      <c r="AU1301" s="436" t="s">
        <v>1076</v>
      </c>
    </row>
    <row r="1302" spans="1:47" s="471" customFormat="1">
      <c r="A1302" s="495"/>
      <c r="B1302" s="495"/>
      <c r="C1302" s="495"/>
      <c r="D1302" s="501" t="s">
        <v>1066</v>
      </c>
      <c r="E1302" s="429" t="s">
        <v>1364</v>
      </c>
      <c r="F1302" s="501"/>
      <c r="G1302" s="510"/>
      <c r="H1302" s="501"/>
      <c r="I1302" s="501" t="s">
        <v>1676</v>
      </c>
      <c r="J1302" s="502"/>
      <c r="K1302" s="501" t="s">
        <v>4992</v>
      </c>
      <c r="L1302" s="501" t="s">
        <v>1274</v>
      </c>
      <c r="M1302" s="502">
        <v>44543</v>
      </c>
      <c r="N1302" s="502">
        <v>44652</v>
      </c>
      <c r="O1302" s="502"/>
      <c r="P1302" s="502"/>
      <c r="Q1302" s="502"/>
      <c r="R1302" s="502"/>
      <c r="S1302" s="510" t="s">
        <v>1114</v>
      </c>
      <c r="T1302" s="501">
        <v>60</v>
      </c>
      <c r="U1302" s="501"/>
      <c r="V1302" s="501" t="s">
        <v>973</v>
      </c>
      <c r="W1302" s="501">
        <v>400</v>
      </c>
      <c r="X1302" s="512">
        <v>4608</v>
      </c>
      <c r="Y1302" s="477">
        <f t="shared" si="161"/>
        <v>1843200</v>
      </c>
      <c r="Z1302" s="478">
        <v>0.45500000000000002</v>
      </c>
      <c r="AA1302" s="479">
        <f t="shared" si="162"/>
        <v>838656</v>
      </c>
      <c r="AB1302" s="480"/>
      <c r="AC1302" s="481">
        <f t="shared" si="163"/>
        <v>0</v>
      </c>
      <c r="AD1302" s="490"/>
      <c r="AE1302" s="482"/>
      <c r="AF1302" s="493">
        <f t="shared" si="157"/>
        <v>838656</v>
      </c>
      <c r="AG1302" s="474" t="s">
        <v>1071</v>
      </c>
      <c r="AH1302" s="474"/>
      <c r="AI1302" s="474">
        <v>60</v>
      </c>
      <c r="AJ1302" s="474" t="s">
        <v>1275</v>
      </c>
      <c r="AK1302" s="474" t="s">
        <v>1276</v>
      </c>
      <c r="AL1302" s="494" t="s">
        <v>1277</v>
      </c>
      <c r="AM1302" s="474" t="s">
        <v>52</v>
      </c>
      <c r="AN1302" s="474" t="s">
        <v>1074</v>
      </c>
      <c r="AO1302" s="474"/>
      <c r="AP1302" s="482"/>
      <c r="AQ1302" s="482"/>
      <c r="AR1302" s="474" t="s">
        <v>1216</v>
      </c>
      <c r="AS1302" s="399"/>
      <c r="AT1302" s="436"/>
      <c r="AU1302" s="436"/>
    </row>
    <row r="1303" spans="1:47" s="471" customFormat="1">
      <c r="A1303" s="495"/>
      <c r="B1303" s="495"/>
      <c r="C1303" s="495"/>
      <c r="D1303" s="501" t="s">
        <v>1066</v>
      </c>
      <c r="E1303" s="429" t="s">
        <v>1364</v>
      </c>
      <c r="F1303" s="501"/>
      <c r="G1303" s="510"/>
      <c r="H1303" s="501"/>
      <c r="I1303" s="501" t="s">
        <v>1676</v>
      </c>
      <c r="J1303" s="502"/>
      <c r="K1303" s="501" t="s">
        <v>4993</v>
      </c>
      <c r="L1303" s="501" t="s">
        <v>1274</v>
      </c>
      <c r="M1303" s="502">
        <v>44543</v>
      </c>
      <c r="N1303" s="502">
        <v>44682</v>
      </c>
      <c r="O1303" s="502"/>
      <c r="P1303" s="502"/>
      <c r="Q1303" s="502"/>
      <c r="R1303" s="502"/>
      <c r="S1303" s="510" t="s">
        <v>1114</v>
      </c>
      <c r="T1303" s="501">
        <v>60</v>
      </c>
      <c r="U1303" s="501"/>
      <c r="V1303" s="501" t="s">
        <v>973</v>
      </c>
      <c r="W1303" s="501">
        <v>400</v>
      </c>
      <c r="X1303" s="512">
        <v>2304</v>
      </c>
      <c r="Y1303" s="477">
        <f t="shared" si="161"/>
        <v>921600</v>
      </c>
      <c r="Z1303" s="478">
        <v>0.45500000000000002</v>
      </c>
      <c r="AA1303" s="479">
        <f t="shared" si="162"/>
        <v>419328</v>
      </c>
      <c r="AB1303" s="480"/>
      <c r="AC1303" s="481">
        <f t="shared" si="163"/>
        <v>0</v>
      </c>
      <c r="AD1303" s="490"/>
      <c r="AE1303" s="482"/>
      <c r="AF1303" s="493">
        <f t="shared" si="157"/>
        <v>419328</v>
      </c>
      <c r="AG1303" s="474" t="s">
        <v>1071</v>
      </c>
      <c r="AH1303" s="474"/>
      <c r="AI1303" s="474">
        <v>60</v>
      </c>
      <c r="AJ1303" s="474" t="s">
        <v>1275</v>
      </c>
      <c r="AK1303" s="474" t="s">
        <v>1276</v>
      </c>
      <c r="AL1303" s="494" t="s">
        <v>1277</v>
      </c>
      <c r="AM1303" s="474" t="s">
        <v>52</v>
      </c>
      <c r="AN1303" s="474" t="s">
        <v>1074</v>
      </c>
      <c r="AO1303" s="474"/>
      <c r="AP1303" s="482"/>
      <c r="AQ1303" s="482"/>
      <c r="AR1303" s="474" t="s">
        <v>1216</v>
      </c>
      <c r="AS1303" s="399"/>
      <c r="AT1303" s="436"/>
      <c r="AU1303" s="436"/>
    </row>
    <row r="1304" spans="1:47" s="471" customFormat="1">
      <c r="A1304" s="495"/>
      <c r="B1304" s="495"/>
      <c r="C1304" s="495"/>
      <c r="D1304" s="501" t="s">
        <v>1066</v>
      </c>
      <c r="E1304" s="429" t="s">
        <v>1364</v>
      </c>
      <c r="F1304" s="501"/>
      <c r="G1304" s="510"/>
      <c r="H1304" s="501"/>
      <c r="I1304" s="501" t="s">
        <v>1676</v>
      </c>
      <c r="J1304" s="502"/>
      <c r="K1304" s="501" t="s">
        <v>4994</v>
      </c>
      <c r="L1304" s="501" t="s">
        <v>1274</v>
      </c>
      <c r="M1304" s="502">
        <v>44543</v>
      </c>
      <c r="N1304" s="502">
        <v>44713</v>
      </c>
      <c r="O1304" s="502"/>
      <c r="P1304" s="502"/>
      <c r="Q1304" s="502"/>
      <c r="R1304" s="502"/>
      <c r="S1304" s="510" t="s">
        <v>1114</v>
      </c>
      <c r="T1304" s="501">
        <v>60</v>
      </c>
      <c r="U1304" s="501"/>
      <c r="V1304" s="501" t="s">
        <v>973</v>
      </c>
      <c r="W1304" s="501">
        <v>400</v>
      </c>
      <c r="X1304" s="512">
        <v>3008</v>
      </c>
      <c r="Y1304" s="477">
        <f t="shared" si="161"/>
        <v>1203200</v>
      </c>
      <c r="Z1304" s="478">
        <v>0.45500000000000002</v>
      </c>
      <c r="AA1304" s="479">
        <f t="shared" si="162"/>
        <v>547456</v>
      </c>
      <c r="AB1304" s="480"/>
      <c r="AC1304" s="481">
        <f t="shared" si="163"/>
        <v>0</v>
      </c>
      <c r="AD1304" s="490"/>
      <c r="AE1304" s="482"/>
      <c r="AF1304" s="493">
        <f t="shared" si="157"/>
        <v>547456</v>
      </c>
      <c r="AG1304" s="474" t="s">
        <v>1071</v>
      </c>
      <c r="AH1304" s="474"/>
      <c r="AI1304" s="474">
        <v>60</v>
      </c>
      <c r="AJ1304" s="474" t="s">
        <v>1275</v>
      </c>
      <c r="AK1304" s="474" t="s">
        <v>1276</v>
      </c>
      <c r="AL1304" s="494" t="s">
        <v>1277</v>
      </c>
      <c r="AM1304" s="474" t="s">
        <v>52</v>
      </c>
      <c r="AN1304" s="474" t="s">
        <v>1074</v>
      </c>
      <c r="AO1304" s="474"/>
      <c r="AP1304" s="482"/>
      <c r="AQ1304" s="482"/>
      <c r="AR1304" s="474" t="s">
        <v>1216</v>
      </c>
      <c r="AS1304" s="399"/>
      <c r="AT1304" s="436"/>
      <c r="AU1304" s="436"/>
    </row>
    <row r="1305" spans="1:47" s="471" customFormat="1">
      <c r="A1305" s="495"/>
      <c r="B1305" s="495"/>
      <c r="C1305" s="495"/>
      <c r="D1305" s="501" t="s">
        <v>1066</v>
      </c>
      <c r="E1305" s="429" t="s">
        <v>1097</v>
      </c>
      <c r="F1305" s="501"/>
      <c r="G1305" s="510">
        <v>2022</v>
      </c>
      <c r="H1305" s="501">
        <v>5</v>
      </c>
      <c r="I1305" s="501"/>
      <c r="J1305" s="502"/>
      <c r="K1305" s="501" t="s">
        <v>4995</v>
      </c>
      <c r="L1305" s="501" t="s">
        <v>1213</v>
      </c>
      <c r="M1305" s="502">
        <v>44550</v>
      </c>
      <c r="N1305" s="502">
        <v>44652</v>
      </c>
      <c r="O1305" s="502"/>
      <c r="P1305" s="502" t="s">
        <v>1258</v>
      </c>
      <c r="Q1305" s="502"/>
      <c r="R1305" s="502"/>
      <c r="S1305" s="510" t="s">
        <v>1114</v>
      </c>
      <c r="T1305" s="501">
        <v>60</v>
      </c>
      <c r="U1305" s="501"/>
      <c r="V1305" s="501" t="s">
        <v>973</v>
      </c>
      <c r="W1305" s="501">
        <v>400</v>
      </c>
      <c r="X1305" s="512">
        <v>1536</v>
      </c>
      <c r="Y1305" s="477">
        <f t="shared" si="161"/>
        <v>614400</v>
      </c>
      <c r="Z1305" s="478">
        <v>0.52</v>
      </c>
      <c r="AA1305" s="479">
        <f t="shared" si="162"/>
        <v>319488</v>
      </c>
      <c r="AB1305" s="480"/>
      <c r="AC1305" s="481">
        <f t="shared" si="163"/>
        <v>0</v>
      </c>
      <c r="AD1305" s="490"/>
      <c r="AE1305" s="482"/>
      <c r="AF1305" s="493">
        <f t="shared" si="157"/>
        <v>319488</v>
      </c>
      <c r="AG1305" s="474" t="s">
        <v>1071</v>
      </c>
      <c r="AH1305" s="474"/>
      <c r="AI1305" s="474">
        <v>60</v>
      </c>
      <c r="AJ1305" s="474" t="s">
        <v>1207</v>
      </c>
      <c r="AK1305" s="474" t="s">
        <v>1208</v>
      </c>
      <c r="AL1305" s="494">
        <v>52404</v>
      </c>
      <c r="AM1305" s="474" t="s">
        <v>52</v>
      </c>
      <c r="AN1305" s="474" t="s">
        <v>1074</v>
      </c>
      <c r="AO1305" s="474"/>
      <c r="AP1305" s="482"/>
      <c r="AQ1305" s="482"/>
      <c r="AR1305" s="474" t="s">
        <v>1216</v>
      </c>
      <c r="AS1305" s="399"/>
      <c r="AT1305" s="436"/>
      <c r="AU1305" s="436"/>
    </row>
    <row r="1306" spans="1:47" s="471" customFormat="1">
      <c r="A1306" s="495"/>
      <c r="B1306" s="495"/>
      <c r="C1306" s="495"/>
      <c r="D1306" s="501" t="s">
        <v>1066</v>
      </c>
      <c r="E1306" s="429" t="s">
        <v>1097</v>
      </c>
      <c r="F1306" s="501"/>
      <c r="G1306" s="510">
        <v>2022</v>
      </c>
      <c r="H1306" s="501">
        <v>6</v>
      </c>
      <c r="I1306" s="501"/>
      <c r="J1306" s="502"/>
      <c r="K1306" s="501" t="s">
        <v>4995</v>
      </c>
      <c r="L1306" s="501" t="s">
        <v>1213</v>
      </c>
      <c r="M1306" s="502">
        <v>44550</v>
      </c>
      <c r="N1306" s="502">
        <v>44652</v>
      </c>
      <c r="O1306" s="502"/>
      <c r="P1306" s="502" t="s">
        <v>1258</v>
      </c>
      <c r="Q1306" s="502"/>
      <c r="R1306" s="502"/>
      <c r="S1306" s="510" t="s">
        <v>1114</v>
      </c>
      <c r="T1306" s="501">
        <v>60</v>
      </c>
      <c r="U1306" s="501"/>
      <c r="V1306" s="501" t="s">
        <v>973</v>
      </c>
      <c r="W1306" s="501">
        <v>400</v>
      </c>
      <c r="X1306" s="512">
        <v>1536</v>
      </c>
      <c r="Y1306" s="477">
        <f t="shared" si="161"/>
        <v>614400</v>
      </c>
      <c r="Z1306" s="478">
        <v>0.52</v>
      </c>
      <c r="AA1306" s="479">
        <f t="shared" si="162"/>
        <v>319488</v>
      </c>
      <c r="AB1306" s="480"/>
      <c r="AC1306" s="481">
        <f t="shared" si="163"/>
        <v>0</v>
      </c>
      <c r="AD1306" s="490"/>
      <c r="AE1306" s="482"/>
      <c r="AF1306" s="493">
        <f t="shared" si="157"/>
        <v>319488</v>
      </c>
      <c r="AG1306" s="474" t="s">
        <v>1071</v>
      </c>
      <c r="AH1306" s="474"/>
      <c r="AI1306" s="474">
        <v>60</v>
      </c>
      <c r="AJ1306" s="474" t="s">
        <v>1207</v>
      </c>
      <c r="AK1306" s="474" t="s">
        <v>1208</v>
      </c>
      <c r="AL1306" s="494">
        <v>52404</v>
      </c>
      <c r="AM1306" s="474" t="s">
        <v>52</v>
      </c>
      <c r="AN1306" s="474" t="s">
        <v>1074</v>
      </c>
      <c r="AO1306" s="474"/>
      <c r="AP1306" s="482"/>
      <c r="AQ1306" s="482"/>
      <c r="AR1306" s="474" t="s">
        <v>1216</v>
      </c>
      <c r="AS1306" s="399"/>
      <c r="AT1306" s="436"/>
      <c r="AU1306" s="436"/>
    </row>
    <row r="1307" spans="1:47" s="471" customFormat="1">
      <c r="A1307" s="495"/>
      <c r="B1307" s="495"/>
      <c r="C1307" s="495"/>
      <c r="D1307" s="501" t="s">
        <v>1066</v>
      </c>
      <c r="E1307" s="429" t="s">
        <v>1097</v>
      </c>
      <c r="F1307" s="501"/>
      <c r="G1307" s="510">
        <v>2022</v>
      </c>
      <c r="H1307" s="501">
        <v>7</v>
      </c>
      <c r="I1307" s="501" t="s">
        <v>1676</v>
      </c>
      <c r="J1307" s="502"/>
      <c r="K1307" s="501" t="s">
        <v>4995</v>
      </c>
      <c r="L1307" s="501" t="s">
        <v>1213</v>
      </c>
      <c r="M1307" s="502">
        <v>44550</v>
      </c>
      <c r="N1307" s="502">
        <v>44652</v>
      </c>
      <c r="O1307" s="502"/>
      <c r="P1307" s="502"/>
      <c r="Q1307" s="502"/>
      <c r="R1307" s="502"/>
      <c r="S1307" s="510" t="s">
        <v>1114</v>
      </c>
      <c r="T1307" s="501">
        <v>60</v>
      </c>
      <c r="U1307" s="501"/>
      <c r="V1307" s="501" t="s">
        <v>973</v>
      </c>
      <c r="W1307" s="501">
        <v>400</v>
      </c>
      <c r="X1307" s="512">
        <f>4608-1536-1536</f>
        <v>1536</v>
      </c>
      <c r="Y1307" s="477">
        <f t="shared" si="161"/>
        <v>614400</v>
      </c>
      <c r="Z1307" s="478">
        <v>0.52</v>
      </c>
      <c r="AA1307" s="479">
        <f t="shared" si="162"/>
        <v>319488</v>
      </c>
      <c r="AB1307" s="480"/>
      <c r="AC1307" s="481">
        <f t="shared" si="163"/>
        <v>0</v>
      </c>
      <c r="AD1307" s="490"/>
      <c r="AE1307" s="482"/>
      <c r="AF1307" s="493">
        <f t="shared" si="157"/>
        <v>319488</v>
      </c>
      <c r="AG1307" s="474" t="s">
        <v>1071</v>
      </c>
      <c r="AH1307" s="474"/>
      <c r="AI1307" s="474">
        <v>60</v>
      </c>
      <c r="AJ1307" s="474" t="s">
        <v>1207</v>
      </c>
      <c r="AK1307" s="474" t="s">
        <v>1208</v>
      </c>
      <c r="AL1307" s="494">
        <v>52404</v>
      </c>
      <c r="AM1307" s="474" t="s">
        <v>52</v>
      </c>
      <c r="AN1307" s="474" t="s">
        <v>1074</v>
      </c>
      <c r="AO1307" s="474"/>
      <c r="AP1307" s="482"/>
      <c r="AQ1307" s="482"/>
      <c r="AR1307" s="474" t="s">
        <v>1216</v>
      </c>
      <c r="AS1307" s="399"/>
      <c r="AT1307" s="436"/>
      <c r="AU1307" s="436"/>
    </row>
    <row r="1308" spans="1:47" s="471" customFormat="1">
      <c r="A1308" s="495"/>
      <c r="B1308" s="495"/>
      <c r="C1308" s="495"/>
      <c r="D1308" s="501" t="s">
        <v>1066</v>
      </c>
      <c r="E1308" s="429" t="s">
        <v>4996</v>
      </c>
      <c r="F1308" s="501"/>
      <c r="G1308" s="510"/>
      <c r="H1308" s="501"/>
      <c r="I1308" s="501" t="s">
        <v>1676</v>
      </c>
      <c r="J1308" s="502"/>
      <c r="K1308" s="501" t="s">
        <v>4997</v>
      </c>
      <c r="L1308" s="501" t="s">
        <v>1274</v>
      </c>
      <c r="M1308" s="502" t="s">
        <v>4998</v>
      </c>
      <c r="N1308" s="502">
        <v>44562</v>
      </c>
      <c r="O1308" s="502"/>
      <c r="P1308" s="502"/>
      <c r="Q1308" s="502"/>
      <c r="R1308" s="502"/>
      <c r="S1308" s="510" t="s">
        <v>1114</v>
      </c>
      <c r="T1308" s="501">
        <v>60</v>
      </c>
      <c r="U1308" s="501"/>
      <c r="V1308" s="501" t="s">
        <v>973</v>
      </c>
      <c r="W1308" s="501">
        <v>400</v>
      </c>
      <c r="X1308" s="512">
        <v>2304</v>
      </c>
      <c r="Y1308" s="477">
        <f t="shared" si="161"/>
        <v>921600</v>
      </c>
      <c r="Z1308" s="478">
        <v>0.52</v>
      </c>
      <c r="AA1308" s="479">
        <f t="shared" si="162"/>
        <v>479232</v>
      </c>
      <c r="AB1308" s="480"/>
      <c r="AC1308" s="481">
        <f t="shared" si="163"/>
        <v>0</v>
      </c>
      <c r="AD1308" s="490"/>
      <c r="AE1308" s="482"/>
      <c r="AF1308" s="493">
        <f t="shared" si="157"/>
        <v>479232</v>
      </c>
      <c r="AG1308" s="474" t="s">
        <v>1071</v>
      </c>
      <c r="AH1308" s="474"/>
      <c r="AI1308" s="474">
        <v>60</v>
      </c>
      <c r="AJ1308" s="474" t="s">
        <v>1275</v>
      </c>
      <c r="AK1308" s="474" t="s">
        <v>1276</v>
      </c>
      <c r="AL1308" s="494" t="s">
        <v>1277</v>
      </c>
      <c r="AM1308" s="474" t="s">
        <v>52</v>
      </c>
      <c r="AN1308" s="474" t="s">
        <v>1074</v>
      </c>
      <c r="AO1308" s="474"/>
      <c r="AP1308" s="482"/>
      <c r="AQ1308" s="482"/>
      <c r="AR1308" s="474" t="s">
        <v>1677</v>
      </c>
      <c r="AS1308" s="399"/>
      <c r="AT1308" s="436"/>
      <c r="AU1308" s="436"/>
    </row>
    <row r="1309" spans="1:47" s="471" customFormat="1">
      <c r="A1309" s="495"/>
      <c r="B1309" s="495"/>
      <c r="C1309" s="495"/>
      <c r="D1309" s="496" t="s">
        <v>1066</v>
      </c>
      <c r="E1309" s="405" t="s">
        <v>4996</v>
      </c>
      <c r="F1309" s="501"/>
      <c r="G1309" s="501"/>
      <c r="H1309" s="501"/>
      <c r="I1309" s="501" t="s">
        <v>1676</v>
      </c>
      <c r="J1309" s="502"/>
      <c r="K1309" s="501" t="s">
        <v>4997</v>
      </c>
      <c r="L1309" s="501" t="s">
        <v>1274</v>
      </c>
      <c r="M1309" s="502" t="s">
        <v>4998</v>
      </c>
      <c r="N1309" s="502">
        <v>44593</v>
      </c>
      <c r="O1309" s="502"/>
      <c r="P1309" s="502"/>
      <c r="Q1309" s="502"/>
      <c r="R1309" s="502"/>
      <c r="S1309" s="501" t="s">
        <v>1114</v>
      </c>
      <c r="T1309" s="501">
        <v>60</v>
      </c>
      <c r="U1309" s="501"/>
      <c r="V1309" s="501" t="s">
        <v>973</v>
      </c>
      <c r="W1309" s="501">
        <v>400</v>
      </c>
      <c r="X1309" s="401">
        <v>2304</v>
      </c>
      <c r="Y1309" s="477">
        <f t="shared" si="161"/>
        <v>921600</v>
      </c>
      <c r="Z1309" s="478">
        <v>0.52</v>
      </c>
      <c r="AA1309" s="479">
        <f t="shared" si="162"/>
        <v>479232</v>
      </c>
      <c r="AB1309" s="386"/>
      <c r="AC1309" s="481">
        <f t="shared" si="163"/>
        <v>0</v>
      </c>
      <c r="AD1309" s="474"/>
      <c r="AE1309" s="482"/>
      <c r="AF1309" s="493">
        <f t="shared" si="157"/>
        <v>479232</v>
      </c>
      <c r="AG1309" s="474" t="s">
        <v>1071</v>
      </c>
      <c r="AH1309" s="447"/>
      <c r="AI1309" s="474">
        <v>60</v>
      </c>
      <c r="AJ1309" s="474" t="s">
        <v>1275</v>
      </c>
      <c r="AK1309" s="474" t="s">
        <v>1276</v>
      </c>
      <c r="AL1309" s="494" t="s">
        <v>1277</v>
      </c>
      <c r="AM1309" s="474" t="s">
        <v>52</v>
      </c>
      <c r="AN1309" s="474" t="s">
        <v>1074</v>
      </c>
      <c r="AO1309" s="474"/>
      <c r="AP1309" s="474"/>
      <c r="AQ1309" s="474"/>
      <c r="AR1309" s="474" t="s">
        <v>1677</v>
      </c>
      <c r="AS1309" s="400"/>
      <c r="AT1309" s="387"/>
      <c r="AU1309" s="387"/>
    </row>
    <row r="1310" spans="1:47" s="471" customFormat="1">
      <c r="A1310" s="495"/>
      <c r="B1310" s="495"/>
      <c r="C1310" s="495"/>
      <c r="D1310" s="496" t="s">
        <v>1066</v>
      </c>
      <c r="E1310" s="405" t="s">
        <v>4996</v>
      </c>
      <c r="F1310" s="501"/>
      <c r="G1310" s="501"/>
      <c r="H1310" s="501"/>
      <c r="I1310" s="501" t="s">
        <v>1676</v>
      </c>
      <c r="J1310" s="502"/>
      <c r="K1310" s="501" t="s">
        <v>4997</v>
      </c>
      <c r="L1310" s="501" t="s">
        <v>1274</v>
      </c>
      <c r="M1310" s="502" t="s">
        <v>4998</v>
      </c>
      <c r="N1310" s="502">
        <v>44621</v>
      </c>
      <c r="O1310" s="502"/>
      <c r="P1310" s="502"/>
      <c r="Q1310" s="502"/>
      <c r="R1310" s="502"/>
      <c r="S1310" s="501" t="s">
        <v>1114</v>
      </c>
      <c r="T1310" s="501">
        <v>60</v>
      </c>
      <c r="U1310" s="501"/>
      <c r="V1310" s="501" t="s">
        <v>973</v>
      </c>
      <c r="W1310" s="501">
        <v>400</v>
      </c>
      <c r="X1310" s="401">
        <v>2304</v>
      </c>
      <c r="Y1310" s="477">
        <f t="shared" si="161"/>
        <v>921600</v>
      </c>
      <c r="Z1310" s="478">
        <v>0.52</v>
      </c>
      <c r="AA1310" s="479">
        <f t="shared" si="162"/>
        <v>479232</v>
      </c>
      <c r="AB1310" s="386"/>
      <c r="AC1310" s="481">
        <f t="shared" si="163"/>
        <v>0</v>
      </c>
      <c r="AD1310" s="474"/>
      <c r="AE1310" s="482"/>
      <c r="AF1310" s="493">
        <f t="shared" si="157"/>
        <v>479232</v>
      </c>
      <c r="AG1310" s="474" t="s">
        <v>1071</v>
      </c>
      <c r="AH1310" s="447"/>
      <c r="AI1310" s="474">
        <v>60</v>
      </c>
      <c r="AJ1310" s="474" t="s">
        <v>1275</v>
      </c>
      <c r="AK1310" s="474" t="s">
        <v>1276</v>
      </c>
      <c r="AL1310" s="494" t="s">
        <v>1277</v>
      </c>
      <c r="AM1310" s="474" t="s">
        <v>52</v>
      </c>
      <c r="AN1310" s="474" t="s">
        <v>1074</v>
      </c>
      <c r="AO1310" s="474"/>
      <c r="AP1310" s="474"/>
      <c r="AQ1310" s="474"/>
      <c r="AR1310" s="474" t="s">
        <v>1677</v>
      </c>
      <c r="AS1310" s="400"/>
      <c r="AT1310" s="387"/>
      <c r="AU1310" s="387"/>
    </row>
    <row r="1311" spans="1:47" s="471" customFormat="1">
      <c r="A1311" s="495"/>
      <c r="B1311" s="495"/>
      <c r="C1311" s="495"/>
      <c r="D1311" s="496" t="s">
        <v>1066</v>
      </c>
      <c r="E1311" s="405" t="s">
        <v>1097</v>
      </c>
      <c r="F1311" s="501"/>
      <c r="G1311" s="501"/>
      <c r="H1311" s="501"/>
      <c r="I1311" s="501" t="s">
        <v>1676</v>
      </c>
      <c r="J1311" s="502"/>
      <c r="K1311" s="501" t="s">
        <v>4999</v>
      </c>
      <c r="L1311" s="501" t="s">
        <v>1274</v>
      </c>
      <c r="M1311" s="502">
        <v>44659</v>
      </c>
      <c r="N1311" s="502">
        <v>44743</v>
      </c>
      <c r="O1311" s="502"/>
      <c r="P1311" s="502"/>
      <c r="Q1311" s="502"/>
      <c r="R1311" s="502"/>
      <c r="S1311" s="501" t="s">
        <v>1114</v>
      </c>
      <c r="T1311" s="501">
        <v>60</v>
      </c>
      <c r="U1311" s="501"/>
      <c r="V1311" s="501" t="s">
        <v>986</v>
      </c>
      <c r="W1311" s="501">
        <v>365</v>
      </c>
      <c r="X1311" s="401">
        <v>4160</v>
      </c>
      <c r="Y1311" s="477">
        <f t="shared" si="161"/>
        <v>1518400</v>
      </c>
      <c r="Z1311" s="478">
        <v>0.53</v>
      </c>
      <c r="AA1311" s="479">
        <f t="shared" si="162"/>
        <v>804752</v>
      </c>
      <c r="AB1311" s="386"/>
      <c r="AC1311" s="481">
        <f t="shared" si="163"/>
        <v>0</v>
      </c>
      <c r="AD1311" s="474"/>
      <c r="AE1311" s="482"/>
      <c r="AF1311" s="493">
        <f t="shared" si="157"/>
        <v>804752</v>
      </c>
      <c r="AG1311" s="474" t="s">
        <v>1071</v>
      </c>
      <c r="AH1311" s="447"/>
      <c r="AI1311" s="474">
        <v>60</v>
      </c>
      <c r="AJ1311" s="474" t="s">
        <v>1275</v>
      </c>
      <c r="AK1311" s="474" t="s">
        <v>1276</v>
      </c>
      <c r="AL1311" s="494" t="s">
        <v>1277</v>
      </c>
      <c r="AM1311" s="474" t="s">
        <v>52</v>
      </c>
      <c r="AN1311" s="474" t="s">
        <v>1074</v>
      </c>
      <c r="AO1311" s="474"/>
      <c r="AP1311" s="474"/>
      <c r="AQ1311" s="474"/>
      <c r="AR1311" s="474" t="s">
        <v>1677</v>
      </c>
      <c r="AS1311" s="400"/>
      <c r="AT1311" s="387"/>
      <c r="AU1311" s="387"/>
    </row>
    <row r="1312" spans="1:47" s="471" customFormat="1">
      <c r="A1312" s="495"/>
      <c r="B1312" s="495"/>
      <c r="C1312" s="495"/>
      <c r="D1312" s="496" t="s">
        <v>1066</v>
      </c>
      <c r="E1312" s="405" t="s">
        <v>1097</v>
      </c>
      <c r="F1312" s="501"/>
      <c r="G1312" s="501"/>
      <c r="H1312" s="501"/>
      <c r="I1312" s="501" t="s">
        <v>1676</v>
      </c>
      <c r="J1312" s="502"/>
      <c r="K1312" s="501" t="s">
        <v>5000</v>
      </c>
      <c r="L1312" s="501" t="s">
        <v>1274</v>
      </c>
      <c r="M1312" s="502">
        <v>44659</v>
      </c>
      <c r="N1312" s="502">
        <v>44774</v>
      </c>
      <c r="O1312" s="502"/>
      <c r="P1312" s="502"/>
      <c r="Q1312" s="502"/>
      <c r="R1312" s="502"/>
      <c r="S1312" s="501" t="s">
        <v>1114</v>
      </c>
      <c r="T1312" s="501">
        <v>60</v>
      </c>
      <c r="U1312" s="501"/>
      <c r="V1312" s="501" t="s">
        <v>986</v>
      </c>
      <c r="W1312" s="501">
        <v>365</v>
      </c>
      <c r="X1312" s="401">
        <v>4160</v>
      </c>
      <c r="Y1312" s="477">
        <f t="shared" si="161"/>
        <v>1518400</v>
      </c>
      <c r="Z1312" s="478">
        <v>0.53</v>
      </c>
      <c r="AA1312" s="479">
        <f t="shared" si="162"/>
        <v>804752</v>
      </c>
      <c r="AB1312" s="386"/>
      <c r="AC1312" s="481">
        <f t="shared" si="163"/>
        <v>0</v>
      </c>
      <c r="AD1312" s="474"/>
      <c r="AE1312" s="482"/>
      <c r="AF1312" s="493">
        <f t="shared" si="157"/>
        <v>804752</v>
      </c>
      <c r="AG1312" s="474" t="s">
        <v>1071</v>
      </c>
      <c r="AH1312" s="447"/>
      <c r="AI1312" s="474">
        <v>60</v>
      </c>
      <c r="AJ1312" s="474" t="s">
        <v>1275</v>
      </c>
      <c r="AK1312" s="474" t="s">
        <v>1276</v>
      </c>
      <c r="AL1312" s="494" t="s">
        <v>1277</v>
      </c>
      <c r="AM1312" s="474" t="s">
        <v>52</v>
      </c>
      <c r="AN1312" s="474" t="s">
        <v>1074</v>
      </c>
      <c r="AO1312" s="474"/>
      <c r="AP1312" s="474"/>
      <c r="AQ1312" s="474"/>
      <c r="AR1312" s="474" t="s">
        <v>1677</v>
      </c>
      <c r="AS1312" s="400"/>
      <c r="AT1312" s="387"/>
      <c r="AU1312" s="387"/>
    </row>
    <row r="1313" spans="1:47" s="471" customFormat="1">
      <c r="A1313" s="495"/>
      <c r="B1313" s="495"/>
      <c r="C1313" s="495"/>
      <c r="D1313" s="496" t="s">
        <v>1066</v>
      </c>
      <c r="E1313" s="405" t="s">
        <v>1097</v>
      </c>
      <c r="F1313" s="501"/>
      <c r="G1313" s="501"/>
      <c r="H1313" s="501"/>
      <c r="I1313" s="501" t="s">
        <v>1676</v>
      </c>
      <c r="J1313" s="502"/>
      <c r="K1313" s="501" t="s">
        <v>5001</v>
      </c>
      <c r="L1313" s="501" t="s">
        <v>1274</v>
      </c>
      <c r="M1313" s="502">
        <v>44659</v>
      </c>
      <c r="N1313" s="502">
        <v>44805</v>
      </c>
      <c r="O1313" s="502"/>
      <c r="P1313" s="502"/>
      <c r="Q1313" s="502"/>
      <c r="R1313" s="502"/>
      <c r="S1313" s="501" t="s">
        <v>1114</v>
      </c>
      <c r="T1313" s="501">
        <v>60</v>
      </c>
      <c r="U1313" s="501"/>
      <c r="V1313" s="501" t="s">
        <v>986</v>
      </c>
      <c r="W1313" s="501">
        <v>365</v>
      </c>
      <c r="X1313" s="401">
        <v>4160</v>
      </c>
      <c r="Y1313" s="477">
        <f t="shared" si="161"/>
        <v>1518400</v>
      </c>
      <c r="Z1313" s="478">
        <v>0.53</v>
      </c>
      <c r="AA1313" s="479">
        <f t="shared" si="162"/>
        <v>804752</v>
      </c>
      <c r="AB1313" s="386"/>
      <c r="AC1313" s="481">
        <f t="shared" si="163"/>
        <v>0</v>
      </c>
      <c r="AD1313" s="474"/>
      <c r="AE1313" s="482"/>
      <c r="AF1313" s="493">
        <f t="shared" si="157"/>
        <v>804752</v>
      </c>
      <c r="AG1313" s="474" t="s">
        <v>1071</v>
      </c>
      <c r="AH1313" s="447"/>
      <c r="AI1313" s="474">
        <v>60</v>
      </c>
      <c r="AJ1313" s="474" t="s">
        <v>1275</v>
      </c>
      <c r="AK1313" s="474" t="s">
        <v>1276</v>
      </c>
      <c r="AL1313" s="494" t="s">
        <v>1277</v>
      </c>
      <c r="AM1313" s="474" t="s">
        <v>52</v>
      </c>
      <c r="AN1313" s="474" t="s">
        <v>1074</v>
      </c>
      <c r="AO1313" s="474"/>
      <c r="AP1313" s="474"/>
      <c r="AQ1313" s="474"/>
      <c r="AR1313" s="474" t="s">
        <v>1677</v>
      </c>
      <c r="AS1313" s="400"/>
      <c r="AT1313" s="387"/>
      <c r="AU1313" s="387"/>
    </row>
    <row r="1314" spans="1:47" s="471" customFormat="1">
      <c r="A1314" s="495"/>
      <c r="B1314" s="495"/>
      <c r="C1314" s="495"/>
      <c r="D1314" s="496" t="s">
        <v>1066</v>
      </c>
      <c r="E1314" s="405" t="s">
        <v>1097</v>
      </c>
      <c r="F1314" s="501"/>
      <c r="G1314" s="501"/>
      <c r="H1314" s="501"/>
      <c r="I1314" s="501" t="s">
        <v>1676</v>
      </c>
      <c r="J1314" s="502"/>
      <c r="K1314" s="501" t="s">
        <v>5002</v>
      </c>
      <c r="L1314" s="501" t="s">
        <v>1274</v>
      </c>
      <c r="M1314" s="502">
        <v>44659</v>
      </c>
      <c r="N1314" s="502">
        <v>44835</v>
      </c>
      <c r="O1314" s="502"/>
      <c r="P1314" s="502"/>
      <c r="Q1314" s="502"/>
      <c r="R1314" s="502"/>
      <c r="S1314" s="501" t="s">
        <v>1114</v>
      </c>
      <c r="T1314" s="501">
        <v>60</v>
      </c>
      <c r="U1314" s="501"/>
      <c r="V1314" s="501" t="s">
        <v>986</v>
      </c>
      <c r="W1314" s="501">
        <v>365</v>
      </c>
      <c r="X1314" s="401">
        <v>4160</v>
      </c>
      <c r="Y1314" s="477">
        <f t="shared" si="161"/>
        <v>1518400</v>
      </c>
      <c r="Z1314" s="478">
        <v>0.53</v>
      </c>
      <c r="AA1314" s="479">
        <f t="shared" si="162"/>
        <v>804752</v>
      </c>
      <c r="AB1314" s="386"/>
      <c r="AC1314" s="481">
        <f t="shared" si="163"/>
        <v>0</v>
      </c>
      <c r="AD1314" s="474"/>
      <c r="AE1314" s="482"/>
      <c r="AF1314" s="493">
        <f t="shared" si="157"/>
        <v>804752</v>
      </c>
      <c r="AG1314" s="474" t="s">
        <v>1071</v>
      </c>
      <c r="AH1314" s="447"/>
      <c r="AI1314" s="474">
        <v>60</v>
      </c>
      <c r="AJ1314" s="474" t="s">
        <v>1275</v>
      </c>
      <c r="AK1314" s="474" t="s">
        <v>1276</v>
      </c>
      <c r="AL1314" s="494" t="s">
        <v>1277</v>
      </c>
      <c r="AM1314" s="474" t="s">
        <v>52</v>
      </c>
      <c r="AN1314" s="474" t="s">
        <v>1074</v>
      </c>
      <c r="AO1314" s="474"/>
      <c r="AP1314" s="474"/>
      <c r="AQ1314" s="474"/>
      <c r="AR1314" s="474" t="s">
        <v>1677</v>
      </c>
      <c r="AS1314" s="400"/>
      <c r="AT1314" s="387"/>
      <c r="AU1314" s="387"/>
    </row>
    <row r="1315" spans="1:47" s="471" customFormat="1">
      <c r="A1315" s="495"/>
      <c r="B1315" s="495"/>
      <c r="C1315" s="495"/>
      <c r="D1315" s="496" t="s">
        <v>1066</v>
      </c>
      <c r="E1315" s="405" t="s">
        <v>1097</v>
      </c>
      <c r="F1315" s="501"/>
      <c r="G1315" s="501"/>
      <c r="H1315" s="501"/>
      <c r="I1315" s="501" t="s">
        <v>1676</v>
      </c>
      <c r="J1315" s="502"/>
      <c r="K1315" s="501" t="s">
        <v>5003</v>
      </c>
      <c r="L1315" s="501" t="s">
        <v>1274</v>
      </c>
      <c r="M1315" s="502">
        <v>44659</v>
      </c>
      <c r="N1315" s="502">
        <v>44866</v>
      </c>
      <c r="O1315" s="502"/>
      <c r="P1315" s="502"/>
      <c r="Q1315" s="502"/>
      <c r="R1315" s="502"/>
      <c r="S1315" s="501" t="s">
        <v>1114</v>
      </c>
      <c r="T1315" s="501">
        <v>60</v>
      </c>
      <c r="U1315" s="501"/>
      <c r="V1315" s="501" t="s">
        <v>986</v>
      </c>
      <c r="W1315" s="501">
        <v>365</v>
      </c>
      <c r="X1315" s="401">
        <v>4160</v>
      </c>
      <c r="Y1315" s="477">
        <f t="shared" si="161"/>
        <v>1518400</v>
      </c>
      <c r="Z1315" s="478">
        <v>0.53</v>
      </c>
      <c r="AA1315" s="479">
        <f t="shared" si="162"/>
        <v>804752</v>
      </c>
      <c r="AB1315" s="386"/>
      <c r="AC1315" s="481">
        <f t="shared" si="163"/>
        <v>0</v>
      </c>
      <c r="AD1315" s="474"/>
      <c r="AE1315" s="482"/>
      <c r="AF1315" s="493">
        <f t="shared" si="157"/>
        <v>804752</v>
      </c>
      <c r="AG1315" s="474" t="s">
        <v>1071</v>
      </c>
      <c r="AH1315" s="447"/>
      <c r="AI1315" s="474">
        <v>60</v>
      </c>
      <c r="AJ1315" s="474" t="s">
        <v>1275</v>
      </c>
      <c r="AK1315" s="474" t="s">
        <v>1276</v>
      </c>
      <c r="AL1315" s="494" t="s">
        <v>1277</v>
      </c>
      <c r="AM1315" s="474" t="s">
        <v>52</v>
      </c>
      <c r="AN1315" s="474" t="s">
        <v>1074</v>
      </c>
      <c r="AO1315" s="474"/>
      <c r="AP1315" s="474"/>
      <c r="AQ1315" s="474"/>
      <c r="AR1315" s="474" t="s">
        <v>1677</v>
      </c>
      <c r="AS1315" s="400"/>
      <c r="AT1315" s="387"/>
      <c r="AU1315" s="387"/>
    </row>
    <row r="1316" spans="1:47" s="471" customFormat="1">
      <c r="A1316" s="495"/>
      <c r="B1316" s="495"/>
      <c r="C1316" s="495"/>
      <c r="D1316" s="496" t="s">
        <v>1066</v>
      </c>
      <c r="E1316" s="405" t="s">
        <v>1097</v>
      </c>
      <c r="F1316" s="501"/>
      <c r="G1316" s="501"/>
      <c r="H1316" s="501"/>
      <c r="I1316" s="501" t="s">
        <v>1676</v>
      </c>
      <c r="J1316" s="502"/>
      <c r="K1316" s="501" t="s">
        <v>5004</v>
      </c>
      <c r="L1316" s="501" t="s">
        <v>1274</v>
      </c>
      <c r="M1316" s="502">
        <v>44659</v>
      </c>
      <c r="N1316" s="502">
        <v>44896</v>
      </c>
      <c r="O1316" s="502"/>
      <c r="P1316" s="502"/>
      <c r="Q1316" s="502"/>
      <c r="R1316" s="502"/>
      <c r="S1316" s="501" t="s">
        <v>1114</v>
      </c>
      <c r="T1316" s="501">
        <v>60</v>
      </c>
      <c r="U1316" s="501"/>
      <c r="V1316" s="501" t="s">
        <v>986</v>
      </c>
      <c r="W1316" s="501">
        <v>365</v>
      </c>
      <c r="X1316" s="401">
        <v>4160</v>
      </c>
      <c r="Y1316" s="477">
        <f t="shared" si="161"/>
        <v>1518400</v>
      </c>
      <c r="Z1316" s="478">
        <v>0.53</v>
      </c>
      <c r="AA1316" s="479">
        <f t="shared" si="162"/>
        <v>804752</v>
      </c>
      <c r="AB1316" s="386"/>
      <c r="AC1316" s="481">
        <f t="shared" si="163"/>
        <v>0</v>
      </c>
      <c r="AD1316" s="474"/>
      <c r="AE1316" s="482"/>
      <c r="AF1316" s="493">
        <f t="shared" si="157"/>
        <v>804752</v>
      </c>
      <c r="AG1316" s="474" t="s">
        <v>1071</v>
      </c>
      <c r="AH1316" s="447"/>
      <c r="AI1316" s="474">
        <v>60</v>
      </c>
      <c r="AJ1316" s="474" t="s">
        <v>1275</v>
      </c>
      <c r="AK1316" s="474" t="s">
        <v>1276</v>
      </c>
      <c r="AL1316" s="494" t="s">
        <v>1277</v>
      </c>
      <c r="AM1316" s="474" t="s">
        <v>52</v>
      </c>
      <c r="AN1316" s="474" t="s">
        <v>1074</v>
      </c>
      <c r="AO1316" s="474"/>
      <c r="AP1316" s="474"/>
      <c r="AQ1316" s="474"/>
      <c r="AR1316" s="474" t="s">
        <v>1677</v>
      </c>
      <c r="AS1316" s="400"/>
      <c r="AT1316" s="387"/>
      <c r="AU1316" s="387"/>
    </row>
    <row r="1317" spans="1:47" s="471" customFormat="1">
      <c r="A1317" s="495"/>
      <c r="B1317" s="495"/>
      <c r="C1317" s="495"/>
      <c r="D1317" s="496" t="s">
        <v>1066</v>
      </c>
      <c r="E1317" s="405" t="s">
        <v>1097</v>
      </c>
      <c r="F1317" s="501"/>
      <c r="G1317" s="501"/>
      <c r="H1317" s="501"/>
      <c r="I1317" s="501" t="s">
        <v>1676</v>
      </c>
      <c r="J1317" s="502"/>
      <c r="K1317" s="501" t="s">
        <v>4999</v>
      </c>
      <c r="L1317" s="501" t="s">
        <v>1274</v>
      </c>
      <c r="M1317" s="502">
        <v>44659</v>
      </c>
      <c r="N1317" s="502">
        <v>44743</v>
      </c>
      <c r="O1317" s="502"/>
      <c r="P1317" s="502"/>
      <c r="Q1317" s="502"/>
      <c r="R1317" s="502"/>
      <c r="S1317" s="501" t="s">
        <v>1114</v>
      </c>
      <c r="T1317" s="501">
        <v>60</v>
      </c>
      <c r="U1317" s="501"/>
      <c r="V1317" s="501" t="s">
        <v>973</v>
      </c>
      <c r="W1317" s="501">
        <v>400</v>
      </c>
      <c r="X1317" s="401">
        <v>3840</v>
      </c>
      <c r="Y1317" s="477">
        <f t="shared" si="161"/>
        <v>1536000</v>
      </c>
      <c r="Z1317" s="478">
        <v>0.55000000000000004</v>
      </c>
      <c r="AA1317" s="479">
        <f t="shared" si="162"/>
        <v>844800.00000000012</v>
      </c>
      <c r="AB1317" s="386"/>
      <c r="AC1317" s="481">
        <f t="shared" si="163"/>
        <v>0</v>
      </c>
      <c r="AD1317" s="474"/>
      <c r="AE1317" s="482"/>
      <c r="AF1317" s="493">
        <f t="shared" si="157"/>
        <v>844800.00000000012</v>
      </c>
      <c r="AG1317" s="474" t="s">
        <v>1071</v>
      </c>
      <c r="AH1317" s="447"/>
      <c r="AI1317" s="474">
        <v>60</v>
      </c>
      <c r="AJ1317" s="474" t="s">
        <v>1275</v>
      </c>
      <c r="AK1317" s="474" t="s">
        <v>1276</v>
      </c>
      <c r="AL1317" s="494" t="s">
        <v>1277</v>
      </c>
      <c r="AM1317" s="474" t="s">
        <v>52</v>
      </c>
      <c r="AN1317" s="474" t="s">
        <v>1074</v>
      </c>
      <c r="AO1317" s="474"/>
      <c r="AP1317" s="474"/>
      <c r="AQ1317" s="474"/>
      <c r="AR1317" s="474" t="s">
        <v>1677</v>
      </c>
      <c r="AS1317" s="400"/>
      <c r="AT1317" s="387"/>
      <c r="AU1317" s="387"/>
    </row>
    <row r="1318" spans="1:47" s="471" customFormat="1">
      <c r="A1318" s="495"/>
      <c r="B1318" s="495"/>
      <c r="C1318" s="495"/>
      <c r="D1318" s="496" t="s">
        <v>1066</v>
      </c>
      <c r="E1318" s="405" t="s">
        <v>1097</v>
      </c>
      <c r="F1318" s="501"/>
      <c r="G1318" s="501"/>
      <c r="H1318" s="501"/>
      <c r="I1318" s="501" t="s">
        <v>1676</v>
      </c>
      <c r="J1318" s="502"/>
      <c r="K1318" s="501" t="s">
        <v>5000</v>
      </c>
      <c r="L1318" s="501" t="s">
        <v>1274</v>
      </c>
      <c r="M1318" s="502">
        <v>44659</v>
      </c>
      <c r="N1318" s="502">
        <v>44774</v>
      </c>
      <c r="O1318" s="502"/>
      <c r="P1318" s="502"/>
      <c r="Q1318" s="502"/>
      <c r="R1318" s="502"/>
      <c r="S1318" s="501" t="s">
        <v>1114</v>
      </c>
      <c r="T1318" s="501">
        <v>60</v>
      </c>
      <c r="U1318" s="501"/>
      <c r="V1318" s="501" t="s">
        <v>973</v>
      </c>
      <c r="W1318" s="501">
        <v>400</v>
      </c>
      <c r="X1318" s="401">
        <v>3840</v>
      </c>
      <c r="Y1318" s="477">
        <f t="shared" si="161"/>
        <v>1536000</v>
      </c>
      <c r="Z1318" s="478">
        <v>0.55000000000000004</v>
      </c>
      <c r="AA1318" s="479">
        <f t="shared" si="162"/>
        <v>844800.00000000012</v>
      </c>
      <c r="AB1318" s="386"/>
      <c r="AC1318" s="481">
        <f t="shared" si="163"/>
        <v>0</v>
      </c>
      <c r="AD1318" s="474"/>
      <c r="AE1318" s="482"/>
      <c r="AF1318" s="493">
        <f t="shared" ref="AF1318:AF1381" si="164">AE1318+AD1318+AA1318</f>
        <v>844800.00000000012</v>
      </c>
      <c r="AG1318" s="474" t="s">
        <v>1071</v>
      </c>
      <c r="AH1318" s="447"/>
      <c r="AI1318" s="474">
        <v>60</v>
      </c>
      <c r="AJ1318" s="474" t="s">
        <v>1275</v>
      </c>
      <c r="AK1318" s="474" t="s">
        <v>1276</v>
      </c>
      <c r="AL1318" s="494" t="s">
        <v>1277</v>
      </c>
      <c r="AM1318" s="474" t="s">
        <v>52</v>
      </c>
      <c r="AN1318" s="474" t="s">
        <v>1074</v>
      </c>
      <c r="AO1318" s="474"/>
      <c r="AP1318" s="474"/>
      <c r="AQ1318" s="474"/>
      <c r="AR1318" s="474" t="s">
        <v>1677</v>
      </c>
      <c r="AS1318" s="400"/>
      <c r="AT1318" s="387"/>
      <c r="AU1318" s="387"/>
    </row>
    <row r="1319" spans="1:47" s="471" customFormat="1">
      <c r="A1319" s="495"/>
      <c r="B1319" s="495"/>
      <c r="C1319" s="495"/>
      <c r="D1319" s="496" t="s">
        <v>1066</v>
      </c>
      <c r="E1319" s="405" t="s">
        <v>1097</v>
      </c>
      <c r="F1319" s="501"/>
      <c r="G1319" s="501"/>
      <c r="H1319" s="501"/>
      <c r="I1319" s="501" t="s">
        <v>1676</v>
      </c>
      <c r="J1319" s="502"/>
      <c r="K1319" s="501" t="s">
        <v>5001</v>
      </c>
      <c r="L1319" s="501" t="s">
        <v>1274</v>
      </c>
      <c r="M1319" s="502">
        <v>44659</v>
      </c>
      <c r="N1319" s="502">
        <v>44805</v>
      </c>
      <c r="O1319" s="502"/>
      <c r="P1319" s="502"/>
      <c r="Q1319" s="502"/>
      <c r="R1319" s="502"/>
      <c r="S1319" s="501" t="s">
        <v>1114</v>
      </c>
      <c r="T1319" s="501">
        <v>60</v>
      </c>
      <c r="U1319" s="501"/>
      <c r="V1319" s="501" t="s">
        <v>973</v>
      </c>
      <c r="W1319" s="501">
        <v>400</v>
      </c>
      <c r="X1319" s="401">
        <v>3840</v>
      </c>
      <c r="Y1319" s="477">
        <f t="shared" si="161"/>
        <v>1536000</v>
      </c>
      <c r="Z1319" s="478">
        <v>0.55000000000000004</v>
      </c>
      <c r="AA1319" s="479">
        <f t="shared" si="162"/>
        <v>844800.00000000012</v>
      </c>
      <c r="AB1319" s="386"/>
      <c r="AC1319" s="481">
        <f t="shared" si="163"/>
        <v>0</v>
      </c>
      <c r="AD1319" s="474"/>
      <c r="AE1319" s="482"/>
      <c r="AF1319" s="493">
        <f t="shared" si="164"/>
        <v>844800.00000000012</v>
      </c>
      <c r="AG1319" s="474" t="s">
        <v>1071</v>
      </c>
      <c r="AH1319" s="447"/>
      <c r="AI1319" s="474">
        <v>60</v>
      </c>
      <c r="AJ1319" s="474" t="s">
        <v>1275</v>
      </c>
      <c r="AK1319" s="474" t="s">
        <v>1276</v>
      </c>
      <c r="AL1319" s="494" t="s">
        <v>1277</v>
      </c>
      <c r="AM1319" s="474" t="s">
        <v>52</v>
      </c>
      <c r="AN1319" s="474" t="s">
        <v>1074</v>
      </c>
      <c r="AO1319" s="474"/>
      <c r="AP1319" s="474"/>
      <c r="AQ1319" s="474"/>
      <c r="AR1319" s="474" t="s">
        <v>1677</v>
      </c>
      <c r="AS1319" s="400"/>
      <c r="AT1319" s="387"/>
      <c r="AU1319" s="387"/>
    </row>
    <row r="1320" spans="1:47" s="471" customFormat="1">
      <c r="A1320" s="495"/>
      <c r="B1320" s="495"/>
      <c r="C1320" s="495"/>
      <c r="D1320" s="496" t="s">
        <v>1066</v>
      </c>
      <c r="E1320" s="405" t="s">
        <v>1097</v>
      </c>
      <c r="F1320" s="501"/>
      <c r="G1320" s="501"/>
      <c r="H1320" s="501"/>
      <c r="I1320" s="501" t="s">
        <v>1676</v>
      </c>
      <c r="J1320" s="502"/>
      <c r="K1320" s="501" t="s">
        <v>5002</v>
      </c>
      <c r="L1320" s="501" t="s">
        <v>1274</v>
      </c>
      <c r="M1320" s="502">
        <v>44659</v>
      </c>
      <c r="N1320" s="502">
        <v>44835</v>
      </c>
      <c r="O1320" s="502"/>
      <c r="P1320" s="502"/>
      <c r="Q1320" s="502"/>
      <c r="R1320" s="502"/>
      <c r="S1320" s="501" t="s">
        <v>1114</v>
      </c>
      <c r="T1320" s="501">
        <v>60</v>
      </c>
      <c r="U1320" s="501"/>
      <c r="V1320" s="501" t="s">
        <v>973</v>
      </c>
      <c r="W1320" s="501">
        <v>400</v>
      </c>
      <c r="X1320" s="401">
        <v>3840</v>
      </c>
      <c r="Y1320" s="477">
        <f t="shared" si="161"/>
        <v>1536000</v>
      </c>
      <c r="Z1320" s="478">
        <v>0.55000000000000004</v>
      </c>
      <c r="AA1320" s="479">
        <f t="shared" si="162"/>
        <v>844800.00000000012</v>
      </c>
      <c r="AB1320" s="386"/>
      <c r="AC1320" s="481">
        <f t="shared" si="163"/>
        <v>0</v>
      </c>
      <c r="AD1320" s="474"/>
      <c r="AE1320" s="482"/>
      <c r="AF1320" s="493">
        <f t="shared" si="164"/>
        <v>844800.00000000012</v>
      </c>
      <c r="AG1320" s="474" t="s">
        <v>1071</v>
      </c>
      <c r="AH1320" s="447"/>
      <c r="AI1320" s="474">
        <v>60</v>
      </c>
      <c r="AJ1320" s="474" t="s">
        <v>1275</v>
      </c>
      <c r="AK1320" s="474" t="s">
        <v>1276</v>
      </c>
      <c r="AL1320" s="494" t="s">
        <v>1277</v>
      </c>
      <c r="AM1320" s="474" t="s">
        <v>52</v>
      </c>
      <c r="AN1320" s="474" t="s">
        <v>1074</v>
      </c>
      <c r="AO1320" s="474"/>
      <c r="AP1320" s="474"/>
      <c r="AQ1320" s="474"/>
      <c r="AR1320" s="474" t="s">
        <v>1677</v>
      </c>
      <c r="AS1320" s="400"/>
      <c r="AT1320" s="387"/>
      <c r="AU1320" s="387"/>
    </row>
    <row r="1321" spans="1:47" s="471" customFormat="1">
      <c r="A1321" s="495"/>
      <c r="B1321" s="495"/>
      <c r="C1321" s="495"/>
      <c r="D1321" s="496" t="s">
        <v>1066</v>
      </c>
      <c r="E1321" s="405" t="s">
        <v>1097</v>
      </c>
      <c r="F1321" s="501"/>
      <c r="G1321" s="501"/>
      <c r="H1321" s="501"/>
      <c r="I1321" s="501" t="s">
        <v>1676</v>
      </c>
      <c r="J1321" s="502"/>
      <c r="K1321" s="501" t="s">
        <v>5003</v>
      </c>
      <c r="L1321" s="501" t="s">
        <v>1274</v>
      </c>
      <c r="M1321" s="502">
        <v>44659</v>
      </c>
      <c r="N1321" s="502">
        <v>44866</v>
      </c>
      <c r="O1321" s="502"/>
      <c r="P1321" s="502"/>
      <c r="Q1321" s="502"/>
      <c r="R1321" s="502"/>
      <c r="S1321" s="501" t="s">
        <v>1114</v>
      </c>
      <c r="T1321" s="501">
        <v>60</v>
      </c>
      <c r="U1321" s="501"/>
      <c r="V1321" s="501" t="s">
        <v>973</v>
      </c>
      <c r="W1321" s="501">
        <v>400</v>
      </c>
      <c r="X1321" s="401">
        <v>3840</v>
      </c>
      <c r="Y1321" s="477">
        <f t="shared" si="161"/>
        <v>1536000</v>
      </c>
      <c r="Z1321" s="478">
        <v>0.55000000000000004</v>
      </c>
      <c r="AA1321" s="479">
        <f t="shared" si="162"/>
        <v>844800.00000000012</v>
      </c>
      <c r="AB1321" s="386"/>
      <c r="AC1321" s="481">
        <f t="shared" si="163"/>
        <v>0</v>
      </c>
      <c r="AD1321" s="474"/>
      <c r="AE1321" s="482"/>
      <c r="AF1321" s="493">
        <f t="shared" si="164"/>
        <v>844800.00000000012</v>
      </c>
      <c r="AG1321" s="474" t="s">
        <v>1071</v>
      </c>
      <c r="AH1321" s="447"/>
      <c r="AI1321" s="474">
        <v>60</v>
      </c>
      <c r="AJ1321" s="474" t="s">
        <v>1275</v>
      </c>
      <c r="AK1321" s="474" t="s">
        <v>1276</v>
      </c>
      <c r="AL1321" s="494" t="s">
        <v>1277</v>
      </c>
      <c r="AM1321" s="474" t="s">
        <v>52</v>
      </c>
      <c r="AN1321" s="474" t="s">
        <v>1074</v>
      </c>
      <c r="AO1321" s="474"/>
      <c r="AP1321" s="474"/>
      <c r="AQ1321" s="474"/>
      <c r="AR1321" s="474" t="s">
        <v>1677</v>
      </c>
      <c r="AS1321" s="400"/>
      <c r="AT1321" s="387"/>
      <c r="AU1321" s="387"/>
    </row>
    <row r="1322" spans="1:47" s="471" customFormat="1">
      <c r="A1322" s="495"/>
      <c r="B1322" s="495"/>
      <c r="C1322" s="495"/>
      <c r="D1322" s="496" t="s">
        <v>1066</v>
      </c>
      <c r="E1322" s="405" t="s">
        <v>1097</v>
      </c>
      <c r="F1322" s="501"/>
      <c r="G1322" s="501"/>
      <c r="H1322" s="501"/>
      <c r="I1322" s="501" t="s">
        <v>1676</v>
      </c>
      <c r="J1322" s="502"/>
      <c r="K1322" s="501" t="s">
        <v>5004</v>
      </c>
      <c r="L1322" s="501" t="s">
        <v>1274</v>
      </c>
      <c r="M1322" s="502">
        <v>44659</v>
      </c>
      <c r="N1322" s="502">
        <v>44896</v>
      </c>
      <c r="O1322" s="502"/>
      <c r="P1322" s="502"/>
      <c r="Q1322" s="502"/>
      <c r="R1322" s="502"/>
      <c r="S1322" s="501" t="s">
        <v>1114</v>
      </c>
      <c r="T1322" s="501">
        <v>60</v>
      </c>
      <c r="U1322" s="501"/>
      <c r="V1322" s="501" t="s">
        <v>973</v>
      </c>
      <c r="W1322" s="501">
        <v>400</v>
      </c>
      <c r="X1322" s="401">
        <v>3840</v>
      </c>
      <c r="Y1322" s="477">
        <f t="shared" si="161"/>
        <v>1536000</v>
      </c>
      <c r="Z1322" s="478">
        <v>0.55000000000000004</v>
      </c>
      <c r="AA1322" s="479">
        <f t="shared" si="162"/>
        <v>844800.00000000012</v>
      </c>
      <c r="AB1322" s="386"/>
      <c r="AC1322" s="481">
        <f t="shared" si="163"/>
        <v>0</v>
      </c>
      <c r="AD1322" s="474"/>
      <c r="AE1322" s="482"/>
      <c r="AF1322" s="493">
        <f t="shared" si="164"/>
        <v>844800.00000000012</v>
      </c>
      <c r="AG1322" s="474" t="s">
        <v>1071</v>
      </c>
      <c r="AH1322" s="447"/>
      <c r="AI1322" s="474">
        <v>60</v>
      </c>
      <c r="AJ1322" s="474" t="s">
        <v>1275</v>
      </c>
      <c r="AK1322" s="474" t="s">
        <v>1276</v>
      </c>
      <c r="AL1322" s="494" t="s">
        <v>1277</v>
      </c>
      <c r="AM1322" s="474" t="s">
        <v>52</v>
      </c>
      <c r="AN1322" s="474" t="s">
        <v>1074</v>
      </c>
      <c r="AO1322" s="474"/>
      <c r="AP1322" s="474"/>
      <c r="AQ1322" s="474"/>
      <c r="AR1322" s="474" t="s">
        <v>1677</v>
      </c>
      <c r="AS1322" s="400"/>
      <c r="AT1322" s="387"/>
      <c r="AU1322" s="387"/>
    </row>
    <row r="1323" spans="1:47" s="471" customFormat="1">
      <c r="A1323" s="495"/>
      <c r="B1323" s="495" t="s">
        <v>1211</v>
      </c>
      <c r="C1323" s="495" t="s">
        <v>1211</v>
      </c>
      <c r="D1323" s="405" t="s">
        <v>1066</v>
      </c>
      <c r="E1323" s="501" t="s">
        <v>1097</v>
      </c>
      <c r="F1323" s="501"/>
      <c r="G1323" s="501"/>
      <c r="H1323" s="501"/>
      <c r="I1323" s="501" t="s">
        <v>1676</v>
      </c>
      <c r="J1323" s="502"/>
      <c r="K1323" s="501" t="s">
        <v>5008</v>
      </c>
      <c r="L1323" s="502" t="s">
        <v>1219</v>
      </c>
      <c r="M1323" s="502">
        <v>44573</v>
      </c>
      <c r="N1323" s="502">
        <v>44753</v>
      </c>
      <c r="O1323" s="502"/>
      <c r="P1323" s="502"/>
      <c r="Q1323" s="502"/>
      <c r="R1323" s="502"/>
      <c r="S1323" s="501" t="s">
        <v>1114</v>
      </c>
      <c r="T1323" s="501">
        <v>60</v>
      </c>
      <c r="U1323" s="501"/>
      <c r="V1323" s="501" t="s">
        <v>973</v>
      </c>
      <c r="W1323" s="505">
        <v>400</v>
      </c>
      <c r="X1323" s="403">
        <v>768</v>
      </c>
      <c r="Y1323" s="477">
        <f t="shared" si="161"/>
        <v>307200</v>
      </c>
      <c r="Z1323" s="478">
        <v>0.55000000000000004</v>
      </c>
      <c r="AA1323" s="479">
        <f t="shared" si="162"/>
        <v>168960</v>
      </c>
      <c r="AB1323" s="480"/>
      <c r="AC1323" s="481">
        <f t="shared" si="163"/>
        <v>0</v>
      </c>
      <c r="AD1323" s="490"/>
      <c r="AE1323" s="482"/>
      <c r="AF1323" s="493">
        <f t="shared" si="164"/>
        <v>168960</v>
      </c>
      <c r="AG1323" s="474" t="s">
        <v>1071</v>
      </c>
      <c r="AH1323" s="474">
        <v>0</v>
      </c>
      <c r="AI1323" s="474">
        <v>60</v>
      </c>
      <c r="AJ1323" s="474" t="s">
        <v>1220</v>
      </c>
      <c r="AK1323" s="474" t="s">
        <v>1221</v>
      </c>
      <c r="AL1323" s="494">
        <v>43125</v>
      </c>
      <c r="AM1323" s="474" t="s">
        <v>52</v>
      </c>
      <c r="AN1323" s="474" t="s">
        <v>1074</v>
      </c>
      <c r="AO1323" s="474"/>
      <c r="AP1323" s="482"/>
      <c r="AQ1323" s="482" t="s">
        <v>1086</v>
      </c>
      <c r="AR1323" s="474" t="s">
        <v>1216</v>
      </c>
      <c r="AS1323" s="399" t="s">
        <v>1075</v>
      </c>
      <c r="AT1323" s="436" t="s">
        <v>1087</v>
      </c>
      <c r="AU1323" s="436" t="s">
        <v>1076</v>
      </c>
    </row>
    <row r="1324" spans="1:47" s="471" customFormat="1">
      <c r="A1324" s="410"/>
      <c r="B1324" s="407">
        <v>44634</v>
      </c>
      <c r="C1324" s="407" t="s">
        <v>1211</v>
      </c>
      <c r="D1324" s="501" t="s">
        <v>1066</v>
      </c>
      <c r="E1324" s="405" t="s">
        <v>5009</v>
      </c>
      <c r="F1324" s="501"/>
      <c r="G1324" s="501"/>
      <c r="H1324" s="501"/>
      <c r="I1324" s="512" t="s">
        <v>1676</v>
      </c>
      <c r="J1324" s="502"/>
      <c r="K1324" s="501" t="s">
        <v>5010</v>
      </c>
      <c r="L1324" s="502" t="s">
        <v>1242</v>
      </c>
      <c r="M1324" s="502">
        <v>44630</v>
      </c>
      <c r="N1324" s="502">
        <v>44753</v>
      </c>
      <c r="O1324" s="502"/>
      <c r="P1324" s="502"/>
      <c r="Q1324" s="502"/>
      <c r="R1324" s="502"/>
      <c r="S1324" s="501" t="s">
        <v>1114</v>
      </c>
      <c r="T1324" s="501">
        <v>60</v>
      </c>
      <c r="U1324" s="501">
        <v>49403140</v>
      </c>
      <c r="V1324" s="501" t="s">
        <v>973</v>
      </c>
      <c r="W1324" s="505">
        <v>400</v>
      </c>
      <c r="X1324" s="403">
        <v>1536</v>
      </c>
      <c r="Y1324" s="491">
        <f t="shared" ref="Y1324:Y1339" si="165">W1324*X1324</f>
        <v>614400</v>
      </c>
      <c r="Z1324" s="478">
        <v>0.55000000000000004</v>
      </c>
      <c r="AA1324" s="479">
        <f t="shared" si="162"/>
        <v>337920</v>
      </c>
      <c r="AB1324" s="386"/>
      <c r="AC1324" s="481">
        <f t="shared" si="163"/>
        <v>0</v>
      </c>
      <c r="AD1324" s="474"/>
      <c r="AE1324" s="482"/>
      <c r="AF1324" s="493">
        <f t="shared" si="164"/>
        <v>337920</v>
      </c>
      <c r="AG1324" s="474" t="s">
        <v>1071</v>
      </c>
      <c r="AH1324" s="447">
        <v>0</v>
      </c>
      <c r="AI1324" s="474">
        <v>60</v>
      </c>
      <c r="AJ1324" s="474" t="s">
        <v>1243</v>
      </c>
      <c r="AK1324" s="474" t="s">
        <v>1244</v>
      </c>
      <c r="AL1324" s="494" t="s">
        <v>1245</v>
      </c>
      <c r="AM1324" s="474" t="s">
        <v>52</v>
      </c>
      <c r="AN1324" s="474" t="s">
        <v>1074</v>
      </c>
      <c r="AO1324" s="474"/>
      <c r="AP1324" s="474"/>
      <c r="AQ1324" s="474" t="s">
        <v>1086</v>
      </c>
      <c r="AR1324" s="474"/>
      <c r="AS1324" s="400" t="s">
        <v>1152</v>
      </c>
      <c r="AT1324" s="387" t="s">
        <v>1076</v>
      </c>
      <c r="AU1324" s="387" t="s">
        <v>1076</v>
      </c>
    </row>
    <row r="1325" spans="1:47" s="471" customFormat="1">
      <c r="A1325" s="410"/>
      <c r="B1325" s="407">
        <v>44634</v>
      </c>
      <c r="C1325" s="407" t="s">
        <v>1211</v>
      </c>
      <c r="D1325" s="501" t="s">
        <v>1066</v>
      </c>
      <c r="E1325" s="405" t="s">
        <v>5009</v>
      </c>
      <c r="F1325" s="501"/>
      <c r="G1325" s="501"/>
      <c r="H1325" s="501"/>
      <c r="I1325" s="512" t="s">
        <v>1676</v>
      </c>
      <c r="J1325" s="502"/>
      <c r="K1325" s="501" t="s">
        <v>5011</v>
      </c>
      <c r="L1325" s="502" t="s">
        <v>1242</v>
      </c>
      <c r="M1325" s="502">
        <v>44630</v>
      </c>
      <c r="N1325" s="502">
        <v>44784</v>
      </c>
      <c r="O1325" s="502"/>
      <c r="P1325" s="502"/>
      <c r="Q1325" s="502"/>
      <c r="R1325" s="502"/>
      <c r="S1325" s="501" t="s">
        <v>1114</v>
      </c>
      <c r="T1325" s="501">
        <v>60</v>
      </c>
      <c r="U1325" s="501">
        <v>49403140</v>
      </c>
      <c r="V1325" s="501" t="s">
        <v>973</v>
      </c>
      <c r="W1325" s="505">
        <v>400</v>
      </c>
      <c r="X1325" s="403">
        <v>1536</v>
      </c>
      <c r="Y1325" s="491">
        <f t="shared" si="165"/>
        <v>614400</v>
      </c>
      <c r="Z1325" s="478">
        <v>0.55000000000000004</v>
      </c>
      <c r="AA1325" s="479">
        <f t="shared" si="162"/>
        <v>337920</v>
      </c>
      <c r="AB1325" s="386"/>
      <c r="AC1325" s="481">
        <f t="shared" si="163"/>
        <v>0</v>
      </c>
      <c r="AD1325" s="474"/>
      <c r="AE1325" s="482"/>
      <c r="AF1325" s="493">
        <f t="shared" si="164"/>
        <v>337920</v>
      </c>
      <c r="AG1325" s="474" t="s">
        <v>1071</v>
      </c>
      <c r="AH1325" s="447">
        <v>0</v>
      </c>
      <c r="AI1325" s="474">
        <v>60</v>
      </c>
      <c r="AJ1325" s="474" t="s">
        <v>1243</v>
      </c>
      <c r="AK1325" s="474" t="s">
        <v>1244</v>
      </c>
      <c r="AL1325" s="494" t="s">
        <v>1245</v>
      </c>
      <c r="AM1325" s="474" t="s">
        <v>52</v>
      </c>
      <c r="AN1325" s="474" t="s">
        <v>1074</v>
      </c>
      <c r="AO1325" s="474"/>
      <c r="AP1325" s="474"/>
      <c r="AQ1325" s="474" t="s">
        <v>1086</v>
      </c>
      <c r="AR1325" s="474"/>
      <c r="AS1325" s="400" t="s">
        <v>1152</v>
      </c>
      <c r="AT1325" s="387" t="s">
        <v>1076</v>
      </c>
      <c r="AU1325" s="387" t="s">
        <v>1076</v>
      </c>
    </row>
    <row r="1326" spans="1:47" s="471" customFormat="1">
      <c r="A1326" s="410"/>
      <c r="B1326" s="407">
        <v>44634</v>
      </c>
      <c r="C1326" s="407" t="s">
        <v>1211</v>
      </c>
      <c r="D1326" s="501" t="s">
        <v>1066</v>
      </c>
      <c r="E1326" s="405" t="s">
        <v>5009</v>
      </c>
      <c r="F1326" s="501"/>
      <c r="G1326" s="501"/>
      <c r="H1326" s="501"/>
      <c r="I1326" s="512" t="s">
        <v>1676</v>
      </c>
      <c r="J1326" s="502"/>
      <c r="K1326" s="501" t="s">
        <v>5012</v>
      </c>
      <c r="L1326" s="502" t="s">
        <v>1242</v>
      </c>
      <c r="M1326" s="502">
        <v>44630</v>
      </c>
      <c r="N1326" s="502">
        <v>44815</v>
      </c>
      <c r="O1326" s="502"/>
      <c r="P1326" s="502"/>
      <c r="Q1326" s="502"/>
      <c r="R1326" s="502"/>
      <c r="S1326" s="501" t="s">
        <v>1114</v>
      </c>
      <c r="T1326" s="501">
        <v>60</v>
      </c>
      <c r="U1326" s="501">
        <v>49403140</v>
      </c>
      <c r="V1326" s="501" t="s">
        <v>973</v>
      </c>
      <c r="W1326" s="505">
        <v>400</v>
      </c>
      <c r="X1326" s="403">
        <v>1536</v>
      </c>
      <c r="Y1326" s="491">
        <f t="shared" si="165"/>
        <v>614400</v>
      </c>
      <c r="Z1326" s="478">
        <v>0.55000000000000004</v>
      </c>
      <c r="AA1326" s="479">
        <f t="shared" si="162"/>
        <v>337920</v>
      </c>
      <c r="AB1326" s="386"/>
      <c r="AC1326" s="481">
        <f t="shared" si="163"/>
        <v>0</v>
      </c>
      <c r="AD1326" s="474"/>
      <c r="AE1326" s="482"/>
      <c r="AF1326" s="493">
        <f t="shared" si="164"/>
        <v>337920</v>
      </c>
      <c r="AG1326" s="474" t="s">
        <v>1071</v>
      </c>
      <c r="AH1326" s="447">
        <v>0</v>
      </c>
      <c r="AI1326" s="474">
        <v>60</v>
      </c>
      <c r="AJ1326" s="474" t="s">
        <v>1243</v>
      </c>
      <c r="AK1326" s="474" t="s">
        <v>1244</v>
      </c>
      <c r="AL1326" s="494" t="s">
        <v>1245</v>
      </c>
      <c r="AM1326" s="474" t="s">
        <v>52</v>
      </c>
      <c r="AN1326" s="474" t="s">
        <v>1074</v>
      </c>
      <c r="AO1326" s="474"/>
      <c r="AP1326" s="474"/>
      <c r="AQ1326" s="474" t="s">
        <v>1086</v>
      </c>
      <c r="AR1326" s="474"/>
      <c r="AS1326" s="400" t="s">
        <v>1152</v>
      </c>
      <c r="AT1326" s="387" t="s">
        <v>1076</v>
      </c>
      <c r="AU1326" s="387" t="s">
        <v>1076</v>
      </c>
    </row>
    <row r="1327" spans="1:47" s="471" customFormat="1">
      <c r="A1327" s="410"/>
      <c r="B1327" s="407">
        <v>44634</v>
      </c>
      <c r="C1327" s="407" t="s">
        <v>1211</v>
      </c>
      <c r="D1327" s="501" t="s">
        <v>1066</v>
      </c>
      <c r="E1327" s="405" t="s">
        <v>5009</v>
      </c>
      <c r="F1327" s="501"/>
      <c r="G1327" s="501"/>
      <c r="H1327" s="501"/>
      <c r="I1327" s="512" t="s">
        <v>1676</v>
      </c>
      <c r="J1327" s="502"/>
      <c r="K1327" s="501" t="s">
        <v>5013</v>
      </c>
      <c r="L1327" s="502" t="s">
        <v>1242</v>
      </c>
      <c r="M1327" s="502">
        <v>44630</v>
      </c>
      <c r="N1327" s="502">
        <v>44845</v>
      </c>
      <c r="O1327" s="502"/>
      <c r="P1327" s="502"/>
      <c r="Q1327" s="502"/>
      <c r="R1327" s="502"/>
      <c r="S1327" s="501" t="s">
        <v>1114</v>
      </c>
      <c r="T1327" s="501">
        <v>60</v>
      </c>
      <c r="U1327" s="501">
        <v>49403140</v>
      </c>
      <c r="V1327" s="501" t="s">
        <v>973</v>
      </c>
      <c r="W1327" s="505">
        <v>400</v>
      </c>
      <c r="X1327" s="403">
        <v>1536</v>
      </c>
      <c r="Y1327" s="491">
        <f t="shared" si="165"/>
        <v>614400</v>
      </c>
      <c r="Z1327" s="478">
        <v>0.55000000000000004</v>
      </c>
      <c r="AA1327" s="479">
        <f t="shared" si="162"/>
        <v>337920</v>
      </c>
      <c r="AB1327" s="386"/>
      <c r="AC1327" s="481">
        <f t="shared" si="163"/>
        <v>0</v>
      </c>
      <c r="AD1327" s="474"/>
      <c r="AE1327" s="482"/>
      <c r="AF1327" s="493">
        <f t="shared" si="164"/>
        <v>337920</v>
      </c>
      <c r="AG1327" s="474" t="s">
        <v>1071</v>
      </c>
      <c r="AH1327" s="447">
        <v>0</v>
      </c>
      <c r="AI1327" s="474">
        <v>60</v>
      </c>
      <c r="AJ1327" s="474" t="s">
        <v>1243</v>
      </c>
      <c r="AK1327" s="474" t="s">
        <v>1244</v>
      </c>
      <c r="AL1327" s="494" t="s">
        <v>1245</v>
      </c>
      <c r="AM1327" s="474" t="s">
        <v>52</v>
      </c>
      <c r="AN1327" s="474" t="s">
        <v>1074</v>
      </c>
      <c r="AO1327" s="474"/>
      <c r="AP1327" s="474"/>
      <c r="AQ1327" s="474" t="s">
        <v>1086</v>
      </c>
      <c r="AR1327" s="474"/>
      <c r="AS1327" s="400" t="s">
        <v>1152</v>
      </c>
      <c r="AT1327" s="387" t="s">
        <v>1076</v>
      </c>
      <c r="AU1327" s="387" t="s">
        <v>1076</v>
      </c>
    </row>
    <row r="1328" spans="1:47" s="471" customFormat="1">
      <c r="A1328" s="410"/>
      <c r="B1328" s="407">
        <v>44634</v>
      </c>
      <c r="C1328" s="407" t="s">
        <v>1211</v>
      </c>
      <c r="D1328" s="501" t="s">
        <v>1066</v>
      </c>
      <c r="E1328" s="405" t="s">
        <v>5009</v>
      </c>
      <c r="F1328" s="501"/>
      <c r="G1328" s="501"/>
      <c r="H1328" s="501"/>
      <c r="I1328" s="512" t="s">
        <v>1676</v>
      </c>
      <c r="J1328" s="502"/>
      <c r="K1328" s="501" t="s">
        <v>5014</v>
      </c>
      <c r="L1328" s="502" t="s">
        <v>1242</v>
      </c>
      <c r="M1328" s="502">
        <v>44630</v>
      </c>
      <c r="N1328" s="502">
        <v>44876</v>
      </c>
      <c r="O1328" s="502"/>
      <c r="P1328" s="502"/>
      <c r="Q1328" s="502"/>
      <c r="R1328" s="502"/>
      <c r="S1328" s="501" t="s">
        <v>1114</v>
      </c>
      <c r="T1328" s="501">
        <v>60</v>
      </c>
      <c r="U1328" s="501">
        <v>49403140</v>
      </c>
      <c r="V1328" s="501" t="s">
        <v>973</v>
      </c>
      <c r="W1328" s="505">
        <v>400</v>
      </c>
      <c r="X1328" s="403">
        <v>1536</v>
      </c>
      <c r="Y1328" s="491">
        <f t="shared" si="165"/>
        <v>614400</v>
      </c>
      <c r="Z1328" s="478">
        <v>0.55000000000000004</v>
      </c>
      <c r="AA1328" s="479">
        <f t="shared" si="162"/>
        <v>337920</v>
      </c>
      <c r="AB1328" s="386"/>
      <c r="AC1328" s="481">
        <f t="shared" si="163"/>
        <v>0</v>
      </c>
      <c r="AD1328" s="474"/>
      <c r="AE1328" s="482"/>
      <c r="AF1328" s="493">
        <f t="shared" si="164"/>
        <v>337920</v>
      </c>
      <c r="AG1328" s="474" t="s">
        <v>1071</v>
      </c>
      <c r="AH1328" s="447">
        <v>0</v>
      </c>
      <c r="AI1328" s="474">
        <v>60</v>
      </c>
      <c r="AJ1328" s="474" t="s">
        <v>1243</v>
      </c>
      <c r="AK1328" s="474" t="s">
        <v>1244</v>
      </c>
      <c r="AL1328" s="494" t="s">
        <v>1245</v>
      </c>
      <c r="AM1328" s="474" t="s">
        <v>52</v>
      </c>
      <c r="AN1328" s="474" t="s">
        <v>1074</v>
      </c>
      <c r="AO1328" s="474"/>
      <c r="AP1328" s="474"/>
      <c r="AQ1328" s="474" t="s">
        <v>1086</v>
      </c>
      <c r="AR1328" s="474"/>
      <c r="AS1328" s="400" t="s">
        <v>1152</v>
      </c>
      <c r="AT1328" s="387" t="s">
        <v>1076</v>
      </c>
      <c r="AU1328" s="387" t="s">
        <v>1076</v>
      </c>
    </row>
    <row r="1329" spans="1:47" s="471" customFormat="1">
      <c r="A1329" s="410"/>
      <c r="B1329" s="407">
        <v>44634</v>
      </c>
      <c r="C1329" s="407" t="s">
        <v>1211</v>
      </c>
      <c r="D1329" s="501" t="s">
        <v>1066</v>
      </c>
      <c r="E1329" s="405" t="s">
        <v>5009</v>
      </c>
      <c r="F1329" s="501"/>
      <c r="G1329" s="501"/>
      <c r="H1329" s="501"/>
      <c r="I1329" s="512" t="s">
        <v>1676</v>
      </c>
      <c r="J1329" s="502"/>
      <c r="K1329" s="501" t="s">
        <v>5673</v>
      </c>
      <c r="L1329" s="502" t="s">
        <v>1242</v>
      </c>
      <c r="M1329" s="502">
        <v>44678</v>
      </c>
      <c r="N1329" s="502">
        <v>44713</v>
      </c>
      <c r="O1329" s="502"/>
      <c r="P1329" s="502"/>
      <c r="Q1329" s="502"/>
      <c r="R1329" s="502"/>
      <c r="S1329" s="501" t="s">
        <v>1114</v>
      </c>
      <c r="T1329" s="501">
        <v>60</v>
      </c>
      <c r="U1329" s="501"/>
      <c r="V1329" s="501" t="s">
        <v>973</v>
      </c>
      <c r="W1329" s="505">
        <v>410</v>
      </c>
      <c r="X1329" s="403">
        <v>1536</v>
      </c>
      <c r="Y1329" s="491">
        <f t="shared" si="165"/>
        <v>629760</v>
      </c>
      <c r="Z1329" s="478">
        <v>0.64</v>
      </c>
      <c r="AA1329" s="479">
        <f t="shared" si="162"/>
        <v>403046.40000000002</v>
      </c>
      <c r="AB1329" s="386"/>
      <c r="AC1329" s="481">
        <f t="shared" si="163"/>
        <v>0</v>
      </c>
      <c r="AD1329" s="474"/>
      <c r="AE1329" s="482"/>
      <c r="AF1329" s="493">
        <f t="shared" si="164"/>
        <v>403046.40000000002</v>
      </c>
      <c r="AG1329" s="474" t="s">
        <v>1071</v>
      </c>
      <c r="AH1329" s="447">
        <v>0</v>
      </c>
      <c r="AI1329" s="474">
        <v>60</v>
      </c>
      <c r="AJ1329" s="474" t="s">
        <v>1243</v>
      </c>
      <c r="AK1329" s="474" t="s">
        <v>1244</v>
      </c>
      <c r="AL1329" s="494" t="s">
        <v>1245</v>
      </c>
      <c r="AM1329" s="474" t="s">
        <v>52</v>
      </c>
      <c r="AN1329" s="474" t="s">
        <v>1074</v>
      </c>
      <c r="AO1329" s="474"/>
      <c r="AP1329" s="474"/>
      <c r="AQ1329" s="474" t="s">
        <v>1086</v>
      </c>
      <c r="AR1329" s="474"/>
      <c r="AS1329" s="400" t="s">
        <v>1152</v>
      </c>
      <c r="AT1329" s="387" t="s">
        <v>1076</v>
      </c>
      <c r="AU1329" s="387" t="s">
        <v>1076</v>
      </c>
    </row>
    <row r="1330" spans="1:47" s="471" customFormat="1">
      <c r="A1330" s="410"/>
      <c r="B1330" s="407">
        <v>44634</v>
      </c>
      <c r="C1330" s="407" t="s">
        <v>1211</v>
      </c>
      <c r="D1330" s="501" t="s">
        <v>1066</v>
      </c>
      <c r="E1330" s="405" t="s">
        <v>5009</v>
      </c>
      <c r="F1330" s="501"/>
      <c r="G1330" s="501"/>
      <c r="H1330" s="501"/>
      <c r="I1330" s="512" t="s">
        <v>1676</v>
      </c>
      <c r="J1330" s="502"/>
      <c r="K1330" s="501" t="s">
        <v>5674</v>
      </c>
      <c r="L1330" s="502" t="s">
        <v>1242</v>
      </c>
      <c r="M1330" s="502">
        <v>44678</v>
      </c>
      <c r="N1330" s="502">
        <v>44743</v>
      </c>
      <c r="O1330" s="502"/>
      <c r="P1330" s="502"/>
      <c r="Q1330" s="502"/>
      <c r="R1330" s="502"/>
      <c r="S1330" s="501" t="s">
        <v>1114</v>
      </c>
      <c r="T1330" s="501">
        <v>60</v>
      </c>
      <c r="U1330" s="501"/>
      <c r="V1330" s="501" t="s">
        <v>973</v>
      </c>
      <c r="W1330" s="505">
        <v>410</v>
      </c>
      <c r="X1330" s="403">
        <v>2304</v>
      </c>
      <c r="Y1330" s="491">
        <f t="shared" si="165"/>
        <v>944640</v>
      </c>
      <c r="Z1330" s="478">
        <v>0.64</v>
      </c>
      <c r="AA1330" s="479">
        <f t="shared" si="162"/>
        <v>604569.59999999998</v>
      </c>
      <c r="AB1330" s="386"/>
      <c r="AC1330" s="481">
        <f t="shared" si="163"/>
        <v>0</v>
      </c>
      <c r="AD1330" s="474"/>
      <c r="AE1330" s="482"/>
      <c r="AF1330" s="493">
        <f t="shared" si="164"/>
        <v>604569.59999999998</v>
      </c>
      <c r="AG1330" s="474" t="s">
        <v>1071</v>
      </c>
      <c r="AH1330" s="447">
        <v>0</v>
      </c>
      <c r="AI1330" s="474">
        <v>60</v>
      </c>
      <c r="AJ1330" s="474" t="s">
        <v>1243</v>
      </c>
      <c r="AK1330" s="474" t="s">
        <v>1244</v>
      </c>
      <c r="AL1330" s="494" t="s">
        <v>1245</v>
      </c>
      <c r="AM1330" s="474" t="s">
        <v>52</v>
      </c>
      <c r="AN1330" s="474" t="s">
        <v>1074</v>
      </c>
      <c r="AO1330" s="474"/>
      <c r="AP1330" s="474"/>
      <c r="AQ1330" s="474" t="s">
        <v>1086</v>
      </c>
      <c r="AR1330" s="474"/>
      <c r="AS1330" s="400" t="s">
        <v>1152</v>
      </c>
      <c r="AT1330" s="387" t="s">
        <v>1076</v>
      </c>
      <c r="AU1330" s="387" t="s">
        <v>1076</v>
      </c>
    </row>
    <row r="1331" spans="1:47" s="471" customFormat="1">
      <c r="A1331" s="410"/>
      <c r="B1331" s="407">
        <v>44634</v>
      </c>
      <c r="C1331" s="407" t="s">
        <v>1211</v>
      </c>
      <c r="D1331" s="501" t="s">
        <v>1066</v>
      </c>
      <c r="E1331" s="405" t="s">
        <v>5009</v>
      </c>
      <c r="F1331" s="501"/>
      <c r="G1331" s="501"/>
      <c r="H1331" s="501"/>
      <c r="I1331" s="512" t="s">
        <v>1676</v>
      </c>
      <c r="J1331" s="502"/>
      <c r="K1331" s="501" t="s">
        <v>5675</v>
      </c>
      <c r="L1331" s="502" t="s">
        <v>1242</v>
      </c>
      <c r="M1331" s="502">
        <v>44678</v>
      </c>
      <c r="N1331" s="502">
        <v>44774</v>
      </c>
      <c r="O1331" s="502"/>
      <c r="P1331" s="502"/>
      <c r="Q1331" s="502"/>
      <c r="R1331" s="502"/>
      <c r="S1331" s="501" t="s">
        <v>1114</v>
      </c>
      <c r="T1331" s="501">
        <v>60</v>
      </c>
      <c r="U1331" s="501"/>
      <c r="V1331" s="501" t="s">
        <v>973</v>
      </c>
      <c r="W1331" s="505">
        <v>410</v>
      </c>
      <c r="X1331" s="403">
        <v>1536</v>
      </c>
      <c r="Y1331" s="491">
        <f t="shared" si="165"/>
        <v>629760</v>
      </c>
      <c r="Z1331" s="478">
        <v>0.64</v>
      </c>
      <c r="AA1331" s="479">
        <f t="shared" si="162"/>
        <v>403046.40000000002</v>
      </c>
      <c r="AB1331" s="386"/>
      <c r="AC1331" s="481">
        <f t="shared" si="163"/>
        <v>0</v>
      </c>
      <c r="AD1331" s="474"/>
      <c r="AE1331" s="482"/>
      <c r="AF1331" s="493">
        <f t="shared" si="164"/>
        <v>403046.40000000002</v>
      </c>
      <c r="AG1331" s="474" t="s">
        <v>1071</v>
      </c>
      <c r="AH1331" s="447">
        <v>0</v>
      </c>
      <c r="AI1331" s="474">
        <v>60</v>
      </c>
      <c r="AJ1331" s="474" t="s">
        <v>1243</v>
      </c>
      <c r="AK1331" s="474" t="s">
        <v>1244</v>
      </c>
      <c r="AL1331" s="494" t="s">
        <v>1245</v>
      </c>
      <c r="AM1331" s="474" t="s">
        <v>52</v>
      </c>
      <c r="AN1331" s="474" t="s">
        <v>1074</v>
      </c>
      <c r="AO1331" s="474"/>
      <c r="AP1331" s="474"/>
      <c r="AQ1331" s="474" t="s">
        <v>1086</v>
      </c>
      <c r="AR1331" s="474"/>
      <c r="AS1331" s="400" t="s">
        <v>1152</v>
      </c>
      <c r="AT1331" s="387" t="s">
        <v>1076</v>
      </c>
      <c r="AU1331" s="387" t="s">
        <v>1076</v>
      </c>
    </row>
    <row r="1332" spans="1:47" s="471" customFormat="1">
      <c r="A1332" s="410"/>
      <c r="B1332" s="407">
        <v>44634</v>
      </c>
      <c r="C1332" s="407" t="s">
        <v>1211</v>
      </c>
      <c r="D1332" s="501" t="s">
        <v>1066</v>
      </c>
      <c r="E1332" s="405" t="s">
        <v>5009</v>
      </c>
      <c r="F1332" s="501"/>
      <c r="G1332" s="501"/>
      <c r="H1332" s="501"/>
      <c r="I1332" s="512" t="s">
        <v>1676</v>
      </c>
      <c r="J1332" s="502"/>
      <c r="K1332" s="501" t="s">
        <v>5676</v>
      </c>
      <c r="L1332" s="502" t="s">
        <v>1242</v>
      </c>
      <c r="M1332" s="502">
        <v>44678</v>
      </c>
      <c r="N1332" s="502">
        <v>44805</v>
      </c>
      <c r="O1332" s="502"/>
      <c r="P1332" s="502"/>
      <c r="Q1332" s="502"/>
      <c r="R1332" s="502"/>
      <c r="S1332" s="501" t="s">
        <v>1114</v>
      </c>
      <c r="T1332" s="501">
        <v>60</v>
      </c>
      <c r="U1332" s="501"/>
      <c r="V1332" s="501" t="s">
        <v>973</v>
      </c>
      <c r="W1332" s="505">
        <v>410</v>
      </c>
      <c r="X1332" s="403">
        <v>1536</v>
      </c>
      <c r="Y1332" s="491">
        <f t="shared" si="165"/>
        <v>629760</v>
      </c>
      <c r="Z1332" s="478">
        <v>0.64</v>
      </c>
      <c r="AA1332" s="479">
        <f t="shared" si="162"/>
        <v>403046.40000000002</v>
      </c>
      <c r="AB1332" s="386"/>
      <c r="AC1332" s="481">
        <f t="shared" si="163"/>
        <v>0</v>
      </c>
      <c r="AD1332" s="474"/>
      <c r="AE1332" s="482"/>
      <c r="AF1332" s="493">
        <f t="shared" si="164"/>
        <v>403046.40000000002</v>
      </c>
      <c r="AG1332" s="474" t="s">
        <v>1071</v>
      </c>
      <c r="AH1332" s="447">
        <v>0</v>
      </c>
      <c r="AI1332" s="474">
        <v>60</v>
      </c>
      <c r="AJ1332" s="474" t="s">
        <v>1243</v>
      </c>
      <c r="AK1332" s="474" t="s">
        <v>1244</v>
      </c>
      <c r="AL1332" s="494" t="s">
        <v>1245</v>
      </c>
      <c r="AM1332" s="474" t="s">
        <v>52</v>
      </c>
      <c r="AN1332" s="474" t="s">
        <v>1074</v>
      </c>
      <c r="AO1332" s="474"/>
      <c r="AP1332" s="474"/>
      <c r="AQ1332" s="474" t="s">
        <v>1086</v>
      </c>
      <c r="AR1332" s="474"/>
      <c r="AS1332" s="400" t="s">
        <v>1152</v>
      </c>
      <c r="AT1332" s="387" t="s">
        <v>1076</v>
      </c>
      <c r="AU1332" s="387" t="s">
        <v>1076</v>
      </c>
    </row>
    <row r="1333" spans="1:47" s="471" customFormat="1">
      <c r="A1333" s="410"/>
      <c r="B1333" s="407">
        <v>44634</v>
      </c>
      <c r="C1333" s="407" t="s">
        <v>1211</v>
      </c>
      <c r="D1333" s="501" t="s">
        <v>1066</v>
      </c>
      <c r="E1333" s="405" t="s">
        <v>5009</v>
      </c>
      <c r="F1333" s="501"/>
      <c r="G1333" s="501"/>
      <c r="H1333" s="501"/>
      <c r="I1333" s="512" t="s">
        <v>1676</v>
      </c>
      <c r="J1333" s="502"/>
      <c r="K1333" s="501" t="s">
        <v>5677</v>
      </c>
      <c r="L1333" s="502" t="s">
        <v>1242</v>
      </c>
      <c r="M1333" s="502">
        <v>44678</v>
      </c>
      <c r="N1333" s="502">
        <v>44835</v>
      </c>
      <c r="O1333" s="502"/>
      <c r="P1333" s="502"/>
      <c r="Q1333" s="502"/>
      <c r="R1333" s="502"/>
      <c r="S1333" s="501" t="s">
        <v>1114</v>
      </c>
      <c r="T1333" s="501">
        <v>60</v>
      </c>
      <c r="U1333" s="501"/>
      <c r="V1333" s="501" t="s">
        <v>973</v>
      </c>
      <c r="W1333" s="505">
        <v>410</v>
      </c>
      <c r="X1333" s="403">
        <v>1536</v>
      </c>
      <c r="Y1333" s="491">
        <f t="shared" si="165"/>
        <v>629760</v>
      </c>
      <c r="Z1333" s="478">
        <v>0.64</v>
      </c>
      <c r="AA1333" s="479">
        <f t="shared" si="162"/>
        <v>403046.40000000002</v>
      </c>
      <c r="AB1333" s="386"/>
      <c r="AC1333" s="481">
        <f t="shared" si="163"/>
        <v>0</v>
      </c>
      <c r="AD1333" s="474"/>
      <c r="AE1333" s="482"/>
      <c r="AF1333" s="493">
        <f t="shared" si="164"/>
        <v>403046.40000000002</v>
      </c>
      <c r="AG1333" s="474" t="s">
        <v>1071</v>
      </c>
      <c r="AH1333" s="447">
        <v>0</v>
      </c>
      <c r="AI1333" s="474">
        <v>60</v>
      </c>
      <c r="AJ1333" s="474" t="s">
        <v>1243</v>
      </c>
      <c r="AK1333" s="474" t="s">
        <v>1244</v>
      </c>
      <c r="AL1333" s="494" t="s">
        <v>1245</v>
      </c>
      <c r="AM1333" s="474" t="s">
        <v>52</v>
      </c>
      <c r="AN1333" s="474" t="s">
        <v>1074</v>
      </c>
      <c r="AO1333" s="474"/>
      <c r="AP1333" s="474"/>
      <c r="AQ1333" s="474" t="s">
        <v>1086</v>
      </c>
      <c r="AR1333" s="474"/>
      <c r="AS1333" s="400" t="s">
        <v>1152</v>
      </c>
      <c r="AT1333" s="387" t="s">
        <v>1076</v>
      </c>
      <c r="AU1333" s="387" t="s">
        <v>1076</v>
      </c>
    </row>
    <row r="1334" spans="1:47" s="471" customFormat="1">
      <c r="A1334" s="410"/>
      <c r="B1334" s="407">
        <v>44634</v>
      </c>
      <c r="C1334" s="407" t="s">
        <v>1211</v>
      </c>
      <c r="D1334" s="501" t="s">
        <v>1066</v>
      </c>
      <c r="E1334" s="405" t="s">
        <v>5009</v>
      </c>
      <c r="F1334" s="501"/>
      <c r="G1334" s="501"/>
      <c r="H1334" s="501"/>
      <c r="I1334" s="512" t="s">
        <v>1676</v>
      </c>
      <c r="J1334" s="502"/>
      <c r="K1334" s="501" t="s">
        <v>5678</v>
      </c>
      <c r="L1334" s="502" t="s">
        <v>1242</v>
      </c>
      <c r="M1334" s="502">
        <v>44678</v>
      </c>
      <c r="N1334" s="502">
        <v>44866</v>
      </c>
      <c r="O1334" s="502"/>
      <c r="P1334" s="502"/>
      <c r="Q1334" s="502"/>
      <c r="R1334" s="502"/>
      <c r="S1334" s="501" t="s">
        <v>1114</v>
      </c>
      <c r="T1334" s="501">
        <v>60</v>
      </c>
      <c r="U1334" s="501"/>
      <c r="V1334" s="501" t="s">
        <v>973</v>
      </c>
      <c r="W1334" s="505">
        <v>410</v>
      </c>
      <c r="X1334" s="403">
        <v>1536</v>
      </c>
      <c r="Y1334" s="491">
        <f t="shared" si="165"/>
        <v>629760</v>
      </c>
      <c r="Z1334" s="478">
        <v>0.64</v>
      </c>
      <c r="AA1334" s="479">
        <f t="shared" si="162"/>
        <v>403046.40000000002</v>
      </c>
      <c r="AB1334" s="386"/>
      <c r="AC1334" s="481">
        <f t="shared" si="163"/>
        <v>0</v>
      </c>
      <c r="AD1334" s="474"/>
      <c r="AE1334" s="482"/>
      <c r="AF1334" s="493">
        <f t="shared" si="164"/>
        <v>403046.40000000002</v>
      </c>
      <c r="AG1334" s="474" t="s">
        <v>1071</v>
      </c>
      <c r="AH1334" s="447">
        <v>0</v>
      </c>
      <c r="AI1334" s="474">
        <v>60</v>
      </c>
      <c r="AJ1334" s="474" t="s">
        <v>1243</v>
      </c>
      <c r="AK1334" s="474" t="s">
        <v>1244</v>
      </c>
      <c r="AL1334" s="494" t="s">
        <v>1245</v>
      </c>
      <c r="AM1334" s="474" t="s">
        <v>52</v>
      </c>
      <c r="AN1334" s="474" t="s">
        <v>1074</v>
      </c>
      <c r="AO1334" s="474"/>
      <c r="AP1334" s="474"/>
      <c r="AQ1334" s="474" t="s">
        <v>1086</v>
      </c>
      <c r="AR1334" s="474"/>
      <c r="AS1334" s="400" t="s">
        <v>1152</v>
      </c>
      <c r="AT1334" s="387" t="s">
        <v>1076</v>
      </c>
      <c r="AU1334" s="387" t="s">
        <v>1076</v>
      </c>
    </row>
    <row r="1335" spans="1:47" s="471" customFormat="1">
      <c r="A1335" s="410"/>
      <c r="B1335" s="407">
        <v>44634</v>
      </c>
      <c r="C1335" s="407" t="s">
        <v>1211</v>
      </c>
      <c r="D1335" s="501" t="s">
        <v>1066</v>
      </c>
      <c r="E1335" s="405" t="s">
        <v>5009</v>
      </c>
      <c r="F1335" s="501"/>
      <c r="G1335" s="501"/>
      <c r="H1335" s="501"/>
      <c r="I1335" s="512" t="s">
        <v>1676</v>
      </c>
      <c r="J1335" s="502"/>
      <c r="K1335" s="501" t="s">
        <v>5679</v>
      </c>
      <c r="L1335" s="502" t="s">
        <v>1242</v>
      </c>
      <c r="M1335" s="502">
        <v>44678</v>
      </c>
      <c r="N1335" s="502">
        <v>44896</v>
      </c>
      <c r="O1335" s="502"/>
      <c r="P1335" s="502"/>
      <c r="Q1335" s="502"/>
      <c r="R1335" s="502"/>
      <c r="S1335" s="501" t="s">
        <v>1114</v>
      </c>
      <c r="T1335" s="501">
        <v>60</v>
      </c>
      <c r="U1335" s="501"/>
      <c r="V1335" s="501" t="s">
        <v>973</v>
      </c>
      <c r="W1335" s="505">
        <v>410</v>
      </c>
      <c r="X1335" s="403">
        <v>1536</v>
      </c>
      <c r="Y1335" s="477">
        <f>W1335*X1335</f>
        <v>629760</v>
      </c>
      <c r="Z1335" s="478">
        <v>0.64</v>
      </c>
      <c r="AA1335" s="479">
        <f>Z1335*Y1335</f>
        <v>403046.40000000002</v>
      </c>
      <c r="AB1335" s="386"/>
      <c r="AC1335" s="481">
        <f>AB1335*Y1335</f>
        <v>0</v>
      </c>
      <c r="AD1335" s="474"/>
      <c r="AE1335" s="482"/>
      <c r="AF1335" s="493">
        <f>AE1335+AD1335+AA1335</f>
        <v>403046.40000000002</v>
      </c>
      <c r="AG1335" s="474" t="s">
        <v>1071</v>
      </c>
      <c r="AH1335" s="447">
        <v>0</v>
      </c>
      <c r="AI1335" s="474">
        <v>60</v>
      </c>
      <c r="AJ1335" s="474" t="s">
        <v>1243</v>
      </c>
      <c r="AK1335" s="474" t="s">
        <v>1244</v>
      </c>
      <c r="AL1335" s="494" t="s">
        <v>1245</v>
      </c>
      <c r="AM1335" s="474" t="s">
        <v>52</v>
      </c>
      <c r="AN1335" s="474" t="s">
        <v>1074</v>
      </c>
      <c r="AO1335" s="474"/>
      <c r="AP1335" s="474"/>
      <c r="AQ1335" s="474" t="s">
        <v>1086</v>
      </c>
      <c r="AR1335" s="474"/>
      <c r="AS1335" s="400" t="s">
        <v>1152</v>
      </c>
      <c r="AT1335" s="387" t="s">
        <v>1076</v>
      </c>
      <c r="AU1335" s="387" t="s">
        <v>1076</v>
      </c>
    </row>
    <row r="1336" spans="1:47" s="471" customFormat="1">
      <c r="A1336" s="410"/>
      <c r="B1336" s="407">
        <v>44634</v>
      </c>
      <c r="C1336" s="407" t="s">
        <v>1211</v>
      </c>
      <c r="D1336" s="501" t="s">
        <v>1066</v>
      </c>
      <c r="E1336" s="405" t="s">
        <v>5009</v>
      </c>
      <c r="F1336" s="501"/>
      <c r="G1336" s="501"/>
      <c r="H1336" s="501"/>
      <c r="I1336" s="512" t="s">
        <v>1676</v>
      </c>
      <c r="J1336" s="502"/>
      <c r="K1336" s="501" t="s">
        <v>5825</v>
      </c>
      <c r="L1336" s="502" t="s">
        <v>1242</v>
      </c>
      <c r="M1336" s="502">
        <v>44680</v>
      </c>
      <c r="N1336" s="502">
        <v>44805</v>
      </c>
      <c r="O1336" s="502"/>
      <c r="P1336" s="502"/>
      <c r="Q1336" s="502"/>
      <c r="R1336" s="502"/>
      <c r="S1336" s="501" t="s">
        <v>1114</v>
      </c>
      <c r="T1336" s="501">
        <v>60</v>
      </c>
      <c r="U1336" s="501"/>
      <c r="V1336" s="501" t="s">
        <v>973</v>
      </c>
      <c r="W1336" s="505">
        <v>400</v>
      </c>
      <c r="X1336" s="403">
        <v>1536</v>
      </c>
      <c r="Y1336" s="477">
        <f>W1336*X1336</f>
        <v>614400</v>
      </c>
      <c r="Z1336" s="478">
        <v>0.64</v>
      </c>
      <c r="AA1336" s="479">
        <f>Z1336*Y1336</f>
        <v>393216</v>
      </c>
      <c r="AB1336" s="386"/>
      <c r="AC1336" s="481">
        <f>AB1336*Y1336</f>
        <v>0</v>
      </c>
      <c r="AD1336" s="474"/>
      <c r="AE1336" s="482"/>
      <c r="AF1336" s="493">
        <f>AE1336+AD1336+AA1336</f>
        <v>393216</v>
      </c>
      <c r="AG1336" s="474" t="s">
        <v>1071</v>
      </c>
      <c r="AH1336" s="447">
        <v>0</v>
      </c>
      <c r="AI1336" s="474">
        <v>60</v>
      </c>
      <c r="AJ1336" s="474" t="s">
        <v>1243</v>
      </c>
      <c r="AK1336" s="474" t="s">
        <v>1244</v>
      </c>
      <c r="AL1336" s="494" t="s">
        <v>1245</v>
      </c>
      <c r="AM1336" s="474" t="s">
        <v>52</v>
      </c>
      <c r="AN1336" s="474" t="s">
        <v>1074</v>
      </c>
      <c r="AO1336" s="474"/>
      <c r="AP1336" s="474"/>
      <c r="AQ1336" s="474" t="s">
        <v>1086</v>
      </c>
      <c r="AR1336" s="474"/>
      <c r="AS1336" s="400" t="s">
        <v>1152</v>
      </c>
      <c r="AT1336" s="387" t="s">
        <v>1076</v>
      </c>
      <c r="AU1336" s="387" t="s">
        <v>1076</v>
      </c>
    </row>
    <row r="1337" spans="1:47" s="471" customFormat="1">
      <c r="A1337" s="410"/>
      <c r="B1337" s="407">
        <v>44634</v>
      </c>
      <c r="C1337" s="407" t="s">
        <v>1211</v>
      </c>
      <c r="D1337" s="501" t="s">
        <v>1066</v>
      </c>
      <c r="E1337" s="405" t="s">
        <v>5009</v>
      </c>
      <c r="F1337" s="501"/>
      <c r="G1337" s="501"/>
      <c r="H1337" s="501"/>
      <c r="I1337" s="512" t="s">
        <v>1676</v>
      </c>
      <c r="J1337" s="502"/>
      <c r="K1337" s="501" t="s">
        <v>5826</v>
      </c>
      <c r="L1337" s="502" t="s">
        <v>1242</v>
      </c>
      <c r="M1337" s="502">
        <v>44680</v>
      </c>
      <c r="N1337" s="502">
        <v>44835</v>
      </c>
      <c r="O1337" s="502"/>
      <c r="P1337" s="502"/>
      <c r="Q1337" s="502"/>
      <c r="R1337" s="502"/>
      <c r="S1337" s="501" t="s">
        <v>1114</v>
      </c>
      <c r="T1337" s="501">
        <v>60</v>
      </c>
      <c r="U1337" s="501"/>
      <c r="V1337" s="501" t="s">
        <v>973</v>
      </c>
      <c r="W1337" s="505">
        <v>400</v>
      </c>
      <c r="X1337" s="403">
        <v>2304</v>
      </c>
      <c r="Y1337" s="477">
        <f>W1337*X1337</f>
        <v>921600</v>
      </c>
      <c r="Z1337" s="478">
        <v>0.64</v>
      </c>
      <c r="AA1337" s="479">
        <f>Z1337*Y1337</f>
        <v>589824</v>
      </c>
      <c r="AB1337" s="386"/>
      <c r="AC1337" s="481">
        <f>AB1337*Y1337</f>
        <v>0</v>
      </c>
      <c r="AD1337" s="474"/>
      <c r="AE1337" s="482"/>
      <c r="AF1337" s="493">
        <f>AE1337+AD1337+AA1337</f>
        <v>589824</v>
      </c>
      <c r="AG1337" s="474" t="s">
        <v>1071</v>
      </c>
      <c r="AH1337" s="447">
        <v>0</v>
      </c>
      <c r="AI1337" s="474">
        <v>60</v>
      </c>
      <c r="AJ1337" s="474" t="s">
        <v>1243</v>
      </c>
      <c r="AK1337" s="474" t="s">
        <v>1244</v>
      </c>
      <c r="AL1337" s="494" t="s">
        <v>1245</v>
      </c>
      <c r="AM1337" s="474" t="s">
        <v>52</v>
      </c>
      <c r="AN1337" s="474" t="s">
        <v>1074</v>
      </c>
      <c r="AO1337" s="474"/>
      <c r="AP1337" s="474"/>
      <c r="AQ1337" s="474" t="s">
        <v>1086</v>
      </c>
      <c r="AR1337" s="474"/>
      <c r="AS1337" s="400" t="s">
        <v>1152</v>
      </c>
      <c r="AT1337" s="387" t="s">
        <v>1076</v>
      </c>
      <c r="AU1337" s="387" t="s">
        <v>1076</v>
      </c>
    </row>
    <row r="1338" spans="1:47" s="471" customFormat="1">
      <c r="A1338" s="410"/>
      <c r="B1338" s="407">
        <v>44634</v>
      </c>
      <c r="C1338" s="407" t="s">
        <v>1211</v>
      </c>
      <c r="D1338" s="501" t="s">
        <v>1066</v>
      </c>
      <c r="E1338" s="405" t="s">
        <v>5009</v>
      </c>
      <c r="F1338" s="501"/>
      <c r="G1338" s="501"/>
      <c r="H1338" s="501"/>
      <c r="I1338" s="512" t="s">
        <v>1676</v>
      </c>
      <c r="J1338" s="502"/>
      <c r="K1338" s="501" t="s">
        <v>5827</v>
      </c>
      <c r="L1338" s="502" t="s">
        <v>1242</v>
      </c>
      <c r="M1338" s="502">
        <v>44680</v>
      </c>
      <c r="N1338" s="502">
        <v>44866</v>
      </c>
      <c r="O1338" s="502"/>
      <c r="P1338" s="502"/>
      <c r="Q1338" s="502"/>
      <c r="R1338" s="502"/>
      <c r="S1338" s="501" t="s">
        <v>1114</v>
      </c>
      <c r="T1338" s="501">
        <v>60</v>
      </c>
      <c r="U1338" s="501"/>
      <c r="V1338" s="501" t="s">
        <v>973</v>
      </c>
      <c r="W1338" s="505">
        <v>400</v>
      </c>
      <c r="X1338" s="403">
        <v>2304</v>
      </c>
      <c r="Y1338" s="477">
        <f>W1338*X1338</f>
        <v>921600</v>
      </c>
      <c r="Z1338" s="478">
        <v>0.64</v>
      </c>
      <c r="AA1338" s="479">
        <f>Z1338*Y1338</f>
        <v>589824</v>
      </c>
      <c r="AB1338" s="386"/>
      <c r="AC1338" s="481">
        <f>AB1338*Y1338</f>
        <v>0</v>
      </c>
      <c r="AD1338" s="474"/>
      <c r="AE1338" s="482"/>
      <c r="AF1338" s="493">
        <f>AE1338+AD1338+AA1338</f>
        <v>589824</v>
      </c>
      <c r="AG1338" s="474" t="s">
        <v>1071</v>
      </c>
      <c r="AH1338" s="447">
        <v>0</v>
      </c>
      <c r="AI1338" s="474">
        <v>60</v>
      </c>
      <c r="AJ1338" s="474" t="s">
        <v>1243</v>
      </c>
      <c r="AK1338" s="474" t="s">
        <v>1244</v>
      </c>
      <c r="AL1338" s="494" t="s">
        <v>1245</v>
      </c>
      <c r="AM1338" s="474" t="s">
        <v>52</v>
      </c>
      <c r="AN1338" s="474" t="s">
        <v>1074</v>
      </c>
      <c r="AO1338" s="474"/>
      <c r="AP1338" s="474"/>
      <c r="AQ1338" s="474" t="s">
        <v>1086</v>
      </c>
      <c r="AR1338" s="474"/>
      <c r="AS1338" s="400" t="s">
        <v>1152</v>
      </c>
      <c r="AT1338" s="387" t="s">
        <v>1076</v>
      </c>
      <c r="AU1338" s="387" t="s">
        <v>1076</v>
      </c>
    </row>
    <row r="1339" spans="1:47" s="471" customFormat="1">
      <c r="A1339" s="410"/>
      <c r="B1339" s="407">
        <v>44634</v>
      </c>
      <c r="C1339" s="407" t="s">
        <v>1211</v>
      </c>
      <c r="D1339" s="501" t="s">
        <v>1066</v>
      </c>
      <c r="E1339" s="405" t="s">
        <v>5009</v>
      </c>
      <c r="F1339" s="501"/>
      <c r="G1339" s="501"/>
      <c r="H1339" s="501"/>
      <c r="I1339" s="512" t="s">
        <v>1676</v>
      </c>
      <c r="J1339" s="502"/>
      <c r="K1339" s="501" t="s">
        <v>5828</v>
      </c>
      <c r="L1339" s="502" t="s">
        <v>1242</v>
      </c>
      <c r="M1339" s="502">
        <v>44680</v>
      </c>
      <c r="N1339" s="502">
        <v>44896</v>
      </c>
      <c r="O1339" s="502"/>
      <c r="P1339" s="502"/>
      <c r="Q1339" s="502"/>
      <c r="R1339" s="502"/>
      <c r="S1339" s="501" t="s">
        <v>1114</v>
      </c>
      <c r="T1339" s="501">
        <v>60</v>
      </c>
      <c r="U1339" s="501"/>
      <c r="V1339" s="501" t="s">
        <v>973</v>
      </c>
      <c r="W1339" s="505">
        <v>400</v>
      </c>
      <c r="X1339" s="403">
        <v>1536</v>
      </c>
      <c r="Y1339" s="491">
        <f t="shared" si="165"/>
        <v>614400</v>
      </c>
      <c r="Z1339" s="478">
        <v>0.64</v>
      </c>
      <c r="AA1339" s="479">
        <f t="shared" si="162"/>
        <v>393216</v>
      </c>
      <c r="AB1339" s="386"/>
      <c r="AC1339" s="481">
        <f t="shared" si="163"/>
        <v>0</v>
      </c>
      <c r="AD1339" s="474"/>
      <c r="AE1339" s="482"/>
      <c r="AF1339" s="493">
        <f t="shared" si="164"/>
        <v>393216</v>
      </c>
      <c r="AG1339" s="474" t="s">
        <v>1071</v>
      </c>
      <c r="AH1339" s="447">
        <v>0</v>
      </c>
      <c r="AI1339" s="474">
        <v>60</v>
      </c>
      <c r="AJ1339" s="474" t="s">
        <v>1243</v>
      </c>
      <c r="AK1339" s="474" t="s">
        <v>1244</v>
      </c>
      <c r="AL1339" s="494" t="s">
        <v>1245</v>
      </c>
      <c r="AM1339" s="474" t="s">
        <v>52</v>
      </c>
      <c r="AN1339" s="474" t="s">
        <v>1074</v>
      </c>
      <c r="AO1339" s="474"/>
      <c r="AP1339" s="474"/>
      <c r="AQ1339" s="474" t="s">
        <v>1086</v>
      </c>
      <c r="AR1339" s="474"/>
      <c r="AS1339" s="400" t="s">
        <v>1152</v>
      </c>
      <c r="AT1339" s="387" t="s">
        <v>1076</v>
      </c>
      <c r="AU1339" s="387" t="s">
        <v>1076</v>
      </c>
    </row>
    <row r="1340" spans="1:47" s="471" customFormat="1">
      <c r="A1340" s="495"/>
      <c r="B1340" s="495" t="s">
        <v>1211</v>
      </c>
      <c r="C1340" s="495" t="s">
        <v>1211</v>
      </c>
      <c r="D1340" s="405" t="s">
        <v>1066</v>
      </c>
      <c r="E1340" s="501" t="s">
        <v>1097</v>
      </c>
      <c r="F1340" s="501"/>
      <c r="G1340" s="501"/>
      <c r="H1340" s="501"/>
      <c r="I1340" s="501" t="s">
        <v>1676</v>
      </c>
      <c r="J1340" s="502"/>
      <c r="K1340" s="501" t="s">
        <v>5015</v>
      </c>
      <c r="L1340" s="502" t="s">
        <v>1219</v>
      </c>
      <c r="M1340" s="502">
        <v>44573</v>
      </c>
      <c r="N1340" s="502">
        <v>44784</v>
      </c>
      <c r="O1340" s="502"/>
      <c r="P1340" s="502"/>
      <c r="Q1340" s="502"/>
      <c r="R1340" s="502"/>
      <c r="S1340" s="501" t="s">
        <v>1114</v>
      </c>
      <c r="T1340" s="501">
        <v>60</v>
      </c>
      <c r="U1340" s="501"/>
      <c r="V1340" s="501" t="s">
        <v>973</v>
      </c>
      <c r="W1340" s="505">
        <v>400</v>
      </c>
      <c r="X1340" s="403">
        <v>768</v>
      </c>
      <c r="Y1340" s="477">
        <f t="shared" ref="Y1340:Y1395" si="166">X1340*W1340</f>
        <v>307200</v>
      </c>
      <c r="Z1340" s="478">
        <v>0.55000000000000004</v>
      </c>
      <c r="AA1340" s="479">
        <f t="shared" si="162"/>
        <v>168960</v>
      </c>
      <c r="AB1340" s="480"/>
      <c r="AC1340" s="481">
        <f t="shared" si="163"/>
        <v>0</v>
      </c>
      <c r="AD1340" s="490"/>
      <c r="AE1340" s="482"/>
      <c r="AF1340" s="493">
        <f t="shared" si="164"/>
        <v>168960</v>
      </c>
      <c r="AG1340" s="474" t="s">
        <v>1071</v>
      </c>
      <c r="AH1340" s="474">
        <v>0</v>
      </c>
      <c r="AI1340" s="474">
        <v>60</v>
      </c>
      <c r="AJ1340" s="474" t="s">
        <v>1220</v>
      </c>
      <c r="AK1340" s="474" t="s">
        <v>1221</v>
      </c>
      <c r="AL1340" s="494">
        <v>43125</v>
      </c>
      <c r="AM1340" s="474" t="s">
        <v>52</v>
      </c>
      <c r="AN1340" s="474" t="s">
        <v>1074</v>
      </c>
      <c r="AO1340" s="474"/>
      <c r="AP1340" s="482"/>
      <c r="AQ1340" s="482" t="s">
        <v>1086</v>
      </c>
      <c r="AR1340" s="474" t="s">
        <v>1216</v>
      </c>
      <c r="AS1340" s="399" t="s">
        <v>1075</v>
      </c>
      <c r="AT1340" s="436" t="s">
        <v>1087</v>
      </c>
      <c r="AU1340" s="436" t="s">
        <v>1076</v>
      </c>
    </row>
    <row r="1341" spans="1:47" s="471" customFormat="1">
      <c r="A1341" s="495"/>
      <c r="B1341" s="495" t="s">
        <v>1211</v>
      </c>
      <c r="C1341" s="495" t="s">
        <v>1211</v>
      </c>
      <c r="D1341" s="405" t="s">
        <v>1066</v>
      </c>
      <c r="E1341" s="501" t="s">
        <v>1097</v>
      </c>
      <c r="F1341" s="501"/>
      <c r="G1341" s="501"/>
      <c r="H1341" s="501"/>
      <c r="I1341" s="501" t="s">
        <v>1676</v>
      </c>
      <c r="J1341" s="502"/>
      <c r="K1341" s="501" t="s">
        <v>5016</v>
      </c>
      <c r="L1341" s="502" t="s">
        <v>1219</v>
      </c>
      <c r="M1341" s="502">
        <v>44635</v>
      </c>
      <c r="N1341" s="502">
        <v>44718</v>
      </c>
      <c r="O1341" s="502"/>
      <c r="P1341" s="502"/>
      <c r="Q1341" s="502"/>
      <c r="R1341" s="502"/>
      <c r="S1341" s="501" t="s">
        <v>1114</v>
      </c>
      <c r="T1341" s="501">
        <v>60</v>
      </c>
      <c r="U1341" s="501"/>
      <c r="V1341" s="501" t="s">
        <v>973</v>
      </c>
      <c r="W1341" s="505">
        <v>400</v>
      </c>
      <c r="X1341" s="403">
        <v>1536</v>
      </c>
      <c r="Y1341" s="477">
        <f t="shared" si="166"/>
        <v>614400</v>
      </c>
      <c r="Z1341" s="478">
        <v>0.55000000000000004</v>
      </c>
      <c r="AA1341" s="479">
        <f t="shared" si="162"/>
        <v>337920</v>
      </c>
      <c r="AB1341" s="480"/>
      <c r="AC1341" s="481">
        <f t="shared" si="163"/>
        <v>0</v>
      </c>
      <c r="AD1341" s="490"/>
      <c r="AE1341" s="482"/>
      <c r="AF1341" s="493">
        <f t="shared" si="164"/>
        <v>337920</v>
      </c>
      <c r="AG1341" s="474" t="s">
        <v>1071</v>
      </c>
      <c r="AH1341" s="474">
        <v>0</v>
      </c>
      <c r="AI1341" s="474">
        <v>60</v>
      </c>
      <c r="AJ1341" s="474" t="s">
        <v>1220</v>
      </c>
      <c r="AK1341" s="474" t="s">
        <v>1221</v>
      </c>
      <c r="AL1341" s="494">
        <v>43125</v>
      </c>
      <c r="AM1341" s="474" t="s">
        <v>52</v>
      </c>
      <c r="AN1341" s="474" t="s">
        <v>1074</v>
      </c>
      <c r="AO1341" s="474"/>
      <c r="AP1341" s="482"/>
      <c r="AQ1341" s="482"/>
      <c r="AR1341" s="474"/>
      <c r="AS1341" s="399"/>
      <c r="AT1341" s="436"/>
      <c r="AU1341" s="436"/>
    </row>
    <row r="1342" spans="1:47" s="471" customFormat="1">
      <c r="A1342" s="495"/>
      <c r="B1342" s="495" t="s">
        <v>1211</v>
      </c>
      <c r="C1342" s="495" t="s">
        <v>1211</v>
      </c>
      <c r="D1342" s="405" t="s">
        <v>1066</v>
      </c>
      <c r="E1342" s="501" t="s">
        <v>1097</v>
      </c>
      <c r="F1342" s="501"/>
      <c r="G1342" s="501"/>
      <c r="H1342" s="501"/>
      <c r="I1342" s="501" t="s">
        <v>1676</v>
      </c>
      <c r="J1342" s="502"/>
      <c r="K1342" s="501" t="s">
        <v>5017</v>
      </c>
      <c r="L1342" s="502" t="s">
        <v>1219</v>
      </c>
      <c r="M1342" s="502">
        <v>44635</v>
      </c>
      <c r="N1342" s="502">
        <v>44743</v>
      </c>
      <c r="O1342" s="502"/>
      <c r="P1342" s="502"/>
      <c r="Q1342" s="502"/>
      <c r="R1342" s="502"/>
      <c r="S1342" s="501" t="s">
        <v>1114</v>
      </c>
      <c r="T1342" s="501">
        <v>60</v>
      </c>
      <c r="U1342" s="501"/>
      <c r="V1342" s="501" t="s">
        <v>973</v>
      </c>
      <c r="W1342" s="505">
        <v>400</v>
      </c>
      <c r="X1342" s="403">
        <v>1536</v>
      </c>
      <c r="Y1342" s="477">
        <f t="shared" si="166"/>
        <v>614400</v>
      </c>
      <c r="Z1342" s="478">
        <v>0.55000000000000004</v>
      </c>
      <c r="AA1342" s="479">
        <f t="shared" si="162"/>
        <v>337920</v>
      </c>
      <c r="AB1342" s="480"/>
      <c r="AC1342" s="481">
        <f t="shared" si="163"/>
        <v>0</v>
      </c>
      <c r="AD1342" s="490"/>
      <c r="AE1342" s="482"/>
      <c r="AF1342" s="493">
        <f t="shared" si="164"/>
        <v>337920</v>
      </c>
      <c r="AG1342" s="474" t="s">
        <v>1071</v>
      </c>
      <c r="AH1342" s="474">
        <v>0</v>
      </c>
      <c r="AI1342" s="474">
        <v>60</v>
      </c>
      <c r="AJ1342" s="474" t="s">
        <v>1220</v>
      </c>
      <c r="AK1342" s="474" t="s">
        <v>1221</v>
      </c>
      <c r="AL1342" s="494">
        <v>43125</v>
      </c>
      <c r="AM1342" s="474" t="s">
        <v>52</v>
      </c>
      <c r="AN1342" s="474" t="s">
        <v>1074</v>
      </c>
      <c r="AO1342" s="474"/>
      <c r="AP1342" s="482"/>
      <c r="AQ1342" s="482"/>
      <c r="AR1342" s="474"/>
      <c r="AS1342" s="399"/>
      <c r="AT1342" s="436"/>
      <c r="AU1342" s="436"/>
    </row>
    <row r="1343" spans="1:47" s="471" customFormat="1">
      <c r="A1343" s="495"/>
      <c r="B1343" s="495" t="s">
        <v>1211</v>
      </c>
      <c r="C1343" s="495" t="s">
        <v>1211</v>
      </c>
      <c r="D1343" s="405" t="s">
        <v>1066</v>
      </c>
      <c r="E1343" s="501" t="s">
        <v>1097</v>
      </c>
      <c r="F1343" s="501"/>
      <c r="G1343" s="501"/>
      <c r="H1343" s="501"/>
      <c r="I1343" s="501" t="s">
        <v>1676</v>
      </c>
      <c r="J1343" s="502"/>
      <c r="K1343" s="501" t="s">
        <v>5018</v>
      </c>
      <c r="L1343" s="502" t="s">
        <v>1219</v>
      </c>
      <c r="M1343" s="502">
        <v>44635</v>
      </c>
      <c r="N1343" s="502">
        <v>44774</v>
      </c>
      <c r="O1343" s="502"/>
      <c r="P1343" s="502"/>
      <c r="Q1343" s="502"/>
      <c r="R1343" s="502"/>
      <c r="S1343" s="501" t="s">
        <v>1114</v>
      </c>
      <c r="T1343" s="501">
        <v>60</v>
      </c>
      <c r="U1343" s="501"/>
      <c r="V1343" s="501" t="s">
        <v>973</v>
      </c>
      <c r="W1343" s="505">
        <v>400</v>
      </c>
      <c r="X1343" s="403">
        <v>1536</v>
      </c>
      <c r="Y1343" s="477">
        <f t="shared" si="166"/>
        <v>614400</v>
      </c>
      <c r="Z1343" s="478">
        <v>0.55000000000000004</v>
      </c>
      <c r="AA1343" s="479">
        <f t="shared" si="162"/>
        <v>337920</v>
      </c>
      <c r="AB1343" s="480"/>
      <c r="AC1343" s="481">
        <f t="shared" si="163"/>
        <v>0</v>
      </c>
      <c r="AD1343" s="490"/>
      <c r="AE1343" s="482"/>
      <c r="AF1343" s="493">
        <f t="shared" si="164"/>
        <v>337920</v>
      </c>
      <c r="AG1343" s="474" t="s">
        <v>1071</v>
      </c>
      <c r="AH1343" s="474">
        <v>0</v>
      </c>
      <c r="AI1343" s="474">
        <v>60</v>
      </c>
      <c r="AJ1343" s="474" t="s">
        <v>1220</v>
      </c>
      <c r="AK1343" s="474" t="s">
        <v>1221</v>
      </c>
      <c r="AL1343" s="494">
        <v>43125</v>
      </c>
      <c r="AM1343" s="474" t="s">
        <v>52</v>
      </c>
      <c r="AN1343" s="474" t="s">
        <v>1074</v>
      </c>
      <c r="AO1343" s="474"/>
      <c r="AP1343" s="482"/>
      <c r="AQ1343" s="482"/>
      <c r="AR1343" s="474"/>
      <c r="AS1343" s="399"/>
      <c r="AT1343" s="436"/>
      <c r="AU1343" s="436"/>
    </row>
    <row r="1344" spans="1:47" s="471" customFormat="1">
      <c r="A1344" s="495"/>
      <c r="B1344" s="495" t="s">
        <v>1211</v>
      </c>
      <c r="C1344" s="495" t="s">
        <v>1211</v>
      </c>
      <c r="D1344" s="405" t="s">
        <v>1066</v>
      </c>
      <c r="E1344" s="501" t="s">
        <v>1097</v>
      </c>
      <c r="F1344" s="501"/>
      <c r="G1344" s="501"/>
      <c r="H1344" s="501"/>
      <c r="I1344" s="501" t="s">
        <v>1676</v>
      </c>
      <c r="J1344" s="502"/>
      <c r="K1344" s="501" t="s">
        <v>5019</v>
      </c>
      <c r="L1344" s="502" t="s">
        <v>1219</v>
      </c>
      <c r="M1344" s="502">
        <v>44635</v>
      </c>
      <c r="N1344" s="502">
        <v>44805</v>
      </c>
      <c r="O1344" s="502"/>
      <c r="P1344" s="502"/>
      <c r="Q1344" s="502"/>
      <c r="R1344" s="502"/>
      <c r="S1344" s="501" t="s">
        <v>1114</v>
      </c>
      <c r="T1344" s="501">
        <v>60</v>
      </c>
      <c r="U1344" s="501"/>
      <c r="V1344" s="501" t="s">
        <v>973</v>
      </c>
      <c r="W1344" s="505">
        <v>400</v>
      </c>
      <c r="X1344" s="403">
        <v>1536</v>
      </c>
      <c r="Y1344" s="477">
        <f t="shared" si="166"/>
        <v>614400</v>
      </c>
      <c r="Z1344" s="478">
        <v>0.55000000000000004</v>
      </c>
      <c r="AA1344" s="479">
        <f t="shared" si="162"/>
        <v>337920</v>
      </c>
      <c r="AB1344" s="480"/>
      <c r="AC1344" s="481">
        <f t="shared" si="163"/>
        <v>0</v>
      </c>
      <c r="AD1344" s="490"/>
      <c r="AE1344" s="482"/>
      <c r="AF1344" s="493">
        <f t="shared" si="164"/>
        <v>337920</v>
      </c>
      <c r="AG1344" s="474" t="s">
        <v>1071</v>
      </c>
      <c r="AH1344" s="474">
        <v>0</v>
      </c>
      <c r="AI1344" s="474">
        <v>60</v>
      </c>
      <c r="AJ1344" s="474" t="s">
        <v>1220</v>
      </c>
      <c r="AK1344" s="474" t="s">
        <v>1221</v>
      </c>
      <c r="AL1344" s="494">
        <v>43125</v>
      </c>
      <c r="AM1344" s="474" t="s">
        <v>52</v>
      </c>
      <c r="AN1344" s="474" t="s">
        <v>1074</v>
      </c>
      <c r="AO1344" s="474"/>
      <c r="AP1344" s="482"/>
      <c r="AQ1344" s="482"/>
      <c r="AR1344" s="474"/>
      <c r="AS1344" s="399"/>
      <c r="AT1344" s="436"/>
      <c r="AU1344" s="436"/>
    </row>
    <row r="1345" spans="1:47" s="471" customFormat="1">
      <c r="A1345" s="495"/>
      <c r="B1345" s="495" t="s">
        <v>1211</v>
      </c>
      <c r="C1345" s="495" t="s">
        <v>1211</v>
      </c>
      <c r="D1345" s="405" t="s">
        <v>1066</v>
      </c>
      <c r="E1345" s="501" t="s">
        <v>1097</v>
      </c>
      <c r="F1345" s="501"/>
      <c r="G1345" s="501"/>
      <c r="H1345" s="501"/>
      <c r="I1345" s="501" t="s">
        <v>1676</v>
      </c>
      <c r="J1345" s="502"/>
      <c r="K1345" s="501" t="s">
        <v>5020</v>
      </c>
      <c r="L1345" s="502" t="s">
        <v>1219</v>
      </c>
      <c r="M1345" s="502">
        <v>44635</v>
      </c>
      <c r="N1345" s="502">
        <v>44835</v>
      </c>
      <c r="O1345" s="502"/>
      <c r="P1345" s="502"/>
      <c r="Q1345" s="502"/>
      <c r="R1345" s="502"/>
      <c r="S1345" s="501" t="s">
        <v>1114</v>
      </c>
      <c r="T1345" s="501">
        <v>60</v>
      </c>
      <c r="U1345" s="501"/>
      <c r="V1345" s="501" t="s">
        <v>973</v>
      </c>
      <c r="W1345" s="505">
        <v>400</v>
      </c>
      <c r="X1345" s="403">
        <v>1536</v>
      </c>
      <c r="Y1345" s="477">
        <f t="shared" si="166"/>
        <v>614400</v>
      </c>
      <c r="Z1345" s="478">
        <v>0.55000000000000004</v>
      </c>
      <c r="AA1345" s="479">
        <f t="shared" si="162"/>
        <v>337920</v>
      </c>
      <c r="AB1345" s="480"/>
      <c r="AC1345" s="481">
        <f t="shared" si="163"/>
        <v>0</v>
      </c>
      <c r="AD1345" s="490"/>
      <c r="AE1345" s="482"/>
      <c r="AF1345" s="493">
        <f t="shared" si="164"/>
        <v>337920</v>
      </c>
      <c r="AG1345" s="474" t="s">
        <v>1071</v>
      </c>
      <c r="AH1345" s="474">
        <v>0</v>
      </c>
      <c r="AI1345" s="474">
        <v>60</v>
      </c>
      <c r="AJ1345" s="474" t="s">
        <v>1220</v>
      </c>
      <c r="AK1345" s="474" t="s">
        <v>1221</v>
      </c>
      <c r="AL1345" s="494">
        <v>43125</v>
      </c>
      <c r="AM1345" s="474" t="s">
        <v>52</v>
      </c>
      <c r="AN1345" s="474" t="s">
        <v>1074</v>
      </c>
      <c r="AO1345" s="474"/>
      <c r="AP1345" s="482"/>
      <c r="AQ1345" s="482"/>
      <c r="AR1345" s="474"/>
      <c r="AS1345" s="399"/>
      <c r="AT1345" s="436"/>
      <c r="AU1345" s="436"/>
    </row>
    <row r="1346" spans="1:47" s="471" customFormat="1">
      <c r="A1346" s="495"/>
      <c r="B1346" s="495" t="s">
        <v>1211</v>
      </c>
      <c r="C1346" s="495" t="s">
        <v>1211</v>
      </c>
      <c r="D1346" s="405" t="s">
        <v>1066</v>
      </c>
      <c r="E1346" s="501" t="s">
        <v>1097</v>
      </c>
      <c r="F1346" s="501"/>
      <c r="G1346" s="501"/>
      <c r="H1346" s="501"/>
      <c r="I1346" s="501" t="s">
        <v>1676</v>
      </c>
      <c r="J1346" s="502"/>
      <c r="K1346" s="501" t="s">
        <v>5021</v>
      </c>
      <c r="L1346" s="502" t="s">
        <v>1219</v>
      </c>
      <c r="M1346" s="502">
        <v>44635</v>
      </c>
      <c r="N1346" s="502">
        <v>44866</v>
      </c>
      <c r="O1346" s="502"/>
      <c r="P1346" s="502"/>
      <c r="Q1346" s="502"/>
      <c r="R1346" s="502"/>
      <c r="S1346" s="501" t="s">
        <v>1114</v>
      </c>
      <c r="T1346" s="501">
        <v>60</v>
      </c>
      <c r="U1346" s="501"/>
      <c r="V1346" s="501" t="s">
        <v>973</v>
      </c>
      <c r="W1346" s="505">
        <v>400</v>
      </c>
      <c r="X1346" s="403">
        <v>1536</v>
      </c>
      <c r="Y1346" s="477">
        <f t="shared" si="166"/>
        <v>614400</v>
      </c>
      <c r="Z1346" s="478">
        <v>0.55000000000000004</v>
      </c>
      <c r="AA1346" s="479">
        <f t="shared" si="162"/>
        <v>337920</v>
      </c>
      <c r="AB1346" s="480"/>
      <c r="AC1346" s="481">
        <f t="shared" si="163"/>
        <v>0</v>
      </c>
      <c r="AD1346" s="490"/>
      <c r="AE1346" s="482"/>
      <c r="AF1346" s="493">
        <f t="shared" si="164"/>
        <v>337920</v>
      </c>
      <c r="AG1346" s="474" t="s">
        <v>1071</v>
      </c>
      <c r="AH1346" s="474">
        <v>0</v>
      </c>
      <c r="AI1346" s="474">
        <v>60</v>
      </c>
      <c r="AJ1346" s="474" t="s">
        <v>1220</v>
      </c>
      <c r="AK1346" s="474" t="s">
        <v>1221</v>
      </c>
      <c r="AL1346" s="494">
        <v>43125</v>
      </c>
      <c r="AM1346" s="474" t="s">
        <v>52</v>
      </c>
      <c r="AN1346" s="474" t="s">
        <v>1074</v>
      </c>
      <c r="AO1346" s="474"/>
      <c r="AP1346" s="482"/>
      <c r="AQ1346" s="482"/>
      <c r="AR1346" s="474"/>
      <c r="AS1346" s="399"/>
      <c r="AT1346" s="436"/>
      <c r="AU1346" s="436"/>
    </row>
    <row r="1347" spans="1:47" s="471" customFormat="1">
      <c r="A1347" s="495"/>
      <c r="B1347" s="495" t="s">
        <v>1211</v>
      </c>
      <c r="C1347" s="495" t="s">
        <v>1211</v>
      </c>
      <c r="D1347" s="405" t="s">
        <v>1066</v>
      </c>
      <c r="E1347" s="501" t="s">
        <v>1097</v>
      </c>
      <c r="F1347" s="501"/>
      <c r="G1347" s="501"/>
      <c r="H1347" s="501"/>
      <c r="I1347" s="501" t="s">
        <v>1676</v>
      </c>
      <c r="J1347" s="502"/>
      <c r="K1347" s="501" t="s">
        <v>5022</v>
      </c>
      <c r="L1347" s="502" t="s">
        <v>1219</v>
      </c>
      <c r="M1347" s="502">
        <v>44635</v>
      </c>
      <c r="N1347" s="502">
        <v>44896</v>
      </c>
      <c r="O1347" s="502"/>
      <c r="P1347" s="502"/>
      <c r="Q1347" s="502"/>
      <c r="R1347" s="502"/>
      <c r="S1347" s="501" t="s">
        <v>1114</v>
      </c>
      <c r="T1347" s="501">
        <v>60</v>
      </c>
      <c r="U1347" s="501"/>
      <c r="V1347" s="501" t="s">
        <v>973</v>
      </c>
      <c r="W1347" s="505">
        <v>400</v>
      </c>
      <c r="X1347" s="403">
        <v>1536</v>
      </c>
      <c r="Y1347" s="477">
        <f t="shared" si="166"/>
        <v>614400</v>
      </c>
      <c r="Z1347" s="478">
        <v>0.55000000000000004</v>
      </c>
      <c r="AA1347" s="479">
        <f t="shared" si="162"/>
        <v>337920</v>
      </c>
      <c r="AB1347" s="480"/>
      <c r="AC1347" s="481">
        <f t="shared" si="163"/>
        <v>0</v>
      </c>
      <c r="AD1347" s="490"/>
      <c r="AE1347" s="482"/>
      <c r="AF1347" s="493">
        <f t="shared" si="164"/>
        <v>337920</v>
      </c>
      <c r="AG1347" s="474" t="s">
        <v>1071</v>
      </c>
      <c r="AH1347" s="474">
        <v>0</v>
      </c>
      <c r="AI1347" s="474">
        <v>60</v>
      </c>
      <c r="AJ1347" s="474" t="s">
        <v>1220</v>
      </c>
      <c r="AK1347" s="474" t="s">
        <v>1221</v>
      </c>
      <c r="AL1347" s="494">
        <v>43125</v>
      </c>
      <c r="AM1347" s="474" t="s">
        <v>52</v>
      </c>
      <c r="AN1347" s="474" t="s">
        <v>1074</v>
      </c>
      <c r="AO1347" s="474"/>
      <c r="AP1347" s="482"/>
      <c r="AQ1347" s="482"/>
      <c r="AR1347" s="474"/>
      <c r="AS1347" s="399"/>
      <c r="AT1347" s="436"/>
      <c r="AU1347" s="436"/>
    </row>
    <row r="1348" spans="1:47" s="471" customFormat="1">
      <c r="A1348" s="495"/>
      <c r="B1348" s="495" t="s">
        <v>1211</v>
      </c>
      <c r="C1348" s="495" t="s">
        <v>1211</v>
      </c>
      <c r="D1348" s="405" t="s">
        <v>1066</v>
      </c>
      <c r="E1348" s="501" t="s">
        <v>1097</v>
      </c>
      <c r="F1348" s="501"/>
      <c r="G1348" s="501"/>
      <c r="H1348" s="501"/>
      <c r="I1348" s="501" t="s">
        <v>1676</v>
      </c>
      <c r="J1348" s="502"/>
      <c r="K1348" s="501" t="s">
        <v>5680</v>
      </c>
      <c r="L1348" s="502" t="s">
        <v>1219</v>
      </c>
      <c r="M1348" s="502">
        <v>44678</v>
      </c>
      <c r="N1348" s="502">
        <v>44713</v>
      </c>
      <c r="O1348" s="502"/>
      <c r="P1348" s="502"/>
      <c r="Q1348" s="502"/>
      <c r="R1348" s="502"/>
      <c r="S1348" s="501" t="s">
        <v>1114</v>
      </c>
      <c r="T1348" s="501">
        <v>60</v>
      </c>
      <c r="U1348" s="501"/>
      <c r="V1348" s="501" t="s">
        <v>973</v>
      </c>
      <c r="W1348" s="505">
        <v>410</v>
      </c>
      <c r="X1348" s="403">
        <v>2304</v>
      </c>
      <c r="Y1348" s="477">
        <f t="shared" si="166"/>
        <v>944640</v>
      </c>
      <c r="Z1348" s="478">
        <v>0.64</v>
      </c>
      <c r="AA1348" s="479">
        <f t="shared" si="162"/>
        <v>604569.59999999998</v>
      </c>
      <c r="AB1348" s="480"/>
      <c r="AC1348" s="481">
        <f t="shared" si="163"/>
        <v>0</v>
      </c>
      <c r="AD1348" s="490"/>
      <c r="AE1348" s="482"/>
      <c r="AF1348" s="493">
        <f t="shared" si="164"/>
        <v>604569.59999999998</v>
      </c>
      <c r="AG1348" s="474" t="s">
        <v>1071</v>
      </c>
      <c r="AH1348" s="474">
        <v>0</v>
      </c>
      <c r="AI1348" s="474">
        <v>60</v>
      </c>
      <c r="AJ1348" s="474" t="s">
        <v>1220</v>
      </c>
      <c r="AK1348" s="474" t="s">
        <v>1221</v>
      </c>
      <c r="AL1348" s="494">
        <v>43125</v>
      </c>
      <c r="AM1348" s="474" t="s">
        <v>52</v>
      </c>
      <c r="AN1348" s="474" t="s">
        <v>1074</v>
      </c>
      <c r="AO1348" s="474"/>
      <c r="AP1348" s="482"/>
      <c r="AQ1348" s="482"/>
      <c r="AR1348" s="474"/>
      <c r="AS1348" s="399"/>
      <c r="AT1348" s="436"/>
      <c r="AU1348" s="436"/>
    </row>
    <row r="1349" spans="1:47" s="471" customFormat="1">
      <c r="A1349" s="495"/>
      <c r="B1349" s="495" t="s">
        <v>1211</v>
      </c>
      <c r="C1349" s="495" t="s">
        <v>1211</v>
      </c>
      <c r="D1349" s="405" t="s">
        <v>1066</v>
      </c>
      <c r="E1349" s="501" t="s">
        <v>1097</v>
      </c>
      <c r="F1349" s="501"/>
      <c r="G1349" s="501"/>
      <c r="H1349" s="501"/>
      <c r="I1349" s="501" t="s">
        <v>1676</v>
      </c>
      <c r="J1349" s="502"/>
      <c r="K1349" s="501" t="s">
        <v>5681</v>
      </c>
      <c r="L1349" s="502" t="s">
        <v>1219</v>
      </c>
      <c r="M1349" s="502">
        <v>44678</v>
      </c>
      <c r="N1349" s="502">
        <v>44743</v>
      </c>
      <c r="O1349" s="502"/>
      <c r="P1349" s="502"/>
      <c r="Q1349" s="502"/>
      <c r="R1349" s="502"/>
      <c r="S1349" s="501" t="s">
        <v>1114</v>
      </c>
      <c r="T1349" s="501">
        <v>60</v>
      </c>
      <c r="U1349" s="501"/>
      <c r="V1349" s="501" t="s">
        <v>973</v>
      </c>
      <c r="W1349" s="505">
        <v>410</v>
      </c>
      <c r="X1349" s="403">
        <v>2304</v>
      </c>
      <c r="Y1349" s="477">
        <f t="shared" si="166"/>
        <v>944640</v>
      </c>
      <c r="Z1349" s="478">
        <v>0.64</v>
      </c>
      <c r="AA1349" s="479">
        <f t="shared" si="162"/>
        <v>604569.59999999998</v>
      </c>
      <c r="AB1349" s="480"/>
      <c r="AC1349" s="481">
        <f t="shared" si="163"/>
        <v>0</v>
      </c>
      <c r="AD1349" s="490"/>
      <c r="AE1349" s="482"/>
      <c r="AF1349" s="493">
        <f t="shared" si="164"/>
        <v>604569.59999999998</v>
      </c>
      <c r="AG1349" s="474" t="s">
        <v>1071</v>
      </c>
      <c r="AH1349" s="474">
        <v>0</v>
      </c>
      <c r="AI1349" s="474">
        <v>60</v>
      </c>
      <c r="AJ1349" s="474" t="s">
        <v>1220</v>
      </c>
      <c r="AK1349" s="474" t="s">
        <v>1221</v>
      </c>
      <c r="AL1349" s="494">
        <v>43125</v>
      </c>
      <c r="AM1349" s="474" t="s">
        <v>52</v>
      </c>
      <c r="AN1349" s="474" t="s">
        <v>1074</v>
      </c>
      <c r="AO1349" s="474"/>
      <c r="AP1349" s="482"/>
      <c r="AQ1349" s="482"/>
      <c r="AR1349" s="474"/>
      <c r="AS1349" s="399"/>
      <c r="AT1349" s="436"/>
      <c r="AU1349" s="436"/>
    </row>
    <row r="1350" spans="1:47" s="471" customFormat="1">
      <c r="A1350" s="495"/>
      <c r="B1350" s="495" t="s">
        <v>1211</v>
      </c>
      <c r="C1350" s="495" t="s">
        <v>1211</v>
      </c>
      <c r="D1350" s="405" t="s">
        <v>1066</v>
      </c>
      <c r="E1350" s="501" t="s">
        <v>1097</v>
      </c>
      <c r="F1350" s="501"/>
      <c r="G1350" s="501"/>
      <c r="H1350" s="501"/>
      <c r="I1350" s="501" t="s">
        <v>1676</v>
      </c>
      <c r="J1350" s="502"/>
      <c r="K1350" s="501" t="s">
        <v>5682</v>
      </c>
      <c r="L1350" s="502" t="s">
        <v>1219</v>
      </c>
      <c r="M1350" s="502">
        <v>44678</v>
      </c>
      <c r="N1350" s="502">
        <v>44774</v>
      </c>
      <c r="O1350" s="502"/>
      <c r="P1350" s="502"/>
      <c r="Q1350" s="502"/>
      <c r="R1350" s="502"/>
      <c r="S1350" s="501" t="s">
        <v>1114</v>
      </c>
      <c r="T1350" s="501">
        <v>60</v>
      </c>
      <c r="U1350" s="501"/>
      <c r="V1350" s="501" t="s">
        <v>973</v>
      </c>
      <c r="W1350" s="505">
        <v>410</v>
      </c>
      <c r="X1350" s="403">
        <v>2304</v>
      </c>
      <c r="Y1350" s="477">
        <f t="shared" si="166"/>
        <v>944640</v>
      </c>
      <c r="Z1350" s="478">
        <v>0.64</v>
      </c>
      <c r="AA1350" s="479">
        <f t="shared" si="162"/>
        <v>604569.59999999998</v>
      </c>
      <c r="AB1350" s="480"/>
      <c r="AC1350" s="481">
        <f t="shared" si="163"/>
        <v>0</v>
      </c>
      <c r="AD1350" s="490"/>
      <c r="AE1350" s="482"/>
      <c r="AF1350" s="493">
        <f t="shared" si="164"/>
        <v>604569.59999999998</v>
      </c>
      <c r="AG1350" s="474" t="s">
        <v>1071</v>
      </c>
      <c r="AH1350" s="474">
        <v>0</v>
      </c>
      <c r="AI1350" s="474">
        <v>60</v>
      </c>
      <c r="AJ1350" s="474" t="s">
        <v>1220</v>
      </c>
      <c r="AK1350" s="474" t="s">
        <v>1221</v>
      </c>
      <c r="AL1350" s="494">
        <v>43125</v>
      </c>
      <c r="AM1350" s="474" t="s">
        <v>52</v>
      </c>
      <c r="AN1350" s="474" t="s">
        <v>1074</v>
      </c>
      <c r="AO1350" s="474"/>
      <c r="AP1350" s="482"/>
      <c r="AQ1350" s="482"/>
      <c r="AR1350" s="474"/>
      <c r="AS1350" s="399"/>
      <c r="AT1350" s="436"/>
      <c r="AU1350" s="436"/>
    </row>
    <row r="1351" spans="1:47" s="471" customFormat="1">
      <c r="A1351" s="495"/>
      <c r="B1351" s="495" t="s">
        <v>1211</v>
      </c>
      <c r="C1351" s="495" t="s">
        <v>1211</v>
      </c>
      <c r="D1351" s="405" t="s">
        <v>1066</v>
      </c>
      <c r="E1351" s="501" t="s">
        <v>1097</v>
      </c>
      <c r="F1351" s="501"/>
      <c r="G1351" s="501"/>
      <c r="H1351" s="501"/>
      <c r="I1351" s="501" t="s">
        <v>1676</v>
      </c>
      <c r="J1351" s="502"/>
      <c r="K1351" s="501" t="s">
        <v>5683</v>
      </c>
      <c r="L1351" s="502" t="s">
        <v>1219</v>
      </c>
      <c r="M1351" s="502">
        <v>44678</v>
      </c>
      <c r="N1351" s="502">
        <v>44805</v>
      </c>
      <c r="O1351" s="502"/>
      <c r="P1351" s="502"/>
      <c r="Q1351" s="502"/>
      <c r="R1351" s="502"/>
      <c r="S1351" s="501" t="s">
        <v>1114</v>
      </c>
      <c r="T1351" s="501">
        <v>60</v>
      </c>
      <c r="U1351" s="501"/>
      <c r="V1351" s="501" t="s">
        <v>973</v>
      </c>
      <c r="W1351" s="505">
        <v>410</v>
      </c>
      <c r="X1351" s="403">
        <v>2304</v>
      </c>
      <c r="Y1351" s="477">
        <f t="shared" si="166"/>
        <v>944640</v>
      </c>
      <c r="Z1351" s="478">
        <v>0.64</v>
      </c>
      <c r="AA1351" s="479">
        <f t="shared" si="162"/>
        <v>604569.59999999998</v>
      </c>
      <c r="AB1351" s="480"/>
      <c r="AC1351" s="481">
        <f t="shared" si="163"/>
        <v>0</v>
      </c>
      <c r="AD1351" s="490"/>
      <c r="AE1351" s="482"/>
      <c r="AF1351" s="493">
        <f t="shared" si="164"/>
        <v>604569.59999999998</v>
      </c>
      <c r="AG1351" s="474" t="s">
        <v>1071</v>
      </c>
      <c r="AH1351" s="474">
        <v>0</v>
      </c>
      <c r="AI1351" s="474">
        <v>60</v>
      </c>
      <c r="AJ1351" s="474" t="s">
        <v>1220</v>
      </c>
      <c r="AK1351" s="474" t="s">
        <v>1221</v>
      </c>
      <c r="AL1351" s="494">
        <v>43125</v>
      </c>
      <c r="AM1351" s="474" t="s">
        <v>52</v>
      </c>
      <c r="AN1351" s="474" t="s">
        <v>1074</v>
      </c>
      <c r="AO1351" s="474"/>
      <c r="AP1351" s="482"/>
      <c r="AQ1351" s="482"/>
      <c r="AR1351" s="474"/>
      <c r="AS1351" s="399"/>
      <c r="AT1351" s="436"/>
      <c r="AU1351" s="436"/>
    </row>
    <row r="1352" spans="1:47" s="471" customFormat="1">
      <c r="A1352" s="495"/>
      <c r="B1352" s="495" t="s">
        <v>1211</v>
      </c>
      <c r="C1352" s="495" t="s">
        <v>1211</v>
      </c>
      <c r="D1352" s="405" t="s">
        <v>1066</v>
      </c>
      <c r="E1352" s="501" t="s">
        <v>1097</v>
      </c>
      <c r="F1352" s="501"/>
      <c r="G1352" s="501"/>
      <c r="H1352" s="501"/>
      <c r="I1352" s="501" t="s">
        <v>1676</v>
      </c>
      <c r="J1352" s="502"/>
      <c r="K1352" s="501" t="s">
        <v>5684</v>
      </c>
      <c r="L1352" s="502" t="s">
        <v>1219</v>
      </c>
      <c r="M1352" s="502">
        <v>44678</v>
      </c>
      <c r="N1352" s="502">
        <v>44835</v>
      </c>
      <c r="O1352" s="502"/>
      <c r="P1352" s="502"/>
      <c r="Q1352" s="502"/>
      <c r="R1352" s="502"/>
      <c r="S1352" s="501" t="s">
        <v>1114</v>
      </c>
      <c r="T1352" s="501">
        <v>60</v>
      </c>
      <c r="U1352" s="501"/>
      <c r="V1352" s="501" t="s">
        <v>973</v>
      </c>
      <c r="W1352" s="505">
        <v>410</v>
      </c>
      <c r="X1352" s="403">
        <v>2304</v>
      </c>
      <c r="Y1352" s="477">
        <f t="shared" si="166"/>
        <v>944640</v>
      </c>
      <c r="Z1352" s="478">
        <v>0.64</v>
      </c>
      <c r="AA1352" s="479">
        <f t="shared" si="162"/>
        <v>604569.59999999998</v>
      </c>
      <c r="AB1352" s="480"/>
      <c r="AC1352" s="481">
        <f t="shared" si="163"/>
        <v>0</v>
      </c>
      <c r="AD1352" s="490"/>
      <c r="AE1352" s="482"/>
      <c r="AF1352" s="493">
        <f t="shared" si="164"/>
        <v>604569.59999999998</v>
      </c>
      <c r="AG1352" s="474" t="s">
        <v>1071</v>
      </c>
      <c r="AH1352" s="474">
        <v>0</v>
      </c>
      <c r="AI1352" s="474">
        <v>60</v>
      </c>
      <c r="AJ1352" s="474" t="s">
        <v>1220</v>
      </c>
      <c r="AK1352" s="474" t="s">
        <v>1221</v>
      </c>
      <c r="AL1352" s="494">
        <v>43125</v>
      </c>
      <c r="AM1352" s="474" t="s">
        <v>52</v>
      </c>
      <c r="AN1352" s="474" t="s">
        <v>1074</v>
      </c>
      <c r="AO1352" s="474"/>
      <c r="AP1352" s="482"/>
      <c r="AQ1352" s="482"/>
      <c r="AR1352" s="474"/>
      <c r="AS1352" s="399"/>
      <c r="AT1352" s="436"/>
      <c r="AU1352" s="436"/>
    </row>
    <row r="1353" spans="1:47" s="471" customFormat="1">
      <c r="A1353" s="495"/>
      <c r="B1353" s="495" t="s">
        <v>1211</v>
      </c>
      <c r="C1353" s="495" t="s">
        <v>1211</v>
      </c>
      <c r="D1353" s="405" t="s">
        <v>1066</v>
      </c>
      <c r="E1353" s="501" t="s">
        <v>1097</v>
      </c>
      <c r="F1353" s="501"/>
      <c r="G1353" s="501"/>
      <c r="H1353" s="501"/>
      <c r="I1353" s="501" t="s">
        <v>1676</v>
      </c>
      <c r="J1353" s="502"/>
      <c r="K1353" s="501" t="s">
        <v>5685</v>
      </c>
      <c r="L1353" s="502" t="s">
        <v>1219</v>
      </c>
      <c r="M1353" s="502">
        <v>44678</v>
      </c>
      <c r="N1353" s="502">
        <v>44866</v>
      </c>
      <c r="O1353" s="502"/>
      <c r="P1353" s="502"/>
      <c r="Q1353" s="502"/>
      <c r="R1353" s="502"/>
      <c r="S1353" s="501" t="s">
        <v>1114</v>
      </c>
      <c r="T1353" s="501">
        <v>60</v>
      </c>
      <c r="U1353" s="501"/>
      <c r="V1353" s="501" t="s">
        <v>973</v>
      </c>
      <c r="W1353" s="505">
        <v>410</v>
      </c>
      <c r="X1353" s="403">
        <v>1536</v>
      </c>
      <c r="Y1353" s="477">
        <f t="shared" si="166"/>
        <v>629760</v>
      </c>
      <c r="Z1353" s="478">
        <v>0.64</v>
      </c>
      <c r="AA1353" s="479">
        <f t="shared" si="162"/>
        <v>403046.40000000002</v>
      </c>
      <c r="AB1353" s="480"/>
      <c r="AC1353" s="481">
        <f t="shared" si="163"/>
        <v>0</v>
      </c>
      <c r="AD1353" s="490"/>
      <c r="AE1353" s="482"/>
      <c r="AF1353" s="493">
        <f t="shared" si="164"/>
        <v>403046.40000000002</v>
      </c>
      <c r="AG1353" s="474" t="s">
        <v>1071</v>
      </c>
      <c r="AH1353" s="474">
        <v>0</v>
      </c>
      <c r="AI1353" s="474">
        <v>60</v>
      </c>
      <c r="AJ1353" s="474" t="s">
        <v>1220</v>
      </c>
      <c r="AK1353" s="474" t="s">
        <v>1221</v>
      </c>
      <c r="AL1353" s="494">
        <v>43125</v>
      </c>
      <c r="AM1353" s="474" t="s">
        <v>52</v>
      </c>
      <c r="AN1353" s="474" t="s">
        <v>1074</v>
      </c>
      <c r="AO1353" s="474"/>
      <c r="AP1353" s="482"/>
      <c r="AQ1353" s="482"/>
      <c r="AR1353" s="474"/>
      <c r="AS1353" s="399"/>
      <c r="AT1353" s="436"/>
      <c r="AU1353" s="436"/>
    </row>
    <row r="1354" spans="1:47" s="471" customFormat="1">
      <c r="A1354" s="495"/>
      <c r="B1354" s="495" t="s">
        <v>1211</v>
      </c>
      <c r="C1354" s="495" t="s">
        <v>1211</v>
      </c>
      <c r="D1354" s="405" t="s">
        <v>1066</v>
      </c>
      <c r="E1354" s="501" t="s">
        <v>1097</v>
      </c>
      <c r="F1354" s="501"/>
      <c r="G1354" s="501"/>
      <c r="H1354" s="501"/>
      <c r="I1354" s="501" t="s">
        <v>1676</v>
      </c>
      <c r="J1354" s="502"/>
      <c r="K1354" s="501" t="s">
        <v>5686</v>
      </c>
      <c r="L1354" s="502" t="s">
        <v>1219</v>
      </c>
      <c r="M1354" s="502">
        <v>44678</v>
      </c>
      <c r="N1354" s="502">
        <v>44896</v>
      </c>
      <c r="O1354" s="502"/>
      <c r="P1354" s="502"/>
      <c r="Q1354" s="502"/>
      <c r="R1354" s="502"/>
      <c r="S1354" s="501" t="s">
        <v>1114</v>
      </c>
      <c r="T1354" s="501">
        <v>60</v>
      </c>
      <c r="U1354" s="501"/>
      <c r="V1354" s="501" t="s">
        <v>973</v>
      </c>
      <c r="W1354" s="505">
        <v>410</v>
      </c>
      <c r="X1354" s="403">
        <v>1536</v>
      </c>
      <c r="Y1354" s="477">
        <f t="shared" si="166"/>
        <v>629760</v>
      </c>
      <c r="Z1354" s="478">
        <v>0.64</v>
      </c>
      <c r="AA1354" s="479">
        <f t="shared" si="162"/>
        <v>403046.40000000002</v>
      </c>
      <c r="AB1354" s="480"/>
      <c r="AC1354" s="481">
        <f t="shared" si="163"/>
        <v>0</v>
      </c>
      <c r="AD1354" s="490"/>
      <c r="AE1354" s="482"/>
      <c r="AF1354" s="493">
        <f t="shared" si="164"/>
        <v>403046.40000000002</v>
      </c>
      <c r="AG1354" s="474" t="s">
        <v>1071</v>
      </c>
      <c r="AH1354" s="474">
        <v>0</v>
      </c>
      <c r="AI1354" s="474">
        <v>60</v>
      </c>
      <c r="AJ1354" s="474" t="s">
        <v>1220</v>
      </c>
      <c r="AK1354" s="474" t="s">
        <v>1221</v>
      </c>
      <c r="AL1354" s="494">
        <v>43125</v>
      </c>
      <c r="AM1354" s="474" t="s">
        <v>52</v>
      </c>
      <c r="AN1354" s="474" t="s">
        <v>1074</v>
      </c>
      <c r="AO1354" s="474"/>
      <c r="AP1354" s="482"/>
      <c r="AQ1354" s="482"/>
      <c r="AR1354" s="474"/>
      <c r="AS1354" s="399"/>
      <c r="AT1354" s="436"/>
      <c r="AU1354" s="436"/>
    </row>
    <row r="1355" spans="1:47" s="471" customFormat="1">
      <c r="A1355" s="495"/>
      <c r="B1355" s="407">
        <v>44631</v>
      </c>
      <c r="C1355" s="495" t="s">
        <v>1211</v>
      </c>
      <c r="D1355" s="405" t="s">
        <v>1066</v>
      </c>
      <c r="E1355" s="501" t="s">
        <v>1097</v>
      </c>
      <c r="F1355" s="501"/>
      <c r="G1355" s="501"/>
      <c r="H1355" s="501"/>
      <c r="I1355" s="501" t="s">
        <v>1676</v>
      </c>
      <c r="J1355" s="502"/>
      <c r="K1355" s="501" t="s">
        <v>5023</v>
      </c>
      <c r="L1355" s="502" t="s">
        <v>1644</v>
      </c>
      <c r="M1355" s="502">
        <v>44628</v>
      </c>
      <c r="N1355" s="502">
        <v>44748</v>
      </c>
      <c r="O1355" s="502"/>
      <c r="P1355" s="502"/>
      <c r="Q1355" s="502"/>
      <c r="R1355" s="502"/>
      <c r="S1355" s="501" t="s">
        <v>1069</v>
      </c>
      <c r="T1355" s="501">
        <v>60</v>
      </c>
      <c r="U1355" s="501"/>
      <c r="V1355" s="501" t="s">
        <v>986</v>
      </c>
      <c r="W1355" s="505">
        <v>360</v>
      </c>
      <c r="X1355" s="403">
        <v>768</v>
      </c>
      <c r="Y1355" s="477">
        <f t="shared" si="166"/>
        <v>276480</v>
      </c>
      <c r="Z1355" s="478">
        <v>0.63</v>
      </c>
      <c r="AA1355" s="479">
        <f t="shared" si="162"/>
        <v>174182.39999999999</v>
      </c>
      <c r="AB1355" s="480"/>
      <c r="AC1355" s="481">
        <f t="shared" si="163"/>
        <v>0</v>
      </c>
      <c r="AD1355" s="490"/>
      <c r="AE1355" s="482"/>
      <c r="AF1355" s="493">
        <f t="shared" si="164"/>
        <v>174182.39999999999</v>
      </c>
      <c r="AG1355" s="474" t="s">
        <v>1071</v>
      </c>
      <c r="AH1355" s="474">
        <v>10</v>
      </c>
      <c r="AI1355" s="474">
        <v>30</v>
      </c>
      <c r="AJ1355" s="474" t="s">
        <v>1645</v>
      </c>
      <c r="AK1355" s="474" t="s">
        <v>1096</v>
      </c>
      <c r="AL1355" s="494">
        <v>2072</v>
      </c>
      <c r="AM1355" s="474" t="s">
        <v>52</v>
      </c>
      <c r="AN1355" s="474"/>
      <c r="AO1355" s="474"/>
      <c r="AP1355" s="482"/>
      <c r="AQ1355" s="482" t="s">
        <v>1086</v>
      </c>
      <c r="AR1355" s="474" t="s">
        <v>1216</v>
      </c>
      <c r="AS1355" s="399" t="s">
        <v>1075</v>
      </c>
      <c r="AT1355" s="436" t="s">
        <v>1087</v>
      </c>
      <c r="AU1355" s="436" t="s">
        <v>1076</v>
      </c>
    </row>
    <row r="1356" spans="1:47" s="471" customFormat="1">
      <c r="A1356" s="495"/>
      <c r="B1356" s="407">
        <v>44631</v>
      </c>
      <c r="C1356" s="495" t="s">
        <v>1211</v>
      </c>
      <c r="D1356" s="405" t="s">
        <v>1066</v>
      </c>
      <c r="E1356" s="501" t="s">
        <v>1097</v>
      </c>
      <c r="F1356" s="501"/>
      <c r="G1356" s="501"/>
      <c r="H1356" s="501"/>
      <c r="I1356" s="501" t="s">
        <v>1676</v>
      </c>
      <c r="J1356" s="502"/>
      <c r="K1356" s="501" t="s">
        <v>5024</v>
      </c>
      <c r="L1356" s="502" t="s">
        <v>1644</v>
      </c>
      <c r="M1356" s="502">
        <v>44628</v>
      </c>
      <c r="N1356" s="502">
        <v>44763</v>
      </c>
      <c r="O1356" s="502"/>
      <c r="P1356" s="502"/>
      <c r="Q1356" s="502"/>
      <c r="R1356" s="502"/>
      <c r="S1356" s="501" t="s">
        <v>1069</v>
      </c>
      <c r="T1356" s="501">
        <v>60</v>
      </c>
      <c r="U1356" s="501"/>
      <c r="V1356" s="501" t="s">
        <v>986</v>
      </c>
      <c r="W1356" s="505">
        <v>360</v>
      </c>
      <c r="X1356" s="403">
        <v>768</v>
      </c>
      <c r="Y1356" s="477">
        <f t="shared" si="166"/>
        <v>276480</v>
      </c>
      <c r="Z1356" s="478">
        <v>0.55000000000000004</v>
      </c>
      <c r="AA1356" s="479">
        <f t="shared" si="162"/>
        <v>152064</v>
      </c>
      <c r="AB1356" s="480"/>
      <c r="AC1356" s="481">
        <f t="shared" si="163"/>
        <v>0</v>
      </c>
      <c r="AD1356" s="490"/>
      <c r="AE1356" s="482"/>
      <c r="AF1356" s="493">
        <f t="shared" si="164"/>
        <v>152064</v>
      </c>
      <c r="AG1356" s="474" t="s">
        <v>1071</v>
      </c>
      <c r="AH1356" s="474">
        <v>10</v>
      </c>
      <c r="AI1356" s="474">
        <v>30</v>
      </c>
      <c r="AJ1356" s="474" t="s">
        <v>1678</v>
      </c>
      <c r="AK1356" s="474" t="s">
        <v>1085</v>
      </c>
      <c r="AL1356" s="494">
        <v>8512</v>
      </c>
      <c r="AM1356" s="474" t="s">
        <v>52</v>
      </c>
      <c r="AN1356" s="474"/>
      <c r="AO1356" s="474"/>
      <c r="AP1356" s="482"/>
      <c r="AQ1356" s="482" t="s">
        <v>1086</v>
      </c>
      <c r="AR1356" s="474" t="s">
        <v>1216</v>
      </c>
      <c r="AS1356" s="399" t="s">
        <v>1075</v>
      </c>
      <c r="AT1356" s="436" t="s">
        <v>1087</v>
      </c>
      <c r="AU1356" s="436" t="s">
        <v>1076</v>
      </c>
    </row>
    <row r="1357" spans="1:47" s="471" customFormat="1">
      <c r="A1357" s="495"/>
      <c r="B1357" s="407">
        <v>44631</v>
      </c>
      <c r="C1357" s="495" t="s">
        <v>1211</v>
      </c>
      <c r="D1357" s="405" t="s">
        <v>1066</v>
      </c>
      <c r="E1357" s="501" t="s">
        <v>1097</v>
      </c>
      <c r="F1357" s="501"/>
      <c r="G1357" s="501"/>
      <c r="H1357" s="501"/>
      <c r="I1357" s="501" t="s">
        <v>1676</v>
      </c>
      <c r="J1357" s="502"/>
      <c r="K1357" s="501" t="s">
        <v>5025</v>
      </c>
      <c r="L1357" s="502" t="s">
        <v>1644</v>
      </c>
      <c r="M1357" s="502">
        <v>44628</v>
      </c>
      <c r="N1357" s="502">
        <v>44782</v>
      </c>
      <c r="O1357" s="502"/>
      <c r="P1357" s="502"/>
      <c r="Q1357" s="502"/>
      <c r="R1357" s="502"/>
      <c r="S1357" s="501" t="s">
        <v>1069</v>
      </c>
      <c r="T1357" s="501">
        <v>60</v>
      </c>
      <c r="U1357" s="501"/>
      <c r="V1357" s="501" t="s">
        <v>986</v>
      </c>
      <c r="W1357" s="505">
        <v>360</v>
      </c>
      <c r="X1357" s="403">
        <v>768</v>
      </c>
      <c r="Y1357" s="477">
        <f t="shared" si="166"/>
        <v>276480</v>
      </c>
      <c r="Z1357" s="478">
        <v>0.55000000000000004</v>
      </c>
      <c r="AA1357" s="479">
        <f t="shared" si="162"/>
        <v>152064</v>
      </c>
      <c r="AB1357" s="480"/>
      <c r="AC1357" s="481">
        <f t="shared" si="163"/>
        <v>0</v>
      </c>
      <c r="AD1357" s="490"/>
      <c r="AE1357" s="482"/>
      <c r="AF1357" s="493">
        <f t="shared" si="164"/>
        <v>152064</v>
      </c>
      <c r="AG1357" s="474" t="s">
        <v>1071</v>
      </c>
      <c r="AH1357" s="474">
        <v>10</v>
      </c>
      <c r="AI1357" s="474">
        <v>30</v>
      </c>
      <c r="AJ1357" s="474" t="s">
        <v>1645</v>
      </c>
      <c r="AK1357" s="474" t="s">
        <v>1096</v>
      </c>
      <c r="AL1357" s="494">
        <v>2072</v>
      </c>
      <c r="AM1357" s="474" t="s">
        <v>52</v>
      </c>
      <c r="AN1357" s="474"/>
      <c r="AO1357" s="474"/>
      <c r="AP1357" s="482"/>
      <c r="AQ1357" s="482" t="s">
        <v>1086</v>
      </c>
      <c r="AR1357" s="474" t="s">
        <v>1216</v>
      </c>
      <c r="AS1357" s="399" t="s">
        <v>1075</v>
      </c>
      <c r="AT1357" s="436" t="s">
        <v>1087</v>
      </c>
      <c r="AU1357" s="436" t="s">
        <v>1076</v>
      </c>
    </row>
    <row r="1358" spans="1:47" s="471" customFormat="1">
      <c r="A1358" s="495"/>
      <c r="B1358" s="407">
        <v>44631</v>
      </c>
      <c r="C1358" s="495" t="s">
        <v>1211</v>
      </c>
      <c r="D1358" s="405" t="s">
        <v>1066</v>
      </c>
      <c r="E1358" s="501" t="s">
        <v>1097</v>
      </c>
      <c r="F1358" s="501"/>
      <c r="G1358" s="501"/>
      <c r="H1358" s="501"/>
      <c r="I1358" s="501" t="s">
        <v>1676</v>
      </c>
      <c r="J1358" s="502"/>
      <c r="K1358" s="501" t="s">
        <v>5026</v>
      </c>
      <c r="L1358" s="502" t="s">
        <v>1644</v>
      </c>
      <c r="M1358" s="502">
        <v>44628</v>
      </c>
      <c r="N1358" s="502">
        <v>44784</v>
      </c>
      <c r="O1358" s="502"/>
      <c r="P1358" s="502"/>
      <c r="Q1358" s="502"/>
      <c r="R1358" s="502"/>
      <c r="S1358" s="501" t="s">
        <v>1069</v>
      </c>
      <c r="T1358" s="501">
        <v>60</v>
      </c>
      <c r="U1358" s="501"/>
      <c r="V1358" s="501" t="s">
        <v>986</v>
      </c>
      <c r="W1358" s="505">
        <v>360</v>
      </c>
      <c r="X1358" s="403">
        <v>768</v>
      </c>
      <c r="Y1358" s="477">
        <f t="shared" si="166"/>
        <v>276480</v>
      </c>
      <c r="Z1358" s="478">
        <v>0.55000000000000004</v>
      </c>
      <c r="AA1358" s="479">
        <f t="shared" si="162"/>
        <v>152064</v>
      </c>
      <c r="AB1358" s="480"/>
      <c r="AC1358" s="481">
        <f t="shared" si="163"/>
        <v>0</v>
      </c>
      <c r="AD1358" s="490"/>
      <c r="AE1358" s="482"/>
      <c r="AF1358" s="493">
        <f t="shared" si="164"/>
        <v>152064</v>
      </c>
      <c r="AG1358" s="474" t="s">
        <v>1071</v>
      </c>
      <c r="AH1358" s="474">
        <v>10</v>
      </c>
      <c r="AI1358" s="474">
        <v>30</v>
      </c>
      <c r="AJ1358" s="474" t="s">
        <v>1678</v>
      </c>
      <c r="AK1358" s="474" t="s">
        <v>1085</v>
      </c>
      <c r="AL1358" s="494">
        <v>8512</v>
      </c>
      <c r="AM1358" s="474" t="s">
        <v>52</v>
      </c>
      <c r="AN1358" s="474"/>
      <c r="AO1358" s="474"/>
      <c r="AP1358" s="482"/>
      <c r="AQ1358" s="482" t="s">
        <v>1086</v>
      </c>
      <c r="AR1358" s="474" t="s">
        <v>1216</v>
      </c>
      <c r="AS1358" s="399" t="s">
        <v>1075</v>
      </c>
      <c r="AT1358" s="436" t="s">
        <v>1087</v>
      </c>
      <c r="AU1358" s="436" t="s">
        <v>1076</v>
      </c>
    </row>
    <row r="1359" spans="1:47" s="471" customFormat="1">
      <c r="A1359" s="495"/>
      <c r="B1359" s="407">
        <v>44631</v>
      </c>
      <c r="C1359" s="495" t="s">
        <v>1211</v>
      </c>
      <c r="D1359" s="405" t="s">
        <v>1066</v>
      </c>
      <c r="E1359" s="501" t="s">
        <v>1097</v>
      </c>
      <c r="F1359" s="501"/>
      <c r="G1359" s="501"/>
      <c r="H1359" s="501"/>
      <c r="I1359" s="501" t="s">
        <v>1676</v>
      </c>
      <c r="J1359" s="502"/>
      <c r="K1359" s="501" t="s">
        <v>5027</v>
      </c>
      <c r="L1359" s="502" t="s">
        <v>1644</v>
      </c>
      <c r="M1359" s="502">
        <v>44628</v>
      </c>
      <c r="N1359" s="502">
        <v>44797</v>
      </c>
      <c r="O1359" s="502"/>
      <c r="P1359" s="502"/>
      <c r="Q1359" s="502"/>
      <c r="R1359" s="502"/>
      <c r="S1359" s="501" t="s">
        <v>1069</v>
      </c>
      <c r="T1359" s="501">
        <v>60</v>
      </c>
      <c r="U1359" s="501"/>
      <c r="V1359" s="501" t="s">
        <v>986</v>
      </c>
      <c r="W1359" s="505">
        <v>360</v>
      </c>
      <c r="X1359" s="403">
        <v>768</v>
      </c>
      <c r="Y1359" s="477">
        <f t="shared" si="166"/>
        <v>276480</v>
      </c>
      <c r="Z1359" s="478">
        <v>0.55000000000000004</v>
      </c>
      <c r="AA1359" s="479">
        <f t="shared" si="162"/>
        <v>152064</v>
      </c>
      <c r="AB1359" s="480"/>
      <c r="AC1359" s="481">
        <f t="shared" si="163"/>
        <v>0</v>
      </c>
      <c r="AD1359" s="490"/>
      <c r="AE1359" s="482"/>
      <c r="AF1359" s="493">
        <f t="shared" si="164"/>
        <v>152064</v>
      </c>
      <c r="AG1359" s="474" t="s">
        <v>1071</v>
      </c>
      <c r="AH1359" s="474">
        <v>10</v>
      </c>
      <c r="AI1359" s="474">
        <v>30</v>
      </c>
      <c r="AJ1359" s="474" t="s">
        <v>1645</v>
      </c>
      <c r="AK1359" s="474" t="s">
        <v>1096</v>
      </c>
      <c r="AL1359" s="494">
        <v>2072</v>
      </c>
      <c r="AM1359" s="474" t="s">
        <v>52</v>
      </c>
      <c r="AN1359" s="474"/>
      <c r="AO1359" s="474"/>
      <c r="AP1359" s="482"/>
      <c r="AQ1359" s="482" t="s">
        <v>1086</v>
      </c>
      <c r="AR1359" s="474" t="s">
        <v>1216</v>
      </c>
      <c r="AS1359" s="399" t="s">
        <v>1075</v>
      </c>
      <c r="AT1359" s="436" t="s">
        <v>1087</v>
      </c>
      <c r="AU1359" s="436" t="s">
        <v>1076</v>
      </c>
    </row>
    <row r="1360" spans="1:47" s="471" customFormat="1">
      <c r="A1360" s="495"/>
      <c r="B1360" s="407">
        <v>44631</v>
      </c>
      <c r="C1360" s="495" t="s">
        <v>1211</v>
      </c>
      <c r="D1360" s="405" t="s">
        <v>1066</v>
      </c>
      <c r="E1360" s="501" t="s">
        <v>1097</v>
      </c>
      <c r="F1360" s="501"/>
      <c r="G1360" s="501"/>
      <c r="H1360" s="501"/>
      <c r="I1360" s="501" t="s">
        <v>1676</v>
      </c>
      <c r="J1360" s="502"/>
      <c r="K1360" s="501" t="s">
        <v>5028</v>
      </c>
      <c r="L1360" s="502" t="s">
        <v>1644</v>
      </c>
      <c r="M1360" s="502">
        <v>44628</v>
      </c>
      <c r="N1360" s="502">
        <v>44811</v>
      </c>
      <c r="O1360" s="502"/>
      <c r="P1360" s="502"/>
      <c r="Q1360" s="502"/>
      <c r="R1360" s="502"/>
      <c r="S1360" s="501" t="s">
        <v>1069</v>
      </c>
      <c r="T1360" s="501">
        <v>60</v>
      </c>
      <c r="U1360" s="501"/>
      <c r="V1360" s="501" t="s">
        <v>986</v>
      </c>
      <c r="W1360" s="505">
        <v>360</v>
      </c>
      <c r="X1360" s="403">
        <v>768</v>
      </c>
      <c r="Y1360" s="477">
        <f t="shared" si="166"/>
        <v>276480</v>
      </c>
      <c r="Z1360" s="478">
        <v>0.55000000000000004</v>
      </c>
      <c r="AA1360" s="479">
        <f t="shared" si="162"/>
        <v>152064</v>
      </c>
      <c r="AB1360" s="480"/>
      <c r="AC1360" s="481">
        <f t="shared" si="163"/>
        <v>0</v>
      </c>
      <c r="AD1360" s="490"/>
      <c r="AE1360" s="482"/>
      <c r="AF1360" s="493">
        <f t="shared" si="164"/>
        <v>152064</v>
      </c>
      <c r="AG1360" s="474" t="s">
        <v>1071</v>
      </c>
      <c r="AH1360" s="474">
        <v>10</v>
      </c>
      <c r="AI1360" s="474">
        <v>30</v>
      </c>
      <c r="AJ1360" s="474" t="s">
        <v>1645</v>
      </c>
      <c r="AK1360" s="474" t="s">
        <v>1096</v>
      </c>
      <c r="AL1360" s="494">
        <v>2072</v>
      </c>
      <c r="AM1360" s="474" t="s">
        <v>52</v>
      </c>
      <c r="AN1360" s="474"/>
      <c r="AO1360" s="474"/>
      <c r="AP1360" s="482"/>
      <c r="AQ1360" s="482" t="s">
        <v>1086</v>
      </c>
      <c r="AR1360" s="474" t="s">
        <v>1216</v>
      </c>
      <c r="AS1360" s="399" t="s">
        <v>1075</v>
      </c>
      <c r="AT1360" s="436" t="s">
        <v>1087</v>
      </c>
      <c r="AU1360" s="436" t="s">
        <v>1076</v>
      </c>
    </row>
    <row r="1361" spans="1:47" s="471" customFormat="1">
      <c r="A1361" s="495"/>
      <c r="B1361" s="407">
        <v>44631</v>
      </c>
      <c r="C1361" s="495" t="s">
        <v>1211</v>
      </c>
      <c r="D1361" s="405" t="s">
        <v>1066</v>
      </c>
      <c r="E1361" s="501" t="s">
        <v>1097</v>
      </c>
      <c r="F1361" s="501"/>
      <c r="G1361" s="501"/>
      <c r="H1361" s="501"/>
      <c r="I1361" s="501" t="s">
        <v>1676</v>
      </c>
      <c r="J1361" s="502"/>
      <c r="K1361" s="501" t="s">
        <v>5029</v>
      </c>
      <c r="L1361" s="502" t="s">
        <v>1644</v>
      </c>
      <c r="M1361" s="502">
        <v>44628</v>
      </c>
      <c r="N1361" s="502">
        <v>44825</v>
      </c>
      <c r="O1361" s="502"/>
      <c r="P1361" s="502"/>
      <c r="Q1361" s="502"/>
      <c r="R1361" s="502"/>
      <c r="S1361" s="501" t="s">
        <v>1069</v>
      </c>
      <c r="T1361" s="501">
        <v>60</v>
      </c>
      <c r="U1361" s="501"/>
      <c r="V1361" s="501" t="s">
        <v>986</v>
      </c>
      <c r="W1361" s="505">
        <v>360</v>
      </c>
      <c r="X1361" s="403">
        <v>768</v>
      </c>
      <c r="Y1361" s="477">
        <f t="shared" si="166"/>
        <v>276480</v>
      </c>
      <c r="Z1361" s="478">
        <v>0.55000000000000004</v>
      </c>
      <c r="AA1361" s="479">
        <f t="shared" si="162"/>
        <v>152064</v>
      </c>
      <c r="AB1361" s="480"/>
      <c r="AC1361" s="481">
        <f t="shared" si="163"/>
        <v>0</v>
      </c>
      <c r="AD1361" s="490"/>
      <c r="AE1361" s="482"/>
      <c r="AF1361" s="493">
        <f t="shared" si="164"/>
        <v>152064</v>
      </c>
      <c r="AG1361" s="474" t="s">
        <v>1071</v>
      </c>
      <c r="AH1361" s="474">
        <v>10</v>
      </c>
      <c r="AI1361" s="474">
        <v>30</v>
      </c>
      <c r="AJ1361" s="474" t="s">
        <v>1645</v>
      </c>
      <c r="AK1361" s="474" t="s">
        <v>1096</v>
      </c>
      <c r="AL1361" s="494">
        <v>2072</v>
      </c>
      <c r="AM1361" s="474" t="s">
        <v>52</v>
      </c>
      <c r="AN1361" s="474"/>
      <c r="AO1361" s="474"/>
      <c r="AP1361" s="482"/>
      <c r="AQ1361" s="482" t="s">
        <v>1086</v>
      </c>
      <c r="AR1361" s="474" t="s">
        <v>1216</v>
      </c>
      <c r="AS1361" s="399" t="s">
        <v>1075</v>
      </c>
      <c r="AT1361" s="436" t="s">
        <v>1087</v>
      </c>
      <c r="AU1361" s="436" t="s">
        <v>1076</v>
      </c>
    </row>
    <row r="1362" spans="1:47" s="471" customFormat="1">
      <c r="A1362" s="495"/>
      <c r="B1362" s="407">
        <v>44631</v>
      </c>
      <c r="C1362" s="495" t="s">
        <v>1211</v>
      </c>
      <c r="D1362" s="405" t="s">
        <v>1066</v>
      </c>
      <c r="E1362" s="501" t="s">
        <v>1097</v>
      </c>
      <c r="F1362" s="501"/>
      <c r="G1362" s="501"/>
      <c r="H1362" s="501"/>
      <c r="I1362" s="501" t="s">
        <v>1676</v>
      </c>
      <c r="J1362" s="502"/>
      <c r="K1362" s="501" t="s">
        <v>5030</v>
      </c>
      <c r="L1362" s="502" t="s">
        <v>1644</v>
      </c>
      <c r="M1362" s="502">
        <v>44628</v>
      </c>
      <c r="N1362" s="502">
        <v>44806</v>
      </c>
      <c r="O1362" s="502"/>
      <c r="P1362" s="502"/>
      <c r="Q1362" s="502"/>
      <c r="R1362" s="502"/>
      <c r="S1362" s="501" t="s">
        <v>1069</v>
      </c>
      <c r="T1362" s="501">
        <v>60</v>
      </c>
      <c r="U1362" s="501"/>
      <c r="V1362" s="501" t="s">
        <v>986</v>
      </c>
      <c r="W1362" s="505">
        <v>360</v>
      </c>
      <c r="X1362" s="403">
        <v>768</v>
      </c>
      <c r="Y1362" s="477">
        <f t="shared" si="166"/>
        <v>276480</v>
      </c>
      <c r="Z1362" s="478">
        <v>0.55000000000000004</v>
      </c>
      <c r="AA1362" s="479">
        <f t="shared" si="162"/>
        <v>152064</v>
      </c>
      <c r="AB1362" s="480"/>
      <c r="AC1362" s="481">
        <f t="shared" si="163"/>
        <v>0</v>
      </c>
      <c r="AD1362" s="490"/>
      <c r="AE1362" s="482"/>
      <c r="AF1362" s="493">
        <f t="shared" si="164"/>
        <v>152064</v>
      </c>
      <c r="AG1362" s="474" t="s">
        <v>1071</v>
      </c>
      <c r="AH1362" s="474">
        <v>10</v>
      </c>
      <c r="AI1362" s="474">
        <v>30</v>
      </c>
      <c r="AJ1362" s="474" t="s">
        <v>1678</v>
      </c>
      <c r="AK1362" s="474" t="s">
        <v>1085</v>
      </c>
      <c r="AL1362" s="494">
        <v>8512</v>
      </c>
      <c r="AM1362" s="474" t="s">
        <v>52</v>
      </c>
      <c r="AN1362" s="474"/>
      <c r="AO1362" s="474"/>
      <c r="AP1362" s="482"/>
      <c r="AQ1362" s="482" t="s">
        <v>1086</v>
      </c>
      <c r="AR1362" s="474" t="s">
        <v>1216</v>
      </c>
      <c r="AS1362" s="399" t="s">
        <v>1075</v>
      </c>
      <c r="AT1362" s="436" t="s">
        <v>1087</v>
      </c>
      <c r="AU1362" s="436" t="s">
        <v>1076</v>
      </c>
    </row>
    <row r="1363" spans="1:47" s="471" customFormat="1">
      <c r="A1363" s="495"/>
      <c r="B1363" s="407">
        <v>44631</v>
      </c>
      <c r="C1363" s="495" t="s">
        <v>1211</v>
      </c>
      <c r="D1363" s="405" t="s">
        <v>1066</v>
      </c>
      <c r="E1363" s="501" t="s">
        <v>1097</v>
      </c>
      <c r="F1363" s="501"/>
      <c r="G1363" s="501"/>
      <c r="H1363" s="501"/>
      <c r="I1363" s="501" t="s">
        <v>1676</v>
      </c>
      <c r="J1363" s="502"/>
      <c r="K1363" s="501" t="s">
        <v>5031</v>
      </c>
      <c r="L1363" s="502" t="s">
        <v>1644</v>
      </c>
      <c r="M1363" s="502">
        <v>44628</v>
      </c>
      <c r="N1363" s="502">
        <v>44820</v>
      </c>
      <c r="O1363" s="502"/>
      <c r="P1363" s="502"/>
      <c r="Q1363" s="502"/>
      <c r="R1363" s="502"/>
      <c r="S1363" s="501" t="s">
        <v>1069</v>
      </c>
      <c r="T1363" s="501">
        <v>60</v>
      </c>
      <c r="U1363" s="501"/>
      <c r="V1363" s="501" t="s">
        <v>986</v>
      </c>
      <c r="W1363" s="505">
        <v>360</v>
      </c>
      <c r="X1363" s="403">
        <v>768</v>
      </c>
      <c r="Y1363" s="477">
        <f t="shared" si="166"/>
        <v>276480</v>
      </c>
      <c r="Z1363" s="478">
        <v>0.55000000000000004</v>
      </c>
      <c r="AA1363" s="479">
        <f t="shared" si="162"/>
        <v>152064</v>
      </c>
      <c r="AB1363" s="480"/>
      <c r="AC1363" s="481">
        <f t="shared" si="163"/>
        <v>0</v>
      </c>
      <c r="AD1363" s="490"/>
      <c r="AE1363" s="482"/>
      <c r="AF1363" s="493">
        <f t="shared" si="164"/>
        <v>152064</v>
      </c>
      <c r="AG1363" s="474" t="s">
        <v>1071</v>
      </c>
      <c r="AH1363" s="474">
        <v>10</v>
      </c>
      <c r="AI1363" s="474">
        <v>30</v>
      </c>
      <c r="AJ1363" s="474" t="s">
        <v>1678</v>
      </c>
      <c r="AK1363" s="474" t="s">
        <v>1085</v>
      </c>
      <c r="AL1363" s="494">
        <v>8512</v>
      </c>
      <c r="AM1363" s="474" t="s">
        <v>52</v>
      </c>
      <c r="AN1363" s="474"/>
      <c r="AO1363" s="474"/>
      <c r="AP1363" s="482"/>
      <c r="AQ1363" s="482" t="s">
        <v>1086</v>
      </c>
      <c r="AR1363" s="474" t="s">
        <v>1216</v>
      </c>
      <c r="AS1363" s="399" t="s">
        <v>1075</v>
      </c>
      <c r="AT1363" s="436" t="s">
        <v>1087</v>
      </c>
      <c r="AU1363" s="436" t="s">
        <v>1076</v>
      </c>
    </row>
    <row r="1364" spans="1:47" s="471" customFormat="1">
      <c r="A1364" s="495"/>
      <c r="B1364" s="407">
        <v>44631</v>
      </c>
      <c r="C1364" s="495" t="s">
        <v>1211</v>
      </c>
      <c r="D1364" s="405" t="s">
        <v>1066</v>
      </c>
      <c r="E1364" s="501" t="s">
        <v>1097</v>
      </c>
      <c r="F1364" s="501"/>
      <c r="G1364" s="501"/>
      <c r="H1364" s="501"/>
      <c r="I1364" s="501" t="s">
        <v>1676</v>
      </c>
      <c r="J1364" s="502"/>
      <c r="K1364" s="501" t="s">
        <v>5032</v>
      </c>
      <c r="L1364" s="502" t="s">
        <v>1644</v>
      </c>
      <c r="M1364" s="502">
        <v>44628</v>
      </c>
      <c r="N1364" s="502">
        <v>44841</v>
      </c>
      <c r="O1364" s="502"/>
      <c r="P1364" s="502"/>
      <c r="Q1364" s="502"/>
      <c r="R1364" s="502"/>
      <c r="S1364" s="501" t="s">
        <v>1069</v>
      </c>
      <c r="T1364" s="501">
        <v>60</v>
      </c>
      <c r="U1364" s="501"/>
      <c r="V1364" s="501" t="s">
        <v>986</v>
      </c>
      <c r="W1364" s="505">
        <v>360</v>
      </c>
      <c r="X1364" s="403">
        <v>768</v>
      </c>
      <c r="Y1364" s="477">
        <f t="shared" si="166"/>
        <v>276480</v>
      </c>
      <c r="Z1364" s="478">
        <v>0.55000000000000004</v>
      </c>
      <c r="AA1364" s="479">
        <f t="shared" si="162"/>
        <v>152064</v>
      </c>
      <c r="AB1364" s="480"/>
      <c r="AC1364" s="481">
        <f t="shared" si="163"/>
        <v>0</v>
      </c>
      <c r="AD1364" s="490"/>
      <c r="AE1364" s="482"/>
      <c r="AF1364" s="493">
        <f t="shared" si="164"/>
        <v>152064</v>
      </c>
      <c r="AG1364" s="474" t="s">
        <v>1071</v>
      </c>
      <c r="AH1364" s="474">
        <v>10</v>
      </c>
      <c r="AI1364" s="474">
        <v>30</v>
      </c>
      <c r="AJ1364" s="474" t="s">
        <v>1645</v>
      </c>
      <c r="AK1364" s="474" t="s">
        <v>1096</v>
      </c>
      <c r="AL1364" s="494">
        <v>2072</v>
      </c>
      <c r="AM1364" s="474" t="s">
        <v>52</v>
      </c>
      <c r="AN1364" s="474"/>
      <c r="AO1364" s="474"/>
      <c r="AP1364" s="482"/>
      <c r="AQ1364" s="482" t="s">
        <v>1086</v>
      </c>
      <c r="AR1364" s="474" t="s">
        <v>1216</v>
      </c>
      <c r="AS1364" s="399" t="s">
        <v>1075</v>
      </c>
      <c r="AT1364" s="436" t="s">
        <v>1087</v>
      </c>
      <c r="AU1364" s="436" t="s">
        <v>1076</v>
      </c>
    </row>
    <row r="1365" spans="1:47" s="471" customFormat="1">
      <c r="A1365" s="495"/>
      <c r="B1365" s="407">
        <v>44631</v>
      </c>
      <c r="C1365" s="495" t="s">
        <v>1211</v>
      </c>
      <c r="D1365" s="405" t="s">
        <v>1066</v>
      </c>
      <c r="E1365" s="501" t="s">
        <v>1097</v>
      </c>
      <c r="F1365" s="501"/>
      <c r="G1365" s="501"/>
      <c r="H1365" s="501"/>
      <c r="I1365" s="501" t="s">
        <v>1676</v>
      </c>
      <c r="J1365" s="502"/>
      <c r="K1365" s="501" t="s">
        <v>5033</v>
      </c>
      <c r="L1365" s="502" t="s">
        <v>1644</v>
      </c>
      <c r="M1365" s="502">
        <v>44628</v>
      </c>
      <c r="N1365" s="502">
        <v>44855</v>
      </c>
      <c r="O1365" s="502"/>
      <c r="P1365" s="502"/>
      <c r="Q1365" s="502"/>
      <c r="R1365" s="502"/>
      <c r="S1365" s="501" t="s">
        <v>1069</v>
      </c>
      <c r="T1365" s="501">
        <v>60</v>
      </c>
      <c r="U1365" s="501"/>
      <c r="V1365" s="501" t="s">
        <v>986</v>
      </c>
      <c r="W1365" s="505">
        <v>360</v>
      </c>
      <c r="X1365" s="403">
        <v>768</v>
      </c>
      <c r="Y1365" s="477">
        <f t="shared" si="166"/>
        <v>276480</v>
      </c>
      <c r="Z1365" s="478">
        <v>0.55000000000000004</v>
      </c>
      <c r="AA1365" s="479">
        <f t="shared" ref="AA1365:AA1403" si="167">Z1365*Y1365</f>
        <v>152064</v>
      </c>
      <c r="AB1365" s="480"/>
      <c r="AC1365" s="481">
        <f t="shared" ref="AC1365:AC1403" si="168">AB1365*Y1365</f>
        <v>0</v>
      </c>
      <c r="AD1365" s="490"/>
      <c r="AE1365" s="482"/>
      <c r="AF1365" s="493">
        <f t="shared" si="164"/>
        <v>152064</v>
      </c>
      <c r="AG1365" s="474" t="s">
        <v>1071</v>
      </c>
      <c r="AH1365" s="474">
        <v>10</v>
      </c>
      <c r="AI1365" s="474">
        <v>30</v>
      </c>
      <c r="AJ1365" s="474" t="s">
        <v>1645</v>
      </c>
      <c r="AK1365" s="474" t="s">
        <v>1096</v>
      </c>
      <c r="AL1365" s="494">
        <v>2072</v>
      </c>
      <c r="AM1365" s="474" t="s">
        <v>52</v>
      </c>
      <c r="AN1365" s="474"/>
      <c r="AO1365" s="474"/>
      <c r="AP1365" s="482"/>
      <c r="AQ1365" s="482" t="s">
        <v>1086</v>
      </c>
      <c r="AR1365" s="474" t="s">
        <v>1216</v>
      </c>
      <c r="AS1365" s="399" t="s">
        <v>1075</v>
      </c>
      <c r="AT1365" s="436" t="s">
        <v>1087</v>
      </c>
      <c r="AU1365" s="436" t="s">
        <v>1076</v>
      </c>
    </row>
    <row r="1366" spans="1:47" s="471" customFormat="1">
      <c r="A1366" s="495"/>
      <c r="B1366" s="407">
        <v>44631</v>
      </c>
      <c r="C1366" s="495" t="s">
        <v>1211</v>
      </c>
      <c r="D1366" s="405" t="s">
        <v>1066</v>
      </c>
      <c r="E1366" s="501" t="s">
        <v>1097</v>
      </c>
      <c r="F1366" s="501"/>
      <c r="G1366" s="501"/>
      <c r="H1366" s="501"/>
      <c r="I1366" s="501" t="s">
        <v>1676</v>
      </c>
      <c r="J1366" s="502"/>
      <c r="K1366" s="501" t="s">
        <v>5034</v>
      </c>
      <c r="L1366" s="502" t="s">
        <v>1644</v>
      </c>
      <c r="M1366" s="502">
        <v>44628</v>
      </c>
      <c r="N1366" s="502">
        <v>44847</v>
      </c>
      <c r="O1366" s="502"/>
      <c r="P1366" s="502"/>
      <c r="Q1366" s="502"/>
      <c r="R1366" s="502"/>
      <c r="S1366" s="501" t="s">
        <v>1069</v>
      </c>
      <c r="T1366" s="501">
        <v>60</v>
      </c>
      <c r="U1366" s="501"/>
      <c r="V1366" s="501" t="s">
        <v>986</v>
      </c>
      <c r="W1366" s="505">
        <v>360</v>
      </c>
      <c r="X1366" s="403">
        <v>768</v>
      </c>
      <c r="Y1366" s="477">
        <f t="shared" si="166"/>
        <v>276480</v>
      </c>
      <c r="Z1366" s="478">
        <v>0.55000000000000004</v>
      </c>
      <c r="AA1366" s="479">
        <f t="shared" si="167"/>
        <v>152064</v>
      </c>
      <c r="AB1366" s="480"/>
      <c r="AC1366" s="481">
        <f t="shared" si="168"/>
        <v>0</v>
      </c>
      <c r="AD1366" s="490"/>
      <c r="AE1366" s="482"/>
      <c r="AF1366" s="493">
        <f t="shared" si="164"/>
        <v>152064</v>
      </c>
      <c r="AG1366" s="474" t="s">
        <v>1071</v>
      </c>
      <c r="AH1366" s="474">
        <v>10</v>
      </c>
      <c r="AI1366" s="474">
        <v>30</v>
      </c>
      <c r="AJ1366" s="474" t="s">
        <v>1678</v>
      </c>
      <c r="AK1366" s="474" t="s">
        <v>1085</v>
      </c>
      <c r="AL1366" s="494">
        <v>8512</v>
      </c>
      <c r="AM1366" s="474" t="s">
        <v>52</v>
      </c>
      <c r="AN1366" s="474"/>
      <c r="AO1366" s="474"/>
      <c r="AP1366" s="482"/>
      <c r="AQ1366" s="482" t="s">
        <v>1086</v>
      </c>
      <c r="AR1366" s="474" t="s">
        <v>1216</v>
      </c>
      <c r="AS1366" s="399" t="s">
        <v>1075</v>
      </c>
      <c r="AT1366" s="436" t="s">
        <v>1087</v>
      </c>
      <c r="AU1366" s="436" t="s">
        <v>1076</v>
      </c>
    </row>
    <row r="1367" spans="1:47" s="471" customFormat="1">
      <c r="A1367" s="495"/>
      <c r="B1367" s="407">
        <v>44631</v>
      </c>
      <c r="C1367" s="495" t="s">
        <v>1211</v>
      </c>
      <c r="D1367" s="405" t="s">
        <v>1066</v>
      </c>
      <c r="E1367" s="501" t="s">
        <v>1097</v>
      </c>
      <c r="F1367" s="501"/>
      <c r="G1367" s="501"/>
      <c r="H1367" s="501"/>
      <c r="I1367" s="501" t="s">
        <v>1676</v>
      </c>
      <c r="J1367" s="502"/>
      <c r="K1367" s="501" t="s">
        <v>5035</v>
      </c>
      <c r="L1367" s="502" t="s">
        <v>1644</v>
      </c>
      <c r="M1367" s="502">
        <v>44628</v>
      </c>
      <c r="N1367" s="502">
        <v>44861</v>
      </c>
      <c r="O1367" s="502"/>
      <c r="P1367" s="502"/>
      <c r="Q1367" s="502"/>
      <c r="R1367" s="502"/>
      <c r="S1367" s="501" t="s">
        <v>1069</v>
      </c>
      <c r="T1367" s="501">
        <v>60</v>
      </c>
      <c r="U1367" s="501"/>
      <c r="V1367" s="501" t="s">
        <v>986</v>
      </c>
      <c r="W1367" s="505">
        <v>360</v>
      </c>
      <c r="X1367" s="403">
        <v>768</v>
      </c>
      <c r="Y1367" s="477">
        <f t="shared" si="166"/>
        <v>276480</v>
      </c>
      <c r="Z1367" s="478">
        <v>0.55000000000000004</v>
      </c>
      <c r="AA1367" s="479">
        <f t="shared" si="167"/>
        <v>152064</v>
      </c>
      <c r="AB1367" s="480"/>
      <c r="AC1367" s="481">
        <f t="shared" si="168"/>
        <v>0</v>
      </c>
      <c r="AD1367" s="490"/>
      <c r="AE1367" s="482"/>
      <c r="AF1367" s="493">
        <f t="shared" si="164"/>
        <v>152064</v>
      </c>
      <c r="AG1367" s="474" t="s">
        <v>1071</v>
      </c>
      <c r="AH1367" s="474">
        <v>10</v>
      </c>
      <c r="AI1367" s="474">
        <v>30</v>
      </c>
      <c r="AJ1367" s="474" t="s">
        <v>1678</v>
      </c>
      <c r="AK1367" s="474" t="s">
        <v>1085</v>
      </c>
      <c r="AL1367" s="494">
        <v>8512</v>
      </c>
      <c r="AM1367" s="474" t="s">
        <v>52</v>
      </c>
      <c r="AN1367" s="474"/>
      <c r="AO1367" s="474"/>
      <c r="AP1367" s="482"/>
      <c r="AQ1367" s="482" t="s">
        <v>1086</v>
      </c>
      <c r="AR1367" s="474" t="s">
        <v>1216</v>
      </c>
      <c r="AS1367" s="399" t="s">
        <v>1075</v>
      </c>
      <c r="AT1367" s="436" t="s">
        <v>1087</v>
      </c>
      <c r="AU1367" s="436" t="s">
        <v>1076</v>
      </c>
    </row>
    <row r="1368" spans="1:47" s="471" customFormat="1">
      <c r="A1368" s="495"/>
      <c r="B1368" s="407"/>
      <c r="C1368" s="495"/>
      <c r="D1368" s="405" t="s">
        <v>1066</v>
      </c>
      <c r="E1368" s="501" t="s">
        <v>1170</v>
      </c>
      <c r="F1368" s="501"/>
      <c r="G1368" s="501"/>
      <c r="H1368" s="501"/>
      <c r="I1368" s="501" t="s">
        <v>1676</v>
      </c>
      <c r="J1368" s="502"/>
      <c r="K1368" s="501" t="s">
        <v>5284</v>
      </c>
      <c r="L1368" s="502" t="s">
        <v>1644</v>
      </c>
      <c r="M1368" s="502">
        <v>44671</v>
      </c>
      <c r="N1368" s="502">
        <v>44867</v>
      </c>
      <c r="O1368" s="502"/>
      <c r="P1368" s="502"/>
      <c r="Q1368" s="502"/>
      <c r="R1368" s="502"/>
      <c r="S1368" s="501" t="s">
        <v>1069</v>
      </c>
      <c r="T1368" s="501">
        <v>60</v>
      </c>
      <c r="U1368" s="501"/>
      <c r="V1368" s="501" t="s">
        <v>986</v>
      </c>
      <c r="W1368" s="505">
        <v>360</v>
      </c>
      <c r="X1368" s="403">
        <v>768</v>
      </c>
      <c r="Y1368" s="477">
        <f t="shared" si="166"/>
        <v>276480</v>
      </c>
      <c r="Z1368" s="478">
        <v>0.63</v>
      </c>
      <c r="AA1368" s="479">
        <f t="shared" si="167"/>
        <v>174182.39999999999</v>
      </c>
      <c r="AB1368" s="480"/>
      <c r="AC1368" s="481">
        <f t="shared" si="168"/>
        <v>0</v>
      </c>
      <c r="AD1368" s="490"/>
      <c r="AE1368" s="482"/>
      <c r="AF1368" s="493">
        <f t="shared" si="164"/>
        <v>174182.39999999999</v>
      </c>
      <c r="AG1368" s="474" t="s">
        <v>1071</v>
      </c>
      <c r="AH1368" s="474">
        <v>10</v>
      </c>
      <c r="AI1368" s="474">
        <v>30</v>
      </c>
      <c r="AJ1368" s="474" t="s">
        <v>1645</v>
      </c>
      <c r="AK1368" s="474" t="s">
        <v>1096</v>
      </c>
      <c r="AL1368" s="494">
        <v>2072</v>
      </c>
      <c r="AM1368" s="474" t="s">
        <v>52</v>
      </c>
      <c r="AN1368" s="474"/>
      <c r="AO1368" s="474"/>
      <c r="AP1368" s="482"/>
      <c r="AQ1368" s="482" t="s">
        <v>1086</v>
      </c>
      <c r="AR1368" s="474" t="s">
        <v>1216</v>
      </c>
      <c r="AS1368" s="399" t="s">
        <v>1075</v>
      </c>
      <c r="AT1368" s="436" t="s">
        <v>1087</v>
      </c>
      <c r="AU1368" s="436" t="s">
        <v>1076</v>
      </c>
    </row>
    <row r="1369" spans="1:47" s="471" customFormat="1">
      <c r="A1369" s="495"/>
      <c r="B1369" s="407"/>
      <c r="C1369" s="495"/>
      <c r="D1369" s="405" t="s">
        <v>1066</v>
      </c>
      <c r="E1369" s="501" t="s">
        <v>1170</v>
      </c>
      <c r="F1369" s="501"/>
      <c r="G1369" s="501"/>
      <c r="H1369" s="501"/>
      <c r="I1369" s="501" t="s">
        <v>1676</v>
      </c>
      <c r="J1369" s="502"/>
      <c r="K1369" s="501" t="s">
        <v>5285</v>
      </c>
      <c r="L1369" s="502" t="s">
        <v>1644</v>
      </c>
      <c r="M1369" s="502">
        <v>44671</v>
      </c>
      <c r="N1369" s="502">
        <v>44876</v>
      </c>
      <c r="O1369" s="502"/>
      <c r="P1369" s="502"/>
      <c r="Q1369" s="502"/>
      <c r="R1369" s="502"/>
      <c r="S1369" s="501" t="s">
        <v>1069</v>
      </c>
      <c r="T1369" s="501">
        <v>60</v>
      </c>
      <c r="U1369" s="501"/>
      <c r="V1369" s="501" t="s">
        <v>986</v>
      </c>
      <c r="W1369" s="505">
        <v>360</v>
      </c>
      <c r="X1369" s="403">
        <v>768</v>
      </c>
      <c r="Y1369" s="477">
        <f t="shared" si="166"/>
        <v>276480</v>
      </c>
      <c r="Z1369" s="478">
        <v>0.63</v>
      </c>
      <c r="AA1369" s="479">
        <f t="shared" si="167"/>
        <v>174182.39999999999</v>
      </c>
      <c r="AB1369" s="480"/>
      <c r="AC1369" s="481">
        <f t="shared" si="168"/>
        <v>0</v>
      </c>
      <c r="AD1369" s="490"/>
      <c r="AE1369" s="482"/>
      <c r="AF1369" s="493">
        <f t="shared" si="164"/>
        <v>174182.39999999999</v>
      </c>
      <c r="AG1369" s="474" t="s">
        <v>1071</v>
      </c>
      <c r="AH1369" s="474">
        <v>10</v>
      </c>
      <c r="AI1369" s="474">
        <v>30</v>
      </c>
      <c r="AJ1369" s="474" t="s">
        <v>1645</v>
      </c>
      <c r="AK1369" s="474" t="s">
        <v>1096</v>
      </c>
      <c r="AL1369" s="494">
        <v>2072</v>
      </c>
      <c r="AM1369" s="474" t="s">
        <v>52</v>
      </c>
      <c r="AN1369" s="474"/>
      <c r="AO1369" s="474"/>
      <c r="AP1369" s="482"/>
      <c r="AQ1369" s="482" t="s">
        <v>1086</v>
      </c>
      <c r="AR1369" s="474" t="s">
        <v>1216</v>
      </c>
      <c r="AS1369" s="399" t="s">
        <v>1075</v>
      </c>
      <c r="AT1369" s="436" t="s">
        <v>1087</v>
      </c>
      <c r="AU1369" s="436" t="s">
        <v>1076</v>
      </c>
    </row>
    <row r="1370" spans="1:47" s="471" customFormat="1">
      <c r="A1370" s="495"/>
      <c r="B1370" s="407"/>
      <c r="C1370" s="495"/>
      <c r="D1370" s="405" t="s">
        <v>1066</v>
      </c>
      <c r="E1370" s="501" t="s">
        <v>1170</v>
      </c>
      <c r="F1370" s="501"/>
      <c r="G1370" s="501"/>
      <c r="H1370" s="501"/>
      <c r="I1370" s="501" t="s">
        <v>1676</v>
      </c>
      <c r="J1370" s="502"/>
      <c r="K1370" s="501" t="s">
        <v>5286</v>
      </c>
      <c r="L1370" s="502" t="s">
        <v>1644</v>
      </c>
      <c r="M1370" s="502">
        <v>44671</v>
      </c>
      <c r="N1370" s="502">
        <v>44887</v>
      </c>
      <c r="O1370" s="502"/>
      <c r="P1370" s="502"/>
      <c r="Q1370" s="502"/>
      <c r="R1370" s="502"/>
      <c r="S1370" s="501" t="s">
        <v>1069</v>
      </c>
      <c r="T1370" s="501">
        <v>60</v>
      </c>
      <c r="U1370" s="501"/>
      <c r="V1370" s="501" t="s">
        <v>986</v>
      </c>
      <c r="W1370" s="505">
        <v>360</v>
      </c>
      <c r="X1370" s="403">
        <v>768</v>
      </c>
      <c r="Y1370" s="477">
        <f t="shared" si="166"/>
        <v>276480</v>
      </c>
      <c r="Z1370" s="478">
        <v>0.63</v>
      </c>
      <c r="AA1370" s="479">
        <f t="shared" si="167"/>
        <v>174182.39999999999</v>
      </c>
      <c r="AB1370" s="480"/>
      <c r="AC1370" s="481">
        <f t="shared" si="168"/>
        <v>0</v>
      </c>
      <c r="AD1370" s="490"/>
      <c r="AE1370" s="482"/>
      <c r="AF1370" s="493">
        <f t="shared" si="164"/>
        <v>174182.39999999999</v>
      </c>
      <c r="AG1370" s="474" t="s">
        <v>1071</v>
      </c>
      <c r="AH1370" s="474">
        <v>10</v>
      </c>
      <c r="AI1370" s="474">
        <v>30</v>
      </c>
      <c r="AJ1370" s="474" t="s">
        <v>1645</v>
      </c>
      <c r="AK1370" s="474" t="s">
        <v>1096</v>
      </c>
      <c r="AL1370" s="494">
        <v>2072</v>
      </c>
      <c r="AM1370" s="474" t="s">
        <v>52</v>
      </c>
      <c r="AN1370" s="474"/>
      <c r="AO1370" s="474"/>
      <c r="AP1370" s="482"/>
      <c r="AQ1370" s="482" t="s">
        <v>1086</v>
      </c>
      <c r="AR1370" s="474" t="s">
        <v>1216</v>
      </c>
      <c r="AS1370" s="399" t="s">
        <v>1075</v>
      </c>
      <c r="AT1370" s="436" t="s">
        <v>1087</v>
      </c>
      <c r="AU1370" s="436" t="s">
        <v>1076</v>
      </c>
    </row>
    <row r="1371" spans="1:47" s="471" customFormat="1">
      <c r="A1371" s="495"/>
      <c r="B1371" s="407"/>
      <c r="C1371" s="495"/>
      <c r="D1371" s="405" t="s">
        <v>1066</v>
      </c>
      <c r="E1371" s="501" t="s">
        <v>1170</v>
      </c>
      <c r="F1371" s="501"/>
      <c r="G1371" s="501"/>
      <c r="H1371" s="501"/>
      <c r="I1371" s="501" t="s">
        <v>1676</v>
      </c>
      <c r="J1371" s="502"/>
      <c r="K1371" s="501" t="s">
        <v>5287</v>
      </c>
      <c r="L1371" s="502" t="s">
        <v>1644</v>
      </c>
      <c r="M1371" s="502">
        <v>44671</v>
      </c>
      <c r="N1371" s="502">
        <v>44896</v>
      </c>
      <c r="O1371" s="502"/>
      <c r="P1371" s="502"/>
      <c r="Q1371" s="502"/>
      <c r="R1371" s="502"/>
      <c r="S1371" s="501" t="s">
        <v>1069</v>
      </c>
      <c r="T1371" s="501">
        <v>60</v>
      </c>
      <c r="U1371" s="501"/>
      <c r="V1371" s="501" t="s">
        <v>986</v>
      </c>
      <c r="W1371" s="505">
        <v>360</v>
      </c>
      <c r="X1371" s="403">
        <v>768</v>
      </c>
      <c r="Y1371" s="477">
        <f t="shared" si="166"/>
        <v>276480</v>
      </c>
      <c r="Z1371" s="478">
        <v>0.63</v>
      </c>
      <c r="AA1371" s="479">
        <f t="shared" si="167"/>
        <v>174182.39999999999</v>
      </c>
      <c r="AB1371" s="480"/>
      <c r="AC1371" s="481">
        <f t="shared" si="168"/>
        <v>0</v>
      </c>
      <c r="AD1371" s="490"/>
      <c r="AE1371" s="482"/>
      <c r="AF1371" s="493">
        <f t="shared" si="164"/>
        <v>174182.39999999999</v>
      </c>
      <c r="AG1371" s="474" t="s">
        <v>1071</v>
      </c>
      <c r="AH1371" s="474">
        <v>10</v>
      </c>
      <c r="AI1371" s="474">
        <v>30</v>
      </c>
      <c r="AJ1371" s="474" t="s">
        <v>1645</v>
      </c>
      <c r="AK1371" s="474" t="s">
        <v>1096</v>
      </c>
      <c r="AL1371" s="494">
        <v>2072</v>
      </c>
      <c r="AM1371" s="474" t="s">
        <v>52</v>
      </c>
      <c r="AN1371" s="474"/>
      <c r="AO1371" s="474"/>
      <c r="AP1371" s="482"/>
      <c r="AQ1371" s="482" t="s">
        <v>1086</v>
      </c>
      <c r="AR1371" s="474" t="s">
        <v>1216</v>
      </c>
      <c r="AS1371" s="399" t="s">
        <v>1075</v>
      </c>
      <c r="AT1371" s="436" t="s">
        <v>1087</v>
      </c>
      <c r="AU1371" s="436" t="s">
        <v>1076</v>
      </c>
    </row>
    <row r="1372" spans="1:47" s="471" customFormat="1">
      <c r="A1372" s="495"/>
      <c r="B1372" s="407"/>
      <c r="C1372" s="495"/>
      <c r="D1372" s="405" t="s">
        <v>1066</v>
      </c>
      <c r="E1372" s="501" t="s">
        <v>1170</v>
      </c>
      <c r="F1372" s="501"/>
      <c r="G1372" s="501"/>
      <c r="H1372" s="501"/>
      <c r="I1372" s="501" t="s">
        <v>1676</v>
      </c>
      <c r="J1372" s="502"/>
      <c r="K1372" s="501" t="s">
        <v>5288</v>
      </c>
      <c r="L1372" s="502" t="s">
        <v>1644</v>
      </c>
      <c r="M1372" s="502">
        <v>44671</v>
      </c>
      <c r="N1372" s="502">
        <v>44909</v>
      </c>
      <c r="O1372" s="502"/>
      <c r="P1372" s="502"/>
      <c r="Q1372" s="502"/>
      <c r="R1372" s="502"/>
      <c r="S1372" s="501" t="s">
        <v>1069</v>
      </c>
      <c r="T1372" s="501">
        <v>60</v>
      </c>
      <c r="U1372" s="501"/>
      <c r="V1372" s="501" t="s">
        <v>986</v>
      </c>
      <c r="W1372" s="505">
        <v>360</v>
      </c>
      <c r="X1372" s="403">
        <v>768</v>
      </c>
      <c r="Y1372" s="477">
        <f t="shared" si="166"/>
        <v>276480</v>
      </c>
      <c r="Z1372" s="478">
        <v>0.63</v>
      </c>
      <c r="AA1372" s="479">
        <f t="shared" si="167"/>
        <v>174182.39999999999</v>
      </c>
      <c r="AB1372" s="480"/>
      <c r="AC1372" s="481">
        <f t="shared" si="168"/>
        <v>0</v>
      </c>
      <c r="AD1372" s="490"/>
      <c r="AE1372" s="482"/>
      <c r="AF1372" s="493">
        <f t="shared" si="164"/>
        <v>174182.39999999999</v>
      </c>
      <c r="AG1372" s="474" t="s">
        <v>1071</v>
      </c>
      <c r="AH1372" s="474">
        <v>10</v>
      </c>
      <c r="AI1372" s="474">
        <v>30</v>
      </c>
      <c r="AJ1372" s="474" t="s">
        <v>1645</v>
      </c>
      <c r="AK1372" s="474" t="s">
        <v>1096</v>
      </c>
      <c r="AL1372" s="494">
        <v>2072</v>
      </c>
      <c r="AM1372" s="474" t="s">
        <v>52</v>
      </c>
      <c r="AN1372" s="474"/>
      <c r="AO1372" s="474"/>
      <c r="AP1372" s="482"/>
      <c r="AQ1372" s="482" t="s">
        <v>1086</v>
      </c>
      <c r="AR1372" s="474" t="s">
        <v>1216</v>
      </c>
      <c r="AS1372" s="399" t="s">
        <v>1075</v>
      </c>
      <c r="AT1372" s="436" t="s">
        <v>1087</v>
      </c>
      <c r="AU1372" s="436" t="s">
        <v>1076</v>
      </c>
    </row>
    <row r="1373" spans="1:47" s="471" customFormat="1">
      <c r="A1373" s="495"/>
      <c r="B1373" s="407"/>
      <c r="C1373" s="495"/>
      <c r="D1373" s="405" t="s">
        <v>1066</v>
      </c>
      <c r="E1373" s="501" t="s">
        <v>1170</v>
      </c>
      <c r="F1373" s="501"/>
      <c r="G1373" s="501"/>
      <c r="H1373" s="501"/>
      <c r="I1373" s="501" t="s">
        <v>1676</v>
      </c>
      <c r="J1373" s="502"/>
      <c r="K1373" s="501" t="s">
        <v>5289</v>
      </c>
      <c r="L1373" s="502" t="s">
        <v>1644</v>
      </c>
      <c r="M1373" s="502">
        <v>44671</v>
      </c>
      <c r="N1373" s="502">
        <v>44922</v>
      </c>
      <c r="O1373" s="502"/>
      <c r="P1373" s="502"/>
      <c r="Q1373" s="502"/>
      <c r="R1373" s="502"/>
      <c r="S1373" s="501" t="s">
        <v>1069</v>
      </c>
      <c r="T1373" s="501">
        <v>60</v>
      </c>
      <c r="U1373" s="501"/>
      <c r="V1373" s="501" t="s">
        <v>986</v>
      </c>
      <c r="W1373" s="505">
        <v>360</v>
      </c>
      <c r="X1373" s="403">
        <v>768</v>
      </c>
      <c r="Y1373" s="477">
        <f t="shared" si="166"/>
        <v>276480</v>
      </c>
      <c r="Z1373" s="478">
        <v>0.63</v>
      </c>
      <c r="AA1373" s="479">
        <f t="shared" si="167"/>
        <v>174182.39999999999</v>
      </c>
      <c r="AB1373" s="480"/>
      <c r="AC1373" s="481">
        <f t="shared" si="168"/>
        <v>0</v>
      </c>
      <c r="AD1373" s="490"/>
      <c r="AE1373" s="482"/>
      <c r="AF1373" s="493">
        <f t="shared" si="164"/>
        <v>174182.39999999999</v>
      </c>
      <c r="AG1373" s="474" t="s">
        <v>1071</v>
      </c>
      <c r="AH1373" s="474">
        <v>10</v>
      </c>
      <c r="AI1373" s="474">
        <v>30</v>
      </c>
      <c r="AJ1373" s="474" t="s">
        <v>1645</v>
      </c>
      <c r="AK1373" s="474" t="s">
        <v>1096</v>
      </c>
      <c r="AL1373" s="494">
        <v>2072</v>
      </c>
      <c r="AM1373" s="474" t="s">
        <v>52</v>
      </c>
      <c r="AN1373" s="474"/>
      <c r="AO1373" s="474"/>
      <c r="AP1373" s="482"/>
      <c r="AQ1373" s="482" t="s">
        <v>1086</v>
      </c>
      <c r="AR1373" s="474" t="s">
        <v>1216</v>
      </c>
      <c r="AS1373" s="399" t="s">
        <v>1075</v>
      </c>
      <c r="AT1373" s="436" t="s">
        <v>1087</v>
      </c>
      <c r="AU1373" s="436" t="s">
        <v>1076</v>
      </c>
    </row>
    <row r="1374" spans="1:47" s="471" customFormat="1">
      <c r="A1374" s="495"/>
      <c r="B1374" s="407"/>
      <c r="C1374" s="495"/>
      <c r="D1374" s="405" t="s">
        <v>1066</v>
      </c>
      <c r="E1374" s="501" t="s">
        <v>1170</v>
      </c>
      <c r="F1374" s="501"/>
      <c r="G1374" s="501"/>
      <c r="H1374" s="501"/>
      <c r="I1374" s="501" t="s">
        <v>1676</v>
      </c>
      <c r="J1374" s="502"/>
      <c r="K1374" s="501" t="s">
        <v>5290</v>
      </c>
      <c r="L1374" s="502" t="s">
        <v>1644</v>
      </c>
      <c r="M1374" s="502">
        <v>44671</v>
      </c>
      <c r="N1374" s="502">
        <v>44762</v>
      </c>
      <c r="O1374" s="502"/>
      <c r="P1374" s="502"/>
      <c r="Q1374" s="502"/>
      <c r="R1374" s="502"/>
      <c r="S1374" s="501" t="s">
        <v>1069</v>
      </c>
      <c r="T1374" s="501">
        <v>60</v>
      </c>
      <c r="U1374" s="501"/>
      <c r="V1374" s="501" t="s">
        <v>986</v>
      </c>
      <c r="W1374" s="505">
        <v>360</v>
      </c>
      <c r="X1374" s="403">
        <v>768</v>
      </c>
      <c r="Y1374" s="477">
        <f t="shared" si="166"/>
        <v>276480</v>
      </c>
      <c r="Z1374" s="478">
        <v>0.63</v>
      </c>
      <c r="AA1374" s="479">
        <f t="shared" si="167"/>
        <v>174182.39999999999</v>
      </c>
      <c r="AB1374" s="480"/>
      <c r="AC1374" s="481">
        <f t="shared" si="168"/>
        <v>0</v>
      </c>
      <c r="AD1374" s="490"/>
      <c r="AE1374" s="482"/>
      <c r="AF1374" s="493">
        <f t="shared" si="164"/>
        <v>174182.39999999999</v>
      </c>
      <c r="AG1374" s="474" t="s">
        <v>1071</v>
      </c>
      <c r="AH1374" s="474">
        <v>10</v>
      </c>
      <c r="AI1374" s="474">
        <v>30</v>
      </c>
      <c r="AJ1374" s="474" t="s">
        <v>1645</v>
      </c>
      <c r="AK1374" s="474" t="s">
        <v>1096</v>
      </c>
      <c r="AL1374" s="494">
        <v>2072</v>
      </c>
      <c r="AM1374" s="474" t="s">
        <v>52</v>
      </c>
      <c r="AN1374" s="474"/>
      <c r="AO1374" s="474"/>
      <c r="AP1374" s="482"/>
      <c r="AQ1374" s="482" t="s">
        <v>1086</v>
      </c>
      <c r="AR1374" s="474" t="s">
        <v>1216</v>
      </c>
      <c r="AS1374" s="399" t="s">
        <v>1075</v>
      </c>
      <c r="AT1374" s="436" t="s">
        <v>1087</v>
      </c>
      <c r="AU1374" s="436" t="s">
        <v>1076</v>
      </c>
    </row>
    <row r="1375" spans="1:47" s="471" customFormat="1">
      <c r="A1375" s="495"/>
      <c r="B1375" s="407"/>
      <c r="C1375" s="495"/>
      <c r="D1375" s="405" t="s">
        <v>1066</v>
      </c>
      <c r="E1375" s="501" t="s">
        <v>1170</v>
      </c>
      <c r="F1375" s="501"/>
      <c r="G1375" s="501"/>
      <c r="H1375" s="501"/>
      <c r="I1375" s="501" t="s">
        <v>1676</v>
      </c>
      <c r="J1375" s="502"/>
      <c r="K1375" s="501" t="s">
        <v>5291</v>
      </c>
      <c r="L1375" s="502" t="s">
        <v>1644</v>
      </c>
      <c r="M1375" s="502">
        <v>44671</v>
      </c>
      <c r="N1375" s="502">
        <v>44790</v>
      </c>
      <c r="O1375" s="502"/>
      <c r="P1375" s="502"/>
      <c r="Q1375" s="502"/>
      <c r="R1375" s="502"/>
      <c r="S1375" s="501" t="s">
        <v>1069</v>
      </c>
      <c r="T1375" s="501">
        <v>60</v>
      </c>
      <c r="U1375" s="501"/>
      <c r="V1375" s="501" t="s">
        <v>986</v>
      </c>
      <c r="W1375" s="505">
        <v>360</v>
      </c>
      <c r="X1375" s="403">
        <v>768</v>
      </c>
      <c r="Y1375" s="477">
        <f t="shared" si="166"/>
        <v>276480</v>
      </c>
      <c r="Z1375" s="478">
        <v>0.63</v>
      </c>
      <c r="AA1375" s="479">
        <f t="shared" si="167"/>
        <v>174182.39999999999</v>
      </c>
      <c r="AB1375" s="480"/>
      <c r="AC1375" s="481">
        <f t="shared" si="168"/>
        <v>0</v>
      </c>
      <c r="AD1375" s="490"/>
      <c r="AE1375" s="482"/>
      <c r="AF1375" s="493">
        <f t="shared" si="164"/>
        <v>174182.39999999999</v>
      </c>
      <c r="AG1375" s="474" t="s">
        <v>1071</v>
      </c>
      <c r="AH1375" s="474">
        <v>10</v>
      </c>
      <c r="AI1375" s="474">
        <v>30</v>
      </c>
      <c r="AJ1375" s="474" t="s">
        <v>1645</v>
      </c>
      <c r="AK1375" s="474" t="s">
        <v>1096</v>
      </c>
      <c r="AL1375" s="494">
        <v>2072</v>
      </c>
      <c r="AM1375" s="474" t="s">
        <v>52</v>
      </c>
      <c r="AN1375" s="474"/>
      <c r="AO1375" s="474"/>
      <c r="AP1375" s="482"/>
      <c r="AQ1375" s="482" t="s">
        <v>1086</v>
      </c>
      <c r="AR1375" s="474" t="s">
        <v>1216</v>
      </c>
      <c r="AS1375" s="399" t="s">
        <v>1075</v>
      </c>
      <c r="AT1375" s="436" t="s">
        <v>1087</v>
      </c>
      <c r="AU1375" s="436" t="s">
        <v>1076</v>
      </c>
    </row>
    <row r="1376" spans="1:47" s="471" customFormat="1">
      <c r="A1376" s="495"/>
      <c r="B1376" s="407"/>
      <c r="C1376" s="495"/>
      <c r="D1376" s="405" t="s">
        <v>1066</v>
      </c>
      <c r="E1376" s="501" t="s">
        <v>1170</v>
      </c>
      <c r="F1376" s="501"/>
      <c r="G1376" s="501"/>
      <c r="H1376" s="501"/>
      <c r="I1376" s="501" t="s">
        <v>1676</v>
      </c>
      <c r="J1376" s="502"/>
      <c r="K1376" s="501" t="s">
        <v>5292</v>
      </c>
      <c r="L1376" s="502" t="s">
        <v>1644</v>
      </c>
      <c r="M1376" s="502">
        <v>44671</v>
      </c>
      <c r="N1376" s="502">
        <v>44833</v>
      </c>
      <c r="O1376" s="502"/>
      <c r="P1376" s="502"/>
      <c r="Q1376" s="502"/>
      <c r="R1376" s="502"/>
      <c r="S1376" s="501" t="s">
        <v>1069</v>
      </c>
      <c r="T1376" s="501">
        <v>60</v>
      </c>
      <c r="U1376" s="501"/>
      <c r="V1376" s="501" t="s">
        <v>986</v>
      </c>
      <c r="W1376" s="505">
        <v>360</v>
      </c>
      <c r="X1376" s="403">
        <v>768</v>
      </c>
      <c r="Y1376" s="477">
        <f t="shared" si="166"/>
        <v>276480</v>
      </c>
      <c r="Z1376" s="478">
        <v>0.63</v>
      </c>
      <c r="AA1376" s="479">
        <f t="shared" si="167"/>
        <v>174182.39999999999</v>
      </c>
      <c r="AB1376" s="480"/>
      <c r="AC1376" s="481">
        <f t="shared" si="168"/>
        <v>0</v>
      </c>
      <c r="AD1376" s="490"/>
      <c r="AE1376" s="482"/>
      <c r="AF1376" s="493">
        <f t="shared" si="164"/>
        <v>174182.39999999999</v>
      </c>
      <c r="AG1376" s="474" t="s">
        <v>1071</v>
      </c>
      <c r="AH1376" s="474">
        <v>10</v>
      </c>
      <c r="AI1376" s="474">
        <v>30</v>
      </c>
      <c r="AJ1376" s="474" t="s">
        <v>1645</v>
      </c>
      <c r="AK1376" s="474" t="s">
        <v>1096</v>
      </c>
      <c r="AL1376" s="494">
        <v>2072</v>
      </c>
      <c r="AM1376" s="474" t="s">
        <v>52</v>
      </c>
      <c r="AN1376" s="474"/>
      <c r="AO1376" s="474"/>
      <c r="AP1376" s="482"/>
      <c r="AQ1376" s="482" t="s">
        <v>1086</v>
      </c>
      <c r="AR1376" s="474" t="s">
        <v>1216</v>
      </c>
      <c r="AS1376" s="399" t="s">
        <v>1075</v>
      </c>
      <c r="AT1376" s="436" t="s">
        <v>1087</v>
      </c>
      <c r="AU1376" s="436" t="s">
        <v>1076</v>
      </c>
    </row>
    <row r="1377" spans="1:47" s="471" customFormat="1">
      <c r="A1377" s="495"/>
      <c r="B1377" s="407"/>
      <c r="C1377" s="495"/>
      <c r="D1377" s="405" t="s">
        <v>1066</v>
      </c>
      <c r="E1377" s="501" t="s">
        <v>1170</v>
      </c>
      <c r="F1377" s="501"/>
      <c r="G1377" s="501"/>
      <c r="H1377" s="501"/>
      <c r="I1377" s="501" t="s">
        <v>1676</v>
      </c>
      <c r="J1377" s="502"/>
      <c r="K1377" s="501" t="s">
        <v>5293</v>
      </c>
      <c r="L1377" s="502" t="s">
        <v>1644</v>
      </c>
      <c r="M1377" s="502">
        <v>44671</v>
      </c>
      <c r="N1377" s="502">
        <v>44830</v>
      </c>
      <c r="O1377" s="502"/>
      <c r="P1377" s="502"/>
      <c r="Q1377" s="502"/>
      <c r="R1377" s="502"/>
      <c r="S1377" s="501" t="s">
        <v>1069</v>
      </c>
      <c r="T1377" s="501">
        <v>60</v>
      </c>
      <c r="U1377" s="501"/>
      <c r="V1377" s="501" t="s">
        <v>986</v>
      </c>
      <c r="W1377" s="505">
        <v>360</v>
      </c>
      <c r="X1377" s="403">
        <v>768</v>
      </c>
      <c r="Y1377" s="477">
        <f t="shared" si="166"/>
        <v>276480</v>
      </c>
      <c r="Z1377" s="478">
        <v>0.63</v>
      </c>
      <c r="AA1377" s="479">
        <f t="shared" si="167"/>
        <v>174182.39999999999</v>
      </c>
      <c r="AB1377" s="480"/>
      <c r="AC1377" s="481">
        <f t="shared" si="168"/>
        <v>0</v>
      </c>
      <c r="AD1377" s="490"/>
      <c r="AE1377" s="482"/>
      <c r="AF1377" s="493">
        <f t="shared" si="164"/>
        <v>174182.39999999999</v>
      </c>
      <c r="AG1377" s="474" t="s">
        <v>1071</v>
      </c>
      <c r="AH1377" s="474">
        <v>10</v>
      </c>
      <c r="AI1377" s="474">
        <v>30</v>
      </c>
      <c r="AJ1377" s="474" t="s">
        <v>1678</v>
      </c>
      <c r="AK1377" s="474" t="s">
        <v>1085</v>
      </c>
      <c r="AL1377" s="494">
        <v>8512</v>
      </c>
      <c r="AM1377" s="474" t="s">
        <v>52</v>
      </c>
      <c r="AN1377" s="474"/>
      <c r="AO1377" s="474"/>
      <c r="AP1377" s="482"/>
      <c r="AQ1377" s="482" t="s">
        <v>1086</v>
      </c>
      <c r="AR1377" s="474" t="s">
        <v>1216</v>
      </c>
      <c r="AS1377" s="399" t="s">
        <v>1075</v>
      </c>
      <c r="AT1377" s="436" t="s">
        <v>1087</v>
      </c>
      <c r="AU1377" s="436" t="s">
        <v>1076</v>
      </c>
    </row>
    <row r="1378" spans="1:47" s="471" customFormat="1">
      <c r="A1378" s="495"/>
      <c r="B1378" s="407"/>
      <c r="C1378" s="495"/>
      <c r="D1378" s="405" t="s">
        <v>1066</v>
      </c>
      <c r="E1378" s="501" t="s">
        <v>1170</v>
      </c>
      <c r="F1378" s="501"/>
      <c r="G1378" s="501"/>
      <c r="H1378" s="501"/>
      <c r="I1378" s="501" t="s">
        <v>1676</v>
      </c>
      <c r="J1378" s="502"/>
      <c r="K1378" s="501" t="s">
        <v>5294</v>
      </c>
      <c r="L1378" s="502" t="s">
        <v>1644</v>
      </c>
      <c r="M1378" s="502">
        <v>44671</v>
      </c>
      <c r="N1378" s="502">
        <v>44839</v>
      </c>
      <c r="O1378" s="502"/>
      <c r="P1378" s="502"/>
      <c r="Q1378" s="502"/>
      <c r="R1378" s="502"/>
      <c r="S1378" s="501" t="s">
        <v>1069</v>
      </c>
      <c r="T1378" s="501">
        <v>60</v>
      </c>
      <c r="U1378" s="501"/>
      <c r="V1378" s="501" t="s">
        <v>986</v>
      </c>
      <c r="W1378" s="505">
        <v>360</v>
      </c>
      <c r="X1378" s="403">
        <v>768</v>
      </c>
      <c r="Y1378" s="477">
        <f t="shared" si="166"/>
        <v>276480</v>
      </c>
      <c r="Z1378" s="478">
        <v>0.63</v>
      </c>
      <c r="AA1378" s="479">
        <f t="shared" si="167"/>
        <v>174182.39999999999</v>
      </c>
      <c r="AB1378" s="480"/>
      <c r="AC1378" s="481">
        <f t="shared" si="168"/>
        <v>0</v>
      </c>
      <c r="AD1378" s="490"/>
      <c r="AE1378" s="482"/>
      <c r="AF1378" s="493">
        <f t="shared" si="164"/>
        <v>174182.39999999999</v>
      </c>
      <c r="AG1378" s="474" t="s">
        <v>1071</v>
      </c>
      <c r="AH1378" s="474">
        <v>10</v>
      </c>
      <c r="AI1378" s="474">
        <v>30</v>
      </c>
      <c r="AJ1378" s="474" t="s">
        <v>1678</v>
      </c>
      <c r="AK1378" s="474" t="s">
        <v>1085</v>
      </c>
      <c r="AL1378" s="494">
        <v>8512</v>
      </c>
      <c r="AM1378" s="474" t="s">
        <v>52</v>
      </c>
      <c r="AN1378" s="474"/>
      <c r="AO1378" s="474"/>
      <c r="AP1378" s="482"/>
      <c r="AQ1378" s="482" t="s">
        <v>1086</v>
      </c>
      <c r="AR1378" s="474" t="s">
        <v>1216</v>
      </c>
      <c r="AS1378" s="399" t="s">
        <v>1075</v>
      </c>
      <c r="AT1378" s="436" t="s">
        <v>1087</v>
      </c>
      <c r="AU1378" s="436" t="s">
        <v>1076</v>
      </c>
    </row>
    <row r="1379" spans="1:47" s="471" customFormat="1">
      <c r="A1379" s="495"/>
      <c r="B1379" s="407"/>
      <c r="C1379" s="495"/>
      <c r="D1379" s="405" t="s">
        <v>1066</v>
      </c>
      <c r="E1379" s="501" t="s">
        <v>1170</v>
      </c>
      <c r="F1379" s="501"/>
      <c r="G1379" s="501"/>
      <c r="H1379" s="501"/>
      <c r="I1379" s="501" t="s">
        <v>1676</v>
      </c>
      <c r="J1379" s="502"/>
      <c r="K1379" s="501" t="s">
        <v>5295</v>
      </c>
      <c r="L1379" s="502" t="s">
        <v>1644</v>
      </c>
      <c r="M1379" s="502">
        <v>44671</v>
      </c>
      <c r="N1379" s="502">
        <v>44881</v>
      </c>
      <c r="O1379" s="502"/>
      <c r="P1379" s="502"/>
      <c r="Q1379" s="502"/>
      <c r="R1379" s="502"/>
      <c r="S1379" s="501" t="s">
        <v>1069</v>
      </c>
      <c r="T1379" s="501">
        <v>60</v>
      </c>
      <c r="U1379" s="501"/>
      <c r="V1379" s="501" t="s">
        <v>986</v>
      </c>
      <c r="W1379" s="505">
        <v>360</v>
      </c>
      <c r="X1379" s="403">
        <v>2304</v>
      </c>
      <c r="Y1379" s="477">
        <f t="shared" si="166"/>
        <v>829440</v>
      </c>
      <c r="Z1379" s="478">
        <v>0.63</v>
      </c>
      <c r="AA1379" s="479">
        <f t="shared" si="167"/>
        <v>522547.20000000001</v>
      </c>
      <c r="AB1379" s="480"/>
      <c r="AC1379" s="481">
        <f t="shared" si="168"/>
        <v>0</v>
      </c>
      <c r="AD1379" s="490"/>
      <c r="AE1379" s="482"/>
      <c r="AF1379" s="493">
        <f t="shared" si="164"/>
        <v>522547.20000000001</v>
      </c>
      <c r="AG1379" s="474" t="s">
        <v>1071</v>
      </c>
      <c r="AH1379" s="474">
        <v>10</v>
      </c>
      <c r="AI1379" s="474">
        <v>30</v>
      </c>
      <c r="AJ1379" s="474" t="s">
        <v>1678</v>
      </c>
      <c r="AK1379" s="474" t="s">
        <v>1085</v>
      </c>
      <c r="AL1379" s="494">
        <v>8512</v>
      </c>
      <c r="AM1379" s="474" t="s">
        <v>52</v>
      </c>
      <c r="AN1379" s="474"/>
      <c r="AO1379" s="474"/>
      <c r="AP1379" s="482"/>
      <c r="AQ1379" s="482" t="s">
        <v>1086</v>
      </c>
      <c r="AR1379" s="474" t="s">
        <v>1216</v>
      </c>
      <c r="AS1379" s="399" t="s">
        <v>1075</v>
      </c>
      <c r="AT1379" s="436" t="s">
        <v>1087</v>
      </c>
      <c r="AU1379" s="436" t="s">
        <v>1076</v>
      </c>
    </row>
    <row r="1380" spans="1:47" s="471" customFormat="1">
      <c r="A1380" s="495"/>
      <c r="B1380" s="407"/>
      <c r="C1380" s="495"/>
      <c r="D1380" s="405" t="s">
        <v>1066</v>
      </c>
      <c r="E1380" s="501" t="s">
        <v>1170</v>
      </c>
      <c r="F1380" s="501"/>
      <c r="G1380" s="501"/>
      <c r="H1380" s="501"/>
      <c r="I1380" s="501" t="s">
        <v>1676</v>
      </c>
      <c r="J1380" s="502"/>
      <c r="K1380" s="501" t="s">
        <v>5296</v>
      </c>
      <c r="L1380" s="502" t="s">
        <v>1644</v>
      </c>
      <c r="M1380" s="502">
        <v>44671</v>
      </c>
      <c r="N1380" s="502">
        <v>44909</v>
      </c>
      <c r="O1380" s="502"/>
      <c r="P1380" s="502"/>
      <c r="Q1380" s="502"/>
      <c r="R1380" s="502"/>
      <c r="S1380" s="501" t="s">
        <v>1069</v>
      </c>
      <c r="T1380" s="501">
        <v>60</v>
      </c>
      <c r="U1380" s="501"/>
      <c r="V1380" s="501" t="s">
        <v>986</v>
      </c>
      <c r="W1380" s="505">
        <v>360</v>
      </c>
      <c r="X1380" s="403">
        <v>2304</v>
      </c>
      <c r="Y1380" s="477">
        <f t="shared" si="166"/>
        <v>829440</v>
      </c>
      <c r="Z1380" s="478">
        <v>0.63</v>
      </c>
      <c r="AA1380" s="479">
        <f t="shared" si="167"/>
        <v>522547.20000000001</v>
      </c>
      <c r="AB1380" s="480"/>
      <c r="AC1380" s="481">
        <f t="shared" si="168"/>
        <v>0</v>
      </c>
      <c r="AD1380" s="490"/>
      <c r="AE1380" s="482"/>
      <c r="AF1380" s="493">
        <f t="shared" si="164"/>
        <v>522547.20000000001</v>
      </c>
      <c r="AG1380" s="474" t="s">
        <v>1071</v>
      </c>
      <c r="AH1380" s="474">
        <v>10</v>
      </c>
      <c r="AI1380" s="474">
        <v>30</v>
      </c>
      <c r="AJ1380" s="474" t="s">
        <v>1678</v>
      </c>
      <c r="AK1380" s="474" t="s">
        <v>1085</v>
      </c>
      <c r="AL1380" s="494">
        <v>8512</v>
      </c>
      <c r="AM1380" s="474" t="s">
        <v>52</v>
      </c>
      <c r="AN1380" s="474"/>
      <c r="AO1380" s="474"/>
      <c r="AP1380" s="482"/>
      <c r="AQ1380" s="482" t="s">
        <v>1086</v>
      </c>
      <c r="AR1380" s="474" t="s">
        <v>1216</v>
      </c>
      <c r="AS1380" s="399" t="s">
        <v>1075</v>
      </c>
      <c r="AT1380" s="436" t="s">
        <v>1087</v>
      </c>
      <c r="AU1380" s="436" t="s">
        <v>1076</v>
      </c>
    </row>
    <row r="1381" spans="1:47" s="471" customFormat="1">
      <c r="A1381" s="495"/>
      <c r="B1381" s="407"/>
      <c r="C1381" s="495"/>
      <c r="D1381" s="405" t="s">
        <v>1066</v>
      </c>
      <c r="E1381" s="501" t="s">
        <v>1170</v>
      </c>
      <c r="F1381" s="501"/>
      <c r="G1381" s="501"/>
      <c r="H1381" s="501"/>
      <c r="I1381" s="501" t="s">
        <v>1676</v>
      </c>
      <c r="J1381" s="502"/>
      <c r="K1381" s="501" t="s">
        <v>5297</v>
      </c>
      <c r="L1381" s="502" t="s">
        <v>1644</v>
      </c>
      <c r="M1381" s="502">
        <v>44671</v>
      </c>
      <c r="N1381" s="502">
        <v>44750</v>
      </c>
      <c r="O1381" s="502"/>
      <c r="P1381" s="502"/>
      <c r="Q1381" s="502"/>
      <c r="R1381" s="502"/>
      <c r="S1381" s="501" t="s">
        <v>1069</v>
      </c>
      <c r="T1381" s="501">
        <v>60</v>
      </c>
      <c r="U1381" s="501"/>
      <c r="V1381" s="501" t="s">
        <v>986</v>
      </c>
      <c r="W1381" s="505">
        <v>360</v>
      </c>
      <c r="X1381" s="403">
        <v>768</v>
      </c>
      <c r="Y1381" s="477">
        <f t="shared" si="166"/>
        <v>276480</v>
      </c>
      <c r="Z1381" s="478">
        <v>0.63</v>
      </c>
      <c r="AA1381" s="479">
        <f t="shared" si="167"/>
        <v>174182.39999999999</v>
      </c>
      <c r="AB1381" s="480"/>
      <c r="AC1381" s="481">
        <f t="shared" si="168"/>
        <v>0</v>
      </c>
      <c r="AD1381" s="490"/>
      <c r="AE1381" s="482"/>
      <c r="AF1381" s="493">
        <f t="shared" si="164"/>
        <v>174182.39999999999</v>
      </c>
      <c r="AG1381" s="474" t="s">
        <v>1071</v>
      </c>
      <c r="AH1381" s="474">
        <v>10</v>
      </c>
      <c r="AI1381" s="474">
        <v>30</v>
      </c>
      <c r="AJ1381" s="474" t="s">
        <v>1678</v>
      </c>
      <c r="AK1381" s="474" t="s">
        <v>1085</v>
      </c>
      <c r="AL1381" s="494">
        <v>8512</v>
      </c>
      <c r="AM1381" s="474" t="s">
        <v>52</v>
      </c>
      <c r="AN1381" s="474"/>
      <c r="AO1381" s="474"/>
      <c r="AP1381" s="482"/>
      <c r="AQ1381" s="482" t="s">
        <v>1086</v>
      </c>
      <c r="AR1381" s="474" t="s">
        <v>1216</v>
      </c>
      <c r="AS1381" s="399" t="s">
        <v>1075</v>
      </c>
      <c r="AT1381" s="436" t="s">
        <v>1087</v>
      </c>
      <c r="AU1381" s="436" t="s">
        <v>1076</v>
      </c>
    </row>
    <row r="1382" spans="1:47" s="471" customFormat="1">
      <c r="A1382" s="495"/>
      <c r="B1382" s="407"/>
      <c r="C1382" s="495"/>
      <c r="D1382" s="405" t="s">
        <v>1066</v>
      </c>
      <c r="E1382" s="501" t="s">
        <v>1170</v>
      </c>
      <c r="F1382" s="501"/>
      <c r="G1382" s="501"/>
      <c r="H1382" s="501"/>
      <c r="I1382" s="501" t="s">
        <v>1676</v>
      </c>
      <c r="J1382" s="502"/>
      <c r="K1382" s="501" t="s">
        <v>5298</v>
      </c>
      <c r="L1382" s="502" t="s">
        <v>1644</v>
      </c>
      <c r="M1382" s="502">
        <v>44671</v>
      </c>
      <c r="N1382" s="502">
        <v>44796</v>
      </c>
      <c r="O1382" s="502"/>
      <c r="P1382" s="502"/>
      <c r="Q1382" s="502"/>
      <c r="R1382" s="502"/>
      <c r="S1382" s="501" t="s">
        <v>1069</v>
      </c>
      <c r="T1382" s="501">
        <v>60</v>
      </c>
      <c r="U1382" s="501"/>
      <c r="V1382" s="501" t="s">
        <v>986</v>
      </c>
      <c r="W1382" s="505">
        <v>360</v>
      </c>
      <c r="X1382" s="403">
        <v>768</v>
      </c>
      <c r="Y1382" s="477">
        <f t="shared" si="166"/>
        <v>276480</v>
      </c>
      <c r="Z1382" s="478">
        <v>0.63</v>
      </c>
      <c r="AA1382" s="479">
        <f t="shared" si="167"/>
        <v>174182.39999999999</v>
      </c>
      <c r="AB1382" s="480"/>
      <c r="AC1382" s="481">
        <f t="shared" si="168"/>
        <v>0</v>
      </c>
      <c r="AD1382" s="490"/>
      <c r="AE1382" s="482"/>
      <c r="AF1382" s="493">
        <f t="shared" ref="AF1382:AF1395" si="169">AE1382+AD1382+AA1382</f>
        <v>174182.39999999999</v>
      </c>
      <c r="AG1382" s="474" t="s">
        <v>1071</v>
      </c>
      <c r="AH1382" s="474">
        <v>10</v>
      </c>
      <c r="AI1382" s="474">
        <v>30</v>
      </c>
      <c r="AJ1382" s="474" t="s">
        <v>1678</v>
      </c>
      <c r="AK1382" s="474" t="s">
        <v>1085</v>
      </c>
      <c r="AL1382" s="494">
        <v>8512</v>
      </c>
      <c r="AM1382" s="474" t="s">
        <v>52</v>
      </c>
      <c r="AN1382" s="474"/>
      <c r="AO1382" s="474"/>
      <c r="AP1382" s="482"/>
      <c r="AQ1382" s="482" t="s">
        <v>1086</v>
      </c>
      <c r="AR1382" s="474" t="s">
        <v>1216</v>
      </c>
      <c r="AS1382" s="399" t="s">
        <v>1075</v>
      </c>
      <c r="AT1382" s="436" t="s">
        <v>1087</v>
      </c>
      <c r="AU1382" s="436" t="s">
        <v>1076</v>
      </c>
    </row>
    <row r="1383" spans="1:47" s="471" customFormat="1">
      <c r="A1383" s="495"/>
      <c r="B1383" s="407"/>
      <c r="C1383" s="495"/>
      <c r="D1383" s="405" t="s">
        <v>1066</v>
      </c>
      <c r="E1383" s="501" t="s">
        <v>1170</v>
      </c>
      <c r="F1383" s="501"/>
      <c r="G1383" s="501"/>
      <c r="H1383" s="501"/>
      <c r="I1383" s="501" t="s">
        <v>1676</v>
      </c>
      <c r="J1383" s="502"/>
      <c r="K1383" s="501" t="s">
        <v>5299</v>
      </c>
      <c r="L1383" s="502" t="s">
        <v>1644</v>
      </c>
      <c r="M1383" s="502">
        <v>44671</v>
      </c>
      <c r="N1383" s="502">
        <v>44793</v>
      </c>
      <c r="O1383" s="502"/>
      <c r="P1383" s="502"/>
      <c r="Q1383" s="502"/>
      <c r="R1383" s="502"/>
      <c r="S1383" s="501" t="s">
        <v>1069</v>
      </c>
      <c r="T1383" s="501">
        <v>60</v>
      </c>
      <c r="U1383" s="501"/>
      <c r="V1383" s="501" t="s">
        <v>973</v>
      </c>
      <c r="W1383" s="505">
        <v>400</v>
      </c>
      <c r="X1383" s="403">
        <v>4608</v>
      </c>
      <c r="Y1383" s="477">
        <f t="shared" si="166"/>
        <v>1843200</v>
      </c>
      <c r="Z1383" s="478">
        <v>0.65</v>
      </c>
      <c r="AA1383" s="479">
        <f t="shared" si="167"/>
        <v>1198080</v>
      </c>
      <c r="AB1383" s="480"/>
      <c r="AC1383" s="481">
        <f t="shared" si="168"/>
        <v>0</v>
      </c>
      <c r="AD1383" s="490"/>
      <c r="AE1383" s="482"/>
      <c r="AF1383" s="493">
        <f t="shared" si="169"/>
        <v>1198080</v>
      </c>
      <c r="AG1383" s="474" t="s">
        <v>1071</v>
      </c>
      <c r="AH1383" s="474">
        <v>10</v>
      </c>
      <c r="AI1383" s="474">
        <v>30</v>
      </c>
      <c r="AJ1383" s="474" t="s">
        <v>1645</v>
      </c>
      <c r="AK1383" s="474" t="s">
        <v>1096</v>
      </c>
      <c r="AL1383" s="494">
        <v>2072</v>
      </c>
      <c r="AM1383" s="474" t="s">
        <v>52</v>
      </c>
      <c r="AN1383" s="474"/>
      <c r="AO1383" s="474"/>
      <c r="AP1383" s="482"/>
      <c r="AQ1383" s="482" t="s">
        <v>1086</v>
      </c>
      <c r="AR1383" s="474" t="s">
        <v>1216</v>
      </c>
      <c r="AS1383" s="399" t="s">
        <v>1075</v>
      </c>
      <c r="AT1383" s="436" t="s">
        <v>1087</v>
      </c>
      <c r="AU1383" s="436" t="s">
        <v>1076</v>
      </c>
    </row>
    <row r="1384" spans="1:47" s="471" customFormat="1">
      <c r="A1384" s="495"/>
      <c r="B1384" s="407"/>
      <c r="C1384" s="495"/>
      <c r="D1384" s="405" t="s">
        <v>1066</v>
      </c>
      <c r="E1384" s="501" t="s">
        <v>1170</v>
      </c>
      <c r="F1384" s="501"/>
      <c r="G1384" s="501"/>
      <c r="H1384" s="501"/>
      <c r="I1384" s="501" t="s">
        <v>1676</v>
      </c>
      <c r="J1384" s="502"/>
      <c r="K1384" s="501" t="s">
        <v>5300</v>
      </c>
      <c r="L1384" s="502" t="s">
        <v>1644</v>
      </c>
      <c r="M1384" s="502">
        <v>44671</v>
      </c>
      <c r="N1384" s="502">
        <v>44810</v>
      </c>
      <c r="O1384" s="502"/>
      <c r="P1384" s="502"/>
      <c r="Q1384" s="502"/>
      <c r="R1384" s="502"/>
      <c r="S1384" s="501" t="s">
        <v>1069</v>
      </c>
      <c r="T1384" s="501">
        <v>60</v>
      </c>
      <c r="U1384" s="501"/>
      <c r="V1384" s="501" t="s">
        <v>973</v>
      </c>
      <c r="W1384" s="505">
        <v>400</v>
      </c>
      <c r="X1384" s="403">
        <v>4608</v>
      </c>
      <c r="Y1384" s="477">
        <f t="shared" si="166"/>
        <v>1843200</v>
      </c>
      <c r="Z1384" s="478">
        <v>0.65</v>
      </c>
      <c r="AA1384" s="479">
        <f t="shared" si="167"/>
        <v>1198080</v>
      </c>
      <c r="AB1384" s="480"/>
      <c r="AC1384" s="481">
        <f t="shared" si="168"/>
        <v>0</v>
      </c>
      <c r="AD1384" s="490"/>
      <c r="AE1384" s="482"/>
      <c r="AF1384" s="493">
        <f t="shared" si="169"/>
        <v>1198080</v>
      </c>
      <c r="AG1384" s="474" t="s">
        <v>1071</v>
      </c>
      <c r="AH1384" s="474">
        <v>10</v>
      </c>
      <c r="AI1384" s="474">
        <v>30</v>
      </c>
      <c r="AJ1384" s="474" t="s">
        <v>1645</v>
      </c>
      <c r="AK1384" s="474" t="s">
        <v>1096</v>
      </c>
      <c r="AL1384" s="494">
        <v>2072</v>
      </c>
      <c r="AM1384" s="474" t="s">
        <v>52</v>
      </c>
      <c r="AN1384" s="474"/>
      <c r="AO1384" s="474"/>
      <c r="AP1384" s="482"/>
      <c r="AQ1384" s="482" t="s">
        <v>1086</v>
      </c>
      <c r="AR1384" s="474" t="s">
        <v>1216</v>
      </c>
      <c r="AS1384" s="399" t="s">
        <v>1075</v>
      </c>
      <c r="AT1384" s="436" t="s">
        <v>1087</v>
      </c>
      <c r="AU1384" s="436" t="s">
        <v>1076</v>
      </c>
    </row>
    <row r="1385" spans="1:47" s="471" customFormat="1">
      <c r="A1385" s="495"/>
      <c r="B1385" s="407"/>
      <c r="C1385" s="495"/>
      <c r="D1385" s="405" t="s">
        <v>1066</v>
      </c>
      <c r="E1385" s="501" t="s">
        <v>1170</v>
      </c>
      <c r="F1385" s="501"/>
      <c r="G1385" s="501"/>
      <c r="H1385" s="501"/>
      <c r="I1385" s="501" t="s">
        <v>1676</v>
      </c>
      <c r="J1385" s="502"/>
      <c r="K1385" s="501" t="s">
        <v>5301</v>
      </c>
      <c r="L1385" s="502" t="s">
        <v>1644</v>
      </c>
      <c r="M1385" s="502">
        <v>44671</v>
      </c>
      <c r="N1385" s="502">
        <v>44760</v>
      </c>
      <c r="O1385" s="502"/>
      <c r="P1385" s="502"/>
      <c r="Q1385" s="502"/>
      <c r="R1385" s="502"/>
      <c r="S1385" s="501" t="s">
        <v>1069</v>
      </c>
      <c r="T1385" s="501">
        <v>60</v>
      </c>
      <c r="U1385" s="501"/>
      <c r="V1385" s="501" t="s">
        <v>973</v>
      </c>
      <c r="W1385" s="505">
        <v>400</v>
      </c>
      <c r="X1385" s="403">
        <v>4608</v>
      </c>
      <c r="Y1385" s="477">
        <f t="shared" si="166"/>
        <v>1843200</v>
      </c>
      <c r="Z1385" s="478">
        <v>0.65</v>
      </c>
      <c r="AA1385" s="479">
        <f t="shared" si="167"/>
        <v>1198080</v>
      </c>
      <c r="AB1385" s="480"/>
      <c r="AC1385" s="481">
        <f t="shared" si="168"/>
        <v>0</v>
      </c>
      <c r="AD1385" s="490"/>
      <c r="AE1385" s="482"/>
      <c r="AF1385" s="493">
        <f t="shared" si="169"/>
        <v>1198080</v>
      </c>
      <c r="AG1385" s="474" t="s">
        <v>1071</v>
      </c>
      <c r="AH1385" s="474">
        <v>10</v>
      </c>
      <c r="AI1385" s="474">
        <v>30</v>
      </c>
      <c r="AJ1385" s="474" t="s">
        <v>1645</v>
      </c>
      <c r="AK1385" s="474" t="s">
        <v>1096</v>
      </c>
      <c r="AL1385" s="494">
        <v>2072</v>
      </c>
      <c r="AM1385" s="474" t="s">
        <v>52</v>
      </c>
      <c r="AN1385" s="474"/>
      <c r="AO1385" s="474"/>
      <c r="AP1385" s="482"/>
      <c r="AQ1385" s="482" t="s">
        <v>1086</v>
      </c>
      <c r="AR1385" s="474" t="s">
        <v>1216</v>
      </c>
      <c r="AS1385" s="399" t="s">
        <v>1075</v>
      </c>
      <c r="AT1385" s="436" t="s">
        <v>1087</v>
      </c>
      <c r="AU1385" s="436" t="s">
        <v>1076</v>
      </c>
    </row>
    <row r="1386" spans="1:47" s="471" customFormat="1">
      <c r="A1386" s="495"/>
      <c r="B1386" s="407"/>
      <c r="C1386" s="495"/>
      <c r="D1386" s="405" t="s">
        <v>1066</v>
      </c>
      <c r="E1386" s="501" t="s">
        <v>1170</v>
      </c>
      <c r="F1386" s="501"/>
      <c r="G1386" s="501"/>
      <c r="H1386" s="501"/>
      <c r="I1386" s="501" t="s">
        <v>1676</v>
      </c>
      <c r="J1386" s="502"/>
      <c r="K1386" s="501" t="s">
        <v>5302</v>
      </c>
      <c r="L1386" s="502" t="s">
        <v>1644</v>
      </c>
      <c r="M1386" s="502">
        <v>44671</v>
      </c>
      <c r="N1386" s="502">
        <v>44790</v>
      </c>
      <c r="O1386" s="502"/>
      <c r="P1386" s="502"/>
      <c r="Q1386" s="502"/>
      <c r="R1386" s="502"/>
      <c r="S1386" s="501" t="s">
        <v>1069</v>
      </c>
      <c r="T1386" s="501">
        <v>60</v>
      </c>
      <c r="U1386" s="501"/>
      <c r="V1386" s="501" t="s">
        <v>973</v>
      </c>
      <c r="W1386" s="505">
        <v>400</v>
      </c>
      <c r="X1386" s="403">
        <v>4608</v>
      </c>
      <c r="Y1386" s="477">
        <f t="shared" si="166"/>
        <v>1843200</v>
      </c>
      <c r="Z1386" s="478">
        <v>0.65</v>
      </c>
      <c r="AA1386" s="479">
        <f t="shared" si="167"/>
        <v>1198080</v>
      </c>
      <c r="AB1386" s="480"/>
      <c r="AC1386" s="481">
        <f t="shared" si="168"/>
        <v>0</v>
      </c>
      <c r="AD1386" s="490"/>
      <c r="AE1386" s="482"/>
      <c r="AF1386" s="493">
        <f t="shared" si="169"/>
        <v>1198080</v>
      </c>
      <c r="AG1386" s="474" t="s">
        <v>1071</v>
      </c>
      <c r="AH1386" s="474">
        <v>10</v>
      </c>
      <c r="AI1386" s="474">
        <v>30</v>
      </c>
      <c r="AJ1386" s="474" t="s">
        <v>1678</v>
      </c>
      <c r="AK1386" s="474" t="s">
        <v>1085</v>
      </c>
      <c r="AL1386" s="494">
        <v>8512</v>
      </c>
      <c r="AM1386" s="474" t="s">
        <v>52</v>
      </c>
      <c r="AN1386" s="474"/>
      <c r="AO1386" s="474"/>
      <c r="AP1386" s="482"/>
      <c r="AQ1386" s="482" t="s">
        <v>1086</v>
      </c>
      <c r="AR1386" s="474" t="s">
        <v>1216</v>
      </c>
      <c r="AS1386" s="399" t="s">
        <v>1075</v>
      </c>
      <c r="AT1386" s="436" t="s">
        <v>1087</v>
      </c>
      <c r="AU1386" s="436" t="s">
        <v>1076</v>
      </c>
    </row>
    <row r="1387" spans="1:47" s="471" customFormat="1">
      <c r="A1387" s="495"/>
      <c r="B1387" s="407"/>
      <c r="C1387" s="495"/>
      <c r="D1387" s="405" t="s">
        <v>1066</v>
      </c>
      <c r="E1387" s="501" t="s">
        <v>1170</v>
      </c>
      <c r="F1387" s="501"/>
      <c r="G1387" s="501"/>
      <c r="H1387" s="501"/>
      <c r="I1387" s="501" t="s">
        <v>1676</v>
      </c>
      <c r="J1387" s="502"/>
      <c r="K1387" s="501" t="s">
        <v>5303</v>
      </c>
      <c r="L1387" s="502" t="s">
        <v>1644</v>
      </c>
      <c r="M1387" s="502">
        <v>44671</v>
      </c>
      <c r="N1387" s="502">
        <v>44825</v>
      </c>
      <c r="O1387" s="502"/>
      <c r="P1387" s="502"/>
      <c r="Q1387" s="502"/>
      <c r="R1387" s="502"/>
      <c r="S1387" s="501" t="s">
        <v>1069</v>
      </c>
      <c r="T1387" s="501">
        <v>60</v>
      </c>
      <c r="U1387" s="501"/>
      <c r="V1387" s="501" t="s">
        <v>973</v>
      </c>
      <c r="W1387" s="505">
        <v>400</v>
      </c>
      <c r="X1387" s="403">
        <v>4608</v>
      </c>
      <c r="Y1387" s="477">
        <f t="shared" si="166"/>
        <v>1843200</v>
      </c>
      <c r="Z1387" s="478">
        <v>0.65</v>
      </c>
      <c r="AA1387" s="479">
        <f t="shared" si="167"/>
        <v>1198080</v>
      </c>
      <c r="AB1387" s="480"/>
      <c r="AC1387" s="481">
        <f t="shared" si="168"/>
        <v>0</v>
      </c>
      <c r="AD1387" s="490"/>
      <c r="AE1387" s="482"/>
      <c r="AF1387" s="493">
        <f t="shared" si="169"/>
        <v>1198080</v>
      </c>
      <c r="AG1387" s="474" t="s">
        <v>1071</v>
      </c>
      <c r="AH1387" s="474">
        <v>10</v>
      </c>
      <c r="AI1387" s="474">
        <v>30</v>
      </c>
      <c r="AJ1387" s="474" t="s">
        <v>1678</v>
      </c>
      <c r="AK1387" s="474" t="s">
        <v>1085</v>
      </c>
      <c r="AL1387" s="494">
        <v>8512</v>
      </c>
      <c r="AM1387" s="474" t="s">
        <v>52</v>
      </c>
      <c r="AN1387" s="474"/>
      <c r="AO1387" s="474"/>
      <c r="AP1387" s="482"/>
      <c r="AQ1387" s="482" t="s">
        <v>1086</v>
      </c>
      <c r="AR1387" s="474" t="s">
        <v>1216</v>
      </c>
      <c r="AS1387" s="399" t="s">
        <v>1075</v>
      </c>
      <c r="AT1387" s="436" t="s">
        <v>1087</v>
      </c>
      <c r="AU1387" s="436" t="s">
        <v>1076</v>
      </c>
    </row>
    <row r="1388" spans="1:47" s="471" customFormat="1">
      <c r="A1388" s="495"/>
      <c r="B1388" s="407"/>
      <c r="C1388" s="495"/>
      <c r="D1388" s="405" t="s">
        <v>1066</v>
      </c>
      <c r="E1388" s="501" t="s">
        <v>1170</v>
      </c>
      <c r="F1388" s="501"/>
      <c r="G1388" s="501"/>
      <c r="H1388" s="501"/>
      <c r="I1388" s="501" t="s">
        <v>1676</v>
      </c>
      <c r="J1388" s="502"/>
      <c r="K1388" s="501" t="s">
        <v>5304</v>
      </c>
      <c r="L1388" s="502" t="s">
        <v>1644</v>
      </c>
      <c r="M1388" s="502">
        <v>44671</v>
      </c>
      <c r="N1388" s="502">
        <v>44757</v>
      </c>
      <c r="O1388" s="502"/>
      <c r="P1388" s="502"/>
      <c r="Q1388" s="502"/>
      <c r="R1388" s="502"/>
      <c r="S1388" s="501" t="s">
        <v>1069</v>
      </c>
      <c r="T1388" s="501">
        <v>60</v>
      </c>
      <c r="U1388" s="501"/>
      <c r="V1388" s="501" t="s">
        <v>973</v>
      </c>
      <c r="W1388" s="505">
        <v>400</v>
      </c>
      <c r="X1388" s="403">
        <v>4608</v>
      </c>
      <c r="Y1388" s="477">
        <f t="shared" si="166"/>
        <v>1843200</v>
      </c>
      <c r="Z1388" s="478">
        <v>0.65</v>
      </c>
      <c r="AA1388" s="479">
        <f t="shared" si="167"/>
        <v>1198080</v>
      </c>
      <c r="AB1388" s="480"/>
      <c r="AC1388" s="481">
        <f t="shared" si="168"/>
        <v>0</v>
      </c>
      <c r="AD1388" s="490"/>
      <c r="AE1388" s="482"/>
      <c r="AF1388" s="493">
        <f t="shared" si="169"/>
        <v>1198080</v>
      </c>
      <c r="AG1388" s="474" t="s">
        <v>1071</v>
      </c>
      <c r="AH1388" s="474">
        <v>10</v>
      </c>
      <c r="AI1388" s="474">
        <v>30</v>
      </c>
      <c r="AJ1388" s="474" t="s">
        <v>1645</v>
      </c>
      <c r="AK1388" s="474" t="s">
        <v>1096</v>
      </c>
      <c r="AL1388" s="494">
        <v>2072</v>
      </c>
      <c r="AM1388" s="474" t="s">
        <v>52</v>
      </c>
      <c r="AN1388" s="474"/>
      <c r="AO1388" s="474"/>
      <c r="AP1388" s="482"/>
      <c r="AQ1388" s="482" t="s">
        <v>1086</v>
      </c>
      <c r="AR1388" s="474" t="s">
        <v>1216</v>
      </c>
      <c r="AS1388" s="399" t="s">
        <v>1075</v>
      </c>
      <c r="AT1388" s="436" t="s">
        <v>1087</v>
      </c>
      <c r="AU1388" s="436" t="s">
        <v>1076</v>
      </c>
    </row>
    <row r="1389" spans="1:47" s="471" customFormat="1">
      <c r="A1389" s="495"/>
      <c r="B1389" s="407"/>
      <c r="C1389" s="495" t="s">
        <v>1211</v>
      </c>
      <c r="D1389" s="405" t="s">
        <v>1066</v>
      </c>
      <c r="E1389" s="501" t="s">
        <v>1097</v>
      </c>
      <c r="F1389" s="501"/>
      <c r="G1389" s="501"/>
      <c r="H1389" s="501"/>
      <c r="I1389" s="501" t="s">
        <v>1676</v>
      </c>
      <c r="J1389" s="502"/>
      <c r="K1389" s="501" t="s">
        <v>5036</v>
      </c>
      <c r="L1389" s="502" t="s">
        <v>1238</v>
      </c>
      <c r="M1389" s="502">
        <v>44652</v>
      </c>
      <c r="N1389" s="502">
        <v>44743</v>
      </c>
      <c r="O1389" s="502"/>
      <c r="P1389" s="502"/>
      <c r="Q1389" s="502"/>
      <c r="R1389" s="502"/>
      <c r="S1389" s="501" t="s">
        <v>1114</v>
      </c>
      <c r="T1389" s="501">
        <v>60</v>
      </c>
      <c r="U1389" s="501"/>
      <c r="V1389" s="501" t="s">
        <v>986</v>
      </c>
      <c r="W1389" s="505">
        <v>365</v>
      </c>
      <c r="X1389" s="403">
        <v>832</v>
      </c>
      <c r="Y1389" s="477">
        <f t="shared" si="166"/>
        <v>303680</v>
      </c>
      <c r="Z1389" s="478">
        <v>0.53</v>
      </c>
      <c r="AA1389" s="479">
        <f t="shared" si="167"/>
        <v>160950.39999999999</v>
      </c>
      <c r="AB1389" s="480"/>
      <c r="AC1389" s="481">
        <f t="shared" si="168"/>
        <v>0</v>
      </c>
      <c r="AD1389" s="490"/>
      <c r="AE1389" s="482"/>
      <c r="AF1389" s="493">
        <f t="shared" si="169"/>
        <v>160950.39999999999</v>
      </c>
      <c r="AG1389" s="474" t="s">
        <v>1071</v>
      </c>
      <c r="AH1389" s="474">
        <v>10</v>
      </c>
      <c r="AI1389" s="474">
        <v>30</v>
      </c>
      <c r="AJ1389" s="474" t="s">
        <v>5037</v>
      </c>
      <c r="AK1389" s="474" t="s">
        <v>1198</v>
      </c>
      <c r="AL1389" s="494">
        <v>48187</v>
      </c>
      <c r="AM1389" s="474" t="s">
        <v>52</v>
      </c>
      <c r="AN1389" s="474"/>
      <c r="AO1389" s="474"/>
      <c r="AP1389" s="482"/>
      <c r="AQ1389" s="482" t="s">
        <v>1086</v>
      </c>
      <c r="AR1389" s="474" t="s">
        <v>1216</v>
      </c>
      <c r="AS1389" s="399" t="s">
        <v>1075</v>
      </c>
      <c r="AT1389" s="436" t="s">
        <v>1087</v>
      </c>
      <c r="AU1389" s="436" t="s">
        <v>1076</v>
      </c>
    </row>
    <row r="1390" spans="1:47" s="471" customFormat="1">
      <c r="A1390" s="495"/>
      <c r="B1390" s="407"/>
      <c r="C1390" s="495" t="s">
        <v>1211</v>
      </c>
      <c r="D1390" s="405" t="s">
        <v>1066</v>
      </c>
      <c r="E1390" s="501" t="s">
        <v>1097</v>
      </c>
      <c r="F1390" s="501"/>
      <c r="G1390" s="501"/>
      <c r="H1390" s="501"/>
      <c r="I1390" s="501" t="s">
        <v>1676</v>
      </c>
      <c r="J1390" s="502"/>
      <c r="K1390" s="501" t="s">
        <v>5038</v>
      </c>
      <c r="L1390" s="502" t="s">
        <v>1238</v>
      </c>
      <c r="M1390" s="502">
        <v>44652</v>
      </c>
      <c r="N1390" s="502">
        <v>44774</v>
      </c>
      <c r="O1390" s="502"/>
      <c r="P1390" s="502"/>
      <c r="Q1390" s="502"/>
      <c r="R1390" s="502"/>
      <c r="S1390" s="501" t="s">
        <v>1114</v>
      </c>
      <c r="T1390" s="501">
        <v>60</v>
      </c>
      <c r="U1390" s="501"/>
      <c r="V1390" s="501" t="s">
        <v>986</v>
      </c>
      <c r="W1390" s="505">
        <v>365</v>
      </c>
      <c r="X1390" s="403">
        <v>832</v>
      </c>
      <c r="Y1390" s="477">
        <f t="shared" si="166"/>
        <v>303680</v>
      </c>
      <c r="Z1390" s="478">
        <v>0.53</v>
      </c>
      <c r="AA1390" s="479">
        <f t="shared" si="167"/>
        <v>160950.39999999999</v>
      </c>
      <c r="AB1390" s="480"/>
      <c r="AC1390" s="481">
        <f t="shared" si="168"/>
        <v>0</v>
      </c>
      <c r="AD1390" s="490"/>
      <c r="AE1390" s="482"/>
      <c r="AF1390" s="493">
        <f t="shared" si="169"/>
        <v>160950.39999999999</v>
      </c>
      <c r="AG1390" s="474" t="s">
        <v>1071</v>
      </c>
      <c r="AH1390" s="474">
        <v>10</v>
      </c>
      <c r="AI1390" s="474">
        <v>30</v>
      </c>
      <c r="AJ1390" s="474" t="s">
        <v>5037</v>
      </c>
      <c r="AK1390" s="474" t="s">
        <v>1198</v>
      </c>
      <c r="AL1390" s="494">
        <v>48187</v>
      </c>
      <c r="AM1390" s="474" t="s">
        <v>52</v>
      </c>
      <c r="AN1390" s="474"/>
      <c r="AO1390" s="474"/>
      <c r="AP1390" s="482"/>
      <c r="AQ1390" s="482" t="s">
        <v>1086</v>
      </c>
      <c r="AR1390" s="474" t="s">
        <v>1216</v>
      </c>
      <c r="AS1390" s="399" t="s">
        <v>1075</v>
      </c>
      <c r="AT1390" s="436" t="s">
        <v>1087</v>
      </c>
      <c r="AU1390" s="436" t="s">
        <v>1076</v>
      </c>
    </row>
    <row r="1391" spans="1:47" s="471" customFormat="1">
      <c r="A1391" s="495"/>
      <c r="B1391" s="407"/>
      <c r="C1391" s="495" t="s">
        <v>1211</v>
      </c>
      <c r="D1391" s="405" t="s">
        <v>1066</v>
      </c>
      <c r="E1391" s="501" t="s">
        <v>1097</v>
      </c>
      <c r="F1391" s="501"/>
      <c r="G1391" s="501"/>
      <c r="H1391" s="501"/>
      <c r="I1391" s="501" t="s">
        <v>1676</v>
      </c>
      <c r="J1391" s="502"/>
      <c r="K1391" s="501" t="s">
        <v>5039</v>
      </c>
      <c r="L1391" s="502" t="s">
        <v>1238</v>
      </c>
      <c r="M1391" s="502">
        <v>44652</v>
      </c>
      <c r="N1391" s="502">
        <v>44805</v>
      </c>
      <c r="O1391" s="502"/>
      <c r="P1391" s="502"/>
      <c r="Q1391" s="502"/>
      <c r="R1391" s="502"/>
      <c r="S1391" s="501" t="s">
        <v>1114</v>
      </c>
      <c r="T1391" s="501">
        <v>60</v>
      </c>
      <c r="U1391" s="501"/>
      <c r="V1391" s="501" t="s">
        <v>986</v>
      </c>
      <c r="W1391" s="505">
        <v>365</v>
      </c>
      <c r="X1391" s="403">
        <v>832</v>
      </c>
      <c r="Y1391" s="477">
        <f t="shared" si="166"/>
        <v>303680</v>
      </c>
      <c r="Z1391" s="478">
        <v>0.53</v>
      </c>
      <c r="AA1391" s="479">
        <f t="shared" si="167"/>
        <v>160950.39999999999</v>
      </c>
      <c r="AB1391" s="480"/>
      <c r="AC1391" s="481">
        <f t="shared" si="168"/>
        <v>0</v>
      </c>
      <c r="AD1391" s="490"/>
      <c r="AE1391" s="482"/>
      <c r="AF1391" s="493">
        <f t="shared" si="169"/>
        <v>160950.39999999999</v>
      </c>
      <c r="AG1391" s="474" t="s">
        <v>1071</v>
      </c>
      <c r="AH1391" s="474">
        <v>10</v>
      </c>
      <c r="AI1391" s="474">
        <v>30</v>
      </c>
      <c r="AJ1391" s="474" t="s">
        <v>5037</v>
      </c>
      <c r="AK1391" s="474" t="s">
        <v>1198</v>
      </c>
      <c r="AL1391" s="494">
        <v>48187</v>
      </c>
      <c r="AM1391" s="474" t="s">
        <v>52</v>
      </c>
      <c r="AN1391" s="474"/>
      <c r="AO1391" s="474"/>
      <c r="AP1391" s="482"/>
      <c r="AQ1391" s="482" t="s">
        <v>1086</v>
      </c>
      <c r="AR1391" s="474" t="s">
        <v>1216</v>
      </c>
      <c r="AS1391" s="399" t="s">
        <v>1075</v>
      </c>
      <c r="AT1391" s="436" t="s">
        <v>1087</v>
      </c>
      <c r="AU1391" s="436" t="s">
        <v>1076</v>
      </c>
    </row>
    <row r="1392" spans="1:47" s="471" customFormat="1">
      <c r="A1392" s="495"/>
      <c r="B1392" s="407"/>
      <c r="C1392" s="495" t="s">
        <v>1211</v>
      </c>
      <c r="D1392" s="405" t="s">
        <v>1066</v>
      </c>
      <c r="E1392" s="501" t="s">
        <v>1097</v>
      </c>
      <c r="F1392" s="501"/>
      <c r="G1392" s="501"/>
      <c r="H1392" s="501"/>
      <c r="I1392" s="501" t="s">
        <v>1676</v>
      </c>
      <c r="J1392" s="502"/>
      <c r="K1392" s="501" t="s">
        <v>5040</v>
      </c>
      <c r="L1392" s="502" t="s">
        <v>1238</v>
      </c>
      <c r="M1392" s="502">
        <v>44652</v>
      </c>
      <c r="N1392" s="502">
        <v>44835</v>
      </c>
      <c r="O1392" s="502"/>
      <c r="P1392" s="502"/>
      <c r="Q1392" s="502"/>
      <c r="R1392" s="502"/>
      <c r="S1392" s="501" t="s">
        <v>1114</v>
      </c>
      <c r="T1392" s="501">
        <v>60</v>
      </c>
      <c r="U1392" s="501"/>
      <c r="V1392" s="501" t="s">
        <v>986</v>
      </c>
      <c r="W1392" s="505">
        <v>365</v>
      </c>
      <c r="X1392" s="403">
        <v>832</v>
      </c>
      <c r="Y1392" s="477">
        <f t="shared" si="166"/>
        <v>303680</v>
      </c>
      <c r="Z1392" s="478">
        <v>0.53</v>
      </c>
      <c r="AA1392" s="479">
        <f t="shared" si="167"/>
        <v>160950.39999999999</v>
      </c>
      <c r="AB1392" s="480"/>
      <c r="AC1392" s="481">
        <f t="shared" si="168"/>
        <v>0</v>
      </c>
      <c r="AD1392" s="490"/>
      <c r="AE1392" s="482"/>
      <c r="AF1392" s="493">
        <f t="shared" si="169"/>
        <v>160950.39999999999</v>
      </c>
      <c r="AG1392" s="474" t="s">
        <v>1071</v>
      </c>
      <c r="AH1392" s="474">
        <v>10</v>
      </c>
      <c r="AI1392" s="474">
        <v>30</v>
      </c>
      <c r="AJ1392" s="474" t="s">
        <v>5037</v>
      </c>
      <c r="AK1392" s="474" t="s">
        <v>1198</v>
      </c>
      <c r="AL1392" s="494">
        <v>48187</v>
      </c>
      <c r="AM1392" s="474" t="s">
        <v>52</v>
      </c>
      <c r="AN1392" s="474"/>
      <c r="AO1392" s="474"/>
      <c r="AP1392" s="482"/>
      <c r="AQ1392" s="482" t="s">
        <v>1086</v>
      </c>
      <c r="AR1392" s="474" t="s">
        <v>1216</v>
      </c>
      <c r="AS1392" s="399" t="s">
        <v>1075</v>
      </c>
      <c r="AT1392" s="436" t="s">
        <v>1087</v>
      </c>
      <c r="AU1392" s="436" t="s">
        <v>1076</v>
      </c>
    </row>
    <row r="1393" spans="1:47" s="471" customFormat="1">
      <c r="A1393" s="495"/>
      <c r="B1393" s="407"/>
      <c r="C1393" s="495" t="s">
        <v>1211</v>
      </c>
      <c r="D1393" s="405" t="s">
        <v>1066</v>
      </c>
      <c r="E1393" s="501" t="s">
        <v>1097</v>
      </c>
      <c r="F1393" s="501"/>
      <c r="G1393" s="501"/>
      <c r="H1393" s="501"/>
      <c r="I1393" s="501" t="s">
        <v>1676</v>
      </c>
      <c r="J1393" s="502"/>
      <c r="K1393" s="501" t="s">
        <v>5041</v>
      </c>
      <c r="L1393" s="502" t="s">
        <v>1238</v>
      </c>
      <c r="M1393" s="502">
        <v>44652</v>
      </c>
      <c r="N1393" s="502">
        <v>44866</v>
      </c>
      <c r="O1393" s="502"/>
      <c r="P1393" s="502"/>
      <c r="Q1393" s="502"/>
      <c r="R1393" s="502"/>
      <c r="S1393" s="501" t="s">
        <v>1114</v>
      </c>
      <c r="T1393" s="501">
        <v>60</v>
      </c>
      <c r="U1393" s="501"/>
      <c r="V1393" s="501" t="s">
        <v>986</v>
      </c>
      <c r="W1393" s="505">
        <v>365</v>
      </c>
      <c r="X1393" s="403">
        <v>832</v>
      </c>
      <c r="Y1393" s="477">
        <f t="shared" si="166"/>
        <v>303680</v>
      </c>
      <c r="Z1393" s="478">
        <v>0.53</v>
      </c>
      <c r="AA1393" s="479">
        <f t="shared" si="167"/>
        <v>160950.39999999999</v>
      </c>
      <c r="AB1393" s="480"/>
      <c r="AC1393" s="481">
        <f t="shared" si="168"/>
        <v>0</v>
      </c>
      <c r="AD1393" s="490"/>
      <c r="AE1393" s="482"/>
      <c r="AF1393" s="493">
        <f t="shared" si="169"/>
        <v>160950.39999999999</v>
      </c>
      <c r="AG1393" s="474" t="s">
        <v>1071</v>
      </c>
      <c r="AH1393" s="474">
        <v>10</v>
      </c>
      <c r="AI1393" s="474">
        <v>30</v>
      </c>
      <c r="AJ1393" s="474" t="s">
        <v>5037</v>
      </c>
      <c r="AK1393" s="474" t="s">
        <v>1198</v>
      </c>
      <c r="AL1393" s="494">
        <v>48187</v>
      </c>
      <c r="AM1393" s="474" t="s">
        <v>52</v>
      </c>
      <c r="AN1393" s="474"/>
      <c r="AO1393" s="474"/>
      <c r="AP1393" s="482"/>
      <c r="AQ1393" s="482" t="s">
        <v>1086</v>
      </c>
      <c r="AR1393" s="474" t="s">
        <v>1216</v>
      </c>
      <c r="AS1393" s="399" t="s">
        <v>1075</v>
      </c>
      <c r="AT1393" s="436" t="s">
        <v>1087</v>
      </c>
      <c r="AU1393" s="436" t="s">
        <v>1076</v>
      </c>
    </row>
    <row r="1394" spans="1:47" s="471" customFormat="1">
      <c r="A1394" s="495"/>
      <c r="B1394" s="407"/>
      <c r="C1394" s="495" t="s">
        <v>1211</v>
      </c>
      <c r="D1394" s="405" t="s">
        <v>1066</v>
      </c>
      <c r="E1394" s="501" t="s">
        <v>1097</v>
      </c>
      <c r="F1394" s="501"/>
      <c r="G1394" s="501"/>
      <c r="H1394" s="501"/>
      <c r="I1394" s="501" t="s">
        <v>1676</v>
      </c>
      <c r="J1394" s="502"/>
      <c r="K1394" s="501" t="s">
        <v>5042</v>
      </c>
      <c r="L1394" s="502" t="s">
        <v>1238</v>
      </c>
      <c r="M1394" s="502">
        <v>44652</v>
      </c>
      <c r="N1394" s="502">
        <v>44896</v>
      </c>
      <c r="O1394" s="502"/>
      <c r="P1394" s="502"/>
      <c r="Q1394" s="502"/>
      <c r="R1394" s="502"/>
      <c r="S1394" s="501" t="s">
        <v>1114</v>
      </c>
      <c r="T1394" s="501">
        <v>60</v>
      </c>
      <c r="U1394" s="501"/>
      <c r="V1394" s="501" t="s">
        <v>986</v>
      </c>
      <c r="W1394" s="505">
        <v>365</v>
      </c>
      <c r="X1394" s="403">
        <v>832</v>
      </c>
      <c r="Y1394" s="477">
        <f t="shared" si="166"/>
        <v>303680</v>
      </c>
      <c r="Z1394" s="478">
        <v>0.53</v>
      </c>
      <c r="AA1394" s="479">
        <f t="shared" si="167"/>
        <v>160950.39999999999</v>
      </c>
      <c r="AB1394" s="480"/>
      <c r="AC1394" s="481">
        <f t="shared" si="168"/>
        <v>0</v>
      </c>
      <c r="AD1394" s="490"/>
      <c r="AE1394" s="482"/>
      <c r="AF1394" s="493">
        <f t="shared" si="169"/>
        <v>160950.39999999999</v>
      </c>
      <c r="AG1394" s="474" t="s">
        <v>1071</v>
      </c>
      <c r="AH1394" s="474">
        <v>10</v>
      </c>
      <c r="AI1394" s="474">
        <v>30</v>
      </c>
      <c r="AJ1394" s="474" t="s">
        <v>5037</v>
      </c>
      <c r="AK1394" s="474" t="s">
        <v>1198</v>
      </c>
      <c r="AL1394" s="494">
        <v>48187</v>
      </c>
      <c r="AM1394" s="474" t="s">
        <v>52</v>
      </c>
      <c r="AN1394" s="474"/>
      <c r="AO1394" s="474"/>
      <c r="AP1394" s="482"/>
      <c r="AQ1394" s="482" t="s">
        <v>1086</v>
      </c>
      <c r="AR1394" s="474" t="s">
        <v>1216</v>
      </c>
      <c r="AS1394" s="399" t="s">
        <v>1075</v>
      </c>
      <c r="AT1394" s="436" t="s">
        <v>1087</v>
      </c>
      <c r="AU1394" s="436" t="s">
        <v>1076</v>
      </c>
    </row>
    <row r="1395" spans="1:47" s="471" customFormat="1">
      <c r="A1395" s="495"/>
      <c r="B1395" s="407"/>
      <c r="C1395" s="495" t="s">
        <v>1211</v>
      </c>
      <c r="D1395" s="405" t="s">
        <v>1066</v>
      </c>
      <c r="E1395" s="501" t="s">
        <v>1097</v>
      </c>
      <c r="F1395" s="501"/>
      <c r="G1395" s="501"/>
      <c r="H1395" s="501"/>
      <c r="I1395" s="501" t="s">
        <v>1676</v>
      </c>
      <c r="J1395" s="502"/>
      <c r="K1395" s="501" t="s">
        <v>5043</v>
      </c>
      <c r="L1395" s="502" t="s">
        <v>1238</v>
      </c>
      <c r="M1395" s="502">
        <v>44652</v>
      </c>
      <c r="N1395" s="502">
        <v>44927</v>
      </c>
      <c r="O1395" s="502"/>
      <c r="P1395" s="502"/>
      <c r="Q1395" s="502"/>
      <c r="R1395" s="502"/>
      <c r="S1395" s="501" t="s">
        <v>1114</v>
      </c>
      <c r="T1395" s="501">
        <v>60</v>
      </c>
      <c r="U1395" s="501"/>
      <c r="V1395" s="501" t="s">
        <v>986</v>
      </c>
      <c r="W1395" s="505">
        <v>365</v>
      </c>
      <c r="X1395" s="403">
        <v>832</v>
      </c>
      <c r="Y1395" s="477">
        <f t="shared" si="166"/>
        <v>303680</v>
      </c>
      <c r="Z1395" s="478">
        <v>0.53</v>
      </c>
      <c r="AA1395" s="479">
        <f t="shared" si="167"/>
        <v>160950.39999999999</v>
      </c>
      <c r="AB1395" s="480"/>
      <c r="AC1395" s="481">
        <f t="shared" si="168"/>
        <v>0</v>
      </c>
      <c r="AD1395" s="490"/>
      <c r="AE1395" s="482"/>
      <c r="AF1395" s="493">
        <f t="shared" si="169"/>
        <v>160950.39999999999</v>
      </c>
      <c r="AG1395" s="474" t="s">
        <v>1071</v>
      </c>
      <c r="AH1395" s="474">
        <v>10</v>
      </c>
      <c r="AI1395" s="474">
        <v>30</v>
      </c>
      <c r="AJ1395" s="474" t="s">
        <v>5037</v>
      </c>
      <c r="AK1395" s="474" t="s">
        <v>1198</v>
      </c>
      <c r="AL1395" s="494">
        <v>48187</v>
      </c>
      <c r="AM1395" s="474" t="s">
        <v>52</v>
      </c>
      <c r="AN1395" s="474"/>
      <c r="AO1395" s="474"/>
      <c r="AP1395" s="482"/>
      <c r="AQ1395" s="482" t="s">
        <v>1086</v>
      </c>
      <c r="AR1395" s="474" t="s">
        <v>1216</v>
      </c>
      <c r="AS1395" s="399" t="s">
        <v>1075</v>
      </c>
      <c r="AT1395" s="436" t="s">
        <v>1087</v>
      </c>
      <c r="AU1395" s="436" t="s">
        <v>1076</v>
      </c>
    </row>
    <row r="1396" spans="1:47" s="471" customFormat="1">
      <c r="A1396" s="495"/>
      <c r="B1396" s="407"/>
      <c r="C1396" s="495" t="s">
        <v>1211</v>
      </c>
      <c r="D1396" s="405" t="s">
        <v>1066</v>
      </c>
      <c r="E1396" s="501" t="s">
        <v>1097</v>
      </c>
      <c r="F1396" s="501"/>
      <c r="G1396" s="501"/>
      <c r="H1396" s="501"/>
      <c r="I1396" s="501" t="s">
        <v>1676</v>
      </c>
      <c r="J1396" s="502"/>
      <c r="K1396" s="501" t="s">
        <v>5036</v>
      </c>
      <c r="L1396" s="502" t="s">
        <v>1238</v>
      </c>
      <c r="M1396" s="502">
        <v>44652</v>
      </c>
      <c r="N1396" s="502">
        <v>44743</v>
      </c>
      <c r="O1396" s="502"/>
      <c r="P1396" s="502"/>
      <c r="Q1396" s="502"/>
      <c r="R1396" s="502"/>
      <c r="S1396" s="501" t="s">
        <v>1114</v>
      </c>
      <c r="T1396" s="501">
        <v>60</v>
      </c>
      <c r="U1396" s="501"/>
      <c r="V1396" s="501" t="s">
        <v>973</v>
      </c>
      <c r="W1396" s="505">
        <v>400</v>
      </c>
      <c r="X1396" s="403">
        <v>768</v>
      </c>
      <c r="Y1396" s="477">
        <f>X1396*W1396</f>
        <v>307200</v>
      </c>
      <c r="Z1396" s="478">
        <v>0.55000000000000004</v>
      </c>
      <c r="AA1396" s="479">
        <f>Z1396*Y1396</f>
        <v>168960</v>
      </c>
      <c r="AB1396" s="480"/>
      <c r="AC1396" s="481">
        <f>AB1396*Y1396</f>
        <v>0</v>
      </c>
      <c r="AD1396" s="490"/>
      <c r="AE1396" s="482"/>
      <c r="AF1396" s="493">
        <f>AE1396+AD1396+AA1396</f>
        <v>168960</v>
      </c>
      <c r="AG1396" s="474" t="s">
        <v>1071</v>
      </c>
      <c r="AH1396" s="474">
        <v>10</v>
      </c>
      <c r="AI1396" s="474">
        <v>30</v>
      </c>
      <c r="AJ1396" s="474" t="s">
        <v>5037</v>
      </c>
      <c r="AK1396" s="474" t="s">
        <v>1198</v>
      </c>
      <c r="AL1396" s="494">
        <v>48187</v>
      </c>
      <c r="AM1396" s="474" t="s">
        <v>52</v>
      </c>
      <c r="AN1396" s="474"/>
      <c r="AO1396" s="474"/>
      <c r="AP1396" s="482"/>
      <c r="AQ1396" s="482" t="s">
        <v>1086</v>
      </c>
      <c r="AR1396" s="474" t="s">
        <v>1216</v>
      </c>
      <c r="AS1396" s="399" t="s">
        <v>1075</v>
      </c>
      <c r="AT1396" s="436" t="s">
        <v>1087</v>
      </c>
      <c r="AU1396" s="436" t="s">
        <v>1076</v>
      </c>
    </row>
    <row r="1397" spans="1:47" s="471" customFormat="1">
      <c r="A1397" s="495"/>
      <c r="B1397" s="407"/>
      <c r="C1397" s="495" t="s">
        <v>1211</v>
      </c>
      <c r="D1397" s="405" t="s">
        <v>1066</v>
      </c>
      <c r="E1397" s="501" t="s">
        <v>1097</v>
      </c>
      <c r="F1397" s="501"/>
      <c r="G1397" s="501"/>
      <c r="H1397" s="501"/>
      <c r="I1397" s="501" t="s">
        <v>1676</v>
      </c>
      <c r="J1397" s="502"/>
      <c r="K1397" s="501" t="s">
        <v>5038</v>
      </c>
      <c r="L1397" s="502" t="s">
        <v>1238</v>
      </c>
      <c r="M1397" s="502">
        <v>44652</v>
      </c>
      <c r="N1397" s="502">
        <v>44774</v>
      </c>
      <c r="O1397" s="502"/>
      <c r="P1397" s="502"/>
      <c r="Q1397" s="502"/>
      <c r="R1397" s="502"/>
      <c r="S1397" s="501" t="s">
        <v>1114</v>
      </c>
      <c r="T1397" s="501">
        <v>60</v>
      </c>
      <c r="U1397" s="501"/>
      <c r="V1397" s="501" t="s">
        <v>973</v>
      </c>
      <c r="W1397" s="505">
        <v>400</v>
      </c>
      <c r="X1397" s="403">
        <v>768</v>
      </c>
      <c r="Y1397" s="477">
        <f>X1397*W1397</f>
        <v>307200</v>
      </c>
      <c r="Z1397" s="478">
        <v>0.55000000000000004</v>
      </c>
      <c r="AA1397" s="479">
        <f>Z1397*Y1397</f>
        <v>168960</v>
      </c>
      <c r="AB1397" s="480"/>
      <c r="AC1397" s="481">
        <f>AB1397*Y1397</f>
        <v>0</v>
      </c>
      <c r="AD1397" s="490"/>
      <c r="AE1397" s="482"/>
      <c r="AF1397" s="493">
        <f>AE1397+AD1397+AA1397</f>
        <v>168960</v>
      </c>
      <c r="AG1397" s="474" t="s">
        <v>1071</v>
      </c>
      <c r="AH1397" s="474">
        <v>10</v>
      </c>
      <c r="AI1397" s="474">
        <v>30</v>
      </c>
      <c r="AJ1397" s="474" t="s">
        <v>5037</v>
      </c>
      <c r="AK1397" s="474" t="s">
        <v>1198</v>
      </c>
      <c r="AL1397" s="494">
        <v>48187</v>
      </c>
      <c r="AM1397" s="474" t="s">
        <v>52</v>
      </c>
      <c r="AN1397" s="474"/>
      <c r="AO1397" s="474"/>
      <c r="AP1397" s="482"/>
      <c r="AQ1397" s="482" t="s">
        <v>1086</v>
      </c>
      <c r="AR1397" s="474" t="s">
        <v>1216</v>
      </c>
      <c r="AS1397" s="399" t="s">
        <v>1075</v>
      </c>
      <c r="AT1397" s="436" t="s">
        <v>1087</v>
      </c>
      <c r="AU1397" s="436" t="s">
        <v>1076</v>
      </c>
    </row>
    <row r="1398" spans="1:47" s="471" customFormat="1">
      <c r="A1398" s="495"/>
      <c r="B1398" s="407"/>
      <c r="C1398" s="495" t="s">
        <v>1211</v>
      </c>
      <c r="D1398" s="405" t="s">
        <v>1066</v>
      </c>
      <c r="E1398" s="501" t="s">
        <v>1097</v>
      </c>
      <c r="F1398" s="501"/>
      <c r="G1398" s="501"/>
      <c r="H1398" s="501"/>
      <c r="I1398" s="501" t="s">
        <v>1676</v>
      </c>
      <c r="J1398" s="502"/>
      <c r="K1398" s="501" t="s">
        <v>5039</v>
      </c>
      <c r="L1398" s="502" t="s">
        <v>1238</v>
      </c>
      <c r="M1398" s="502">
        <v>44652</v>
      </c>
      <c r="N1398" s="502">
        <v>44805</v>
      </c>
      <c r="O1398" s="502"/>
      <c r="P1398" s="502"/>
      <c r="Q1398" s="502"/>
      <c r="R1398" s="502"/>
      <c r="S1398" s="501" t="s">
        <v>1114</v>
      </c>
      <c r="T1398" s="501">
        <v>60</v>
      </c>
      <c r="U1398" s="501"/>
      <c r="V1398" s="501" t="s">
        <v>973</v>
      </c>
      <c r="W1398" s="505">
        <v>400</v>
      </c>
      <c r="X1398" s="403">
        <v>768</v>
      </c>
      <c r="Y1398" s="477">
        <f>X1398*W1398</f>
        <v>307200</v>
      </c>
      <c r="Z1398" s="478">
        <v>0.55000000000000004</v>
      </c>
      <c r="AA1398" s="479">
        <f>Z1398*Y1398</f>
        <v>168960</v>
      </c>
      <c r="AB1398" s="480"/>
      <c r="AC1398" s="481">
        <f>AB1398*Y1398</f>
        <v>0</v>
      </c>
      <c r="AD1398" s="490"/>
      <c r="AE1398" s="482"/>
      <c r="AF1398" s="493">
        <f>AE1398+AD1398+AA1398</f>
        <v>168960</v>
      </c>
      <c r="AG1398" s="474" t="s">
        <v>1071</v>
      </c>
      <c r="AH1398" s="474">
        <v>10</v>
      </c>
      <c r="AI1398" s="474">
        <v>30</v>
      </c>
      <c r="AJ1398" s="474" t="s">
        <v>5037</v>
      </c>
      <c r="AK1398" s="474" t="s">
        <v>1198</v>
      </c>
      <c r="AL1398" s="494">
        <v>48187</v>
      </c>
      <c r="AM1398" s="474" t="s">
        <v>52</v>
      </c>
      <c r="AN1398" s="474"/>
      <c r="AO1398" s="474"/>
      <c r="AP1398" s="482"/>
      <c r="AQ1398" s="482" t="s">
        <v>1086</v>
      </c>
      <c r="AR1398" s="474" t="s">
        <v>1216</v>
      </c>
      <c r="AS1398" s="399" t="s">
        <v>1075</v>
      </c>
      <c r="AT1398" s="436" t="s">
        <v>1087</v>
      </c>
      <c r="AU1398" s="436" t="s">
        <v>1076</v>
      </c>
    </row>
    <row r="1399" spans="1:47" s="471" customFormat="1">
      <c r="A1399" s="495"/>
      <c r="B1399" s="407"/>
      <c r="C1399" s="495" t="s">
        <v>1211</v>
      </c>
      <c r="D1399" s="405" t="s">
        <v>1066</v>
      </c>
      <c r="E1399" s="501" t="s">
        <v>1097</v>
      </c>
      <c r="F1399" s="501"/>
      <c r="G1399" s="501"/>
      <c r="H1399" s="501"/>
      <c r="I1399" s="501" t="s">
        <v>1676</v>
      </c>
      <c r="J1399" s="502"/>
      <c r="K1399" s="501" t="s">
        <v>5040</v>
      </c>
      <c r="L1399" s="502" t="s">
        <v>1238</v>
      </c>
      <c r="M1399" s="502">
        <v>44652</v>
      </c>
      <c r="N1399" s="502">
        <v>44835</v>
      </c>
      <c r="O1399" s="502"/>
      <c r="P1399" s="502"/>
      <c r="Q1399" s="502"/>
      <c r="R1399" s="502"/>
      <c r="S1399" s="501" t="s">
        <v>1114</v>
      </c>
      <c r="T1399" s="501">
        <v>60</v>
      </c>
      <c r="U1399" s="501"/>
      <c r="V1399" s="501" t="s">
        <v>973</v>
      </c>
      <c r="W1399" s="505">
        <v>400</v>
      </c>
      <c r="X1399" s="403">
        <v>768</v>
      </c>
      <c r="Y1399" s="477">
        <f t="shared" ref="Y1399:Y1413" si="170">X1399*W1399</f>
        <v>307200</v>
      </c>
      <c r="Z1399" s="478">
        <v>0.55000000000000004</v>
      </c>
      <c r="AA1399" s="479">
        <f t="shared" ref="AA1399:AA1413" si="171">Z1399*Y1399</f>
        <v>168960</v>
      </c>
      <c r="AB1399" s="480"/>
      <c r="AC1399" s="481">
        <f t="shared" ref="AC1399:AC1413" si="172">AB1399*Y1399</f>
        <v>0</v>
      </c>
      <c r="AD1399" s="490"/>
      <c r="AE1399" s="482"/>
      <c r="AF1399" s="493">
        <f t="shared" ref="AF1399:AF1413" si="173">AE1399+AD1399+AA1399</f>
        <v>168960</v>
      </c>
      <c r="AG1399" s="474" t="s">
        <v>1071</v>
      </c>
      <c r="AH1399" s="474">
        <v>10</v>
      </c>
      <c r="AI1399" s="474">
        <v>30</v>
      </c>
      <c r="AJ1399" s="474" t="s">
        <v>5037</v>
      </c>
      <c r="AK1399" s="474" t="s">
        <v>1198</v>
      </c>
      <c r="AL1399" s="494">
        <v>48187</v>
      </c>
      <c r="AM1399" s="474" t="s">
        <v>52</v>
      </c>
      <c r="AN1399" s="474"/>
      <c r="AO1399" s="474"/>
      <c r="AP1399" s="482"/>
      <c r="AQ1399" s="482" t="s">
        <v>1086</v>
      </c>
      <c r="AR1399" s="474" t="s">
        <v>1216</v>
      </c>
      <c r="AS1399" s="399" t="s">
        <v>1075</v>
      </c>
      <c r="AT1399" s="436" t="s">
        <v>1087</v>
      </c>
      <c r="AU1399" s="436" t="s">
        <v>1076</v>
      </c>
    </row>
    <row r="1400" spans="1:47" s="471" customFormat="1">
      <c r="A1400" s="495"/>
      <c r="B1400" s="407"/>
      <c r="C1400" s="495" t="s">
        <v>1211</v>
      </c>
      <c r="D1400" s="405" t="s">
        <v>1066</v>
      </c>
      <c r="E1400" s="501" t="s">
        <v>1097</v>
      </c>
      <c r="F1400" s="501"/>
      <c r="G1400" s="501"/>
      <c r="H1400" s="501"/>
      <c r="I1400" s="501" t="s">
        <v>1676</v>
      </c>
      <c r="J1400" s="502"/>
      <c r="K1400" s="501" t="s">
        <v>5041</v>
      </c>
      <c r="L1400" s="502" t="s">
        <v>1238</v>
      </c>
      <c r="M1400" s="502">
        <v>44652</v>
      </c>
      <c r="N1400" s="502">
        <v>44866</v>
      </c>
      <c r="O1400" s="502"/>
      <c r="P1400" s="502"/>
      <c r="Q1400" s="502"/>
      <c r="R1400" s="502"/>
      <c r="S1400" s="501" t="s">
        <v>1114</v>
      </c>
      <c r="T1400" s="501">
        <v>60</v>
      </c>
      <c r="U1400" s="501"/>
      <c r="V1400" s="501" t="s">
        <v>973</v>
      </c>
      <c r="W1400" s="505">
        <v>400</v>
      </c>
      <c r="X1400" s="403">
        <v>768</v>
      </c>
      <c r="Y1400" s="477">
        <f t="shared" si="170"/>
        <v>307200</v>
      </c>
      <c r="Z1400" s="478">
        <v>0.55000000000000004</v>
      </c>
      <c r="AA1400" s="479">
        <f t="shared" si="171"/>
        <v>168960</v>
      </c>
      <c r="AB1400" s="480"/>
      <c r="AC1400" s="481">
        <f t="shared" si="172"/>
        <v>0</v>
      </c>
      <c r="AD1400" s="490"/>
      <c r="AE1400" s="482"/>
      <c r="AF1400" s="493">
        <f t="shared" si="173"/>
        <v>168960</v>
      </c>
      <c r="AG1400" s="474" t="s">
        <v>1071</v>
      </c>
      <c r="AH1400" s="474">
        <v>10</v>
      </c>
      <c r="AI1400" s="474">
        <v>30</v>
      </c>
      <c r="AJ1400" s="474" t="s">
        <v>5037</v>
      </c>
      <c r="AK1400" s="474" t="s">
        <v>1198</v>
      </c>
      <c r="AL1400" s="494">
        <v>48187</v>
      </c>
      <c r="AM1400" s="474" t="s">
        <v>52</v>
      </c>
      <c r="AN1400" s="474"/>
      <c r="AO1400" s="474"/>
      <c r="AP1400" s="482"/>
      <c r="AQ1400" s="482" t="s">
        <v>1086</v>
      </c>
      <c r="AR1400" s="474" t="s">
        <v>1216</v>
      </c>
      <c r="AS1400" s="399" t="s">
        <v>1075</v>
      </c>
      <c r="AT1400" s="436" t="s">
        <v>1087</v>
      </c>
      <c r="AU1400" s="436" t="s">
        <v>1076</v>
      </c>
    </row>
    <row r="1401" spans="1:47" s="471" customFormat="1">
      <c r="A1401" s="495"/>
      <c r="B1401" s="407"/>
      <c r="C1401" s="495" t="s">
        <v>1211</v>
      </c>
      <c r="D1401" s="405" t="s">
        <v>1066</v>
      </c>
      <c r="E1401" s="501" t="s">
        <v>1097</v>
      </c>
      <c r="F1401" s="501"/>
      <c r="G1401" s="501"/>
      <c r="H1401" s="501"/>
      <c r="I1401" s="501" t="s">
        <v>1676</v>
      </c>
      <c r="J1401" s="502"/>
      <c r="K1401" s="501" t="s">
        <v>5042</v>
      </c>
      <c r="L1401" s="502" t="s">
        <v>1238</v>
      </c>
      <c r="M1401" s="502">
        <v>44652</v>
      </c>
      <c r="N1401" s="502">
        <v>44896</v>
      </c>
      <c r="O1401" s="502"/>
      <c r="P1401" s="502"/>
      <c r="Q1401" s="502"/>
      <c r="R1401" s="502"/>
      <c r="S1401" s="501" t="s">
        <v>1114</v>
      </c>
      <c r="T1401" s="501">
        <v>60</v>
      </c>
      <c r="U1401" s="501"/>
      <c r="V1401" s="501" t="s">
        <v>973</v>
      </c>
      <c r="W1401" s="505">
        <v>400</v>
      </c>
      <c r="X1401" s="403">
        <v>768</v>
      </c>
      <c r="Y1401" s="477">
        <f t="shared" si="170"/>
        <v>307200</v>
      </c>
      <c r="Z1401" s="478">
        <v>0.55000000000000004</v>
      </c>
      <c r="AA1401" s="479">
        <f t="shared" si="171"/>
        <v>168960</v>
      </c>
      <c r="AB1401" s="480"/>
      <c r="AC1401" s="481">
        <f t="shared" si="172"/>
        <v>0</v>
      </c>
      <c r="AD1401" s="490"/>
      <c r="AE1401" s="482"/>
      <c r="AF1401" s="493">
        <f t="shared" si="173"/>
        <v>168960</v>
      </c>
      <c r="AG1401" s="474" t="s">
        <v>1071</v>
      </c>
      <c r="AH1401" s="474">
        <v>10</v>
      </c>
      <c r="AI1401" s="474">
        <v>30</v>
      </c>
      <c r="AJ1401" s="474" t="s">
        <v>5037</v>
      </c>
      <c r="AK1401" s="474" t="s">
        <v>1198</v>
      </c>
      <c r="AL1401" s="494">
        <v>48187</v>
      </c>
      <c r="AM1401" s="474" t="s">
        <v>52</v>
      </c>
      <c r="AN1401" s="474"/>
      <c r="AO1401" s="474"/>
      <c r="AP1401" s="482"/>
      <c r="AQ1401" s="482" t="s">
        <v>1086</v>
      </c>
      <c r="AR1401" s="474" t="s">
        <v>1216</v>
      </c>
      <c r="AS1401" s="399" t="s">
        <v>1075</v>
      </c>
      <c r="AT1401" s="436" t="s">
        <v>1087</v>
      </c>
      <c r="AU1401" s="436" t="s">
        <v>1076</v>
      </c>
    </row>
    <row r="1402" spans="1:47" s="471" customFormat="1">
      <c r="A1402" s="495"/>
      <c r="B1402" s="407"/>
      <c r="C1402" s="495" t="s">
        <v>1211</v>
      </c>
      <c r="D1402" s="405" t="s">
        <v>1066</v>
      </c>
      <c r="E1402" s="501" t="s">
        <v>1097</v>
      </c>
      <c r="F1402" s="501"/>
      <c r="G1402" s="501"/>
      <c r="H1402" s="501"/>
      <c r="I1402" s="501" t="s">
        <v>1676</v>
      </c>
      <c r="J1402" s="502"/>
      <c r="K1402" s="501" t="s">
        <v>5043</v>
      </c>
      <c r="L1402" s="502" t="s">
        <v>1238</v>
      </c>
      <c r="M1402" s="502">
        <v>44652</v>
      </c>
      <c r="N1402" s="502">
        <v>44927</v>
      </c>
      <c r="O1402" s="502"/>
      <c r="P1402" s="502"/>
      <c r="Q1402" s="502"/>
      <c r="R1402" s="502"/>
      <c r="S1402" s="501" t="s">
        <v>1114</v>
      </c>
      <c r="T1402" s="501">
        <v>60</v>
      </c>
      <c r="U1402" s="501"/>
      <c r="V1402" s="501" t="s">
        <v>973</v>
      </c>
      <c r="W1402" s="505">
        <v>400</v>
      </c>
      <c r="X1402" s="403">
        <v>768</v>
      </c>
      <c r="Y1402" s="477">
        <f t="shared" si="170"/>
        <v>307200</v>
      </c>
      <c r="Z1402" s="478">
        <v>0.55000000000000004</v>
      </c>
      <c r="AA1402" s="479">
        <f t="shared" si="171"/>
        <v>168960</v>
      </c>
      <c r="AB1402" s="480"/>
      <c r="AC1402" s="481">
        <f t="shared" si="172"/>
        <v>0</v>
      </c>
      <c r="AD1402" s="490"/>
      <c r="AE1402" s="482"/>
      <c r="AF1402" s="493">
        <f t="shared" si="173"/>
        <v>168960</v>
      </c>
      <c r="AG1402" s="474" t="s">
        <v>1071</v>
      </c>
      <c r="AH1402" s="474">
        <v>10</v>
      </c>
      <c r="AI1402" s="474">
        <v>30</v>
      </c>
      <c r="AJ1402" s="474" t="s">
        <v>5037</v>
      </c>
      <c r="AK1402" s="474" t="s">
        <v>1198</v>
      </c>
      <c r="AL1402" s="494">
        <v>48187</v>
      </c>
      <c r="AM1402" s="474" t="s">
        <v>52</v>
      </c>
      <c r="AN1402" s="474"/>
      <c r="AO1402" s="474"/>
      <c r="AP1402" s="482"/>
      <c r="AQ1402" s="482" t="s">
        <v>1086</v>
      </c>
      <c r="AR1402" s="474" t="s">
        <v>1216</v>
      </c>
      <c r="AS1402" s="399" t="s">
        <v>1075</v>
      </c>
      <c r="AT1402" s="436" t="s">
        <v>1087</v>
      </c>
      <c r="AU1402" s="436" t="s">
        <v>1076</v>
      </c>
    </row>
    <row r="1403" spans="1:47" s="471" customFormat="1">
      <c r="A1403" s="495"/>
      <c r="B1403" s="407"/>
      <c r="C1403" s="495"/>
      <c r="D1403" s="405" t="s">
        <v>1066</v>
      </c>
      <c r="E1403" s="501" t="s">
        <v>1170</v>
      </c>
      <c r="F1403" s="501"/>
      <c r="G1403" s="501"/>
      <c r="H1403" s="501"/>
      <c r="I1403" s="501" t="s">
        <v>1676</v>
      </c>
      <c r="J1403" s="502"/>
      <c r="K1403" s="501">
        <v>1370</v>
      </c>
      <c r="L1403" s="502" t="s">
        <v>5044</v>
      </c>
      <c r="M1403" s="502">
        <v>44655</v>
      </c>
      <c r="N1403" s="502">
        <v>44655</v>
      </c>
      <c r="O1403" s="502"/>
      <c r="P1403" s="502"/>
      <c r="Q1403" s="502"/>
      <c r="R1403" s="502"/>
      <c r="S1403" s="501" t="s">
        <v>1114</v>
      </c>
      <c r="T1403" s="501">
        <v>60</v>
      </c>
      <c r="U1403" s="501"/>
      <c r="V1403" s="501" t="s">
        <v>973</v>
      </c>
      <c r="W1403" s="505">
        <v>400</v>
      </c>
      <c r="X1403" s="403">
        <v>768</v>
      </c>
      <c r="Y1403" s="477">
        <f t="shared" si="170"/>
        <v>307200</v>
      </c>
      <c r="Z1403" s="478">
        <v>0.56000000000000005</v>
      </c>
      <c r="AA1403" s="479">
        <f t="shared" si="171"/>
        <v>172032.00000000003</v>
      </c>
      <c r="AB1403" s="480"/>
      <c r="AC1403" s="481">
        <f t="shared" si="172"/>
        <v>0</v>
      </c>
      <c r="AD1403" s="490"/>
      <c r="AE1403" s="482"/>
      <c r="AF1403" s="493">
        <f t="shared" si="173"/>
        <v>172032.00000000003</v>
      </c>
      <c r="AG1403" s="474" t="s">
        <v>1071</v>
      </c>
      <c r="AH1403" s="474">
        <v>100</v>
      </c>
      <c r="AI1403" s="474">
        <v>0</v>
      </c>
      <c r="AJ1403" s="474" t="s">
        <v>1446</v>
      </c>
      <c r="AK1403" s="474" t="s">
        <v>1117</v>
      </c>
      <c r="AL1403" s="494">
        <v>62246</v>
      </c>
      <c r="AM1403" s="474" t="s">
        <v>52</v>
      </c>
      <c r="AN1403" s="474"/>
      <c r="AO1403" s="474"/>
      <c r="AP1403" s="482"/>
      <c r="AQ1403" s="482" t="s">
        <v>1086</v>
      </c>
      <c r="AR1403" s="474" t="s">
        <v>1216</v>
      </c>
      <c r="AS1403" s="399" t="s">
        <v>1075</v>
      </c>
      <c r="AT1403" s="436" t="s">
        <v>1087</v>
      </c>
      <c r="AU1403" s="436" t="s">
        <v>1076</v>
      </c>
    </row>
    <row r="1404" spans="1:47" s="471" customFormat="1">
      <c r="A1404" s="495"/>
      <c r="B1404" s="407"/>
      <c r="C1404" s="495"/>
      <c r="D1404" s="405" t="s">
        <v>1066</v>
      </c>
      <c r="E1404" s="501" t="s">
        <v>1170</v>
      </c>
      <c r="F1404" s="501"/>
      <c r="G1404" s="501"/>
      <c r="H1404" s="501"/>
      <c r="I1404" s="501" t="s">
        <v>1676</v>
      </c>
      <c r="J1404" s="502"/>
      <c r="K1404" s="501">
        <v>1380</v>
      </c>
      <c r="L1404" s="502" t="s">
        <v>5044</v>
      </c>
      <c r="M1404" s="502">
        <v>44658</v>
      </c>
      <c r="N1404" s="502">
        <v>44658</v>
      </c>
      <c r="O1404" s="502"/>
      <c r="P1404" s="502"/>
      <c r="Q1404" s="502"/>
      <c r="R1404" s="502"/>
      <c r="S1404" s="501" t="s">
        <v>1114</v>
      </c>
      <c r="T1404" s="501">
        <v>60</v>
      </c>
      <c r="U1404" s="501"/>
      <c r="V1404" s="501" t="s">
        <v>973</v>
      </c>
      <c r="W1404" s="505">
        <v>400</v>
      </c>
      <c r="X1404" s="403">
        <v>768</v>
      </c>
      <c r="Y1404" s="477">
        <f t="shared" si="170"/>
        <v>307200</v>
      </c>
      <c r="Z1404" s="478">
        <v>0.56000000000000005</v>
      </c>
      <c r="AA1404" s="479">
        <f t="shared" si="171"/>
        <v>172032.00000000003</v>
      </c>
      <c r="AB1404" s="480"/>
      <c r="AC1404" s="481">
        <f t="shared" si="172"/>
        <v>0</v>
      </c>
      <c r="AD1404" s="490"/>
      <c r="AE1404" s="482"/>
      <c r="AF1404" s="493">
        <f t="shared" si="173"/>
        <v>172032.00000000003</v>
      </c>
      <c r="AG1404" s="474" t="s">
        <v>1071</v>
      </c>
      <c r="AH1404" s="474">
        <v>100</v>
      </c>
      <c r="AI1404" s="474">
        <v>0</v>
      </c>
      <c r="AJ1404" s="474" t="s">
        <v>1446</v>
      </c>
      <c r="AK1404" s="474" t="s">
        <v>1117</v>
      </c>
      <c r="AL1404" s="494">
        <v>62246</v>
      </c>
      <c r="AM1404" s="474" t="s">
        <v>52</v>
      </c>
      <c r="AN1404" s="474"/>
      <c r="AO1404" s="474"/>
      <c r="AP1404" s="482"/>
      <c r="AQ1404" s="482" t="s">
        <v>1086</v>
      </c>
      <c r="AR1404" s="474" t="s">
        <v>1216</v>
      </c>
      <c r="AS1404" s="399" t="s">
        <v>1075</v>
      </c>
      <c r="AT1404" s="436" t="s">
        <v>1087</v>
      </c>
      <c r="AU1404" s="436" t="s">
        <v>1076</v>
      </c>
    </row>
    <row r="1405" spans="1:47" s="471" customFormat="1">
      <c r="A1405" s="495"/>
      <c r="B1405" s="407"/>
      <c r="C1405" s="495"/>
      <c r="D1405" s="405" t="s">
        <v>1066</v>
      </c>
      <c r="E1405" s="501" t="s">
        <v>1170</v>
      </c>
      <c r="F1405" s="501"/>
      <c r="G1405" s="501"/>
      <c r="H1405" s="501"/>
      <c r="I1405" s="501" t="s">
        <v>1676</v>
      </c>
      <c r="J1405" s="502"/>
      <c r="K1405" s="501">
        <v>211</v>
      </c>
      <c r="L1405" s="502" t="s">
        <v>5256</v>
      </c>
      <c r="M1405" s="502">
        <v>44607</v>
      </c>
      <c r="N1405" s="502">
        <v>44743</v>
      </c>
      <c r="O1405" s="502"/>
      <c r="P1405" s="502"/>
      <c r="Q1405" s="502"/>
      <c r="R1405" s="502"/>
      <c r="S1405" s="501" t="s">
        <v>1114</v>
      </c>
      <c r="T1405" s="501">
        <v>60</v>
      </c>
      <c r="U1405" s="501"/>
      <c r="V1405" s="501" t="s">
        <v>986</v>
      </c>
      <c r="W1405" s="505">
        <v>360</v>
      </c>
      <c r="X1405" s="403">
        <v>832</v>
      </c>
      <c r="Y1405" s="477">
        <f t="shared" si="170"/>
        <v>299520</v>
      </c>
      <c r="Z1405" s="478">
        <v>0.62</v>
      </c>
      <c r="AA1405" s="479">
        <f t="shared" si="171"/>
        <v>185702.39999999999</v>
      </c>
      <c r="AB1405" s="480"/>
      <c r="AC1405" s="481">
        <f t="shared" si="172"/>
        <v>0</v>
      </c>
      <c r="AD1405" s="490"/>
      <c r="AE1405" s="482"/>
      <c r="AF1405" s="493">
        <f t="shared" si="173"/>
        <v>185702.39999999999</v>
      </c>
      <c r="AG1405" s="474" t="s">
        <v>47</v>
      </c>
      <c r="AH1405" s="474">
        <v>0</v>
      </c>
      <c r="AI1405" s="474">
        <v>30</v>
      </c>
      <c r="AJ1405" s="474" t="s">
        <v>5257</v>
      </c>
      <c r="AK1405" s="474" t="s">
        <v>1347</v>
      </c>
      <c r="AL1405" s="494">
        <v>18966</v>
      </c>
      <c r="AM1405" s="474" t="s">
        <v>52</v>
      </c>
      <c r="AN1405" s="474"/>
      <c r="AO1405" s="474"/>
      <c r="AP1405" s="482"/>
      <c r="AQ1405" s="482" t="s">
        <v>1086</v>
      </c>
      <c r="AR1405" s="474" t="s">
        <v>1216</v>
      </c>
      <c r="AS1405" s="399" t="s">
        <v>1075</v>
      </c>
      <c r="AT1405" s="436" t="s">
        <v>1087</v>
      </c>
      <c r="AU1405" s="436" t="s">
        <v>1076</v>
      </c>
    </row>
    <row r="1406" spans="1:47" s="471" customFormat="1">
      <c r="A1406" s="495"/>
      <c r="B1406" s="407"/>
      <c r="C1406" s="495"/>
      <c r="D1406" s="405" t="s">
        <v>1066</v>
      </c>
      <c r="E1406" s="501" t="s">
        <v>1170</v>
      </c>
      <c r="F1406" s="501"/>
      <c r="G1406" s="501"/>
      <c r="H1406" s="501"/>
      <c r="I1406" s="501" t="s">
        <v>1676</v>
      </c>
      <c r="J1406" s="502"/>
      <c r="K1406" s="501">
        <v>210</v>
      </c>
      <c r="L1406" s="502" t="s">
        <v>5256</v>
      </c>
      <c r="M1406" s="502">
        <v>44607</v>
      </c>
      <c r="N1406" s="502">
        <v>44683</v>
      </c>
      <c r="O1406" s="502"/>
      <c r="P1406" s="502"/>
      <c r="Q1406" s="502"/>
      <c r="R1406" s="502"/>
      <c r="S1406" s="501" t="s">
        <v>1114</v>
      </c>
      <c r="T1406" s="501">
        <v>60</v>
      </c>
      <c r="U1406" s="501"/>
      <c r="V1406" s="501" t="s">
        <v>986</v>
      </c>
      <c r="W1406" s="505">
        <v>360</v>
      </c>
      <c r="X1406" s="403">
        <v>832</v>
      </c>
      <c r="Y1406" s="477">
        <f t="shared" si="170"/>
        <v>299520</v>
      </c>
      <c r="Z1406" s="478">
        <v>0.53</v>
      </c>
      <c r="AA1406" s="479">
        <f t="shared" si="171"/>
        <v>158745.60000000001</v>
      </c>
      <c r="AB1406" s="480"/>
      <c r="AC1406" s="481">
        <f t="shared" si="172"/>
        <v>0</v>
      </c>
      <c r="AD1406" s="490"/>
      <c r="AE1406" s="482"/>
      <c r="AF1406" s="493">
        <f t="shared" si="173"/>
        <v>158745.60000000001</v>
      </c>
      <c r="AG1406" s="474" t="s">
        <v>47</v>
      </c>
      <c r="AH1406" s="474">
        <v>0</v>
      </c>
      <c r="AI1406" s="474">
        <v>30</v>
      </c>
      <c r="AJ1406" s="474" t="s">
        <v>3133</v>
      </c>
      <c r="AK1406" s="474" t="s">
        <v>1221</v>
      </c>
      <c r="AL1406" s="494">
        <v>43228</v>
      </c>
      <c r="AM1406" s="474" t="s">
        <v>52</v>
      </c>
      <c r="AN1406" s="474"/>
      <c r="AO1406" s="474"/>
      <c r="AP1406" s="482"/>
      <c r="AQ1406" s="482" t="s">
        <v>1086</v>
      </c>
      <c r="AR1406" s="474" t="s">
        <v>1216</v>
      </c>
      <c r="AS1406" s="399" t="s">
        <v>1075</v>
      </c>
      <c r="AT1406" s="436" t="s">
        <v>1087</v>
      </c>
      <c r="AU1406" s="436" t="s">
        <v>1076</v>
      </c>
    </row>
    <row r="1407" spans="1:47" s="471" customFormat="1">
      <c r="A1407" s="495"/>
      <c r="B1407" s="407"/>
      <c r="C1407" s="495"/>
      <c r="D1407" s="405" t="s">
        <v>1066</v>
      </c>
      <c r="E1407" s="501" t="s">
        <v>1170</v>
      </c>
      <c r="F1407" s="501"/>
      <c r="G1407" s="501"/>
      <c r="H1407" s="501"/>
      <c r="I1407" s="501" t="s">
        <v>1676</v>
      </c>
      <c r="J1407" s="502"/>
      <c r="K1407" s="501">
        <v>210</v>
      </c>
      <c r="L1407" s="502" t="s">
        <v>5256</v>
      </c>
      <c r="M1407" s="502">
        <v>44607</v>
      </c>
      <c r="N1407" s="502">
        <v>44774</v>
      </c>
      <c r="O1407" s="502"/>
      <c r="P1407" s="502"/>
      <c r="Q1407" s="502"/>
      <c r="R1407" s="502"/>
      <c r="S1407" s="501" t="s">
        <v>1114</v>
      </c>
      <c r="T1407" s="501">
        <v>60</v>
      </c>
      <c r="U1407" s="501"/>
      <c r="V1407" s="501" t="s">
        <v>986</v>
      </c>
      <c r="W1407" s="505">
        <v>360</v>
      </c>
      <c r="X1407" s="403">
        <v>832</v>
      </c>
      <c r="Y1407" s="477">
        <f t="shared" si="170"/>
        <v>299520</v>
      </c>
      <c r="Z1407" s="478">
        <v>0.62</v>
      </c>
      <c r="AA1407" s="479">
        <f t="shared" si="171"/>
        <v>185702.39999999999</v>
      </c>
      <c r="AB1407" s="480"/>
      <c r="AC1407" s="481">
        <f t="shared" si="172"/>
        <v>0</v>
      </c>
      <c r="AD1407" s="490"/>
      <c r="AE1407" s="482"/>
      <c r="AF1407" s="493">
        <f t="shared" si="173"/>
        <v>185702.39999999999</v>
      </c>
      <c r="AG1407" s="474" t="s">
        <v>47</v>
      </c>
      <c r="AH1407" s="474">
        <v>0</v>
      </c>
      <c r="AI1407" s="474">
        <v>30</v>
      </c>
      <c r="AJ1407" s="474" t="s">
        <v>3133</v>
      </c>
      <c r="AK1407" s="474" t="s">
        <v>1221</v>
      </c>
      <c r="AL1407" s="494">
        <v>43228</v>
      </c>
      <c r="AM1407" s="474" t="s">
        <v>52</v>
      </c>
      <c r="AN1407" s="474"/>
      <c r="AO1407" s="474"/>
      <c r="AP1407" s="482"/>
      <c r="AQ1407" s="482" t="s">
        <v>1086</v>
      </c>
      <c r="AR1407" s="474" t="s">
        <v>1216</v>
      </c>
      <c r="AS1407" s="399" t="s">
        <v>1075</v>
      </c>
      <c r="AT1407" s="436" t="s">
        <v>1087</v>
      </c>
      <c r="AU1407" s="436" t="s">
        <v>1076</v>
      </c>
    </row>
    <row r="1408" spans="1:47" s="471" customFormat="1">
      <c r="A1408" s="495"/>
      <c r="B1408" s="407"/>
      <c r="C1408" s="495"/>
      <c r="D1408" s="405" t="s">
        <v>1066</v>
      </c>
      <c r="E1408" s="501" t="s">
        <v>5580</v>
      </c>
      <c r="F1408" s="501"/>
      <c r="G1408" s="501"/>
      <c r="H1408" s="501"/>
      <c r="I1408" s="501" t="s">
        <v>1676</v>
      </c>
      <c r="J1408" s="502"/>
      <c r="K1408" s="501" t="s">
        <v>5581</v>
      </c>
      <c r="L1408" s="502" t="s">
        <v>5582</v>
      </c>
      <c r="M1408" s="502">
        <v>44676</v>
      </c>
      <c r="N1408" s="502">
        <v>44743</v>
      </c>
      <c r="O1408" s="502"/>
      <c r="P1408" s="502"/>
      <c r="Q1408" s="502"/>
      <c r="R1408" s="502"/>
      <c r="S1408" s="501" t="s">
        <v>1114</v>
      </c>
      <c r="T1408" s="501">
        <v>60</v>
      </c>
      <c r="U1408" s="501"/>
      <c r="V1408" s="501" t="s">
        <v>986</v>
      </c>
      <c r="W1408" s="505">
        <v>365</v>
      </c>
      <c r="X1408" s="403">
        <v>832</v>
      </c>
      <c r="Y1408" s="477">
        <f t="shared" si="170"/>
        <v>303680</v>
      </c>
      <c r="Z1408" s="478">
        <v>0.62</v>
      </c>
      <c r="AA1408" s="479">
        <f t="shared" si="171"/>
        <v>188281.60000000001</v>
      </c>
      <c r="AB1408" s="480"/>
      <c r="AC1408" s="481">
        <f t="shared" si="172"/>
        <v>0</v>
      </c>
      <c r="AD1408" s="490"/>
      <c r="AE1408" s="482"/>
      <c r="AF1408" s="493">
        <f t="shared" si="173"/>
        <v>188281.60000000001</v>
      </c>
      <c r="AG1408" s="474" t="s">
        <v>1071</v>
      </c>
      <c r="AH1408" s="474">
        <v>0</v>
      </c>
      <c r="AI1408" s="474">
        <v>60</v>
      </c>
      <c r="AJ1408" s="474" t="s">
        <v>1282</v>
      </c>
      <c r="AK1408" s="474" t="s">
        <v>1276</v>
      </c>
      <c r="AL1408" s="494">
        <v>63134</v>
      </c>
      <c r="AM1408" s="474" t="s">
        <v>52</v>
      </c>
      <c r="AN1408" s="474"/>
      <c r="AO1408" s="474"/>
      <c r="AP1408" s="482"/>
      <c r="AQ1408" s="482" t="s">
        <v>1086</v>
      </c>
      <c r="AR1408" s="474" t="s">
        <v>1216</v>
      </c>
      <c r="AS1408" s="399" t="s">
        <v>1075</v>
      </c>
      <c r="AT1408" s="436" t="s">
        <v>1087</v>
      </c>
      <c r="AU1408" s="436" t="s">
        <v>1076</v>
      </c>
    </row>
    <row r="1409" spans="1:47" s="471" customFormat="1">
      <c r="A1409" s="495"/>
      <c r="B1409" s="407"/>
      <c r="C1409" s="495"/>
      <c r="D1409" s="405" t="s">
        <v>1066</v>
      </c>
      <c r="E1409" s="501" t="s">
        <v>5580</v>
      </c>
      <c r="F1409" s="501"/>
      <c r="G1409" s="501"/>
      <c r="H1409" s="501"/>
      <c r="I1409" s="501" t="s">
        <v>1676</v>
      </c>
      <c r="J1409" s="502"/>
      <c r="K1409" s="501" t="s">
        <v>5583</v>
      </c>
      <c r="L1409" s="502" t="s">
        <v>5582</v>
      </c>
      <c r="M1409" s="502">
        <v>44676</v>
      </c>
      <c r="N1409" s="502">
        <v>44774</v>
      </c>
      <c r="O1409" s="502"/>
      <c r="P1409" s="502"/>
      <c r="Q1409" s="502"/>
      <c r="R1409" s="502"/>
      <c r="S1409" s="501" t="s">
        <v>1114</v>
      </c>
      <c r="T1409" s="501">
        <v>60</v>
      </c>
      <c r="U1409" s="501"/>
      <c r="V1409" s="501" t="s">
        <v>986</v>
      </c>
      <c r="W1409" s="505">
        <v>365</v>
      </c>
      <c r="X1409" s="403">
        <v>1664</v>
      </c>
      <c r="Y1409" s="477">
        <f t="shared" si="170"/>
        <v>607360</v>
      </c>
      <c r="Z1409" s="478">
        <v>0.62</v>
      </c>
      <c r="AA1409" s="479">
        <f t="shared" si="171"/>
        <v>376563.20000000001</v>
      </c>
      <c r="AB1409" s="480"/>
      <c r="AC1409" s="481">
        <f t="shared" si="172"/>
        <v>0</v>
      </c>
      <c r="AD1409" s="490"/>
      <c r="AE1409" s="482"/>
      <c r="AF1409" s="493">
        <f t="shared" si="173"/>
        <v>376563.20000000001</v>
      </c>
      <c r="AG1409" s="474" t="s">
        <v>1071</v>
      </c>
      <c r="AH1409" s="474">
        <v>0</v>
      </c>
      <c r="AI1409" s="474">
        <v>60</v>
      </c>
      <c r="AJ1409" s="474" t="s">
        <v>1282</v>
      </c>
      <c r="AK1409" s="474" t="s">
        <v>1276</v>
      </c>
      <c r="AL1409" s="494">
        <v>63134</v>
      </c>
      <c r="AM1409" s="474" t="s">
        <v>52</v>
      </c>
      <c r="AN1409" s="474"/>
      <c r="AO1409" s="474"/>
      <c r="AP1409" s="482"/>
      <c r="AQ1409" s="482" t="s">
        <v>1086</v>
      </c>
      <c r="AR1409" s="474" t="s">
        <v>1216</v>
      </c>
      <c r="AS1409" s="399" t="s">
        <v>1075</v>
      </c>
      <c r="AT1409" s="436" t="s">
        <v>1087</v>
      </c>
      <c r="AU1409" s="436" t="s">
        <v>1076</v>
      </c>
    </row>
    <row r="1410" spans="1:47" s="471" customFormat="1">
      <c r="A1410" s="495"/>
      <c r="B1410" s="407"/>
      <c r="C1410" s="495"/>
      <c r="D1410" s="405" t="s">
        <v>1066</v>
      </c>
      <c r="E1410" s="501" t="s">
        <v>5580</v>
      </c>
      <c r="F1410" s="501"/>
      <c r="G1410" s="501"/>
      <c r="H1410" s="501"/>
      <c r="I1410" s="501" t="s">
        <v>1676</v>
      </c>
      <c r="J1410" s="502"/>
      <c r="K1410" s="501" t="s">
        <v>5584</v>
      </c>
      <c r="L1410" s="502" t="s">
        <v>5582</v>
      </c>
      <c r="M1410" s="502">
        <v>44676</v>
      </c>
      <c r="N1410" s="502">
        <v>44805</v>
      </c>
      <c r="O1410" s="502"/>
      <c r="P1410" s="502"/>
      <c r="Q1410" s="502"/>
      <c r="R1410" s="502"/>
      <c r="S1410" s="501" t="s">
        <v>1114</v>
      </c>
      <c r="T1410" s="501">
        <v>60</v>
      </c>
      <c r="U1410" s="501"/>
      <c r="V1410" s="501" t="s">
        <v>986</v>
      </c>
      <c r="W1410" s="505">
        <v>365</v>
      </c>
      <c r="X1410" s="403">
        <v>1664</v>
      </c>
      <c r="Y1410" s="477">
        <f t="shared" si="170"/>
        <v>607360</v>
      </c>
      <c r="Z1410" s="478">
        <v>0.62</v>
      </c>
      <c r="AA1410" s="479">
        <f t="shared" si="171"/>
        <v>376563.20000000001</v>
      </c>
      <c r="AB1410" s="480"/>
      <c r="AC1410" s="481">
        <f t="shared" si="172"/>
        <v>0</v>
      </c>
      <c r="AD1410" s="490"/>
      <c r="AE1410" s="482"/>
      <c r="AF1410" s="493">
        <f t="shared" si="173"/>
        <v>376563.20000000001</v>
      </c>
      <c r="AG1410" s="474" t="s">
        <v>1071</v>
      </c>
      <c r="AH1410" s="474">
        <v>0</v>
      </c>
      <c r="AI1410" s="474">
        <v>60</v>
      </c>
      <c r="AJ1410" s="474" t="s">
        <v>1282</v>
      </c>
      <c r="AK1410" s="474" t="s">
        <v>1276</v>
      </c>
      <c r="AL1410" s="494">
        <v>63134</v>
      </c>
      <c r="AM1410" s="474" t="s">
        <v>52</v>
      </c>
      <c r="AN1410" s="474"/>
      <c r="AO1410" s="474"/>
      <c r="AP1410" s="482"/>
      <c r="AQ1410" s="482" t="s">
        <v>1086</v>
      </c>
      <c r="AR1410" s="474" t="s">
        <v>1216</v>
      </c>
      <c r="AS1410" s="399" t="s">
        <v>1075</v>
      </c>
      <c r="AT1410" s="436" t="s">
        <v>1087</v>
      </c>
      <c r="AU1410" s="436" t="s">
        <v>1076</v>
      </c>
    </row>
    <row r="1411" spans="1:47" s="471" customFormat="1">
      <c r="A1411" s="495"/>
      <c r="B1411" s="407"/>
      <c r="C1411" s="495"/>
      <c r="D1411" s="405" t="s">
        <v>1066</v>
      </c>
      <c r="E1411" s="501" t="s">
        <v>5580</v>
      </c>
      <c r="F1411" s="501"/>
      <c r="G1411" s="501"/>
      <c r="H1411" s="501"/>
      <c r="I1411" s="501" t="s">
        <v>1676</v>
      </c>
      <c r="J1411" s="502"/>
      <c r="K1411" s="501" t="s">
        <v>5585</v>
      </c>
      <c r="L1411" s="502" t="s">
        <v>5582</v>
      </c>
      <c r="M1411" s="502">
        <v>44676</v>
      </c>
      <c r="N1411" s="502">
        <v>44835</v>
      </c>
      <c r="O1411" s="502"/>
      <c r="P1411" s="502"/>
      <c r="Q1411" s="502"/>
      <c r="R1411" s="502"/>
      <c r="S1411" s="501" t="s">
        <v>1114</v>
      </c>
      <c r="T1411" s="501">
        <v>60</v>
      </c>
      <c r="U1411" s="501"/>
      <c r="V1411" s="501" t="s">
        <v>986</v>
      </c>
      <c r="W1411" s="505">
        <v>365</v>
      </c>
      <c r="X1411" s="403">
        <v>832</v>
      </c>
      <c r="Y1411" s="477">
        <f t="shared" si="170"/>
        <v>303680</v>
      </c>
      <c r="Z1411" s="478">
        <v>0.62</v>
      </c>
      <c r="AA1411" s="479">
        <f t="shared" si="171"/>
        <v>188281.60000000001</v>
      </c>
      <c r="AB1411" s="480"/>
      <c r="AC1411" s="481">
        <f t="shared" si="172"/>
        <v>0</v>
      </c>
      <c r="AD1411" s="490"/>
      <c r="AE1411" s="482"/>
      <c r="AF1411" s="493">
        <f t="shared" si="173"/>
        <v>188281.60000000001</v>
      </c>
      <c r="AG1411" s="474" t="s">
        <v>1071</v>
      </c>
      <c r="AH1411" s="474">
        <v>0</v>
      </c>
      <c r="AI1411" s="474">
        <v>60</v>
      </c>
      <c r="AJ1411" s="474" t="s">
        <v>1282</v>
      </c>
      <c r="AK1411" s="474" t="s">
        <v>1276</v>
      </c>
      <c r="AL1411" s="494">
        <v>63134</v>
      </c>
      <c r="AM1411" s="474" t="s">
        <v>52</v>
      </c>
      <c r="AN1411" s="474"/>
      <c r="AO1411" s="474"/>
      <c r="AP1411" s="482"/>
      <c r="AQ1411" s="482" t="s">
        <v>1086</v>
      </c>
      <c r="AR1411" s="474" t="s">
        <v>1216</v>
      </c>
      <c r="AS1411" s="399" t="s">
        <v>1075</v>
      </c>
      <c r="AT1411" s="436" t="s">
        <v>1087</v>
      </c>
      <c r="AU1411" s="436" t="s">
        <v>1076</v>
      </c>
    </row>
    <row r="1412" spans="1:47" s="471" customFormat="1">
      <c r="A1412" s="495"/>
      <c r="B1412" s="407"/>
      <c r="C1412" s="495"/>
      <c r="D1412" s="405" t="s">
        <v>1066</v>
      </c>
      <c r="E1412" s="501" t="s">
        <v>5580</v>
      </c>
      <c r="F1412" s="501"/>
      <c r="G1412" s="501"/>
      <c r="H1412" s="501"/>
      <c r="I1412" s="501" t="s">
        <v>1676</v>
      </c>
      <c r="J1412" s="502"/>
      <c r="K1412" s="501" t="s">
        <v>5586</v>
      </c>
      <c r="L1412" s="502" t="s">
        <v>5582</v>
      </c>
      <c r="M1412" s="502">
        <v>44676</v>
      </c>
      <c r="N1412" s="502">
        <v>44866</v>
      </c>
      <c r="O1412" s="502"/>
      <c r="P1412" s="502"/>
      <c r="Q1412" s="502"/>
      <c r="R1412" s="502"/>
      <c r="S1412" s="501" t="s">
        <v>1114</v>
      </c>
      <c r="T1412" s="501">
        <v>60</v>
      </c>
      <c r="U1412" s="501"/>
      <c r="V1412" s="501" t="s">
        <v>986</v>
      </c>
      <c r="W1412" s="505">
        <v>365</v>
      </c>
      <c r="X1412" s="403">
        <v>832</v>
      </c>
      <c r="Y1412" s="477">
        <f t="shared" si="170"/>
        <v>303680</v>
      </c>
      <c r="Z1412" s="478">
        <v>0.62</v>
      </c>
      <c r="AA1412" s="479">
        <f t="shared" si="171"/>
        <v>188281.60000000001</v>
      </c>
      <c r="AB1412" s="480"/>
      <c r="AC1412" s="481">
        <f t="shared" si="172"/>
        <v>0</v>
      </c>
      <c r="AD1412" s="490"/>
      <c r="AE1412" s="482"/>
      <c r="AF1412" s="493">
        <f t="shared" si="173"/>
        <v>188281.60000000001</v>
      </c>
      <c r="AG1412" s="474" t="s">
        <v>1071</v>
      </c>
      <c r="AH1412" s="474">
        <v>0</v>
      </c>
      <c r="AI1412" s="474">
        <v>60</v>
      </c>
      <c r="AJ1412" s="474" t="s">
        <v>1282</v>
      </c>
      <c r="AK1412" s="474" t="s">
        <v>1276</v>
      </c>
      <c r="AL1412" s="494">
        <v>63134</v>
      </c>
      <c r="AM1412" s="474" t="s">
        <v>52</v>
      </c>
      <c r="AN1412" s="474"/>
      <c r="AO1412" s="474"/>
      <c r="AP1412" s="482"/>
      <c r="AQ1412" s="482" t="s">
        <v>1086</v>
      </c>
      <c r="AR1412" s="474" t="s">
        <v>1216</v>
      </c>
      <c r="AS1412" s="399" t="s">
        <v>1075</v>
      </c>
      <c r="AT1412" s="436" t="s">
        <v>1087</v>
      </c>
      <c r="AU1412" s="436" t="s">
        <v>1076</v>
      </c>
    </row>
    <row r="1413" spans="1:47" s="471" customFormat="1">
      <c r="A1413" s="495"/>
      <c r="B1413" s="407"/>
      <c r="C1413" s="495"/>
      <c r="D1413" s="405" t="s">
        <v>1066</v>
      </c>
      <c r="E1413" s="501" t="s">
        <v>5580</v>
      </c>
      <c r="F1413" s="501"/>
      <c r="G1413" s="501"/>
      <c r="H1413" s="501"/>
      <c r="I1413" s="501" t="s">
        <v>1676</v>
      </c>
      <c r="J1413" s="502"/>
      <c r="K1413" s="501" t="s">
        <v>5587</v>
      </c>
      <c r="L1413" s="502" t="s">
        <v>5582</v>
      </c>
      <c r="M1413" s="502">
        <v>44676</v>
      </c>
      <c r="N1413" s="502">
        <v>44896</v>
      </c>
      <c r="O1413" s="502"/>
      <c r="P1413" s="502"/>
      <c r="Q1413" s="502"/>
      <c r="R1413" s="502"/>
      <c r="S1413" s="501" t="s">
        <v>1114</v>
      </c>
      <c r="T1413" s="501">
        <v>60</v>
      </c>
      <c r="U1413" s="501"/>
      <c r="V1413" s="501" t="s">
        <v>986</v>
      </c>
      <c r="W1413" s="505">
        <v>365</v>
      </c>
      <c r="X1413" s="403">
        <v>832</v>
      </c>
      <c r="Y1413" s="477">
        <f t="shared" si="170"/>
        <v>303680</v>
      </c>
      <c r="Z1413" s="478">
        <v>0.62</v>
      </c>
      <c r="AA1413" s="479">
        <f t="shared" si="171"/>
        <v>188281.60000000001</v>
      </c>
      <c r="AB1413" s="480"/>
      <c r="AC1413" s="481">
        <f t="shared" si="172"/>
        <v>0</v>
      </c>
      <c r="AD1413" s="490"/>
      <c r="AE1413" s="482"/>
      <c r="AF1413" s="493">
        <f t="shared" si="173"/>
        <v>188281.60000000001</v>
      </c>
      <c r="AG1413" s="474" t="s">
        <v>1071</v>
      </c>
      <c r="AH1413" s="474">
        <v>0</v>
      </c>
      <c r="AI1413" s="474">
        <v>60</v>
      </c>
      <c r="AJ1413" s="474" t="s">
        <v>1282</v>
      </c>
      <c r="AK1413" s="474" t="s">
        <v>1276</v>
      </c>
      <c r="AL1413" s="494">
        <v>63134</v>
      </c>
      <c r="AM1413" s="474" t="s">
        <v>52</v>
      </c>
      <c r="AN1413" s="474"/>
      <c r="AO1413" s="474"/>
      <c r="AP1413" s="482"/>
      <c r="AQ1413" s="482" t="s">
        <v>1086</v>
      </c>
      <c r="AR1413" s="474" t="s">
        <v>1216</v>
      </c>
      <c r="AS1413" s="399" t="s">
        <v>1075</v>
      </c>
      <c r="AT1413" s="436" t="s">
        <v>1087</v>
      </c>
      <c r="AU1413" s="436" t="s">
        <v>1076</v>
      </c>
    </row>
  </sheetData>
  <autoFilter ref="D2:BA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62"/>
  <sheetViews>
    <sheetView showGridLines="0" topLeftCell="O1" zoomScale="110" zoomScaleNormal="110" workbookViewId="0">
      <selection activeCell="AD11" sqref="AD11:AF62"/>
    </sheetView>
  </sheetViews>
  <sheetFormatPr defaultColWidth="9.140625" defaultRowHeight="15"/>
  <cols>
    <col min="1" max="3" width="9.140625" style="327"/>
    <col min="4" max="4" width="3.42578125" style="327" bestFit="1" customWidth="1"/>
    <col min="5" max="5" width="16" style="327" customWidth="1"/>
    <col min="6" max="6" width="6" style="327" bestFit="1" customWidth="1"/>
    <col min="7" max="7" width="5.85546875" style="327" bestFit="1" customWidth="1"/>
    <col min="8" max="8" width="6" style="327" bestFit="1" customWidth="1"/>
    <col min="9" max="9" width="10.28515625" style="327" customWidth="1"/>
    <col min="10" max="10" width="9.85546875" style="327" bestFit="1" customWidth="1"/>
    <col min="11" max="11" width="15.85546875" style="327" customWidth="1"/>
    <col min="12" max="12" width="20.5703125" style="327" customWidth="1"/>
    <col min="13" max="13" width="13.5703125" style="327" customWidth="1"/>
    <col min="14" max="14" width="24.140625" style="327" customWidth="1"/>
    <col min="15" max="15" width="11.42578125" style="327" bestFit="1" customWidth="1"/>
    <col min="16" max="16" width="11.85546875" style="327" bestFit="1" customWidth="1"/>
    <col min="17" max="18" width="9.42578125" style="327" bestFit="1" customWidth="1"/>
    <col min="19" max="19" width="8.7109375" style="327" customWidth="1"/>
    <col min="20" max="20" width="9.140625" style="327"/>
    <col min="21" max="21" width="20.7109375" style="327" bestFit="1" customWidth="1"/>
    <col min="22" max="22" width="27.42578125" style="327" customWidth="1"/>
    <col min="23" max="23" width="14" style="328" bestFit="1" customWidth="1"/>
    <col min="24" max="24" width="9.140625" style="327"/>
    <col min="25" max="26" width="9.140625" style="329"/>
    <col min="27" max="27" width="12.5703125" style="327" bestFit="1" customWidth="1"/>
    <col min="28" max="28" width="19" style="327" customWidth="1"/>
    <col min="29" max="29" width="17.28515625" style="327" customWidth="1"/>
    <col min="30" max="30" width="11.7109375" style="327" customWidth="1"/>
    <col min="31" max="31" width="11.42578125" style="327" bestFit="1" customWidth="1"/>
    <col min="32" max="32" width="12.5703125" style="327" bestFit="1" customWidth="1"/>
    <col min="33" max="16384" width="9.140625" style="327"/>
  </cols>
  <sheetData>
    <row r="1" spans="1:41" s="315" customFormat="1" ht="15" customHeight="1">
      <c r="A1" s="311" t="s">
        <v>1051</v>
      </c>
      <c r="B1" s="311" t="s">
        <v>1052</v>
      </c>
      <c r="C1" s="311" t="s">
        <v>1053</v>
      </c>
      <c r="D1" s="312" t="s">
        <v>1</v>
      </c>
      <c r="E1" s="312" t="s">
        <v>2</v>
      </c>
      <c r="F1" s="312" t="s">
        <v>3</v>
      </c>
      <c r="G1" s="313" t="s">
        <v>4</v>
      </c>
      <c r="H1" s="313" t="s">
        <v>5</v>
      </c>
      <c r="I1" s="312" t="s">
        <v>6</v>
      </c>
      <c r="J1" s="314" t="s">
        <v>7</v>
      </c>
      <c r="K1" s="312" t="s">
        <v>8</v>
      </c>
      <c r="L1" s="312" t="s">
        <v>9</v>
      </c>
      <c r="M1" s="314" t="s">
        <v>10</v>
      </c>
      <c r="N1" s="314" t="s">
        <v>5176</v>
      </c>
      <c r="O1" s="316" t="s">
        <v>12</v>
      </c>
      <c r="P1" s="317" t="s">
        <v>13</v>
      </c>
      <c r="Q1" s="317" t="s">
        <v>14</v>
      </c>
      <c r="R1" s="317" t="s">
        <v>15</v>
      </c>
      <c r="S1" s="318" t="s">
        <v>16</v>
      </c>
      <c r="T1" s="318" t="s">
        <v>17</v>
      </c>
      <c r="U1" s="316" t="s">
        <v>374</v>
      </c>
      <c r="V1" s="318" t="s">
        <v>5177</v>
      </c>
      <c r="W1" s="316" t="s">
        <v>5178</v>
      </c>
      <c r="X1" s="319" t="s">
        <v>1055</v>
      </c>
      <c r="Y1" s="320" t="s">
        <v>5179</v>
      </c>
      <c r="Z1" s="321" t="s">
        <v>5180</v>
      </c>
      <c r="AA1" s="322" t="s">
        <v>26</v>
      </c>
      <c r="AB1" s="321" t="s">
        <v>1060</v>
      </c>
      <c r="AC1" s="321" t="s">
        <v>1061</v>
      </c>
      <c r="AD1" s="323" t="s">
        <v>29</v>
      </c>
      <c r="AE1" s="322" t="s">
        <v>5181</v>
      </c>
      <c r="AF1" s="323" t="s">
        <v>5182</v>
      </c>
      <c r="AG1" s="323" t="s">
        <v>30</v>
      </c>
      <c r="AH1" s="324" t="s">
        <v>31</v>
      </c>
      <c r="AI1" s="325" t="s">
        <v>32</v>
      </c>
      <c r="AJ1" s="322" t="s">
        <v>33</v>
      </c>
      <c r="AK1" s="322" t="s">
        <v>34</v>
      </c>
      <c r="AL1" s="326" t="s">
        <v>35</v>
      </c>
      <c r="AM1" s="322" t="s">
        <v>36</v>
      </c>
      <c r="AN1" s="318" t="s">
        <v>37</v>
      </c>
      <c r="AO1" s="318" t="s">
        <v>1680</v>
      </c>
    </row>
    <row r="2" spans="1:41" s="333" customFormat="1" ht="12">
      <c r="A2" s="448"/>
      <c r="B2" s="347"/>
      <c r="C2" s="347"/>
      <c r="D2" s="433" t="s">
        <v>86</v>
      </c>
      <c r="E2" s="433"/>
      <c r="F2" s="433"/>
      <c r="G2" s="433">
        <v>2022</v>
      </c>
      <c r="H2" s="433">
        <v>3</v>
      </c>
      <c r="I2" s="433">
        <v>127504</v>
      </c>
      <c r="J2" s="434">
        <v>44624</v>
      </c>
      <c r="K2" s="433" t="s">
        <v>5183</v>
      </c>
      <c r="L2" s="433" t="s">
        <v>5184</v>
      </c>
      <c r="M2" s="434">
        <v>44614</v>
      </c>
      <c r="N2" s="434">
        <v>44619</v>
      </c>
      <c r="O2" s="433"/>
      <c r="P2" s="434">
        <v>44622</v>
      </c>
      <c r="Q2" s="434">
        <v>44624</v>
      </c>
      <c r="R2" s="434">
        <v>44624</v>
      </c>
      <c r="S2" s="433" t="s">
        <v>88</v>
      </c>
      <c r="T2" s="489" t="str">
        <f>IFERROR(VLOOKUP($U2,ESS_Item_Code!$A:$L,5,0),"item code is invalid")</f>
        <v>Battery</v>
      </c>
      <c r="U2" s="433" t="s">
        <v>236</v>
      </c>
      <c r="V2" s="448" t="str">
        <f>IFERROR(VLOOKUP($U2,ESS_Item_Code!$A:$L,2,0),"item code is invalid")</f>
        <v>BAT BMS-G1</v>
      </c>
      <c r="W2" s="350">
        <v>589.41999999999996</v>
      </c>
      <c r="X2" s="330">
        <v>1</v>
      </c>
      <c r="Y2" s="609">
        <f>+IFERROR($X2*VLOOKUP($U2,ESS_Item_Code!$A:$L,3,0),"item code is invalid")</f>
        <v>0</v>
      </c>
      <c r="Z2" s="331">
        <f>IFERROR($X2*VLOOKUP($U2,ESS_Item_Code!$A:$L,4,0),"item code is invalid")</f>
        <v>0</v>
      </c>
      <c r="AA2" s="332">
        <f t="shared" ref="AA2:AA15" si="0">W2*X2</f>
        <v>589.41999999999996</v>
      </c>
      <c r="AB2" s="330"/>
      <c r="AC2" s="330"/>
      <c r="AD2" s="609">
        <f t="shared" ref="AD2:AD17" si="1">SUM(AA2:AC2)</f>
        <v>589.41999999999996</v>
      </c>
      <c r="AE2" s="335">
        <f>IFERROR($X2*VLOOKUP($U2,ESS_Item_Code!$A:$L,6,0),"item code is invalid")</f>
        <v>465</v>
      </c>
      <c r="AF2" s="335">
        <f t="shared" ref="AF2:AF17" si="2">AE2*X2</f>
        <v>465</v>
      </c>
      <c r="AG2" s="330"/>
      <c r="AH2" s="330"/>
      <c r="AI2" s="433"/>
      <c r="AJ2" s="330"/>
      <c r="AK2" s="330"/>
      <c r="AL2" s="330"/>
      <c r="AM2" s="330"/>
      <c r="AN2" s="433"/>
      <c r="AO2" s="330"/>
    </row>
    <row r="3" spans="1:41" s="333" customFormat="1" ht="12">
      <c r="A3" s="448"/>
      <c r="B3" s="347"/>
      <c r="C3" s="347"/>
      <c r="D3" s="433" t="s">
        <v>86</v>
      </c>
      <c r="E3" s="433"/>
      <c r="F3" s="433"/>
      <c r="G3" s="433">
        <v>2022</v>
      </c>
      <c r="H3" s="433">
        <v>3</v>
      </c>
      <c r="I3" s="433">
        <v>127504</v>
      </c>
      <c r="J3" s="434">
        <v>44624</v>
      </c>
      <c r="K3" s="433" t="s">
        <v>5183</v>
      </c>
      <c r="L3" s="433" t="s">
        <v>5184</v>
      </c>
      <c r="M3" s="434">
        <v>44614</v>
      </c>
      <c r="N3" s="434">
        <v>44619</v>
      </c>
      <c r="O3" s="433"/>
      <c r="P3" s="434">
        <v>44622</v>
      </c>
      <c r="Q3" s="434">
        <v>44624</v>
      </c>
      <c r="R3" s="434">
        <v>44624</v>
      </c>
      <c r="S3" s="433" t="s">
        <v>88</v>
      </c>
      <c r="T3" s="489" t="str">
        <f>IFERROR(VLOOKUP($U3,ESS_Item_Code!$A:$L,5,0),"item code is invalid")</f>
        <v>Battery</v>
      </c>
      <c r="U3" s="433" t="s">
        <v>233</v>
      </c>
      <c r="V3" s="448" t="str">
        <f>IFERROR(VLOOKUP($U3,ESS_Item_Code!$A:$L,2,0),"item code is invalid")</f>
        <v>BAT63</v>
      </c>
      <c r="W3" s="350">
        <v>2918.9760000000001</v>
      </c>
      <c r="X3" s="330">
        <v>3</v>
      </c>
      <c r="Y3" s="609">
        <f>+IFERROR($X3*VLOOKUP($U3,ESS_Item_Code!$A:$L,3,0),"item code is invalid")</f>
        <v>0</v>
      </c>
      <c r="Z3" s="331">
        <f>IFERROR($X3*VLOOKUP($U3,ESS_Item_Code!$A:$L,4,0),"item code is invalid")</f>
        <v>18.899999999999999</v>
      </c>
      <c r="AA3" s="332">
        <f t="shared" ref="AA3:AA17" si="3">W3*X3</f>
        <v>8756.9279999999999</v>
      </c>
      <c r="AB3" s="330"/>
      <c r="AC3" s="330"/>
      <c r="AD3" s="609">
        <f t="shared" ref="AD3:AD62" si="4">SUM(AA3:AC3)</f>
        <v>8756.9279999999999</v>
      </c>
      <c r="AE3" s="335">
        <f>IFERROR($X3*VLOOKUP($U3,ESS_Item_Code!$A:$L,6,0),"item code is invalid")</f>
        <v>6753</v>
      </c>
      <c r="AF3" s="335">
        <f t="shared" ref="AF3:AF62" si="5">AE3*X3</f>
        <v>20259</v>
      </c>
      <c r="AG3" s="330"/>
      <c r="AH3" s="330"/>
      <c r="AI3" s="433"/>
      <c r="AJ3" s="330"/>
      <c r="AK3" s="330"/>
      <c r="AL3" s="330"/>
      <c r="AM3" s="330"/>
      <c r="AN3" s="433"/>
      <c r="AO3" s="330"/>
    </row>
    <row r="4" spans="1:41" s="333" customFormat="1" ht="12">
      <c r="A4" s="448"/>
      <c r="B4" s="347"/>
      <c r="C4" s="347"/>
      <c r="D4" s="433" t="s">
        <v>86</v>
      </c>
      <c r="E4" s="433"/>
      <c r="F4" s="433"/>
      <c r="G4" s="433">
        <v>2022</v>
      </c>
      <c r="H4" s="433">
        <v>3</v>
      </c>
      <c r="I4" s="433">
        <v>127504</v>
      </c>
      <c r="J4" s="434">
        <v>44624</v>
      </c>
      <c r="K4" s="433" t="s">
        <v>5183</v>
      </c>
      <c r="L4" s="433" t="s">
        <v>5184</v>
      </c>
      <c r="M4" s="434">
        <v>44614</v>
      </c>
      <c r="N4" s="434">
        <v>44619</v>
      </c>
      <c r="O4" s="433"/>
      <c r="P4" s="434">
        <v>44622</v>
      </c>
      <c r="Q4" s="434">
        <v>44624</v>
      </c>
      <c r="R4" s="434">
        <v>44624</v>
      </c>
      <c r="S4" s="433" t="s">
        <v>88</v>
      </c>
      <c r="T4" s="489" t="str">
        <f>IFERROR(VLOOKUP($U4,ESS_Item_Code!$A:$L,5,0),"item code is invalid")</f>
        <v>Accessory</v>
      </c>
      <c r="U4" s="433" t="s">
        <v>239</v>
      </c>
      <c r="V4" s="448" t="str">
        <f>IFERROR(VLOOKUP($U4,ESS_Item_Code!$A:$L,2,0),"item code is invalid")</f>
        <v>Q.HOME+ TX-8.6</v>
      </c>
      <c r="W4" s="350">
        <v>443.65</v>
      </c>
      <c r="X4" s="330">
        <v>1</v>
      </c>
      <c r="Y4" s="609">
        <f>+IFERROR($X4*VLOOKUP($U4,ESS_Item_Code!$A:$L,3,0),"item code is invalid")</f>
        <v>0</v>
      </c>
      <c r="Z4" s="331">
        <f>IFERROR($X4*VLOOKUP($U4,ESS_Item_Code!$A:$L,4,0),"item code is invalid")</f>
        <v>0</v>
      </c>
      <c r="AA4" s="332">
        <f t="shared" si="3"/>
        <v>443.65</v>
      </c>
      <c r="AB4" s="330"/>
      <c r="AC4" s="330"/>
      <c r="AD4" s="609">
        <f t="shared" si="4"/>
        <v>443.65</v>
      </c>
      <c r="AE4" s="335">
        <f>IFERROR($X4*VLOOKUP($U4,ESS_Item_Code!$A:$L,6,0),"item code is invalid")</f>
        <v>350</v>
      </c>
      <c r="AF4" s="335">
        <f t="shared" si="5"/>
        <v>350</v>
      </c>
      <c r="AG4" s="330"/>
      <c r="AH4" s="330"/>
      <c r="AI4" s="433"/>
      <c r="AJ4" s="330"/>
      <c r="AK4" s="330"/>
      <c r="AL4" s="330"/>
      <c r="AM4" s="330"/>
      <c r="AN4" s="433"/>
      <c r="AO4" s="330"/>
    </row>
    <row r="5" spans="1:41" s="333" customFormat="1" ht="12">
      <c r="A5" s="448"/>
      <c r="B5" s="347"/>
      <c r="C5" s="347"/>
      <c r="D5" s="433" t="s">
        <v>86</v>
      </c>
      <c r="E5" s="433"/>
      <c r="F5" s="433"/>
      <c r="G5" s="433">
        <v>2022</v>
      </c>
      <c r="H5" s="433">
        <v>3</v>
      </c>
      <c r="I5" s="433">
        <v>127504</v>
      </c>
      <c r="J5" s="434">
        <v>44624</v>
      </c>
      <c r="K5" s="433" t="s">
        <v>5183</v>
      </c>
      <c r="L5" s="433" t="s">
        <v>5184</v>
      </c>
      <c r="M5" s="434">
        <v>44614</v>
      </c>
      <c r="N5" s="434">
        <v>44619</v>
      </c>
      <c r="O5" s="433"/>
      <c r="P5" s="434">
        <v>44622</v>
      </c>
      <c r="Q5" s="434">
        <v>44624</v>
      </c>
      <c r="R5" s="434">
        <v>44624</v>
      </c>
      <c r="S5" s="433" t="s">
        <v>88</v>
      </c>
      <c r="T5" s="489" t="str">
        <f>IFERROR(VLOOKUP($U5,ESS_Item_Code!$A:$L,5,0),"item code is invalid")</f>
        <v>Accessory</v>
      </c>
      <c r="U5" s="433" t="s">
        <v>244</v>
      </c>
      <c r="V5" s="448" t="str">
        <f>IFERROR(VLOOKUP($U5,ESS_Item_Code!$A:$L,2,0),"item code is invalid")</f>
        <v>Battery Accessory box , Master control Accessory</v>
      </c>
      <c r="W5" s="349">
        <v>0</v>
      </c>
      <c r="X5" s="330">
        <v>1</v>
      </c>
      <c r="Y5" s="609">
        <f>+IFERROR($X5*VLOOKUP($U5,ESS_Item_Code!$A:$L,3,0),"item code is invalid")</f>
        <v>0</v>
      </c>
      <c r="Z5" s="331">
        <f>IFERROR($X5*VLOOKUP($U5,ESS_Item_Code!$A:$L,4,0),"item code is invalid")</f>
        <v>0</v>
      </c>
      <c r="AA5" s="332">
        <f t="shared" si="3"/>
        <v>0</v>
      </c>
      <c r="AB5" s="330"/>
      <c r="AC5" s="330"/>
      <c r="AD5" s="609">
        <f t="shared" si="4"/>
        <v>0</v>
      </c>
      <c r="AE5" s="335" t="str">
        <f>IFERROR($X5*VLOOKUP($U5,ESS_Item_Code!$A:$L,6,0),"item code is invalid")</f>
        <v>item code is invalid</v>
      </c>
      <c r="AF5" s="335" t="e">
        <f t="shared" si="5"/>
        <v>#VALUE!</v>
      </c>
      <c r="AG5" s="330"/>
      <c r="AH5" s="330"/>
      <c r="AI5" s="433"/>
      <c r="AJ5" s="330"/>
      <c r="AK5" s="330"/>
      <c r="AL5" s="330"/>
      <c r="AM5" s="330"/>
      <c r="AN5" s="433"/>
      <c r="AO5" s="330"/>
    </row>
    <row r="6" spans="1:41" s="333" customFormat="1" ht="12">
      <c r="A6" s="448"/>
      <c r="B6" s="347"/>
      <c r="C6" s="347"/>
      <c r="D6" s="433" t="s">
        <v>86</v>
      </c>
      <c r="E6" s="433"/>
      <c r="F6" s="433"/>
      <c r="G6" s="433">
        <v>2022</v>
      </c>
      <c r="H6" s="433">
        <v>3</v>
      </c>
      <c r="I6" s="433">
        <v>127504</v>
      </c>
      <c r="J6" s="434">
        <v>44624</v>
      </c>
      <c r="K6" s="433" t="s">
        <v>5183</v>
      </c>
      <c r="L6" s="433" t="s">
        <v>5184</v>
      </c>
      <c r="M6" s="434">
        <v>44614</v>
      </c>
      <c r="N6" s="434">
        <v>44619</v>
      </c>
      <c r="O6" s="433"/>
      <c r="P6" s="434">
        <v>44622</v>
      </c>
      <c r="Q6" s="434">
        <v>44624</v>
      </c>
      <c r="R6" s="434">
        <v>44624</v>
      </c>
      <c r="S6" s="433" t="s">
        <v>88</v>
      </c>
      <c r="T6" s="489" t="str">
        <f>IFERROR(VLOOKUP($U6,ESS_Item_Code!$A:$L,5,0),"item code is invalid")</f>
        <v>Accessory</v>
      </c>
      <c r="U6" s="433" t="s">
        <v>248</v>
      </c>
      <c r="V6" s="448" t="str">
        <f>IFERROR(VLOOKUP($U6,ESS_Item_Code!$A:$L,2,0),"item code is invalid")</f>
        <v>Battery Accessory box , Slave control Accessory</v>
      </c>
      <c r="W6" s="349">
        <v>0</v>
      </c>
      <c r="X6" s="330">
        <v>3</v>
      </c>
      <c r="Y6" s="609">
        <f>+IFERROR($X6*VLOOKUP($U6,ESS_Item_Code!$A:$L,3,0),"item code is invalid")</f>
        <v>0</v>
      </c>
      <c r="Z6" s="331">
        <f>IFERROR($X6*VLOOKUP($U6,ESS_Item_Code!$A:$L,4,0),"item code is invalid")</f>
        <v>0</v>
      </c>
      <c r="AA6" s="332">
        <f t="shared" si="3"/>
        <v>0</v>
      </c>
      <c r="AB6" s="330"/>
      <c r="AC6" s="330"/>
      <c r="AD6" s="609">
        <f t="shared" si="4"/>
        <v>0</v>
      </c>
      <c r="AE6" s="335" t="str">
        <f>IFERROR($X6*VLOOKUP($U6,ESS_Item_Code!$A:$L,6,0),"item code is invalid")</f>
        <v>item code is invalid</v>
      </c>
      <c r="AF6" s="335" t="e">
        <f t="shared" si="5"/>
        <v>#VALUE!</v>
      </c>
      <c r="AG6" s="330"/>
      <c r="AH6" s="330"/>
      <c r="AI6" s="433"/>
      <c r="AJ6" s="330"/>
      <c r="AK6" s="330"/>
      <c r="AL6" s="330"/>
      <c r="AM6" s="330"/>
      <c r="AN6" s="433"/>
      <c r="AO6" s="330"/>
    </row>
    <row r="7" spans="1:41" s="333" customFormat="1" ht="12">
      <c r="A7" s="448"/>
      <c r="B7" s="448"/>
      <c r="C7" s="448"/>
      <c r="D7" s="433" t="s">
        <v>86</v>
      </c>
      <c r="E7" s="433"/>
      <c r="F7" s="433"/>
      <c r="G7" s="433">
        <v>2022</v>
      </c>
      <c r="H7" s="433">
        <v>3</v>
      </c>
      <c r="I7" s="433">
        <v>127799</v>
      </c>
      <c r="J7" s="434">
        <v>44651</v>
      </c>
      <c r="K7" s="433">
        <v>7620</v>
      </c>
      <c r="L7" s="433" t="s">
        <v>5185</v>
      </c>
      <c r="M7" s="434">
        <v>44649</v>
      </c>
      <c r="N7" s="434">
        <v>44649</v>
      </c>
      <c r="O7" s="433"/>
      <c r="P7" s="434">
        <v>44650</v>
      </c>
      <c r="Q7" s="434">
        <v>44651</v>
      </c>
      <c r="R7" s="434"/>
      <c r="S7" s="433" t="s">
        <v>88</v>
      </c>
      <c r="T7" s="489" t="str">
        <f>IFERROR(VLOOKUP($U7,ESS_Item_Code!$A:$L,5,0),"item code is invalid")</f>
        <v>System</v>
      </c>
      <c r="U7" s="433" t="s">
        <v>282</v>
      </c>
      <c r="V7" s="448" t="str">
        <f>IFERROR(VLOOKUP($U7,ESS_Item_Code!$A:$L,2,0),"item code is invalid")</f>
        <v>Q.HOME+ HYB ESS-G1 6.0/9.0</v>
      </c>
      <c r="W7" s="334">
        <v>6141</v>
      </c>
      <c r="X7" s="330">
        <v>3</v>
      </c>
      <c r="Y7" s="609">
        <f>+IFERROR($X7*VLOOKUP($U7,ESS_Item_Code!$A:$L,3,0),"item code is invalid")</f>
        <v>18</v>
      </c>
      <c r="Z7" s="331">
        <f>IFERROR($X7*VLOOKUP($U7,ESS_Item_Code!$A:$L,4,0),"item code is invalid")</f>
        <v>27</v>
      </c>
      <c r="AA7" s="332">
        <f t="shared" si="3"/>
        <v>18423</v>
      </c>
      <c r="AB7" s="330"/>
      <c r="AC7" s="330"/>
      <c r="AD7" s="609">
        <f t="shared" si="4"/>
        <v>18423</v>
      </c>
      <c r="AE7" s="335">
        <f>IFERROR($X7*VLOOKUP($U7,ESS_Item_Code!$A:$L,6,0),"item code is invalid")</f>
        <v>17703</v>
      </c>
      <c r="AF7" s="335">
        <f t="shared" si="5"/>
        <v>53109</v>
      </c>
      <c r="AG7" s="330" t="s">
        <v>1071</v>
      </c>
      <c r="AH7" s="330">
        <v>0</v>
      </c>
      <c r="AI7" s="433">
        <v>60</v>
      </c>
      <c r="AJ7" s="330" t="s">
        <v>5186</v>
      </c>
      <c r="AK7" s="330" t="s">
        <v>1679</v>
      </c>
      <c r="AL7" s="330">
        <v>96817</v>
      </c>
      <c r="AM7" s="330" t="s">
        <v>52</v>
      </c>
      <c r="AN7" s="433" t="s">
        <v>50</v>
      </c>
      <c r="AO7" s="330" t="s">
        <v>1076</v>
      </c>
    </row>
    <row r="8" spans="1:41" s="333" customFormat="1" ht="12">
      <c r="A8" s="448"/>
      <c r="B8" s="448"/>
      <c r="C8" s="448"/>
      <c r="D8" s="433" t="s">
        <v>86</v>
      </c>
      <c r="E8" s="433"/>
      <c r="F8" s="433"/>
      <c r="G8" s="433">
        <v>2022</v>
      </c>
      <c r="H8" s="433">
        <v>3</v>
      </c>
      <c r="I8" s="433">
        <v>127799</v>
      </c>
      <c r="J8" s="434">
        <v>44651</v>
      </c>
      <c r="K8" s="433">
        <v>7620</v>
      </c>
      <c r="L8" s="433" t="s">
        <v>5185</v>
      </c>
      <c r="M8" s="434">
        <v>44649</v>
      </c>
      <c r="N8" s="434">
        <v>44649</v>
      </c>
      <c r="O8" s="433"/>
      <c r="P8" s="434">
        <v>44650</v>
      </c>
      <c r="Q8" s="434">
        <v>44651</v>
      </c>
      <c r="R8" s="434"/>
      <c r="S8" s="433" t="s">
        <v>88</v>
      </c>
      <c r="T8" s="489" t="str">
        <f>IFERROR(VLOOKUP($U8,ESS_Item_Code!$A:$L,5,0),"item code is invalid")</f>
        <v>System</v>
      </c>
      <c r="U8" s="433" t="s">
        <v>306</v>
      </c>
      <c r="V8" s="448" t="str">
        <f>IFERROR(VLOOKUP($U8,ESS_Item_Code!$A:$L,2,0),"item code is invalid")</f>
        <v>Q.HOME+ HYB ESS-G1 7.6/9.0</v>
      </c>
      <c r="W8" s="334">
        <v>6384.8</v>
      </c>
      <c r="X8" s="330">
        <v>3</v>
      </c>
      <c r="Y8" s="609">
        <f>+IFERROR($X8*VLOOKUP($U8,ESS_Item_Code!$A:$L,3,0),"item code is invalid")</f>
        <v>22.799999999999997</v>
      </c>
      <c r="Z8" s="331">
        <f>IFERROR($X8*VLOOKUP($U8,ESS_Item_Code!$A:$L,4,0),"item code is invalid")</f>
        <v>27</v>
      </c>
      <c r="AA8" s="332">
        <f t="shared" si="3"/>
        <v>19154.400000000001</v>
      </c>
      <c r="AB8" s="330"/>
      <c r="AC8" s="330"/>
      <c r="AD8" s="609">
        <f t="shared" si="4"/>
        <v>19154.400000000001</v>
      </c>
      <c r="AE8" s="335">
        <f>IFERROR($X8*VLOOKUP($U8,ESS_Item_Code!$A:$L,6,0),"item code is invalid")</f>
        <v>17853</v>
      </c>
      <c r="AF8" s="335">
        <f t="shared" si="5"/>
        <v>53559</v>
      </c>
      <c r="AG8" s="330" t="s">
        <v>1071</v>
      </c>
      <c r="AH8" s="330">
        <v>0</v>
      </c>
      <c r="AI8" s="433">
        <v>60</v>
      </c>
      <c r="AJ8" s="330" t="s">
        <v>5186</v>
      </c>
      <c r="AK8" s="330" t="s">
        <v>1679</v>
      </c>
      <c r="AL8" s="330">
        <v>96817</v>
      </c>
      <c r="AM8" s="330" t="s">
        <v>52</v>
      </c>
      <c r="AN8" s="433" t="s">
        <v>50</v>
      </c>
      <c r="AO8" s="330" t="s">
        <v>1076</v>
      </c>
    </row>
    <row r="9" spans="1:41" s="333" customFormat="1" ht="12">
      <c r="A9" s="448"/>
      <c r="B9" s="448"/>
      <c r="C9" s="448"/>
      <c r="D9" s="433" t="s">
        <v>86</v>
      </c>
      <c r="E9" s="433"/>
      <c r="F9" s="433"/>
      <c r="G9" s="433">
        <v>2022</v>
      </c>
      <c r="H9" s="433">
        <v>3</v>
      </c>
      <c r="I9" s="433">
        <v>127799</v>
      </c>
      <c r="J9" s="434">
        <v>44651</v>
      </c>
      <c r="K9" s="433">
        <v>7620</v>
      </c>
      <c r="L9" s="433" t="s">
        <v>5185</v>
      </c>
      <c r="M9" s="434">
        <v>44649</v>
      </c>
      <c r="N9" s="434">
        <v>44649</v>
      </c>
      <c r="O9" s="433"/>
      <c r="P9" s="434">
        <v>44650</v>
      </c>
      <c r="Q9" s="434">
        <v>44651</v>
      </c>
      <c r="R9" s="434"/>
      <c r="S9" s="433" t="s">
        <v>88</v>
      </c>
      <c r="T9" s="489" t="str">
        <f>IFERROR(VLOOKUP($U9,ESS_Item_Code!$A:$L,5,0),"item code is invalid")</f>
        <v>System</v>
      </c>
      <c r="U9" s="433" t="s">
        <v>312</v>
      </c>
      <c r="V9" s="448" t="str">
        <f>IFERROR(VLOOKUP($U9,ESS_Item_Code!$A:$L,2,0),"item code is invalid")</f>
        <v>Q.HOME+ HYB ESS-G1 7.6/18.9</v>
      </c>
      <c r="W9" s="334">
        <v>10432.799999999999</v>
      </c>
      <c r="X9" s="330">
        <v>3</v>
      </c>
      <c r="Y9" s="609">
        <f>+IFERROR($X9*VLOOKUP($U9,ESS_Item_Code!$A:$L,3,0),"item code is invalid")</f>
        <v>22.799999999999997</v>
      </c>
      <c r="Z9" s="331">
        <f>IFERROR($X9*VLOOKUP($U9,ESS_Item_Code!$A:$L,4,0),"item code is invalid")</f>
        <v>56.699999999999996</v>
      </c>
      <c r="AA9" s="332">
        <f t="shared" si="3"/>
        <v>31298.399999999998</v>
      </c>
      <c r="AB9" s="330"/>
      <c r="AC9" s="330"/>
      <c r="AD9" s="609">
        <f t="shared" si="4"/>
        <v>31298.399999999998</v>
      </c>
      <c r="AE9" s="335">
        <f>IFERROR($X9*VLOOKUP($U9,ESS_Item_Code!$A:$L,6,0),"item code is invalid")</f>
        <v>28344</v>
      </c>
      <c r="AF9" s="335">
        <f t="shared" si="5"/>
        <v>85032</v>
      </c>
      <c r="AG9" s="330" t="s">
        <v>1071</v>
      </c>
      <c r="AH9" s="330">
        <v>0</v>
      </c>
      <c r="AI9" s="433">
        <v>60</v>
      </c>
      <c r="AJ9" s="330" t="s">
        <v>5186</v>
      </c>
      <c r="AK9" s="330" t="s">
        <v>1679</v>
      </c>
      <c r="AL9" s="330">
        <v>96817</v>
      </c>
      <c r="AM9" s="330" t="s">
        <v>52</v>
      </c>
      <c r="AN9" s="433" t="s">
        <v>50</v>
      </c>
      <c r="AO9" s="330" t="s">
        <v>1076</v>
      </c>
    </row>
    <row r="10" spans="1:41" s="333" customFormat="1" ht="12">
      <c r="A10" s="448"/>
      <c r="B10" s="448"/>
      <c r="C10" s="448"/>
      <c r="D10" s="433" t="s">
        <v>86</v>
      </c>
      <c r="E10" s="433"/>
      <c r="F10" s="433"/>
      <c r="G10" s="433">
        <v>2022</v>
      </c>
      <c r="H10" s="433">
        <v>3</v>
      </c>
      <c r="I10" s="433">
        <v>127799</v>
      </c>
      <c r="J10" s="434">
        <v>44651</v>
      </c>
      <c r="K10" s="433">
        <v>7620</v>
      </c>
      <c r="L10" s="433" t="s">
        <v>5185</v>
      </c>
      <c r="M10" s="434">
        <v>44649</v>
      </c>
      <c r="N10" s="434">
        <v>44649</v>
      </c>
      <c r="O10" s="433"/>
      <c r="P10" s="434">
        <v>44650</v>
      </c>
      <c r="Q10" s="434">
        <v>44651</v>
      </c>
      <c r="R10" s="434"/>
      <c r="S10" s="433" t="s">
        <v>88</v>
      </c>
      <c r="T10" s="489" t="str">
        <f>IFERROR(VLOOKUP($U10,ESS_Item_Code!$A:$L,5,0),"item code is invalid")</f>
        <v>System</v>
      </c>
      <c r="U10" s="433" t="s">
        <v>308</v>
      </c>
      <c r="V10" s="448" t="str">
        <f>IFERROR(VLOOKUP($U10,ESS_Item_Code!$A:$L,2,0),"item code is invalid")</f>
        <v>Q.HOME+ HYB ESS-G1 7.6/12.6</v>
      </c>
      <c r="W10" s="334">
        <v>7856.8</v>
      </c>
      <c r="X10" s="330">
        <v>2</v>
      </c>
      <c r="Y10" s="609">
        <f>+IFERROR($X10*VLOOKUP($U10,ESS_Item_Code!$A:$L,3,0),"item code is invalid")</f>
        <v>15.2</v>
      </c>
      <c r="Z10" s="331">
        <f>IFERROR($X10*VLOOKUP($U10,ESS_Item_Code!$A:$L,4,0),"item code is invalid")</f>
        <v>25.2</v>
      </c>
      <c r="AA10" s="332">
        <f t="shared" si="3"/>
        <v>15713.6</v>
      </c>
      <c r="AB10" s="330"/>
      <c r="AC10" s="330"/>
      <c r="AD10" s="609">
        <f t="shared" si="4"/>
        <v>15713.6</v>
      </c>
      <c r="AE10" s="335">
        <f>IFERROR($X10*VLOOKUP($U10,ESS_Item_Code!$A:$L,6,0),"item code is invalid")</f>
        <v>14394</v>
      </c>
      <c r="AF10" s="335">
        <f t="shared" si="5"/>
        <v>28788</v>
      </c>
      <c r="AG10" s="330" t="s">
        <v>1071</v>
      </c>
      <c r="AH10" s="330">
        <v>0</v>
      </c>
      <c r="AI10" s="433">
        <v>60</v>
      </c>
      <c r="AJ10" s="330" t="s">
        <v>5186</v>
      </c>
      <c r="AK10" s="330" t="s">
        <v>1679</v>
      </c>
      <c r="AL10" s="330">
        <v>96817</v>
      </c>
      <c r="AM10" s="330" t="s">
        <v>52</v>
      </c>
      <c r="AN10" s="433" t="s">
        <v>50</v>
      </c>
      <c r="AO10" s="330" t="s">
        <v>1076</v>
      </c>
    </row>
    <row r="11" spans="1:41" s="333" customFormat="1" ht="12">
      <c r="A11" s="448"/>
      <c r="B11" s="347"/>
      <c r="C11" s="347"/>
      <c r="D11" s="433" t="s">
        <v>86</v>
      </c>
      <c r="E11" s="433"/>
      <c r="F11" s="433"/>
      <c r="G11" s="433">
        <v>2022</v>
      </c>
      <c r="H11" s="433">
        <v>4</v>
      </c>
      <c r="I11" s="433"/>
      <c r="J11" s="434"/>
      <c r="K11" s="433" t="s">
        <v>4286</v>
      </c>
      <c r="L11" s="433" t="s">
        <v>5184</v>
      </c>
      <c r="M11" s="434">
        <v>44645</v>
      </c>
      <c r="N11" s="434">
        <v>44645</v>
      </c>
      <c r="O11" s="433"/>
      <c r="P11" s="434">
        <v>44677</v>
      </c>
      <c r="Q11" s="434"/>
      <c r="R11" s="434"/>
      <c r="S11" s="433" t="s">
        <v>88</v>
      </c>
      <c r="T11" s="489" t="str">
        <f>IFERROR(VLOOKUP($U11,ESS_Item_Code!$A:$L,5,0),"item code is invalid")</f>
        <v>System</v>
      </c>
      <c r="U11" s="433" t="s">
        <v>324</v>
      </c>
      <c r="V11" s="448" t="str">
        <f>IFERROR(VLOOKUP($U11,ESS_Item_Code!$A:$L,2,0),"item code is invalid")</f>
        <v>Q.HOME+ HYB ESS-G1 8.6/18.9</v>
      </c>
      <c r="W11" s="351">
        <v>12257</v>
      </c>
      <c r="X11" s="330">
        <v>1</v>
      </c>
      <c r="Y11" s="609">
        <f>+IFERROR($X11*VLOOKUP($U11,ESS_Item_Code!$A:$L,3,0),"item code is invalid")</f>
        <v>8.6</v>
      </c>
      <c r="Z11" s="331">
        <f>IFERROR($X11*VLOOKUP($U11,ESS_Item_Code!$A:$L,4,0),"item code is invalid")</f>
        <v>18.899999999999999</v>
      </c>
      <c r="AA11" s="332">
        <f t="shared" si="3"/>
        <v>12257</v>
      </c>
      <c r="AB11" s="330"/>
      <c r="AC11" s="330"/>
      <c r="AD11" s="609">
        <f t="shared" ref="AD11:AD62" si="6">SUM(AA11:AC11)</f>
        <v>12257</v>
      </c>
      <c r="AE11" s="335">
        <f>IFERROR($X11*VLOOKUP($U11,ESS_Item_Code!$A:$L,6,0),"item code is invalid")</f>
        <v>9893</v>
      </c>
      <c r="AF11" s="335">
        <f t="shared" ref="AF11:AF62" si="7">AE11*X11</f>
        <v>9893</v>
      </c>
      <c r="AG11" s="330"/>
      <c r="AH11" s="330"/>
      <c r="AI11" s="433"/>
      <c r="AJ11" s="330" t="s">
        <v>5187</v>
      </c>
      <c r="AK11" s="330" t="s">
        <v>50</v>
      </c>
      <c r="AL11" s="330">
        <v>92308</v>
      </c>
      <c r="AM11" s="330" t="s">
        <v>52</v>
      </c>
      <c r="AN11" s="433" t="s">
        <v>50</v>
      </c>
    </row>
    <row r="12" spans="1:41" s="333" customFormat="1" ht="12">
      <c r="A12" s="448"/>
      <c r="B12" s="347"/>
      <c r="C12" s="347"/>
      <c r="D12" s="433" t="s">
        <v>86</v>
      </c>
      <c r="E12" s="433"/>
      <c r="F12" s="433"/>
      <c r="G12" s="433">
        <v>2022</v>
      </c>
      <c r="H12" s="433">
        <v>4</v>
      </c>
      <c r="I12" s="433"/>
      <c r="J12" s="434"/>
      <c r="K12" s="433" t="s">
        <v>4286</v>
      </c>
      <c r="L12" s="433" t="s">
        <v>5184</v>
      </c>
      <c r="M12" s="434">
        <v>44645</v>
      </c>
      <c r="N12" s="434">
        <v>44645</v>
      </c>
      <c r="O12" s="433"/>
      <c r="P12" s="434">
        <v>44677</v>
      </c>
      <c r="Q12" s="434"/>
      <c r="R12" s="434"/>
      <c r="S12" s="433" t="s">
        <v>88</v>
      </c>
      <c r="T12" s="489" t="str">
        <f>IFERROR(VLOOKUP($U12,ESS_Item_Code!$A:$L,5,0),"item code is invalid")</f>
        <v>Inverter</v>
      </c>
      <c r="U12" s="433" t="s">
        <v>209</v>
      </c>
      <c r="V12" s="448" t="str">
        <f>IFERROR(VLOOKUP($U12,ESS_Item_Code!$A:$L,2,0),"item code is invalid")</f>
        <v>Q.HOME+ HYB-G1 8.6</v>
      </c>
      <c r="W12" s="351">
        <v>2730</v>
      </c>
      <c r="X12" s="330">
        <v>1</v>
      </c>
      <c r="Y12" s="609">
        <f>+IFERROR($X12*VLOOKUP($U12,ESS_Item_Code!$A:$L,3,0),"item code is invalid")</f>
        <v>8.6</v>
      </c>
      <c r="Z12" s="331">
        <f>IFERROR($X12*VLOOKUP($U12,ESS_Item_Code!$A:$L,4,0),"item code is invalid")</f>
        <v>0</v>
      </c>
      <c r="AA12" s="332">
        <f t="shared" si="3"/>
        <v>2730</v>
      </c>
      <c r="AB12" s="330"/>
      <c r="AC12" s="330"/>
      <c r="AD12" s="609">
        <f t="shared" si="6"/>
        <v>2730</v>
      </c>
      <c r="AE12" s="335">
        <f>IFERROR($X12*VLOOKUP($U12,ESS_Item_Code!$A:$L,6,0),"item code is invalid")</f>
        <v>2205</v>
      </c>
      <c r="AF12" s="335">
        <f t="shared" si="7"/>
        <v>2205</v>
      </c>
      <c r="AG12" s="330"/>
      <c r="AH12" s="330"/>
      <c r="AI12" s="433"/>
      <c r="AJ12" s="330" t="s">
        <v>5187</v>
      </c>
      <c r="AK12" s="330" t="s">
        <v>50</v>
      </c>
      <c r="AL12" s="330">
        <v>92308</v>
      </c>
      <c r="AM12" s="330" t="s">
        <v>52</v>
      </c>
      <c r="AN12" s="433" t="s">
        <v>50</v>
      </c>
    </row>
    <row r="13" spans="1:41" s="333" customFormat="1" ht="12">
      <c r="A13" s="448"/>
      <c r="B13" s="347"/>
      <c r="C13" s="347"/>
      <c r="D13" s="433" t="s">
        <v>86</v>
      </c>
      <c r="E13" s="433"/>
      <c r="F13" s="433"/>
      <c r="G13" s="433">
        <v>2022</v>
      </c>
      <c r="H13" s="433">
        <v>4</v>
      </c>
      <c r="I13" s="433"/>
      <c r="J13" s="434"/>
      <c r="K13" s="433" t="s">
        <v>4286</v>
      </c>
      <c r="L13" s="433" t="s">
        <v>5184</v>
      </c>
      <c r="M13" s="434">
        <v>44645</v>
      </c>
      <c r="N13" s="434">
        <v>44645</v>
      </c>
      <c r="O13" s="433"/>
      <c r="P13" s="434">
        <v>44677</v>
      </c>
      <c r="Q13" s="434"/>
      <c r="R13" s="434"/>
      <c r="S13" s="433" t="s">
        <v>88</v>
      </c>
      <c r="T13" s="489" t="str">
        <f>IFERROR(VLOOKUP($U13,ESS_Item_Code!$A:$L,5,0),"item code is invalid")</f>
        <v>RSD</v>
      </c>
      <c r="U13" s="433" t="s">
        <v>258</v>
      </c>
      <c r="V13" s="448" t="str">
        <f>IFERROR(VLOOKUP($U13,ESS_Item_Code!$A:$L,2,0),"item code is invalid")</f>
        <v>Rapid Shut Module</v>
      </c>
      <c r="W13" s="351">
        <v>34</v>
      </c>
      <c r="X13" s="330">
        <v>24</v>
      </c>
      <c r="Y13" s="609">
        <f>+IFERROR($X13*VLOOKUP($U13,ESS_Item_Code!$A:$L,3,0),"item code is invalid")</f>
        <v>0</v>
      </c>
      <c r="Z13" s="331">
        <f>IFERROR($X13*VLOOKUP($U13,ESS_Item_Code!$A:$L,4,0),"item code is invalid")</f>
        <v>0</v>
      </c>
      <c r="AA13" s="332">
        <f t="shared" ref="AA13:AA62" si="8">W13*X13</f>
        <v>816</v>
      </c>
      <c r="AB13" s="330"/>
      <c r="AC13" s="330"/>
      <c r="AD13" s="609">
        <f t="shared" si="6"/>
        <v>816</v>
      </c>
      <c r="AE13" s="335">
        <f>IFERROR($X13*VLOOKUP($U13,ESS_Item_Code!$A:$L,6,0),"item code is invalid")</f>
        <v>0</v>
      </c>
      <c r="AF13" s="335">
        <f t="shared" si="7"/>
        <v>0</v>
      </c>
      <c r="AG13" s="330"/>
      <c r="AH13" s="330"/>
      <c r="AI13" s="433"/>
      <c r="AJ13" s="330" t="s">
        <v>5187</v>
      </c>
      <c r="AK13" s="330" t="s">
        <v>50</v>
      </c>
      <c r="AL13" s="330">
        <v>92308</v>
      </c>
      <c r="AM13" s="330" t="s">
        <v>52</v>
      </c>
      <c r="AN13" s="433" t="s">
        <v>50</v>
      </c>
    </row>
    <row r="14" spans="1:41" s="333" customFormat="1" ht="12">
      <c r="A14" s="448"/>
      <c r="B14" s="448"/>
      <c r="C14" s="448"/>
      <c r="D14" s="433" t="s">
        <v>86</v>
      </c>
      <c r="E14" s="433"/>
      <c r="F14" s="433"/>
      <c r="G14" s="433">
        <v>2022</v>
      </c>
      <c r="H14" s="433">
        <v>4</v>
      </c>
      <c r="I14" s="433"/>
      <c r="J14" s="434"/>
      <c r="K14" s="644" t="s">
        <v>5560</v>
      </c>
      <c r="L14" s="433" t="s">
        <v>5561</v>
      </c>
      <c r="M14" s="434">
        <v>44677</v>
      </c>
      <c r="N14" s="434">
        <v>44685</v>
      </c>
      <c r="O14" s="433"/>
      <c r="P14" s="434">
        <v>44679</v>
      </c>
      <c r="Q14" s="434"/>
      <c r="R14" s="434"/>
      <c r="S14" s="433"/>
      <c r="T14" s="489" t="str">
        <f>IFERROR(VLOOKUP($U14,ESS_Item_Code!$A:$L,5,0),"item code is invalid")</f>
        <v>System</v>
      </c>
      <c r="U14" s="433" t="s">
        <v>316</v>
      </c>
      <c r="V14" s="448" t="str">
        <f>IFERROR(VLOOKUP($U14,ESS_Item_Code!$A:$L,2,0),"item code is invalid")</f>
        <v>Q.HOME+ HYB ESS-G1 8.6/6.3</v>
      </c>
      <c r="W14" s="673">
        <v>6592</v>
      </c>
      <c r="X14" s="330">
        <v>2</v>
      </c>
      <c r="Y14" s="609">
        <f>+IFERROR($X14*VLOOKUP($U14,ESS_Item_Code!$A:$L,3,0),"item code is invalid")</f>
        <v>17.2</v>
      </c>
      <c r="Z14" s="331">
        <f>IFERROR($X14*VLOOKUP($U14,ESS_Item_Code!$A:$L,4,0),"item code is invalid")</f>
        <v>12.6</v>
      </c>
      <c r="AA14" s="332">
        <f t="shared" si="8"/>
        <v>13184</v>
      </c>
      <c r="AB14" s="330"/>
      <c r="AC14" s="330"/>
      <c r="AD14" s="609">
        <f t="shared" si="6"/>
        <v>13184</v>
      </c>
      <c r="AE14" s="335">
        <f>IFERROR($X14*VLOOKUP($U14,ESS_Item_Code!$A:$L,6,0),"item code is invalid")</f>
        <v>10782</v>
      </c>
      <c r="AF14" s="335">
        <f t="shared" si="7"/>
        <v>21564</v>
      </c>
      <c r="AG14" s="330" t="s">
        <v>1071</v>
      </c>
      <c r="AH14" s="330">
        <v>100</v>
      </c>
      <c r="AI14" s="433">
        <v>0</v>
      </c>
      <c r="AJ14" s="330" t="s">
        <v>5562</v>
      </c>
      <c r="AK14" s="330" t="s">
        <v>50</v>
      </c>
      <c r="AL14" s="330">
        <v>95501</v>
      </c>
      <c r="AM14" s="330" t="s">
        <v>52</v>
      </c>
      <c r="AN14" s="433" t="s">
        <v>50</v>
      </c>
      <c r="AO14" s="330" t="s">
        <v>1076</v>
      </c>
    </row>
    <row r="15" spans="1:41" s="333" customFormat="1" ht="12">
      <c r="A15" s="448"/>
      <c r="B15" s="448"/>
      <c r="C15" s="448"/>
      <c r="D15" s="433" t="s">
        <v>86</v>
      </c>
      <c r="E15" s="433"/>
      <c r="F15" s="433"/>
      <c r="G15" s="433">
        <v>2022</v>
      </c>
      <c r="H15" s="433">
        <v>4</v>
      </c>
      <c r="I15" s="433"/>
      <c r="J15" s="434"/>
      <c r="K15" s="644" t="s">
        <v>5731</v>
      </c>
      <c r="L15" s="433" t="s">
        <v>5732</v>
      </c>
      <c r="M15" s="434">
        <v>44680</v>
      </c>
      <c r="N15" s="434">
        <v>44680</v>
      </c>
      <c r="O15" s="433"/>
      <c r="P15" s="434">
        <v>44680</v>
      </c>
      <c r="Q15" s="434"/>
      <c r="R15" s="434"/>
      <c r="S15" s="433"/>
      <c r="T15" s="489" t="str">
        <f>IFERROR(VLOOKUP($U15,ESS_Item_Code!$A:$L,5,0),"item code is invalid")</f>
        <v>System</v>
      </c>
      <c r="U15" s="433" t="s">
        <v>306</v>
      </c>
      <c r="V15" s="448" t="str">
        <f>IFERROR(VLOOKUP($U15,ESS_Item_Code!$A:$L,2,0),"item code is invalid")</f>
        <v>Q.HOME+ HYB ESS-G1 7.6/9.0</v>
      </c>
      <c r="W15" s="334">
        <v>7455</v>
      </c>
      <c r="X15" s="330">
        <v>5</v>
      </c>
      <c r="Y15" s="609">
        <f>+IFERROR($X15*VLOOKUP($U15,ESS_Item_Code!$A:$L,3,0),"item code is invalid")</f>
        <v>38</v>
      </c>
      <c r="Z15" s="331">
        <f>IFERROR($X15*VLOOKUP($U15,ESS_Item_Code!$A:$L,4,0),"item code is invalid")</f>
        <v>45</v>
      </c>
      <c r="AA15" s="332">
        <f t="shared" si="8"/>
        <v>37275</v>
      </c>
      <c r="AB15" s="330"/>
      <c r="AC15" s="330"/>
      <c r="AD15" s="609">
        <f t="shared" si="6"/>
        <v>37275</v>
      </c>
      <c r="AE15" s="335">
        <f>IFERROR($X15*VLOOKUP($U15,ESS_Item_Code!$A:$L,6,0),"item code is invalid")</f>
        <v>29755</v>
      </c>
      <c r="AF15" s="335">
        <f t="shared" si="7"/>
        <v>148775</v>
      </c>
      <c r="AG15" s="330" t="s">
        <v>1071</v>
      </c>
      <c r="AH15" s="330">
        <v>0</v>
      </c>
      <c r="AI15" s="433">
        <v>90</v>
      </c>
      <c r="AJ15" s="330" t="s">
        <v>1756</v>
      </c>
      <c r="AK15" s="330" t="s">
        <v>50</v>
      </c>
      <c r="AL15" s="330">
        <v>92010</v>
      </c>
      <c r="AM15" s="330" t="s">
        <v>52</v>
      </c>
      <c r="AN15" s="433" t="s">
        <v>50</v>
      </c>
      <c r="AO15" s="330" t="s">
        <v>1076</v>
      </c>
    </row>
    <row r="16" spans="1:41" s="662" customFormat="1" ht="12">
      <c r="A16" s="489"/>
      <c r="B16" s="489"/>
      <c r="C16" s="489"/>
      <c r="D16" s="433" t="s">
        <v>2322</v>
      </c>
      <c r="E16" s="433"/>
      <c r="F16" s="433"/>
      <c r="G16" s="433">
        <v>2022</v>
      </c>
      <c r="H16" s="433">
        <v>3</v>
      </c>
      <c r="I16" s="433">
        <v>127704</v>
      </c>
      <c r="J16" s="434">
        <v>44650</v>
      </c>
      <c r="K16" s="433" t="s">
        <v>5745</v>
      </c>
      <c r="L16" s="433" t="s">
        <v>2373</v>
      </c>
      <c r="M16" s="434">
        <v>44649</v>
      </c>
      <c r="N16" s="434">
        <v>44649</v>
      </c>
      <c r="O16" s="434"/>
      <c r="P16" s="434">
        <v>44649</v>
      </c>
      <c r="Q16" s="434">
        <v>44650</v>
      </c>
      <c r="R16" s="434">
        <v>44652</v>
      </c>
      <c r="S16" s="433" t="s">
        <v>1563</v>
      </c>
      <c r="T16" s="489" t="str">
        <f>IFERROR(VLOOKUP($U16,ESS_Item_Code!$A:$L,5,0),"item code is invalid")</f>
        <v>System</v>
      </c>
      <c r="U16" s="433" t="s">
        <v>324</v>
      </c>
      <c r="V16" s="448" t="str">
        <f>IFERROR(VLOOKUP($U16,ESS_Item_Code!$A:$L,2,0),"item code is invalid")</f>
        <v>Q.HOME+ HYB ESS-G1 8.6/18.9</v>
      </c>
      <c r="W16" s="435">
        <v>10418.450000000001</v>
      </c>
      <c r="X16" s="433">
        <v>1</v>
      </c>
      <c r="Y16" s="609">
        <f>+IFERROR($X16*VLOOKUP($U16,ESS_Item_Code!$A:$L,3,0),"item code is invalid")</f>
        <v>8.6</v>
      </c>
      <c r="Z16" s="331">
        <f>IFERROR($X16*VLOOKUP($U16,ESS_Item_Code!$A:$L,4,0),"item code is invalid")</f>
        <v>18.899999999999999</v>
      </c>
      <c r="AA16" s="332">
        <f t="shared" si="8"/>
        <v>10418.450000000001</v>
      </c>
      <c r="AB16" s="433"/>
      <c r="AC16" s="433"/>
      <c r="AD16" s="609">
        <f t="shared" si="6"/>
        <v>10418.450000000001</v>
      </c>
      <c r="AE16" s="335">
        <f>IFERROR($X16*VLOOKUP($U16,ESS_Item_Code!$A:$L,6,0),"item code is invalid")</f>
        <v>9893</v>
      </c>
      <c r="AF16" s="335">
        <f t="shared" si="7"/>
        <v>9893</v>
      </c>
      <c r="AG16" s="433" t="s">
        <v>1071</v>
      </c>
      <c r="AH16" s="433"/>
      <c r="AI16" s="433">
        <v>30</v>
      </c>
      <c r="AJ16" s="433" t="s">
        <v>2376</v>
      </c>
      <c r="AK16" s="433" t="s">
        <v>50</v>
      </c>
      <c r="AL16" s="433">
        <v>93065</v>
      </c>
      <c r="AM16" s="433" t="s">
        <v>52</v>
      </c>
      <c r="AN16" s="433" t="s">
        <v>50</v>
      </c>
      <c r="AO16" s="433" t="s">
        <v>1076</v>
      </c>
    </row>
    <row r="17" spans="1:41" s="662" customFormat="1" ht="12">
      <c r="A17" s="489"/>
      <c r="B17" s="661">
        <v>44669</v>
      </c>
      <c r="C17" s="661">
        <v>44669</v>
      </c>
      <c r="D17" s="433" t="s">
        <v>2322</v>
      </c>
      <c r="E17" s="433"/>
      <c r="F17" s="433"/>
      <c r="G17" s="433">
        <v>2022</v>
      </c>
      <c r="H17" s="433">
        <v>4</v>
      </c>
      <c r="I17" s="433">
        <v>128254</v>
      </c>
      <c r="J17" s="434">
        <v>44679</v>
      </c>
      <c r="K17" s="433" t="s">
        <v>5730</v>
      </c>
      <c r="L17" s="433" t="s">
        <v>2373</v>
      </c>
      <c r="M17" s="434">
        <v>44665</v>
      </c>
      <c r="N17" s="434">
        <v>44665</v>
      </c>
      <c r="O17" s="434"/>
      <c r="P17" s="434">
        <v>44672</v>
      </c>
      <c r="Q17" s="434"/>
      <c r="R17" s="434"/>
      <c r="S17" s="433" t="s">
        <v>1563</v>
      </c>
      <c r="T17" s="489" t="str">
        <f>IFERROR(VLOOKUP($U17,ESS_Item_Code!$A:$L,5,0),"item code is invalid")</f>
        <v>Inverter</v>
      </c>
      <c r="U17" s="433" t="s">
        <v>209</v>
      </c>
      <c r="V17" s="448" t="str">
        <f>IFERROR(VLOOKUP($U17,ESS_Item_Code!$A:$L,2,0),"item code is invalid")</f>
        <v>Q.HOME+ HYB-G1 8.6</v>
      </c>
      <c r="W17" s="435">
        <v>2730</v>
      </c>
      <c r="X17" s="433">
        <v>1</v>
      </c>
      <c r="Y17" s="609">
        <f>+IFERROR($X17*VLOOKUP($U17,ESS_Item_Code!$A:$L,3,0),"item code is invalid")</f>
        <v>8.6</v>
      </c>
      <c r="Z17" s="331">
        <f>IFERROR($X17*VLOOKUP($U17,ESS_Item_Code!$A:$L,4,0),"item code is invalid")</f>
        <v>0</v>
      </c>
      <c r="AA17" s="332">
        <f t="shared" si="8"/>
        <v>2730</v>
      </c>
      <c r="AB17" s="433"/>
      <c r="AC17" s="433"/>
      <c r="AD17" s="609">
        <f t="shared" si="6"/>
        <v>2730</v>
      </c>
      <c r="AE17" s="335">
        <f>IFERROR($X17*VLOOKUP($U17,ESS_Item_Code!$A:$L,6,0),"item code is invalid")</f>
        <v>2205</v>
      </c>
      <c r="AF17" s="335">
        <f t="shared" si="7"/>
        <v>2205</v>
      </c>
      <c r="AG17" s="433" t="s">
        <v>1071</v>
      </c>
      <c r="AH17" s="433"/>
      <c r="AI17" s="433">
        <v>30</v>
      </c>
      <c r="AJ17" s="433" t="s">
        <v>2506</v>
      </c>
      <c r="AK17" s="433" t="s">
        <v>1084</v>
      </c>
      <c r="AL17" s="433">
        <v>33605</v>
      </c>
      <c r="AM17" s="433" t="s">
        <v>52</v>
      </c>
      <c r="AN17" s="433" t="s">
        <v>50</v>
      </c>
      <c r="AO17" s="433" t="s">
        <v>1076</v>
      </c>
    </row>
    <row r="18" spans="1:41" s="333" customFormat="1" ht="12">
      <c r="A18" s="448"/>
      <c r="B18" s="450"/>
      <c r="C18" s="450"/>
      <c r="D18" s="433" t="s">
        <v>2901</v>
      </c>
      <c r="E18" s="433"/>
      <c r="F18" s="433"/>
      <c r="G18" s="433">
        <v>2022</v>
      </c>
      <c r="H18" s="433">
        <v>5</v>
      </c>
      <c r="I18" s="433"/>
      <c r="J18" s="434"/>
      <c r="K18" s="433" t="s">
        <v>5222</v>
      </c>
      <c r="L18" s="433" t="s">
        <v>2966</v>
      </c>
      <c r="M18" s="434">
        <v>44523</v>
      </c>
      <c r="N18" s="434">
        <v>44602</v>
      </c>
      <c r="O18" s="434">
        <v>44641</v>
      </c>
      <c r="P18" s="442"/>
      <c r="Q18" s="434"/>
      <c r="R18" s="434"/>
      <c r="S18" s="433" t="s">
        <v>2904</v>
      </c>
      <c r="T18" s="489" t="str">
        <f>IFERROR(VLOOKUP($U18,ESS_Item_Code!$A:$L,5,0),"item code is invalid")</f>
        <v>Accessory</v>
      </c>
      <c r="U18" s="433" t="s">
        <v>239</v>
      </c>
      <c r="V18" s="448" t="str">
        <f>IFERROR(VLOOKUP($U18,ESS_Item_Code!$A:$L,2,0),"item code is invalid")</f>
        <v>Q.HOME+ TX-8.6</v>
      </c>
      <c r="W18" s="435">
        <v>360</v>
      </c>
      <c r="X18" s="433">
        <v>50</v>
      </c>
      <c r="Y18" s="609">
        <f>+IFERROR($X18*VLOOKUP($U18,ESS_Item_Code!$A:$L,3,0),"item code is invalid")</f>
        <v>0</v>
      </c>
      <c r="Z18" s="331">
        <f>IFERROR($X18*VLOOKUP($U18,ESS_Item_Code!$A:$L,4,0),"item code is invalid")</f>
        <v>0</v>
      </c>
      <c r="AA18" s="332">
        <f t="shared" si="8"/>
        <v>18000</v>
      </c>
      <c r="AB18" s="433"/>
      <c r="AC18" s="440"/>
      <c r="AD18" s="609">
        <f t="shared" si="6"/>
        <v>18000</v>
      </c>
      <c r="AE18" s="335">
        <f>IFERROR($X18*VLOOKUP($U18,ESS_Item_Code!$A:$L,6,0),"item code is invalid")</f>
        <v>17500</v>
      </c>
      <c r="AF18" s="335">
        <f t="shared" si="7"/>
        <v>875000</v>
      </c>
      <c r="AG18" s="433" t="s">
        <v>1071</v>
      </c>
      <c r="AH18" s="441"/>
      <c r="AI18" s="433">
        <v>60</v>
      </c>
      <c r="AJ18" s="433" t="s">
        <v>2967</v>
      </c>
      <c r="AK18" s="433" t="s">
        <v>1158</v>
      </c>
      <c r="AL18" s="433">
        <v>27604</v>
      </c>
      <c r="AM18" s="433" t="s">
        <v>52</v>
      </c>
      <c r="AN18" s="433" t="s">
        <v>50</v>
      </c>
      <c r="AO18" s="433"/>
    </row>
    <row r="19" spans="1:41" s="333" customFormat="1" ht="12">
      <c r="A19" s="448"/>
      <c r="B19" s="450"/>
      <c r="C19" s="450"/>
      <c r="D19" s="433" t="s">
        <v>2901</v>
      </c>
      <c r="E19" s="433"/>
      <c r="F19" s="433"/>
      <c r="G19" s="433">
        <v>2022</v>
      </c>
      <c r="H19" s="433">
        <v>5</v>
      </c>
      <c r="I19" s="433"/>
      <c r="J19" s="434"/>
      <c r="K19" s="433" t="s">
        <v>5222</v>
      </c>
      <c r="L19" s="433" t="s">
        <v>2966</v>
      </c>
      <c r="M19" s="434">
        <v>44523</v>
      </c>
      <c r="N19" s="434">
        <v>44602</v>
      </c>
      <c r="O19" s="434">
        <v>44641</v>
      </c>
      <c r="P19" s="442"/>
      <c r="Q19" s="434"/>
      <c r="R19" s="434"/>
      <c r="S19" s="433" t="s">
        <v>2904</v>
      </c>
      <c r="T19" s="489" t="str">
        <f>IFERROR(VLOOKUP($U19,ESS_Item_Code!$A:$L,5,0),"item code is invalid")</f>
        <v>Battery</v>
      </c>
      <c r="U19" s="433" t="s">
        <v>236</v>
      </c>
      <c r="V19" s="448" t="str">
        <f>IFERROR(VLOOKUP($U19,ESS_Item_Code!$A:$L,2,0),"item code is invalid")</f>
        <v>BAT BMS-G1</v>
      </c>
      <c r="W19" s="435">
        <v>504</v>
      </c>
      <c r="X19" s="433">
        <v>50</v>
      </c>
      <c r="Y19" s="609">
        <f>+IFERROR($X19*VLOOKUP($U19,ESS_Item_Code!$A:$L,3,0),"item code is invalid")</f>
        <v>0</v>
      </c>
      <c r="Z19" s="331">
        <f>IFERROR($X19*VLOOKUP($U19,ESS_Item_Code!$A:$L,4,0),"item code is invalid")</f>
        <v>0</v>
      </c>
      <c r="AA19" s="332">
        <f t="shared" si="8"/>
        <v>25200</v>
      </c>
      <c r="AB19" s="433"/>
      <c r="AC19" s="440"/>
      <c r="AD19" s="609">
        <f t="shared" si="6"/>
        <v>25200</v>
      </c>
      <c r="AE19" s="335">
        <f>IFERROR($X19*VLOOKUP($U19,ESS_Item_Code!$A:$L,6,0),"item code is invalid")</f>
        <v>23250</v>
      </c>
      <c r="AF19" s="335">
        <f t="shared" si="7"/>
        <v>1162500</v>
      </c>
      <c r="AG19" s="433" t="s">
        <v>1071</v>
      </c>
      <c r="AH19" s="441"/>
      <c r="AI19" s="433">
        <v>60</v>
      </c>
      <c r="AJ19" s="433" t="s">
        <v>2967</v>
      </c>
      <c r="AK19" s="433" t="s">
        <v>1158</v>
      </c>
      <c r="AL19" s="433">
        <v>27604</v>
      </c>
      <c r="AM19" s="433" t="s">
        <v>52</v>
      </c>
      <c r="AN19" s="433" t="s">
        <v>50</v>
      </c>
      <c r="AO19" s="433"/>
    </row>
    <row r="20" spans="1:41" s="333" customFormat="1" ht="12">
      <c r="A20" s="448"/>
      <c r="B20" s="450"/>
      <c r="C20" s="450"/>
      <c r="D20" s="433" t="s">
        <v>2901</v>
      </c>
      <c r="E20" s="433"/>
      <c r="F20" s="433"/>
      <c r="G20" s="433">
        <v>2022</v>
      </c>
      <c r="H20" s="433">
        <v>5</v>
      </c>
      <c r="I20" s="433"/>
      <c r="J20" s="434"/>
      <c r="K20" s="433" t="s">
        <v>5222</v>
      </c>
      <c r="L20" s="433" t="s">
        <v>2966</v>
      </c>
      <c r="M20" s="434">
        <v>44523</v>
      </c>
      <c r="N20" s="434">
        <v>44602</v>
      </c>
      <c r="O20" s="434">
        <v>44641</v>
      </c>
      <c r="P20" s="442"/>
      <c r="Q20" s="434"/>
      <c r="R20" s="434"/>
      <c r="S20" s="433" t="s">
        <v>2904</v>
      </c>
      <c r="T20" s="489" t="str">
        <f>IFERROR(VLOOKUP($U20,ESS_Item_Code!$A:$L,5,0),"item code is invalid")</f>
        <v>Inverter</v>
      </c>
      <c r="U20" s="433" t="s">
        <v>205</v>
      </c>
      <c r="V20" s="448" t="str">
        <f>IFERROR(VLOOKUP($U20,ESS_Item_Code!$A:$L,2,0),"item code is invalid")</f>
        <v>Q.HOME+ HYB-G1 7.6</v>
      </c>
      <c r="W20" s="435">
        <v>1935</v>
      </c>
      <c r="X20" s="433">
        <v>50</v>
      </c>
      <c r="Y20" s="609">
        <f>+IFERROR($X20*VLOOKUP($U20,ESS_Item_Code!$A:$L,3,0),"item code is invalid")</f>
        <v>380</v>
      </c>
      <c r="Z20" s="331">
        <f>IFERROR($X20*VLOOKUP($U20,ESS_Item_Code!$A:$L,4,0),"item code is invalid")</f>
        <v>0</v>
      </c>
      <c r="AA20" s="332">
        <f t="shared" si="8"/>
        <v>96750</v>
      </c>
      <c r="AB20" s="433"/>
      <c r="AC20" s="440"/>
      <c r="AD20" s="609">
        <f t="shared" si="6"/>
        <v>96750</v>
      </c>
      <c r="AE20" s="335">
        <f>IFERROR($X20*VLOOKUP($U20,ESS_Item_Code!$A:$L,6,0),"item code is invalid")</f>
        <v>88000</v>
      </c>
      <c r="AF20" s="335">
        <f t="shared" si="7"/>
        <v>4400000</v>
      </c>
      <c r="AG20" s="433" t="s">
        <v>1071</v>
      </c>
      <c r="AH20" s="441"/>
      <c r="AI20" s="433">
        <v>60</v>
      </c>
      <c r="AJ20" s="433" t="s">
        <v>2967</v>
      </c>
      <c r="AK20" s="433" t="s">
        <v>1158</v>
      </c>
      <c r="AL20" s="433">
        <v>27604</v>
      </c>
      <c r="AM20" s="433" t="s">
        <v>52</v>
      </c>
      <c r="AN20" s="433" t="s">
        <v>50</v>
      </c>
      <c r="AO20" s="433"/>
    </row>
    <row r="21" spans="1:41" s="333" customFormat="1" ht="12">
      <c r="A21" s="448"/>
      <c r="B21" s="450"/>
      <c r="C21" s="450"/>
      <c r="D21" s="433" t="s">
        <v>2901</v>
      </c>
      <c r="E21" s="433"/>
      <c r="F21" s="433"/>
      <c r="G21" s="433">
        <v>2022</v>
      </c>
      <c r="H21" s="433">
        <v>5</v>
      </c>
      <c r="I21" s="433"/>
      <c r="J21" s="434"/>
      <c r="K21" s="433" t="s">
        <v>5222</v>
      </c>
      <c r="L21" s="433" t="s">
        <v>2966</v>
      </c>
      <c r="M21" s="434">
        <v>44523</v>
      </c>
      <c r="N21" s="434">
        <v>44602</v>
      </c>
      <c r="O21" s="434">
        <v>44641</v>
      </c>
      <c r="P21" s="442"/>
      <c r="Q21" s="434"/>
      <c r="R21" s="434"/>
      <c r="S21" s="433" t="s">
        <v>2904</v>
      </c>
      <c r="T21" s="489" t="str">
        <f>IFERROR(VLOOKUP($U21,ESS_Item_Code!$A:$L,5,0),"item code is invalid")</f>
        <v>Battery</v>
      </c>
      <c r="U21" s="433" t="s">
        <v>233</v>
      </c>
      <c r="V21" s="448" t="str">
        <f>IFERROR(VLOOKUP($U21,ESS_Item_Code!$A:$L,2,0),"item code is invalid")</f>
        <v>BAT63</v>
      </c>
      <c r="W21" s="435">
        <v>2484</v>
      </c>
      <c r="X21" s="433">
        <v>100</v>
      </c>
      <c r="Y21" s="609">
        <f>+IFERROR($X21*VLOOKUP($U21,ESS_Item_Code!$A:$L,3,0),"item code is invalid")</f>
        <v>0</v>
      </c>
      <c r="Z21" s="331">
        <f>IFERROR($X21*VLOOKUP($U21,ESS_Item_Code!$A:$L,4,0),"item code is invalid")</f>
        <v>630</v>
      </c>
      <c r="AA21" s="332">
        <f t="shared" si="8"/>
        <v>248400</v>
      </c>
      <c r="AB21" s="433"/>
      <c r="AC21" s="440"/>
      <c r="AD21" s="609">
        <f t="shared" si="6"/>
        <v>248400</v>
      </c>
      <c r="AE21" s="335">
        <f>IFERROR($X21*VLOOKUP($U21,ESS_Item_Code!$A:$L,6,0),"item code is invalid")</f>
        <v>225100</v>
      </c>
      <c r="AF21" s="335">
        <f t="shared" si="7"/>
        <v>22510000</v>
      </c>
      <c r="AG21" s="433" t="s">
        <v>1071</v>
      </c>
      <c r="AH21" s="441"/>
      <c r="AI21" s="433">
        <v>60</v>
      </c>
      <c r="AJ21" s="433" t="s">
        <v>2967</v>
      </c>
      <c r="AK21" s="433" t="s">
        <v>1158</v>
      </c>
      <c r="AL21" s="433">
        <v>27604</v>
      </c>
      <c r="AM21" s="433" t="s">
        <v>52</v>
      </c>
      <c r="AN21" s="433" t="s">
        <v>50</v>
      </c>
      <c r="AO21" s="433"/>
    </row>
    <row r="22" spans="1:41" s="333" customFormat="1" ht="12">
      <c r="A22" s="448"/>
      <c r="B22" s="450"/>
      <c r="C22" s="450"/>
      <c r="D22" s="433" t="s">
        <v>2901</v>
      </c>
      <c r="E22" s="433"/>
      <c r="F22" s="433"/>
      <c r="G22" s="433">
        <v>2022</v>
      </c>
      <c r="H22" s="433">
        <v>5</v>
      </c>
      <c r="I22" s="433"/>
      <c r="J22" s="434"/>
      <c r="K22" s="433" t="s">
        <v>5222</v>
      </c>
      <c r="L22" s="433" t="s">
        <v>2966</v>
      </c>
      <c r="M22" s="434">
        <v>44888</v>
      </c>
      <c r="N22" s="434">
        <v>44563</v>
      </c>
      <c r="O22" s="434">
        <v>44641</v>
      </c>
      <c r="P22" s="442"/>
      <c r="Q22" s="434"/>
      <c r="R22" s="434"/>
      <c r="S22" s="433" t="s">
        <v>2904</v>
      </c>
      <c r="T22" s="489" t="str">
        <f>IFERROR(VLOOKUP($U22,ESS_Item_Code!$A:$L,5,0),"item code is invalid")</f>
        <v>RSD</v>
      </c>
      <c r="U22" s="433" t="s">
        <v>258</v>
      </c>
      <c r="V22" s="448" t="str">
        <f>IFERROR(VLOOKUP($U22,ESS_Item_Code!$A:$L,2,0),"item code is invalid")</f>
        <v>Rapid Shut Module</v>
      </c>
      <c r="W22" s="435">
        <v>34</v>
      </c>
      <c r="X22" s="433">
        <v>648</v>
      </c>
      <c r="Y22" s="609">
        <f>+IFERROR($X22*VLOOKUP($U22,ESS_Item_Code!$A:$L,3,0),"item code is invalid")</f>
        <v>0</v>
      </c>
      <c r="Z22" s="331">
        <f>IFERROR($X22*VLOOKUP($U22,ESS_Item_Code!$A:$L,4,0),"item code is invalid")</f>
        <v>0</v>
      </c>
      <c r="AA22" s="332">
        <f t="shared" si="8"/>
        <v>22032</v>
      </c>
      <c r="AB22" s="433"/>
      <c r="AC22" s="440"/>
      <c r="AD22" s="609">
        <f t="shared" si="6"/>
        <v>22032</v>
      </c>
      <c r="AE22" s="335">
        <f>IFERROR($X22*VLOOKUP($U22,ESS_Item_Code!$A:$L,6,0),"item code is invalid")</f>
        <v>0</v>
      </c>
      <c r="AF22" s="335">
        <f t="shared" si="7"/>
        <v>0</v>
      </c>
      <c r="AG22" s="433" t="s">
        <v>1071</v>
      </c>
      <c r="AH22" s="441"/>
      <c r="AI22" s="433">
        <v>60</v>
      </c>
      <c r="AJ22" s="433" t="s">
        <v>2967</v>
      </c>
      <c r="AK22" s="433" t="s">
        <v>1158</v>
      </c>
      <c r="AL22" s="433">
        <v>27604</v>
      </c>
      <c r="AM22" s="433" t="s">
        <v>52</v>
      </c>
      <c r="AN22" s="433" t="s">
        <v>50</v>
      </c>
      <c r="AO22" s="433"/>
    </row>
    <row r="23" spans="1:41" s="333" customFormat="1" ht="12">
      <c r="A23" s="448"/>
      <c r="B23" s="450"/>
      <c r="C23" s="450"/>
      <c r="D23" s="433" t="s">
        <v>2901</v>
      </c>
      <c r="E23" s="433"/>
      <c r="F23" s="433"/>
      <c r="G23" s="433">
        <v>2022</v>
      </c>
      <c r="H23" s="433">
        <v>5</v>
      </c>
      <c r="I23" s="433"/>
      <c r="J23" s="434"/>
      <c r="K23" s="433" t="s">
        <v>5222</v>
      </c>
      <c r="L23" s="433" t="s">
        <v>2966</v>
      </c>
      <c r="M23" s="434">
        <v>44523</v>
      </c>
      <c r="N23" s="434">
        <v>44602</v>
      </c>
      <c r="O23" s="434">
        <v>44641</v>
      </c>
      <c r="P23" s="442"/>
      <c r="Q23" s="434"/>
      <c r="R23" s="434"/>
      <c r="S23" s="433" t="s">
        <v>2904</v>
      </c>
      <c r="T23" s="489" t="str">
        <f>IFERROR(VLOOKUP($U23,ESS_Item_Code!$A:$L,5,0),"item code is invalid")</f>
        <v>Accessory</v>
      </c>
      <c r="U23" s="433" t="s">
        <v>251</v>
      </c>
      <c r="V23" s="448" t="str">
        <f>IFERROR(VLOOKUP($U23,ESS_Item_Code!$A:$L,2,0),"item code is invalid")</f>
        <v>Wifi module</v>
      </c>
      <c r="W23" s="435">
        <v>45</v>
      </c>
      <c r="X23" s="433">
        <v>50</v>
      </c>
      <c r="Y23" s="609">
        <f>+IFERROR($X23*VLOOKUP($U23,ESS_Item_Code!$A:$L,3,0),"item code is invalid")</f>
        <v>0</v>
      </c>
      <c r="Z23" s="331">
        <f>IFERROR($X23*VLOOKUP($U23,ESS_Item_Code!$A:$L,4,0),"item code is invalid")</f>
        <v>0</v>
      </c>
      <c r="AA23" s="332">
        <f t="shared" si="8"/>
        <v>2250</v>
      </c>
      <c r="AB23" s="433"/>
      <c r="AC23" s="440"/>
      <c r="AD23" s="609">
        <f t="shared" si="6"/>
        <v>2250</v>
      </c>
      <c r="AE23" s="335">
        <f>IFERROR($X23*VLOOKUP($U23,ESS_Item_Code!$A:$L,6,0),"item code is invalid")</f>
        <v>2000</v>
      </c>
      <c r="AF23" s="335">
        <f t="shared" si="7"/>
        <v>100000</v>
      </c>
      <c r="AG23" s="433" t="s">
        <v>1071</v>
      </c>
      <c r="AH23" s="441"/>
      <c r="AI23" s="433">
        <v>60</v>
      </c>
      <c r="AJ23" s="433" t="s">
        <v>2967</v>
      </c>
      <c r="AK23" s="433" t="s">
        <v>1158</v>
      </c>
      <c r="AL23" s="433">
        <v>27604</v>
      </c>
      <c r="AM23" s="433" t="s">
        <v>52</v>
      </c>
      <c r="AN23" s="433" t="s">
        <v>50</v>
      </c>
      <c r="AO23" s="433"/>
    </row>
    <row r="24" spans="1:41" s="333" customFormat="1" ht="12">
      <c r="A24" s="451"/>
      <c r="B24" s="452"/>
      <c r="C24" s="452"/>
      <c r="D24" s="453" t="s">
        <v>2901</v>
      </c>
      <c r="E24" s="453"/>
      <c r="F24" s="453"/>
      <c r="G24" s="453">
        <v>2022</v>
      </c>
      <c r="H24" s="433">
        <v>5</v>
      </c>
      <c r="I24" s="453"/>
      <c r="J24" s="454"/>
      <c r="K24" s="453" t="s">
        <v>5222</v>
      </c>
      <c r="L24" s="453" t="s">
        <v>2966</v>
      </c>
      <c r="M24" s="454">
        <v>44523</v>
      </c>
      <c r="N24" s="454">
        <v>44602</v>
      </c>
      <c r="O24" s="434">
        <v>44641</v>
      </c>
      <c r="P24" s="455"/>
      <c r="Q24" s="454"/>
      <c r="R24" s="454"/>
      <c r="S24" s="453" t="s">
        <v>2904</v>
      </c>
      <c r="T24" s="489" t="str">
        <f>IFERROR(VLOOKUP($U24,ESS_Item_Code!$A:$L,5,0),"item code is invalid")</f>
        <v>EMS</v>
      </c>
      <c r="U24" s="453" t="s">
        <v>254</v>
      </c>
      <c r="V24" s="448" t="str">
        <f>IFERROR(VLOOKUP($U24,ESS_Item_Code!$A:$L,2,0),"item code is invalid")</f>
        <v>Meter set</v>
      </c>
      <c r="W24" s="456">
        <v>90</v>
      </c>
      <c r="X24" s="453">
        <v>50</v>
      </c>
      <c r="Y24" s="609">
        <f>+IFERROR($X24*VLOOKUP($U24,ESS_Item_Code!$A:$L,3,0),"item code is invalid")</f>
        <v>0</v>
      </c>
      <c r="Z24" s="331">
        <f>IFERROR($X24*VLOOKUP($U24,ESS_Item_Code!$A:$L,4,0),"item code is invalid")</f>
        <v>0</v>
      </c>
      <c r="AA24" s="332">
        <f t="shared" si="8"/>
        <v>4500</v>
      </c>
      <c r="AB24" s="453"/>
      <c r="AC24" s="457"/>
      <c r="AD24" s="609">
        <f t="shared" si="6"/>
        <v>4500</v>
      </c>
      <c r="AE24" s="335">
        <f>IFERROR($X24*VLOOKUP($U24,ESS_Item_Code!$A:$L,6,0),"item code is invalid")</f>
        <v>4000</v>
      </c>
      <c r="AF24" s="335">
        <f t="shared" si="7"/>
        <v>200000</v>
      </c>
      <c r="AG24" s="453" t="s">
        <v>1071</v>
      </c>
      <c r="AH24" s="458"/>
      <c r="AI24" s="453">
        <v>60</v>
      </c>
      <c r="AJ24" s="453" t="s">
        <v>2967</v>
      </c>
      <c r="AK24" s="453" t="s">
        <v>1158</v>
      </c>
      <c r="AL24" s="453">
        <v>27604</v>
      </c>
      <c r="AM24" s="453" t="s">
        <v>52</v>
      </c>
      <c r="AN24" s="453" t="s">
        <v>50</v>
      </c>
      <c r="AO24" s="453"/>
    </row>
    <row r="25" spans="1:41" s="333" customFormat="1" ht="12">
      <c r="A25" s="448"/>
      <c r="B25" s="450"/>
      <c r="C25" s="450"/>
      <c r="D25" s="433" t="s">
        <v>2901</v>
      </c>
      <c r="E25" s="433"/>
      <c r="F25" s="433"/>
      <c r="G25" s="433">
        <v>2022</v>
      </c>
      <c r="H25" s="433">
        <v>5</v>
      </c>
      <c r="I25" s="433"/>
      <c r="J25" s="434"/>
      <c r="K25" s="433" t="s">
        <v>5222</v>
      </c>
      <c r="L25" s="433" t="s">
        <v>2966</v>
      </c>
      <c r="M25" s="434">
        <v>44523</v>
      </c>
      <c r="N25" s="434">
        <v>44602</v>
      </c>
      <c r="O25" s="434">
        <v>44641</v>
      </c>
      <c r="P25" s="442"/>
      <c r="Q25" s="434"/>
      <c r="R25" s="434"/>
      <c r="S25" s="433" t="s">
        <v>2904</v>
      </c>
      <c r="T25" s="489" t="str">
        <f>IFERROR(VLOOKUP($U25,ESS_Item_Code!$A:$L,5,0),"item code is invalid")</f>
        <v>Accessory</v>
      </c>
      <c r="U25" s="433" t="s">
        <v>244</v>
      </c>
      <c r="V25" s="448" t="str">
        <f>IFERROR(VLOOKUP($U25,ESS_Item_Code!$A:$L,2,0),"item code is invalid")</f>
        <v>Battery Accessory box , Master control Accessory</v>
      </c>
      <c r="W25" s="435">
        <v>0</v>
      </c>
      <c r="X25" s="433">
        <v>50</v>
      </c>
      <c r="Y25" s="609">
        <f>+IFERROR($X25*VLOOKUP($U25,ESS_Item_Code!$A:$L,3,0),"item code is invalid")</f>
        <v>0</v>
      </c>
      <c r="Z25" s="331">
        <f>IFERROR($X25*VLOOKUP($U25,ESS_Item_Code!$A:$L,4,0),"item code is invalid")</f>
        <v>0</v>
      </c>
      <c r="AA25" s="332">
        <f t="shared" si="8"/>
        <v>0</v>
      </c>
      <c r="AB25" s="433"/>
      <c r="AC25" s="440"/>
      <c r="AD25" s="609">
        <f t="shared" si="6"/>
        <v>0</v>
      </c>
      <c r="AE25" s="335" t="str">
        <f>IFERROR($X25*VLOOKUP($U25,ESS_Item_Code!$A:$L,6,0),"item code is invalid")</f>
        <v>item code is invalid</v>
      </c>
      <c r="AF25" s="335" t="e">
        <f t="shared" si="7"/>
        <v>#VALUE!</v>
      </c>
      <c r="AG25" s="433" t="s">
        <v>1071</v>
      </c>
      <c r="AH25" s="441"/>
      <c r="AI25" s="433">
        <v>60</v>
      </c>
      <c r="AJ25" s="433" t="s">
        <v>2967</v>
      </c>
      <c r="AK25" s="433" t="s">
        <v>1158</v>
      </c>
      <c r="AL25" s="433">
        <v>27604</v>
      </c>
      <c r="AM25" s="433" t="s">
        <v>52</v>
      </c>
      <c r="AN25" s="433" t="s">
        <v>50</v>
      </c>
      <c r="AO25" s="433"/>
    </row>
    <row r="26" spans="1:41" s="448" customFormat="1" ht="12">
      <c r="B26" s="450"/>
      <c r="C26" s="450"/>
      <c r="D26" s="433" t="s">
        <v>2901</v>
      </c>
      <c r="E26" s="433"/>
      <c r="F26" s="433"/>
      <c r="G26" s="433">
        <v>2022</v>
      </c>
      <c r="H26" s="433">
        <v>5</v>
      </c>
      <c r="I26" s="433"/>
      <c r="J26" s="434"/>
      <c r="K26" s="433" t="s">
        <v>5222</v>
      </c>
      <c r="L26" s="433" t="s">
        <v>2966</v>
      </c>
      <c r="M26" s="434">
        <v>44523</v>
      </c>
      <c r="N26" s="434">
        <v>44602</v>
      </c>
      <c r="O26" s="434">
        <v>44641</v>
      </c>
      <c r="P26" s="442"/>
      <c r="Q26" s="434"/>
      <c r="R26" s="434"/>
      <c r="S26" s="433" t="s">
        <v>2904</v>
      </c>
      <c r="T26" s="489" t="str">
        <f>IFERROR(VLOOKUP($U26,ESS_Item_Code!$A:$L,5,0),"item code is invalid")</f>
        <v>Accessory</v>
      </c>
      <c r="U26" s="433" t="s">
        <v>248</v>
      </c>
      <c r="V26" s="448" t="str">
        <f>IFERROR(VLOOKUP($U26,ESS_Item_Code!$A:$L,2,0),"item code is invalid")</f>
        <v>Battery Accessory box , Slave control Accessory</v>
      </c>
      <c r="W26" s="435">
        <v>0</v>
      </c>
      <c r="X26" s="433">
        <v>50</v>
      </c>
      <c r="Y26" s="609">
        <f>+IFERROR($X26*VLOOKUP($U26,ESS_Item_Code!$A:$L,3,0),"item code is invalid")</f>
        <v>0</v>
      </c>
      <c r="Z26" s="331">
        <f>IFERROR($X26*VLOOKUP($U26,ESS_Item_Code!$A:$L,4,0),"item code is invalid")</f>
        <v>0</v>
      </c>
      <c r="AA26" s="332">
        <f t="shared" si="8"/>
        <v>0</v>
      </c>
      <c r="AB26" s="433"/>
      <c r="AC26" s="440"/>
      <c r="AD26" s="609">
        <f t="shared" si="6"/>
        <v>0</v>
      </c>
      <c r="AE26" s="335" t="str">
        <f>IFERROR($X26*VLOOKUP($U26,ESS_Item_Code!$A:$L,6,0),"item code is invalid")</f>
        <v>item code is invalid</v>
      </c>
      <c r="AF26" s="335" t="e">
        <f t="shared" si="7"/>
        <v>#VALUE!</v>
      </c>
      <c r="AG26" s="433" t="s">
        <v>1071</v>
      </c>
      <c r="AH26" s="441"/>
      <c r="AI26" s="433">
        <v>60</v>
      </c>
      <c r="AJ26" s="433" t="s">
        <v>2967</v>
      </c>
      <c r="AK26" s="433" t="s">
        <v>1158</v>
      </c>
      <c r="AL26" s="433">
        <v>27604</v>
      </c>
      <c r="AM26" s="433" t="s">
        <v>52</v>
      </c>
      <c r="AN26" s="433" t="s">
        <v>50</v>
      </c>
      <c r="AO26" s="433"/>
    </row>
    <row r="27" spans="1:41" s="333" customFormat="1" ht="12">
      <c r="A27" s="459"/>
      <c r="B27" s="460"/>
      <c r="C27" s="460"/>
      <c r="D27" s="461" t="s">
        <v>2901</v>
      </c>
      <c r="E27" s="461" t="s">
        <v>5223</v>
      </c>
      <c r="F27" s="461"/>
      <c r="G27" s="461">
        <v>2022</v>
      </c>
      <c r="H27" s="433">
        <v>5</v>
      </c>
      <c r="I27" s="461"/>
      <c r="J27" s="462"/>
      <c r="K27" s="461" t="s">
        <v>5224</v>
      </c>
      <c r="L27" s="461" t="s">
        <v>2966</v>
      </c>
      <c r="M27" s="462">
        <v>44540</v>
      </c>
      <c r="N27" s="462">
        <v>44617</v>
      </c>
      <c r="O27" s="434">
        <v>44651</v>
      </c>
      <c r="P27" s="463"/>
      <c r="Q27" s="462"/>
      <c r="R27" s="462"/>
      <c r="S27" s="461" t="s">
        <v>2904</v>
      </c>
      <c r="T27" s="489" t="str">
        <f>IFERROR(VLOOKUP($U27,ESS_Item_Code!$A:$L,5,0),"item code is invalid")</f>
        <v>Accessory</v>
      </c>
      <c r="U27" s="461" t="s">
        <v>239</v>
      </c>
      <c r="V27" s="448" t="str">
        <f>IFERROR(VLOOKUP($U27,ESS_Item_Code!$A:$L,2,0),"item code is invalid")</f>
        <v>Q.HOME+ TX-8.6</v>
      </c>
      <c r="W27" s="464">
        <v>360</v>
      </c>
      <c r="X27" s="461">
        <v>50</v>
      </c>
      <c r="Y27" s="609">
        <f>+IFERROR($X27*VLOOKUP($U27,ESS_Item_Code!$A:$L,3,0),"item code is invalid")</f>
        <v>0</v>
      </c>
      <c r="Z27" s="331">
        <f>IFERROR($X27*VLOOKUP($U27,ESS_Item_Code!$A:$L,4,0),"item code is invalid")</f>
        <v>0</v>
      </c>
      <c r="AA27" s="332">
        <f t="shared" si="8"/>
        <v>18000</v>
      </c>
      <c r="AB27" s="461"/>
      <c r="AC27" s="465"/>
      <c r="AD27" s="609">
        <f t="shared" si="6"/>
        <v>18000</v>
      </c>
      <c r="AE27" s="335">
        <f>IFERROR($X27*VLOOKUP($U27,ESS_Item_Code!$A:$L,6,0),"item code is invalid")</f>
        <v>17500</v>
      </c>
      <c r="AF27" s="335">
        <f t="shared" si="7"/>
        <v>875000</v>
      </c>
      <c r="AG27" s="461" t="s">
        <v>1071</v>
      </c>
      <c r="AH27" s="466"/>
      <c r="AI27" s="461">
        <v>60</v>
      </c>
      <c r="AJ27" s="461" t="s">
        <v>2967</v>
      </c>
      <c r="AK27" s="461" t="s">
        <v>1158</v>
      </c>
      <c r="AL27" s="461">
        <v>27604</v>
      </c>
      <c r="AM27" s="461" t="s">
        <v>52</v>
      </c>
      <c r="AN27" s="461" t="s">
        <v>50</v>
      </c>
      <c r="AO27" s="461"/>
    </row>
    <row r="28" spans="1:41" s="333" customFormat="1" ht="12">
      <c r="A28" s="448"/>
      <c r="B28" s="450"/>
      <c r="C28" s="450"/>
      <c r="D28" s="433" t="s">
        <v>2901</v>
      </c>
      <c r="E28" s="433" t="s">
        <v>5223</v>
      </c>
      <c r="F28" s="433"/>
      <c r="G28" s="433">
        <v>2022</v>
      </c>
      <c r="H28" s="433">
        <v>5</v>
      </c>
      <c r="I28" s="433"/>
      <c r="J28" s="434"/>
      <c r="K28" s="433" t="s">
        <v>5224</v>
      </c>
      <c r="L28" s="433" t="s">
        <v>2966</v>
      </c>
      <c r="M28" s="434">
        <v>44540</v>
      </c>
      <c r="N28" s="434">
        <v>44617</v>
      </c>
      <c r="O28" s="434">
        <v>44651</v>
      </c>
      <c r="P28" s="442"/>
      <c r="Q28" s="434"/>
      <c r="R28" s="434"/>
      <c r="S28" s="433" t="s">
        <v>2904</v>
      </c>
      <c r="T28" s="489" t="str">
        <f>IFERROR(VLOOKUP($U28,ESS_Item_Code!$A:$L,5,0),"item code is invalid")</f>
        <v>Battery</v>
      </c>
      <c r="U28" s="433" t="s">
        <v>236</v>
      </c>
      <c r="V28" s="448" t="str">
        <f>IFERROR(VLOOKUP($U28,ESS_Item_Code!$A:$L,2,0),"item code is invalid")</f>
        <v>BAT BMS-G1</v>
      </c>
      <c r="W28" s="435">
        <v>504</v>
      </c>
      <c r="X28" s="433">
        <v>50</v>
      </c>
      <c r="Y28" s="609">
        <f>+IFERROR($X28*VLOOKUP($U28,ESS_Item_Code!$A:$L,3,0),"item code is invalid")</f>
        <v>0</v>
      </c>
      <c r="Z28" s="331">
        <f>IFERROR($X28*VLOOKUP($U28,ESS_Item_Code!$A:$L,4,0),"item code is invalid")</f>
        <v>0</v>
      </c>
      <c r="AA28" s="332">
        <f t="shared" si="8"/>
        <v>25200</v>
      </c>
      <c r="AB28" s="433"/>
      <c r="AC28" s="440"/>
      <c r="AD28" s="609">
        <f t="shared" si="6"/>
        <v>25200</v>
      </c>
      <c r="AE28" s="335">
        <f>IFERROR($X28*VLOOKUP($U28,ESS_Item_Code!$A:$L,6,0),"item code is invalid")</f>
        <v>23250</v>
      </c>
      <c r="AF28" s="335">
        <f t="shared" si="7"/>
        <v>1162500</v>
      </c>
      <c r="AG28" s="433" t="s">
        <v>1071</v>
      </c>
      <c r="AH28" s="441"/>
      <c r="AI28" s="433">
        <v>60</v>
      </c>
      <c r="AJ28" s="433" t="s">
        <v>2967</v>
      </c>
      <c r="AK28" s="433" t="s">
        <v>1158</v>
      </c>
      <c r="AL28" s="433">
        <v>27604</v>
      </c>
      <c r="AM28" s="433" t="s">
        <v>52</v>
      </c>
      <c r="AN28" s="433" t="s">
        <v>50</v>
      </c>
      <c r="AO28" s="433"/>
    </row>
    <row r="29" spans="1:41" s="333" customFormat="1" ht="12">
      <c r="A29" s="448"/>
      <c r="B29" s="450"/>
      <c r="C29" s="450"/>
      <c r="D29" s="433" t="s">
        <v>2901</v>
      </c>
      <c r="E29" s="433" t="s">
        <v>5223</v>
      </c>
      <c r="F29" s="433"/>
      <c r="G29" s="433">
        <v>2022</v>
      </c>
      <c r="H29" s="433">
        <v>5</v>
      </c>
      <c r="I29" s="433"/>
      <c r="J29" s="434"/>
      <c r="K29" s="433" t="s">
        <v>5224</v>
      </c>
      <c r="L29" s="433" t="s">
        <v>2966</v>
      </c>
      <c r="M29" s="434">
        <v>44540</v>
      </c>
      <c r="N29" s="434">
        <v>44617</v>
      </c>
      <c r="O29" s="434">
        <v>44651</v>
      </c>
      <c r="P29" s="442"/>
      <c r="Q29" s="434"/>
      <c r="R29" s="434"/>
      <c r="S29" s="433" t="s">
        <v>2904</v>
      </c>
      <c r="T29" s="489" t="str">
        <f>IFERROR(VLOOKUP($U29,ESS_Item_Code!$A:$L,5,0),"item code is invalid")</f>
        <v>Inverter</v>
      </c>
      <c r="U29" s="433" t="s">
        <v>205</v>
      </c>
      <c r="V29" s="448" t="str">
        <f>IFERROR(VLOOKUP($U29,ESS_Item_Code!$A:$L,2,0),"item code is invalid")</f>
        <v>Q.HOME+ HYB-G1 7.6</v>
      </c>
      <c r="W29" s="435">
        <v>1935</v>
      </c>
      <c r="X29" s="433">
        <v>50</v>
      </c>
      <c r="Y29" s="609">
        <f>+IFERROR($X29*VLOOKUP($U29,ESS_Item_Code!$A:$L,3,0),"item code is invalid")</f>
        <v>380</v>
      </c>
      <c r="Z29" s="331">
        <f>IFERROR($X29*VLOOKUP($U29,ESS_Item_Code!$A:$L,4,0),"item code is invalid")</f>
        <v>0</v>
      </c>
      <c r="AA29" s="332">
        <f t="shared" si="8"/>
        <v>96750</v>
      </c>
      <c r="AB29" s="433"/>
      <c r="AC29" s="440"/>
      <c r="AD29" s="609">
        <f t="shared" si="6"/>
        <v>96750</v>
      </c>
      <c r="AE29" s="335">
        <f>IFERROR($X29*VLOOKUP($U29,ESS_Item_Code!$A:$L,6,0),"item code is invalid")</f>
        <v>88000</v>
      </c>
      <c r="AF29" s="335">
        <f t="shared" si="7"/>
        <v>4400000</v>
      </c>
      <c r="AG29" s="433" t="s">
        <v>1071</v>
      </c>
      <c r="AH29" s="441"/>
      <c r="AI29" s="433">
        <v>60</v>
      </c>
      <c r="AJ29" s="433" t="s">
        <v>2967</v>
      </c>
      <c r="AK29" s="433" t="s">
        <v>1158</v>
      </c>
      <c r="AL29" s="433">
        <v>27604</v>
      </c>
      <c r="AM29" s="433" t="s">
        <v>52</v>
      </c>
      <c r="AN29" s="433" t="s">
        <v>50</v>
      </c>
      <c r="AO29" s="433"/>
    </row>
    <row r="30" spans="1:41" s="333" customFormat="1" ht="12">
      <c r="A30" s="448"/>
      <c r="B30" s="450"/>
      <c r="C30" s="450"/>
      <c r="D30" s="433" t="s">
        <v>2901</v>
      </c>
      <c r="E30" s="433" t="s">
        <v>5223</v>
      </c>
      <c r="F30" s="433"/>
      <c r="G30" s="433">
        <v>2022</v>
      </c>
      <c r="H30" s="433">
        <v>5</v>
      </c>
      <c r="I30" s="433"/>
      <c r="J30" s="434"/>
      <c r="K30" s="433" t="s">
        <v>5224</v>
      </c>
      <c r="L30" s="433" t="s">
        <v>2966</v>
      </c>
      <c r="M30" s="434">
        <v>44540</v>
      </c>
      <c r="N30" s="434">
        <v>44617</v>
      </c>
      <c r="O30" s="434">
        <v>44651</v>
      </c>
      <c r="P30" s="442"/>
      <c r="Q30" s="434"/>
      <c r="R30" s="434"/>
      <c r="S30" s="433" t="s">
        <v>2904</v>
      </c>
      <c r="T30" s="489" t="str">
        <f>IFERROR(VLOOKUP($U30,ESS_Item_Code!$A:$L,5,0),"item code is invalid")</f>
        <v>Battery</v>
      </c>
      <c r="U30" s="433" t="s">
        <v>233</v>
      </c>
      <c r="V30" s="448" t="str">
        <f>IFERROR(VLOOKUP($U30,ESS_Item_Code!$A:$L,2,0),"item code is invalid")</f>
        <v>BAT63</v>
      </c>
      <c r="W30" s="435">
        <v>2484</v>
      </c>
      <c r="X30" s="433">
        <v>100</v>
      </c>
      <c r="Y30" s="609">
        <f>+IFERROR($X30*VLOOKUP($U30,ESS_Item_Code!$A:$L,3,0),"item code is invalid")</f>
        <v>0</v>
      </c>
      <c r="Z30" s="331">
        <f>IFERROR($X30*VLOOKUP($U30,ESS_Item_Code!$A:$L,4,0),"item code is invalid")</f>
        <v>630</v>
      </c>
      <c r="AA30" s="332">
        <f t="shared" si="8"/>
        <v>248400</v>
      </c>
      <c r="AB30" s="433"/>
      <c r="AC30" s="440"/>
      <c r="AD30" s="609">
        <f t="shared" si="6"/>
        <v>248400</v>
      </c>
      <c r="AE30" s="335">
        <f>IFERROR($X30*VLOOKUP($U30,ESS_Item_Code!$A:$L,6,0),"item code is invalid")</f>
        <v>225100</v>
      </c>
      <c r="AF30" s="335">
        <f t="shared" si="7"/>
        <v>22510000</v>
      </c>
      <c r="AG30" s="433" t="s">
        <v>1071</v>
      </c>
      <c r="AH30" s="441"/>
      <c r="AI30" s="433">
        <v>60</v>
      </c>
      <c r="AJ30" s="433" t="s">
        <v>2967</v>
      </c>
      <c r="AK30" s="433" t="s">
        <v>1158</v>
      </c>
      <c r="AL30" s="433">
        <v>27604</v>
      </c>
      <c r="AM30" s="433" t="s">
        <v>52</v>
      </c>
      <c r="AN30" s="433" t="s">
        <v>50</v>
      </c>
      <c r="AO30" s="433"/>
    </row>
    <row r="31" spans="1:41" s="333" customFormat="1" ht="12">
      <c r="A31" s="448"/>
      <c r="B31" s="450"/>
      <c r="C31" s="450"/>
      <c r="D31" s="433" t="s">
        <v>2901</v>
      </c>
      <c r="E31" s="433" t="s">
        <v>5223</v>
      </c>
      <c r="F31" s="433"/>
      <c r="G31" s="433">
        <v>2022</v>
      </c>
      <c r="H31" s="433">
        <v>5</v>
      </c>
      <c r="I31" s="433"/>
      <c r="J31" s="434"/>
      <c r="K31" s="433" t="s">
        <v>5224</v>
      </c>
      <c r="L31" s="433" t="s">
        <v>2966</v>
      </c>
      <c r="M31" s="434">
        <v>44541</v>
      </c>
      <c r="N31" s="434">
        <v>44618</v>
      </c>
      <c r="O31" s="434">
        <v>44651</v>
      </c>
      <c r="P31" s="442"/>
      <c r="Q31" s="434"/>
      <c r="R31" s="434"/>
      <c r="S31" s="433" t="s">
        <v>2904</v>
      </c>
      <c r="T31" s="489" t="str">
        <f>IFERROR(VLOOKUP($U31,ESS_Item_Code!$A:$L,5,0),"item code is invalid")</f>
        <v>RSD</v>
      </c>
      <c r="U31" s="433" t="s">
        <v>258</v>
      </c>
      <c r="V31" s="448" t="str">
        <f>IFERROR(VLOOKUP($U31,ESS_Item_Code!$A:$L,2,0),"item code is invalid")</f>
        <v>Rapid Shut Module</v>
      </c>
      <c r="W31" s="435">
        <v>34</v>
      </c>
      <c r="X31" s="433">
        <v>648</v>
      </c>
      <c r="Y31" s="609">
        <f>+IFERROR($X31*VLOOKUP($U31,ESS_Item_Code!$A:$L,3,0),"item code is invalid")</f>
        <v>0</v>
      </c>
      <c r="Z31" s="331">
        <f>IFERROR($X31*VLOOKUP($U31,ESS_Item_Code!$A:$L,4,0),"item code is invalid")</f>
        <v>0</v>
      </c>
      <c r="AA31" s="332">
        <f t="shared" si="8"/>
        <v>22032</v>
      </c>
      <c r="AB31" s="433"/>
      <c r="AC31" s="440"/>
      <c r="AD31" s="609">
        <f t="shared" si="6"/>
        <v>22032</v>
      </c>
      <c r="AE31" s="335">
        <f>IFERROR($X31*VLOOKUP($U31,ESS_Item_Code!$A:$L,6,0),"item code is invalid")</f>
        <v>0</v>
      </c>
      <c r="AF31" s="335">
        <f t="shared" si="7"/>
        <v>0</v>
      </c>
      <c r="AG31" s="433" t="s">
        <v>1071</v>
      </c>
      <c r="AH31" s="441"/>
      <c r="AI31" s="433">
        <v>60</v>
      </c>
      <c r="AJ31" s="433" t="s">
        <v>2506</v>
      </c>
      <c r="AK31" s="433" t="s">
        <v>1084</v>
      </c>
      <c r="AL31" s="433">
        <v>33634</v>
      </c>
      <c r="AM31" s="433" t="s">
        <v>52</v>
      </c>
      <c r="AN31" s="433" t="s">
        <v>50</v>
      </c>
      <c r="AO31" s="433"/>
    </row>
    <row r="32" spans="1:41" s="333" customFormat="1" ht="12">
      <c r="A32" s="448"/>
      <c r="B32" s="450"/>
      <c r="C32" s="450"/>
      <c r="D32" s="433" t="s">
        <v>2901</v>
      </c>
      <c r="E32" s="433" t="s">
        <v>5223</v>
      </c>
      <c r="F32" s="433"/>
      <c r="G32" s="433">
        <v>2022</v>
      </c>
      <c r="H32" s="433">
        <v>5</v>
      </c>
      <c r="I32" s="433"/>
      <c r="J32" s="434"/>
      <c r="K32" s="433" t="s">
        <v>5224</v>
      </c>
      <c r="L32" s="433" t="s">
        <v>2966</v>
      </c>
      <c r="M32" s="434">
        <v>44540</v>
      </c>
      <c r="N32" s="434">
        <v>44617</v>
      </c>
      <c r="O32" s="434">
        <v>44651</v>
      </c>
      <c r="P32" s="442"/>
      <c r="Q32" s="434"/>
      <c r="R32" s="434"/>
      <c r="S32" s="433" t="s">
        <v>2904</v>
      </c>
      <c r="T32" s="489" t="str">
        <f>IFERROR(VLOOKUP($U32,ESS_Item_Code!$A:$L,5,0),"item code is invalid")</f>
        <v>Accessory</v>
      </c>
      <c r="U32" s="433" t="s">
        <v>251</v>
      </c>
      <c r="V32" s="448" t="str">
        <f>IFERROR(VLOOKUP($U32,ESS_Item_Code!$A:$L,2,0),"item code is invalid")</f>
        <v>Wifi module</v>
      </c>
      <c r="W32" s="435">
        <v>45</v>
      </c>
      <c r="X32" s="433">
        <v>50</v>
      </c>
      <c r="Y32" s="609">
        <f>+IFERROR($X32*VLOOKUP($U32,ESS_Item_Code!$A:$L,3,0),"item code is invalid")</f>
        <v>0</v>
      </c>
      <c r="Z32" s="331">
        <f>IFERROR($X32*VLOOKUP($U32,ESS_Item_Code!$A:$L,4,0),"item code is invalid")</f>
        <v>0</v>
      </c>
      <c r="AA32" s="332">
        <f t="shared" si="8"/>
        <v>2250</v>
      </c>
      <c r="AB32" s="433"/>
      <c r="AC32" s="440"/>
      <c r="AD32" s="609">
        <f t="shared" si="6"/>
        <v>2250</v>
      </c>
      <c r="AE32" s="335">
        <f>IFERROR($X32*VLOOKUP($U32,ESS_Item_Code!$A:$L,6,0),"item code is invalid")</f>
        <v>2000</v>
      </c>
      <c r="AF32" s="335">
        <f t="shared" si="7"/>
        <v>100000</v>
      </c>
      <c r="AG32" s="433" t="s">
        <v>1071</v>
      </c>
      <c r="AH32" s="441"/>
      <c r="AI32" s="433">
        <v>60</v>
      </c>
      <c r="AJ32" s="433" t="s">
        <v>2967</v>
      </c>
      <c r="AK32" s="433" t="s">
        <v>1158</v>
      </c>
      <c r="AL32" s="433">
        <v>27604</v>
      </c>
      <c r="AM32" s="433" t="s">
        <v>52</v>
      </c>
      <c r="AN32" s="433" t="s">
        <v>50</v>
      </c>
      <c r="AO32" s="433"/>
    </row>
    <row r="33" spans="1:41" s="333" customFormat="1" ht="12">
      <c r="A33" s="448"/>
      <c r="B33" s="450"/>
      <c r="C33" s="450"/>
      <c r="D33" s="433" t="s">
        <v>2901</v>
      </c>
      <c r="E33" s="433" t="s">
        <v>5223</v>
      </c>
      <c r="F33" s="433"/>
      <c r="G33" s="433">
        <v>2022</v>
      </c>
      <c r="H33" s="433">
        <v>5</v>
      </c>
      <c r="I33" s="433"/>
      <c r="J33" s="434"/>
      <c r="K33" s="433" t="s">
        <v>5224</v>
      </c>
      <c r="L33" s="433" t="s">
        <v>2966</v>
      </c>
      <c r="M33" s="434">
        <v>44540</v>
      </c>
      <c r="N33" s="434">
        <v>44617</v>
      </c>
      <c r="O33" s="434">
        <v>44651</v>
      </c>
      <c r="P33" s="442"/>
      <c r="Q33" s="434"/>
      <c r="R33" s="434"/>
      <c r="S33" s="433" t="s">
        <v>2904</v>
      </c>
      <c r="T33" s="489" t="str">
        <f>IFERROR(VLOOKUP($U33,ESS_Item_Code!$A:$L,5,0),"item code is invalid")</f>
        <v>EMS</v>
      </c>
      <c r="U33" s="433" t="s">
        <v>254</v>
      </c>
      <c r="V33" s="448" t="str">
        <f>IFERROR(VLOOKUP($U33,ESS_Item_Code!$A:$L,2,0),"item code is invalid")</f>
        <v>Meter set</v>
      </c>
      <c r="W33" s="435">
        <v>90</v>
      </c>
      <c r="X33" s="433">
        <v>50</v>
      </c>
      <c r="Y33" s="609">
        <f>+IFERROR($X33*VLOOKUP($U33,ESS_Item_Code!$A:$L,3,0),"item code is invalid")</f>
        <v>0</v>
      </c>
      <c r="Z33" s="331">
        <f>IFERROR($X33*VLOOKUP($U33,ESS_Item_Code!$A:$L,4,0),"item code is invalid")</f>
        <v>0</v>
      </c>
      <c r="AA33" s="332">
        <f t="shared" si="8"/>
        <v>4500</v>
      </c>
      <c r="AB33" s="433"/>
      <c r="AC33" s="440"/>
      <c r="AD33" s="609">
        <f t="shared" si="6"/>
        <v>4500</v>
      </c>
      <c r="AE33" s="335">
        <f>IFERROR($X33*VLOOKUP($U33,ESS_Item_Code!$A:$L,6,0),"item code is invalid")</f>
        <v>4000</v>
      </c>
      <c r="AF33" s="335">
        <f t="shared" si="7"/>
        <v>200000</v>
      </c>
      <c r="AG33" s="433" t="s">
        <v>1071</v>
      </c>
      <c r="AH33" s="441"/>
      <c r="AI33" s="433">
        <v>60</v>
      </c>
      <c r="AJ33" s="433" t="s">
        <v>2967</v>
      </c>
      <c r="AK33" s="433" t="s">
        <v>1158</v>
      </c>
      <c r="AL33" s="433">
        <v>27604</v>
      </c>
      <c r="AM33" s="433" t="s">
        <v>52</v>
      </c>
      <c r="AN33" s="433" t="s">
        <v>50</v>
      </c>
      <c r="AO33" s="433"/>
    </row>
    <row r="34" spans="1:41" s="333" customFormat="1" ht="12">
      <c r="A34" s="448"/>
      <c r="B34" s="450"/>
      <c r="C34" s="450"/>
      <c r="D34" s="433" t="s">
        <v>2901</v>
      </c>
      <c r="E34" s="433" t="s">
        <v>5223</v>
      </c>
      <c r="F34" s="433"/>
      <c r="G34" s="433">
        <v>2022</v>
      </c>
      <c r="H34" s="433">
        <v>5</v>
      </c>
      <c r="I34" s="433"/>
      <c r="J34" s="434"/>
      <c r="K34" s="433" t="s">
        <v>5224</v>
      </c>
      <c r="L34" s="433" t="s">
        <v>2966</v>
      </c>
      <c r="M34" s="434">
        <v>44540</v>
      </c>
      <c r="N34" s="434">
        <v>44617</v>
      </c>
      <c r="O34" s="434">
        <v>44651</v>
      </c>
      <c r="P34" s="442"/>
      <c r="Q34" s="434"/>
      <c r="R34" s="434"/>
      <c r="S34" s="433" t="s">
        <v>2904</v>
      </c>
      <c r="T34" s="489" t="str">
        <f>IFERROR(VLOOKUP($U34,ESS_Item_Code!$A:$L,5,0),"item code is invalid")</f>
        <v>Accessory</v>
      </c>
      <c r="U34" s="433" t="s">
        <v>244</v>
      </c>
      <c r="V34" s="448" t="str">
        <f>IFERROR(VLOOKUP($U34,ESS_Item_Code!$A:$L,2,0),"item code is invalid")</f>
        <v>Battery Accessory box , Master control Accessory</v>
      </c>
      <c r="W34" s="435">
        <v>0</v>
      </c>
      <c r="X34" s="433">
        <v>50</v>
      </c>
      <c r="Y34" s="609">
        <f>+IFERROR($X34*VLOOKUP($U34,ESS_Item_Code!$A:$L,3,0),"item code is invalid")</f>
        <v>0</v>
      </c>
      <c r="Z34" s="331">
        <f>IFERROR($X34*VLOOKUP($U34,ESS_Item_Code!$A:$L,4,0),"item code is invalid")</f>
        <v>0</v>
      </c>
      <c r="AA34" s="332">
        <f t="shared" si="8"/>
        <v>0</v>
      </c>
      <c r="AB34" s="433"/>
      <c r="AC34" s="440"/>
      <c r="AD34" s="609">
        <f t="shared" si="6"/>
        <v>0</v>
      </c>
      <c r="AE34" s="335" t="str">
        <f>IFERROR($X34*VLOOKUP($U34,ESS_Item_Code!$A:$L,6,0),"item code is invalid")</f>
        <v>item code is invalid</v>
      </c>
      <c r="AF34" s="335" t="e">
        <f t="shared" si="7"/>
        <v>#VALUE!</v>
      </c>
      <c r="AG34" s="433" t="s">
        <v>1071</v>
      </c>
      <c r="AH34" s="441"/>
      <c r="AI34" s="433">
        <v>60</v>
      </c>
      <c r="AJ34" s="433" t="s">
        <v>2967</v>
      </c>
      <c r="AK34" s="433" t="s">
        <v>1158</v>
      </c>
      <c r="AL34" s="433">
        <v>27604</v>
      </c>
      <c r="AM34" s="433" t="s">
        <v>52</v>
      </c>
      <c r="AN34" s="433" t="s">
        <v>50</v>
      </c>
      <c r="AO34" s="433"/>
    </row>
    <row r="35" spans="1:41" s="333" customFormat="1" ht="12">
      <c r="A35" s="448"/>
      <c r="B35" s="450"/>
      <c r="C35" s="450"/>
      <c r="D35" s="433" t="s">
        <v>2901</v>
      </c>
      <c r="E35" s="433" t="s">
        <v>5223</v>
      </c>
      <c r="F35" s="433"/>
      <c r="G35" s="433">
        <v>2022</v>
      </c>
      <c r="H35" s="433">
        <v>5</v>
      </c>
      <c r="I35" s="433"/>
      <c r="J35" s="434"/>
      <c r="K35" s="433" t="s">
        <v>5224</v>
      </c>
      <c r="L35" s="433" t="s">
        <v>2966</v>
      </c>
      <c r="M35" s="434">
        <v>44540</v>
      </c>
      <c r="N35" s="434">
        <v>44617</v>
      </c>
      <c r="O35" s="434">
        <v>44651</v>
      </c>
      <c r="P35" s="442"/>
      <c r="Q35" s="434"/>
      <c r="R35" s="434"/>
      <c r="S35" s="433" t="s">
        <v>2904</v>
      </c>
      <c r="T35" s="489" t="str">
        <f>IFERROR(VLOOKUP($U35,ESS_Item_Code!$A:$L,5,0),"item code is invalid")</f>
        <v>Accessory</v>
      </c>
      <c r="U35" s="433" t="s">
        <v>248</v>
      </c>
      <c r="V35" s="448" t="str">
        <f>IFERROR(VLOOKUP($U35,ESS_Item_Code!$A:$L,2,0),"item code is invalid")</f>
        <v>Battery Accessory box , Slave control Accessory</v>
      </c>
      <c r="W35" s="435">
        <v>0</v>
      </c>
      <c r="X35" s="433">
        <v>100</v>
      </c>
      <c r="Y35" s="609">
        <f>+IFERROR($X35*VLOOKUP($U35,ESS_Item_Code!$A:$L,3,0),"item code is invalid")</f>
        <v>0</v>
      </c>
      <c r="Z35" s="331">
        <f>IFERROR($X35*VLOOKUP($U35,ESS_Item_Code!$A:$L,4,0),"item code is invalid")</f>
        <v>0</v>
      </c>
      <c r="AA35" s="332">
        <f t="shared" si="8"/>
        <v>0</v>
      </c>
      <c r="AB35" s="433"/>
      <c r="AC35" s="440"/>
      <c r="AD35" s="609">
        <f t="shared" si="6"/>
        <v>0</v>
      </c>
      <c r="AE35" s="335" t="str">
        <f>IFERROR($X35*VLOOKUP($U35,ESS_Item_Code!$A:$L,6,0),"item code is invalid")</f>
        <v>item code is invalid</v>
      </c>
      <c r="AF35" s="335" t="e">
        <f t="shared" si="7"/>
        <v>#VALUE!</v>
      </c>
      <c r="AG35" s="433" t="s">
        <v>1071</v>
      </c>
      <c r="AH35" s="441"/>
      <c r="AI35" s="433">
        <v>60</v>
      </c>
      <c r="AJ35" s="433" t="s">
        <v>2967</v>
      </c>
      <c r="AK35" s="433" t="s">
        <v>1158</v>
      </c>
      <c r="AL35" s="433">
        <v>27604</v>
      </c>
      <c r="AM35" s="433" t="s">
        <v>52</v>
      </c>
      <c r="AN35" s="433" t="s">
        <v>50</v>
      </c>
      <c r="AO35" s="433"/>
    </row>
    <row r="36" spans="1:41" s="333" customFormat="1" ht="12">
      <c r="A36" s="448"/>
      <c r="B36" s="450" t="s">
        <v>1211</v>
      </c>
      <c r="C36" s="450" t="s">
        <v>1211</v>
      </c>
      <c r="D36" s="433" t="s">
        <v>2901</v>
      </c>
      <c r="E36" s="433"/>
      <c r="F36" s="433" t="s">
        <v>1147</v>
      </c>
      <c r="G36" s="433">
        <v>2022</v>
      </c>
      <c r="H36" s="433">
        <v>5</v>
      </c>
      <c r="I36" s="433"/>
      <c r="J36" s="434"/>
      <c r="K36" s="433" t="s">
        <v>5225</v>
      </c>
      <c r="L36" s="433" t="s">
        <v>2947</v>
      </c>
      <c r="M36" s="434">
        <v>44609</v>
      </c>
      <c r="N36" s="434">
        <v>44682</v>
      </c>
      <c r="O36" s="434"/>
      <c r="P36" s="442"/>
      <c r="Q36" s="434"/>
      <c r="R36" s="434"/>
      <c r="S36" s="433" t="s">
        <v>2904</v>
      </c>
      <c r="T36" s="489" t="str">
        <f>IFERROR(VLOOKUP($U36,ESS_Item_Code!$A:$L,5,0),"item code is invalid")</f>
        <v>Inverter</v>
      </c>
      <c r="U36" s="433" t="s">
        <v>209</v>
      </c>
      <c r="V36" s="448" t="str">
        <f>IFERROR(VLOOKUP($U36,ESS_Item_Code!$A:$L,2,0),"item code is invalid")</f>
        <v>Q.HOME+ HYB-G1 8.6</v>
      </c>
      <c r="W36" s="435">
        <v>2600</v>
      </c>
      <c r="X36" s="433">
        <v>5</v>
      </c>
      <c r="Y36" s="609">
        <f>+IFERROR($X36*VLOOKUP($U36,ESS_Item_Code!$A:$L,3,0),"item code is invalid")</f>
        <v>43</v>
      </c>
      <c r="Z36" s="331">
        <f>IFERROR($X36*VLOOKUP($U36,ESS_Item_Code!$A:$L,4,0),"item code is invalid")</f>
        <v>0</v>
      </c>
      <c r="AA36" s="332">
        <f t="shared" si="8"/>
        <v>13000</v>
      </c>
      <c r="AB36" s="433"/>
      <c r="AC36" s="440"/>
      <c r="AD36" s="609">
        <f t="shared" si="6"/>
        <v>13000</v>
      </c>
      <c r="AE36" s="335">
        <f>IFERROR($X36*VLOOKUP($U36,ESS_Item_Code!$A:$L,6,0),"item code is invalid")</f>
        <v>11025</v>
      </c>
      <c r="AF36" s="335">
        <f t="shared" si="7"/>
        <v>55125</v>
      </c>
      <c r="AG36" s="433" t="s">
        <v>1071</v>
      </c>
      <c r="AH36" s="441"/>
      <c r="AI36" s="433">
        <v>60</v>
      </c>
      <c r="AJ36" s="433" t="s">
        <v>2277</v>
      </c>
      <c r="AK36" s="433" t="s">
        <v>1084</v>
      </c>
      <c r="AL36" s="433">
        <v>32809</v>
      </c>
      <c r="AM36" s="433" t="s">
        <v>52</v>
      </c>
      <c r="AN36" s="433" t="s">
        <v>50</v>
      </c>
      <c r="AO36" s="433"/>
    </row>
    <row r="37" spans="1:41" s="333" customFormat="1" ht="12">
      <c r="A37" s="448"/>
      <c r="B37" s="450" t="s">
        <v>1211</v>
      </c>
      <c r="C37" s="450" t="s">
        <v>1211</v>
      </c>
      <c r="D37" s="433" t="s">
        <v>2901</v>
      </c>
      <c r="E37" s="433"/>
      <c r="F37" s="433" t="s">
        <v>1147</v>
      </c>
      <c r="G37" s="433">
        <v>2022</v>
      </c>
      <c r="H37" s="433">
        <v>5</v>
      </c>
      <c r="I37" s="433"/>
      <c r="J37" s="434"/>
      <c r="K37" s="433" t="s">
        <v>5225</v>
      </c>
      <c r="L37" s="433" t="s">
        <v>2947</v>
      </c>
      <c r="M37" s="434">
        <v>44609</v>
      </c>
      <c r="N37" s="434">
        <v>44682</v>
      </c>
      <c r="O37" s="434"/>
      <c r="P37" s="442"/>
      <c r="Q37" s="434"/>
      <c r="R37" s="434"/>
      <c r="S37" s="433" t="s">
        <v>2904</v>
      </c>
      <c r="T37" s="489" t="str">
        <f>IFERROR(VLOOKUP($U37,ESS_Item_Code!$A:$L,5,0),"item code is invalid")</f>
        <v>Battery</v>
      </c>
      <c r="U37" s="433" t="s">
        <v>228</v>
      </c>
      <c r="V37" s="448" t="str">
        <f>IFERROR(VLOOKUP($U37,ESS_Item_Code!$A:$L,2,0),"item code is invalid")</f>
        <v>BAT45</v>
      </c>
      <c r="W37" s="435">
        <v>2040</v>
      </c>
      <c r="X37" s="433">
        <v>5</v>
      </c>
      <c r="Y37" s="609">
        <f>+IFERROR($X37*VLOOKUP($U37,ESS_Item_Code!$A:$L,3,0),"item code is invalid")</f>
        <v>0</v>
      </c>
      <c r="Z37" s="331">
        <f>IFERROR($X37*VLOOKUP($U37,ESS_Item_Code!$A:$L,4,0),"item code is invalid")</f>
        <v>22.5</v>
      </c>
      <c r="AA37" s="332">
        <f t="shared" si="8"/>
        <v>10200</v>
      </c>
      <c r="AB37" s="433"/>
      <c r="AC37" s="440"/>
      <c r="AD37" s="609">
        <f t="shared" si="6"/>
        <v>10200</v>
      </c>
      <c r="AE37" s="335">
        <f>IFERROR($X37*VLOOKUP($U37,ESS_Item_Code!$A:$L,6,0),"item code is invalid")</f>
        <v>8140</v>
      </c>
      <c r="AF37" s="335">
        <f t="shared" si="7"/>
        <v>40700</v>
      </c>
      <c r="AG37" s="433" t="s">
        <v>1071</v>
      </c>
      <c r="AH37" s="441"/>
      <c r="AI37" s="433">
        <v>60</v>
      </c>
      <c r="AJ37" s="433" t="s">
        <v>2277</v>
      </c>
      <c r="AK37" s="433" t="s">
        <v>1084</v>
      </c>
      <c r="AL37" s="433">
        <v>32809</v>
      </c>
      <c r="AM37" s="433" t="s">
        <v>52</v>
      </c>
      <c r="AN37" s="433" t="s">
        <v>50</v>
      </c>
      <c r="AO37" s="433"/>
    </row>
    <row r="38" spans="1:41" s="333" customFormat="1" ht="12">
      <c r="A38" s="448"/>
      <c r="B38" s="450" t="s">
        <v>1211</v>
      </c>
      <c r="C38" s="450" t="s">
        <v>1211</v>
      </c>
      <c r="D38" s="433" t="s">
        <v>2901</v>
      </c>
      <c r="E38" s="433"/>
      <c r="F38" s="433" t="s">
        <v>1147</v>
      </c>
      <c r="G38" s="433">
        <v>2022</v>
      </c>
      <c r="H38" s="433">
        <v>5</v>
      </c>
      <c r="I38" s="433"/>
      <c r="J38" s="434"/>
      <c r="K38" s="433" t="s">
        <v>5225</v>
      </c>
      <c r="L38" s="433" t="s">
        <v>2947</v>
      </c>
      <c r="M38" s="434">
        <v>44609</v>
      </c>
      <c r="N38" s="434">
        <v>44682</v>
      </c>
      <c r="O38" s="434"/>
      <c r="P38" s="442"/>
      <c r="Q38" s="434"/>
      <c r="R38" s="434"/>
      <c r="S38" s="433" t="s">
        <v>2904</v>
      </c>
      <c r="T38" s="489" t="str">
        <f>IFERROR(VLOOKUP($U38,ESS_Item_Code!$A:$L,5,0),"item code is invalid")</f>
        <v>Battery</v>
      </c>
      <c r="U38" s="433" t="s">
        <v>236</v>
      </c>
      <c r="V38" s="448" t="str">
        <f>IFERROR(VLOOKUP($U38,ESS_Item_Code!$A:$L,2,0),"item code is invalid")</f>
        <v>BAT BMS-G1</v>
      </c>
      <c r="W38" s="435">
        <v>560</v>
      </c>
      <c r="X38" s="433">
        <v>5</v>
      </c>
      <c r="Y38" s="609">
        <f>+IFERROR($X38*VLOOKUP($U38,ESS_Item_Code!$A:$L,3,0),"item code is invalid")</f>
        <v>0</v>
      </c>
      <c r="Z38" s="331">
        <f>IFERROR($X38*VLOOKUP($U38,ESS_Item_Code!$A:$L,4,0),"item code is invalid")</f>
        <v>0</v>
      </c>
      <c r="AA38" s="332">
        <f t="shared" si="8"/>
        <v>2800</v>
      </c>
      <c r="AB38" s="433"/>
      <c r="AC38" s="440"/>
      <c r="AD38" s="609">
        <f t="shared" si="6"/>
        <v>2800</v>
      </c>
      <c r="AE38" s="335">
        <f>IFERROR($X38*VLOOKUP($U38,ESS_Item_Code!$A:$L,6,0),"item code is invalid")</f>
        <v>2325</v>
      </c>
      <c r="AF38" s="335">
        <f t="shared" si="7"/>
        <v>11625</v>
      </c>
      <c r="AG38" s="433" t="s">
        <v>1071</v>
      </c>
      <c r="AH38" s="441"/>
      <c r="AI38" s="433">
        <v>60</v>
      </c>
      <c r="AJ38" s="433" t="s">
        <v>2277</v>
      </c>
      <c r="AK38" s="433" t="s">
        <v>1084</v>
      </c>
      <c r="AL38" s="433">
        <v>32809</v>
      </c>
      <c r="AM38" s="433" t="s">
        <v>52</v>
      </c>
      <c r="AN38" s="433" t="s">
        <v>50</v>
      </c>
      <c r="AO38" s="433"/>
    </row>
    <row r="39" spans="1:41" s="333" customFormat="1" ht="12">
      <c r="A39" s="448"/>
      <c r="B39" s="450" t="s">
        <v>1211</v>
      </c>
      <c r="C39" s="450" t="s">
        <v>1211</v>
      </c>
      <c r="D39" s="433" t="s">
        <v>2901</v>
      </c>
      <c r="E39" s="433"/>
      <c r="F39" s="433" t="s">
        <v>1147</v>
      </c>
      <c r="G39" s="433">
        <v>2022</v>
      </c>
      <c r="H39" s="433">
        <v>5</v>
      </c>
      <c r="I39" s="433"/>
      <c r="J39" s="434"/>
      <c r="K39" s="433" t="s">
        <v>5225</v>
      </c>
      <c r="L39" s="433" t="s">
        <v>2947</v>
      </c>
      <c r="M39" s="434">
        <v>44609</v>
      </c>
      <c r="N39" s="434">
        <v>44682</v>
      </c>
      <c r="O39" s="434"/>
      <c r="P39" s="442"/>
      <c r="Q39" s="434"/>
      <c r="R39" s="434"/>
      <c r="S39" s="433" t="s">
        <v>2904</v>
      </c>
      <c r="T39" s="489" t="str">
        <f>IFERROR(VLOOKUP($U39,ESS_Item_Code!$A:$L,5,0),"item code is invalid")</f>
        <v>Accessory</v>
      </c>
      <c r="U39" s="433" t="s">
        <v>239</v>
      </c>
      <c r="V39" s="448" t="str">
        <f>IFERROR(VLOOKUP($U39,ESS_Item_Code!$A:$L,2,0),"item code is invalid")</f>
        <v>Q.HOME+ TX-8.6</v>
      </c>
      <c r="W39" s="435">
        <v>400</v>
      </c>
      <c r="X39" s="433">
        <v>5</v>
      </c>
      <c r="Y39" s="609">
        <f>+IFERROR($X39*VLOOKUP($U39,ESS_Item_Code!$A:$L,3,0),"item code is invalid")</f>
        <v>0</v>
      </c>
      <c r="Z39" s="331">
        <f>IFERROR($X39*VLOOKUP($U39,ESS_Item_Code!$A:$L,4,0),"item code is invalid")</f>
        <v>0</v>
      </c>
      <c r="AA39" s="332">
        <f t="shared" si="8"/>
        <v>2000</v>
      </c>
      <c r="AB39" s="433"/>
      <c r="AC39" s="440"/>
      <c r="AD39" s="609">
        <f t="shared" si="6"/>
        <v>2000</v>
      </c>
      <c r="AE39" s="335">
        <f>IFERROR($X39*VLOOKUP($U39,ESS_Item_Code!$A:$L,6,0),"item code is invalid")</f>
        <v>1750</v>
      </c>
      <c r="AF39" s="335">
        <f t="shared" si="7"/>
        <v>8750</v>
      </c>
      <c r="AG39" s="433" t="s">
        <v>1071</v>
      </c>
      <c r="AH39" s="441"/>
      <c r="AI39" s="433">
        <v>60</v>
      </c>
      <c r="AJ39" s="433" t="s">
        <v>2277</v>
      </c>
      <c r="AK39" s="433" t="s">
        <v>1084</v>
      </c>
      <c r="AL39" s="433">
        <v>32809</v>
      </c>
      <c r="AM39" s="433" t="s">
        <v>52</v>
      </c>
      <c r="AN39" s="433" t="s">
        <v>50</v>
      </c>
      <c r="AO39" s="433"/>
    </row>
    <row r="40" spans="1:41" s="333" customFormat="1" ht="12">
      <c r="A40" s="448"/>
      <c r="B40" s="450" t="s">
        <v>1211</v>
      </c>
      <c r="C40" s="450" t="s">
        <v>1211</v>
      </c>
      <c r="D40" s="433" t="s">
        <v>2901</v>
      </c>
      <c r="E40" s="433"/>
      <c r="F40" s="433" t="s">
        <v>1147</v>
      </c>
      <c r="G40" s="433">
        <v>2022</v>
      </c>
      <c r="H40" s="433">
        <v>5</v>
      </c>
      <c r="I40" s="433"/>
      <c r="J40" s="434"/>
      <c r="K40" s="433" t="s">
        <v>5225</v>
      </c>
      <c r="L40" s="433" t="s">
        <v>2947</v>
      </c>
      <c r="M40" s="434">
        <v>44609</v>
      </c>
      <c r="N40" s="434">
        <v>44682</v>
      </c>
      <c r="O40" s="434"/>
      <c r="P40" s="442"/>
      <c r="Q40" s="434"/>
      <c r="R40" s="434"/>
      <c r="S40" s="433" t="s">
        <v>2904</v>
      </c>
      <c r="T40" s="489" t="str">
        <f>IFERROR(VLOOKUP($U40,ESS_Item_Code!$A:$L,5,0),"item code is invalid")</f>
        <v>EMS</v>
      </c>
      <c r="U40" s="433" t="s">
        <v>254</v>
      </c>
      <c r="V40" s="448" t="str">
        <f>IFERROR(VLOOKUP($U40,ESS_Item_Code!$A:$L,2,0),"item code is invalid")</f>
        <v>Meter set</v>
      </c>
      <c r="W40" s="435">
        <v>100</v>
      </c>
      <c r="X40" s="433">
        <v>5</v>
      </c>
      <c r="Y40" s="609">
        <f>+IFERROR($X40*VLOOKUP($U40,ESS_Item_Code!$A:$L,3,0),"item code is invalid")</f>
        <v>0</v>
      </c>
      <c r="Z40" s="331">
        <f>IFERROR($X40*VLOOKUP($U40,ESS_Item_Code!$A:$L,4,0),"item code is invalid")</f>
        <v>0</v>
      </c>
      <c r="AA40" s="332">
        <f t="shared" si="8"/>
        <v>500</v>
      </c>
      <c r="AB40" s="433"/>
      <c r="AC40" s="440"/>
      <c r="AD40" s="609">
        <f t="shared" si="6"/>
        <v>500</v>
      </c>
      <c r="AE40" s="335">
        <f>IFERROR($X40*VLOOKUP($U40,ESS_Item_Code!$A:$L,6,0),"item code is invalid")</f>
        <v>400</v>
      </c>
      <c r="AF40" s="335">
        <f t="shared" si="7"/>
        <v>2000</v>
      </c>
      <c r="AG40" s="433" t="s">
        <v>1071</v>
      </c>
      <c r="AH40" s="441"/>
      <c r="AI40" s="433">
        <v>60</v>
      </c>
      <c r="AJ40" s="433" t="s">
        <v>2277</v>
      </c>
      <c r="AK40" s="433" t="s">
        <v>1084</v>
      </c>
      <c r="AL40" s="433">
        <v>32809</v>
      </c>
      <c r="AM40" s="433" t="s">
        <v>52</v>
      </c>
      <c r="AN40" s="433" t="s">
        <v>50</v>
      </c>
      <c r="AO40" s="433"/>
    </row>
    <row r="41" spans="1:41" s="333" customFormat="1" ht="12">
      <c r="A41" s="448"/>
      <c r="B41" s="450" t="s">
        <v>1211</v>
      </c>
      <c r="C41" s="450" t="s">
        <v>1211</v>
      </c>
      <c r="D41" s="433" t="s">
        <v>2901</v>
      </c>
      <c r="E41" s="433"/>
      <c r="F41" s="433" t="s">
        <v>1147</v>
      </c>
      <c r="G41" s="433">
        <v>2022</v>
      </c>
      <c r="H41" s="433">
        <v>5</v>
      </c>
      <c r="I41" s="433"/>
      <c r="J41" s="434"/>
      <c r="K41" s="433" t="s">
        <v>5225</v>
      </c>
      <c r="L41" s="433" t="s">
        <v>2947</v>
      </c>
      <c r="M41" s="434">
        <v>44609</v>
      </c>
      <c r="N41" s="434">
        <v>44682</v>
      </c>
      <c r="O41" s="434"/>
      <c r="P41" s="442"/>
      <c r="Q41" s="434"/>
      <c r="R41" s="434"/>
      <c r="S41" s="433" t="s">
        <v>2904</v>
      </c>
      <c r="T41" s="489" t="str">
        <f>IFERROR(VLOOKUP($U41,ESS_Item_Code!$A:$L,5,0),"item code is invalid")</f>
        <v>Accessory</v>
      </c>
      <c r="U41" s="433" t="s">
        <v>251</v>
      </c>
      <c r="V41" s="448" t="str">
        <f>IFERROR(VLOOKUP($U41,ESS_Item_Code!$A:$L,2,0),"item code is invalid")</f>
        <v>Wifi module</v>
      </c>
      <c r="W41" s="435">
        <v>50</v>
      </c>
      <c r="X41" s="433">
        <v>5</v>
      </c>
      <c r="Y41" s="609">
        <f>+IFERROR($X41*VLOOKUP($U41,ESS_Item_Code!$A:$L,3,0),"item code is invalid")</f>
        <v>0</v>
      </c>
      <c r="Z41" s="331">
        <f>IFERROR($X41*VLOOKUP($U41,ESS_Item_Code!$A:$L,4,0),"item code is invalid")</f>
        <v>0</v>
      </c>
      <c r="AA41" s="332">
        <f t="shared" si="8"/>
        <v>250</v>
      </c>
      <c r="AB41" s="433"/>
      <c r="AC41" s="440"/>
      <c r="AD41" s="609">
        <f t="shared" si="6"/>
        <v>250</v>
      </c>
      <c r="AE41" s="335">
        <f>IFERROR($X41*VLOOKUP($U41,ESS_Item_Code!$A:$L,6,0),"item code is invalid")</f>
        <v>200</v>
      </c>
      <c r="AF41" s="335">
        <f t="shared" si="7"/>
        <v>1000</v>
      </c>
      <c r="AG41" s="433" t="s">
        <v>1071</v>
      </c>
      <c r="AH41" s="441"/>
      <c r="AI41" s="433">
        <v>60</v>
      </c>
      <c r="AJ41" s="433" t="s">
        <v>2277</v>
      </c>
      <c r="AK41" s="433" t="s">
        <v>1084</v>
      </c>
      <c r="AL41" s="433">
        <v>32809</v>
      </c>
      <c r="AM41" s="433" t="s">
        <v>52</v>
      </c>
      <c r="AN41" s="433" t="s">
        <v>50</v>
      </c>
      <c r="AO41" s="433"/>
    </row>
    <row r="42" spans="1:41" s="333" customFormat="1" ht="12">
      <c r="A42" s="448"/>
      <c r="B42" s="450" t="s">
        <v>1211</v>
      </c>
      <c r="C42" s="450" t="s">
        <v>1211</v>
      </c>
      <c r="D42" s="433" t="s">
        <v>2901</v>
      </c>
      <c r="E42" s="433"/>
      <c r="F42" s="433" t="s">
        <v>1147</v>
      </c>
      <c r="G42" s="433">
        <v>2022</v>
      </c>
      <c r="H42" s="433">
        <v>5</v>
      </c>
      <c r="I42" s="433"/>
      <c r="J42" s="434"/>
      <c r="K42" s="433" t="s">
        <v>5225</v>
      </c>
      <c r="L42" s="433" t="s">
        <v>2947</v>
      </c>
      <c r="M42" s="434">
        <v>44609</v>
      </c>
      <c r="N42" s="434">
        <v>44682</v>
      </c>
      <c r="O42" s="434"/>
      <c r="P42" s="442"/>
      <c r="Q42" s="434"/>
      <c r="R42" s="434"/>
      <c r="S42" s="433" t="s">
        <v>2904</v>
      </c>
      <c r="T42" s="489" t="str">
        <f>IFERROR(VLOOKUP($U42,ESS_Item_Code!$A:$L,5,0),"item code is invalid")</f>
        <v>RSD</v>
      </c>
      <c r="U42" s="433" t="s">
        <v>258</v>
      </c>
      <c r="V42" s="448" t="str">
        <f>IFERROR(VLOOKUP($U42,ESS_Item_Code!$A:$L,2,0),"item code is invalid")</f>
        <v>Rapid Shut Module</v>
      </c>
      <c r="W42" s="435">
        <v>34</v>
      </c>
      <c r="X42" s="433">
        <v>72</v>
      </c>
      <c r="Y42" s="609">
        <f>+IFERROR($X42*VLOOKUP($U42,ESS_Item_Code!$A:$L,3,0),"item code is invalid")</f>
        <v>0</v>
      </c>
      <c r="Z42" s="331">
        <f>IFERROR($X42*VLOOKUP($U42,ESS_Item_Code!$A:$L,4,0),"item code is invalid")</f>
        <v>0</v>
      </c>
      <c r="AA42" s="332">
        <f t="shared" si="8"/>
        <v>2448</v>
      </c>
      <c r="AB42" s="433"/>
      <c r="AC42" s="440"/>
      <c r="AD42" s="609">
        <f t="shared" si="6"/>
        <v>2448</v>
      </c>
      <c r="AE42" s="335">
        <f>IFERROR($X42*VLOOKUP($U42,ESS_Item_Code!$A:$L,6,0),"item code is invalid")</f>
        <v>0</v>
      </c>
      <c r="AF42" s="335">
        <f t="shared" si="7"/>
        <v>0</v>
      </c>
      <c r="AG42" s="433" t="s">
        <v>1071</v>
      </c>
      <c r="AH42" s="441"/>
      <c r="AI42" s="433">
        <v>60</v>
      </c>
      <c r="AJ42" s="433" t="s">
        <v>2277</v>
      </c>
      <c r="AK42" s="433" t="s">
        <v>1084</v>
      </c>
      <c r="AL42" s="433">
        <v>32809</v>
      </c>
      <c r="AM42" s="433" t="s">
        <v>52</v>
      </c>
      <c r="AN42" s="433" t="s">
        <v>50</v>
      </c>
      <c r="AO42" s="433"/>
    </row>
    <row r="43" spans="1:41" s="333" customFormat="1" ht="12">
      <c r="A43" s="448"/>
      <c r="B43" s="450" t="s">
        <v>1211</v>
      </c>
      <c r="C43" s="450" t="s">
        <v>1211</v>
      </c>
      <c r="D43" s="433" t="s">
        <v>2901</v>
      </c>
      <c r="E43" s="433"/>
      <c r="F43" s="433" t="s">
        <v>1147</v>
      </c>
      <c r="G43" s="433">
        <v>2022</v>
      </c>
      <c r="H43" s="433">
        <v>5</v>
      </c>
      <c r="I43" s="433"/>
      <c r="J43" s="434"/>
      <c r="K43" s="433" t="s">
        <v>5225</v>
      </c>
      <c r="L43" s="433" t="s">
        <v>2947</v>
      </c>
      <c r="M43" s="434">
        <v>44609</v>
      </c>
      <c r="N43" s="434">
        <v>44682</v>
      </c>
      <c r="O43" s="434"/>
      <c r="P43" s="442"/>
      <c r="Q43" s="434"/>
      <c r="R43" s="434"/>
      <c r="S43" s="433" t="s">
        <v>2904</v>
      </c>
      <c r="T43" s="489" t="str">
        <f>IFERROR(VLOOKUP($U43,ESS_Item_Code!$A:$L,5,0),"item code is invalid")</f>
        <v>Accessory</v>
      </c>
      <c r="U43" s="433" t="s">
        <v>244</v>
      </c>
      <c r="V43" s="448" t="str">
        <f>IFERROR(VLOOKUP($U43,ESS_Item_Code!$A:$L,2,0),"item code is invalid")</f>
        <v>Battery Accessory box , Master control Accessory</v>
      </c>
      <c r="W43" s="435">
        <v>0</v>
      </c>
      <c r="X43" s="433">
        <v>5</v>
      </c>
      <c r="Y43" s="609">
        <f>+IFERROR($X43*VLOOKUP($U43,ESS_Item_Code!$A:$L,3,0),"item code is invalid")</f>
        <v>0</v>
      </c>
      <c r="Z43" s="331">
        <f>IFERROR($X43*VLOOKUP($U43,ESS_Item_Code!$A:$L,4,0),"item code is invalid")</f>
        <v>0</v>
      </c>
      <c r="AA43" s="332">
        <f t="shared" si="8"/>
        <v>0</v>
      </c>
      <c r="AB43" s="433"/>
      <c r="AC43" s="440"/>
      <c r="AD43" s="609">
        <f t="shared" si="6"/>
        <v>0</v>
      </c>
      <c r="AE43" s="335" t="str">
        <f>IFERROR($X43*VLOOKUP($U43,ESS_Item_Code!$A:$L,6,0),"item code is invalid")</f>
        <v>item code is invalid</v>
      </c>
      <c r="AF43" s="335" t="e">
        <f t="shared" si="7"/>
        <v>#VALUE!</v>
      </c>
      <c r="AG43" s="433" t="s">
        <v>1071</v>
      </c>
      <c r="AH43" s="441"/>
      <c r="AI43" s="433">
        <v>60</v>
      </c>
      <c r="AJ43" s="433" t="s">
        <v>2277</v>
      </c>
      <c r="AK43" s="433" t="s">
        <v>1084</v>
      </c>
      <c r="AL43" s="433">
        <v>32809</v>
      </c>
      <c r="AM43" s="433" t="s">
        <v>52</v>
      </c>
      <c r="AN43" s="433" t="s">
        <v>50</v>
      </c>
      <c r="AO43" s="433"/>
    </row>
    <row r="44" spans="1:41" s="333" customFormat="1" ht="12">
      <c r="A44" s="448"/>
      <c r="B44" s="450">
        <v>44645</v>
      </c>
      <c r="C44" s="450">
        <v>44645</v>
      </c>
      <c r="D44" s="433" t="s">
        <v>2901</v>
      </c>
      <c r="E44" s="433"/>
      <c r="F44" s="433" t="s">
        <v>1147</v>
      </c>
      <c r="G44" s="433">
        <v>2022</v>
      </c>
      <c r="H44" s="433">
        <v>3</v>
      </c>
      <c r="I44" s="433">
        <v>127680</v>
      </c>
      <c r="J44" s="434">
        <v>44650</v>
      </c>
      <c r="K44" s="433" t="s">
        <v>5226</v>
      </c>
      <c r="L44" s="433" t="s">
        <v>2567</v>
      </c>
      <c r="M44" s="434">
        <v>44638</v>
      </c>
      <c r="N44" s="434">
        <v>44651</v>
      </c>
      <c r="O44" s="434"/>
      <c r="P44" s="442">
        <v>44645</v>
      </c>
      <c r="Q44" s="434">
        <v>44650</v>
      </c>
      <c r="R44" s="434">
        <v>44655</v>
      </c>
      <c r="S44" s="433" t="s">
        <v>2904</v>
      </c>
      <c r="T44" s="489" t="str">
        <f>IFERROR(VLOOKUP($U44,ESS_Item_Code!$A:$L,5,0),"item code is invalid")</f>
        <v>Inverter</v>
      </c>
      <c r="U44" s="433" t="s">
        <v>209</v>
      </c>
      <c r="V44" s="448" t="str">
        <f>IFERROR(VLOOKUP($U44,ESS_Item_Code!$A:$L,2,0),"item code is invalid")</f>
        <v>Q.HOME+ HYB-G1 8.6</v>
      </c>
      <c r="W44" s="435">
        <v>2457</v>
      </c>
      <c r="X44" s="433">
        <v>20</v>
      </c>
      <c r="Y44" s="609">
        <f>+IFERROR($X44*VLOOKUP($U44,ESS_Item_Code!$A:$L,3,0),"item code is invalid")</f>
        <v>172</v>
      </c>
      <c r="Z44" s="331">
        <f>IFERROR($X44*VLOOKUP($U44,ESS_Item_Code!$A:$L,4,0),"item code is invalid")</f>
        <v>0</v>
      </c>
      <c r="AA44" s="332">
        <f t="shared" si="8"/>
        <v>49140</v>
      </c>
      <c r="AB44" s="433"/>
      <c r="AC44" s="440"/>
      <c r="AD44" s="609">
        <f t="shared" si="6"/>
        <v>49140</v>
      </c>
      <c r="AE44" s="335">
        <f>IFERROR($X44*VLOOKUP($U44,ESS_Item_Code!$A:$L,6,0),"item code is invalid")</f>
        <v>44100</v>
      </c>
      <c r="AF44" s="335">
        <f t="shared" si="7"/>
        <v>882000</v>
      </c>
      <c r="AG44" s="433" t="s">
        <v>1071</v>
      </c>
      <c r="AH44" s="441"/>
      <c r="AI44" s="433">
        <v>60</v>
      </c>
      <c r="AJ44" s="433" t="s">
        <v>2506</v>
      </c>
      <c r="AK44" s="433" t="s">
        <v>1084</v>
      </c>
      <c r="AL44" s="433">
        <v>33634</v>
      </c>
      <c r="AM44" s="433" t="s">
        <v>52</v>
      </c>
      <c r="AN44" s="433" t="s">
        <v>50</v>
      </c>
      <c r="AO44" s="433"/>
    </row>
    <row r="45" spans="1:41" s="333" customFormat="1" ht="12">
      <c r="A45" s="448"/>
      <c r="B45" s="450">
        <v>44645</v>
      </c>
      <c r="C45" s="450">
        <v>44645</v>
      </c>
      <c r="D45" s="433" t="s">
        <v>2901</v>
      </c>
      <c r="E45" s="433"/>
      <c r="F45" s="433" t="s">
        <v>1147</v>
      </c>
      <c r="G45" s="433">
        <v>2022</v>
      </c>
      <c r="H45" s="433">
        <v>3</v>
      </c>
      <c r="I45" s="433">
        <v>127680</v>
      </c>
      <c r="J45" s="434">
        <v>44650</v>
      </c>
      <c r="K45" s="433" t="s">
        <v>5226</v>
      </c>
      <c r="L45" s="433" t="s">
        <v>2567</v>
      </c>
      <c r="M45" s="434">
        <v>44638</v>
      </c>
      <c r="N45" s="434">
        <v>44651</v>
      </c>
      <c r="O45" s="434"/>
      <c r="P45" s="442">
        <v>44645</v>
      </c>
      <c r="Q45" s="434">
        <v>44650</v>
      </c>
      <c r="R45" s="434">
        <v>44655</v>
      </c>
      <c r="S45" s="433" t="s">
        <v>2904</v>
      </c>
      <c r="T45" s="489" t="str">
        <f>IFERROR(VLOOKUP($U45,ESS_Item_Code!$A:$L,5,0),"item code is invalid")</f>
        <v>Battery</v>
      </c>
      <c r="U45" s="433" t="s">
        <v>233</v>
      </c>
      <c r="V45" s="448" t="str">
        <f>IFERROR(VLOOKUP($U45,ESS_Item_Code!$A:$L,2,0),"item code is invalid")</f>
        <v>BAT63</v>
      </c>
      <c r="W45" s="435">
        <v>2682.72</v>
      </c>
      <c r="X45" s="433">
        <v>40</v>
      </c>
      <c r="Y45" s="609">
        <f>+IFERROR($X45*VLOOKUP($U45,ESS_Item_Code!$A:$L,3,0),"item code is invalid")</f>
        <v>0</v>
      </c>
      <c r="Z45" s="331">
        <f>IFERROR($X45*VLOOKUP($U45,ESS_Item_Code!$A:$L,4,0),"item code is invalid")</f>
        <v>252</v>
      </c>
      <c r="AA45" s="332">
        <f t="shared" si="8"/>
        <v>107308.79999999999</v>
      </c>
      <c r="AB45" s="433"/>
      <c r="AC45" s="440"/>
      <c r="AD45" s="609">
        <f t="shared" si="6"/>
        <v>107308.79999999999</v>
      </c>
      <c r="AE45" s="335">
        <f>IFERROR($X45*VLOOKUP($U45,ESS_Item_Code!$A:$L,6,0),"item code is invalid")</f>
        <v>90040</v>
      </c>
      <c r="AF45" s="335">
        <f t="shared" si="7"/>
        <v>3601600</v>
      </c>
      <c r="AG45" s="433" t="s">
        <v>1071</v>
      </c>
      <c r="AH45" s="441"/>
      <c r="AI45" s="433">
        <v>60</v>
      </c>
      <c r="AJ45" s="433" t="s">
        <v>2506</v>
      </c>
      <c r="AK45" s="433" t="s">
        <v>1084</v>
      </c>
      <c r="AL45" s="433">
        <v>33634</v>
      </c>
      <c r="AM45" s="433" t="s">
        <v>52</v>
      </c>
      <c r="AN45" s="433" t="s">
        <v>50</v>
      </c>
      <c r="AO45" s="433"/>
    </row>
    <row r="46" spans="1:41" s="333" customFormat="1" ht="12">
      <c r="A46" s="448"/>
      <c r="B46" s="450">
        <v>44645</v>
      </c>
      <c r="C46" s="450">
        <v>44645</v>
      </c>
      <c r="D46" s="433" t="s">
        <v>2901</v>
      </c>
      <c r="E46" s="433"/>
      <c r="F46" s="433" t="s">
        <v>1147</v>
      </c>
      <c r="G46" s="433">
        <v>2022</v>
      </c>
      <c r="H46" s="433">
        <v>3</v>
      </c>
      <c r="I46" s="433">
        <v>127680</v>
      </c>
      <c r="J46" s="434">
        <v>44650</v>
      </c>
      <c r="K46" s="433" t="s">
        <v>5226</v>
      </c>
      <c r="L46" s="433" t="s">
        <v>2567</v>
      </c>
      <c r="M46" s="434">
        <v>44638</v>
      </c>
      <c r="N46" s="434">
        <v>44651</v>
      </c>
      <c r="O46" s="434"/>
      <c r="P46" s="442">
        <v>44645</v>
      </c>
      <c r="Q46" s="434">
        <v>44650</v>
      </c>
      <c r="R46" s="434">
        <v>44655</v>
      </c>
      <c r="S46" s="433" t="s">
        <v>2904</v>
      </c>
      <c r="T46" s="489" t="str">
        <f>IFERROR(VLOOKUP($U46,ESS_Item_Code!$A:$L,5,0),"item code is invalid")</f>
        <v>RSD</v>
      </c>
      <c r="U46" s="433" t="s">
        <v>258</v>
      </c>
      <c r="V46" s="448" t="str">
        <f>IFERROR(VLOOKUP($U46,ESS_Item_Code!$A:$L,2,0),"item code is invalid")</f>
        <v>Rapid Shut Module</v>
      </c>
      <c r="W46" s="435">
        <v>30.6</v>
      </c>
      <c r="X46" s="433">
        <v>336</v>
      </c>
      <c r="Y46" s="609">
        <f>+IFERROR($X46*VLOOKUP($U46,ESS_Item_Code!$A:$L,3,0),"item code is invalid")</f>
        <v>0</v>
      </c>
      <c r="Z46" s="331">
        <f>IFERROR($X46*VLOOKUP($U46,ESS_Item_Code!$A:$L,4,0),"item code is invalid")</f>
        <v>0</v>
      </c>
      <c r="AA46" s="332">
        <f t="shared" si="8"/>
        <v>10281.6</v>
      </c>
      <c r="AB46" s="433"/>
      <c r="AC46" s="440"/>
      <c r="AD46" s="609">
        <f t="shared" si="6"/>
        <v>10281.6</v>
      </c>
      <c r="AE46" s="335">
        <f>IFERROR($X46*VLOOKUP($U46,ESS_Item_Code!$A:$L,6,0),"item code is invalid")</f>
        <v>0</v>
      </c>
      <c r="AF46" s="335">
        <f t="shared" si="7"/>
        <v>0</v>
      </c>
      <c r="AG46" s="433" t="s">
        <v>1071</v>
      </c>
      <c r="AH46" s="441"/>
      <c r="AI46" s="433">
        <v>60</v>
      </c>
      <c r="AJ46" s="433" t="s">
        <v>2506</v>
      </c>
      <c r="AK46" s="433" t="s">
        <v>1084</v>
      </c>
      <c r="AL46" s="433">
        <v>33634</v>
      </c>
      <c r="AM46" s="433" t="s">
        <v>52</v>
      </c>
      <c r="AN46" s="433" t="s">
        <v>50</v>
      </c>
      <c r="AO46" s="433"/>
    </row>
    <row r="47" spans="1:41" s="333" customFormat="1" ht="12">
      <c r="A47" s="448"/>
      <c r="B47" s="450">
        <v>44645</v>
      </c>
      <c r="C47" s="450">
        <v>44645</v>
      </c>
      <c r="D47" s="433" t="s">
        <v>2901</v>
      </c>
      <c r="E47" s="433"/>
      <c r="F47" s="433" t="s">
        <v>1147</v>
      </c>
      <c r="G47" s="433">
        <v>2022</v>
      </c>
      <c r="H47" s="433">
        <v>3</v>
      </c>
      <c r="I47" s="433">
        <v>127680</v>
      </c>
      <c r="J47" s="434">
        <v>44650</v>
      </c>
      <c r="K47" s="433" t="s">
        <v>5226</v>
      </c>
      <c r="L47" s="433" t="s">
        <v>2567</v>
      </c>
      <c r="M47" s="434">
        <v>44638</v>
      </c>
      <c r="N47" s="434">
        <v>44651</v>
      </c>
      <c r="O47" s="434"/>
      <c r="P47" s="442">
        <v>44645</v>
      </c>
      <c r="Q47" s="434">
        <v>44650</v>
      </c>
      <c r="R47" s="434">
        <v>44655</v>
      </c>
      <c r="S47" s="433" t="s">
        <v>2904</v>
      </c>
      <c r="T47" s="489" t="str">
        <f>IFERROR(VLOOKUP($U47,ESS_Item_Code!$A:$L,5,0),"item code is invalid")</f>
        <v>Accessory</v>
      </c>
      <c r="U47" s="433" t="s">
        <v>239</v>
      </c>
      <c r="V47" s="448" t="str">
        <f>IFERROR(VLOOKUP($U47,ESS_Item_Code!$A:$L,2,0),"item code is invalid")</f>
        <v>Q.HOME+ TX-8.6</v>
      </c>
      <c r="W47" s="435">
        <v>360</v>
      </c>
      <c r="X47" s="433">
        <v>20</v>
      </c>
      <c r="Y47" s="609">
        <f>+IFERROR($X47*VLOOKUP($U47,ESS_Item_Code!$A:$L,3,0),"item code is invalid")</f>
        <v>0</v>
      </c>
      <c r="Z47" s="331">
        <f>IFERROR($X47*VLOOKUP($U47,ESS_Item_Code!$A:$L,4,0),"item code is invalid")</f>
        <v>0</v>
      </c>
      <c r="AA47" s="332">
        <f t="shared" si="8"/>
        <v>7200</v>
      </c>
      <c r="AB47" s="433"/>
      <c r="AC47" s="440"/>
      <c r="AD47" s="609">
        <f t="shared" si="6"/>
        <v>7200</v>
      </c>
      <c r="AE47" s="335">
        <f>IFERROR($X47*VLOOKUP($U47,ESS_Item_Code!$A:$L,6,0),"item code is invalid")</f>
        <v>7000</v>
      </c>
      <c r="AF47" s="335">
        <f t="shared" si="7"/>
        <v>140000</v>
      </c>
      <c r="AG47" s="433" t="s">
        <v>1071</v>
      </c>
      <c r="AH47" s="441"/>
      <c r="AI47" s="433">
        <v>60</v>
      </c>
      <c r="AJ47" s="433" t="s">
        <v>2506</v>
      </c>
      <c r="AK47" s="433" t="s">
        <v>1084</v>
      </c>
      <c r="AL47" s="433">
        <v>33634</v>
      </c>
      <c r="AM47" s="433" t="s">
        <v>52</v>
      </c>
      <c r="AN47" s="433" t="s">
        <v>50</v>
      </c>
      <c r="AO47" s="433"/>
    </row>
    <row r="48" spans="1:41" s="333" customFormat="1" ht="12">
      <c r="A48" s="448"/>
      <c r="B48" s="450">
        <v>44645</v>
      </c>
      <c r="C48" s="450">
        <v>44645</v>
      </c>
      <c r="D48" s="433" t="s">
        <v>2901</v>
      </c>
      <c r="E48" s="433"/>
      <c r="F48" s="433" t="s">
        <v>1147</v>
      </c>
      <c r="G48" s="433">
        <v>2022</v>
      </c>
      <c r="H48" s="433">
        <v>3</v>
      </c>
      <c r="I48" s="433">
        <v>127680</v>
      </c>
      <c r="J48" s="434">
        <v>44650</v>
      </c>
      <c r="K48" s="433" t="s">
        <v>5226</v>
      </c>
      <c r="L48" s="433" t="s">
        <v>2567</v>
      </c>
      <c r="M48" s="434">
        <v>44638</v>
      </c>
      <c r="N48" s="434">
        <v>44651</v>
      </c>
      <c r="O48" s="434"/>
      <c r="P48" s="442">
        <v>44645</v>
      </c>
      <c r="Q48" s="434">
        <v>44650</v>
      </c>
      <c r="R48" s="434">
        <v>44655</v>
      </c>
      <c r="S48" s="433" t="s">
        <v>2904</v>
      </c>
      <c r="T48" s="489" t="str">
        <f>IFERROR(VLOOKUP($U48,ESS_Item_Code!$A:$L,5,0),"item code is invalid")</f>
        <v>Battery</v>
      </c>
      <c r="U48" s="433" t="s">
        <v>236</v>
      </c>
      <c r="V48" s="448" t="str">
        <f>IFERROR(VLOOKUP($U48,ESS_Item_Code!$A:$L,2,0),"item code is invalid")</f>
        <v>BAT BMS-G1</v>
      </c>
      <c r="W48" s="435">
        <v>504</v>
      </c>
      <c r="X48" s="433">
        <v>20</v>
      </c>
      <c r="Y48" s="609">
        <f>+IFERROR($X48*VLOOKUP($U48,ESS_Item_Code!$A:$L,3,0),"item code is invalid")</f>
        <v>0</v>
      </c>
      <c r="Z48" s="331">
        <f>IFERROR($X48*VLOOKUP($U48,ESS_Item_Code!$A:$L,4,0),"item code is invalid")</f>
        <v>0</v>
      </c>
      <c r="AA48" s="332">
        <f t="shared" si="8"/>
        <v>10080</v>
      </c>
      <c r="AB48" s="433"/>
      <c r="AC48" s="440"/>
      <c r="AD48" s="609">
        <f t="shared" si="6"/>
        <v>10080</v>
      </c>
      <c r="AE48" s="335">
        <f>IFERROR($X48*VLOOKUP($U48,ESS_Item_Code!$A:$L,6,0),"item code is invalid")</f>
        <v>9300</v>
      </c>
      <c r="AF48" s="335">
        <f t="shared" si="7"/>
        <v>186000</v>
      </c>
      <c r="AG48" s="433" t="s">
        <v>1071</v>
      </c>
      <c r="AH48" s="441"/>
      <c r="AI48" s="433">
        <v>60</v>
      </c>
      <c r="AJ48" s="433" t="s">
        <v>2506</v>
      </c>
      <c r="AK48" s="433" t="s">
        <v>1084</v>
      </c>
      <c r="AL48" s="433">
        <v>33634</v>
      </c>
      <c r="AM48" s="433" t="s">
        <v>52</v>
      </c>
      <c r="AN48" s="433" t="s">
        <v>50</v>
      </c>
      <c r="AO48" s="433"/>
    </row>
    <row r="49" spans="1:41" s="333" customFormat="1" ht="12">
      <c r="A49" s="448"/>
      <c r="B49" s="450">
        <v>44645</v>
      </c>
      <c r="C49" s="450">
        <v>44645</v>
      </c>
      <c r="D49" s="433" t="s">
        <v>2901</v>
      </c>
      <c r="E49" s="433"/>
      <c r="F49" s="433" t="s">
        <v>1147</v>
      </c>
      <c r="G49" s="433">
        <v>2022</v>
      </c>
      <c r="H49" s="433">
        <v>3</v>
      </c>
      <c r="I49" s="433">
        <v>127680</v>
      </c>
      <c r="J49" s="434">
        <v>44650</v>
      </c>
      <c r="K49" s="433" t="s">
        <v>5226</v>
      </c>
      <c r="L49" s="433" t="s">
        <v>2567</v>
      </c>
      <c r="M49" s="434">
        <v>44638</v>
      </c>
      <c r="N49" s="434">
        <v>44651</v>
      </c>
      <c r="O49" s="434"/>
      <c r="P49" s="442">
        <v>44645</v>
      </c>
      <c r="Q49" s="434">
        <v>44650</v>
      </c>
      <c r="R49" s="434">
        <v>44655</v>
      </c>
      <c r="S49" s="433" t="s">
        <v>2904</v>
      </c>
      <c r="T49" s="489" t="str">
        <f>IFERROR(VLOOKUP($U49,ESS_Item_Code!$A:$L,5,0),"item code is invalid")</f>
        <v>Accessory</v>
      </c>
      <c r="U49" s="433" t="s">
        <v>251</v>
      </c>
      <c r="V49" s="448" t="str">
        <f>IFERROR(VLOOKUP($U49,ESS_Item_Code!$A:$L,2,0),"item code is invalid")</f>
        <v>Wifi module</v>
      </c>
      <c r="W49" s="435">
        <v>45</v>
      </c>
      <c r="X49" s="433">
        <v>20</v>
      </c>
      <c r="Y49" s="609">
        <f>+IFERROR($X49*VLOOKUP($U49,ESS_Item_Code!$A:$L,3,0),"item code is invalid")</f>
        <v>0</v>
      </c>
      <c r="Z49" s="331">
        <f>IFERROR($X49*VLOOKUP($U49,ESS_Item_Code!$A:$L,4,0),"item code is invalid")</f>
        <v>0</v>
      </c>
      <c r="AA49" s="332">
        <f t="shared" si="8"/>
        <v>900</v>
      </c>
      <c r="AB49" s="433"/>
      <c r="AC49" s="440"/>
      <c r="AD49" s="609">
        <f t="shared" si="6"/>
        <v>900</v>
      </c>
      <c r="AE49" s="335">
        <f>IFERROR($X49*VLOOKUP($U49,ESS_Item_Code!$A:$L,6,0),"item code is invalid")</f>
        <v>800</v>
      </c>
      <c r="AF49" s="335">
        <f t="shared" si="7"/>
        <v>16000</v>
      </c>
      <c r="AG49" s="433" t="s">
        <v>1071</v>
      </c>
      <c r="AH49" s="441"/>
      <c r="AI49" s="433">
        <v>60</v>
      </c>
      <c r="AJ49" s="433" t="s">
        <v>2506</v>
      </c>
      <c r="AK49" s="433" t="s">
        <v>1084</v>
      </c>
      <c r="AL49" s="433">
        <v>33634</v>
      </c>
      <c r="AM49" s="433" t="s">
        <v>52</v>
      </c>
      <c r="AN49" s="433" t="s">
        <v>50</v>
      </c>
      <c r="AO49" s="433"/>
    </row>
    <row r="50" spans="1:41" s="333" customFormat="1" ht="12">
      <c r="A50" s="448"/>
      <c r="B50" s="450">
        <v>44645</v>
      </c>
      <c r="C50" s="450">
        <v>44645</v>
      </c>
      <c r="D50" s="433" t="s">
        <v>2901</v>
      </c>
      <c r="E50" s="433"/>
      <c r="F50" s="433" t="s">
        <v>1147</v>
      </c>
      <c r="G50" s="433">
        <v>2022</v>
      </c>
      <c r="H50" s="433">
        <v>3</v>
      </c>
      <c r="I50" s="433">
        <v>127680</v>
      </c>
      <c r="J50" s="434">
        <v>44650</v>
      </c>
      <c r="K50" s="433" t="s">
        <v>5226</v>
      </c>
      <c r="L50" s="433" t="s">
        <v>2567</v>
      </c>
      <c r="M50" s="434">
        <v>44638</v>
      </c>
      <c r="N50" s="434">
        <v>44651</v>
      </c>
      <c r="O50" s="434"/>
      <c r="P50" s="442">
        <v>44645</v>
      </c>
      <c r="Q50" s="434">
        <v>44650</v>
      </c>
      <c r="R50" s="434">
        <v>44655</v>
      </c>
      <c r="S50" s="433" t="s">
        <v>2904</v>
      </c>
      <c r="T50" s="489" t="str">
        <f>IFERROR(VLOOKUP($U50,ESS_Item_Code!$A:$L,5,0),"item code is invalid")</f>
        <v>EMS</v>
      </c>
      <c r="U50" s="433" t="s">
        <v>254</v>
      </c>
      <c r="V50" s="448" t="str">
        <f>IFERROR(VLOOKUP($U50,ESS_Item_Code!$A:$L,2,0),"item code is invalid")</f>
        <v>Meter set</v>
      </c>
      <c r="W50" s="435">
        <v>90</v>
      </c>
      <c r="X50" s="433">
        <v>20</v>
      </c>
      <c r="Y50" s="609">
        <f>+IFERROR($X50*VLOOKUP($U50,ESS_Item_Code!$A:$L,3,0),"item code is invalid")</f>
        <v>0</v>
      </c>
      <c r="Z50" s="331">
        <f>IFERROR($X50*VLOOKUP($U50,ESS_Item_Code!$A:$L,4,0),"item code is invalid")</f>
        <v>0</v>
      </c>
      <c r="AA50" s="332">
        <f t="shared" si="8"/>
        <v>1800</v>
      </c>
      <c r="AB50" s="433"/>
      <c r="AC50" s="440"/>
      <c r="AD50" s="609">
        <f t="shared" si="6"/>
        <v>1800</v>
      </c>
      <c r="AE50" s="335">
        <f>IFERROR($X50*VLOOKUP($U50,ESS_Item_Code!$A:$L,6,0),"item code is invalid")</f>
        <v>1600</v>
      </c>
      <c r="AF50" s="335">
        <f t="shared" si="7"/>
        <v>32000</v>
      </c>
      <c r="AG50" s="433" t="s">
        <v>1071</v>
      </c>
      <c r="AH50" s="441"/>
      <c r="AI50" s="433">
        <v>60</v>
      </c>
      <c r="AJ50" s="433" t="s">
        <v>2506</v>
      </c>
      <c r="AK50" s="433" t="s">
        <v>1084</v>
      </c>
      <c r="AL50" s="433">
        <v>33634</v>
      </c>
      <c r="AM50" s="433" t="s">
        <v>52</v>
      </c>
      <c r="AN50" s="433" t="s">
        <v>50</v>
      </c>
      <c r="AO50" s="433"/>
    </row>
    <row r="51" spans="1:41" s="333" customFormat="1" ht="12">
      <c r="A51" s="448"/>
      <c r="B51" s="450">
        <v>44645</v>
      </c>
      <c r="C51" s="450">
        <v>44645</v>
      </c>
      <c r="D51" s="433" t="s">
        <v>2901</v>
      </c>
      <c r="E51" s="433"/>
      <c r="F51" s="433" t="s">
        <v>1147</v>
      </c>
      <c r="G51" s="433">
        <v>2022</v>
      </c>
      <c r="H51" s="433">
        <v>3</v>
      </c>
      <c r="I51" s="433">
        <v>127680</v>
      </c>
      <c r="J51" s="434">
        <v>44650</v>
      </c>
      <c r="K51" s="433" t="s">
        <v>5226</v>
      </c>
      <c r="L51" s="433" t="s">
        <v>2567</v>
      </c>
      <c r="M51" s="434">
        <v>44638</v>
      </c>
      <c r="N51" s="434">
        <v>44651</v>
      </c>
      <c r="O51" s="434"/>
      <c r="P51" s="442">
        <v>44645</v>
      </c>
      <c r="Q51" s="434">
        <v>44650</v>
      </c>
      <c r="R51" s="434">
        <v>44655</v>
      </c>
      <c r="S51" s="433" t="s">
        <v>2904</v>
      </c>
      <c r="T51" s="489" t="str">
        <f>IFERROR(VLOOKUP($U51,ESS_Item_Code!$A:$L,5,0),"item code is invalid")</f>
        <v>Accessory</v>
      </c>
      <c r="U51" s="433" t="s">
        <v>244</v>
      </c>
      <c r="V51" s="448" t="str">
        <f>IFERROR(VLOOKUP($U51,ESS_Item_Code!$A:$L,2,0),"item code is invalid")</f>
        <v>Battery Accessory box , Master control Accessory</v>
      </c>
      <c r="W51" s="435">
        <v>0</v>
      </c>
      <c r="X51" s="433">
        <v>20</v>
      </c>
      <c r="Y51" s="609">
        <f>+IFERROR($X51*VLOOKUP($U51,ESS_Item_Code!$A:$L,3,0),"item code is invalid")</f>
        <v>0</v>
      </c>
      <c r="Z51" s="331">
        <f>IFERROR($X51*VLOOKUP($U51,ESS_Item_Code!$A:$L,4,0),"item code is invalid")</f>
        <v>0</v>
      </c>
      <c r="AA51" s="332">
        <f t="shared" si="8"/>
        <v>0</v>
      </c>
      <c r="AB51" s="433"/>
      <c r="AC51" s="440"/>
      <c r="AD51" s="609">
        <f t="shared" si="6"/>
        <v>0</v>
      </c>
      <c r="AE51" s="335" t="str">
        <f>IFERROR($X51*VLOOKUP($U51,ESS_Item_Code!$A:$L,6,0),"item code is invalid")</f>
        <v>item code is invalid</v>
      </c>
      <c r="AF51" s="335" t="e">
        <f t="shared" si="7"/>
        <v>#VALUE!</v>
      </c>
      <c r="AG51" s="433" t="s">
        <v>1071</v>
      </c>
      <c r="AH51" s="441"/>
      <c r="AI51" s="433">
        <v>60</v>
      </c>
      <c r="AJ51" s="433" t="s">
        <v>2506</v>
      </c>
      <c r="AK51" s="433" t="s">
        <v>1084</v>
      </c>
      <c r="AL51" s="433">
        <v>33634</v>
      </c>
      <c r="AM51" s="433" t="s">
        <v>52</v>
      </c>
      <c r="AN51" s="433" t="s">
        <v>50</v>
      </c>
      <c r="AO51" s="433"/>
    </row>
    <row r="52" spans="1:41" s="333" customFormat="1" ht="12">
      <c r="A52" s="448"/>
      <c r="B52" s="450">
        <v>44645</v>
      </c>
      <c r="C52" s="450">
        <v>44645</v>
      </c>
      <c r="D52" s="433" t="s">
        <v>2901</v>
      </c>
      <c r="E52" s="433"/>
      <c r="F52" s="433" t="s">
        <v>1147</v>
      </c>
      <c r="G52" s="433">
        <v>2022</v>
      </c>
      <c r="H52" s="433">
        <v>3</v>
      </c>
      <c r="I52" s="433">
        <v>127680</v>
      </c>
      <c r="J52" s="434">
        <v>44650</v>
      </c>
      <c r="K52" s="433" t="s">
        <v>5226</v>
      </c>
      <c r="L52" s="433" t="s">
        <v>2567</v>
      </c>
      <c r="M52" s="434">
        <v>44638</v>
      </c>
      <c r="N52" s="434">
        <v>44651</v>
      </c>
      <c r="O52" s="434"/>
      <c r="P52" s="442">
        <v>44645</v>
      </c>
      <c r="Q52" s="434">
        <v>44650</v>
      </c>
      <c r="R52" s="434">
        <v>44655</v>
      </c>
      <c r="S52" s="433" t="s">
        <v>2904</v>
      </c>
      <c r="T52" s="489" t="str">
        <f>IFERROR(VLOOKUP($U52,ESS_Item_Code!$A:$L,5,0),"item code is invalid")</f>
        <v>Accessory</v>
      </c>
      <c r="U52" s="433" t="s">
        <v>248</v>
      </c>
      <c r="V52" s="448" t="str">
        <f>IFERROR(VLOOKUP($U52,ESS_Item_Code!$A:$L,2,0),"item code is invalid")</f>
        <v>Battery Accessory box , Slave control Accessory</v>
      </c>
      <c r="W52" s="435">
        <v>0</v>
      </c>
      <c r="X52" s="433">
        <v>20</v>
      </c>
      <c r="Y52" s="609">
        <f>+IFERROR($X52*VLOOKUP($U52,ESS_Item_Code!$A:$L,3,0),"item code is invalid")</f>
        <v>0</v>
      </c>
      <c r="Z52" s="331">
        <f>IFERROR($X52*VLOOKUP($U52,ESS_Item_Code!$A:$L,4,0),"item code is invalid")</f>
        <v>0</v>
      </c>
      <c r="AA52" s="332">
        <f t="shared" si="8"/>
        <v>0</v>
      </c>
      <c r="AB52" s="433"/>
      <c r="AC52" s="440"/>
      <c r="AD52" s="609">
        <f t="shared" si="6"/>
        <v>0</v>
      </c>
      <c r="AE52" s="335" t="str">
        <f>IFERROR($X52*VLOOKUP($U52,ESS_Item_Code!$A:$L,6,0),"item code is invalid")</f>
        <v>item code is invalid</v>
      </c>
      <c r="AF52" s="335" t="e">
        <f t="shared" si="7"/>
        <v>#VALUE!</v>
      </c>
      <c r="AG52" s="433" t="s">
        <v>1071</v>
      </c>
      <c r="AH52" s="441"/>
      <c r="AI52" s="433">
        <v>60</v>
      </c>
      <c r="AJ52" s="433" t="s">
        <v>2506</v>
      </c>
      <c r="AK52" s="433" t="s">
        <v>1084</v>
      </c>
      <c r="AL52" s="433">
        <v>33634</v>
      </c>
      <c r="AM52" s="433" t="s">
        <v>52</v>
      </c>
      <c r="AN52" s="433" t="s">
        <v>50</v>
      </c>
      <c r="AO52" s="433"/>
    </row>
    <row r="53" spans="1:41" s="333" customFormat="1" ht="12">
      <c r="A53" s="448"/>
      <c r="B53" s="450">
        <v>44677</v>
      </c>
      <c r="C53" s="450">
        <v>44677</v>
      </c>
      <c r="D53" s="433" t="s">
        <v>2901</v>
      </c>
      <c r="E53" s="433"/>
      <c r="F53" s="433" t="s">
        <v>1147</v>
      </c>
      <c r="G53" s="433">
        <v>2022</v>
      </c>
      <c r="H53" s="433">
        <v>4</v>
      </c>
      <c r="I53" s="433"/>
      <c r="J53" s="434"/>
      <c r="K53" s="433" t="s">
        <v>5575</v>
      </c>
      <c r="L53" s="433" t="s">
        <v>2567</v>
      </c>
      <c r="M53" s="434">
        <v>44677</v>
      </c>
      <c r="N53" s="434">
        <v>44680</v>
      </c>
      <c r="O53" s="434"/>
      <c r="P53" s="442">
        <v>44677</v>
      </c>
      <c r="Q53" s="434"/>
      <c r="R53" s="434"/>
      <c r="S53" s="433" t="s">
        <v>2904</v>
      </c>
      <c r="T53" s="489" t="str">
        <f>IFERROR(VLOOKUP($U53,ESS_Item_Code!$A:$L,5,0),"item code is invalid")</f>
        <v>Inverter</v>
      </c>
      <c r="U53" s="433" t="s">
        <v>209</v>
      </c>
      <c r="V53" s="448" t="str">
        <f>IFERROR(VLOOKUP($U53,ESS_Item_Code!$A:$L,2,0),"item code is invalid")</f>
        <v>Q.HOME+ HYB-G1 8.6</v>
      </c>
      <c r="W53" s="435">
        <v>2457</v>
      </c>
      <c r="X53" s="433">
        <v>20</v>
      </c>
      <c r="Y53" s="609">
        <f>+IFERROR($X53*VLOOKUP($U53,ESS_Item_Code!$A:$L,3,0),"item code is invalid")</f>
        <v>172</v>
      </c>
      <c r="Z53" s="331">
        <f>IFERROR($X53*VLOOKUP($U53,ESS_Item_Code!$A:$L,4,0),"item code is invalid")</f>
        <v>0</v>
      </c>
      <c r="AA53" s="332">
        <f t="shared" si="8"/>
        <v>49140</v>
      </c>
      <c r="AB53" s="433"/>
      <c r="AC53" s="440"/>
      <c r="AD53" s="609">
        <f t="shared" si="6"/>
        <v>49140</v>
      </c>
      <c r="AE53" s="335">
        <f>IFERROR($X53*VLOOKUP($U53,ESS_Item_Code!$A:$L,6,0),"item code is invalid")</f>
        <v>44100</v>
      </c>
      <c r="AF53" s="335">
        <f t="shared" si="7"/>
        <v>882000</v>
      </c>
      <c r="AG53" s="433" t="s">
        <v>1071</v>
      </c>
      <c r="AH53" s="441"/>
      <c r="AI53" s="433">
        <v>60</v>
      </c>
      <c r="AJ53" s="433" t="s">
        <v>2506</v>
      </c>
      <c r="AK53" s="433" t="s">
        <v>1084</v>
      </c>
      <c r="AL53" s="433">
        <v>33634</v>
      </c>
      <c r="AM53" s="433" t="s">
        <v>52</v>
      </c>
      <c r="AN53" s="433" t="s">
        <v>50</v>
      </c>
      <c r="AO53" s="433"/>
    </row>
    <row r="54" spans="1:41" s="333" customFormat="1" ht="11.45" customHeight="1">
      <c r="A54" s="448"/>
      <c r="B54" s="450">
        <v>44677</v>
      </c>
      <c r="C54" s="450">
        <v>44677</v>
      </c>
      <c r="D54" s="433" t="s">
        <v>2901</v>
      </c>
      <c r="E54" s="433"/>
      <c r="F54" s="433" t="s">
        <v>1147</v>
      </c>
      <c r="G54" s="433">
        <v>2022</v>
      </c>
      <c r="H54" s="433">
        <v>4</v>
      </c>
      <c r="I54" s="433"/>
      <c r="J54" s="434"/>
      <c r="K54" s="433" t="s">
        <v>5575</v>
      </c>
      <c r="L54" s="433" t="s">
        <v>2567</v>
      </c>
      <c r="M54" s="434">
        <v>44677</v>
      </c>
      <c r="N54" s="434">
        <v>44680</v>
      </c>
      <c r="O54" s="434"/>
      <c r="P54" s="442">
        <v>44677</v>
      </c>
      <c r="Q54" s="434"/>
      <c r="R54" s="434"/>
      <c r="S54" s="433" t="s">
        <v>2904</v>
      </c>
      <c r="T54" s="489" t="str">
        <f>IFERROR(VLOOKUP($U54,ESS_Item_Code!$A:$L,5,0),"item code is invalid")</f>
        <v>Battery</v>
      </c>
      <c r="U54" s="433" t="s">
        <v>233</v>
      </c>
      <c r="V54" s="448" t="str">
        <f>IFERROR(VLOOKUP($U54,ESS_Item_Code!$A:$L,2,0),"item code is invalid")</f>
        <v>BAT63</v>
      </c>
      <c r="W54" s="435">
        <v>2682.72</v>
      </c>
      <c r="X54" s="433">
        <v>40</v>
      </c>
      <c r="Y54" s="609">
        <f>+IFERROR($X54*VLOOKUP($U54,ESS_Item_Code!$A:$L,3,0),"item code is invalid")</f>
        <v>0</v>
      </c>
      <c r="Z54" s="331">
        <f>IFERROR($X54*VLOOKUP($U54,ESS_Item_Code!$A:$L,4,0),"item code is invalid")</f>
        <v>252</v>
      </c>
      <c r="AA54" s="332">
        <f t="shared" si="8"/>
        <v>107308.79999999999</v>
      </c>
      <c r="AB54" s="433"/>
      <c r="AC54" s="440"/>
      <c r="AD54" s="609">
        <f t="shared" si="6"/>
        <v>107308.79999999999</v>
      </c>
      <c r="AE54" s="335">
        <f>IFERROR($X54*VLOOKUP($U54,ESS_Item_Code!$A:$L,6,0),"item code is invalid")</f>
        <v>90040</v>
      </c>
      <c r="AF54" s="335">
        <f t="shared" si="7"/>
        <v>3601600</v>
      </c>
      <c r="AG54" s="433" t="s">
        <v>1071</v>
      </c>
      <c r="AH54" s="441"/>
      <c r="AI54" s="433">
        <v>60</v>
      </c>
      <c r="AJ54" s="433" t="s">
        <v>2506</v>
      </c>
      <c r="AK54" s="433" t="s">
        <v>1084</v>
      </c>
      <c r="AL54" s="433">
        <v>33634</v>
      </c>
      <c r="AM54" s="433" t="s">
        <v>52</v>
      </c>
      <c r="AN54" s="433" t="s">
        <v>50</v>
      </c>
      <c r="AO54" s="433"/>
    </row>
    <row r="55" spans="1:41" s="333" customFormat="1" ht="12">
      <c r="A55" s="448"/>
      <c r="B55" s="450">
        <v>44677</v>
      </c>
      <c r="C55" s="450">
        <v>44677</v>
      </c>
      <c r="D55" s="433" t="s">
        <v>2901</v>
      </c>
      <c r="E55" s="433"/>
      <c r="F55" s="433" t="s">
        <v>1147</v>
      </c>
      <c r="G55" s="433">
        <v>2022</v>
      </c>
      <c r="H55" s="433">
        <v>4</v>
      </c>
      <c r="I55" s="433"/>
      <c r="J55" s="434"/>
      <c r="K55" s="433" t="s">
        <v>5575</v>
      </c>
      <c r="L55" s="433" t="s">
        <v>2567</v>
      </c>
      <c r="M55" s="434">
        <v>44677</v>
      </c>
      <c r="N55" s="434">
        <v>44680</v>
      </c>
      <c r="O55" s="434"/>
      <c r="P55" s="442">
        <v>44677</v>
      </c>
      <c r="Q55" s="434"/>
      <c r="R55" s="434"/>
      <c r="S55" s="433" t="s">
        <v>2904</v>
      </c>
      <c r="T55" s="489" t="str">
        <f>IFERROR(VLOOKUP($U55,ESS_Item_Code!$A:$L,5,0),"item code is invalid")</f>
        <v>Accessory</v>
      </c>
      <c r="U55" s="433" t="s">
        <v>239</v>
      </c>
      <c r="V55" s="448" t="str">
        <f>IFERROR(VLOOKUP($U55,ESS_Item_Code!$A:$L,2,0),"item code is invalid")</f>
        <v>Q.HOME+ TX-8.6</v>
      </c>
      <c r="W55" s="435">
        <v>360</v>
      </c>
      <c r="X55" s="433">
        <v>20</v>
      </c>
      <c r="Y55" s="609">
        <f>+IFERROR($X55*VLOOKUP($U55,ESS_Item_Code!$A:$L,3,0),"item code is invalid")</f>
        <v>0</v>
      </c>
      <c r="Z55" s="331">
        <f>IFERROR($X55*VLOOKUP($U55,ESS_Item_Code!$A:$L,4,0),"item code is invalid")</f>
        <v>0</v>
      </c>
      <c r="AA55" s="332">
        <f t="shared" si="8"/>
        <v>7200</v>
      </c>
      <c r="AB55" s="433"/>
      <c r="AC55" s="440"/>
      <c r="AD55" s="609">
        <f t="shared" si="6"/>
        <v>7200</v>
      </c>
      <c r="AE55" s="335">
        <f>IFERROR($X55*VLOOKUP($U55,ESS_Item_Code!$A:$L,6,0),"item code is invalid")</f>
        <v>7000</v>
      </c>
      <c r="AF55" s="335">
        <f t="shared" si="7"/>
        <v>140000</v>
      </c>
      <c r="AG55" s="433" t="s">
        <v>1071</v>
      </c>
      <c r="AH55" s="441"/>
      <c r="AI55" s="433">
        <v>60</v>
      </c>
      <c r="AJ55" s="433" t="s">
        <v>2506</v>
      </c>
      <c r="AK55" s="433" t="s">
        <v>1084</v>
      </c>
      <c r="AL55" s="433">
        <v>33634</v>
      </c>
      <c r="AM55" s="433" t="s">
        <v>52</v>
      </c>
      <c r="AN55" s="433" t="s">
        <v>50</v>
      </c>
      <c r="AO55" s="433"/>
    </row>
    <row r="56" spans="1:41" s="333" customFormat="1" ht="12">
      <c r="A56" s="448"/>
      <c r="B56" s="450">
        <v>44677</v>
      </c>
      <c r="C56" s="450">
        <v>44677</v>
      </c>
      <c r="D56" s="433" t="s">
        <v>2901</v>
      </c>
      <c r="E56" s="433"/>
      <c r="F56" s="433" t="s">
        <v>1147</v>
      </c>
      <c r="G56" s="433">
        <v>2022</v>
      </c>
      <c r="H56" s="433">
        <v>4</v>
      </c>
      <c r="I56" s="433"/>
      <c r="J56" s="434"/>
      <c r="K56" s="433" t="s">
        <v>5575</v>
      </c>
      <c r="L56" s="433" t="s">
        <v>2567</v>
      </c>
      <c r="M56" s="434">
        <v>44677</v>
      </c>
      <c r="N56" s="434">
        <v>44680</v>
      </c>
      <c r="O56" s="434"/>
      <c r="P56" s="442">
        <v>44677</v>
      </c>
      <c r="Q56" s="434"/>
      <c r="R56" s="434"/>
      <c r="S56" s="433" t="s">
        <v>2904</v>
      </c>
      <c r="T56" s="489" t="str">
        <f>IFERROR(VLOOKUP($U56,ESS_Item_Code!$A:$L,5,0),"item code is invalid")</f>
        <v>Battery</v>
      </c>
      <c r="U56" s="433" t="s">
        <v>236</v>
      </c>
      <c r="V56" s="448" t="str">
        <f>IFERROR(VLOOKUP($U56,ESS_Item_Code!$A:$L,2,0),"item code is invalid")</f>
        <v>BAT BMS-G1</v>
      </c>
      <c r="W56" s="435">
        <v>504</v>
      </c>
      <c r="X56" s="433">
        <v>20</v>
      </c>
      <c r="Y56" s="609">
        <f>+IFERROR($X56*VLOOKUP($U56,ESS_Item_Code!$A:$L,3,0),"item code is invalid")</f>
        <v>0</v>
      </c>
      <c r="Z56" s="331">
        <f>IFERROR($X56*VLOOKUP($U56,ESS_Item_Code!$A:$L,4,0),"item code is invalid")</f>
        <v>0</v>
      </c>
      <c r="AA56" s="332">
        <f t="shared" si="8"/>
        <v>10080</v>
      </c>
      <c r="AB56" s="433"/>
      <c r="AC56" s="440"/>
      <c r="AD56" s="609">
        <f t="shared" si="6"/>
        <v>10080</v>
      </c>
      <c r="AE56" s="335">
        <f>IFERROR($X56*VLOOKUP($U56,ESS_Item_Code!$A:$L,6,0),"item code is invalid")</f>
        <v>9300</v>
      </c>
      <c r="AF56" s="335">
        <f t="shared" si="7"/>
        <v>186000</v>
      </c>
      <c r="AG56" s="433" t="s">
        <v>1071</v>
      </c>
      <c r="AH56" s="441"/>
      <c r="AI56" s="433">
        <v>60</v>
      </c>
      <c r="AJ56" s="433" t="s">
        <v>2506</v>
      </c>
      <c r="AK56" s="433" t="s">
        <v>1084</v>
      </c>
      <c r="AL56" s="433">
        <v>33634</v>
      </c>
      <c r="AM56" s="433" t="s">
        <v>52</v>
      </c>
      <c r="AN56" s="433" t="s">
        <v>50</v>
      </c>
      <c r="AO56" s="433"/>
    </row>
    <row r="57" spans="1:41" s="333" customFormat="1" ht="12">
      <c r="A57" s="448"/>
      <c r="B57" s="450">
        <v>44677</v>
      </c>
      <c r="C57" s="450">
        <v>44677</v>
      </c>
      <c r="D57" s="433" t="s">
        <v>2901</v>
      </c>
      <c r="E57" s="433"/>
      <c r="F57" s="433" t="s">
        <v>1147</v>
      </c>
      <c r="G57" s="433">
        <v>2022</v>
      </c>
      <c r="H57" s="433">
        <v>4</v>
      </c>
      <c r="I57" s="433"/>
      <c r="J57" s="434"/>
      <c r="K57" s="433" t="s">
        <v>5575</v>
      </c>
      <c r="L57" s="433" t="s">
        <v>2567</v>
      </c>
      <c r="M57" s="434">
        <v>44677</v>
      </c>
      <c r="N57" s="434">
        <v>44680</v>
      </c>
      <c r="O57" s="434"/>
      <c r="P57" s="442">
        <v>44677</v>
      </c>
      <c r="Q57" s="434"/>
      <c r="R57" s="434"/>
      <c r="S57" s="433" t="s">
        <v>2904</v>
      </c>
      <c r="T57" s="489" t="str">
        <f>IFERROR(VLOOKUP($U57,ESS_Item_Code!$A:$L,5,0),"item code is invalid")</f>
        <v>Accessory</v>
      </c>
      <c r="U57" s="433" t="s">
        <v>251</v>
      </c>
      <c r="V57" s="448" t="str">
        <f>IFERROR(VLOOKUP($U57,ESS_Item_Code!$A:$L,2,0),"item code is invalid")</f>
        <v>Wifi module</v>
      </c>
      <c r="W57" s="435">
        <v>45</v>
      </c>
      <c r="X57" s="433">
        <v>20</v>
      </c>
      <c r="Y57" s="609">
        <f>+IFERROR($X57*VLOOKUP($U57,ESS_Item_Code!$A:$L,3,0),"item code is invalid")</f>
        <v>0</v>
      </c>
      <c r="Z57" s="331">
        <f>IFERROR($X57*VLOOKUP($U57,ESS_Item_Code!$A:$L,4,0),"item code is invalid")</f>
        <v>0</v>
      </c>
      <c r="AA57" s="332">
        <f t="shared" si="8"/>
        <v>900</v>
      </c>
      <c r="AB57" s="433"/>
      <c r="AC57" s="440"/>
      <c r="AD57" s="609">
        <f t="shared" si="6"/>
        <v>900</v>
      </c>
      <c r="AE57" s="335">
        <f>IFERROR($X57*VLOOKUP($U57,ESS_Item_Code!$A:$L,6,0),"item code is invalid")</f>
        <v>800</v>
      </c>
      <c r="AF57" s="335">
        <f t="shared" si="7"/>
        <v>16000</v>
      </c>
      <c r="AG57" s="433" t="s">
        <v>1071</v>
      </c>
      <c r="AH57" s="441"/>
      <c r="AI57" s="433">
        <v>60</v>
      </c>
      <c r="AJ57" s="433" t="s">
        <v>2506</v>
      </c>
      <c r="AK57" s="433" t="s">
        <v>1084</v>
      </c>
      <c r="AL57" s="433">
        <v>33634</v>
      </c>
      <c r="AM57" s="433" t="s">
        <v>52</v>
      </c>
      <c r="AN57" s="433" t="s">
        <v>50</v>
      </c>
      <c r="AO57" s="433"/>
    </row>
    <row r="58" spans="1:41" s="333" customFormat="1" ht="12">
      <c r="A58" s="448"/>
      <c r="B58" s="450">
        <v>44677</v>
      </c>
      <c r="C58" s="450">
        <v>44677</v>
      </c>
      <c r="D58" s="433" t="s">
        <v>2901</v>
      </c>
      <c r="E58" s="433"/>
      <c r="F58" s="433" t="s">
        <v>1147</v>
      </c>
      <c r="G58" s="433">
        <v>2022</v>
      </c>
      <c r="H58" s="433">
        <v>4</v>
      </c>
      <c r="I58" s="433"/>
      <c r="J58" s="434"/>
      <c r="K58" s="433" t="s">
        <v>5575</v>
      </c>
      <c r="L58" s="433" t="s">
        <v>2567</v>
      </c>
      <c r="M58" s="434">
        <v>44677</v>
      </c>
      <c r="N58" s="434">
        <v>44680</v>
      </c>
      <c r="O58" s="434"/>
      <c r="P58" s="442">
        <v>44677</v>
      </c>
      <c r="Q58" s="434"/>
      <c r="R58" s="434"/>
      <c r="S58" s="433" t="s">
        <v>2904</v>
      </c>
      <c r="T58" s="489" t="str">
        <f>IFERROR(VLOOKUP($U58,ESS_Item_Code!$A:$L,5,0),"item code is invalid")</f>
        <v>EMS</v>
      </c>
      <c r="U58" s="433" t="s">
        <v>254</v>
      </c>
      <c r="V58" s="448" t="str">
        <f>IFERROR(VLOOKUP($U58,ESS_Item_Code!$A:$L,2,0),"item code is invalid")</f>
        <v>Meter set</v>
      </c>
      <c r="W58" s="435">
        <v>90</v>
      </c>
      <c r="X58" s="433">
        <v>20</v>
      </c>
      <c r="Y58" s="609">
        <f>+IFERROR($X58*VLOOKUP($U58,ESS_Item_Code!$A:$L,3,0),"item code is invalid")</f>
        <v>0</v>
      </c>
      <c r="Z58" s="331">
        <f>IFERROR($X58*VLOOKUP($U58,ESS_Item_Code!$A:$L,4,0),"item code is invalid")</f>
        <v>0</v>
      </c>
      <c r="AA58" s="332">
        <f t="shared" si="8"/>
        <v>1800</v>
      </c>
      <c r="AB58" s="433"/>
      <c r="AC58" s="440"/>
      <c r="AD58" s="609">
        <f t="shared" si="6"/>
        <v>1800</v>
      </c>
      <c r="AE58" s="335">
        <f>IFERROR($X58*VLOOKUP($U58,ESS_Item_Code!$A:$L,6,0),"item code is invalid")</f>
        <v>1600</v>
      </c>
      <c r="AF58" s="335">
        <f t="shared" si="7"/>
        <v>32000</v>
      </c>
      <c r="AG58" s="433" t="s">
        <v>1071</v>
      </c>
      <c r="AH58" s="441"/>
      <c r="AI58" s="433">
        <v>60</v>
      </c>
      <c r="AJ58" s="433" t="s">
        <v>2506</v>
      </c>
      <c r="AK58" s="433" t="s">
        <v>1084</v>
      </c>
      <c r="AL58" s="433">
        <v>33634</v>
      </c>
      <c r="AM58" s="433" t="s">
        <v>52</v>
      </c>
      <c r="AN58" s="433" t="s">
        <v>50</v>
      </c>
      <c r="AO58" s="433"/>
    </row>
    <row r="59" spans="1:41" s="333" customFormat="1" ht="12">
      <c r="A59" s="448"/>
      <c r="B59" s="450">
        <v>44677</v>
      </c>
      <c r="C59" s="450">
        <v>44677</v>
      </c>
      <c r="D59" s="433" t="s">
        <v>2901</v>
      </c>
      <c r="E59" s="433"/>
      <c r="F59" s="433" t="s">
        <v>1147</v>
      </c>
      <c r="G59" s="433">
        <v>2022</v>
      </c>
      <c r="H59" s="433">
        <v>4</v>
      </c>
      <c r="I59" s="433"/>
      <c r="J59" s="434"/>
      <c r="K59" s="433" t="s">
        <v>5575</v>
      </c>
      <c r="L59" s="433" t="s">
        <v>2567</v>
      </c>
      <c r="M59" s="434">
        <v>44677</v>
      </c>
      <c r="N59" s="434">
        <v>44680</v>
      </c>
      <c r="O59" s="434"/>
      <c r="P59" s="442">
        <v>44677</v>
      </c>
      <c r="Q59" s="434"/>
      <c r="R59" s="434"/>
      <c r="S59" s="433" t="s">
        <v>2904</v>
      </c>
      <c r="T59" s="489" t="str">
        <f>IFERROR(VLOOKUP($U59,ESS_Item_Code!$A:$L,5,0),"item code is invalid")</f>
        <v>Accessory</v>
      </c>
      <c r="U59" s="433" t="s">
        <v>244</v>
      </c>
      <c r="V59" s="448" t="str">
        <f>IFERROR(VLOOKUP($U59,ESS_Item_Code!$A:$L,2,0),"item code is invalid")</f>
        <v>Battery Accessory box , Master control Accessory</v>
      </c>
      <c r="W59" s="435">
        <v>0</v>
      </c>
      <c r="X59" s="433">
        <v>20</v>
      </c>
      <c r="Y59" s="609">
        <f>+IFERROR($X59*VLOOKUP($U59,ESS_Item_Code!$A:$L,3,0),"item code is invalid")</f>
        <v>0</v>
      </c>
      <c r="Z59" s="331">
        <f>IFERROR($X59*VLOOKUP($U59,ESS_Item_Code!$A:$L,4,0),"item code is invalid")</f>
        <v>0</v>
      </c>
      <c r="AA59" s="332">
        <f t="shared" si="8"/>
        <v>0</v>
      </c>
      <c r="AB59" s="433"/>
      <c r="AC59" s="440"/>
      <c r="AD59" s="609">
        <f t="shared" si="6"/>
        <v>0</v>
      </c>
      <c r="AE59" s="335" t="str">
        <f>IFERROR($X59*VLOOKUP($U59,ESS_Item_Code!$A:$L,6,0),"item code is invalid")</f>
        <v>item code is invalid</v>
      </c>
      <c r="AF59" s="335" t="e">
        <f t="shared" si="7"/>
        <v>#VALUE!</v>
      </c>
      <c r="AG59" s="433" t="s">
        <v>1071</v>
      </c>
      <c r="AH59" s="441"/>
      <c r="AI59" s="433">
        <v>60</v>
      </c>
      <c r="AJ59" s="433" t="s">
        <v>2506</v>
      </c>
      <c r="AK59" s="433" t="s">
        <v>1084</v>
      </c>
      <c r="AL59" s="433">
        <v>33634</v>
      </c>
      <c r="AM59" s="433" t="s">
        <v>52</v>
      </c>
      <c r="AN59" s="433" t="s">
        <v>50</v>
      </c>
      <c r="AO59" s="433"/>
    </row>
    <row r="60" spans="1:41" s="333" customFormat="1" ht="12">
      <c r="A60" s="448"/>
      <c r="B60" s="450">
        <v>44677</v>
      </c>
      <c r="C60" s="450">
        <v>44677</v>
      </c>
      <c r="D60" s="433" t="s">
        <v>2901</v>
      </c>
      <c r="E60" s="433"/>
      <c r="F60" s="433" t="s">
        <v>1147</v>
      </c>
      <c r="G60" s="433">
        <v>2022</v>
      </c>
      <c r="H60" s="433">
        <v>4</v>
      </c>
      <c r="I60" s="433"/>
      <c r="J60" s="434"/>
      <c r="K60" s="433" t="s">
        <v>5575</v>
      </c>
      <c r="L60" s="433" t="s">
        <v>2567</v>
      </c>
      <c r="M60" s="434">
        <v>44677</v>
      </c>
      <c r="N60" s="434">
        <v>44680</v>
      </c>
      <c r="O60" s="434"/>
      <c r="P60" s="442">
        <v>44677</v>
      </c>
      <c r="Q60" s="434"/>
      <c r="R60" s="434"/>
      <c r="S60" s="433" t="s">
        <v>2904</v>
      </c>
      <c r="T60" s="489" t="str">
        <f>IFERROR(VLOOKUP($U60,ESS_Item_Code!$A:$L,5,0),"item code is invalid")</f>
        <v>Accessory</v>
      </c>
      <c r="U60" s="433" t="s">
        <v>248</v>
      </c>
      <c r="V60" s="448" t="str">
        <f>IFERROR(VLOOKUP($U60,ESS_Item_Code!$A:$L,2,0),"item code is invalid")</f>
        <v>Battery Accessory box , Slave control Accessory</v>
      </c>
      <c r="W60" s="435">
        <v>0</v>
      </c>
      <c r="X60" s="433">
        <v>20</v>
      </c>
      <c r="Y60" s="609">
        <f>+IFERROR($X60*VLOOKUP($U60,ESS_Item_Code!$A:$L,3,0),"item code is invalid")</f>
        <v>0</v>
      </c>
      <c r="Z60" s="331">
        <f>IFERROR($X60*VLOOKUP($U60,ESS_Item_Code!$A:$L,4,0),"item code is invalid")</f>
        <v>0</v>
      </c>
      <c r="AA60" s="332">
        <f t="shared" si="8"/>
        <v>0</v>
      </c>
      <c r="AB60" s="433"/>
      <c r="AC60" s="440"/>
      <c r="AD60" s="609">
        <f t="shared" si="6"/>
        <v>0</v>
      </c>
      <c r="AE60" s="335" t="str">
        <f>IFERROR($X60*VLOOKUP($U60,ESS_Item_Code!$A:$L,6,0),"item code is invalid")</f>
        <v>item code is invalid</v>
      </c>
      <c r="AF60" s="335" t="e">
        <f t="shared" si="7"/>
        <v>#VALUE!</v>
      </c>
      <c r="AG60" s="433" t="s">
        <v>1071</v>
      </c>
      <c r="AH60" s="441"/>
      <c r="AI60" s="433">
        <v>60</v>
      </c>
      <c r="AJ60" s="433" t="s">
        <v>2506</v>
      </c>
      <c r="AK60" s="433" t="s">
        <v>1084</v>
      </c>
      <c r="AL60" s="433">
        <v>33634</v>
      </c>
      <c r="AM60" s="433" t="s">
        <v>52</v>
      </c>
      <c r="AN60" s="433" t="s">
        <v>50</v>
      </c>
      <c r="AO60" s="433"/>
    </row>
    <row r="61" spans="1:41" s="333" customFormat="1" ht="12">
      <c r="A61" s="448"/>
      <c r="B61" s="450"/>
      <c r="C61" s="450">
        <v>44678</v>
      </c>
      <c r="D61" s="433" t="s">
        <v>2901</v>
      </c>
      <c r="E61" s="433"/>
      <c r="F61" s="433" t="s">
        <v>1147</v>
      </c>
      <c r="G61" s="433">
        <v>2022</v>
      </c>
      <c r="H61" s="433">
        <v>4</v>
      </c>
      <c r="I61" s="433"/>
      <c r="J61" s="434" t="s">
        <v>1078</v>
      </c>
      <c r="K61" s="433">
        <v>1174</v>
      </c>
      <c r="L61" s="433" t="s">
        <v>5662</v>
      </c>
      <c r="M61" s="434">
        <v>44677</v>
      </c>
      <c r="N61" s="434">
        <v>44680</v>
      </c>
      <c r="O61" s="434"/>
      <c r="P61" s="442">
        <v>44680</v>
      </c>
      <c r="Q61" s="434"/>
      <c r="R61" s="434"/>
      <c r="S61" s="433" t="s">
        <v>2904</v>
      </c>
      <c r="T61" s="489" t="str">
        <f>IFERROR(VLOOKUP($U61,ESS_Item_Code!$A:$L,5,0),"item code is invalid")</f>
        <v>System</v>
      </c>
      <c r="U61" s="433" t="s">
        <v>324</v>
      </c>
      <c r="V61" s="448" t="str">
        <f>IFERROR(VLOOKUP($U61,ESS_Item_Code!$A:$L,2,0),"item code is invalid")</f>
        <v>Q.HOME+ HYB ESS-G1 8.6/18.9</v>
      </c>
      <c r="W61" s="435">
        <v>10418.450000000001</v>
      </c>
      <c r="X61" s="433">
        <v>10</v>
      </c>
      <c r="Y61" s="609">
        <f>+IFERROR($X61*VLOOKUP($U61,ESS_Item_Code!$A:$L,3,0),"item code is invalid")</f>
        <v>86</v>
      </c>
      <c r="Z61" s="331">
        <f>IFERROR($X61*VLOOKUP($U61,ESS_Item_Code!$A:$L,4,0),"item code is invalid")</f>
        <v>189</v>
      </c>
      <c r="AA61" s="332">
        <f t="shared" si="8"/>
        <v>104184.5</v>
      </c>
      <c r="AB61" s="433"/>
      <c r="AC61" s="440"/>
      <c r="AD61" s="609">
        <f t="shared" si="6"/>
        <v>104184.5</v>
      </c>
      <c r="AE61" s="335">
        <f>IFERROR($X61*VLOOKUP($U61,ESS_Item_Code!$A:$L,6,0),"item code is invalid")</f>
        <v>98930</v>
      </c>
      <c r="AF61" s="335">
        <f t="shared" si="7"/>
        <v>989300</v>
      </c>
      <c r="AG61" s="433" t="s">
        <v>1071</v>
      </c>
      <c r="AH61" s="441"/>
      <c r="AI61" s="433">
        <v>60</v>
      </c>
      <c r="AJ61" s="433" t="s">
        <v>5663</v>
      </c>
      <c r="AK61" s="433" t="s">
        <v>1590</v>
      </c>
      <c r="AL61" s="433">
        <v>37312</v>
      </c>
      <c r="AM61" s="433" t="s">
        <v>52</v>
      </c>
      <c r="AN61" s="433" t="s">
        <v>50</v>
      </c>
      <c r="AO61" s="433"/>
    </row>
    <row r="62" spans="1:41" s="333" customFormat="1" ht="12">
      <c r="A62" s="448"/>
      <c r="B62" s="450" t="s">
        <v>1211</v>
      </c>
      <c r="C62" s="450" t="s">
        <v>1211</v>
      </c>
      <c r="D62" s="433" t="s">
        <v>2901</v>
      </c>
      <c r="E62" s="433"/>
      <c r="F62" s="433" t="s">
        <v>1147</v>
      </c>
      <c r="G62" s="433">
        <v>2022</v>
      </c>
      <c r="H62" s="433">
        <v>5</v>
      </c>
      <c r="I62" s="433"/>
      <c r="J62" s="434"/>
      <c r="K62" s="433" t="s">
        <v>5225</v>
      </c>
      <c r="L62" s="433" t="s">
        <v>2947</v>
      </c>
      <c r="M62" s="434">
        <v>44609</v>
      </c>
      <c r="N62" s="434">
        <v>44682</v>
      </c>
      <c r="O62" s="434"/>
      <c r="P62" s="442"/>
      <c r="Q62" s="434"/>
      <c r="R62" s="434"/>
      <c r="S62" s="433" t="s">
        <v>2904</v>
      </c>
      <c r="T62" s="489" t="str">
        <f>IFERROR(VLOOKUP($U62,ESS_Item_Code!$A:$L,5,0),"item code is invalid")</f>
        <v>Accessory</v>
      </c>
      <c r="U62" s="433" t="s">
        <v>248</v>
      </c>
      <c r="V62" s="448" t="str">
        <f>IFERROR(VLOOKUP($U62,ESS_Item_Code!$A:$L,2,0),"item code is invalid")</f>
        <v>Battery Accessory box , Slave control Accessory</v>
      </c>
      <c r="W62" s="435">
        <v>0</v>
      </c>
      <c r="X62" s="433">
        <v>5</v>
      </c>
      <c r="Y62" s="609">
        <f>+IFERROR($X62*VLOOKUP($U62,ESS_Item_Code!$A:$L,3,0),"item code is invalid")</f>
        <v>0</v>
      </c>
      <c r="Z62" s="331">
        <f>IFERROR($X62*VLOOKUP($U62,ESS_Item_Code!$A:$L,4,0),"item code is invalid")</f>
        <v>0</v>
      </c>
      <c r="AA62" s="332">
        <f t="shared" si="8"/>
        <v>0</v>
      </c>
      <c r="AB62" s="433"/>
      <c r="AC62" s="440"/>
      <c r="AD62" s="609">
        <f t="shared" si="6"/>
        <v>0</v>
      </c>
      <c r="AE62" s="335" t="str">
        <f>IFERROR($X62*VLOOKUP($U62,ESS_Item_Code!$A:$L,6,0),"item code is invalid")</f>
        <v>item code is invalid</v>
      </c>
      <c r="AF62" s="335" t="e">
        <f t="shared" si="7"/>
        <v>#VALUE!</v>
      </c>
      <c r="AG62" s="433" t="s">
        <v>1071</v>
      </c>
      <c r="AH62" s="441"/>
      <c r="AI62" s="433">
        <v>60</v>
      </c>
      <c r="AJ62" s="433" t="s">
        <v>2277</v>
      </c>
      <c r="AK62" s="433" t="s">
        <v>1084</v>
      </c>
      <c r="AL62" s="433">
        <v>32809</v>
      </c>
      <c r="AM62" s="433" t="s">
        <v>52</v>
      </c>
      <c r="AN62" s="433" t="s">
        <v>50</v>
      </c>
      <c r="AO62" s="433"/>
    </row>
  </sheetData>
  <autoFilter ref="A1:AO1" xr:uid="{94BCC761-0B93-478A-A026-CFD6747DC9DD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16" workbookViewId="0">
      <selection activeCell="T26" sqref="T26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656" t="s">
        <v>0</v>
      </c>
      <c r="B1" s="656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>Z91*AA91</f>
        <v>11519.071875</v>
      </c>
      <c r="AC91" s="41">
        <f t="shared" ref="AC91:AC98" si="10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0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1">Z93*AA93</f>
        <v>624.4425</v>
      </c>
      <c r="AC93" s="41">
        <f t="shared" si="10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1"/>
        <v>378.45</v>
      </c>
      <c r="AC94" s="41">
        <f t="shared" si="10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1"/>
        <v>203</v>
      </c>
      <c r="AC95" s="41">
        <f t="shared" si="10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1"/>
        <v>0</v>
      </c>
      <c r="AC96" s="41">
        <f t="shared" si="10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1"/>
        <v>0</v>
      </c>
      <c r="AC97" s="41">
        <f t="shared" si="10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1"/>
        <v>0</v>
      </c>
      <c r="AC98" s="41">
        <f t="shared" si="10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2">X102*Y102</f>
        <v>358378.72</v>
      </c>
      <c r="AA102" s="138">
        <v>8.2500000000000004E-2</v>
      </c>
      <c r="AB102" s="37">
        <f t="shared" ref="AB102:AB118" si="13">Z102*AA102</f>
        <v>29566.2444</v>
      </c>
      <c r="AC102" s="41">
        <f t="shared" ref="AC102:AC118" si="14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2"/>
        <v>358378.72</v>
      </c>
      <c r="AA103" s="138">
        <v>8.2500000000000004E-2</v>
      </c>
      <c r="AB103" s="37">
        <f t="shared" si="13"/>
        <v>29566.2444</v>
      </c>
      <c r="AC103" s="41">
        <f t="shared" si="14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2"/>
        <v>5392.86</v>
      </c>
      <c r="AA104" s="138"/>
      <c r="AB104" s="37">
        <f t="shared" si="13"/>
        <v>0</v>
      </c>
      <c r="AC104" s="41">
        <f t="shared" si="14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2"/>
        <v>221673.60000000001</v>
      </c>
      <c r="AA105" s="138">
        <v>8.2500000000000004E-2</v>
      </c>
      <c r="AB105" s="37">
        <f t="shared" si="13"/>
        <v>18288.072</v>
      </c>
      <c r="AC105" s="41">
        <f t="shared" si="14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2"/>
        <v>3335.73</v>
      </c>
      <c r="AA106" s="138"/>
      <c r="AB106" s="37">
        <f t="shared" si="13"/>
        <v>0</v>
      </c>
      <c r="AC106" s="41">
        <f t="shared" si="14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2"/>
        <v>74254.3</v>
      </c>
      <c r="AA107" s="138"/>
      <c r="AB107" s="37">
        <f t="shared" si="13"/>
        <v>0</v>
      </c>
      <c r="AC107" s="41">
        <f t="shared" si="14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2"/>
        <v>33976.410000000003</v>
      </c>
      <c r="AA108" s="138"/>
      <c r="AB108" s="37">
        <f t="shared" si="13"/>
        <v>0</v>
      </c>
      <c r="AC108" s="41">
        <f t="shared" si="14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2"/>
        <v>5115.9883999998201</v>
      </c>
      <c r="AA109" s="138">
        <v>8.2500000000000004E-2</v>
      </c>
      <c r="AB109" s="37">
        <f t="shared" si="13"/>
        <v>422.06904299998519</v>
      </c>
      <c r="AC109" s="41">
        <f t="shared" si="14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2"/>
        <v>8802.36</v>
      </c>
      <c r="AA110" s="138">
        <v>8.2500000000000004E-2</v>
      </c>
      <c r="AB110" s="37">
        <f t="shared" si="13"/>
        <v>726.19470000000013</v>
      </c>
      <c r="AC110" s="41">
        <f t="shared" si="14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2"/>
        <v>2400</v>
      </c>
      <c r="AA111" s="138">
        <v>8.2500000000000004E-2</v>
      </c>
      <c r="AB111" s="37">
        <f t="shared" si="13"/>
        <v>198</v>
      </c>
      <c r="AC111" s="41">
        <f t="shared" si="14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2"/>
        <v>3600</v>
      </c>
      <c r="AA112" s="138"/>
      <c r="AB112" s="37">
        <f t="shared" si="13"/>
        <v>0</v>
      </c>
      <c r="AC112" s="41">
        <f t="shared" si="14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2"/>
        <v>5000</v>
      </c>
      <c r="AA113" s="138"/>
      <c r="AB113" s="37">
        <f t="shared" si="13"/>
        <v>0</v>
      </c>
      <c r="AC113" s="41">
        <f t="shared" si="14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2"/>
        <v>11808.439999999999</v>
      </c>
      <c r="AA114" s="138"/>
      <c r="AB114" s="37">
        <f t="shared" si="13"/>
        <v>0</v>
      </c>
      <c r="AC114" s="41">
        <f t="shared" si="14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2"/>
        <v>14907.16</v>
      </c>
      <c r="AA115" s="138"/>
      <c r="AB115" s="37">
        <f t="shared" si="13"/>
        <v>0</v>
      </c>
      <c r="AC115" s="41">
        <f t="shared" si="14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2"/>
        <v>24945.42</v>
      </c>
      <c r="AA116" s="138"/>
      <c r="AB116" s="37">
        <f t="shared" si="13"/>
        <v>0</v>
      </c>
      <c r="AC116" s="41">
        <f t="shared" si="14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2"/>
        <v>10038.26</v>
      </c>
      <c r="AA117" s="138"/>
      <c r="AB117" s="37">
        <f t="shared" si="13"/>
        <v>0</v>
      </c>
      <c r="AC117" s="41">
        <f t="shared" si="14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2"/>
        <v>5017.32</v>
      </c>
      <c r="AA118" s="138"/>
      <c r="AB118" s="37">
        <f t="shared" si="13"/>
        <v>0</v>
      </c>
      <c r="AC118" s="41">
        <f t="shared" si="14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>U131*V131</f>
        <v>245.75750000000323</v>
      </c>
      <c r="X131" s="41">
        <f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>U132*V132</f>
        <v>1122.341175</v>
      </c>
      <c r="X132" s="117">
        <f>U132+W132</f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B30" sqref="B30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660" t="s">
        <v>261</v>
      </c>
      <c r="B19" s="660" t="s">
        <v>262</v>
      </c>
      <c r="C19" s="659" t="s">
        <v>22</v>
      </c>
      <c r="D19" s="659" t="s">
        <v>23</v>
      </c>
      <c r="E19" s="659" t="s">
        <v>192</v>
      </c>
      <c r="F19" s="659" t="s">
        <v>193</v>
      </c>
      <c r="G19" s="657" t="s">
        <v>263</v>
      </c>
      <c r="H19" s="658"/>
      <c r="I19" s="658"/>
      <c r="J19" s="657" t="s">
        <v>264</v>
      </c>
      <c r="K19" s="658"/>
      <c r="L19" s="658"/>
      <c r="M19" s="657" t="s">
        <v>265</v>
      </c>
      <c r="N19" s="658"/>
      <c r="O19" s="658"/>
      <c r="P19" s="657" t="s">
        <v>266</v>
      </c>
      <c r="Q19" s="658"/>
      <c r="R19" s="658"/>
      <c r="S19" s="657" t="s">
        <v>267</v>
      </c>
      <c r="T19" s="658"/>
      <c r="U19" s="658"/>
      <c r="V19" s="657" t="s">
        <v>268</v>
      </c>
      <c r="W19" s="658"/>
      <c r="X19" s="658"/>
      <c r="Y19" s="657" t="s">
        <v>269</v>
      </c>
      <c r="Z19" s="658"/>
      <c r="AA19" s="658"/>
      <c r="AB19" s="657" t="s">
        <v>270</v>
      </c>
      <c r="AC19" s="658"/>
      <c r="AD19" s="658"/>
    </row>
    <row r="20" spans="1:30" s="160" customFormat="1">
      <c r="A20" s="660"/>
      <c r="B20" s="660"/>
      <c r="C20" s="659"/>
      <c r="D20" s="659"/>
      <c r="E20" s="659"/>
      <c r="F20" s="659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F19:F20"/>
    <mergeCell ref="A19:A20"/>
    <mergeCell ref="B19:B20"/>
    <mergeCell ref="C19:C20"/>
    <mergeCell ref="D19:D20"/>
    <mergeCell ref="E19:E20"/>
    <mergeCell ref="Y19:AA19"/>
    <mergeCell ref="AB19:AD19"/>
    <mergeCell ref="G19:I19"/>
    <mergeCell ref="J19:L19"/>
    <mergeCell ref="M19:O19"/>
    <mergeCell ref="P19:R19"/>
    <mergeCell ref="S19:U19"/>
    <mergeCell ref="V19:X19"/>
  </mergeCells>
  <conditionalFormatting sqref="A21:A1048576">
    <cfRule type="duplicateValues" dxfId="34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 hidden="1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 hidden="1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 hidden="1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 hidden="1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 hidden="1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 hidden="1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 hidden="1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 hidden="1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 hidden="1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 hidden="1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 hidden="1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 hidden="1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 hidden="1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 hidden="1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 hidden="1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 hidden="1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 hidden="1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 hidden="1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 hidden="1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 hidden="1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 hidden="1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 hidden="1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 hidden="1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 hidden="1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 hidden="1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 hidden="1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 hidden="1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 hidden="1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 hidden="1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 hidden="1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 hidden="1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 hidden="1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 hidden="1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 hidden="1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 hidden="1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 hidden="1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 hidden="1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 hidden="1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 hidden="1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 hidden="1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 hidden="1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 hidden="1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 hidden="1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 hidden="1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 hidden="1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 hidden="1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 hidden="1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 hidden="1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 hidden="1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 hidden="1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 hidden="1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 hidden="1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 hidden="1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 hidden="1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 hidden="1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 hidden="1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 hidden="1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 hidden="1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 hidden="1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 hidden="1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 hidden="1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 hidden="1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 hidden="1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 hidden="1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 hidden="1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 hidden="1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 hidden="1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 hidden="1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 hidden="1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 hidden="1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 hidden="1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 hidden="1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 hidden="1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 hidden="1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 hidden="1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 hidden="1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 hidden="1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 hidden="1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 hidden="1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 hidden="1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 hidden="1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 hidden="1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 hidden="1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 hidden="1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 hidden="1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 hidden="1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 hidden="1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 hidden="1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 hidden="1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 hidden="1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 hidden="1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 hidden="1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 hidden="1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 hidden="1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 hidden="1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 hidden="1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 hidden="1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 hidden="1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 hidden="1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 hidden="1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 hidden="1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 hidden="1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 hidden="1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 hidden="1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 hidden="1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 hidden="1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 hidden="1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 hidden="1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 hidden="1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 hidden="1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 hidden="1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 hidden="1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 hidden="1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 hidden="1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 hidden="1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 hidden="1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 hidden="1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 hidden="1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 hidden="1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 hidden="1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 hidden="1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 hidden="1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 hidden="1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 hidden="1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 hidden="1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 hidden="1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 hidden="1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 hidden="1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 hidden="1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 hidden="1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 hidden="1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 hidden="1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 hidden="1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 hidden="1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 hidden="1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 hidden="1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 hidden="1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 hidden="1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 hidden="1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 hidden="1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 hidden="1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 hidden="1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 hidden="1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 hidden="1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 hidden="1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 hidden="1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 hidden="1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 hidden="1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 hidden="1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 hidden="1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 hidden="1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 hidden="1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 hidden="1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 hidden="1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 hidden="1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 hidden="1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 hidden="1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 hidden="1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 hidden="1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 hidden="1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 hidden="1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 hidden="1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 hidden="1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 hidden="1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 hidden="1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 hidden="1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 hidden="1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 hidden="1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 hidden="1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 hidden="1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 hidden="1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 hidden="1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 hidden="1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 hidden="1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 hidden="1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 hidden="1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 hidden="1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 hidden="1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 hidden="1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 hidden="1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 hidden="1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 hidden="1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 hidden="1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 hidden="1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 hidden="1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 hidden="1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 hidden="1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 hidden="1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 hidden="1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 hidden="1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 hidden="1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 hidden="1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 hidden="1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 hidden="1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 hidden="1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 hidden="1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 hidden="1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 hidden="1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 hidden="1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 hidden="1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 hidden="1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 hidden="1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 hidden="1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 hidden="1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 hidden="1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 hidden="1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 hidden="1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 hidden="1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 hidden="1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 hidden="1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 hidden="1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 hidden="1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 hidden="1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 hidden="1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 hidden="1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 hidden="1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 hidden="1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 hidden="1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 hidden="1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 hidden="1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 hidden="1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 hidden="1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 hidden="1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 hidden="1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 hidden="1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 hidden="1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 hidden="1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 hidden="1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 hidden="1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 hidden="1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 hidden="1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 hidden="1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 hidden="1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 hidden="1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 hidden="1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 hidden="1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 hidden="1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 hidden="1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 hidden="1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 hidden="1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 hidden="1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 hidden="1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 hidden="1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 hidden="1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 hidden="1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 hidden="1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 hidden="1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 hidden="1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 hidden="1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 hidden="1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 hidden="1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 hidden="1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 hidden="1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 hidden="1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 hidden="1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 hidden="1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 hidden="1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 hidden="1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 hidden="1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 hidden="1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 hidden="1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 hidden="1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 hidden="1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 hidden="1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 hidden="1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 hidden="1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 hidden="1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 hidden="1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 hidden="1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 hidden="1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 hidden="1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 hidden="1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 hidden="1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 hidden="1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 hidden="1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 hidden="1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 hidden="1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 hidden="1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 hidden="1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 hidden="1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 hidden="1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 hidden="1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 hidden="1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 hidden="1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 hidden="1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 hidden="1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 hidden="1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 hidden="1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 hidden="1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 hidden="1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 hidden="1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 hidden="1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 hidden="1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 hidden="1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 hidden="1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 hidden="1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 hidden="1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 hidden="1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 hidden="1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 hidden="1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 hidden="1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 hidden="1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 hidden="1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 hidden="1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 hidden="1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 hidden="1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 hidden="1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 hidden="1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 hidden="1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 hidden="1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 hidden="1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 hidden="1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 hidden="1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 hidden="1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 hidden="1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 hidden="1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 hidden="1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 hidden="1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 hidden="1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 hidden="1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 hidden="1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 hidden="1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 hidden="1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 hidden="1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 hidden="1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 hidden="1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 hidden="1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 hidden="1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 hidden="1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 hidden="1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 hidden="1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 hidden="1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 hidden="1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 hidden="1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 hidden="1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 hidden="1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 hidden="1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 hidden="1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 hidden="1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 hidden="1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 hidden="1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 hidden="1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 hidden="1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 hidden="1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 hidden="1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 hidden="1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 hidden="1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 hidden="1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 hidden="1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 hidden="1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 hidden="1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 hidden="1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 hidden="1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 hidden="1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 hidden="1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 hidden="1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 hidden="1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 hidden="1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 hidden="1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 hidden="1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 hidden="1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 hidden="1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 hidden="1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 hidden="1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 hidden="1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 hidden="1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 hidden="1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 hidden="1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 hidden="1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 hidden="1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 hidden="1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 hidden="1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 hidden="1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 hidden="1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 hidden="1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 hidden="1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 hidden="1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 hidden="1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 hidden="1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 hidden="1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 hidden="1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 hidden="1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 hidden="1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 hidden="1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 hidden="1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 hidden="1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 hidden="1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 hidden="1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 hidden="1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 hidden="1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 hidden="1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 hidden="1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 hidden="1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 hidden="1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 hidden="1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 hidden="1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 hidden="1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 hidden="1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 hidden="1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 hidden="1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 hidden="1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 hidden="1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 hidden="1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 hidden="1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 hidden="1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 hidden="1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 hidden="1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 hidden="1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 hidden="1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 hidden="1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 hidden="1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 hidden="1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 hidden="1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 hidden="1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 hidden="1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 hidden="1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 hidden="1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 hidden="1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 hidden="1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 hidden="1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 hidden="1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 hidden="1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 hidden="1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 hidden="1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 hidden="1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 hidden="1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 hidden="1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 hidden="1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 hidden="1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 hidden="1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 hidden="1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 hidden="1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 hidden="1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 hidden="1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 hidden="1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 hidden="1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 hidden="1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 hidden="1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 hidden="1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 hidden="1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 hidden="1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 hidden="1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 hidden="1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 hidden="1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 hidden="1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 hidden="1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 hidden="1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 hidden="1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 hidden="1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 hidden="1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 hidden="1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 hidden="1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 hidden="1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 hidden="1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 hidden="1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 hidden="1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 hidden="1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 hidden="1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 hidden="1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 hidden="1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 hidden="1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 hidden="1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 hidden="1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 hidden="1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 hidden="1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 hidden="1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 hidden="1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 hidden="1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 hidden="1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 hidden="1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 hidden="1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 hidden="1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 hidden="1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 hidden="1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 hidden="1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 hidden="1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 hidden="1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 hidden="1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 hidden="1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 hidden="1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 hidden="1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 hidden="1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 hidden="1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 hidden="1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 hidden="1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 hidden="1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 hidden="1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 hidden="1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 hidden="1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 hidden="1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 hidden="1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 hidden="1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 hidden="1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 hidden="1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 hidden="1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 hidden="1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 hidden="1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 hidden="1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 hidden="1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 hidden="1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 hidden="1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 hidden="1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 hidden="1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 hidden="1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 hidden="1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 hidden="1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 hidden="1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 hidden="1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 hidden="1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 hidden="1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 hidden="1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 hidden="1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 hidden="1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 hidden="1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 hidden="1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 hidden="1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 hidden="1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 hidden="1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 hidden="1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 hidden="1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 hidden="1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 hidden="1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 hidden="1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 hidden="1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 hidden="1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 hidden="1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 hidden="1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 hidden="1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 hidden="1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 hidden="1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 hidden="1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 hidden="1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 hidden="1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 hidden="1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 hidden="1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 hidden="1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 hidden="1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 hidden="1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 hidden="1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 hidden="1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 hidden="1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 hidden="1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 hidden="1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 hidden="1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 hidden="1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 hidden="1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 hidden="1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 hidden="1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 hidden="1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 hidden="1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 hidden="1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 hidden="1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 hidden="1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 hidden="1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 hidden="1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 hidden="1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 hidden="1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 hidden="1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 hidden="1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 hidden="1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 hidden="1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 hidden="1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 hidden="1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 hidden="1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 hidden="1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 hidden="1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 hidden="1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 hidden="1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 hidden="1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 hidden="1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 hidden="1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 hidden="1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 hidden="1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 hidden="1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 hidden="1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 hidden="1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 hidden="1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 hidden="1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 hidden="1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 hidden="1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 hidden="1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 hidden="1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 hidden="1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 hidden="1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 hidden="1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 hidden="1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 hidden="1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 hidden="1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 hidden="1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 hidden="1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 hidden="1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 hidden="1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 hidden="1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 hidden="1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 hidden="1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 hidden="1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 hidden="1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 hidden="1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 hidden="1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 hidden="1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 hidden="1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 hidden="1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 hidden="1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 hidden="1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 hidden="1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 hidden="1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 hidden="1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 hidden="1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 hidden="1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 hidden="1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 hidden="1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 hidden="1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 hidden="1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 hidden="1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 hidden="1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 hidden="1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 hidden="1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 hidden="1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 hidden="1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 hidden="1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 hidden="1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 hidden="1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 hidden="1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 hidden="1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 hidden="1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 hidden="1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 hidden="1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 hidden="1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 hidden="1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 hidden="1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 hidden="1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 hidden="1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 hidden="1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 hidden="1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 hidden="1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 hidden="1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 hidden="1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 hidden="1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 hidden="1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 hidden="1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 hidden="1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 hidden="1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 hidden="1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 hidden="1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 hidden="1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 hidden="1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 hidden="1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 hidden="1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 hidden="1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 hidden="1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 hidden="1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 hidden="1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 hidden="1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 hidden="1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 hidden="1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 hidden="1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 hidden="1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 hidden="1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 hidden="1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 hidden="1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 hidden="1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 hidden="1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 hidden="1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 hidden="1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 hidden="1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 hidden="1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 hidden="1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 hidden="1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 hidden="1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 hidden="1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 hidden="1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 hidden="1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 hidden="1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 hidden="1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 hidden="1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 hidden="1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 hidden="1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 hidden="1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 hidden="1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 hidden="1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 hidden="1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 hidden="1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 hidden="1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 hidden="1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 hidden="1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 hidden="1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 hidden="1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 hidden="1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 hidden="1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 hidden="1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 hidden="1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 hidden="1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 hidden="1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 hidden="1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 hidden="1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 hidden="1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 hidden="1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 hidden="1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 hidden="1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 hidden="1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 hidden="1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 hidden="1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 hidden="1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 hidden="1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 hidden="1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 hidden="1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 hidden="1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 hidden="1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 hidden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 hidden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 hidden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 hidden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 hidden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 hidden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 hidden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 hidden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 hidden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 hidden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 hidden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 hidden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 hidden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 hidden="1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 hidden="1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 hidden="1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 hidden="1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 hidden="1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 hidden="1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 hidden="1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 hidden="1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 hidden="1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 hidden="1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 hidden="1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 hidden="1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 hidden="1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 hidden="1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 hidden="1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 hidden="1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 hidden="1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 hidden="1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 hidden="1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 hidden="1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 hidden="1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 hidden="1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 hidden="1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 hidden="1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 hidden="1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 hidden="1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 hidden="1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 hidden="1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 hidden="1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 hidden="1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 hidden="1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 hidden="1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 hidden="1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 hidden="1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 hidden="1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 hidden="1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 hidden="1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 hidden="1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 hidden="1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 hidden="1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 hidden="1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 hidden="1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 hidden="1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 hidden="1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 hidden="1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 hidden="1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 hidden="1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 hidden="1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 hidden="1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 hidden="1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 hidden="1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 hidden="1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 hidden="1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 hidden="1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 hidden="1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 hidden="1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 hidden="1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 hidden="1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 hidden="1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 hidden="1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 hidden="1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 hidden="1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 hidden="1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 hidden="1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 hidden="1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 hidden="1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 hidden="1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 hidden="1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 hidden="1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 hidden="1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 hidden="1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 hidden="1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 hidden="1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 hidden="1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 hidden="1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 hidden="1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 hidden="1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 hidden="1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 hidden="1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 hidden="1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 hidden="1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 hidden="1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 hidden="1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 hidden="1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 hidden="1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 hidden="1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 hidden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 hidden="1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 hidden="1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 hidden="1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 hidden="1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 hidden="1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 hidden="1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 hidden="1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 hidden="1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 hidden="1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 hidden="1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 hidden="1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 hidden="1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 hidden="1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 hidden="1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 hidden="1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 hidden="1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 hidden="1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 hidden="1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 hidden="1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 hidden="1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 hidden="1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 hidden="1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 hidden="1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 hidden="1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 hidden="1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 hidden="1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 hidden="1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 hidden="1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 hidden="1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 hidden="1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 hidden="1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 hidden="1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 hidden="1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 hidden="1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 hidden="1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 hidden="1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 hidden="1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 hidden="1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 hidden="1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 hidden="1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 hidden="1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 hidden="1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 hidden="1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 hidden="1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 hidden="1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 hidden="1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 hidden="1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 hidden="1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 hidden="1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 hidden="1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 hidden="1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 hidden="1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 hidden="1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 hidden="1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 hidden="1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 hidden="1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 hidden="1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 hidden="1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 hidden="1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 hidden="1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 hidden="1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 hidden="1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 hidden="1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 hidden="1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 hidden="1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 hidden="1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 hidden="1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 hidden="1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 hidden="1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 hidden="1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 hidden="1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 hidden="1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 hidden="1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 hidden="1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 hidden="1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 hidden="1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 hidden="1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 hidden="1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 hidden="1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 hidden="1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 hidden="1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 hidden="1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 hidden="1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 hidden="1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 hidden="1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 hidden="1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 hidden="1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 hidden="1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 hidden="1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 hidden="1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 hidden="1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 hidden="1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 hidden="1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 hidden="1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 hidden="1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 hidden="1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 hidden="1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 hidden="1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 hidden="1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 hidden="1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 hidden="1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 hidden="1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 hidden="1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 hidden="1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 hidden="1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 hidden="1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 hidden="1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 hidden="1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 hidden="1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 hidden="1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 hidden="1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 hidden="1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 hidden="1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 hidden="1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 hidden="1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 hidden="1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 hidden="1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 hidden="1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 hidden="1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 hidden="1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 hidden="1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488">
        <v>30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 hidden="1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 hidden="1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 hidden="1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 hidden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 hidden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 hidden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 hidden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 hidden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 hidden="1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 hidden="1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 hidden="1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 hidden="1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 hidden="1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 hidden="1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 hidden="1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 hidden="1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 hidden="1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 hidden="1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 hidden="1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 hidden="1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 hidden="1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 hidden="1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 hidden="1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 hidden="1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 hidden="1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 hidden="1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 hidden="1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 hidden="1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 hidden="1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 hidden="1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 hidden="1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 hidden="1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 hidden="1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 hidden="1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 hidden="1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 hidden="1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 hidden="1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 hidden="1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 hidden="1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 hidden="1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 hidden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 hidden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 hidden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 hidden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 hidden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 hidden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 hidden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 hidden="1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 hidden="1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 hidden="1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 hidden="1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 hidden="1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 hidden="1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 hidden="1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 hidden="1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 hidden="1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 hidden="1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 hidden="1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 hidden="1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 hidden="1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 hidden="1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 hidden="1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 hidden="1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 hidden="1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 hidden="1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 hidden="1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 hidden="1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 hidden="1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 hidden="1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 hidden="1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 hidden="1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 hidden="1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 hidden="1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 hidden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 hidden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 hidden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 hidden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 hidden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 hidden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 hidden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 hidden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 hidden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 hidden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 hidden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 hidden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 hidden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 hidden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 hidden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 hidden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 hidden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 hidden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 hidden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 hidden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 hidden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 hidden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 hidden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 hidden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 hidden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 hidden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 hidden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 hidden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 hidden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 hidden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 hidden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 hidden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 hidden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 hidden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 hidden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 hidden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 hidden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 hidden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 hidden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 hidden="1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 hidden="1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 hidden="1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 hidden="1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 hidden="1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 hidden="1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 hidden="1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 hidden="1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 hidden="1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 hidden="1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 hidden="1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 hidden="1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 hidden="1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 hidden="1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 hidden="1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 hidden="1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 hidden="1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 hidden="1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 hidden="1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 hidden="1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 hidden="1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 hidden="1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 hidden="1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 hidden="1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 hidden="1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 hidden="1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 hidden="1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 hidden="1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 hidden="1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 hidden="1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 hidden="1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 hidden="1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 hidden="1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 hidden="1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 hidden="1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 hidden="1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 hidden="1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 hidden="1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 hidden="1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 hidden="1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 hidden="1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 hidden="1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 hidden="1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 hidden="1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 hidden="1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 hidden="1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 hidden="1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 hidden="1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 hidden="1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 hidden="1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2022-04-30T00:01:17Z</dcterms:modified>
</cp:coreProperties>
</file>